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7.xml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39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2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L1 " sheetId="2" r:id="rId6"/>
    <sheet state="visible" name="L2" sheetId="3" r:id="rId7"/>
    <sheet state="visible" name="L3" sheetId="4" r:id="rId8"/>
    <sheet state="visible" name="L4" sheetId="5" r:id="rId9"/>
    <sheet state="visible" name="S1" sheetId="6" r:id="rId10"/>
    <sheet state="visible" name="S2" sheetId="7" r:id="rId11"/>
    <sheet state="visible" name="S3" sheetId="8" r:id="rId12"/>
    <sheet state="hidden" name="A2 RETEST 4 DEC" sheetId="9" r:id="rId13"/>
    <sheet state="hidden" name="A1 RETEST 5 DEC" sheetId="10" r:id="rId14"/>
    <sheet state="visible" name="USN" sheetId="11" r:id="rId15"/>
    <sheet state="hidden" name="Sheet27" sheetId="12" r:id="rId16"/>
    <sheet state="hidden" name="Sheet23" sheetId="13" r:id="rId17"/>
    <sheet state="visible" name="UG-CSE" sheetId="14" r:id="rId18"/>
    <sheet state="hidden" name="A3" sheetId="15" r:id="rId19"/>
    <sheet state="visible" name="UG-ISE" sheetId="16" r:id="rId20"/>
    <sheet state="visible" name="UG-AIDS" sheetId="17" r:id="rId21"/>
    <sheet state="visible" name="UG-CSDS" sheetId="18" r:id="rId22"/>
    <sheet state="visible" name="UG-ECE" sheetId="19" r:id="rId23"/>
    <sheet state="hidden" name="COSOLIDATED_A3_RETEST" sheetId="20" r:id="rId24"/>
    <sheet state="visible" name="UG-AIML" sheetId="21" r:id="rId25"/>
    <sheet state="hidden" name="Sheet22" sheetId="22" r:id="rId26"/>
    <sheet state="visible" name="UG-CSAIML" sheetId="23" r:id="rId27"/>
    <sheet state="visible" name="Consolidated" sheetId="24" r:id="rId28"/>
    <sheet state="visible" name="Statistics" sheetId="25" r:id="rId29"/>
    <sheet state="hidden" name="A1" sheetId="26" r:id="rId30"/>
    <sheet state="hidden" name="Sheet24" sheetId="27" r:id="rId31"/>
    <sheet state="visible" name="Hackathon" sheetId="28" r:id="rId32"/>
    <sheet state="visible" name="Year back  Non eligible student" sheetId="29" r:id="rId33"/>
    <sheet state="hidden" name="Sheet25" sheetId="30" r:id="rId34"/>
  </sheets>
  <definedNames>
    <definedName hidden="1" localSheetId="8" name="_xlnm._FilterDatabase">'A2 RETEST 4 DEC'!$A$1:$B$1165</definedName>
    <definedName hidden="1" localSheetId="9" name="_xlnm._FilterDatabase">'A1 RETEST 5 DEC'!$A$1:$B$1165</definedName>
    <definedName hidden="1" localSheetId="14" name="_xlnm._FilterDatabase">'A3'!$A$1:$J$1190</definedName>
    <definedName hidden="1" localSheetId="20" name="_xlnm._FilterDatabase">'UG-AIML'!$AK$1:$AO$653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5">
      <text>
        <t xml:space="preserve">Responder updated this value.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1">
      <text>
        <t xml:space="preserve">Responder updated this value.</t>
      </text>
    </comment>
    <comment authorId="0" ref="E51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<sst xmlns="http://schemas.openxmlformats.org/spreadsheetml/2006/main" count="23585" uniqueCount="4902">
  <si>
    <t>No.</t>
  </si>
  <si>
    <t>How to Use TYL Masterdata</t>
  </si>
  <si>
    <t>Personal Data of the students must be entered only by FPC of the respective department</t>
  </si>
  <si>
    <t>Please enter data in sorted Assessding order of students USN</t>
  </si>
  <si>
    <t>Marks of the students can be entered by respective owners or assigned people from HOD</t>
  </si>
  <si>
    <t>All Email Id's must be CMRIT Email id's, and USN must be Complete USN not the Roll Numbers</t>
  </si>
  <si>
    <t>Enter the marks scored by the students in marks scored column</t>
  </si>
  <si>
    <t>Do not enter 0 or 1 in the adacent column of marks scored. It will be automated</t>
  </si>
  <si>
    <t>Please enter Max Marks allotted and Passing marks for each exam</t>
  </si>
  <si>
    <t>VTU Results coulmn is only for Detained or Drop out studetns. For Regular students leave it blank</t>
  </si>
  <si>
    <t>Important Notice</t>
  </si>
  <si>
    <t>Please do not alter the size of any column</t>
  </si>
  <si>
    <t>Please do not Hide or Shrink any columns as others might be using it</t>
  </si>
  <si>
    <t>Instead of CTRL+V for Paste use CTRL+SHIFT+V so the format of the Excel wont change</t>
  </si>
  <si>
    <t>BLACK COLORED ROW IS TO ENTER THE PASSING MARKS IN THAT PARTICULAR SUBJECT</t>
  </si>
  <si>
    <t>pasa23aiml@cmrit.ac.in</t>
  </si>
  <si>
    <t>shpa23ainds@cmrit.ac.in</t>
  </si>
  <si>
    <t>kadhiravan.aids24le@cmrit.ac.in</t>
  </si>
  <si>
    <t>sunagar.aids24le@cmrit.ac.in</t>
  </si>
  <si>
    <t>charan.aids24le@cmrit.ac.in</t>
  </si>
  <si>
    <t>sudeep.aids24le@cmrit.ac.in</t>
  </si>
  <si>
    <t>kenneth.aids24le@cmrit.ac.in</t>
  </si>
  <si>
    <t>kiran.ece24le@cmrit.ac.in</t>
  </si>
  <si>
    <t>ranjithkumar.ece24le@cmrit.ac.in</t>
  </si>
  <si>
    <t>shreyas.cseds24le@cmrit.ac.in</t>
  </si>
  <si>
    <t>shma23ise@cmrit.ac.in</t>
  </si>
  <si>
    <t>gokul.ece24le@cmrit.ac.in</t>
  </si>
  <si>
    <t>thhm23ece@cmrit.ac.in</t>
  </si>
  <si>
    <t>thouheed.cseds24le@cmrit.ac.in</t>
  </si>
  <si>
    <t>nikhil.aiml24le@cmrit.ac.in</t>
  </si>
  <si>
    <t>muhammad.aiml24le@cmrit.ac.in</t>
  </si>
  <si>
    <t>bhsh23ainds@cmrit.ac.in</t>
  </si>
  <si>
    <t>twinkletanya.ise24le@cmrit.ac.in</t>
  </si>
  <si>
    <t>gowtham.aiml24le@cmrit.ac.in</t>
  </si>
  <si>
    <t>dhmc23csaiml@cmrit.ac.in</t>
  </si>
  <si>
    <t>isaiah.aiml24le@cmrit.ac.in</t>
  </si>
  <si>
    <t>vijay.aiml24le@cmrit.ac.in</t>
  </si>
  <si>
    <t>gurupadayya.cse24le@cmrit.ac.in</t>
  </si>
  <si>
    <t>vinod.aiml24le@cmrit.ac.in</t>
  </si>
  <si>
    <t>rajatshankar.cse24le@cmrit.ac.in</t>
  </si>
  <si>
    <t>sbsa23ainds@cmrit.ac.in</t>
  </si>
  <si>
    <t>raj.aids24le@cmrit.ac.in</t>
  </si>
  <si>
    <t>monisha.aiml24le@cmrit.ac.in</t>
  </si>
  <si>
    <t>dharshan.aiml24le@cmrit.ac.in</t>
  </si>
  <si>
    <t>gangotri.cse24le@cmrit.ac.in</t>
  </si>
  <si>
    <t>nihar.cseds24le@cmrit.ac.in</t>
  </si>
  <si>
    <t>divya.cse24le@cmrit.ac.in</t>
  </si>
  <si>
    <t>tanveer.aids24le@cmrit.ac.in</t>
  </si>
  <si>
    <t>such23ainds@cmrit.ac.in</t>
  </si>
  <si>
    <t>vikas.aiml24le@cmrit.ac.in</t>
  </si>
  <si>
    <t>srujan.ece24le@cmrit.ac.in</t>
  </si>
  <si>
    <t>harshavardhan.ise24le@cmrit.ac.in</t>
  </si>
  <si>
    <t>sandesh.cseaiml24le@cmrit.ac.in</t>
  </si>
  <si>
    <t>lekhan.cse24le@cmrit.ac.in</t>
  </si>
  <si>
    <t>mokshith.cse24le@cmrit.ac.in</t>
  </si>
  <si>
    <t>ujs23ainds@cmrit.ac.in</t>
  </si>
  <si>
    <t>karthik.cseds24le@cmrit.ac.in</t>
  </si>
  <si>
    <t>saurabh.cse24le@cmrit.ac.in</t>
  </si>
  <si>
    <t>netravati.ece24le@cmrit.ac.in</t>
  </si>
  <si>
    <t>darshan.ece24le@cmrit.ac.in</t>
  </si>
  <si>
    <t>srujan.ise24le@cmrit.ac.in</t>
  </si>
  <si>
    <t>rara23ainds@cmrit.ac.in</t>
  </si>
  <si>
    <t>svn23aiml@cmrit.ac.in</t>
  </si>
  <si>
    <t>saishjagadish.ece24le@cmrit.ac.in</t>
  </si>
  <si>
    <t>pruthvi.cseds24le@cmrit.ac.in</t>
  </si>
  <si>
    <t>ber23ainds@cmrit.ac.in</t>
  </si>
  <si>
    <t>hitendra.cse24le@cmrit.ac.in</t>
  </si>
  <si>
    <t>anjum.aids24le@cmrit.ac.in</t>
  </si>
  <si>
    <t>jeevan.ece24le@cmrit.ac.in</t>
  </si>
  <si>
    <t>thejaswini.ise24le@cmrit.ac.in</t>
  </si>
  <si>
    <t>pushpalatha.cse24le@cmrit.ac.in</t>
  </si>
  <si>
    <t>yadhunandan.ece24le@cmrit.ac.in</t>
  </si>
  <si>
    <t>amar.ise24le@cmrit.ac.in</t>
  </si>
  <si>
    <t>chethan.ece24le@cmrit.ac.in</t>
  </si>
  <si>
    <t>bkeshava.ece24le@cmrit.ac.in</t>
  </si>
  <si>
    <t>dhanyasuresh.ise24le@cmrit.ac.in</t>
  </si>
  <si>
    <t>prajwal.ise24le@cmrit.ac.in</t>
  </si>
  <si>
    <t>kartikjayavant.ise24le@cmrit.ac.in</t>
  </si>
  <si>
    <t>anha23aiml@cmrit.ac.in</t>
  </si>
  <si>
    <t>sin23ainds@cmrit.ac.in</t>
  </si>
  <si>
    <t>biku23aiml@cmrit.ac.in</t>
  </si>
  <si>
    <t>umesh.ise24le@cmrit.ac.in</t>
  </si>
  <si>
    <t>ro23ise@cmrit.ac.in</t>
  </si>
  <si>
    <t>shashank.ece24le@cmrit.ac.in</t>
  </si>
  <si>
    <t>dhanunjay.ece24le@cmrit.ac.in</t>
  </si>
  <si>
    <t>para23ainds@cmrit.ac.in</t>
  </si>
  <si>
    <t>sachinkumar.aiml24le@cmrit.ac.in</t>
  </si>
  <si>
    <t>rinesh.aids24le@cmrit.ac.in</t>
  </si>
  <si>
    <t>darshan.ise24le@cmrit.ac.in</t>
  </si>
  <si>
    <t>aravindakumar.cse24le@cmrit.ac.in</t>
  </si>
  <si>
    <t>ullastc.ece24le@cmrit.ac.in</t>
  </si>
  <si>
    <t>sainath.cse24le@cmrit.ac.in</t>
  </si>
  <si>
    <t>syed.aiml24le@cmrit.ac.in</t>
  </si>
  <si>
    <t>divya.ece24le@cmrit.ac.in</t>
  </si>
  <si>
    <t>chud23ise@cmrit.ac.in</t>
  </si>
  <si>
    <t>nagaraja.cseaiml24le@cmrit.ac.in</t>
  </si>
  <si>
    <t>bharath.ece24le@cmrit.ac.in</t>
  </si>
  <si>
    <t>puneeth.cseaiml24le@cmrit.ac.in</t>
  </si>
  <si>
    <t>vikram.aiml24le@cmrit.ac.in</t>
  </si>
  <si>
    <t>yus23ainds@cmrit.ac.in</t>
  </si>
  <si>
    <t>vishwanath.cse24le@cmrit.ac.in</t>
  </si>
  <si>
    <t>sachin.cse24le@cmrit.ac.in</t>
  </si>
  <si>
    <t>kavya.cse24le@cmrit.ac.in</t>
  </si>
  <si>
    <t>akash.ece24le@cmrit.ac.in</t>
  </si>
  <si>
    <t>prashant.ece24le@cmrit.ac.in</t>
  </si>
  <si>
    <t>sakeeb.ise24le@cmrit.ac.in</t>
  </si>
  <si>
    <t>karankumar.aids24le@cmrit.ac.in</t>
  </si>
  <si>
    <t>harshavardhan.cseaiml24le@cmrit.ac.in</t>
  </si>
  <si>
    <t>nithina.ece24le@cmrit.ac.in</t>
  </si>
  <si>
    <t>momn23ainds@cmrit.ac.in</t>
  </si>
  <si>
    <t>umesha.ise24le@cmrit.ac.in</t>
  </si>
  <si>
    <t>adityanagaraj.cse24le@cmrit.ac.in</t>
  </si>
  <si>
    <t>chaithra.ece24le@cmrit.ac.in</t>
  </si>
  <si>
    <t>sowmya.cse24le@cmrit.ac.in</t>
  </si>
  <si>
    <t>vikas.cseds24le@cmrit.ac.in</t>
  </si>
  <si>
    <t>udayakiran.ece24le@cmrit.ac.in</t>
  </si>
  <si>
    <t>sumantha.ise24le@cmrit.ac.in</t>
  </si>
  <si>
    <t>prashant.aids24le@cmrit.ac.in</t>
  </si>
  <si>
    <t>cldeekshitha.ise24le@cmrit.ac.in</t>
  </si>
  <si>
    <t>sushmitha.ise24le@cmrit.ac.in</t>
  </si>
  <si>
    <t>aishwarya.cseaiml24le@cmrit.ac.in</t>
  </si>
  <si>
    <t>ligo23cs@cmrit.ac.in</t>
  </si>
  <si>
    <t>sukt23ece@cmrit.ac.in</t>
  </si>
  <si>
    <t>arr23ainds@cmrit.ac.in</t>
  </si>
  <si>
    <t>popa23ece@cmrit.ac.in</t>
  </si>
  <si>
    <t>jeb23cs@cmrit.ac.in</t>
  </si>
  <si>
    <t>raga23aiml@cmrit.ac.in</t>
  </si>
  <si>
    <t>krth23ece@cmrit.ac.in</t>
  </si>
  <si>
    <t>anba23csaiml@cmrit.ac.in</t>
  </si>
  <si>
    <t>shsu23csaiml@cmrit.ac.in</t>
  </si>
  <si>
    <t>msr23cs@cmrit.ac.in</t>
  </si>
  <si>
    <t>kama23ece@cmrit.ac.in</t>
  </si>
  <si>
    <t>kaga23ece@cmrit.ac.in</t>
  </si>
  <si>
    <t>kcin23ece@cmrit.ac.in</t>
  </si>
  <si>
    <t>kivr23cs@cmrit.ac.in</t>
  </si>
  <si>
    <t>gor23ise@cmrit.ac.in</t>
  </si>
  <si>
    <t>akyo23csds@cmrit.ac.in</t>
  </si>
  <si>
    <t>kakn23ece@cmrit.ac.in</t>
  </si>
  <si>
    <t>1CR23CS001</t>
  </si>
  <si>
    <t>1CR23CS002</t>
  </si>
  <si>
    <t>1CR23CS003</t>
  </si>
  <si>
    <t>1CR23CS004</t>
  </si>
  <si>
    <t>1CR23CS005</t>
  </si>
  <si>
    <t>1CR23CS006</t>
  </si>
  <si>
    <t>Overall pass % across all brances = 43%</t>
  </si>
  <si>
    <t>1CR23CS007</t>
  </si>
  <si>
    <t>1CR23CS008</t>
  </si>
  <si>
    <t>1CR23CS009</t>
  </si>
  <si>
    <t>1CR23CS010</t>
  </si>
  <si>
    <t>1CR23CS011</t>
  </si>
  <si>
    <t>1CR23CS012</t>
  </si>
  <si>
    <t>1CR23CS013</t>
  </si>
  <si>
    <t>1CR23CS014</t>
  </si>
  <si>
    <t>1CR23CS015</t>
  </si>
  <si>
    <t>1CR23CS016</t>
  </si>
  <si>
    <t>1CR23CS017</t>
  </si>
  <si>
    <t>1CR23CS018</t>
  </si>
  <si>
    <t>1CR23CS019</t>
  </si>
  <si>
    <t>1CR23CS020</t>
  </si>
  <si>
    <t>1CR23CS021</t>
  </si>
  <si>
    <t>1CR23CS022</t>
  </si>
  <si>
    <t>1CR23CS023</t>
  </si>
  <si>
    <t>1CR23CS024</t>
  </si>
  <si>
    <t>1CR23CS025</t>
  </si>
  <si>
    <t>1CR23CS026</t>
  </si>
  <si>
    <t>1CR23CS027</t>
  </si>
  <si>
    <t>1CR23CS028</t>
  </si>
  <si>
    <t>1CR23CS029</t>
  </si>
  <si>
    <t>1CR23CS030</t>
  </si>
  <si>
    <t>1CR23CS031</t>
  </si>
  <si>
    <t>1CR23CS032</t>
  </si>
  <si>
    <t>1CR23CS033</t>
  </si>
  <si>
    <t>1CR23CS034</t>
  </si>
  <si>
    <t>1CR23CS035</t>
  </si>
  <si>
    <t>1CR23CS036</t>
  </si>
  <si>
    <t>1CR23CS037</t>
  </si>
  <si>
    <t>1CR23CS038</t>
  </si>
  <si>
    <t>1CR23CS039</t>
  </si>
  <si>
    <t>1CR23CS040</t>
  </si>
  <si>
    <t>1CR23CS041</t>
  </si>
  <si>
    <t>1CR23CS042</t>
  </si>
  <si>
    <t>1CR23CS043</t>
  </si>
  <si>
    <t>1CR23CS044</t>
  </si>
  <si>
    <t>1CR23CS045</t>
  </si>
  <si>
    <t>1CR23CS046</t>
  </si>
  <si>
    <t>1CR23CS047</t>
  </si>
  <si>
    <t>1CR23CS048</t>
  </si>
  <si>
    <t>1CR23CS049</t>
  </si>
  <si>
    <t>1CR23CS050</t>
  </si>
  <si>
    <t>1CR23CS051</t>
  </si>
  <si>
    <t>1CR23CS052</t>
  </si>
  <si>
    <t>1CR23CS053</t>
  </si>
  <si>
    <t>1CR23CS054</t>
  </si>
  <si>
    <t>1CR23CS055</t>
  </si>
  <si>
    <t>1CR23CS056</t>
  </si>
  <si>
    <t>1CR23CS057</t>
  </si>
  <si>
    <t>1CR23CS058</t>
  </si>
  <si>
    <t>1CR23CS059</t>
  </si>
  <si>
    <t>1CR23CS060</t>
  </si>
  <si>
    <t>1CR23CS061</t>
  </si>
  <si>
    <t>1CR23CS062</t>
  </si>
  <si>
    <t>1CR23CS063</t>
  </si>
  <si>
    <t>1CR23CS064</t>
  </si>
  <si>
    <t>1CR23CS065</t>
  </si>
  <si>
    <t>1CR23CS066</t>
  </si>
  <si>
    <t>1CR23CS067</t>
  </si>
  <si>
    <t>1CR23CS068</t>
  </si>
  <si>
    <t>1CR23CS069</t>
  </si>
  <si>
    <t>1CR23CS070</t>
  </si>
  <si>
    <t>1CR23CS071</t>
  </si>
  <si>
    <t>1CR23CS072</t>
  </si>
  <si>
    <t>1CR23CS073</t>
  </si>
  <si>
    <t>1CR23CS074</t>
  </si>
  <si>
    <t>1CR23CS075</t>
  </si>
  <si>
    <t>1CR23CS076</t>
  </si>
  <si>
    <t>1CR23CS077</t>
  </si>
  <si>
    <t>1CR23CS078</t>
  </si>
  <si>
    <t>1CR23CS079</t>
  </si>
  <si>
    <t>1CR23CS080</t>
  </si>
  <si>
    <t>1CR23CS081</t>
  </si>
  <si>
    <t>1CR23CS082</t>
  </si>
  <si>
    <t>1CR23CS083</t>
  </si>
  <si>
    <t>1CR23CS084</t>
  </si>
  <si>
    <t>1CR23CS085</t>
  </si>
  <si>
    <t>1CR23CS086</t>
  </si>
  <si>
    <t>1CR23CS087</t>
  </si>
  <si>
    <t>1CR23CS088</t>
  </si>
  <si>
    <t>1CR23CS089</t>
  </si>
  <si>
    <t>1CR23CS090</t>
  </si>
  <si>
    <t>1CR23CS091</t>
  </si>
  <si>
    <t>1CR23CS092</t>
  </si>
  <si>
    <t>1CR23CS093</t>
  </si>
  <si>
    <t>1CR23CS094</t>
  </si>
  <si>
    <t>1CR23CS095</t>
  </si>
  <si>
    <t>1CR23CS096</t>
  </si>
  <si>
    <t>1CR23CS097</t>
  </si>
  <si>
    <t>1CR23CS098</t>
  </si>
  <si>
    <t>1CR23CS099</t>
  </si>
  <si>
    <t>1CR23CS100</t>
  </si>
  <si>
    <t>1CR23CS101</t>
  </si>
  <si>
    <t>1CR23CS102</t>
  </si>
  <si>
    <t>1CR23CS103</t>
  </si>
  <si>
    <t>1CR23CS104</t>
  </si>
  <si>
    <t>1CR23CS105</t>
  </si>
  <si>
    <t>1CR23CS106</t>
  </si>
  <si>
    <t>1CR23CS107</t>
  </si>
  <si>
    <t>1CR23CS108</t>
  </si>
  <si>
    <t>1CR23CS109</t>
  </si>
  <si>
    <t>1CR23CS110</t>
  </si>
  <si>
    <t>1CR23CS111</t>
  </si>
  <si>
    <t>1CR23CS112</t>
  </si>
  <si>
    <t>1CR23CS113</t>
  </si>
  <si>
    <t>1CR23CS114</t>
  </si>
  <si>
    <t>FAIL</t>
  </si>
  <si>
    <t>1CR23CS115</t>
  </si>
  <si>
    <t>1CR23CS116</t>
  </si>
  <si>
    <t>1CR23CS117</t>
  </si>
  <si>
    <t>1CR23CS118</t>
  </si>
  <si>
    <t>1CR23CS119</t>
  </si>
  <si>
    <t>1CR23CS120</t>
  </si>
  <si>
    <t>1CR23CS121</t>
  </si>
  <si>
    <t>1CR23CS122</t>
  </si>
  <si>
    <t>1CR23CS123</t>
  </si>
  <si>
    <t>1CR23CS124</t>
  </si>
  <si>
    <t>1CR23CS125</t>
  </si>
  <si>
    <t>1CR23CS126</t>
  </si>
  <si>
    <t>1CR23CS127</t>
  </si>
  <si>
    <t>1CR23CS128</t>
  </si>
  <si>
    <t>1CR23CS129</t>
  </si>
  <si>
    <t>1CR23CS130</t>
  </si>
  <si>
    <t>1CR23CS131</t>
  </si>
  <si>
    <t>1CR23CS132</t>
  </si>
  <si>
    <t>1CR23CS133</t>
  </si>
  <si>
    <t>1CR23CS134</t>
  </si>
  <si>
    <t>1CR23CS135</t>
  </si>
  <si>
    <t>1CR23CS136</t>
  </si>
  <si>
    <t>1CR23CS137</t>
  </si>
  <si>
    <t>1CR23CS138</t>
  </si>
  <si>
    <t>1CR23CS139</t>
  </si>
  <si>
    <t>1CR23CS140</t>
  </si>
  <si>
    <t>1CR23CS141</t>
  </si>
  <si>
    <t>1CR23CS142</t>
  </si>
  <si>
    <t>1CR23CS143</t>
  </si>
  <si>
    <t>1CR23CS144</t>
  </si>
  <si>
    <t>1CR23CS145</t>
  </si>
  <si>
    <t>1CR23CS146</t>
  </si>
  <si>
    <t>1CR23CS147</t>
  </si>
  <si>
    <t>1CR23CS148</t>
  </si>
  <si>
    <t>1CR23CS149</t>
  </si>
  <si>
    <t>1CR23CS150</t>
  </si>
  <si>
    <t>1CR23CS151</t>
  </si>
  <si>
    <t>1CR23CS152</t>
  </si>
  <si>
    <t>1CR23CS153</t>
  </si>
  <si>
    <t>1CR23CS154</t>
  </si>
  <si>
    <t>1CR23CS155</t>
  </si>
  <si>
    <t>1CR23CS156</t>
  </si>
  <si>
    <t>1CR23CS157</t>
  </si>
  <si>
    <t>1CR23CS158</t>
  </si>
  <si>
    <t>1CR23CS159</t>
  </si>
  <si>
    <t>1CR23CS160</t>
  </si>
  <si>
    <t>1CR23CS161</t>
  </si>
  <si>
    <t>1CR23CS162</t>
  </si>
  <si>
    <t>1CR23CS163</t>
  </si>
  <si>
    <t>1CR23CS164</t>
  </si>
  <si>
    <t>1CR23CS165</t>
  </si>
  <si>
    <t>1CR23CS166</t>
  </si>
  <si>
    <t>1CR23CS167</t>
  </si>
  <si>
    <t>1CR23CS168</t>
  </si>
  <si>
    <t>1CR23CS169</t>
  </si>
  <si>
    <t>1CR23CS170</t>
  </si>
  <si>
    <t>1CR23CS171</t>
  </si>
  <si>
    <t>1CR23CS172</t>
  </si>
  <si>
    <t>1CR23CS173</t>
  </si>
  <si>
    <t>1CR23CS174</t>
  </si>
  <si>
    <t>1CR23CS175</t>
  </si>
  <si>
    <t>1CR23CS176</t>
  </si>
  <si>
    <t>1CR23CS177</t>
  </si>
  <si>
    <t>1CR23CS178</t>
  </si>
  <si>
    <t>1CR23CS179</t>
  </si>
  <si>
    <t>1CR23CS180</t>
  </si>
  <si>
    <t>1CR23CS181</t>
  </si>
  <si>
    <t>1CR23CS182</t>
  </si>
  <si>
    <t>1CR23CS183</t>
  </si>
  <si>
    <t>1CR23CS184</t>
  </si>
  <si>
    <t>1CR23CS185</t>
  </si>
  <si>
    <t>1CR23CS186</t>
  </si>
  <si>
    <t>1CR23CS187</t>
  </si>
  <si>
    <t>1CR23CS188</t>
  </si>
  <si>
    <t>1CR23CS189</t>
  </si>
  <si>
    <t>1CR23CS190</t>
  </si>
  <si>
    <t>1CR23CS191</t>
  </si>
  <si>
    <t>1CR23CS192</t>
  </si>
  <si>
    <t>1CR23CS193</t>
  </si>
  <si>
    <t>1CR23CS194</t>
  </si>
  <si>
    <t>1CR23CS195</t>
  </si>
  <si>
    <t>1CR23CS196</t>
  </si>
  <si>
    <t>1CR23CS197</t>
  </si>
  <si>
    <t>1CR23CS198</t>
  </si>
  <si>
    <t>1CR23CS199</t>
  </si>
  <si>
    <t>1CR23CS200</t>
  </si>
  <si>
    <t>1CR23CS201</t>
  </si>
  <si>
    <t>1CR23CS202</t>
  </si>
  <si>
    <t>1CR23CS203</t>
  </si>
  <si>
    <t>1CR23CS204</t>
  </si>
  <si>
    <t>1CR23CS205</t>
  </si>
  <si>
    <t>1CR23CS206</t>
  </si>
  <si>
    <t>1CR23CS207</t>
  </si>
  <si>
    <t>1CR23CS208</t>
  </si>
  <si>
    <t>1CR23CS209</t>
  </si>
  <si>
    <t>1CR23CS210</t>
  </si>
  <si>
    <t>1CR23CS211</t>
  </si>
  <si>
    <t>1CR23CS212</t>
  </si>
  <si>
    <t>1CR23CS213</t>
  </si>
  <si>
    <t>1CR23CS214</t>
  </si>
  <si>
    <t>1CR23CS215</t>
  </si>
  <si>
    <t>1CR23CS216</t>
  </si>
  <si>
    <t>1CR23CS217</t>
  </si>
  <si>
    <t>1CR23CS218</t>
  </si>
  <si>
    <t>1CR23CS219</t>
  </si>
  <si>
    <t>1CR23CS220</t>
  </si>
  <si>
    <t>1CR24CS416</t>
  </si>
  <si>
    <t>1CR24CS408</t>
  </si>
  <si>
    <t>1CR24CS413</t>
  </si>
  <si>
    <t>1CR24CS400</t>
  </si>
  <si>
    <t>1CR24CS402</t>
  </si>
  <si>
    <t>1CR24CS405</t>
  </si>
  <si>
    <t>1CR24CS403</t>
  </si>
  <si>
    <t>1CR24CS409</t>
  </si>
  <si>
    <t>1CR24CS404</t>
  </si>
  <si>
    <t>1CR24CS417</t>
  </si>
  <si>
    <t>1CR24CS401</t>
  </si>
  <si>
    <t>1CR24CS414</t>
  </si>
  <si>
    <t>1CR24CS410</t>
  </si>
  <si>
    <t>1CR24CS412</t>
  </si>
  <si>
    <t>1CR24CS406</t>
  </si>
  <si>
    <t>1CR24CS415</t>
  </si>
  <si>
    <t>1CR24CS407</t>
  </si>
  <si>
    <t>1CR24CS411</t>
  </si>
  <si>
    <t>1CR22CS194</t>
  </si>
  <si>
    <t>1CR22CS094</t>
  </si>
  <si>
    <t>1CR22CS209</t>
  </si>
  <si>
    <t>1CR23EC001</t>
  </si>
  <si>
    <t>1CR23EC002</t>
  </si>
  <si>
    <t>1CR23EC003</t>
  </si>
  <si>
    <t>1CR23EC004</t>
  </si>
  <si>
    <t>1CR23EC005</t>
  </si>
  <si>
    <t>1CR23EC006</t>
  </si>
  <si>
    <t>1CR23EC007</t>
  </si>
  <si>
    <t>1CR23EC008</t>
  </si>
  <si>
    <t>1CR23EC009</t>
  </si>
  <si>
    <t>1CR23EC010</t>
  </si>
  <si>
    <t>1CR23EC011</t>
  </si>
  <si>
    <t>1CR23EC012</t>
  </si>
  <si>
    <t>1CR23EC013</t>
  </si>
  <si>
    <t>1CR23EC014</t>
  </si>
  <si>
    <t>1CR23EC015</t>
  </si>
  <si>
    <t>1CR23EC016</t>
  </si>
  <si>
    <t>1CR23EC017</t>
  </si>
  <si>
    <t>1CR23EC018</t>
  </si>
  <si>
    <t>1CR23EC019</t>
  </si>
  <si>
    <t>1CR23EC020</t>
  </si>
  <si>
    <t>1CR23EC021</t>
  </si>
  <si>
    <t>1CR23EC022</t>
  </si>
  <si>
    <t>1CR23EC023</t>
  </si>
  <si>
    <t>1CR23EC024</t>
  </si>
  <si>
    <t>1CR23EC025</t>
  </si>
  <si>
    <t>1CR23EC026</t>
  </si>
  <si>
    <t>1CR23EC027</t>
  </si>
  <si>
    <t>1CR23EC028</t>
  </si>
  <si>
    <t>1CR23EC029</t>
  </si>
  <si>
    <t>1CR23EC030</t>
  </si>
  <si>
    <t>1CR23EC031</t>
  </si>
  <si>
    <t>1CR23EC032</t>
  </si>
  <si>
    <t>1CR23EC033</t>
  </si>
  <si>
    <t>1CR23EC034</t>
  </si>
  <si>
    <t>1CR23EC035</t>
  </si>
  <si>
    <t>1CR23EC036</t>
  </si>
  <si>
    <t>1CR23EC037</t>
  </si>
  <si>
    <t>1CR23EC038</t>
  </si>
  <si>
    <t>1CR23EC039</t>
  </si>
  <si>
    <t>1CR23EC040</t>
  </si>
  <si>
    <t>1CR23EC041</t>
  </si>
  <si>
    <t>1CR23EC042</t>
  </si>
  <si>
    <t>1CR23EC043</t>
  </si>
  <si>
    <t>1CR23EC044</t>
  </si>
  <si>
    <t>1CR23EC045</t>
  </si>
  <si>
    <t>1CR23EC046</t>
  </si>
  <si>
    <t>1CR23EC047</t>
  </si>
  <si>
    <t>1CR23EC048</t>
  </si>
  <si>
    <t>1CR23EC049</t>
  </si>
  <si>
    <t>1CR23EC050</t>
  </si>
  <si>
    <t>1CR23EC051</t>
  </si>
  <si>
    <t>1CR23EC052</t>
  </si>
  <si>
    <t>1CR23EC053</t>
  </si>
  <si>
    <t>1CR23EC054</t>
  </si>
  <si>
    <t>1CR23EC055</t>
  </si>
  <si>
    <t>1CR23EC056</t>
  </si>
  <si>
    <t>1CR23EC057</t>
  </si>
  <si>
    <t>1CR23EC058</t>
  </si>
  <si>
    <t>1CR23EC059</t>
  </si>
  <si>
    <t>1CR23EC060</t>
  </si>
  <si>
    <t>1CR23EC061</t>
  </si>
  <si>
    <t>1CR23EC062</t>
  </si>
  <si>
    <t>1CR23EC063</t>
  </si>
  <si>
    <t>1CR23EC064</t>
  </si>
  <si>
    <t>1CR23EC065</t>
  </si>
  <si>
    <t>1CR23EC066</t>
  </si>
  <si>
    <t>1CR23EC067</t>
  </si>
  <si>
    <t>1CR23EC068</t>
  </si>
  <si>
    <t>1CR23EC069</t>
  </si>
  <si>
    <t>1CR23EC070</t>
  </si>
  <si>
    <t>1CR23EC071</t>
  </si>
  <si>
    <t>1CR23EC072</t>
  </si>
  <si>
    <t>1CR23EC073</t>
  </si>
  <si>
    <t>1CR23EC074</t>
  </si>
  <si>
    <t>1CR23EC075</t>
  </si>
  <si>
    <t>1CR23EC076</t>
  </si>
  <si>
    <t>1CR23EC077</t>
  </si>
  <si>
    <t>1CR23EC078</t>
  </si>
  <si>
    <t>1CR23EC079</t>
  </si>
  <si>
    <t>1CR23EC080</t>
  </si>
  <si>
    <t>1CR23EC081</t>
  </si>
  <si>
    <t>1CR23EC082</t>
  </si>
  <si>
    <t>1CR23EC083</t>
  </si>
  <si>
    <t>1CR23EC084</t>
  </si>
  <si>
    <t>1CR23EC085</t>
  </si>
  <si>
    <t>1CR23EC086</t>
  </si>
  <si>
    <t>1CR23EC087</t>
  </si>
  <si>
    <t>1CR23EC088</t>
  </si>
  <si>
    <t>1CR23EC089</t>
  </si>
  <si>
    <t>1CR23EC090</t>
  </si>
  <si>
    <t>1CR23EC091</t>
  </si>
  <si>
    <t>1CR23EC092</t>
  </si>
  <si>
    <t>1CR23EC093</t>
  </si>
  <si>
    <t>1CR23EC094</t>
  </si>
  <si>
    <t>1CR23EC095</t>
  </si>
  <si>
    <t>1CR23EC096</t>
  </si>
  <si>
    <t>1CR23EC097</t>
  </si>
  <si>
    <t>1CR23EC098</t>
  </si>
  <si>
    <t>1CR23EC099</t>
  </si>
  <si>
    <t>1CR23EC100</t>
  </si>
  <si>
    <t>1CR23EC101</t>
  </si>
  <si>
    <t>1CR23EC102</t>
  </si>
  <si>
    <t>1CR23EC103</t>
  </si>
  <si>
    <t>1CR23EC104</t>
  </si>
  <si>
    <t>1CR23EC105</t>
  </si>
  <si>
    <t>1CR23EC106</t>
  </si>
  <si>
    <t>1CR23EC107</t>
  </si>
  <si>
    <t>1CR23EC108</t>
  </si>
  <si>
    <t>1CR23EC109</t>
  </si>
  <si>
    <t>1CR23EC110</t>
  </si>
  <si>
    <t>1CR23EC111</t>
  </si>
  <si>
    <t>1CR23EC112</t>
  </si>
  <si>
    <t>1CR23EC113</t>
  </si>
  <si>
    <t>1CR23EC114</t>
  </si>
  <si>
    <t>1CR23EC115</t>
  </si>
  <si>
    <t>1CR23EC116</t>
  </si>
  <si>
    <t>1CR23EC117</t>
  </si>
  <si>
    <t>1CR23EC118</t>
  </si>
  <si>
    <t>1CR23EC119</t>
  </si>
  <si>
    <t>1CR23EC120</t>
  </si>
  <si>
    <t>1CR23EC121</t>
  </si>
  <si>
    <t>1CR23EC122</t>
  </si>
  <si>
    <t>1CR23EC123</t>
  </si>
  <si>
    <t>1CR23EC124</t>
  </si>
  <si>
    <t>1CR23EC125</t>
  </si>
  <si>
    <t>1CR23EC126</t>
  </si>
  <si>
    <t>1CR23EC127</t>
  </si>
  <si>
    <t>1CR23EC128</t>
  </si>
  <si>
    <t>1CR23EC129</t>
  </si>
  <si>
    <t>1CR23EC130</t>
  </si>
  <si>
    <t>1CR23EC131</t>
  </si>
  <si>
    <t>1CR23EC132</t>
  </si>
  <si>
    <t>1CR23EC133</t>
  </si>
  <si>
    <t>1CR23EC134</t>
  </si>
  <si>
    <t>1CR23EC135</t>
  </si>
  <si>
    <t>1CR23EC136</t>
  </si>
  <si>
    <t>1CR23EC137</t>
  </si>
  <si>
    <t>1CR23EC138</t>
  </si>
  <si>
    <t>1CR23EC139</t>
  </si>
  <si>
    <t>1CR23EC140</t>
  </si>
  <si>
    <t>1CR23EC141</t>
  </si>
  <si>
    <t>1CR23EC142</t>
  </si>
  <si>
    <t>1CR23EC143</t>
  </si>
  <si>
    <t>1CR23EC144</t>
  </si>
  <si>
    <t>1CR23EC145</t>
  </si>
  <si>
    <t>1CR23EC146</t>
  </si>
  <si>
    <t>1CR23EC147</t>
  </si>
  <si>
    <t>1CR23EC148</t>
  </si>
  <si>
    <t>1CR23EC149</t>
  </si>
  <si>
    <t>1CR23EC150</t>
  </si>
  <si>
    <t>1CR23EC151</t>
  </si>
  <si>
    <t>1CR23EC152</t>
  </si>
  <si>
    <t>1CR23EC153</t>
  </si>
  <si>
    <t>1CR23EC154</t>
  </si>
  <si>
    <t>1CR23EC155</t>
  </si>
  <si>
    <t>1CR23EC156</t>
  </si>
  <si>
    <t>1CR23EC157</t>
  </si>
  <si>
    <t>1CR23EC158</t>
  </si>
  <si>
    <t>1CR23EC159</t>
  </si>
  <si>
    <t>1CR23EC160</t>
  </si>
  <si>
    <t>1CR23EC161</t>
  </si>
  <si>
    <t>1CR23EC162</t>
  </si>
  <si>
    <t>1CR23EC163</t>
  </si>
  <si>
    <t>1CR23EC164</t>
  </si>
  <si>
    <t>1CR23EC165</t>
  </si>
  <si>
    <t>1CR23EC166</t>
  </si>
  <si>
    <t>1CR23EC167</t>
  </si>
  <si>
    <t>1CR23EC168</t>
  </si>
  <si>
    <t>1CR23EC169</t>
  </si>
  <si>
    <t>1CR23EC170</t>
  </si>
  <si>
    <t>1CR23EC171</t>
  </si>
  <si>
    <t>1CR23EC172</t>
  </si>
  <si>
    <t>1CR23EC173</t>
  </si>
  <si>
    <t>1CR23EC174</t>
  </si>
  <si>
    <t>1CR23EC175</t>
  </si>
  <si>
    <t>1CR23EC176</t>
  </si>
  <si>
    <t>1CR23EC177</t>
  </si>
  <si>
    <t>1CR23EC178</t>
  </si>
  <si>
    <t>1CR23EC179</t>
  </si>
  <si>
    <t>1CR23EC180</t>
  </si>
  <si>
    <t>1CR23EC181</t>
  </si>
  <si>
    <t>1CR23EC182</t>
  </si>
  <si>
    <t>1CR23EC183</t>
  </si>
  <si>
    <t>1CR23EC184</t>
  </si>
  <si>
    <t>1CR23EC185</t>
  </si>
  <si>
    <t>1CR23EC186</t>
  </si>
  <si>
    <t>1CR23EC187</t>
  </si>
  <si>
    <t>1CR23EC188</t>
  </si>
  <si>
    <t>1CR23EC189</t>
  </si>
  <si>
    <t>1CR23EC190</t>
  </si>
  <si>
    <t>1CR23EC191</t>
  </si>
  <si>
    <t>1CR23EC192</t>
  </si>
  <si>
    <t>1CR23EC193</t>
  </si>
  <si>
    <t>1CR23EC194</t>
  </si>
  <si>
    <t>1CR23EC195</t>
  </si>
  <si>
    <t>1CR23EC196</t>
  </si>
  <si>
    <t>1CR23EC197</t>
  </si>
  <si>
    <t>1CR23EC198</t>
  </si>
  <si>
    <t>1CR23EC199</t>
  </si>
  <si>
    <t>1CR23EC200</t>
  </si>
  <si>
    <t>1CR23EC201</t>
  </si>
  <si>
    <t>1CR23EC202</t>
  </si>
  <si>
    <t>1CR23EC203</t>
  </si>
  <si>
    <t>1CR23EC204</t>
  </si>
  <si>
    <t>1CR23EC205</t>
  </si>
  <si>
    <t>1CR23EC206</t>
  </si>
  <si>
    <t>1CR23EC207</t>
  </si>
  <si>
    <t>1CR23EC208</t>
  </si>
  <si>
    <t>1CR23EC209</t>
  </si>
  <si>
    <t>1CR23EC210</t>
  </si>
  <si>
    <t>1CR23EC211</t>
  </si>
  <si>
    <t>1CR23EC212</t>
  </si>
  <si>
    <t>1CR23EC213</t>
  </si>
  <si>
    <t>1CR23EC214</t>
  </si>
  <si>
    <t>1CR23EC215</t>
  </si>
  <si>
    <t>1CR23EC216</t>
  </si>
  <si>
    <t>1CR23EC217</t>
  </si>
  <si>
    <t>1CR23EC218</t>
  </si>
  <si>
    <t>1CR23EC219</t>
  </si>
  <si>
    <t>1CR23EC220</t>
  </si>
  <si>
    <t>1CR23EC221</t>
  </si>
  <si>
    <t>1CR23EC222</t>
  </si>
  <si>
    <t>1CR23EC223</t>
  </si>
  <si>
    <t>1CR23EC224</t>
  </si>
  <si>
    <t>1CR23EC225</t>
  </si>
  <si>
    <t>1CR23EC226</t>
  </si>
  <si>
    <t>1CR23EC227</t>
  </si>
  <si>
    <t>1CR23EC228</t>
  </si>
  <si>
    <t>1CR23EC229</t>
  </si>
  <si>
    <t>1CR23EC230</t>
  </si>
  <si>
    <t>1CR23EC231</t>
  </si>
  <si>
    <t>1CR23EC232</t>
  </si>
  <si>
    <t>1CR23EC233</t>
  </si>
  <si>
    <t>1CR23EC234</t>
  </si>
  <si>
    <t>1CR23EC235</t>
  </si>
  <si>
    <t>1CR23EC236</t>
  </si>
  <si>
    <t>1CR23EC237</t>
  </si>
  <si>
    <t>1CR23EC238</t>
  </si>
  <si>
    <t>1CR23EC239</t>
  </si>
  <si>
    <t>1CR23EC240</t>
  </si>
  <si>
    <t>1CR23EC241</t>
  </si>
  <si>
    <t>1CR23EC242</t>
  </si>
  <si>
    <t>1CR23EC243</t>
  </si>
  <si>
    <t>1CR23EC244</t>
  </si>
  <si>
    <t>1CR23EC245</t>
  </si>
  <si>
    <t>1CR23EC246</t>
  </si>
  <si>
    <t>1CR23EC247</t>
  </si>
  <si>
    <t>1CR23EC248</t>
  </si>
  <si>
    <t>1CR23EC249</t>
  </si>
  <si>
    <t>1CR23EC250</t>
  </si>
  <si>
    <t>1CR23EC251</t>
  </si>
  <si>
    <t>1CR23EC252</t>
  </si>
  <si>
    <t>1CR23EC253</t>
  </si>
  <si>
    <t>1CR23EC254</t>
  </si>
  <si>
    <t>1CR23EC255</t>
  </si>
  <si>
    <t>1CR22EC082</t>
  </si>
  <si>
    <t>1CR24EC401</t>
  </si>
  <si>
    <t>1CR24EC403</t>
  </si>
  <si>
    <t>1CR24EC404</t>
  </si>
  <si>
    <t>1CR24EC408</t>
  </si>
  <si>
    <t>1CR24EC410</t>
  </si>
  <si>
    <t>1CR24EC402</t>
  </si>
  <si>
    <t>1CR24EC423</t>
  </si>
  <si>
    <t>1CR24EC407</t>
  </si>
  <si>
    <t>1CR24EC405</t>
  </si>
  <si>
    <t>1CR24EC409</t>
  </si>
  <si>
    <t>1CR24EC400</t>
  </si>
  <si>
    <t>1CR24EC406</t>
  </si>
  <si>
    <t>1CR24EC412</t>
  </si>
  <si>
    <t>1CR24EC413</t>
  </si>
  <si>
    <t>1CR24EC416</t>
  </si>
  <si>
    <t>1CR24EC411</t>
  </si>
  <si>
    <t>1CR24EC414</t>
  </si>
  <si>
    <t>1CR24EC421</t>
  </si>
  <si>
    <t>1CR24EC422</t>
  </si>
  <si>
    <t>Tanuja</t>
  </si>
  <si>
    <t>1CR24EC418</t>
  </si>
  <si>
    <t>1CR24EC417</t>
  </si>
  <si>
    <t>1CR23IS001</t>
  </si>
  <si>
    <t>1CR23IS002</t>
  </si>
  <si>
    <t>1CR23IS003</t>
  </si>
  <si>
    <t>1CR23IS004</t>
  </si>
  <si>
    <t>1CR23IS005</t>
  </si>
  <si>
    <t>1CR23IS006</t>
  </si>
  <si>
    <t>1CR23IS007</t>
  </si>
  <si>
    <t>1CR23IS008</t>
  </si>
  <si>
    <t>1CR23IS009</t>
  </si>
  <si>
    <t>1CR23IS010</t>
  </si>
  <si>
    <t>1CR23IS011</t>
  </si>
  <si>
    <t>1CR23IS012</t>
  </si>
  <si>
    <t>1CR23IS013</t>
  </si>
  <si>
    <t>1CR23IS014</t>
  </si>
  <si>
    <t>1CR23IS015</t>
  </si>
  <si>
    <t>1CR23IS016</t>
  </si>
  <si>
    <t>1CR23IS017</t>
  </si>
  <si>
    <t>1CR23IS018</t>
  </si>
  <si>
    <t>1CR23IS019</t>
  </si>
  <si>
    <t>1CR23IS020</t>
  </si>
  <si>
    <t>1CR23IS021</t>
  </si>
  <si>
    <t>1CR23IS022</t>
  </si>
  <si>
    <t>1CR23IS023</t>
  </si>
  <si>
    <t>1CR23IS024</t>
  </si>
  <si>
    <t>1CR23IS025</t>
  </si>
  <si>
    <t>1CR23IS026</t>
  </si>
  <si>
    <t>1CR23IS027</t>
  </si>
  <si>
    <t>1CR23IS028</t>
  </si>
  <si>
    <t>1CR23IS029</t>
  </si>
  <si>
    <t>1CR23IS030</t>
  </si>
  <si>
    <t>1CR23IS031</t>
  </si>
  <si>
    <t>1CR23IS032</t>
  </si>
  <si>
    <t>1CR23IS033</t>
  </si>
  <si>
    <t>1CR23IS034</t>
  </si>
  <si>
    <t>1CR23IS035</t>
  </si>
  <si>
    <t>1CR23IS036</t>
  </si>
  <si>
    <t>1CR23IS037</t>
  </si>
  <si>
    <t>1CR23IS038</t>
  </si>
  <si>
    <t>1CR23IS039</t>
  </si>
  <si>
    <t>1CR23IS040</t>
  </si>
  <si>
    <t>1CR23IS041</t>
  </si>
  <si>
    <t>1CR23IS042</t>
  </si>
  <si>
    <t>1CR23IS043</t>
  </si>
  <si>
    <t>1CR23IS044</t>
  </si>
  <si>
    <t>1CR23IS045</t>
  </si>
  <si>
    <t>1CR23IS046</t>
  </si>
  <si>
    <t>1CR23IS047</t>
  </si>
  <si>
    <t>1CR23IS048</t>
  </si>
  <si>
    <t>1CR23IS049</t>
  </si>
  <si>
    <t>1CR23IS050</t>
  </si>
  <si>
    <t>1CR23IS051</t>
  </si>
  <si>
    <t>1CR23IS052</t>
  </si>
  <si>
    <t>1CR23IS053</t>
  </si>
  <si>
    <t>1CR23IS054</t>
  </si>
  <si>
    <t>1CR23IS055</t>
  </si>
  <si>
    <t>1CR23IS056</t>
  </si>
  <si>
    <t>1CR23IS057</t>
  </si>
  <si>
    <t>1CR23IS058</t>
  </si>
  <si>
    <t>1CR23IS059</t>
  </si>
  <si>
    <t>1CR23IS060</t>
  </si>
  <si>
    <t>1CR23IS061</t>
  </si>
  <si>
    <t>1CR23IS062</t>
  </si>
  <si>
    <t>1CR23IS063</t>
  </si>
  <si>
    <t>1CR23IS064</t>
  </si>
  <si>
    <t>1CR23IS065</t>
  </si>
  <si>
    <t>1CR23IS066</t>
  </si>
  <si>
    <t>1CR23IS067</t>
  </si>
  <si>
    <t>1CR23IS068</t>
  </si>
  <si>
    <t>1CR23IS069</t>
  </si>
  <si>
    <t>1CR23IS070</t>
  </si>
  <si>
    <t>1CR23IS071</t>
  </si>
  <si>
    <t>1CR23IS072</t>
  </si>
  <si>
    <t>1CR23IS073</t>
  </si>
  <si>
    <t>1CR23IS074</t>
  </si>
  <si>
    <t>1CR23IS075</t>
  </si>
  <si>
    <t>1CR23IS076</t>
  </si>
  <si>
    <t>1CR23IS077</t>
  </si>
  <si>
    <t>1CR23IS078</t>
  </si>
  <si>
    <t>1CR23IS079</t>
  </si>
  <si>
    <t>1CR23IS080</t>
  </si>
  <si>
    <t>1CR23IS081</t>
  </si>
  <si>
    <t>1CR23IS082</t>
  </si>
  <si>
    <t>1CR23IS083</t>
  </si>
  <si>
    <t>1CR23IS084</t>
  </si>
  <si>
    <t>1CR23IS085</t>
  </si>
  <si>
    <t>1CR23IS086</t>
  </si>
  <si>
    <t>1CR23IS087</t>
  </si>
  <si>
    <t>1CR23IS088</t>
  </si>
  <si>
    <t>1CR23IS089</t>
  </si>
  <si>
    <t>1CR23IS090</t>
  </si>
  <si>
    <t>1CR23IS091</t>
  </si>
  <si>
    <t>1CR23IS092</t>
  </si>
  <si>
    <t>1CR23IS093</t>
  </si>
  <si>
    <t>1CR23IS094</t>
  </si>
  <si>
    <t>1CR23IS095</t>
  </si>
  <si>
    <t>1CR23IS096</t>
  </si>
  <si>
    <t>1CR23IS097</t>
  </si>
  <si>
    <t>1CR23IS098</t>
  </si>
  <si>
    <t>1CR23IS099</t>
  </si>
  <si>
    <t>1CR23IS100</t>
  </si>
  <si>
    <t>1CR23IS101</t>
  </si>
  <si>
    <t>1CR23IS102</t>
  </si>
  <si>
    <t>1CR23IS103</t>
  </si>
  <si>
    <t>1CR23IS104</t>
  </si>
  <si>
    <t>1CR23IS105</t>
  </si>
  <si>
    <t>1CR23IS106</t>
  </si>
  <si>
    <t>1CR23IS107</t>
  </si>
  <si>
    <t>1CR23IS108</t>
  </si>
  <si>
    <t>1CR23IS109</t>
  </si>
  <si>
    <t>1CR23IS110</t>
  </si>
  <si>
    <t>1CR23IS111</t>
  </si>
  <si>
    <t>1CR23IS112</t>
  </si>
  <si>
    <t>1CR23IS113</t>
  </si>
  <si>
    <t>1CR23IS114</t>
  </si>
  <si>
    <t>1CR23IS115</t>
  </si>
  <si>
    <t>1CR23IS116</t>
  </si>
  <si>
    <t>1CR23IS117</t>
  </si>
  <si>
    <t>1CR23IS118</t>
  </si>
  <si>
    <t>1CR23IS119</t>
  </si>
  <si>
    <t>1CR23IS120</t>
  </si>
  <si>
    <t>1CR23IS121</t>
  </si>
  <si>
    <t>1CR23IS122</t>
  </si>
  <si>
    <t>1CR23IS123</t>
  </si>
  <si>
    <t>1CR23IS124</t>
  </si>
  <si>
    <t>1CR23IS125</t>
  </si>
  <si>
    <t>1CR23IS126</t>
  </si>
  <si>
    <t>1CR23IS127</t>
  </si>
  <si>
    <t>1CR23IS128</t>
  </si>
  <si>
    <t>1CR23IS129</t>
  </si>
  <si>
    <t>1CR23IS130</t>
  </si>
  <si>
    <t>1CR23IS131</t>
  </si>
  <si>
    <t>1CR23IS132</t>
  </si>
  <si>
    <t>1CR23IS133</t>
  </si>
  <si>
    <t>1CR23IS134</t>
  </si>
  <si>
    <t>1CR23IS135</t>
  </si>
  <si>
    <t>1CR23IS136</t>
  </si>
  <si>
    <t>1CR23IS137</t>
  </si>
  <si>
    <t>1CR23IS138</t>
  </si>
  <si>
    <t>1CR23IS139</t>
  </si>
  <si>
    <t>1CR23IS140</t>
  </si>
  <si>
    <t>1CR23IS141</t>
  </si>
  <si>
    <t>1CR23IS142</t>
  </si>
  <si>
    <t>1CR23IS143</t>
  </si>
  <si>
    <t>1CR23IS144</t>
  </si>
  <si>
    <t>1CR23IS145</t>
  </si>
  <si>
    <t>1CR23IS146</t>
  </si>
  <si>
    <t>1CR23IS147</t>
  </si>
  <si>
    <t>1CR23IS148</t>
  </si>
  <si>
    <t>1CR23IS149</t>
  </si>
  <si>
    <t>1CR23IS150</t>
  </si>
  <si>
    <t>1CR23IS151</t>
  </si>
  <si>
    <t>1CR23IS152</t>
  </si>
  <si>
    <t>1CR23IS153</t>
  </si>
  <si>
    <t>1CR23IS154</t>
  </si>
  <si>
    <t>1CR23IS155</t>
  </si>
  <si>
    <t>1CR23IS156</t>
  </si>
  <si>
    <t>1CR23IS157</t>
  </si>
  <si>
    <t>1CR23IS158</t>
  </si>
  <si>
    <t>1CR23IS159</t>
  </si>
  <si>
    <t>1CR23IS160</t>
  </si>
  <si>
    <t>1CR23IS161</t>
  </si>
  <si>
    <t>1CR23IS162</t>
  </si>
  <si>
    <t>1CR23IS163</t>
  </si>
  <si>
    <t>1CR23IS164</t>
  </si>
  <si>
    <t>1CR23IS165</t>
  </si>
  <si>
    <t>1CR23IS166</t>
  </si>
  <si>
    <t>1CR23IS167</t>
  </si>
  <si>
    <t>1CR23IS168</t>
  </si>
  <si>
    <t>1CR23IS169</t>
  </si>
  <si>
    <t>1CR23IS170</t>
  </si>
  <si>
    <t>1CR23IS171</t>
  </si>
  <si>
    <t>1CR23IS172</t>
  </si>
  <si>
    <t>1CR23IS173</t>
  </si>
  <si>
    <t>1CR23IS174</t>
  </si>
  <si>
    <t>1CR23IS175</t>
  </si>
  <si>
    <t>1CR23IS176</t>
  </si>
  <si>
    <t>1CR23IS177</t>
  </si>
  <si>
    <t>1CR23IS178</t>
  </si>
  <si>
    <t>1CR23IS179</t>
  </si>
  <si>
    <t>1CR23IS180</t>
  </si>
  <si>
    <t>1CR23IS181</t>
  </si>
  <si>
    <t>1CR23IS182</t>
  </si>
  <si>
    <t>1CR23IS183</t>
  </si>
  <si>
    <t>1CR23IS184</t>
  </si>
  <si>
    <t>1CR23IS185</t>
  </si>
  <si>
    <t>1CR23IS186</t>
  </si>
  <si>
    <t>1CR23IS187</t>
  </si>
  <si>
    <t>1CR23IS188</t>
  </si>
  <si>
    <t>1CR23IS189</t>
  </si>
  <si>
    <t>1CR23IS190</t>
  </si>
  <si>
    <t>1CR23IS191</t>
  </si>
  <si>
    <t>1CR23IS192</t>
  </si>
  <si>
    <t>1CR23IS193</t>
  </si>
  <si>
    <t>1CR23IS194</t>
  </si>
  <si>
    <t>1CR23IS195</t>
  </si>
  <si>
    <t>1CR23IS196</t>
  </si>
  <si>
    <t>1CR23IS197</t>
  </si>
  <si>
    <t>1CR23IS198</t>
  </si>
  <si>
    <t>1CR23IS199</t>
  </si>
  <si>
    <t>1CR23IS200</t>
  </si>
  <si>
    <t>1CR23IS201</t>
  </si>
  <si>
    <t>1CR23IS202</t>
  </si>
  <si>
    <t>1CR23IS206</t>
  </si>
  <si>
    <t>1CR23CD054</t>
  </si>
  <si>
    <t>1CR22IS191</t>
  </si>
  <si>
    <t>1CR23IS205</t>
  </si>
  <si>
    <t>1CR24IS416</t>
  </si>
  <si>
    <t>1CR24IS400</t>
  </si>
  <si>
    <t>1CR24IS402</t>
  </si>
  <si>
    <t>Harshitha M</t>
  </si>
  <si>
    <t>1CR24IS404</t>
  </si>
  <si>
    <t>1CR24IS410</t>
  </si>
  <si>
    <t>1CR24IS401</t>
  </si>
  <si>
    <t>1CR24IS403</t>
  </si>
  <si>
    <t>1CR24IS407</t>
  </si>
  <si>
    <t>Umesh P H</t>
  </si>
  <si>
    <t>Hrushikesh</t>
  </si>
  <si>
    <t>1CR24IS412</t>
  </si>
  <si>
    <t>1CR24IS408</t>
  </si>
  <si>
    <t>1CR24IS413</t>
  </si>
  <si>
    <t>1CR24IS409</t>
  </si>
  <si>
    <t>1CR24IS414</t>
  </si>
  <si>
    <t>1CR24IS411</t>
  </si>
  <si>
    <t>1CR24IS406</t>
  </si>
  <si>
    <t>1CR23AD001</t>
  </si>
  <si>
    <t>1CR23AD002</t>
  </si>
  <si>
    <t>1CR23AD003</t>
  </si>
  <si>
    <t>1CR23AD004</t>
  </si>
  <si>
    <t>1CR23AD005</t>
  </si>
  <si>
    <t>1CR23AD006</t>
  </si>
  <si>
    <t>1CR23AD007</t>
  </si>
  <si>
    <t>1CR23AD008</t>
  </si>
  <si>
    <t>1CR23AD009</t>
  </si>
  <si>
    <t>1CR23AD010</t>
  </si>
  <si>
    <t>1CR23AD011</t>
  </si>
  <si>
    <t>1CR23AD012</t>
  </si>
  <si>
    <t>1CR23AD013</t>
  </si>
  <si>
    <t>1CR23AD014</t>
  </si>
  <si>
    <t>1CR23AD015</t>
  </si>
  <si>
    <t>1CR23AD016</t>
  </si>
  <si>
    <t>1CR23AD017</t>
  </si>
  <si>
    <t>1CR23AD018</t>
  </si>
  <si>
    <t>1CR23AD019</t>
  </si>
  <si>
    <t>1CR23AD020</t>
  </si>
  <si>
    <t>1CR23AD021</t>
  </si>
  <si>
    <t>1CR23AD022</t>
  </si>
  <si>
    <t>1CR23AD023</t>
  </si>
  <si>
    <t>1CR23AD024</t>
  </si>
  <si>
    <t>1CR23AD025</t>
  </si>
  <si>
    <t>1CR23AD026</t>
  </si>
  <si>
    <t>1CR23AD027</t>
  </si>
  <si>
    <t>1CR23AD028</t>
  </si>
  <si>
    <t>1CR23AD029</t>
  </si>
  <si>
    <t>1CR23AD030</t>
  </si>
  <si>
    <t>1CR23AD031</t>
  </si>
  <si>
    <t>1CR23AD032</t>
  </si>
  <si>
    <t>1CR23AD033</t>
  </si>
  <si>
    <t>1CR23AD034</t>
  </si>
  <si>
    <t>1CR23AD035</t>
  </si>
  <si>
    <t>1CR23AD036</t>
  </si>
  <si>
    <t>1CR23AD037</t>
  </si>
  <si>
    <t>1CR23AD038</t>
  </si>
  <si>
    <t>1CR23AD039</t>
  </si>
  <si>
    <t>1CR23AD040</t>
  </si>
  <si>
    <t>1CR23AD041</t>
  </si>
  <si>
    <t>1CR23AD042</t>
  </si>
  <si>
    <t>1CR23AD043</t>
  </si>
  <si>
    <t>1CR23AD044</t>
  </si>
  <si>
    <t>1CR23AD045</t>
  </si>
  <si>
    <t>1CR23AD046</t>
  </si>
  <si>
    <t>1CR23AD047</t>
  </si>
  <si>
    <t>1CR23AD048</t>
  </si>
  <si>
    <t>1CR23AD049</t>
  </si>
  <si>
    <t>1CR23AD050</t>
  </si>
  <si>
    <t>1CR23AD051</t>
  </si>
  <si>
    <t>1CR23AD052</t>
  </si>
  <si>
    <t>1CR23AD053</t>
  </si>
  <si>
    <t>1CR23AD054</t>
  </si>
  <si>
    <t>1CR23AD055</t>
  </si>
  <si>
    <t>1CR23AD056</t>
  </si>
  <si>
    <t>1CR23AD057</t>
  </si>
  <si>
    <t>1CR23AD058</t>
  </si>
  <si>
    <t>1CR23AD059</t>
  </si>
  <si>
    <t>1CR23AD060</t>
  </si>
  <si>
    <t>1CR23AD061</t>
  </si>
  <si>
    <t>1CR23AD062</t>
  </si>
  <si>
    <t>1CR23AD063</t>
  </si>
  <si>
    <t>1CR23AD064</t>
  </si>
  <si>
    <t>1CR23AD065</t>
  </si>
  <si>
    <t>1CR23AD066</t>
  </si>
  <si>
    <t>1CR23AD067</t>
  </si>
  <si>
    <t>1CR23AD068</t>
  </si>
  <si>
    <t>1CR23AD069</t>
  </si>
  <si>
    <t>1CR23AD070</t>
  </si>
  <si>
    <t>1CR23AD071</t>
  </si>
  <si>
    <t>1CR23AD072</t>
  </si>
  <si>
    <t>1CR23AD073</t>
  </si>
  <si>
    <t>1CR23AD074</t>
  </si>
  <si>
    <t>1CR23AD075</t>
  </si>
  <si>
    <t>1CR23AD076</t>
  </si>
  <si>
    <t>1CR23AD077</t>
  </si>
  <si>
    <t>1CR23AD078</t>
  </si>
  <si>
    <t>1CR23AD079</t>
  </si>
  <si>
    <t>1CR23AD080</t>
  </si>
  <si>
    <t>1CR23AD081</t>
  </si>
  <si>
    <t>1CR23AD082</t>
  </si>
  <si>
    <t>1CR23AD083</t>
  </si>
  <si>
    <t>1CR23AD084</t>
  </si>
  <si>
    <t>1CR23AD085</t>
  </si>
  <si>
    <t>1CR23AD086</t>
  </si>
  <si>
    <t>1CR23AD087</t>
  </si>
  <si>
    <t>1CR23AD088</t>
  </si>
  <si>
    <t>1CR23AD089</t>
  </si>
  <si>
    <t>1CR23AD090</t>
  </si>
  <si>
    <t>1CR23AD091</t>
  </si>
  <si>
    <t>1CR23AD092</t>
  </si>
  <si>
    <t>1CR23AD093</t>
  </si>
  <si>
    <t>1CR23AD094</t>
  </si>
  <si>
    <t>1CR23AD095</t>
  </si>
  <si>
    <t>1CR23AD096</t>
  </si>
  <si>
    <t>1CR23AD097</t>
  </si>
  <si>
    <t>1CR23AD098</t>
  </si>
  <si>
    <t>1CR23AD099</t>
  </si>
  <si>
    <t>1CR23AD100</t>
  </si>
  <si>
    <t>1CR23AD101</t>
  </si>
  <si>
    <t>1CR23AD102</t>
  </si>
  <si>
    <t>1CR23AD103</t>
  </si>
  <si>
    <t>1CR23AD104</t>
  </si>
  <si>
    <t>1CR23AD105</t>
  </si>
  <si>
    <t>1CR23AD106</t>
  </si>
  <si>
    <t>1CR23AD107</t>
  </si>
  <si>
    <t>1CR23AD108</t>
  </si>
  <si>
    <t>1CR23AD109</t>
  </si>
  <si>
    <t>1CR23AD110</t>
  </si>
  <si>
    <t>1CR23AD111</t>
  </si>
  <si>
    <t>1CR23AD112</t>
  </si>
  <si>
    <t>1CR23AD113</t>
  </si>
  <si>
    <t>1CR23AD114</t>
  </si>
  <si>
    <t>1CR23AD115</t>
  </si>
  <si>
    <t>1CR23AD116</t>
  </si>
  <si>
    <t>1CR23AD117</t>
  </si>
  <si>
    <t>1CR23AD118</t>
  </si>
  <si>
    <t>1CR23AD119</t>
  </si>
  <si>
    <t>1CR23AD120</t>
  </si>
  <si>
    <t>1CR23AD121</t>
  </si>
  <si>
    <t>1CR23AD122</t>
  </si>
  <si>
    <t>1CR23AD123</t>
  </si>
  <si>
    <t>1CR23AD124</t>
  </si>
  <si>
    <t>1CR23AD125</t>
  </si>
  <si>
    <t>1CR23AD126</t>
  </si>
  <si>
    <t>1CR23AD127</t>
  </si>
  <si>
    <t>1CR23AD128</t>
  </si>
  <si>
    <t>1CR23AD129</t>
  </si>
  <si>
    <t>1CR23AD130</t>
  </si>
  <si>
    <t>1CR23AD131</t>
  </si>
  <si>
    <t>1CR23AD132</t>
  </si>
  <si>
    <t>1CR23AD133</t>
  </si>
  <si>
    <t>1CR23AD134</t>
  </si>
  <si>
    <t>1CR23AD135</t>
  </si>
  <si>
    <t>1CR23AD136</t>
  </si>
  <si>
    <t>1CR23AD137</t>
  </si>
  <si>
    <t>1CR23AD138</t>
  </si>
  <si>
    <t>1CR23AD139</t>
  </si>
  <si>
    <t>1CR23AD140</t>
  </si>
  <si>
    <t>1CR23AD141</t>
  </si>
  <si>
    <t>1CR23AD142</t>
  </si>
  <si>
    <t>1CR23AD143</t>
  </si>
  <si>
    <t>1CR23AD144</t>
  </si>
  <si>
    <t>1CR24AD400</t>
  </si>
  <si>
    <t>CHARAN</t>
  </si>
  <si>
    <t>1CR24AD402</t>
  </si>
  <si>
    <t>1CR24AD404</t>
  </si>
  <si>
    <t>1CR24AD403</t>
  </si>
  <si>
    <t>1CR24AD405</t>
  </si>
  <si>
    <t>1CR24AD406</t>
  </si>
  <si>
    <t>1CR24AD407</t>
  </si>
  <si>
    <t>RINESH</t>
  </si>
  <si>
    <t>1CR24AD409</t>
  </si>
  <si>
    <t>1CR24AD411</t>
  </si>
  <si>
    <t>1CR24AD410</t>
  </si>
  <si>
    <t>1CR23AI001</t>
  </si>
  <si>
    <t>1CR23AI002</t>
  </si>
  <si>
    <t>1CR23AI003</t>
  </si>
  <si>
    <t>1CR23AI004</t>
  </si>
  <si>
    <t>1CR23AI005</t>
  </si>
  <si>
    <t>1CR23AI006</t>
  </si>
  <si>
    <t>1CR23AI007</t>
  </si>
  <si>
    <t>1CR23AI008</t>
  </si>
  <si>
    <t>1CR23AI009</t>
  </si>
  <si>
    <t>1CR23AI010</t>
  </si>
  <si>
    <t>1CR23AI011</t>
  </si>
  <si>
    <t>1CR23AI012</t>
  </si>
  <si>
    <t>1CR23AI013</t>
  </si>
  <si>
    <t>1CR23AI014</t>
  </si>
  <si>
    <t>1CR23AI015</t>
  </si>
  <si>
    <t>1CR23AI016</t>
  </si>
  <si>
    <t>1CR23AI017</t>
  </si>
  <si>
    <t>1CR23AI018</t>
  </si>
  <si>
    <t>1CR23AI019</t>
  </si>
  <si>
    <t>1CR23AI020</t>
  </si>
  <si>
    <t>1CR23AI021</t>
  </si>
  <si>
    <t>1CR23AI022</t>
  </si>
  <si>
    <t>1CR23AI023</t>
  </si>
  <si>
    <t>1CR23AI024</t>
  </si>
  <si>
    <t>1CR23AI025</t>
  </si>
  <si>
    <t>1CR23AI026</t>
  </si>
  <si>
    <t>1CR23AI027</t>
  </si>
  <si>
    <t>1CR23AI028</t>
  </si>
  <si>
    <t>1CR23AI029</t>
  </si>
  <si>
    <t>1CR23AI030</t>
  </si>
  <si>
    <t>1CR23AI031</t>
  </si>
  <si>
    <t>1CR23AI032</t>
  </si>
  <si>
    <t>1CR23AI033</t>
  </si>
  <si>
    <t>1CR23AI034</t>
  </si>
  <si>
    <t>1CR23AI035</t>
  </si>
  <si>
    <t>1CR23AI036</t>
  </si>
  <si>
    <t>1CR23AI037</t>
  </si>
  <si>
    <t>1CR23AI038</t>
  </si>
  <si>
    <t>1CR23AI039</t>
  </si>
  <si>
    <t>1CR23AI040</t>
  </si>
  <si>
    <t>1CR23AI041</t>
  </si>
  <si>
    <t>1CR23AI042</t>
  </si>
  <si>
    <t>1CR23AI043</t>
  </si>
  <si>
    <t>1CR23AI044</t>
  </si>
  <si>
    <t>1CR23AI045</t>
  </si>
  <si>
    <t>1CR23AI046</t>
  </si>
  <si>
    <t>1CR23AI047</t>
  </si>
  <si>
    <t>1CR23AI048</t>
  </si>
  <si>
    <t>1CR23AI049</t>
  </si>
  <si>
    <t>1CR23AI050</t>
  </si>
  <si>
    <t>1CR23AI051</t>
  </si>
  <si>
    <t>1CR23AI052</t>
  </si>
  <si>
    <t>1CR23AI053</t>
  </si>
  <si>
    <t>1CR23AI054</t>
  </si>
  <si>
    <t>1CR23AI055</t>
  </si>
  <si>
    <t>1CR23AI056</t>
  </si>
  <si>
    <t>1CR23AI057</t>
  </si>
  <si>
    <t>1CR23AI058</t>
  </si>
  <si>
    <t>1CR23AI059</t>
  </si>
  <si>
    <t>1CR23AI060</t>
  </si>
  <si>
    <t>1CR23AI061</t>
  </si>
  <si>
    <t>1CR23AI062</t>
  </si>
  <si>
    <t>1CR23AI063</t>
  </si>
  <si>
    <t>1CR23AI064</t>
  </si>
  <si>
    <t>1CR23AI065</t>
  </si>
  <si>
    <t>1CR23AI066</t>
  </si>
  <si>
    <t>1CR23AI067</t>
  </si>
  <si>
    <t>1CR23AI068</t>
  </si>
  <si>
    <t>1CR23AI069</t>
  </si>
  <si>
    <t>1CR23AI070</t>
  </si>
  <si>
    <t>1CR23AI071</t>
  </si>
  <si>
    <t>1CR23AI072</t>
  </si>
  <si>
    <t>1CR23AI073</t>
  </si>
  <si>
    <t>1CR23AI074</t>
  </si>
  <si>
    <t>1CR23AI075</t>
  </si>
  <si>
    <t>1CR23AI076</t>
  </si>
  <si>
    <t>1CR23AI077</t>
  </si>
  <si>
    <t>1CR23AI078</t>
  </si>
  <si>
    <t>1CR23AI079</t>
  </si>
  <si>
    <t>1CR23AI080</t>
  </si>
  <si>
    <t>1CR23AI081</t>
  </si>
  <si>
    <t>1CR23AI082</t>
  </si>
  <si>
    <t>1CR23AI083</t>
  </si>
  <si>
    <t>1CR23AI084</t>
  </si>
  <si>
    <t>1CR23AI085</t>
  </si>
  <si>
    <t>1CR23AI086</t>
  </si>
  <si>
    <t>1CR23AI087</t>
  </si>
  <si>
    <t>1CR23AI088</t>
  </si>
  <si>
    <t>1CR23AI089</t>
  </si>
  <si>
    <t>1CR23AI090</t>
  </si>
  <si>
    <t>1CR23AI091</t>
  </si>
  <si>
    <t>1CR23AI092</t>
  </si>
  <si>
    <t>1CR23AI093</t>
  </si>
  <si>
    <t>1CR23AI094</t>
  </si>
  <si>
    <t>1CR23AI095</t>
  </si>
  <si>
    <t>1CR23AI096</t>
  </si>
  <si>
    <t>1CR23AI097</t>
  </si>
  <si>
    <t>1CR23AI098</t>
  </si>
  <si>
    <t>1CR23AI099</t>
  </si>
  <si>
    <t>1CR23AI100</t>
  </si>
  <si>
    <t>1CR23AI101</t>
  </si>
  <si>
    <t>1CR23AI102</t>
  </si>
  <si>
    <t>1CR23AI103</t>
  </si>
  <si>
    <t>1CR23AI104</t>
  </si>
  <si>
    <t>1CR23AI105</t>
  </si>
  <si>
    <t>1CR23AI106</t>
  </si>
  <si>
    <t>1CR23AI107</t>
  </si>
  <si>
    <t>1CR23AI108</t>
  </si>
  <si>
    <t>1CR23AI109</t>
  </si>
  <si>
    <t>1CR23AI110</t>
  </si>
  <si>
    <t>1CR23AI111</t>
  </si>
  <si>
    <t>1CR23AI112</t>
  </si>
  <si>
    <t>1CR23AI113</t>
  </si>
  <si>
    <t>1CR23AI114</t>
  </si>
  <si>
    <t>1CR23AI115</t>
  </si>
  <si>
    <t>1CR23AI116</t>
  </si>
  <si>
    <t>1CR23AI117</t>
  </si>
  <si>
    <t>1CR23AI118</t>
  </si>
  <si>
    <t>1CR23AI119</t>
  </si>
  <si>
    <t>1CR23AI120</t>
  </si>
  <si>
    <t>1CR23AI121</t>
  </si>
  <si>
    <t>1CR23AI122</t>
  </si>
  <si>
    <t>1CR23AI123</t>
  </si>
  <si>
    <t>1CR23AI124</t>
  </si>
  <si>
    <t>1CR23AI125</t>
  </si>
  <si>
    <t>1CR23AI126</t>
  </si>
  <si>
    <t>1CR23AI127</t>
  </si>
  <si>
    <t>1CR23AI128</t>
  </si>
  <si>
    <t>1CR23AI129</t>
  </si>
  <si>
    <t>1CR23AI130</t>
  </si>
  <si>
    <t>1CR23AI131</t>
  </si>
  <si>
    <t>1CR23AI132</t>
  </si>
  <si>
    <t>1CR23AI133</t>
  </si>
  <si>
    <t>1CR23AI134</t>
  </si>
  <si>
    <t>1CR23AI135</t>
  </si>
  <si>
    <t>1CR23AI136</t>
  </si>
  <si>
    <t>1CR23AI137</t>
  </si>
  <si>
    <t>1CR23AI138</t>
  </si>
  <si>
    <t>1CR23AI139</t>
  </si>
  <si>
    <t>1CR23AI140</t>
  </si>
  <si>
    <t>1CR23AI141</t>
  </si>
  <si>
    <t>1CR23AI142</t>
  </si>
  <si>
    <t>1CR23AI143</t>
  </si>
  <si>
    <t>1CR22AI034</t>
  </si>
  <si>
    <t>1CR24AI406</t>
  </si>
  <si>
    <t>1CR24AI410</t>
  </si>
  <si>
    <t>1CR24AI403</t>
  </si>
  <si>
    <t>1CR24AI407</t>
  </si>
  <si>
    <t>1CR24AI409</t>
  </si>
  <si>
    <t>1CR24AI401</t>
  </si>
  <si>
    <t>1CR24AI404</t>
  </si>
  <si>
    <t>1CR24AI411</t>
  </si>
  <si>
    <t>1CR24AI400</t>
  </si>
  <si>
    <t>1CR24AI402</t>
  </si>
  <si>
    <t>1CR24AI408</t>
  </si>
  <si>
    <t>1CR24AI412</t>
  </si>
  <si>
    <t>1CR24AI405</t>
  </si>
  <si>
    <t>1CR23CD001</t>
  </si>
  <si>
    <t>1CR23CD002</t>
  </si>
  <si>
    <t>1CR23CD003</t>
  </si>
  <si>
    <t>1CR23CD004</t>
  </si>
  <si>
    <t>1CR23CD005</t>
  </si>
  <si>
    <t>1CR23CD006</t>
  </si>
  <si>
    <t>1CR23CD007</t>
  </si>
  <si>
    <t>1CR23CD008</t>
  </si>
  <si>
    <t>1CR23CD009</t>
  </si>
  <si>
    <t>1CR23CD010</t>
  </si>
  <si>
    <t>1CR23CD011</t>
  </si>
  <si>
    <t>1CR23CD012</t>
  </si>
  <si>
    <t>1CR23CD013</t>
  </si>
  <si>
    <t>1CR23CD014</t>
  </si>
  <si>
    <t>1CR23CD015</t>
  </si>
  <si>
    <t>1CR23CD016</t>
  </si>
  <si>
    <t>1CR23CD017</t>
  </si>
  <si>
    <t>1CR23CD018</t>
  </si>
  <si>
    <t>1CR23CD019</t>
  </si>
  <si>
    <t>1CR23CD020</t>
  </si>
  <si>
    <t>1CR23CD021</t>
  </si>
  <si>
    <t>1CR23CD022</t>
  </si>
  <si>
    <t>1CR23CD023</t>
  </si>
  <si>
    <t>1CR23CD024</t>
  </si>
  <si>
    <t>1CR23CD025</t>
  </si>
  <si>
    <t>1CR23CD026</t>
  </si>
  <si>
    <t>1CR23CD027</t>
  </si>
  <si>
    <t>1CR23CD028</t>
  </si>
  <si>
    <t>1CR23CD029</t>
  </si>
  <si>
    <t>1CR23CD030</t>
  </si>
  <si>
    <t>1CR23CD031</t>
  </si>
  <si>
    <t>1CR23CD032</t>
  </si>
  <si>
    <t>1CR23CD033</t>
  </si>
  <si>
    <t>1CR23CD034</t>
  </si>
  <si>
    <t>1CR23CD035</t>
  </si>
  <si>
    <t>1CR23CD036</t>
  </si>
  <si>
    <t>1CR23CD037</t>
  </si>
  <si>
    <t>1CR23CD038</t>
  </si>
  <si>
    <t>1CR23CD039</t>
  </si>
  <si>
    <t>1CR23CD040</t>
  </si>
  <si>
    <t>1CR23CD041</t>
  </si>
  <si>
    <t>1CR23CD042</t>
  </si>
  <si>
    <t>1CR23CD043</t>
  </si>
  <si>
    <t>1CR23CD044</t>
  </si>
  <si>
    <t>1CR23CD045</t>
  </si>
  <si>
    <t>1CR23CD046</t>
  </si>
  <si>
    <t>1CR23CD047</t>
  </si>
  <si>
    <t>1CR23CD048</t>
  </si>
  <si>
    <t>1CR23CD049</t>
  </si>
  <si>
    <t>1CR23CD050</t>
  </si>
  <si>
    <t>1CR23CD051</t>
  </si>
  <si>
    <t>1CR23CD052</t>
  </si>
  <si>
    <t>1CR23CD053</t>
  </si>
  <si>
    <t>1CR23IS204</t>
  </si>
  <si>
    <t>1CR23CD055</t>
  </si>
  <si>
    <t>1CR23CD056</t>
  </si>
  <si>
    <t>1CR23CD057</t>
  </si>
  <si>
    <t>1CR23CD058</t>
  </si>
  <si>
    <t>1CR23CD059</t>
  </si>
  <si>
    <t>1CR23CD060</t>
  </si>
  <si>
    <t>1CR23CD061</t>
  </si>
  <si>
    <t>1CR23CD062</t>
  </si>
  <si>
    <t>1CR23CD063</t>
  </si>
  <si>
    <t>1CR23CD064</t>
  </si>
  <si>
    <t>1CR23CD065</t>
  </si>
  <si>
    <t>1CR23CD066</t>
  </si>
  <si>
    <t>1CR22CD039</t>
  </si>
  <si>
    <t>1CR24CD403</t>
  </si>
  <si>
    <t>1CR24CD401</t>
  </si>
  <si>
    <t>1CR24CD402</t>
  </si>
  <si>
    <t>1CR24CD404</t>
  </si>
  <si>
    <t>1CR24CD405</t>
  </si>
  <si>
    <t>1CR24CD400</t>
  </si>
  <si>
    <t>1CR23CI001</t>
  </si>
  <si>
    <t>1CR23CI002</t>
  </si>
  <si>
    <t>1CR23CI003</t>
  </si>
  <si>
    <t>1CR23CI004</t>
  </si>
  <si>
    <t>1CR23CI005</t>
  </si>
  <si>
    <t>1CR23CI006</t>
  </si>
  <si>
    <t>1CR23CI007</t>
  </si>
  <si>
    <t>1CR23CI008</t>
  </si>
  <si>
    <t>1CR23CI009</t>
  </si>
  <si>
    <t>1CR23CI010</t>
  </si>
  <si>
    <t>1CR23CI011</t>
  </si>
  <si>
    <t>1CR23CI012</t>
  </si>
  <si>
    <t>1CR23CI013</t>
  </si>
  <si>
    <t>1CR23CI014</t>
  </si>
  <si>
    <t>1CR23CI015</t>
  </si>
  <si>
    <t>1CR23CI016</t>
  </si>
  <si>
    <t>1CR23CI017</t>
  </si>
  <si>
    <t>1CR23CI018</t>
  </si>
  <si>
    <t>1CR23CI019</t>
  </si>
  <si>
    <t>1CR23CI020</t>
  </si>
  <si>
    <t>1CR23CI021</t>
  </si>
  <si>
    <t>1CR23CI022</t>
  </si>
  <si>
    <t>1CR23CI023</t>
  </si>
  <si>
    <t>1CR23CI024</t>
  </si>
  <si>
    <t>1CR23CI025</t>
  </si>
  <si>
    <t>1CR23CI026</t>
  </si>
  <si>
    <t>1CR23CI027</t>
  </si>
  <si>
    <t>1CR23CI028</t>
  </si>
  <si>
    <t>1CR23CI029</t>
  </si>
  <si>
    <t>1CR23CI030</t>
  </si>
  <si>
    <t>1CR23CI031</t>
  </si>
  <si>
    <t>1CR23CI032</t>
  </si>
  <si>
    <t>1CR23CI033</t>
  </si>
  <si>
    <t>1CR23CI034</t>
  </si>
  <si>
    <t>1CR23CI035</t>
  </si>
  <si>
    <t>1CR23CI036</t>
  </si>
  <si>
    <t>1CR23CI037</t>
  </si>
  <si>
    <t>1CR23CI038</t>
  </si>
  <si>
    <t>1CR23CI039</t>
  </si>
  <si>
    <t>1CR23CI040</t>
  </si>
  <si>
    <t>1CR23CI041</t>
  </si>
  <si>
    <t>1CR23CI042</t>
  </si>
  <si>
    <t>1CR23CI043</t>
  </si>
  <si>
    <t>1CR23CI044</t>
  </si>
  <si>
    <t>1CR23CI045</t>
  </si>
  <si>
    <t>1CR23CI046</t>
  </si>
  <si>
    <t>1CR23CI047</t>
  </si>
  <si>
    <t>1CR23CI048</t>
  </si>
  <si>
    <t>1CR23CI049</t>
  </si>
  <si>
    <t>1CR23CI050</t>
  </si>
  <si>
    <t>1CR23CI051</t>
  </si>
  <si>
    <t>1CR23CI052</t>
  </si>
  <si>
    <t>1CR23CI053</t>
  </si>
  <si>
    <t>1CR23CI054</t>
  </si>
  <si>
    <t>1CR23CI055</t>
  </si>
  <si>
    <t>1CR23CI056</t>
  </si>
  <si>
    <t>1CR23CI057</t>
  </si>
  <si>
    <t>1CR23CI058</t>
  </si>
  <si>
    <t>1CR23CI059</t>
  </si>
  <si>
    <t>1CR23CI060</t>
  </si>
  <si>
    <t>1CR23CI061</t>
  </si>
  <si>
    <t>1CR23CI062</t>
  </si>
  <si>
    <t>1CR23CI063</t>
  </si>
  <si>
    <t>1CR24CI401</t>
  </si>
  <si>
    <t>1CR24CI403</t>
  </si>
  <si>
    <t>1CR24CI402</t>
  </si>
  <si>
    <t>1CR24CI404</t>
  </si>
  <si>
    <t>1CR24CI405</t>
  </si>
  <si>
    <t>1CR24CI400</t>
  </si>
  <si>
    <t>1CR24EC420</t>
  </si>
  <si>
    <t>1CR23IS203</t>
  </si>
  <si>
    <t>1CR23IS207</t>
  </si>
  <si>
    <t>1CR24IS415</t>
  </si>
  <si>
    <t>1CR24IS405</t>
  </si>
  <si>
    <t>1CR24AD401</t>
  </si>
  <si>
    <t>1CR24AD408</t>
  </si>
  <si>
    <t>1CR23CI064</t>
  </si>
  <si>
    <t>1cr24CI404</t>
  </si>
  <si>
    <t>1CR23AD145</t>
  </si>
  <si>
    <t>1CR22CS116</t>
  </si>
  <si>
    <t>1CR22EC144</t>
  </si>
  <si>
    <t>1CR23EC424</t>
  </si>
  <si>
    <t>1CR24EC415</t>
  </si>
  <si>
    <t>1CR24EC419</t>
  </si>
  <si>
    <t>Harsha Vardhan</t>
  </si>
  <si>
    <t>1cr24ci404</t>
  </si>
  <si>
    <t>USN</t>
  </si>
  <si>
    <t>A2 FINAL</t>
  </si>
  <si>
    <t>FINAL</t>
  </si>
  <si>
    <t>aapr23ise@cmrit.ac.in</t>
  </si>
  <si>
    <t>aab23ise@cmrit.ac.in</t>
  </si>
  <si>
    <t>aara23ise@cmrit.ac.in</t>
  </si>
  <si>
    <t>aasi23ise@cmrit.ac.in</t>
  </si>
  <si>
    <t>abti23ise@cmrit.ac.in</t>
  </si>
  <si>
    <t>ahsu23ise@cmrit.ac.in</t>
  </si>
  <si>
    <t>akpa23ise@cmrit.ac.in</t>
  </si>
  <si>
    <t>akku23ise@cmrit.ac.in</t>
  </si>
  <si>
    <t>amsh23ise@cmrit.ac.in</t>
  </si>
  <si>
    <t>amkr23ise@cmrit.ac.in</t>
  </si>
  <si>
    <t>anra23ise@cmrit.ac.in</t>
  </si>
  <si>
    <t>anve23ise@cmrit.ac.in</t>
  </si>
  <si>
    <t>ansi23ise@cmrit.ac.in</t>
  </si>
  <si>
    <t>anusi23ise@cmrit.ac.in</t>
  </si>
  <si>
    <t>appa23ise@cmrit.ac.in</t>
  </si>
  <si>
    <t>arsw23ise@cmrit.ac.in</t>
  </si>
  <si>
    <t>arna23ise@cmrit.ac.in</t>
  </si>
  <si>
    <t>assh23ise@cmrit.ac.in</t>
  </si>
  <si>
    <t>atus23ise@cmrit.ac.in</t>
  </si>
  <si>
    <t>bek23ise@cmrit.ac.in</t>
  </si>
  <si>
    <t>bhg23ise@cmrit.ac.in</t>
  </si>
  <si>
    <t>bike23ise@cmrit.ac.in</t>
  </si>
  <si>
    <t>cvpu23ise@cmrit.ac.in</t>
  </si>
  <si>
    <t>chsk23ise@cmrit.ac.in</t>
  </si>
  <si>
    <t>dekv23ise@cmrit.ac.in</t>
  </si>
  <si>
    <t>demv23ise@cmrit.ac.in</t>
  </si>
  <si>
    <t>dika23ise@cmrit.ac.in</t>
  </si>
  <si>
    <t>eab23ise@cmrit.ac.in</t>
  </si>
  <si>
    <t>epr23ise@cmrit.ac.in</t>
  </si>
  <si>
    <t>endi23ise@cmrit.ac.in</t>
  </si>
  <si>
    <t>gch23ise@cmrit.ac.in</t>
  </si>
  <si>
    <t>gna23ise@cmrit.ac.in</t>
  </si>
  <si>
    <t>hvsk23ise@cmrit.ac.in</t>
  </si>
  <si>
    <t>haba23ise@cmrit.ac.in</t>
  </si>
  <si>
    <t>hapa23ise@cmrit.ac.in</t>
  </si>
  <si>
    <t>hara23ise@cmrit.ac.in</t>
  </si>
  <si>
    <t>hat23ise@cmrit.ac.in</t>
  </si>
  <si>
    <t>chrb23ise@cmrit.ac.in</t>
  </si>
  <si>
    <t>de23ise@cmrit.ac.in</t>
  </si>
  <si>
    <t>aks23ise@cmrit.ac.in</t>
  </si>
  <si>
    <t>inas23ise@cmrit.ac.in</t>
  </si>
  <si>
    <t>arp23ise@cmrit.ac.in</t>
  </si>
  <si>
    <t>rasa23ise@cmrit.ac.in</t>
  </si>
  <si>
    <t>has23ise@cmrit.ac.in</t>
  </si>
  <si>
    <t>dibh23ise@cmrit.ac.in</t>
  </si>
  <si>
    <t>abm23ise@cmrit.ac.in</t>
  </si>
  <si>
    <t>bhma23ise@cmrit.ac.in</t>
  </si>
  <si>
    <t>bhgm23ise@cmrit.ac.in</t>
  </si>
  <si>
    <t>alpa23ise@cmrit.ac.in</t>
  </si>
  <si>
    <t>bapa23ise@cmrit.ac.in</t>
  </si>
  <si>
    <t>ksa23ise@cmrit.ac.in</t>
  </si>
  <si>
    <t>khv23ise@cmrit.ac.in</t>
  </si>
  <si>
    <t>heay23ise@cmrit.ac.in</t>
  </si>
  <si>
    <t>lde23ise@cmrit.ac.in</t>
  </si>
  <si>
    <t>asmd23ise@cmrit.ac.in</t>
  </si>
  <si>
    <t>resh23ise@cmrit.ac.in</t>
  </si>
  <si>
    <t>viku23ise@cmrit.ac.in</t>
  </si>
  <si>
    <t>prdw23ise@cmrit.ac.in</t>
  </si>
  <si>
    <t>anbs23ise@cmrit.ac.in</t>
  </si>
  <si>
    <t>dhys23ise@cmrit.ac.in</t>
  </si>
  <si>
    <t>chpp23ise@cmrit.ac.in</t>
  </si>
  <si>
    <t>shl23ise@cmrit.ac.in</t>
  </si>
  <si>
    <t>yahg23ise@cmrit.ac.in</t>
  </si>
  <si>
    <t>kuku23ise@cmrit.ac.in</t>
  </si>
  <si>
    <t>kaba23ise@cmrit.ac.in</t>
  </si>
  <si>
    <t>hap23ise@cmrit.ac.in</t>
  </si>
  <si>
    <t>isna23ise@cmrit.ac.in</t>
  </si>
  <si>
    <t>isja23ise@cmrit.ac.in</t>
  </si>
  <si>
    <t>jash23ise@cmrit.ac.in</t>
  </si>
  <si>
    <t>jasi23ise@cmrit.ac.in</t>
  </si>
  <si>
    <t>jisa23ise@cmrit.ac.in</t>
  </si>
  <si>
    <t>kara23ise@cmrit.ac.in</t>
  </si>
  <si>
    <t>kek23ise@cmrit.ac.in</t>
  </si>
  <si>
    <t>kegs23ise@cmrit.ac.in</t>
  </si>
  <si>
    <t>kip23ise@cmrit.ac.in</t>
  </si>
  <si>
    <t>ksha23ise@cmrit.ac.in</t>
  </si>
  <si>
    <t>kujo23ise@cmrit.ac.in</t>
  </si>
  <si>
    <t>lsni23ise@cmrit.ac.in</t>
  </si>
  <si>
    <t>lavh23ise@cmrit.ac.in</t>
  </si>
  <si>
    <t>lakr23ise@cmrit.ac.in</t>
  </si>
  <si>
    <t>laav23ise@cmrit.ac.in</t>
  </si>
  <si>
    <t>lav23ise@cmrit.ac.in</t>
  </si>
  <si>
    <t>luda23ise@cmrit.ac.in</t>
  </si>
  <si>
    <t>mnka23ise@cmrit.ac.in</t>
  </si>
  <si>
    <t>maji23ise@cmrit.ac.in</t>
  </si>
  <si>
    <t>mira23ise@cmrit.ac.in</t>
  </si>
  <si>
    <t>mon23ise@cmrit.ac.in</t>
  </si>
  <si>
    <t>moku23ise@cmrit.ac.in</t>
  </si>
  <si>
    <t>nan23ise@cmrit.ac.in</t>
  </si>
  <si>
    <t>nas23ise@cmrit.ac.in</t>
  </si>
  <si>
    <t>niku23ise@cmrit.ac.in</t>
  </si>
  <si>
    <t>nich23ise@cmrit.ac.in</t>
  </si>
  <si>
    <t>nivi23ise@cmrit.ac.in</t>
  </si>
  <si>
    <t>pgpr23ise@cmrit.ac.in</t>
  </si>
  <si>
    <t>pa23ise@cmrit.ac.in</t>
  </si>
  <si>
    <t>aapa23ise@cmrit.ac.in</t>
  </si>
  <si>
    <t>pran23ise@cmrit.ac.in</t>
  </si>
  <si>
    <t>prsi23ise@cmrit.ac.in</t>
  </si>
  <si>
    <t>rpr23ise@cmrit.ac.in</t>
  </si>
  <si>
    <t>rra23ise@cmrit.ac.in</t>
  </si>
  <si>
    <t>rsh23ise@cmrit.ac.in</t>
  </si>
  <si>
    <t>radn23ise@cmrit.ac.in</t>
  </si>
  <si>
    <t>macl23ise@cmrit.ac.in</t>
  </si>
  <si>
    <t>mos23ise@cmrit.ac.in</t>
  </si>
  <si>
    <t>rata23ise@cmrit.ac.in</t>
  </si>
  <si>
    <t>rar23ise@cmrit.ac.in</t>
  </si>
  <si>
    <t>shna23ise@cmrit.ac.in</t>
  </si>
  <si>
    <t>ekma23ise@cmrit.ac.in</t>
  </si>
  <si>
    <t>mar23ise@cmrit.ac.in</t>
  </si>
  <si>
    <t>popo23ise@cmrit.ac.in</t>
  </si>
  <si>
    <t>kokv23ise@cmrit.ac.in</t>
  </si>
  <si>
    <t>rara23ise@cmrit.ac.in</t>
  </si>
  <si>
    <t>kan23ise@cmrit.ac.in</t>
  </si>
  <si>
    <t>mora23ise@cmrit.ac.in</t>
  </si>
  <si>
    <t>hbpr23ise@cmrit.ac.in</t>
  </si>
  <si>
    <t>divt23ise@cmrit.ac.in</t>
  </si>
  <si>
    <t>jke23ise@cmrit.ac.in</t>
  </si>
  <si>
    <t>pokm23ise@cmrit.ac.in</t>
  </si>
  <si>
    <t>rihs23ise@cmrit.ac.in</t>
  </si>
  <si>
    <t>prsh23ise@cmrit.ac.in</t>
  </si>
  <si>
    <t>modh23ise@cmrit.ac.in</t>
  </si>
  <si>
    <t>bhc23ise@cmrit.ac.in</t>
  </si>
  <si>
    <t>puhc23ise@cmrit.ac.in</t>
  </si>
  <si>
    <t>mamb23ise@cmrit.ac.in</t>
  </si>
  <si>
    <t>mote23ise@cmrit.ac.in</t>
  </si>
  <si>
    <t>snv23ise@cmrit.ac.in</t>
  </si>
  <si>
    <t>paha23ise@cmrit.ac.in</t>
  </si>
  <si>
    <t>ask23ise@cmrit.ac.in</t>
  </si>
  <si>
    <t>deba23ise@cmrit.ac.in</t>
  </si>
  <si>
    <t>bich23ise@cmrit.ac.in</t>
  </si>
  <si>
    <t>rogu23ise@cmrit.ac.in</t>
  </si>
  <si>
    <t>rija23ise@cmrit.ac.in</t>
  </si>
  <si>
    <t>ru23ise@cmrit.ac.in</t>
  </si>
  <si>
    <t>saag23ise@cmrit.ac.in</t>
  </si>
  <si>
    <t>samku23ise@cmrit.ac.in</t>
  </si>
  <si>
    <t>la23ise@cmrit.ac.in</t>
  </si>
  <si>
    <t>sasa23ise@cmrit.ac.in</t>
  </si>
  <si>
    <t>sanku23ise@cmrit.ac.in</t>
  </si>
  <si>
    <t>sak23ise@cmrit.ac.in</t>
  </si>
  <si>
    <t>sash23ise@cmrit.ac.in</t>
  </si>
  <si>
    <t>sara23ise@cmrit.ac.in</t>
  </si>
  <si>
    <t>sera23ise@cmrit.ac.in</t>
  </si>
  <si>
    <t>shas23ise@cmrit.ac.in</t>
  </si>
  <si>
    <t>shpr23ise@cmrit.ac.in</t>
  </si>
  <si>
    <t>shsi23ise@cmrit.ac.in</t>
  </si>
  <si>
    <t>shar23ise@cmrit.ac.in</t>
  </si>
  <si>
    <t>shsr23ise@cmrit.ac.in</t>
  </si>
  <si>
    <t>shp23ise@cmrit.ac.in</t>
  </si>
  <si>
    <t>shmo23ise@cmrit.ac.in</t>
  </si>
  <si>
    <t>shr23ise@cmrit.ac.in</t>
  </si>
  <si>
    <t>shgu23ise@cmrit.ac.in</t>
  </si>
  <si>
    <t>shku23ise@cmrit.ac.in</t>
  </si>
  <si>
    <t>sisb23ise@cmrit.ac.in</t>
  </si>
  <si>
    <t>sndh23ise@cmrit.ac.in</t>
  </si>
  <si>
    <t>syza23ise@cmrit.ac.in</t>
  </si>
  <si>
    <t>tear23ise@cmrit.ac.in</t>
  </si>
  <si>
    <t>trhe23ise@cmrit.ac.in</t>
  </si>
  <si>
    <t>utpa23ise@cmrit.ac.in</t>
  </si>
  <si>
    <t>utra23ise@cmrit.ac.in</t>
  </si>
  <si>
    <t>srv23ise@cmrit.ac.in</t>
  </si>
  <si>
    <t>vara23ise@cmrit.ac.in</t>
  </si>
  <si>
    <t>vegu23ise@cmrit.ac.in</t>
  </si>
  <si>
    <t>vivi23ise@cmrit.ac.in</t>
  </si>
  <si>
    <t>vith23ise@cmrit.ac.in</t>
  </si>
  <si>
    <t>vimi23ise@cmrit.ac.in</t>
  </si>
  <si>
    <t>yamk23ise@cmrit.ac.in</t>
  </si>
  <si>
    <t>za23ise@cmrit.ac.in</t>
  </si>
  <si>
    <t>soch23ise@cmrit.ac.in</t>
  </si>
  <si>
    <t>sus23ise@cmrit.ac.in</t>
  </si>
  <si>
    <t>swku23ise@cmrit.ac.in</t>
  </si>
  <si>
    <t>vibe23ise@cmrit.ac.in</t>
  </si>
  <si>
    <t>yare23ise@cmrit.ac.in</t>
  </si>
  <si>
    <t>van23ise@cmrit.ac.in</t>
  </si>
  <si>
    <t>kaku23ise@cmrit.ac.in</t>
  </si>
  <si>
    <t>shbi23ise@cmrit.ac.in</t>
  </si>
  <si>
    <t>saku23ise@cmrit.ac.in</t>
  </si>
  <si>
    <t>shvh23ise@cmrit.ac.in</t>
  </si>
  <si>
    <t>sas23ise@cmrit.ac.in</t>
  </si>
  <si>
    <t>sumr23ise@cmrit.ac.in</t>
  </si>
  <si>
    <t>sibt23ise@cmrit.ac.in</t>
  </si>
  <si>
    <t>thna23ise@cmrit.ac.in</t>
  </si>
  <si>
    <t>sh23ise@cmrit.ac.in</t>
  </si>
  <si>
    <t>spcv23ise@cmrit.ac.in</t>
  </si>
  <si>
    <t>thka23ise@cmrit.ac.in</t>
  </si>
  <si>
    <t>spn23ise@cmrit.ac.in</t>
  </si>
  <si>
    <t>shsh23ise@cmrit.ac.in</t>
  </si>
  <si>
    <t>su23ise@cmrit.ac.in</t>
  </si>
  <si>
    <t>srs23ise@cmrit.ac.in</t>
  </si>
  <si>
    <t>depa23ise@cmrit.ac.in</t>
  </si>
  <si>
    <t>para23ise@cmrit.ac.in</t>
  </si>
  <si>
    <t>rha23ise@cmrit.ac.in</t>
  </si>
  <si>
    <t>namh23ise@cmrit.ac.in</t>
  </si>
  <si>
    <t>mowa23ise@cmrit.ac.in</t>
  </si>
  <si>
    <t>thrp23ise@cmrit.ac.in</t>
  </si>
  <si>
    <t>chac23ise@cmrit.ac.in</t>
  </si>
  <si>
    <t>suja23ise@cmrit.ac.in</t>
  </si>
  <si>
    <t>shsa23ise@cmrit.ac.in</t>
  </si>
  <si>
    <t>masa23ise@cmrit.ac.in</t>
  </si>
  <si>
    <t>adha23csaiml@cmrit.ac.in</t>
  </si>
  <si>
    <t>akma23csaiml@cmrit.ac.in</t>
  </si>
  <si>
    <t>ambh23csaiml@cmrit.ac.in</t>
  </si>
  <si>
    <t>ansr23csaiml@cmrit.ac.in</t>
  </si>
  <si>
    <t>arar23csaiml@cmrit.ac.in</t>
  </si>
  <si>
    <t>arsr23csaiml@cmrit.ac.in</t>
  </si>
  <si>
    <t>mere23csaiml@cmrit.ac.in</t>
  </si>
  <si>
    <t>bhsh23csaiml@cmrit.ac.in</t>
  </si>
  <si>
    <t>gayo23csaiml@cmrit.ac.in</t>
  </si>
  <si>
    <t>gabr23csaiml@cmrit.ac.in</t>
  </si>
  <si>
    <t>hech23csaiml@cmrit.ac.in</t>
  </si>
  <si>
    <t>itch23csaiml@cmrit.ac.in</t>
  </si>
  <si>
    <t>kasr23csaiml@cmrit.ac.in</t>
  </si>
  <si>
    <t>kana23csaiml@cmrit.ac.in</t>
  </si>
  <si>
    <t>koda23csaiml@cmrit.ac.in</t>
  </si>
  <si>
    <t>lnga23csaiml@cmrit.ac.in</t>
  </si>
  <si>
    <t>lere23csaiml@cmrit.ac.in</t>
  </si>
  <si>
    <t>mami23csaiml@cmrit.ac.in</t>
  </si>
  <si>
    <t>naja23csaiml@cmrit.ac.in</t>
  </si>
  <si>
    <t>pare23csaiml@cmrit.ac.in</t>
  </si>
  <si>
    <t>paku23csaiml@cmrit.ac.in</t>
  </si>
  <si>
    <t xml:space="preserve">pap23csaiml@cmrit.ac.in </t>
  </si>
  <si>
    <t>prn23csaiml@cmrit.ac.in</t>
  </si>
  <si>
    <t>prma23csaiml@cmrit.ac.in</t>
  </si>
  <si>
    <t>rajo23csaiml@cmrit.ac.in</t>
  </si>
  <si>
    <t>rapa23csaiml@cmrit.ac.in</t>
  </si>
  <si>
    <t>roae23csaiml@cmrit.ac.in</t>
  </si>
  <si>
    <t>sade23csaiml@cmrit.ac.in</t>
  </si>
  <si>
    <t>sech23csaiml@cmrit.ac.in</t>
  </si>
  <si>
    <t>shpo23csaiml@cmrit.ac.in</t>
  </si>
  <si>
    <t>shsa23csaiml@cmrit.ac.in</t>
  </si>
  <si>
    <t>shdh23csaiml@cmrit.ac.in</t>
  </si>
  <si>
    <t>srs23csaiml@cmrit.ac.in</t>
  </si>
  <si>
    <t>taa23csaiml@cmrit.ac.in</t>
  </si>
  <si>
    <t>vas23csaiml@cmrit.ac.in</t>
  </si>
  <si>
    <t>vasa23csaiml@cmrit.ac.in</t>
  </si>
  <si>
    <t>muna23csaiml@cmrit.ac.in</t>
  </si>
  <si>
    <t>yara23csaiml@cmrit.ac.in</t>
  </si>
  <si>
    <t>alsr23csaiml@cmrit.ac.in</t>
  </si>
  <si>
    <t>rivo23csaiml@cmrit.ac.in</t>
  </si>
  <si>
    <t>sahr23csaiml@cmrit.ac.in</t>
  </si>
  <si>
    <t>vke23csaiml@cmrit.ac.in</t>
  </si>
  <si>
    <t>nisa23csaiml@cmrit.ac.in</t>
  </si>
  <si>
    <t>arab23csaiml@cmrit.ac.in</t>
  </si>
  <si>
    <t>shpn23csaiml@cmrit.ac.in</t>
  </si>
  <si>
    <t>prha23csaiml@cmrit.ac.in</t>
  </si>
  <si>
    <t>pima23csaiml@cmrit.ac.in</t>
  </si>
  <si>
    <t>bhpa23csaiml@cmrit.ac.in</t>
  </si>
  <si>
    <t>rasg23csaiml@cmrit.ac.in</t>
  </si>
  <si>
    <t>abmo23csaiml@cmrit.ac.in</t>
  </si>
  <si>
    <t>shpa23csaiml@cmrit.ac.in</t>
  </si>
  <si>
    <t>pupu23csaiml@cmrit.ac.in</t>
  </si>
  <si>
    <t>smr23csaiml@cmrit.ac.in</t>
  </si>
  <si>
    <t>fara23csaiml@cmrit.ac.in</t>
  </si>
  <si>
    <t>mdza23csaiml@cmrit.ac.in</t>
  </si>
  <si>
    <t>sara23csaiml@cmrit.ac.in</t>
  </si>
  <si>
    <t>nar23csaiml@cmrit.ac.in</t>
  </si>
  <si>
    <t>kya23csaiml@cmrit.ac.in</t>
  </si>
  <si>
    <t>vim23csaiml@cmrit.ac.in</t>
  </si>
  <si>
    <t>mcre23csaiml@cmrit.ac.in</t>
  </si>
  <si>
    <t>adsi23aiml@cmrit.ac.in</t>
  </si>
  <si>
    <t>aiko23aiml@cmrit.ac.in</t>
  </si>
  <si>
    <t>alth23aiml@cmrit.ac.in</t>
  </si>
  <si>
    <t>anjh23aiml@cmrit.ac.in</t>
  </si>
  <si>
    <t>apsh23aiml@cmrit.ac.in</t>
  </si>
  <si>
    <t>arba23aiml@cmrit.ac.in</t>
  </si>
  <si>
    <t>arth23aiml@cmrit.ac.in</t>
  </si>
  <si>
    <t>aygu23aiml@cmrit.ac.in</t>
  </si>
  <si>
    <t>baad23aiml@cmrit.ac.in</t>
  </si>
  <si>
    <t>bas23aiml@cmrit.ac.in</t>
  </si>
  <si>
    <t>bhga23aiml@cmrit.ac.in</t>
  </si>
  <si>
    <t>drte23aiml@cmrit.ac.in</t>
  </si>
  <si>
    <t>dan23aiml@cmrit.ac.in</t>
  </si>
  <si>
    <t>deba23aiml@cmrit.ac.in</t>
  </si>
  <si>
    <t>dhsa23aiml@cmrit.ac.in</t>
  </si>
  <si>
    <t>dimn23aiml@cmrit.ac.in</t>
  </si>
  <si>
    <t>dis23aiml@cmrit.ac.in</t>
  </si>
  <si>
    <t>fra23aiml@cmrit.ac.in</t>
  </si>
  <si>
    <t>gak23aiml@cmrit.ac.in</t>
  </si>
  <si>
    <t>hara23aiml@cmrit.ac.in</t>
  </si>
  <si>
    <t>jago23aiml@cmrit.ac.in</t>
  </si>
  <si>
    <t>kewa23aiml@cmrit.ac.in</t>
  </si>
  <si>
    <t>khve23aiml@cmrit.ac.in</t>
  </si>
  <si>
    <t>kore23aiml@cmrit.ac.in</t>
  </si>
  <si>
    <t>mama23aiml@cmrit.ac.in</t>
  </si>
  <si>
    <t>ma23aiml@cmrit.ac.in</t>
  </si>
  <si>
    <t>masu23aiml@cmrit.ac.in</t>
  </si>
  <si>
    <t>masa23aiml@cmrit.ac.in</t>
  </si>
  <si>
    <t>mina23aiml@cmrit.ac.in</t>
  </si>
  <si>
    <t>mokh23aiml@cmrit.ac.in</t>
  </si>
  <si>
    <t>moma23aiml@cmrit.ac.in</t>
  </si>
  <si>
    <t>mota23aiml@cmrit.ac.in</t>
  </si>
  <si>
    <t>moja23aiml@cmrit.ac.in</t>
  </si>
  <si>
    <t>mored23aiml@cmrit.ac.in</t>
  </si>
  <si>
    <t>nipr23aiml@cmrit.ac.in</t>
  </si>
  <si>
    <t>ann23aiml@cmrit.ac.in</t>
  </si>
  <si>
    <t>bich23aiml@cmrit.ac.in</t>
  </si>
  <si>
    <t>dech23aiml@cmrit.ac.in</t>
  </si>
  <si>
    <t>mah23aiml@cmrit.ac.in</t>
  </si>
  <si>
    <t>jyj23aiml@cmrit.ac.in</t>
  </si>
  <si>
    <t>anya23aiml@cmrit.ac.in</t>
  </si>
  <si>
    <t>nich23aiml@cmrit.ac.in</t>
  </si>
  <si>
    <t>magj23aiml@cmrit.ac.in</t>
  </si>
  <si>
    <t>aypo23aiml@cmrit.ac.in</t>
  </si>
  <si>
    <t>rona23aiml@cmrit.ac.in</t>
  </si>
  <si>
    <t>jeka23aiml@cmrit.ac.in</t>
  </si>
  <si>
    <t>imsh23aiml@cmrit.ac.in</t>
  </si>
  <si>
    <t>bhm23aiml@cmrit.ac.in</t>
  </si>
  <si>
    <t>more23aiml@cmrit.ac.in</t>
  </si>
  <si>
    <t>gosh23aiml@cmrit.ac.in</t>
  </si>
  <si>
    <t>ski23aiml@cmrit.ac.in</t>
  </si>
  <si>
    <t>kish23aiml@cmrit.ac.in</t>
  </si>
  <si>
    <t>koha23aiml@cmrit.ac.in</t>
  </si>
  <si>
    <t>shhe23aiml@cmrit.ac.in</t>
  </si>
  <si>
    <t>baaa23aiml@cmrit.ac.in</t>
  </si>
  <si>
    <t>dula23aiml@cmrit.ac.in</t>
  </si>
  <si>
    <t>mads23aiml@cmrit.ac.in</t>
  </si>
  <si>
    <t>chsi23aiml@cmrit.ac.in</t>
  </si>
  <si>
    <t>rira23aiml@cmrit.ac.in</t>
  </si>
  <si>
    <t>chki23aiml@cmrit.ac.in</t>
  </si>
  <si>
    <t>chm23aiml@cmrit.ac.in</t>
  </si>
  <si>
    <t>msh23aiml@cmrit.ac.in</t>
  </si>
  <si>
    <t>harl23aiml@cmrit.ac.in</t>
  </si>
  <si>
    <t>srma23aiml@cmrit.ac.in</t>
  </si>
  <si>
    <t>kmvi23aiml@cmrit.ac.in</t>
  </si>
  <si>
    <t>chra23aiml@cmrit.ac.in</t>
  </si>
  <si>
    <t>shsh23aiml@cmrit.ac.in</t>
  </si>
  <si>
    <t>pr23aiml@cmrit.ac.in</t>
  </si>
  <si>
    <t>suah23aiml@cmrit.ac.in</t>
  </si>
  <si>
    <t>yaja23aiml@cmrit.ac.in</t>
  </si>
  <si>
    <t>nish23aiml@cmrit.ac.in</t>
  </si>
  <si>
    <t>psh23aiml@cmrit.ac.in</t>
  </si>
  <si>
    <t>prde23aiml@cmrit.ac.in</t>
  </si>
  <si>
    <t>prch23aiml@cmrit.ac.in</t>
  </si>
  <si>
    <t>prla23aiml@cmrit.ac.in</t>
  </si>
  <si>
    <t>prsi23aiml@cmrit.ac.in</t>
  </si>
  <si>
    <t>rsu23aiml@cmrit.ac.in</t>
  </si>
  <si>
    <t>raag23aiml@cmrit.ac.in</t>
  </si>
  <si>
    <t>ra23aiml@cmrit.ac.in</t>
  </si>
  <si>
    <t>raar23aiml@cmrit.ac.in</t>
  </si>
  <si>
    <t>ras23aiml@cmrit.ac.in</t>
  </si>
  <si>
    <t>raa23aiml@cmrit.ac.in</t>
  </si>
  <si>
    <t>ravi23aiml@cmrit.ac.in</t>
  </si>
  <si>
    <t>sak23aiml@cmrit.ac.in</t>
  </si>
  <si>
    <t>sama23aiml@cmrit.ac.in</t>
  </si>
  <si>
    <t>saha23aiml@cmrit.ac.in</t>
  </si>
  <si>
    <t>sara23aiml@cmrit.ac.in</t>
  </si>
  <si>
    <t>sahi23aiml@cmrit.ac.in</t>
  </si>
  <si>
    <t>sash23aiml@cmrit.ac.in</t>
  </si>
  <si>
    <t>shag23aiml@cmrit.ac.in</t>
  </si>
  <si>
    <t>shar23aiml@cmrit.ac.in</t>
  </si>
  <si>
    <t>shr23aiml@cmrit.ac.in</t>
  </si>
  <si>
    <t>sura23aiml@cmrit.ac.in</t>
  </si>
  <si>
    <t>tach23aiml@cmrit.ac.in</t>
  </si>
  <si>
    <t>thc23aiml@cmrit.ac.in</t>
  </si>
  <si>
    <t>thb23aiml@cmrit.ac.in</t>
  </si>
  <si>
    <t>udra23aiml@cmrit.ac.in</t>
  </si>
  <si>
    <t>vava23aiml@cmrit.ac.in</t>
  </si>
  <si>
    <t>vedu23aiml@cmrit.ac.in</t>
  </si>
  <si>
    <t>veve23aiml@cmrit.ac.in</t>
  </si>
  <si>
    <t>vish23aiml@cmrit.ac.in</t>
  </si>
  <si>
    <t>rar23aiml@cmrit.ac.in</t>
  </si>
  <si>
    <t>shs23aiml@cmrit.ac.in</t>
  </si>
  <si>
    <t>vagr23aiml@cmrit.ac.in</t>
  </si>
  <si>
    <t>veab23aiml@cmrit.ac.in</t>
  </si>
  <si>
    <t>raes23aiml@cmrit.ac.in</t>
  </si>
  <si>
    <t>teg23aiml@cmrit.ac.in</t>
  </si>
  <si>
    <t>thr23aiml@cmrit.ac.in</t>
  </si>
  <si>
    <t>vis23aiml@cmrit.ac.in</t>
  </si>
  <si>
    <t>yan23aiml@cmrit.ac.in</t>
  </si>
  <si>
    <t>nagt23aiml@cmrit.ac.in</t>
  </si>
  <si>
    <t>tash23aiml@cmrit.ac.in</t>
  </si>
  <si>
    <t>vesh23aiml@cmrit.ac.in</t>
  </si>
  <si>
    <t>stka23aiml@cmrit.ac.in</t>
  </si>
  <si>
    <t>yag23aiml@cmrit.ac.in</t>
  </si>
  <si>
    <t>vapa23aiml@cmrit.ac.in</t>
  </si>
  <si>
    <t>nakh23aiml@cmrit.ac.in</t>
  </si>
  <si>
    <t>vav23aiml@cmrit.ac.in</t>
  </si>
  <si>
    <t>dhsh23aiml@cmrit.ac.in</t>
  </si>
  <si>
    <t>ssa23aiml@cmrit.ac.in</t>
  </si>
  <si>
    <t>gpr23aiml@cmrit.ac.in</t>
  </si>
  <si>
    <t>mysm23aiml@cmrit.ac.in</t>
  </si>
  <si>
    <t>pag23aiml@cmrit.ac.in</t>
  </si>
  <si>
    <t>rika23aiml@cmrit.ac.in</t>
  </si>
  <si>
    <t>vihr23aiml@cmrit.ac.in</t>
  </si>
  <si>
    <t>moaq23aiml@cmrit.ac.in</t>
  </si>
  <si>
    <t>moab23aiml@cmrit.ac.in</t>
  </si>
  <si>
    <t>pahe23aiml@cmrit.ac.in</t>
  </si>
  <si>
    <t>rav23aiml@cmrit.ac.in</t>
  </si>
  <si>
    <t>sas23aiml@cmrit.ac.in</t>
  </si>
  <si>
    <t>nib23aiml@cmrit.ac.in</t>
  </si>
  <si>
    <t>tata23aiml@cmrit.ac.in</t>
  </si>
  <si>
    <t>maha23aiml@cmrit.ac.in</t>
  </si>
  <si>
    <t>ampa23aiml@cmrit.ac.in</t>
  </si>
  <si>
    <t>prlo23aiml@cmrit.ac.in</t>
  </si>
  <si>
    <t>nimi23aiml@cmrit.ac.in</t>
  </si>
  <si>
    <t>tepa23aiml@cmrit.ac.in</t>
  </si>
  <si>
    <t>lekh23aiml@cmrit.ac.in</t>
  </si>
  <si>
    <t>ara23ainds@cmrit.ac.in</t>
  </si>
  <si>
    <t>abku23ainds@cmrit.ac.in</t>
  </si>
  <si>
    <t>adi23ainds@cmrit.ac.in</t>
  </si>
  <si>
    <t>aksu23ainds@cmrit.ac.in</t>
  </si>
  <si>
    <t>aks23ainds@cmrit.ac.in</t>
  </si>
  <si>
    <t>amam23ainds@cmrit.ac.in</t>
  </si>
  <si>
    <t>anb23ainds@cmrit.ac.in</t>
  </si>
  <si>
    <t>apth23ainds@cmrit.ac.in</t>
  </si>
  <si>
    <t>baar23ainds@cmrit.ac.in</t>
  </si>
  <si>
    <t>araa23ainds@cmrit.ac.in</t>
  </si>
  <si>
    <t>arka23ainds@cmrit.ac.in</t>
  </si>
  <si>
    <t>arvs23ainds@cmrit.ac.in</t>
  </si>
  <si>
    <t>aypu23ainds@cmrit.ac.in</t>
  </si>
  <si>
    <t>bhpa23ainds@cmrit.ac.in</t>
  </si>
  <si>
    <t>chna23ainds@cmrit.ac.in</t>
  </si>
  <si>
    <t>cha23ainds@cmrit.ac.in</t>
  </si>
  <si>
    <t>chku23ainds@cmrit.ac.in</t>
  </si>
  <si>
    <t>fina23ainds@cmrit.ac.in</t>
  </si>
  <si>
    <t>gah23ainds@cmrit.ac.in</t>
  </si>
  <si>
    <t>goya23ainds@cmrit.ac.in</t>
  </si>
  <si>
    <t>habe23ainds@cmrit.ac.in</t>
  </si>
  <si>
    <t>hasj23ainds@cmrit.ac.in</t>
  </si>
  <si>
    <t>hak23ainds@cmrit.ac.in</t>
  </si>
  <si>
    <t>joma23ainds@cmrit.ac.in</t>
  </si>
  <si>
    <t>kdh23ainds@cmrit.ac.in</t>
  </si>
  <si>
    <t>kare23ainds@cmrit.ac.in</t>
  </si>
  <si>
    <t>kaku23ainds@cmrit.ac.in</t>
  </si>
  <si>
    <t>keb23ainds@cmrit.ac.in</t>
  </si>
  <si>
    <t>keve23ainds@cmrit.ac.in</t>
  </si>
  <si>
    <t>kusa23ainds@cmrit.ac.in</t>
  </si>
  <si>
    <t>kush23ainds@cmrit.ac.in</t>
  </si>
  <si>
    <t>lare23ainds@cmrit.ac.in</t>
  </si>
  <si>
    <t>lic23ainds@cmrit.ac.in</t>
  </si>
  <si>
    <t>lor23ainds@cmrit.ac.in</t>
  </si>
  <si>
    <t>mppr23ainds@cmrit.ac.in</t>
  </si>
  <si>
    <t>amn23ainds@cmrit.ac.in</t>
  </si>
  <si>
    <t>habm23ainds@cmrit.ac.in</t>
  </si>
  <si>
    <t>hil23ainds@cmrit.ac.in</t>
  </si>
  <si>
    <t>khhe23ainds@cmrit.ac.in</t>
  </si>
  <si>
    <t>mudi23ainds@cmrit.ac.in</t>
  </si>
  <si>
    <t>nikm23ainds@cmrit.ac.in</t>
  </si>
  <si>
    <t>ansh23ainds@cmrit.ac.in</t>
  </si>
  <si>
    <t>avma23ainds@cmrit.ac.in</t>
  </si>
  <si>
    <t>dhdh23ainds@cmrit.ac.in</t>
  </si>
  <si>
    <t>anpr23ainds@cmrit.ac.in</t>
  </si>
  <si>
    <t>mgu23ainds@cmrit.ac.in</t>
  </si>
  <si>
    <t>haas23ainds@cmrit.ac.in</t>
  </si>
  <si>
    <t>nash23ainds@cmrit.ac.in</t>
  </si>
  <si>
    <t>aara23ainds@cmrit.ac.in</t>
  </si>
  <si>
    <t>sapa23ainds@cmrit.ac.in</t>
  </si>
  <si>
    <t>kapr23ainds@cmrit.ac.in</t>
  </si>
  <si>
    <t>kka23ainds@cmrit.ac.in</t>
  </si>
  <si>
    <t>adbh23ainds@cmrit.ac.in</t>
  </si>
  <si>
    <t>arsu23ainds@cmrit.ac.in</t>
  </si>
  <si>
    <t>sum23ainds@cmrit.ac.in</t>
  </si>
  <si>
    <t>sabu23ainds@cmrit.ac.in</t>
  </si>
  <si>
    <t>bhka23ainds@cmrit.ac.in</t>
  </si>
  <si>
    <t>jy23ainds@cmrit.ac.in</t>
  </si>
  <si>
    <t>krsp23ainds@cmrit.ac.in</t>
  </si>
  <si>
    <t>jiku23ainds@cmrit.ac.in</t>
  </si>
  <si>
    <t>nha23ainds@cmrit.ac.in</t>
  </si>
  <si>
    <t>adsh23ainds@cmrit.ac.in</t>
  </si>
  <si>
    <t>abas23ainds@cmrit.ac.in</t>
  </si>
  <si>
    <t>aksh23ainds@cmrit.ac.in</t>
  </si>
  <si>
    <t>hebs23ainds@cmrit.ac.in</t>
  </si>
  <si>
    <t>suth23ainds@cmrit.ac.in</t>
  </si>
  <si>
    <t>spg23ainds@cmrit.ac.in</t>
  </si>
  <si>
    <t>shkh23ainds@cmrit.ac.in</t>
  </si>
  <si>
    <t>mre23ainds@cmrit.ac.in</t>
  </si>
  <si>
    <t>maro23ainds@cmrit.ac.in</t>
  </si>
  <si>
    <t>mach23ainds@cmrit.ac.in</t>
  </si>
  <si>
    <t>ra23ainds@cmrit.ac.in</t>
  </si>
  <si>
    <t>mrve23ainds@cmrit.ac.in</t>
  </si>
  <si>
    <t>namn23ainds@cmrit.ac.in</t>
  </si>
  <si>
    <t>ni23ainds@cmrit.ac.in</t>
  </si>
  <si>
    <t>nidr23ainds@cmrit.ac.in</t>
  </si>
  <si>
    <t>niku23ainds@cmrit.ac.in</t>
  </si>
  <si>
    <t>prj23ainds@cmrit.ac.in</t>
  </si>
  <si>
    <t>prra23ainds@cmrit.ac.in</t>
  </si>
  <si>
    <t>prva23ainds@cmrit.ac.in</t>
  </si>
  <si>
    <t>pure23ainds@cmrit.ac.in</t>
  </si>
  <si>
    <t>righ23ainds@cmrit.ac.in</t>
  </si>
  <si>
    <t>sana23ainds@cmrit.ac.in</t>
  </si>
  <si>
    <t>shku23ainds@cmrit.ac.in</t>
  </si>
  <si>
    <t>shgu23ainds@cmrit.ac.in</t>
  </si>
  <si>
    <t>shsi23ainds@cmrit.ac.in</t>
  </si>
  <si>
    <t>shun23ainds@cmrit.ac.in</t>
  </si>
  <si>
    <t>shm23ainds@cmrit.ac.in</t>
  </si>
  <si>
    <t>sis23ainds@cmrit.ac.in</t>
  </si>
  <si>
    <t>sopa23ainds@cmrit.ac.in</t>
  </si>
  <si>
    <t>sush23ainds@cmrit.ac.in</t>
  </si>
  <si>
    <t>syob23ainds@cmrit.ac.in</t>
  </si>
  <si>
    <t>tabr23ainds@cmrit.ac.in</t>
  </si>
  <si>
    <t>vana23ainds@cmrit.ac.in</t>
  </si>
  <si>
    <t>val23ainds@cmrit.ac.in</t>
  </si>
  <si>
    <t>vikc23ainds@cmrit.ac.in</t>
  </si>
  <si>
    <t>vikh23ainds@cmrit.ac.in</t>
  </si>
  <si>
    <t>viku23ainds@cmrit.ac.in</t>
  </si>
  <si>
    <t>yaro23ainds@cmrit.ac.in</t>
  </si>
  <si>
    <t>yade23ainds@cmrit.ac.in</t>
  </si>
  <si>
    <t>yovi23ainds@cmrit.ac.in</t>
  </si>
  <si>
    <t>rarn23ainds@cmrit.ac.in</t>
  </si>
  <si>
    <t>sal23ainds@cmrit.ac.in</t>
  </si>
  <si>
    <t>shle23ainds@cmrit.ac.in</t>
  </si>
  <si>
    <t>veuv23ainds@cmrit.ac.in</t>
  </si>
  <si>
    <t>mash23ainds@cmrit.ac.in</t>
  </si>
  <si>
    <t>naga23ainds@cmrit.ac.in</t>
  </si>
  <si>
    <t>nap23ainds@cmrit.ac.in</t>
  </si>
  <si>
    <t>niv23ainds@cmrit.ac.in</t>
  </si>
  <si>
    <t>same23ainds@cmrit.ac.in</t>
  </si>
  <si>
    <t>momo23ainds@cmrit.ac.in</t>
  </si>
  <si>
    <t>mufa23ainds@cmrit.ac.in</t>
  </si>
  <si>
    <t>pa23ainds@cmrit.ac.in</t>
  </si>
  <si>
    <t>kup23ainds@cmrit.ac.in</t>
  </si>
  <si>
    <t>saha23ainds@cmrit.ac.in</t>
  </si>
  <si>
    <t>rash23ainds@cmrit.ac.in</t>
  </si>
  <si>
    <t>rahm23ainds@cmrit.ac.in</t>
  </si>
  <si>
    <t>makp23ainds@cmrit.ac.in</t>
  </si>
  <si>
    <t>bhym23ainds@cmrit.ac.in</t>
  </si>
  <si>
    <t>tad23ainds@cmrit.ac.in</t>
  </si>
  <si>
    <t>nanv23ainds@cmrit.ac.in</t>
  </si>
  <si>
    <t>ripa23ainds@cmrit.ac.in</t>
  </si>
  <si>
    <t>sig23ainds@cmrit.ac.in</t>
  </si>
  <si>
    <t>mofa23ainds@cmrit.ac.in</t>
  </si>
  <si>
    <t>iqfa23ainds@cmrit.ac.in</t>
  </si>
  <si>
    <t>vmsa23ainds@cmrit.ac.in</t>
  </si>
  <si>
    <t>srcy23ainds@cmrit.ac.in</t>
  </si>
  <si>
    <t>pras23ainds@cmrit.ac.in</t>
  </si>
  <si>
    <t>aiha23ainds@cmrit.ac.in</t>
  </si>
  <si>
    <t>anra23ainds@cmrit.ac.in</t>
  </si>
  <si>
    <t>saks23ainds@cmrit.ac.in</t>
  </si>
  <si>
    <t>aagu23cs@cmrit.ac.in</t>
  </si>
  <si>
    <t>aaru23cs@cmrit.ac.in</t>
  </si>
  <si>
    <t>aaup23cs@cmrit.ac.in</t>
  </si>
  <si>
    <t>abro23cs@cmrit.ac.in</t>
  </si>
  <si>
    <t>adsy23cs@cmrit.ac.in</t>
  </si>
  <si>
    <t>adpr23cs@cmrit.ac.in</t>
  </si>
  <si>
    <t>adha23cs@cmrit.ac.in</t>
  </si>
  <si>
    <t>adsa23cs@cmrit.ac.in</t>
  </si>
  <si>
    <t>akbv23cs@cmrit.ac.in</t>
  </si>
  <si>
    <t>akri23cs@cmrit.ac.in</t>
  </si>
  <si>
    <t>alja23cs@cmrit.ac.in</t>
  </si>
  <si>
    <t>anki23cs@cmrit.ac.in</t>
  </si>
  <si>
    <t>anku23cs@cmrit.ac.in</t>
  </si>
  <si>
    <t>anvi23cs@cmrit.ac.in</t>
  </si>
  <si>
    <t>anch23cs@cmrit.ac.in</t>
  </si>
  <si>
    <t>anho23cs@cmrit.ac.in</t>
  </si>
  <si>
    <t>ansu23cs@cmrit.ac.in</t>
  </si>
  <si>
    <t>hama23cs@cmrit.ac.in</t>
  </si>
  <si>
    <t>bkra23cs@cmrit.ac.in</t>
  </si>
  <si>
    <t>bama23cs@cmrit.ac.in</t>
  </si>
  <si>
    <t>bide23cs@cmrit.ac.in</t>
  </si>
  <si>
    <t>chr 23cs@cmrit.ac.in</t>
  </si>
  <si>
    <t>chta23cs@cmrit.ac.in</t>
  </si>
  <si>
    <t>dere23cs@cmrit.ac.in</t>
  </si>
  <si>
    <t>dhn23cs@cmrit.ac.in</t>
  </si>
  <si>
    <t>dhm23cs@cmrit.ac.in</t>
  </si>
  <si>
    <t>ndh23cs@cmrit.ac.in</t>
  </si>
  <si>
    <t>dire23cs@cmrit.ac.in</t>
  </si>
  <si>
    <t>drar23cs@cmrit.ac.in</t>
  </si>
  <si>
    <t>gbsa23cs@cmrit.ac.in</t>
  </si>
  <si>
    <t>gav23cs@cmrit.ac.in</t>
  </si>
  <si>
    <t>gasa23cs@cmrit.ac.in</t>
  </si>
  <si>
    <t>hava23cs@cmrit.ac.in</t>
  </si>
  <si>
    <t>hami23cs@cmrit.ac.in</t>
  </si>
  <si>
    <t>hini23cs@cmrit.ac.in</t>
  </si>
  <si>
    <t>isra23cs@cmrit.ac.in</t>
  </si>
  <si>
    <t>jrra23cs@cmrit.ac.in</t>
  </si>
  <si>
    <t>jssr23cs@cmrit.ac.in</t>
  </si>
  <si>
    <t>jast23cs@cmrit.ac.in</t>
  </si>
  <si>
    <t>jan23cs@cmrit.ac.in</t>
  </si>
  <si>
    <t>ankr23cs@cmrit.ac.in</t>
  </si>
  <si>
    <t>ansi23cs@cmrit.ac.in</t>
  </si>
  <si>
    <t>aywa23cs@cmrit.ac.in</t>
  </si>
  <si>
    <t>avre23cs@cmrit.ac.in</t>
  </si>
  <si>
    <t>ajk23cs@cmrit.ac.in</t>
  </si>
  <si>
    <t>chs23cs@cmrit.ac.in</t>
  </si>
  <si>
    <t>dedu23cs@cmrit.ac.in</t>
  </si>
  <si>
    <t>aagup23cs@cmrit.ac.in</t>
  </si>
  <si>
    <t>aadgu23cs@cmrit.ac.in</t>
  </si>
  <si>
    <t>ka23cs@cmrit.ac.in</t>
  </si>
  <si>
    <t>kr23cs@cmrit.ac.in</t>
  </si>
  <si>
    <t>abba23cs@cmrit.ac.in</t>
  </si>
  <si>
    <t>abmi23cs@cmrit.ac.in</t>
  </si>
  <si>
    <t>saba23cs@cmrit.ac.in</t>
  </si>
  <si>
    <t>gosh23cs@cmrit.ac.in</t>
  </si>
  <si>
    <t>arch23cs@cmrit.ac.in</t>
  </si>
  <si>
    <t>kata23cs@cmrit.ac.in</t>
  </si>
  <si>
    <t>mbbi23cs@cmrit.ac.in</t>
  </si>
  <si>
    <t>gari23cs@cmrit.ac.in</t>
  </si>
  <si>
    <t>aaoj23cs@cmrit.ac.in</t>
  </si>
  <si>
    <t>as23cs@cmrit.ac.in</t>
  </si>
  <si>
    <t>aiai23cs@cmrit.ac.in</t>
  </si>
  <si>
    <t>govu23cs@cmrit.ac.in</t>
  </si>
  <si>
    <t>debh23cs@cmrit.ac.in</t>
  </si>
  <si>
    <t>dhse23cs@cmrit.ac.in</t>
  </si>
  <si>
    <t>didb23cs@cmrit.ac.in</t>
  </si>
  <si>
    <t>ke23cs@cmrit.ac.in</t>
  </si>
  <si>
    <t>prpr23cs@cmrit.ac.in</t>
  </si>
  <si>
    <t>aj23cs@cmrit.ac.in</t>
  </si>
  <si>
    <t>nika23cs@cmrit.ac.in</t>
  </si>
  <si>
    <t>hig23cs@cmrit.ac.in</t>
  </si>
  <si>
    <t>aish23cs@cmrit.ac.in</t>
  </si>
  <si>
    <t>shsv23cs@cmrit.ac.in</t>
  </si>
  <si>
    <t>jave23cs@cmrit.ac.in</t>
  </si>
  <si>
    <t>jel23cs@cmrit.ac.in</t>
  </si>
  <si>
    <t>kaku23cs@cmrit.ac.in</t>
  </si>
  <si>
    <t>kova23cs@cmrit.ac.in</t>
  </si>
  <si>
    <t>krku23cs@cmrit.ac.in</t>
  </si>
  <si>
    <t>kuga23cs@cmrit.ac.in</t>
  </si>
  <si>
    <t>lebi23cs@cmrit.ac.in</t>
  </si>
  <si>
    <t>logo23cs@cmrit.ac.in</t>
  </si>
  <si>
    <t>anm23cs@cmrit.ac.in</t>
  </si>
  <si>
    <t>msh23cs@cmrit.ac.in</t>
  </si>
  <si>
    <t>manm23cs@cmrit.ac.in</t>
  </si>
  <si>
    <t>mark23cs@cmrit.ac.in</t>
  </si>
  <si>
    <t>mam23cs@cmrit.ac.in</t>
  </si>
  <si>
    <t>mdra23cs@cmrit.ac.in</t>
  </si>
  <si>
    <t>moas23cs@cmrit.ac.in</t>
  </si>
  <si>
    <t>moku23cs@cmrit.ac.in</t>
  </si>
  <si>
    <t>tara23cs@cmrit.ac.in</t>
  </si>
  <si>
    <t>mush23cs@cmrit.ac.in</t>
  </si>
  <si>
    <t>mura23cs@cmrit.ac.in</t>
  </si>
  <si>
    <t>nasr23cs@cmrit.ac.in</t>
  </si>
  <si>
    <t>naka23cs@cmrit.ac.in</t>
  </si>
  <si>
    <t>niku23cs@cmrit.ac.in</t>
  </si>
  <si>
    <t>nisk23cs@cmrit.ac.in</t>
  </si>
  <si>
    <t>yahm23cs@cmrit.ac.in</t>
  </si>
  <si>
    <t>rha23cs@cmrit.ac.in</t>
  </si>
  <si>
    <t>rli23cs@cmrit.ac.in</t>
  </si>
  <si>
    <t>rsn23cs@cmrit.ac.in</t>
  </si>
  <si>
    <t>rasr23cs@cmrit.ac.in</t>
  </si>
  <si>
    <t>ram23cs@cmrit.ac.in</t>
  </si>
  <si>
    <t>rab23cs@cmrit.ac.in</t>
  </si>
  <si>
    <t>rav23cs@cmrit.ac.in</t>
  </si>
  <si>
    <t>riup23cs@cmrit.ac.in</t>
  </si>
  <si>
    <t>roro23cs@cmrit.ac.in</t>
  </si>
  <si>
    <t>rojo23cs@cmrit.ac.in</t>
  </si>
  <si>
    <t>rosi23cs@cmrit.ac.in</t>
  </si>
  <si>
    <t>san23cs@cmrit.ac.in</t>
  </si>
  <si>
    <t>sma23cs@cmrit.ac.in</t>
  </si>
  <si>
    <t>ssn23cs@cmrit.ac.in</t>
  </si>
  <si>
    <t>iqha23cs@cmrit.ac.in</t>
  </si>
  <si>
    <t>japa23cs@cmrit.ac.in</t>
  </si>
  <si>
    <t>kepa23cs@cmrit.ac.in</t>
  </si>
  <si>
    <t>lov23cs@cmrit.ac.in</t>
  </si>
  <si>
    <t>paka23cs@cmrit.ac.in</t>
  </si>
  <si>
    <t>prho23cs@cmrit.ac.in</t>
  </si>
  <si>
    <t>riag23cs@cmrit.ac.in</t>
  </si>
  <si>
    <t>kakl23cs@cmrit.ac.in</t>
  </si>
  <si>
    <t>sush23cs@cmrit.ac.in</t>
  </si>
  <si>
    <t>adbh23cs@cmrit.ac.in</t>
  </si>
  <si>
    <t>aach23cs@cmrit.ac.in</t>
  </si>
  <si>
    <t>pami23cs@cmrit.ac.in</t>
  </si>
  <si>
    <t>nev23cs@cmrit.ac.in</t>
  </si>
  <si>
    <t>pabr23cs@cmrit.ac.in</t>
  </si>
  <si>
    <t>abch23cs@cmrit.ac.in</t>
  </si>
  <si>
    <t>bka23cs@cmrit.ac.in</t>
  </si>
  <si>
    <t>mach23cs@cmrit.ac.in</t>
  </si>
  <si>
    <t>rioj23cs@cmrit.ac.in</t>
  </si>
  <si>
    <t>niba23cs@cmrit.ac.in</t>
  </si>
  <si>
    <t>reth23cs@cmrit.ac.in</t>
  </si>
  <si>
    <t>men23cs@cmrit.ac.in</t>
  </si>
  <si>
    <t>hal23cs@cmrit.ac.in</t>
  </si>
  <si>
    <t>rash23cs@cmrit.ac.in</t>
  </si>
  <si>
    <t>pon23cs@cmrit.ac.in</t>
  </si>
  <si>
    <t>magn23cs@cmrit.ac.in</t>
  </si>
  <si>
    <t>dita23cs@cmrit.ac.in</t>
  </si>
  <si>
    <t>ak23cs@cmrit.ac.in</t>
  </si>
  <si>
    <t>yotn23cs@cmrit.ac.in</t>
  </si>
  <si>
    <t>naa23cs@cmrit.ac.in</t>
  </si>
  <si>
    <t>nak23cs@cmrit.ac.in</t>
  </si>
  <si>
    <t>shda23cs@cmrit.ac.in</t>
  </si>
  <si>
    <t>aaku23cs@cmrit.ac.in</t>
  </si>
  <si>
    <t>sap23cs@cmrit.ac.in</t>
  </si>
  <si>
    <t>sasat23cs@cmrit.ac.in</t>
  </si>
  <si>
    <t>sapr23cs@cmrit.ac.in</t>
  </si>
  <si>
    <t>sama23cs@cmrit.ac.in</t>
  </si>
  <si>
    <t>saro23cs@cmrit.ac.in</t>
  </si>
  <si>
    <t>saku23cs@cmrit.ac.in</t>
  </si>
  <si>
    <t>sare23cs@cmrit.ac.in</t>
  </si>
  <si>
    <t>shsu23cs@cmrit.ac.in</t>
  </si>
  <si>
    <t>shs23cs@cmrit.ac.in</t>
  </si>
  <si>
    <t>shn23cs@cmrit.ac.in</t>
  </si>
  <si>
    <t>shr23cs@cmrit.ac.in</t>
  </si>
  <si>
    <t>shra23cs@cmrit.ac.in</t>
  </si>
  <si>
    <t>sha23cs@cmrit.ac.in</t>
  </si>
  <si>
    <t>shdh23cs@cmrit.ac.in</t>
  </si>
  <si>
    <t>shja23cs@cmrit.ac.in</t>
  </si>
  <si>
    <t>shgu23cs@cmrit.ac.in</t>
  </si>
  <si>
    <t>shga23cs@cmrit.ac.in</t>
  </si>
  <si>
    <t>shsh23cs@cmrit.ac.in</t>
  </si>
  <si>
    <t>siba23cs@cmrit.ac.in</t>
  </si>
  <si>
    <t>sira23cs@cmrit.ac.in</t>
  </si>
  <si>
    <t>sob23cs@cmrit.ac.in</t>
  </si>
  <si>
    <t>srpo23cs@cmrit.ac.in</t>
  </si>
  <si>
    <t>suh23cs@cmrit.ac.in</t>
  </si>
  <si>
    <t>swsa23cs@cmrit.ac.in</t>
  </si>
  <si>
    <t>swna23cs@cmrit.ac.in</t>
  </si>
  <si>
    <t>taca23cs@cmrit.ac.in</t>
  </si>
  <si>
    <t>tajh23cs@cmrit.ac.in</t>
  </si>
  <si>
    <t>thsv23cs@cmrit.ac.in</t>
  </si>
  <si>
    <t>vak23cs@cmrit.ac.in</t>
  </si>
  <si>
    <t>vash23cs@cmrit.ac.in</t>
  </si>
  <si>
    <t>vede23cs@cmrit.ac.in</t>
  </si>
  <si>
    <t>vis23cs@cmrit.ac.in</t>
  </si>
  <si>
    <t>vyn23cs@cmrit.ac.in</t>
  </si>
  <si>
    <t>yaa23cs@cmrit.ac.in</t>
  </si>
  <si>
    <t>yare23cs@cmrit.ac.in</t>
  </si>
  <si>
    <t>zefa23cs@cmrit.ac.in</t>
  </si>
  <si>
    <t>monu23cs@cmrit.ac.in</t>
  </si>
  <si>
    <t>nidh23cs@cmrit.ac.in</t>
  </si>
  <si>
    <t>nim23cs@cmrit.ac.in</t>
  </si>
  <si>
    <t>pima23cs@cmrit.ac.in</t>
  </si>
  <si>
    <t>ran23cs@cmrit.ac.in</t>
  </si>
  <si>
    <t>rabh23cs@cmrit.ac.in</t>
  </si>
  <si>
    <t>sash23cs@cmrit.ac.in</t>
  </si>
  <si>
    <t>samba23cs@cmrit.ac.in</t>
  </si>
  <si>
    <t>sish23cs@cmrit.ac.in</t>
  </si>
  <si>
    <t>viy 23cs@cmrit.ac.in</t>
  </si>
  <si>
    <t>yabi23cs@cmrit.ac.in</t>
  </si>
  <si>
    <t>yan 23cs@cmrit.ac.in</t>
  </si>
  <si>
    <t>var23cs@cmrit.ac.in</t>
  </si>
  <si>
    <t>vik23cs@cmrit.ac.in</t>
  </si>
  <si>
    <t>sakc23cs@cmrit.ac.in</t>
  </si>
  <si>
    <t>sus23cs@cmrit.ac.in</t>
  </si>
  <si>
    <t>shkn23cs@cmrit.ac.in</t>
  </si>
  <si>
    <t>sade23cs@cmrit.ac.in</t>
  </si>
  <si>
    <t>krga23cs@cmrit.ac.in</t>
  </si>
  <si>
    <t>namr23cs@cmrit.ac.in</t>
  </si>
  <si>
    <t>sh23cs@cmrit.ac.in</t>
  </si>
  <si>
    <t>akj23cs@cmrit.ac.in</t>
  </si>
  <si>
    <t>rusk23cs@cmrit.ac.in</t>
  </si>
  <si>
    <t>uta23cs@cmrit.ac.in</t>
  </si>
  <si>
    <t>abhi23cs@cmrit.ac.in</t>
  </si>
  <si>
    <t>shgk23cs@cmrit.ac.in</t>
  </si>
  <si>
    <t>sass23cs@cmrit.ac.in</t>
  </si>
  <si>
    <t>amku23cs@cmrit.ac.in</t>
  </si>
  <si>
    <t>pabv23cs@cmrit.ac.in</t>
  </si>
  <si>
    <t>vata23cs@cmrit.ac.in</t>
  </si>
  <si>
    <t>pabm23cs@cmrit.ac.in</t>
  </si>
  <si>
    <t>yego23cs@cmrit.ac.in</t>
  </si>
  <si>
    <t>shpa23cs@cmrit.ac.in</t>
  </si>
  <si>
    <t>shcu23cs@cmrit.ac.in</t>
  </si>
  <si>
    <t>usb23cs@cmrit.ac.in</t>
  </si>
  <si>
    <t>ved23cs@cmrit.ac.in</t>
  </si>
  <si>
    <t>bhya23cs@cmrit.ac.in</t>
  </si>
  <si>
    <t>aadh23csds@cmrit.ac.in</t>
  </si>
  <si>
    <t>adbr23csds@cmrit.ac.in</t>
  </si>
  <si>
    <t>amsi23csds@cmrit.ac.in</t>
  </si>
  <si>
    <t>anku23csds@cmrit.ac.in</t>
  </si>
  <si>
    <t>as23csds@cmrit.ac.in</t>
  </si>
  <si>
    <t>baja23csds@cmrit.ac.in</t>
  </si>
  <si>
    <t>adbi23csds@cmrit.ac.in</t>
  </si>
  <si>
    <t>dera23csds@cmrit.ac.in</t>
  </si>
  <si>
    <t>gade23csds@cmrit.ac.in</t>
  </si>
  <si>
    <t>hama23csds@cmrit.ac.in</t>
  </si>
  <si>
    <t>jagu23csds@cmrit.ac.in</t>
  </si>
  <si>
    <t>kean23csds@cmrit.ac.in</t>
  </si>
  <si>
    <t>kesh23csds@cmrit.ac.in</t>
  </si>
  <si>
    <t>kire23csds@cmrit.ac.in</t>
  </si>
  <si>
    <t>lapi23csds@cmrit.ac.in</t>
  </si>
  <si>
    <t>loja23csds@cmrit.ac.in</t>
  </si>
  <si>
    <t>moha23csds@cmrit.ac.in</t>
  </si>
  <si>
    <t>muma23csds@cmrit.ac.in</t>
  </si>
  <si>
    <t>niki23csds@cmrit.ac.in</t>
  </si>
  <si>
    <t>nish23csds@cmrit.ac.in</t>
  </si>
  <si>
    <t>nis23csds@cmrit.ac.in</t>
  </si>
  <si>
    <t>bas23csds@cmrit.ac.in</t>
  </si>
  <si>
    <t>peku23csds@cmrit.ac.in</t>
  </si>
  <si>
    <t>prsa23csds@cmrit.ac.in</t>
  </si>
  <si>
    <t>prna23csds@cmrit.ac.in</t>
  </si>
  <si>
    <t>prku23csds@cmrit.ac.in</t>
  </si>
  <si>
    <t>prisa23csds@cmrit.ac.in</t>
  </si>
  <si>
    <t>rsu23csds@cmrit.ac.in</t>
  </si>
  <si>
    <t>rama23csds@cmrit.ac.in</t>
  </si>
  <si>
    <t>raj23csds@cmrit.ac.in</t>
  </si>
  <si>
    <t>abs23csds@cmrit.ac.in</t>
  </si>
  <si>
    <t>saka23csds@cmrit.ac.in</t>
  </si>
  <si>
    <t>sasa23csds@cmrit.ac.in</t>
  </si>
  <si>
    <t>sobe23csds@cmrit.ac.in</t>
  </si>
  <si>
    <t>tasa23csds@cmrit.ac.in</t>
  </si>
  <si>
    <t>vage23csds@cmrit.ac.in</t>
  </si>
  <si>
    <t>aare23csds@cmrit.ac.in</t>
  </si>
  <si>
    <t>akha23csds@cmrit.ac.in</t>
  </si>
  <si>
    <t>anu23csds@cmrit.ac.in</t>
  </si>
  <si>
    <t>hav23csds@cmrit.ac.in</t>
  </si>
  <si>
    <t>pha23csds@cmrit.ac.in</t>
  </si>
  <si>
    <t>vas23csds@cmrit.ac.in</t>
  </si>
  <si>
    <t>jama23csds@cmrit.ac.in</t>
  </si>
  <si>
    <t>dum23csds@cmrit.ac.in</t>
  </si>
  <si>
    <t>kesa23csds@cmrit.ac.in</t>
  </si>
  <si>
    <t>pasi23csds@cmrit.ac.in</t>
  </si>
  <si>
    <t>dhsi23csds@cmrit.ac.in</t>
  </si>
  <si>
    <t>jyjy23csds@cmrit.ac.in</t>
  </si>
  <si>
    <t>srs23csds@cmrit.ac.in</t>
  </si>
  <si>
    <t>vis23csds@cmrit.ac.in</t>
  </si>
  <si>
    <t>sajo23csds@cmrit.ac.in</t>
  </si>
  <si>
    <t>ansh23csds@cmrit.ac.in</t>
  </si>
  <si>
    <t>srpa23csds@cmrit.ac.in</t>
  </si>
  <si>
    <t>shm23csds@cmrit.ac.in</t>
  </si>
  <si>
    <t>brrb23csds@cmrit.ac.in</t>
  </si>
  <si>
    <t>chm23csds@cmrit.ac.in</t>
  </si>
  <si>
    <t>shsi23csds@cmrit.ac.in</t>
  </si>
  <si>
    <t>ab23csds@cmrit.ac.in</t>
  </si>
  <si>
    <t>kiku23csds@cmrit.ac.in</t>
  </si>
  <si>
    <t>cvi23csds@cmrit.ac.in</t>
  </si>
  <si>
    <t>apas23csds@cmrit.ac.in</t>
  </si>
  <si>
    <t>bpa23csds@cmrit.ac.in</t>
  </si>
  <si>
    <t>abku23ece@cmrit.ac.in</t>
  </si>
  <si>
    <t>abvr23ece@cmrit.ac.in</t>
  </si>
  <si>
    <t>aci23ece@cmrit.ac.in</t>
  </si>
  <si>
    <t>adar23ece@cmrit.ac.in</t>
  </si>
  <si>
    <t>adku23ece@cmrit.ac.in</t>
  </si>
  <si>
    <t>adna23ece@cmrit.ac.in</t>
  </si>
  <si>
    <t>akh23ece@cmrit.ac.in</t>
  </si>
  <si>
    <t>alra23ece@cmrit.ac.in</t>
  </si>
  <si>
    <t>amb23ece@cmrit.ac.in</t>
  </si>
  <si>
    <t>anpr23ece@cmrit.ac.in</t>
  </si>
  <si>
    <t>anan23ece@cmrit.ac.in</t>
  </si>
  <si>
    <t>anka23ece@cmrit.ac.in</t>
  </si>
  <si>
    <t>ansr23ece@cmrit.ac.in</t>
  </si>
  <si>
    <t>ard23ece@cmrit.ac.in</t>
  </si>
  <si>
    <t>ars23ece@cmrit.ac.in</t>
  </si>
  <si>
    <t>assi23ece@cmrit.ac.in</t>
  </si>
  <si>
    <t>ayh23ece@cmrit.ac.in</t>
  </si>
  <si>
    <t>ayku23ece@cmrit.ac.in</t>
  </si>
  <si>
    <t>aych23ece@cmrit.ac.in</t>
  </si>
  <si>
    <t>aygu23ece@cmrit.ac.in</t>
  </si>
  <si>
    <t>ayha23ece@cmrit.ac.in</t>
  </si>
  <si>
    <t>bde23ece@cmrit.ac.in</t>
  </si>
  <si>
    <t>bte23ece@cmrit.ac.in</t>
  </si>
  <si>
    <t>bhna23ece@cmrit.ac.in</t>
  </si>
  <si>
    <t>bhk23ece@cmrit.ac.in</t>
  </si>
  <si>
    <t>biku23ece@cmrit.ac.in</t>
  </si>
  <si>
    <t>bomo23ece@cmrit.ac.in</t>
  </si>
  <si>
    <t>cvye23ece@cmrit.ac.in</t>
  </si>
  <si>
    <t>cha23ece@cmrit.ac.in</t>
  </si>
  <si>
    <t>chsr23ece@cmrit.ac.in</t>
  </si>
  <si>
    <t>chsa23ece@cmrit.ac.in</t>
  </si>
  <si>
    <t>dajo23ece@cmrit.ac.in</t>
  </si>
  <si>
    <t>dude23ece@cmrit.ac.in</t>
  </si>
  <si>
    <t>faah23ece@cmrit.ac.in</t>
  </si>
  <si>
    <t>faas23ece@cmrit.ac.in</t>
  </si>
  <si>
    <t>gaja23ece@cmrit.ac.in</t>
  </si>
  <si>
    <t>gaan23ece@cmrit.ac.in</t>
  </si>
  <si>
    <t>abbm23ece@cmrit.ac.in</t>
  </si>
  <si>
    <t>ana23ece@cmrit.ac.in</t>
  </si>
  <si>
    <t>ansj23ece@cmrit.ac.in</t>
  </si>
  <si>
    <t>abjo23ece@cmrit.ac.in</t>
  </si>
  <si>
    <t>daba23ece@cmrit.ac.in</t>
  </si>
  <si>
    <t>gahm23ece@cmrit.ac.in</t>
  </si>
  <si>
    <t>gome23ece@cmrit.ac.in</t>
  </si>
  <si>
    <t>chsu23ece@cmrit.ac.in</t>
  </si>
  <si>
    <t>guve23ece@cmrit.ac.in</t>
  </si>
  <si>
    <t>akm23ece@cmrit.ac.in</t>
  </si>
  <si>
    <t>demo23ece@cmrit.ac.in</t>
  </si>
  <si>
    <t>dsr23ece@cmrit.ac.in</t>
  </si>
  <si>
    <t>via23ece@cmrit.ac.in</t>
  </si>
  <si>
    <t>kusa23ece@cmrit.ac.in</t>
  </si>
  <si>
    <t>jaha23ece@cmrit.ac.in</t>
  </si>
  <si>
    <t>guna23ece@cmrit.ac.in</t>
  </si>
  <si>
    <t>prku23ece@cmrit.ac.in</t>
  </si>
  <si>
    <t>kaan23ece@cmrit.ac.in</t>
  </si>
  <si>
    <t>nibv23ece@cmrit.ac.in</t>
  </si>
  <si>
    <t>sa23ece@cmrit.ac.in</t>
  </si>
  <si>
    <t>air23ece@cmrit.ac.in</t>
  </si>
  <si>
    <t>mobg23ece@cmrit.ac.in</t>
  </si>
  <si>
    <t>tvsa23ece@cmrit.ac.in</t>
  </si>
  <si>
    <t>prch23ece@cmrit.ac.in</t>
  </si>
  <si>
    <t>nil23ece@cmrit.ac.in</t>
  </si>
  <si>
    <t>prsh23ece@cmrit.ac.in</t>
  </si>
  <si>
    <t>goud23ece@cmrit.ac.in</t>
  </si>
  <si>
    <t>gush23ece@cmrit.ac.in</t>
  </si>
  <si>
    <t>guku23ece@cmrit.ac.in</t>
  </si>
  <si>
    <t>hag23ece@cmrit.ac.in</t>
  </si>
  <si>
    <t>hacr23ece@cmrit.ac.in</t>
  </si>
  <si>
    <t>habl23ece@cmrit.ac.in</t>
  </si>
  <si>
    <t>haa23ece@cmrit.ac.in</t>
  </si>
  <si>
    <t>habh23ece@cmrit.ac.in</t>
  </si>
  <si>
    <t>jap23ece@cmrit.ac.in</t>
  </si>
  <si>
    <t>jav23ece@cmrit.ac.in</t>
  </si>
  <si>
    <t>jija23ece@cmrit.ac.in</t>
  </si>
  <si>
    <t>jojo23ece@cmrit.ac.in</t>
  </si>
  <si>
    <t>kapa23ece@cmrit.ac.in</t>
  </si>
  <si>
    <t>kejo23ece@cmrit.ac.in</t>
  </si>
  <si>
    <t>kush23ece@cmrit.ac.in</t>
  </si>
  <si>
    <t>lke23ece@cmrit.ac.in</t>
  </si>
  <si>
    <t>laai23ece@cmrit.ac.in</t>
  </si>
  <si>
    <t>leab23ece@cmrit.ac.in</t>
  </si>
  <si>
    <t>lepr23ece@cmrit.ac.in</t>
  </si>
  <si>
    <t>mhra23ece@cmrit.ac.in</t>
  </si>
  <si>
    <t>jem23ece@cmrit.ac.in</t>
  </si>
  <si>
    <t>mlta23ece@cmrit.ac.in</t>
  </si>
  <si>
    <t>mpr23ece@cmrit.ac.in</t>
  </si>
  <si>
    <t>masi23ece@cmrit.ac.in</t>
  </si>
  <si>
    <t>mama23ece@cmrit.ac.in</t>
  </si>
  <si>
    <t>mapr23ece@cmrit.ac.in</t>
  </si>
  <si>
    <t>mah23ece@cmrit.ac.in</t>
  </si>
  <si>
    <t>mam23ece@cmrit.ac.in</t>
  </si>
  <si>
    <t>maka23ece@cmrit.ac.in</t>
  </si>
  <si>
    <t>makh23ece@cmrit.ac.in</t>
  </si>
  <si>
    <t>mdsa23ece@cmrit.ac.in</t>
  </si>
  <si>
    <t>kago23ece@cmrit.ac.in</t>
  </si>
  <si>
    <t>mik23ece@cmrit.ac.in</t>
  </si>
  <si>
    <t>har23ece@cmrit.ac.in</t>
  </si>
  <si>
    <t>kaka23ece@cmrit.ac.in</t>
  </si>
  <si>
    <t>kssa23ece@cmrit.ac.in</t>
  </si>
  <si>
    <t>lch23ece@cmrit.ac.in</t>
  </si>
  <si>
    <t>kuth23ece@cmrit.ac.in</t>
  </si>
  <si>
    <t>niab23ece@cmrit.ac.in</t>
  </si>
  <si>
    <t>bdh23ece@cmrit.ac.in</t>
  </si>
  <si>
    <t>arna23ece@cmrit.ac.in</t>
  </si>
  <si>
    <t>kska23ece@cmrit.ac.in</t>
  </si>
  <si>
    <t>mir23ece@cmrit.ac.in</t>
  </si>
  <si>
    <t>bhga23ece@cmrit.ac.in</t>
  </si>
  <si>
    <t>deng23ece@cmrit.ac.in</t>
  </si>
  <si>
    <t>moah23ece@cmrit.ac.in</t>
  </si>
  <si>
    <t>chal23ece@cmrit.ac.in</t>
  </si>
  <si>
    <t>chbm23ece@cmrit.ac.in</t>
  </si>
  <si>
    <t>mars23ece@cmrit.ac.in</t>
  </si>
  <si>
    <t>shmi23ece@cmrit.ac.in</t>
  </si>
  <si>
    <t>mdal23ece@cmrit.ac.in</t>
  </si>
  <si>
    <t>gmsa23ece@cmrit.ac.in</t>
  </si>
  <si>
    <t>masu23ece@cmrit.ac.in</t>
  </si>
  <si>
    <t>gas23ece@cmrit.ac.in</t>
  </si>
  <si>
    <t>prra23ece@cmrit.ac.in</t>
  </si>
  <si>
    <t>sga23ece@cmrit.ac.in</t>
  </si>
  <si>
    <t>riku23ece@cmrit.ac.in</t>
  </si>
  <si>
    <t>dha23ece@cmrit.ac.in</t>
  </si>
  <si>
    <t>miko23ece@cmrit.ac.in</t>
  </si>
  <si>
    <t>mona23ece@cmrit.ac.in</t>
  </si>
  <si>
    <t>mobh23ece@cmrit.ac.in</t>
  </si>
  <si>
    <t>moc23ece@cmrit.ac.in</t>
  </si>
  <si>
    <t>mup23ece@cmrit.ac.in</t>
  </si>
  <si>
    <t>mure23ece@cmrit.ac.in</t>
  </si>
  <si>
    <t>nasa23ece@cmrit.ac.in</t>
  </si>
  <si>
    <t>nad23ece@cmrit.ac.in</t>
  </si>
  <si>
    <t>ne23ece@cmrit.ac.in</t>
  </si>
  <si>
    <t>nes23ece@cmrit.ac.in</t>
  </si>
  <si>
    <t>nium23ece@cmrit.ac.in</t>
  </si>
  <si>
    <t>niar23ece@cmrit.ac.in</t>
  </si>
  <si>
    <t>nir23ece@cmrit.ac.in</t>
  </si>
  <si>
    <t>ovr23ece@cmrit.ac.in</t>
  </si>
  <si>
    <t>prki23ece@cmrit.ac.in</t>
  </si>
  <si>
    <t>pamn23ece@cmrit.ac.in</t>
  </si>
  <si>
    <t>par23ece@cmrit.ac.in</t>
  </si>
  <si>
    <t>pakp23ece@cmrit.ac.in</t>
  </si>
  <si>
    <t>pam23ece@cmrit.ac.in</t>
  </si>
  <si>
    <t>peja23ece@cmrit.ac.in</t>
  </si>
  <si>
    <t>pesh23ece@cmrit.ac.in</t>
  </si>
  <si>
    <t>pisi23ece@cmrit.ac.in</t>
  </si>
  <si>
    <t>pira23ece@cmrit.ac.in</t>
  </si>
  <si>
    <t>prns23ece@cmrit.ac.in</t>
  </si>
  <si>
    <t>prsr23ece@cmrit.ac.in</t>
  </si>
  <si>
    <t>prbi23ece@cmrit.ac.in</t>
  </si>
  <si>
    <t>prpa23ece@cmrit.ac.in</t>
  </si>
  <si>
    <t>prba23ece@cmrit.ac.in</t>
  </si>
  <si>
    <t>rasr23ece@cmrit.ac.in</t>
  </si>
  <si>
    <t>rahn23ece@cmrit.ac.in</t>
  </si>
  <si>
    <t>rava23ece@cmrit.ac.in</t>
  </si>
  <si>
    <t>rira23ece@cmrit.ac.in</t>
  </si>
  <si>
    <t>rugv23ece@cmrit.ac.in</t>
  </si>
  <si>
    <t>sasr23ece@cmrit.ac.in</t>
  </si>
  <si>
    <t>sjde23ece@cmrit.ac.in</t>
  </si>
  <si>
    <t>sppu23ece@cmrit.ac.in</t>
  </si>
  <si>
    <t>pob23ece@cmrit.ac.in</t>
  </si>
  <si>
    <t>ra23ece@cmrit.ac.in</t>
  </si>
  <si>
    <t>mavi23ece@cmrit.ac.in</t>
  </si>
  <si>
    <t>rasm23ece@cmrit.ac.in</t>
  </si>
  <si>
    <t>sash23ece@cmrit.ac.in</t>
  </si>
  <si>
    <t>sapa23ece@cmrit.ac.in</t>
  </si>
  <si>
    <t>ssva23ece@cmrit.ac.in</t>
  </si>
  <si>
    <t>prp23ece@cmrit.ac.in</t>
  </si>
  <si>
    <t>sare23ece@cmrit.ac.in</t>
  </si>
  <si>
    <t>rir23ece@cmrit.ac.in</t>
  </si>
  <si>
    <t>srb23ece@cmrit.ac.in</t>
  </si>
  <si>
    <t>shum23ece@cmrit.ac.in</t>
  </si>
  <si>
    <t>prr23ece@cmrit.ac.in</t>
  </si>
  <si>
    <t>saba23ece@cmrit.ac.in</t>
  </si>
  <si>
    <t>sasa23ece@cmrit.ac.in</t>
  </si>
  <si>
    <t>vebm23ece@cmrit.ac.in</t>
  </si>
  <si>
    <t>masa23ece@cmrit.ac.in</t>
  </si>
  <si>
    <t>ros23ece@cmrit.ac.in</t>
  </si>
  <si>
    <t>swmr23ece@cmrit.ac.in</t>
  </si>
  <si>
    <t>hea23ece@cmrit.ac.in</t>
  </si>
  <si>
    <t>nith23ece@cmrit.ac.in</t>
  </si>
  <si>
    <t>prsa23ece@cmrit.ac.in</t>
  </si>
  <si>
    <t>bhba23ece@cmrit.ac.in</t>
  </si>
  <si>
    <t>chch23ece@cmrit.ac.in</t>
  </si>
  <si>
    <t>mana23ece@cmrit.ac.in</t>
  </si>
  <si>
    <t>sate23ece@cmrit.ac.in</t>
  </si>
  <si>
    <t>saja23ece@cmrit.ac.in</t>
  </si>
  <si>
    <t>sansr23ece@cmrit.ac.in</t>
  </si>
  <si>
    <t>shsa23ece@cmrit.ac.in</t>
  </si>
  <si>
    <t>shmo23ece@cmrit.ac.in</t>
  </si>
  <si>
    <t>shr23ece@cmrit.ac.in</t>
  </si>
  <si>
    <t>shre23ece@cmrit.ac.in</t>
  </si>
  <si>
    <t>shv23ece@cmrit.ac.in</t>
  </si>
  <si>
    <t>shs23ece@cmrit.ac.in</t>
  </si>
  <si>
    <t>sija23ece@cmrit.ac.in</t>
  </si>
  <si>
    <t>so23ece@cmrit.ac.in</t>
  </si>
  <si>
    <t>srsa23ece@cmrit.ac.in</t>
  </si>
  <si>
    <t>srsh23ece@cmrit.ac.in</t>
  </si>
  <si>
    <t>srpu23ece@cmrit.ac.in</t>
  </si>
  <si>
    <t>sruh23ece@cmrit.ac.in</t>
  </si>
  <si>
    <t>srha23ece@cmrit.ac.in</t>
  </si>
  <si>
    <t>subi23ece@cmrit.ac.in</t>
  </si>
  <si>
    <t>sura23ece@cmrit.ac.in</t>
  </si>
  <si>
    <t>sure23ece@cmrit.ac.in</t>
  </si>
  <si>
    <t>sujo23ece@cmrit.ac.in</t>
  </si>
  <si>
    <t>sush23ece@cmrit.ac.in</t>
  </si>
  <si>
    <t>suv23ece@cmrit.ac.in</t>
  </si>
  <si>
    <t>teku23ece@cmrit.ac.in</t>
  </si>
  <si>
    <t>th23ece@cmrit.ac.in</t>
  </si>
  <si>
    <t>thpa23ece@cmrit.ac.in</t>
  </si>
  <si>
    <t>thva23ece@cmrit.ac.in</t>
  </si>
  <si>
    <t>vasi23ece@cmrit.ac.in</t>
  </si>
  <si>
    <t>vesy23ece@cmrit.ac.in</t>
  </si>
  <si>
    <t>vihv23ece@cmrit.ac.in</t>
  </si>
  <si>
    <t>vik23ece@cmrit.ac.in</t>
  </si>
  <si>
    <t>viba23ece@cmrit.ac.in</t>
  </si>
  <si>
    <t>vish23ece@cmrit.ac.in</t>
  </si>
  <si>
    <t>yama23ece@cmrit.ac.in</t>
  </si>
  <si>
    <t>yapa23ece@cmrit.ac.in</t>
  </si>
  <si>
    <t>yaps23ece@cmrit.ac.in</t>
  </si>
  <si>
    <t>yam23ece@cmrit.ac.in</t>
  </si>
  <si>
    <t>vav23ece@cmrit.ac.in</t>
  </si>
  <si>
    <t>vabe23ece@cmrit.ac.in</t>
  </si>
  <si>
    <t>shh23ece@cmrit.ac.in</t>
  </si>
  <si>
    <t>shkl23ece@cmrit.ac.in</t>
  </si>
  <si>
    <t>sop23ece@cmrit.ac.in</t>
  </si>
  <si>
    <t>sosh23ece@cmrit.ac.in</t>
  </si>
  <si>
    <t>vama23ece@cmrit.ac.in</t>
  </si>
  <si>
    <t>yaar23ece@cmrit.ac.in</t>
  </si>
  <si>
    <t>vash23ece@cmrit.ac.in</t>
  </si>
  <si>
    <t>trma23ece@cmrit.ac.in</t>
  </si>
  <si>
    <t>vir23ece@cmrit.ac.in</t>
  </si>
  <si>
    <t>sptr23ece@cmrit.ac.in</t>
  </si>
  <si>
    <t>trra23ece@cmrit.ac.in</t>
  </si>
  <si>
    <t>ark23ece@cmrit.ac.in</t>
  </si>
  <si>
    <t>vi23ece@cmrit.ac.in</t>
  </si>
  <si>
    <t>abbh23ece@cmrit.ac.in</t>
  </si>
  <si>
    <t>rapu23ece@cmrit.ac.in</t>
  </si>
  <si>
    <t>pr23ece@cmrit.ac.in</t>
  </si>
  <si>
    <t>nima23ece@cmrit.ac.in</t>
  </si>
  <si>
    <t>apm23ece@cmrit.ac.in</t>
  </si>
  <si>
    <t>modo23ece@cmrit.ac.in</t>
  </si>
  <si>
    <t>yums23ece@cmrit.ac.in</t>
  </si>
  <si>
    <t>srar23ece@cmrit.ac.in</t>
  </si>
  <si>
    <t>yans23ece@cmrit.ac.in</t>
  </si>
  <si>
    <t>stkh23ece@cmrit.ac.in</t>
  </si>
  <si>
    <t>FINAL MARKS</t>
  </si>
  <si>
    <t>`</t>
  </si>
  <si>
    <t xml:space="preserve"> </t>
  </si>
  <si>
    <t>Email</t>
  </si>
  <si>
    <t>Full Name</t>
  </si>
  <si>
    <t>USN (Keep data in Assending order)</t>
  </si>
  <si>
    <t>Phone</t>
  </si>
  <si>
    <t>BRANCH</t>
  </si>
  <si>
    <t>Comment (Branch change/Detained/Left college etc...)</t>
  </si>
  <si>
    <t>Language Lx</t>
  </si>
  <si>
    <t>Aptitude Ax</t>
  </si>
  <si>
    <t>Softskill Sx</t>
  </si>
  <si>
    <t>Core Cx</t>
  </si>
  <si>
    <t>Programming Px</t>
  </si>
  <si>
    <t>Lx</t>
  </si>
  <si>
    <t>Ax</t>
  </si>
  <si>
    <t>Cx</t>
  </si>
  <si>
    <t>Px</t>
  </si>
  <si>
    <t>Sx</t>
  </si>
  <si>
    <t>Cmrit Email id only</t>
  </si>
  <si>
    <t>As per PAN Card or 10th Mark scard</t>
  </si>
  <si>
    <t>10 digits only</t>
  </si>
  <si>
    <t>L1</t>
  </si>
  <si>
    <t>L2</t>
  </si>
  <si>
    <t>L3</t>
  </si>
  <si>
    <t>L4</t>
  </si>
  <si>
    <t>A1</t>
  </si>
  <si>
    <t>A2</t>
  </si>
  <si>
    <t>A3</t>
  </si>
  <si>
    <t>A4</t>
  </si>
  <si>
    <t>S1</t>
  </si>
  <si>
    <t>S2</t>
  </si>
  <si>
    <t>S3</t>
  </si>
  <si>
    <t>S4</t>
  </si>
  <si>
    <t>C2 Odd</t>
  </si>
  <si>
    <t>C2 Full</t>
  </si>
  <si>
    <t>C3 Odd</t>
  </si>
  <si>
    <t>C3 Full</t>
  </si>
  <si>
    <t>C4 Odd</t>
  </si>
  <si>
    <t>C4 Full</t>
  </si>
  <si>
    <t>C5 Full</t>
  </si>
  <si>
    <t>P1-C</t>
  </si>
  <si>
    <t>P2-Python</t>
  </si>
  <si>
    <t>P3-Python</t>
  </si>
  <si>
    <t xml:space="preserve">P3-Java </t>
  </si>
  <si>
    <t>P4-Programming part 1</t>
  </si>
  <si>
    <t>P4-Programming part 2</t>
  </si>
  <si>
    <t>P4-MAD/FSD</t>
  </si>
  <si>
    <t>P4-DS</t>
  </si>
  <si>
    <t>P2+ Python</t>
  </si>
  <si>
    <t>Interview Readiness Level by T&amp;P(1- 5 Highest)</t>
  </si>
  <si>
    <t>Level Reached</t>
  </si>
  <si>
    <t>Max Marks</t>
  </si>
  <si>
    <t>Passing Marks</t>
  </si>
  <si>
    <t>A VENKATA NAVADEEP REDDY</t>
  </si>
  <si>
    <t>CSE</t>
  </si>
  <si>
    <t>AADITYA GUPTA</t>
  </si>
  <si>
    <t>Aakash Gupta</t>
  </si>
  <si>
    <t>AARUHI</t>
  </si>
  <si>
    <t>AARYAN UPADHYAY</t>
  </si>
  <si>
    <t xml:space="preserve">AASISH KUMAR SAH </t>
  </si>
  <si>
    <t>Aastha Ojha</t>
  </si>
  <si>
    <t>Aayush Chaudhary</t>
  </si>
  <si>
    <t>Abhisekh Baniya</t>
  </si>
  <si>
    <t>Abhishek Chataut</t>
  </si>
  <si>
    <t>+977 9766890860</t>
  </si>
  <si>
    <t xml:space="preserve">ABHISHEK SOMESHWAR HIREMATH </t>
  </si>
  <si>
    <t>ABHISHREYANK ROY R L</t>
  </si>
  <si>
    <t>ABINASH MISHRA</t>
  </si>
  <si>
    <t>ADITHYASY</t>
  </si>
  <si>
    <t>Aditya Bhusal</t>
  </si>
  <si>
    <t>Ab</t>
  </si>
  <si>
    <t xml:space="preserve">Aditya Prakash </t>
  </si>
  <si>
    <t>Advait Harish</t>
  </si>
  <si>
    <t>ADVAIT SACHIN KESKAR</t>
  </si>
  <si>
    <t>AISHWARYA SHARABANNAGOUDA MALIPATIL</t>
  </si>
  <si>
    <t>Aishwarya sujan</t>
  </si>
  <si>
    <t>Ajay</t>
  </si>
  <si>
    <t>AJEYA KUMARA K</t>
  </si>
  <si>
    <t>AKASH B V</t>
  </si>
  <si>
    <t>AKASH J</t>
  </si>
  <si>
    <t>Akshaya</t>
  </si>
  <si>
    <t>AKUMALLA RITHEESHA</t>
  </si>
  <si>
    <t>ALLAMPRABHU S JANGAMASHETTI</t>
  </si>
  <si>
    <t xml:space="preserve">Aman kumar  pathak </t>
  </si>
  <si>
    <t>NA</t>
  </si>
  <si>
    <t>ANAND KISHOR</t>
  </si>
  <si>
    <t xml:space="preserve">ANANYA KULKARNI </t>
  </si>
  <si>
    <t>ANANYA VIJETHA</t>
  </si>
  <si>
    <t xml:space="preserve">ANASUYA CHAKRABORTY </t>
  </si>
  <si>
    <t>ANIRUDDHA S HOLLA</t>
  </si>
  <si>
    <t>Ankitha K R</t>
  </si>
  <si>
    <t>ANSHIKA SUPRIYA</t>
  </si>
  <si>
    <t>ANURAG SINGH</t>
  </si>
  <si>
    <t>Ashutosh Karki</t>
  </si>
  <si>
    <t>AYAN JAVEED WATT</t>
  </si>
  <si>
    <t>B K RAKSHITA</t>
  </si>
  <si>
    <t>B Karna</t>
  </si>
  <si>
    <t>BACHU MAHITA</t>
  </si>
  <si>
    <t>Bhola Yadav</t>
  </si>
  <si>
    <t>BIKASHITA DEB</t>
  </si>
  <si>
    <t>CHANDANA S</t>
  </si>
  <si>
    <t xml:space="preserve">Charan R A </t>
  </si>
  <si>
    <t>CHINMAY TALNIKAR</t>
  </si>
  <si>
    <t xml:space="preserve">DEEPAK RAVINDRA BHAT </t>
  </si>
  <si>
    <t>DEEPTANSHU DUTTA</t>
  </si>
  <si>
    <t>DEREDDY ABHILASH REDDY</t>
  </si>
  <si>
    <t>DHANUSHREE N</t>
  </si>
  <si>
    <t>DHANYAASHRI M</t>
  </si>
  <si>
    <t>Dhyan M Setty</t>
  </si>
  <si>
    <t xml:space="preserve">Dhyan N </t>
  </si>
  <si>
    <t>Dimpana D B N</t>
  </si>
  <si>
    <t xml:space="preserve">DISHA CHANDRU TANDEL </t>
  </si>
  <si>
    <t>DIYASHREE REDDY Y</t>
  </si>
  <si>
    <t>DRISHTI ARYA</t>
  </si>
  <si>
    <t>G BHARATH SAI</t>
  </si>
  <si>
    <t>GAHANA V</t>
  </si>
  <si>
    <t>GAURY SHIBU SANKER</t>
  </si>
  <si>
    <t>GORANTLA SAI SHANKAR</t>
  </si>
  <si>
    <t>Gowtham V U</t>
  </si>
  <si>
    <t xml:space="preserve">HARSH VAIDYA </t>
  </si>
  <si>
    <t>Harsha L</t>
  </si>
  <si>
    <t>HARSHINI MAMIDIPALLI</t>
  </si>
  <si>
    <t>HARSHIT MISHRA</t>
  </si>
  <si>
    <t>HIMANSHU NIKAM</t>
  </si>
  <si>
    <t>Hitesh G</t>
  </si>
  <si>
    <t>IQBAL JAVAID HAKIM</t>
  </si>
  <si>
    <t>ISHITA RANI</t>
  </si>
  <si>
    <t>J RISHAB RAO</t>
  </si>
  <si>
    <t>J SAMRUTHA SRIE</t>
  </si>
  <si>
    <t>JADEN STEVE SAMUEL</t>
  </si>
  <si>
    <t>JAMES C PATHADAN</t>
  </si>
  <si>
    <t>JASHWANTH N</t>
  </si>
  <si>
    <t>JATIN VERMA</t>
  </si>
  <si>
    <t>JEEVAN L</t>
  </si>
  <si>
    <t>JEYVARDAN B</t>
  </si>
  <si>
    <t>K R GANESH SAI</t>
  </si>
  <si>
    <t>Kalpa</t>
  </si>
  <si>
    <t xml:space="preserve">KASTURI KUMARI </t>
  </si>
  <si>
    <t>KAUSHITH T A</t>
  </si>
  <si>
    <t>Kavin KL</t>
  </si>
  <si>
    <t>KEERTHANA KT</t>
  </si>
  <si>
    <t>Keerti Uday Patil</t>
  </si>
  <si>
    <t>Kiran V R</t>
  </si>
  <si>
    <t>KOLLI VAISHNAVI</t>
  </si>
  <si>
    <t>KRITI KUMARI</t>
  </si>
  <si>
    <t>KRUTHI</t>
  </si>
  <si>
    <t>KUMAR GAURAV</t>
  </si>
  <si>
    <t>LEANNA BIJU</t>
  </si>
  <si>
    <t>LIKITH GOWDA</t>
  </si>
  <si>
    <t>M ANINDITA</t>
  </si>
  <si>
    <t>M B BINCY JEEN</t>
  </si>
  <si>
    <t>M SHIVANI RAO</t>
  </si>
  <si>
    <t>M SRINIVAS</t>
  </si>
  <si>
    <t>Manan Chataut</t>
  </si>
  <si>
    <t>+977 9848720231</t>
  </si>
  <si>
    <t>MANASA M</t>
  </si>
  <si>
    <t>MANOJ R K</t>
  </si>
  <si>
    <t xml:space="preserve">Marulasiddesh patel GN </t>
  </si>
  <si>
    <t>MAYUR.M</t>
  </si>
  <si>
    <t>MD NIHAL RAHMAN</t>
  </si>
  <si>
    <t>Megha N</t>
  </si>
  <si>
    <t>MOHAMMED ASADULLAH</t>
  </si>
  <si>
    <t>Mohammed Numaan</t>
  </si>
  <si>
    <t xml:space="preserve">Mohan kumar H D </t>
  </si>
  <si>
    <t>MUDUNURI SHRILEKHA</t>
  </si>
  <si>
    <t>MUSFIRA RAIHAN</t>
  </si>
  <si>
    <t>N Akshay Kanna</t>
  </si>
  <si>
    <t>Namratha A</t>
  </si>
  <si>
    <t>NANDITHA SRINIVASAN</t>
  </si>
  <si>
    <t>NATRAJ KASHYAP</t>
  </si>
  <si>
    <t xml:space="preserve">Nayana M R </t>
  </si>
  <si>
    <t>Neethu shree.v</t>
  </si>
  <si>
    <t>NIKHITA GANAPATI KANSUR</t>
  </si>
  <si>
    <t>Niraj Dhami</t>
  </si>
  <si>
    <t>Niraj Kumar Thakur</t>
  </si>
  <si>
    <t>Nirajan Baij</t>
  </si>
  <si>
    <t>Nishitha M</t>
  </si>
  <si>
    <t>NIVEDH S KALASKAR</t>
  </si>
  <si>
    <t>Palak Mishra</t>
  </si>
  <si>
    <t>pavan br</t>
  </si>
  <si>
    <t>Pavan B V</t>
  </si>
  <si>
    <t>PAVANRAJ B M</t>
  </si>
  <si>
    <t>PAVITRA KADAGOUDAR</t>
  </si>
  <si>
    <t>Pindi Madhu Sai</t>
  </si>
  <si>
    <t>Poorvika.N</t>
  </si>
  <si>
    <t>PRABHU RAMESH HONDAPPAGOL</t>
  </si>
  <si>
    <t>Priyanka Jambagi</t>
  </si>
  <si>
    <t>R HARSHA</t>
  </si>
  <si>
    <t>R LINGESHWARAN</t>
  </si>
  <si>
    <t>R S NITHIN GANESH</t>
  </si>
  <si>
    <t>RACHIT SRIVASTAVA</t>
  </si>
  <si>
    <t>Radhika Sharma</t>
  </si>
  <si>
    <t>RAKSHITHA M</t>
  </si>
  <si>
    <t>RAMBABU B</t>
  </si>
  <si>
    <t>RAMYASHREE N</t>
  </si>
  <si>
    <t>Ranjith Bhandari</t>
  </si>
  <si>
    <t>RAVI</t>
  </si>
  <si>
    <t>Ritesh Ojha</t>
  </si>
  <si>
    <t>82961 80640</t>
  </si>
  <si>
    <t>RITU UPADHAYAYA</t>
  </si>
  <si>
    <t>977 9818103216</t>
  </si>
  <si>
    <t>Riya Agrawal</t>
  </si>
  <si>
    <t>RONISH ROHAN</t>
  </si>
  <si>
    <t>ROUNAK SINGH</t>
  </si>
  <si>
    <t xml:space="preserve">RUDRESH S K </t>
  </si>
  <si>
    <t>S ANANYA</t>
  </si>
  <si>
    <t>S MADHIVADHANAN</t>
  </si>
  <si>
    <t>S SNEHAA</t>
  </si>
  <si>
    <t>SAATWIK SATPATHY</t>
  </si>
  <si>
    <t>SAHIL PRADHAN</t>
  </si>
  <si>
    <t>Sajal Basnet</t>
  </si>
  <si>
    <t>SALONI MALHOTRA</t>
  </si>
  <si>
    <t>SAMARTH S S</t>
  </si>
  <si>
    <t>SAMRIDHI BASNET</t>
  </si>
  <si>
    <t>Sandhya devi</t>
  </si>
  <si>
    <t>SANGA HARAN ROYAL</t>
  </si>
  <si>
    <t>SANJANA KUMARI</t>
  </si>
  <si>
    <t>Sanjana P Sutrave</t>
  </si>
  <si>
    <t>SANJANA SHETTY</t>
  </si>
  <si>
    <t>Sanjay.k.c.</t>
  </si>
  <si>
    <t>SARVOTHAM REDDY</t>
  </si>
  <si>
    <t>SHANKHA SUVRO DUTTA</t>
  </si>
  <si>
    <t>SHARAN S</t>
  </si>
  <si>
    <t>SHARATH K N</t>
  </si>
  <si>
    <t>SHARATH S</t>
  </si>
  <si>
    <t>SHASHANK N</t>
  </si>
  <si>
    <t>SHASHIKANTH R</t>
  </si>
  <si>
    <t>Sheetal Pawar</t>
  </si>
  <si>
    <t>SHIMAN KUMAR DAS</t>
  </si>
  <si>
    <t>SHIVAM RAJ</t>
  </si>
  <si>
    <t>SHIVANI SIVASANKAR</t>
  </si>
  <si>
    <t>SHIVANSH DHALTA</t>
  </si>
  <si>
    <t>SHRADDHA ANAND JAMBAGI</t>
  </si>
  <si>
    <t>Shree Nikhitha Cugati</t>
  </si>
  <si>
    <t>SHREYA GURAJALA</t>
  </si>
  <si>
    <t>Shreyas S</t>
  </si>
  <si>
    <t>SHRINIDHI</t>
  </si>
  <si>
    <t>Shrutee Singh</t>
  </si>
  <si>
    <t>SHRUTHI GANAPATHY</t>
  </si>
  <si>
    <t>SHRUTI SHARMA</t>
  </si>
  <si>
    <t>Siddharth Balamurali</t>
  </si>
  <si>
    <t>SIONA RAJ</t>
  </si>
  <si>
    <t>SOHAN B</t>
  </si>
  <si>
    <t>SRINIDHI POLLA SEENIVASAN</t>
  </si>
  <si>
    <t>Sudhiksha S</t>
  </si>
  <si>
    <t>SUHASINI</t>
  </si>
  <si>
    <t>Supreme sharma</t>
  </si>
  <si>
    <t>SWARAJ KUMAR SAHU</t>
  </si>
  <si>
    <t>SWATHI R NAIR</t>
  </si>
  <si>
    <t>TAMARA CARIAPPA</t>
  </si>
  <si>
    <t>MS.TANVI RALERASKAR</t>
  </si>
  <si>
    <t xml:space="preserve">TARUN PRAKASH JHA </t>
  </si>
  <si>
    <t>THRISHA S V</t>
  </si>
  <si>
    <t>Usha B</t>
  </si>
  <si>
    <t>Utham A</t>
  </si>
  <si>
    <t>VAISHNAVI K</t>
  </si>
  <si>
    <t>VALLAMREDDY SHRAVYA</t>
  </si>
  <si>
    <t>Vandita Krishnaraja Tantry</t>
  </si>
  <si>
    <t xml:space="preserve">VARSHA R </t>
  </si>
  <si>
    <t>VEDANT DEVDATTA SAKHALKAR</t>
  </si>
  <si>
    <t>+91 9987074533</t>
  </si>
  <si>
    <t>Veeraj D</t>
  </si>
  <si>
    <t>VIGNESH KUMR S</t>
  </si>
  <si>
    <t>Vikas k</t>
  </si>
  <si>
    <t>VINAY YR</t>
  </si>
  <si>
    <t>VYSHNAVI N</t>
  </si>
  <si>
    <t>YASHU B BISEROTTI</t>
  </si>
  <si>
    <t>YASHWANTH A</t>
  </si>
  <si>
    <t>Yashwanth H M</t>
  </si>
  <si>
    <t>Yashwanth N S</t>
  </si>
  <si>
    <t>YASHWANTH REDDY C</t>
  </si>
  <si>
    <t>Yeshwanth S gowda</t>
  </si>
  <si>
    <t>Yogeshwar T N</t>
  </si>
  <si>
    <t>ZEBA FATMA</t>
  </si>
  <si>
    <t>adityanagaraj.cse24.le@cmrit.ac.in</t>
  </si>
  <si>
    <t>Aditya Nagaraj Halabavi</t>
  </si>
  <si>
    <t>ARAVINDA KUMAR S</t>
  </si>
  <si>
    <t>Divya.cse24le@cmrit.ac.in</t>
  </si>
  <si>
    <t>DIVYA C</t>
  </si>
  <si>
    <t>Gangotri D</t>
  </si>
  <si>
    <t>GURU G MATHAPATI</t>
  </si>
  <si>
    <t>HITENDRA S</t>
  </si>
  <si>
    <t>hrishikesh.cse24le@cmrit.ac.in</t>
  </si>
  <si>
    <t>Hrishikesh A</t>
  </si>
  <si>
    <t>Kavya</t>
  </si>
  <si>
    <t>LEKHAN V R</t>
  </si>
  <si>
    <t>Mokshith M S</t>
  </si>
  <si>
    <t>preetham.cse24le@cmrit.ac.in</t>
  </si>
  <si>
    <t>Preetham K V</t>
  </si>
  <si>
    <t>Pushpalatha D R</t>
  </si>
  <si>
    <t>RAJAT SHANKAR NAIK</t>
  </si>
  <si>
    <t>Sachin U N</t>
  </si>
  <si>
    <t>Sainath M</t>
  </si>
  <si>
    <t>SAURABH GAUR</t>
  </si>
  <si>
    <t>Sowmya D R</t>
  </si>
  <si>
    <t>Vishwanath</t>
  </si>
  <si>
    <t>mohm22cs@cmrit.ac.in</t>
  </si>
  <si>
    <t>M Mohan</t>
  </si>
  <si>
    <t>nadi22cs@cmrit.ac.in</t>
  </si>
  <si>
    <t>Naman Didwania</t>
  </si>
  <si>
    <t>sulkh22cs@cmrit.ac.in</t>
  </si>
  <si>
    <t>Sulaiman Khan</t>
  </si>
  <si>
    <t>vave22cs@cmrit.ac.in</t>
  </si>
  <si>
    <t>Varun Venugopal</t>
  </si>
  <si>
    <t>E mail ID</t>
  </si>
  <si>
    <t>Name</t>
  </si>
  <si>
    <t>USN Number</t>
  </si>
  <si>
    <t>IAT 1 (40)</t>
  </si>
  <si>
    <t>IAT 2(50)</t>
  </si>
  <si>
    <t>Total (90)</t>
  </si>
  <si>
    <t>Attendance %</t>
  </si>
  <si>
    <t>Attendance Marks(10)</t>
  </si>
  <si>
    <t>Final Marks</t>
  </si>
  <si>
    <t>hada22ece@cmrit.ac.in</t>
  </si>
  <si>
    <t>HARI OM KUMAR DAS</t>
  </si>
  <si>
    <t>Mohammed  Shoaib</t>
  </si>
  <si>
    <t>A RAHHUL NANDHAN</t>
  </si>
  <si>
    <t>Aayush Rasaily</t>
  </si>
  <si>
    <t>ABHAYASURYA A S</t>
  </si>
  <si>
    <t>ABHINASH KUMAR</t>
  </si>
  <si>
    <t>ADITY SINHA</t>
  </si>
  <si>
    <t>Aditya Bhattarai</t>
  </si>
  <si>
    <t>ADITYA R BENNUR</t>
  </si>
  <si>
    <t>Advith Shetty</t>
  </si>
  <si>
    <t>Aishwarya Hanamantray Herakal</t>
  </si>
  <si>
    <t>Akash shetty</t>
  </si>
  <si>
    <t>AKSHAT PAL SURYAVANSHI</t>
  </si>
  <si>
    <t>Akshath S</t>
  </si>
  <si>
    <t>AMAN PRASAD</t>
  </si>
  <si>
    <t>AMRUTHA N</t>
  </si>
  <si>
    <t>Anishek raut</t>
  </si>
  <si>
    <t>ANKIT SHRESTHA</t>
  </si>
  <si>
    <t>ANSHU RAVINDRA</t>
  </si>
  <si>
    <t>Antariksh Ranjan</t>
  </si>
  <si>
    <t>ANUBHAB PRADHAN</t>
  </si>
  <si>
    <t>APOORVA THOLPADY</t>
  </si>
  <si>
    <t>ARANYA BANDHU</t>
  </si>
  <si>
    <t>ARAVIND A</t>
  </si>
  <si>
    <t>Arshiya sultana</t>
  </si>
  <si>
    <t>ARYAN KATHYANIAN</t>
  </si>
  <si>
    <t>ARYAN V SHETTY</t>
  </si>
  <si>
    <t>Avigya Mahat</t>
  </si>
  <si>
    <t>AYUSH PUNDHIR</t>
  </si>
  <si>
    <t>Bhumika shettar</t>
  </si>
  <si>
    <t>BHUPATI NAIDU PALANKI</t>
  </si>
  <si>
    <t>BHUVAN GOWDA Y M</t>
  </si>
  <si>
    <t>Bhuvan K A</t>
  </si>
  <si>
    <t>CHAARVI NAIDU NOOLU</t>
  </si>
  <si>
    <t>CHANDANA</t>
  </si>
  <si>
    <t>CHIKKERI VARUN KUMAR</t>
  </si>
  <si>
    <t>DHANUSH K</t>
  </si>
  <si>
    <t>FIZZA NAJAM N</t>
  </si>
  <si>
    <t>Gayathri. H</t>
  </si>
  <si>
    <t>GOGULA REDDY YASHASWINI</t>
  </si>
  <si>
    <t>HANNAH BETH SHAJAN</t>
  </si>
  <si>
    <t>HARSHIL S JADHAV</t>
  </si>
  <si>
    <t>HARSHINI ASAPU</t>
  </si>
  <si>
    <t>Harshitha BM</t>
  </si>
  <si>
    <t>Harshitha K</t>
  </si>
  <si>
    <t>HEMANTH B S</t>
  </si>
  <si>
    <t>HITESH L</t>
  </si>
  <si>
    <t>Iqra Fathima</t>
  </si>
  <si>
    <t>Jitendra Kumar gupta</t>
  </si>
  <si>
    <t>JOANNA MARIA LEO</t>
  </si>
  <si>
    <t>Jyoti</t>
  </si>
  <si>
    <t>K DHANUSH</t>
  </si>
  <si>
    <t>K Karthik</t>
  </si>
  <si>
    <t>KALLURU SAI JATHIN REDDY</t>
  </si>
  <si>
    <t>Kamal prasad Bohara</t>
  </si>
  <si>
    <t>KAMBALA SRAVAN KUMAR</t>
  </si>
  <si>
    <t>KEERTHANA B</t>
  </si>
  <si>
    <t>KESAPRAGADA VENKATA PRABHA SAI SAMVITHA</t>
  </si>
  <si>
    <t>Khushi Hebballi</t>
  </si>
  <si>
    <t>Krupa S P</t>
  </si>
  <si>
    <t>KUNTIMUKKALA SAIRAM</t>
  </si>
  <si>
    <t>KUSHI S SHETTY</t>
  </si>
  <si>
    <t>Kusuma P</t>
  </si>
  <si>
    <t>LAHITHA REDDY KAMBAM</t>
  </si>
  <si>
    <t>LIKITHA. C</t>
  </si>
  <si>
    <t>LOHITH R</t>
  </si>
  <si>
    <t>M Gunajothi</t>
  </si>
  <si>
    <t>M P PRAGNA</t>
  </si>
  <si>
    <t>M TANUSREE REDDY</t>
  </si>
  <si>
    <t>Mainak Roy</t>
  </si>
  <si>
    <t>MALLIKARJUN CHINMALLI</t>
  </si>
  <si>
    <t>MANOJKUMAR K PATIL</t>
  </si>
  <si>
    <t>Manzil Shrestha</t>
  </si>
  <si>
    <t>MIRUDHULA VENKATACHALAM</t>
  </si>
  <si>
    <t>MOHAMED FAIZAN</t>
  </si>
  <si>
    <t>Monisha mohandas</t>
  </si>
  <si>
    <t>MOUNIKA M N</t>
  </si>
  <si>
    <t>Mummareddy dinesh</t>
  </si>
  <si>
    <t>N Harshith</t>
  </si>
  <si>
    <t>Nadepally Shreya</t>
  </si>
  <si>
    <t>NAGESH M N</t>
  </si>
  <si>
    <t>NAMITHA M GANESH</t>
  </si>
  <si>
    <t>NANDANA P</t>
  </si>
  <si>
    <t>Navaneetha N V</t>
  </si>
  <si>
    <t>NIDHI</t>
  </si>
  <si>
    <t>NIHAL DR</t>
  </si>
  <si>
    <t>Nishchitha K M</t>
  </si>
  <si>
    <t>NISHIT KUMAR</t>
  </si>
  <si>
    <t>NITHYASHREE V</t>
  </si>
  <si>
    <t>PAVAN</t>
  </si>
  <si>
    <t>Pavitra P Rathod</t>
  </si>
  <si>
    <t>PRABHU VIGNESH J</t>
  </si>
  <si>
    <t>PRAKHYAT RAJ SEDAI</t>
  </si>
  <si>
    <t>PRAKRUTHI V A</t>
  </si>
  <si>
    <t>Praneet Ashok Bhushi</t>
  </si>
  <si>
    <t>PUSALAPATI DEVESH REDDY</t>
  </si>
  <si>
    <t>Rachana HM</t>
  </si>
  <si>
    <t>RAJESHWARI SHARANAPPA KAWLUR</t>
  </si>
  <si>
    <t>Rakesh R N</t>
  </si>
  <si>
    <t>RAKESH RANJAN</t>
  </si>
  <si>
    <t>RAKSHITHA</t>
  </si>
  <si>
    <t>RIONA GHORUI</t>
  </si>
  <si>
    <t>Rishi M Patel</t>
  </si>
  <si>
    <t>S B SAMYUKTHA</t>
  </si>
  <si>
    <t>Sagar pandit</t>
  </si>
  <si>
    <t>Sambarika Kshetri</t>
  </si>
  <si>
    <t>samridh hada</t>
  </si>
  <si>
    <t>Sanisetty Sri Meghana</t>
  </si>
  <si>
    <t>Sanjana.L</t>
  </si>
  <si>
    <t>SANJANAA NAGARAJA</t>
  </si>
  <si>
    <t>Sayara Budhathoki</t>
  </si>
  <si>
    <t>Shalwin Joel Lewis</t>
  </si>
  <si>
    <t>SHILPI KUMARI</t>
  </si>
  <si>
    <t>Shishir Khanal</t>
  </si>
  <si>
    <t>SHIVA PRASAD RAJU GURUNATHA</t>
  </si>
  <si>
    <t>Shivam pajiyar</t>
  </si>
  <si>
    <t>SHREEYA SINGH, D/o Sushil Kumar</t>
  </si>
  <si>
    <t>SHREYA M UNNITHAN</t>
  </si>
  <si>
    <t>Shreya Singh D/o Abhay Singh</t>
  </si>
  <si>
    <t>SINDHU</t>
  </si>
  <si>
    <t>SIREESHA G</t>
  </si>
  <si>
    <t>SIRI S</t>
  </si>
  <si>
    <t>SOWMYA U PAI</t>
  </si>
  <si>
    <t>Spandana G</t>
  </si>
  <si>
    <t>Sreeman C Y</t>
  </si>
  <si>
    <t>Suchithra M</t>
  </si>
  <si>
    <t>SUDIP CHOHAN</t>
  </si>
  <si>
    <t>SUJAL THAKUR</t>
  </si>
  <si>
    <t>SUMIT KUMAR SHUKLA</t>
  </si>
  <si>
    <t>SYED OBEDULLAH SHOAIB</t>
  </si>
  <si>
    <t>TARUN B REDDY</t>
  </si>
  <si>
    <t>Tarun Gowda D</t>
  </si>
  <si>
    <t>UJWAL S</t>
  </si>
  <si>
    <t>V M Sai Harini</t>
  </si>
  <si>
    <t>Varsha C Naik</t>
  </si>
  <si>
    <t>VARSHINI L</t>
  </si>
  <si>
    <t>Vedraj U V</t>
  </si>
  <si>
    <t>VINEETH K C</t>
  </si>
  <si>
    <t>VISHWAS KHANDELWAL</t>
  </si>
  <si>
    <t>VIVEK KUMAR</t>
  </si>
  <si>
    <t>YADAMA ROHITH</t>
  </si>
  <si>
    <t>Yashwant Dev</t>
  </si>
  <si>
    <t>YOGITHA VIMALKANTH</t>
  </si>
  <si>
    <t>YUVARAJ.S</t>
  </si>
  <si>
    <t>sija23aids@cmrit.ac.in</t>
  </si>
  <si>
    <t>Sivaani Janaswamy</t>
  </si>
  <si>
    <t>Mahesh Surya R S</t>
  </si>
  <si>
    <t>ADITYA SINGH</t>
  </si>
  <si>
    <t>Aishwarya kotte</t>
  </si>
  <si>
    <t>ALLIE THAKUR</t>
  </si>
  <si>
    <t>Amogh Shivappa Pattanashetti</t>
  </si>
  <si>
    <t>Ananya H A</t>
  </si>
  <si>
    <t>ANANYA YAMBA</t>
  </si>
  <si>
    <t>Ankitha N</t>
  </si>
  <si>
    <t>ANURAG JHA</t>
  </si>
  <si>
    <t>APOORVA SHASTRI</t>
  </si>
  <si>
    <t>ARNAV BANSAL</t>
  </si>
  <si>
    <t>ARUN BENEDICT THOTA</t>
  </si>
  <si>
    <t>AYAN POKHREL</t>
  </si>
  <si>
    <t>AYUSH GUPTA</t>
  </si>
  <si>
    <t>BALA ADITH R</t>
  </si>
  <si>
    <t>BALAJI S</t>
  </si>
  <si>
    <t>Bar shaik Aarzoo Nuha</t>
  </si>
  <si>
    <t>BHAWANSH GARG</t>
  </si>
  <si>
    <t>Bhuvan M</t>
  </si>
  <si>
    <t>Bishal Chaudhary</t>
  </si>
  <si>
    <t>Bisal Kumar Shah</t>
  </si>
  <si>
    <t>Chaithanya Kartik m</t>
  </si>
  <si>
    <t>CHETAN PRASANNA SIRSIKAR</t>
  </si>
  <si>
    <t>Chinmay R A</t>
  </si>
  <si>
    <t>D R TEJASWI YADAV</t>
  </si>
  <si>
    <t>Darshan N</t>
  </si>
  <si>
    <t>DEEKSHA BABU</t>
  </si>
  <si>
    <t>Deepak chouhan</t>
  </si>
  <si>
    <t>Dhanya shree A</t>
  </si>
  <si>
    <t>DHEERAJ SAMPATH SALIAN</t>
  </si>
  <si>
    <t>Dikshyant Lamsal</t>
  </si>
  <si>
    <t>DILEEP M N</t>
  </si>
  <si>
    <t>DINAKAR.S</t>
  </si>
  <si>
    <t>F RAIHAN</t>
  </si>
  <si>
    <t>G Prajwal Reddy</t>
  </si>
  <si>
    <t>GAGAN.K</t>
  </si>
  <si>
    <t>GOVIND SHARMA</t>
  </si>
  <si>
    <t>Harikrishna RL</t>
  </si>
  <si>
    <t>HARSH VARDHAN RAJ</t>
  </si>
  <si>
    <t>Image Shrestha</t>
  </si>
  <si>
    <t>JAYANTH GOWDA C R</t>
  </si>
  <si>
    <t>Jenish karki</t>
  </si>
  <si>
    <t>JYOTHI</t>
  </si>
  <si>
    <t>K M VINAY PATEL</t>
  </si>
  <si>
    <t>KENESHA WATT Q</t>
  </si>
  <si>
    <t>KHUSHI VENKATESH</t>
  </si>
  <si>
    <t>Kirtan Shrestha</t>
  </si>
  <si>
    <t>KOPPARTHI VENKATESWARLU REDDY</t>
  </si>
  <si>
    <t>Kothakota Harshitha</t>
  </si>
  <si>
    <t>M SHRI RAMYA</t>
  </si>
  <si>
    <t>MADHAN MATTHEW S</t>
  </si>
  <si>
    <t>MAHADEV</t>
  </si>
  <si>
    <t>MALLIKARJUN SUGAREDDY</t>
  </si>
  <si>
    <t>MANISH D S</t>
  </si>
  <si>
    <t>MANOJ G J</t>
  </si>
  <si>
    <t>MANOJ H</t>
  </si>
  <si>
    <t>MANOJ SASIKUMAR</t>
  </si>
  <si>
    <t>Mansi Arunkumar Harti</t>
  </si>
  <si>
    <t>MILIND NAIDU</t>
  </si>
  <si>
    <t>Mohamed Aqeeb</t>
  </si>
  <si>
    <t>MOHAMMED KHALANDER K</t>
  </si>
  <si>
    <t>MOHAMMED MAHIN</t>
  </si>
  <si>
    <t>MOHAMMED TAHA KALEEM</t>
  </si>
  <si>
    <t>MOHD AMAN ABBASI</t>
  </si>
  <si>
    <t>MOHNISH JAKHAR</t>
  </si>
  <si>
    <t>MONITH REDDY H R</t>
  </si>
  <si>
    <t>MOURYA REDDY V</t>
  </si>
  <si>
    <t>MYTHRI S M</t>
  </si>
  <si>
    <t>Nabin khati</t>
  </si>
  <si>
    <t>Navaneeth Gowda GT</t>
  </si>
  <si>
    <t>NICHENAMETLA PRANATHI</t>
  </si>
  <si>
    <t>Nidhi Mishra</t>
  </si>
  <si>
    <t>NIHA MUSKAAN SHARIEF</t>
  </si>
  <si>
    <t>Nikhil Chaudhary</t>
  </si>
  <si>
    <t>Niranjan B</t>
  </si>
  <si>
    <t>P SHREEYA</t>
  </si>
  <si>
    <t>PALAKONDA SAI KIRAN</t>
  </si>
  <si>
    <t>PARTHIB DEY</t>
  </si>
  <si>
    <t>PAVAN BHAT G</t>
  </si>
  <si>
    <t>PAVAN TARANATH HEGDE</t>
  </si>
  <si>
    <t>Pragati Singh Chauhan</t>
  </si>
  <si>
    <t>PRAKSHI LAKHCHAURA</t>
  </si>
  <si>
    <t>PRASHANT SINGH</t>
  </si>
  <si>
    <t>Preethi</t>
  </si>
  <si>
    <t>Priyanshu Lohani</t>
  </si>
  <si>
    <t>R SUDHIRKUMAR</t>
  </si>
  <si>
    <t>Rachit Garg</t>
  </si>
  <si>
    <t>RAGHAV AGRAWAL</t>
  </si>
  <si>
    <t>RAGHAVENDRA</t>
  </si>
  <si>
    <t>Raghavendra E S</t>
  </si>
  <si>
    <t>RAGHAVI.R</t>
  </si>
  <si>
    <t>RAJ ARYAN</t>
  </si>
  <si>
    <t>RAKSHITHA PATIL S</t>
  </si>
  <si>
    <t>RAM CHARAN TEJ A</t>
  </si>
  <si>
    <t>RAMAKRISHNAN VINUSH</t>
  </si>
  <si>
    <t>RAMESH V</t>
  </si>
  <si>
    <t>Rishav Raj</t>
  </si>
  <si>
    <t>Rishi katkam</t>
  </si>
  <si>
    <t>Rohana N Acharya</t>
  </si>
  <si>
    <t>S AKSHITA SAI</t>
  </si>
  <si>
    <t>S Sanvi</t>
  </si>
  <si>
    <t>S V NAYANA</t>
  </si>
  <si>
    <t>SAFA MARIYAH</t>
  </si>
  <si>
    <t>SAI HARSHA K</t>
  </si>
  <si>
    <t>SAMIKSHA S SHETTY</t>
  </si>
  <si>
    <t>SANJANNA RAMESHH</t>
  </si>
  <si>
    <t>SANKALP LINGABASAYYA HIREMATH</t>
  </si>
  <si>
    <t>SANNAH SHARMA</t>
  </si>
  <si>
    <t>SHASHANK AGRAWAL</t>
  </si>
  <si>
    <t>Sheetal</t>
  </si>
  <si>
    <t>SHIVAM ARYA</t>
  </si>
  <si>
    <t>SHOMITH R</t>
  </si>
  <si>
    <t>Shreyas Hemmady</t>
  </si>
  <si>
    <t>Srishti Sangayya Malimath</t>
  </si>
  <si>
    <t>STUTI KATIYAR</t>
  </si>
  <si>
    <t>SUJAL RANJAN</t>
  </si>
  <si>
    <t>SUMAIRAA AHMED</t>
  </si>
  <si>
    <t>TANAY CHATURVEDI</t>
  </si>
  <si>
    <t>Tanish Tammanna Pandiyanda</t>
  </si>
  <si>
    <t>Tannushree Vaishnav</t>
  </si>
  <si>
    <t>TEJAS. G</t>
  </si>
  <si>
    <t>THARUN C</t>
  </si>
  <si>
    <t>THEJASHWINI R</t>
  </si>
  <si>
    <t>THRISHUL BABU R</t>
  </si>
  <si>
    <t>UDIT RAJ</t>
  </si>
  <si>
    <t>Vaishnavi</t>
  </si>
  <si>
    <t>Vamshi yadav G R</t>
  </si>
  <si>
    <t>VARNIT PATEL</t>
  </si>
  <si>
    <t>Varshini Papa Reddy</t>
  </si>
  <si>
    <t>VEDAMURTHY A B</t>
  </si>
  <si>
    <t>VEDANT DUBEY</t>
  </si>
  <si>
    <t>VEDANTA VERMA</t>
  </si>
  <si>
    <t>VEDIKA SHARMA</t>
  </si>
  <si>
    <t>VIDHYA SHREE.R</t>
  </si>
  <si>
    <t>Vinay Kumar H R</t>
  </si>
  <si>
    <t>VINAY S</t>
  </si>
  <si>
    <t>Yash Jaiswal</t>
  </si>
  <si>
    <t>Yashaswini N</t>
  </si>
  <si>
    <t>Yashica G</t>
  </si>
  <si>
    <t>AARUSH DHINGRA</t>
  </si>
  <si>
    <t>Abhishek</t>
  </si>
  <si>
    <t>ADITI BRIJ</t>
  </si>
  <si>
    <t>Akanksha Shrikant Hanchate</t>
  </si>
  <si>
    <t>AKSHAYKUMAR YOGEESH PATGAR</t>
  </si>
  <si>
    <t>AMISHA SINGH</t>
  </si>
  <si>
    <t>ANANYA U</t>
  </si>
  <si>
    <t>Anjali shukla</t>
  </si>
  <si>
    <t>ANUSHKA KUMARI</t>
  </si>
  <si>
    <t>APARNAA A S</t>
  </si>
  <si>
    <t>ASHIRWAD</t>
  </si>
  <si>
    <t>B.Pavan Kumar</t>
  </si>
  <si>
    <t>BABU HARSHITH JADHAV</t>
  </si>
  <si>
    <t>BARATH S</t>
  </si>
  <si>
    <t>BIRADAR ADITYA TANAJI</t>
  </si>
  <si>
    <t>Brunda R</t>
  </si>
  <si>
    <t>C Vishwak Sena</t>
  </si>
  <si>
    <t>Charan M</t>
  </si>
  <si>
    <t>DEWANSHI RAJ</t>
  </si>
  <si>
    <t>Dharmendra Singh</t>
  </si>
  <si>
    <t>durgashwetha M</t>
  </si>
  <si>
    <t>GAGAN DEEP REDDY R</t>
  </si>
  <si>
    <t>h av23csds@cmrit.ac.in</t>
  </si>
  <si>
    <t>H Avaneesha</t>
  </si>
  <si>
    <t>HARSH MAHTO</t>
  </si>
  <si>
    <t>JAITHRA GUTTIKONDA</t>
  </si>
  <si>
    <t>Janak Narasimhulu Madhlekar</t>
  </si>
  <si>
    <t>JYOTHIKA R</t>
  </si>
  <si>
    <t>KEERTHIKA SANA</t>
  </si>
  <si>
    <t>KESHAV ANAND</t>
  </si>
  <si>
    <t>KETHAN SHRICHAND</t>
  </si>
  <si>
    <t>Kiran Kumar</t>
  </si>
  <si>
    <t>KISHORE REDDY M</t>
  </si>
  <si>
    <t>LAKSHMAN PILLAI</t>
  </si>
  <si>
    <t>LOVE JAISWAL</t>
  </si>
  <si>
    <t>MOHAMMED HASSAN</t>
  </si>
  <si>
    <t>MULE ADITYA MACHINDRA</t>
  </si>
  <si>
    <t>NIHARIKA KIRADOO</t>
  </si>
  <si>
    <t>NISHK SHANKAR</t>
  </si>
  <si>
    <t>NITHYA PRIYA.S</t>
  </si>
  <si>
    <t>Palla siva shankar</t>
  </si>
  <si>
    <t>PERAM KUSHI</t>
  </si>
  <si>
    <t>Phalguni A</t>
  </si>
  <si>
    <t>PRAJWAL SACHIN TELANG</t>
  </si>
  <si>
    <t>PRAMODH NARAIN</t>
  </si>
  <si>
    <t>Praveen Kumar M V</t>
  </si>
  <si>
    <t>PRITHVI SAJIV</t>
  </si>
  <si>
    <t>R SURABHI</t>
  </si>
  <si>
    <t>RAHUL DASHARATH MADARI</t>
  </si>
  <si>
    <t>RAKSHITHA J</t>
  </si>
  <si>
    <t>S ABHIJIT</t>
  </si>
  <si>
    <t>SANDHYA JOSHI</t>
  </si>
  <si>
    <t>SANIDHYA KALTA</t>
  </si>
  <si>
    <t>SANIKA SANTHOSH</t>
  </si>
  <si>
    <t>Sharath .M</t>
  </si>
  <si>
    <t>Shivam Singh</t>
  </si>
  <si>
    <t>SONALI BEHERA</t>
  </si>
  <si>
    <t>Sreeliya S</t>
  </si>
  <si>
    <t>SRUJAN A PATIL</t>
  </si>
  <si>
    <t>TANAY SARDA</t>
  </si>
  <si>
    <t>Vaishnavi S</t>
  </si>
  <si>
    <t>VAKATI GEETHIKA REDDY</t>
  </si>
  <si>
    <t>VEERAM REDDY AASHISH REDDY</t>
  </si>
  <si>
    <t>VINUTHA S</t>
  </si>
  <si>
    <t>srpu23cseds@cmrit.ac.in</t>
  </si>
  <si>
    <t>Sristi Purkayastha</t>
  </si>
  <si>
    <t>kuth23cseds@cmrit.ac.in</t>
  </si>
  <si>
    <t>Kushi T H</t>
  </si>
  <si>
    <t>saja23cseds@cmrit.ac.in</t>
  </si>
  <si>
    <t>SAKSHAM JAISWAL</t>
  </si>
  <si>
    <t>ABDULREHAN MOHAMMEDISMAIL KONANKERI</t>
  </si>
  <si>
    <t>ADITYA HARIKUMAR</t>
  </si>
  <si>
    <t>AKSHITHA MARURU</t>
  </si>
  <si>
    <t>ALAPATI BHAGYA SRI</t>
  </si>
  <si>
    <t>AMARTYA BHARDWAJ</t>
  </si>
  <si>
    <t>ANJALI SREEJA MUNAGALA</t>
  </si>
  <si>
    <t>ANKIT DINBANDHU SINGH</t>
  </si>
  <si>
    <t>ARPITA ARYAN</t>
  </si>
  <si>
    <t>ARYA ABHAS</t>
  </si>
  <si>
    <t>Aryan Srivastava</t>
  </si>
  <si>
    <t>BHAVANAM PAVAN KUMAR REDDY</t>
  </si>
  <si>
    <t>Bhavani Sharma</t>
  </si>
  <si>
    <t>Dhanush Gowda M C</t>
  </si>
  <si>
    <t>FAIZAN RAZA</t>
  </si>
  <si>
    <t>GAJJALA YOGAKIRAN</t>
  </si>
  <si>
    <t>GAYATHRI BR</t>
  </si>
  <si>
    <t>HEMASRI CHALLA</t>
  </si>
  <si>
    <t>ITHA NITEESH CHANDRA</t>
  </si>
  <si>
    <t>K Yashwanth Kumar</t>
  </si>
  <si>
    <t>KAMBHAMPATI BHUVAN SRIRAM</t>
  </si>
  <si>
    <t>KARTHIK S NAIR</t>
  </si>
  <si>
    <t>KOTAPATI VENKATA DANUSH</t>
  </si>
  <si>
    <t>L NEHA GAIKWAD</t>
  </si>
  <si>
    <t>LEKIREDDY DEEPIKA REDDY</t>
  </si>
  <si>
    <t>M CHAKRADHARA REDDY</t>
  </si>
  <si>
    <t>MANYA MICHELLE</t>
  </si>
  <si>
    <t>Md Zaid Ibrahim</t>
  </si>
  <si>
    <t>MEGHANA GANTA</t>
  </si>
  <si>
    <t>Muhammad Navas</t>
  </si>
  <si>
    <t>Naman Jain</t>
  </si>
  <si>
    <t>Nayana R</t>
  </si>
  <si>
    <t>NIKITA SAMEER PRABHUDESAI</t>
  </si>
  <si>
    <t>PALAVALI AMARNATH REDDY</t>
  </si>
  <si>
    <t>PALLAVI A KUMBAR</t>
  </si>
  <si>
    <t>pap23csaiml@cmrit.ac.in</t>
  </si>
  <si>
    <t>PATEEL MEGHANA REDDY</t>
  </si>
  <si>
    <t>Pippala manikanta</t>
  </si>
  <si>
    <t>PREETHI N</t>
  </si>
  <si>
    <t>PRIYANSHU MADHUP</t>
  </si>
  <si>
    <t>Purvi Ashok Kalliganur</t>
  </si>
  <si>
    <t>RACHIT JOSEPH</t>
  </si>
  <si>
    <t>Ramya S G</t>
  </si>
  <si>
    <t>RAVAL PARAM VIPULBHAI</t>
  </si>
  <si>
    <t>RITHIKA VOONA</t>
  </si>
  <si>
    <t>ROHAN AEDULA</t>
  </si>
  <si>
    <t>Samarth Rajendra Hegde</t>
  </si>
  <si>
    <t>SANKETHA H. R</t>
  </si>
  <si>
    <t>SATISH DEEPA REDDY</t>
  </si>
  <si>
    <t>SEEKE CHANUKYA NARAYANA</t>
  </si>
  <si>
    <t>Shaan Poonacha N S</t>
  </si>
  <si>
    <t>Shaiza Samreen</t>
  </si>
  <si>
    <t>Sharat Patil</t>
  </si>
  <si>
    <t>SHREYA DHANGE</t>
  </si>
  <si>
    <t>Shriya P Nair</t>
  </si>
  <si>
    <t>SMRUTI R</t>
  </si>
  <si>
    <t>SREETHU S</t>
  </si>
  <si>
    <t>Shetty Sudhanshu Shankar</t>
  </si>
  <si>
    <t>TANUSHREE A</t>
  </si>
  <si>
    <t>V.KEERTHANA</t>
  </si>
  <si>
    <t>VAISHNAV S</t>
  </si>
  <si>
    <t>VARSSHINI SARAVANAN</t>
  </si>
  <si>
    <t>VISHNU M</t>
  </si>
  <si>
    <t>Yash Kumar Rajput</t>
  </si>
  <si>
    <t>NILOTPAL ARYA(COB FROM ECE)</t>
  </si>
  <si>
    <t>AASISH KUMAR SAH</t>
  </si>
  <si>
    <t>ABHISHEK SOMESHWAR HIREMATH</t>
  </si>
  <si>
    <t>Aditya Prakash</t>
  </si>
  <si>
    <t>Aman kumar  pathak</t>
  </si>
  <si>
    <t>ANANYA KULKARNI</t>
  </si>
  <si>
    <t>ANASUYA CHAKRABORTY</t>
  </si>
  <si>
    <t>Arbin chand</t>
  </si>
  <si>
    <t>Charan R A</t>
  </si>
  <si>
    <t>DEEPAK RAVINDRA BHAT</t>
  </si>
  <si>
    <t>Dhyan N</t>
  </si>
  <si>
    <t>DISHA CHANDRU TANDEL</t>
  </si>
  <si>
    <t>Gaurav Rijal</t>
  </si>
  <si>
    <t>HARSH VAIDYA</t>
  </si>
  <si>
    <t>KASTURI KUMARI</t>
  </si>
  <si>
    <t>LOCHAN V</t>
  </si>
  <si>
    <t>LOHITH GOWDA KV</t>
  </si>
  <si>
    <t>Marulasiddesh patel GN</t>
  </si>
  <si>
    <t>Mohan kumar H D</t>
  </si>
  <si>
    <t>Nayana M R</t>
  </si>
  <si>
    <t>REENA C THOMAS</t>
  </si>
  <si>
    <t>ROSHAN JOSHI</t>
  </si>
  <si>
    <t>RUDRESH S K</t>
  </si>
  <si>
    <t>TARUN PRAKASH JHA</t>
  </si>
  <si>
    <t>VARSHA R</t>
  </si>
  <si>
    <t>ABHIJEET KUMAR</t>
  </si>
  <si>
    <t>ABHIJITH V R</t>
  </si>
  <si>
    <t>Abhinish Joshi</t>
  </si>
  <si>
    <t>Abhishek B M</t>
  </si>
  <si>
    <t>Abhishek Bhujabali Siddoji</t>
  </si>
  <si>
    <t>ACHYUTH I HUGAR</t>
  </si>
  <si>
    <t>ADARSH</t>
  </si>
  <si>
    <t>ADITI RAVI KULKARNI</t>
  </si>
  <si>
    <t>ADITYA NATH</t>
  </si>
  <si>
    <t>Aishwarya R</t>
  </si>
  <si>
    <t>AKHILA H</t>
  </si>
  <si>
    <t>AKSHAYA. M</t>
  </si>
  <si>
    <t>ALAPATI RAGA KEERTHANA</t>
  </si>
  <si>
    <t>AMBIKA</t>
  </si>
  <si>
    <t>ANAND</t>
  </si>
  <si>
    <t>ANKITHA PRADHAN</t>
  </si>
  <si>
    <t>ANSEL VIVIAN REGO</t>
  </si>
  <si>
    <t>ANSH PRATAP SINGH KACHHWAH</t>
  </si>
  <si>
    <t>ANU SHREE S J</t>
  </si>
  <si>
    <t>ANUBHAV SRIVASTVA</t>
  </si>
  <si>
    <t>Apeksha M</t>
  </si>
  <si>
    <t>Arbiya K</t>
  </si>
  <si>
    <t>ARJUN.D</t>
  </si>
  <si>
    <t>ARJUN M NATH</t>
  </si>
  <si>
    <t>ARNIYA S</t>
  </si>
  <si>
    <t>ASHISH SINGH</t>
  </si>
  <si>
    <t>AYUSH KUMAR</t>
  </si>
  <si>
    <t>AYUSHI CHANDEL</t>
  </si>
  <si>
    <t>Ayushi Gupta</t>
  </si>
  <si>
    <t>AYYA HARSHITH RAM</t>
  </si>
  <si>
    <t>B DEEKSHAA</t>
  </si>
  <si>
    <t>B Dharani</t>
  </si>
  <si>
    <t>B TEJASHWINI</t>
  </si>
  <si>
    <t>Bharthi H Ganji</t>
  </si>
  <si>
    <t>Bhumika B Basarkod</t>
  </si>
  <si>
    <t>BHUVAN M NAYAKARU</t>
  </si>
  <si>
    <t>BHUVANESHWAR K</t>
  </si>
  <si>
    <t>BISWAS KUMAR PATEL</t>
  </si>
  <si>
    <t>BOMMISETTY MONIKA</t>
  </si>
  <si>
    <t>C V YETHIN</t>
  </si>
  <si>
    <t>Chandana B M</t>
  </si>
  <si>
    <t>CHANDRASHEKAR</t>
  </si>
  <si>
    <t>Charan Gowda A L</t>
  </si>
  <si>
    <t>CHARAN SREEVASU J</t>
  </si>
  <si>
    <t>CHERUKUMUDI SREE SATWIK</t>
  </si>
  <si>
    <t>Chinmay Sukant Naik</t>
  </si>
  <si>
    <t>CHIRANTH V</t>
  </si>
  <si>
    <t>D SRINIDHI</t>
  </si>
  <si>
    <t>DANIYA MARY JOHN</t>
  </si>
  <si>
    <t>DARSHAN BARMA</t>
  </si>
  <si>
    <t>Deeksha N G</t>
  </si>
  <si>
    <t>Devanshi Mohan</t>
  </si>
  <si>
    <t>DHANUSH.A</t>
  </si>
  <si>
    <t>DURGADEEPIKA.M</t>
  </si>
  <si>
    <t>FAIZAN AHMAD</t>
  </si>
  <si>
    <t>FALAK ASHISH MEHTA</t>
  </si>
  <si>
    <t>G M Sanjay</t>
  </si>
  <si>
    <t>GAGAN JAYPRAKASH</t>
  </si>
  <si>
    <t>Gagan S</t>
  </si>
  <si>
    <t>Gaganashree H M</t>
  </si>
  <si>
    <t>GAURAV KUMAR ANCHAL</t>
  </si>
  <si>
    <t>GOLLAPALLI UDAYA SANKAR</t>
  </si>
  <si>
    <t>GOURI G MENON</t>
  </si>
  <si>
    <t>GUDIPATI SHYAM</t>
  </si>
  <si>
    <t>GUNN KUMARI</t>
  </si>
  <si>
    <t>Gurram venkata kumara karthikeya</t>
  </si>
  <si>
    <t>Guvvala Naveen kumar</t>
  </si>
  <si>
    <t>HARIHARAN G</t>
  </si>
  <si>
    <t>HARIPRIYA C R</t>
  </si>
  <si>
    <t>HARISH R</t>
  </si>
  <si>
    <t>HARSHA BL</t>
  </si>
  <si>
    <t>HARSHINI A</t>
  </si>
  <si>
    <t>HARSHITA BHUSHAN</t>
  </si>
  <si>
    <t>Hema.A</t>
  </si>
  <si>
    <t>JAISHREE P</t>
  </si>
  <si>
    <t>JALLI HANEESHA</t>
  </si>
  <si>
    <t>JANAVI.V</t>
  </si>
  <si>
    <t>JITHIYA JANANE A</t>
  </si>
  <si>
    <t>JOEL JOSHUA N</t>
  </si>
  <si>
    <t>K C INDU</t>
  </si>
  <si>
    <t>K N KARTHIK</t>
  </si>
  <si>
    <t>K S KARTHIK</t>
  </si>
  <si>
    <t>KANALA GANGI REDDY</t>
  </si>
  <si>
    <t>KANDADDY PADMAPRIYA</t>
  </si>
  <si>
    <t>Kanduri Ananthalakshmi sathvika</t>
  </si>
  <si>
    <t>KAPPALA MANI KANTA</t>
  </si>
  <si>
    <t>KAVANA KANDAKUR</t>
  </si>
  <si>
    <t>Kavya Mahadeva Gouda</t>
  </si>
  <si>
    <t>Keshav Joshi</t>
  </si>
  <si>
    <t>KRISHNAM THARAKESWAR REDDY</t>
  </si>
  <si>
    <t>KSHAMA SAVANUR</t>
  </si>
  <si>
    <t>Kuldeep Saurashtriya</t>
  </si>
  <si>
    <t>KUSHAGRA</t>
  </si>
  <si>
    <t>L Chinmayee</t>
  </si>
  <si>
    <t>L KEERTHANA</t>
  </si>
  <si>
    <t>LAVANYA AIGAL</t>
  </si>
  <si>
    <t>LENITA ABRAHAM</t>
  </si>
  <si>
    <t>LEONA IDA PRANUHYA MORAGUDI</t>
  </si>
  <si>
    <t>M HARSHITAA RAJ</t>
  </si>
  <si>
    <t>M JEETHAN</t>
  </si>
  <si>
    <t>M L TANUJA</t>
  </si>
  <si>
    <t>M PRANAV</t>
  </si>
  <si>
    <t>MAAHI SINGH</t>
  </si>
  <si>
    <t>MADDULETAPPAGARI MANASWINI</t>
  </si>
  <si>
    <t>Madduluru Nagarjuna</t>
  </si>
  <si>
    <t>Madhav saraswat</t>
  </si>
  <si>
    <t>MADHAVA PRAVEEN RAO</t>
  </si>
  <si>
    <t>MADHAVAN H</t>
  </si>
  <si>
    <t>MAJJIGERE VINAYAKA</t>
  </si>
  <si>
    <t>MALLAPPA M</t>
  </si>
  <si>
    <t>MANISH KANJIKAR</t>
  </si>
  <si>
    <t>MANJUNATH.M</t>
  </si>
  <si>
    <t>MANOJ N KHATRI</t>
  </si>
  <si>
    <t>MANU SUKARNA G</t>
  </si>
  <si>
    <t>Md Altaf</t>
  </si>
  <si>
    <t>MD SAHID MODI</t>
  </si>
  <si>
    <t>MITHIL R KOKANE</t>
  </si>
  <si>
    <t>Mithun Naik K</t>
  </si>
  <si>
    <t>Mithun R</t>
  </si>
  <si>
    <t>MOHAMMAD ALI NAWAZ KHAN</t>
  </si>
  <si>
    <t>Mohammed farooque ahmed khan</t>
  </si>
  <si>
    <t>Mohammed Aqib Niyazahmed Doddamani</t>
  </si>
  <si>
    <t>MOKSHA B H</t>
  </si>
  <si>
    <t>Moulya B G</t>
  </si>
  <si>
    <t>MOURYA C</t>
  </si>
  <si>
    <t>MUKESH KARTHIK.P</t>
  </si>
  <si>
    <t>MUNDLA CHINNA CHENNA REDDY</t>
  </si>
  <si>
    <t>NAMAN SAINI</t>
  </si>
  <si>
    <t>NAYANA D</t>
  </si>
  <si>
    <t>Neetha</t>
  </si>
  <si>
    <t>NEHA</t>
  </si>
  <si>
    <t>NEHARIKA S PATEL</t>
  </si>
  <si>
    <t>Nikhil L</t>
  </si>
  <si>
    <t>NIKHIL UMAPATHY</t>
  </si>
  <si>
    <t>Nikita Thakur</t>
  </si>
  <si>
    <t>NILOTPAL ARYA</t>
  </si>
  <si>
    <t>NIRANJAN</t>
  </si>
  <si>
    <t>Nischal Madalagere Mahanthaswamy</t>
  </si>
  <si>
    <t>Nishchal Abraham</t>
  </si>
  <si>
    <t>NITHYA NIHARIKA B V</t>
  </si>
  <si>
    <t>OVIYA R</t>
  </si>
  <si>
    <t>PALLAVI M N</t>
  </si>
  <si>
    <t>PARIKSHIT R</t>
  </si>
  <si>
    <t>Parithosh kp</t>
  </si>
  <si>
    <t>Pavan M</t>
  </si>
  <si>
    <t>PENDYALA JAYRAM</t>
  </si>
  <si>
    <t>PENUGOLAKALA SHILPA</t>
  </si>
  <si>
    <t>PIYUSH KUMAR SINGH</t>
  </si>
  <si>
    <t>PIYUSH RAJ</t>
  </si>
  <si>
    <t>PIYUSH RAJU N R</t>
  </si>
  <si>
    <t>Poornima B</t>
  </si>
  <si>
    <t>Poorvi Parashuram Gajakosh</t>
  </si>
  <si>
    <t>PRAGATI KUMARI</t>
  </si>
  <si>
    <t>PRAJWAL BANDALKAR R</t>
  </si>
  <si>
    <t>PRANATHI N S</t>
  </si>
  <si>
    <t>PRANAV SRIPADA</t>
  </si>
  <si>
    <t>PRANIT BISWAL</t>
  </si>
  <si>
    <t>Prasannakumar Patil</t>
  </si>
  <si>
    <t>P TEJESH KISHAN</t>
  </si>
  <si>
    <t>Prateeksha shreepad hegde</t>
  </si>
  <si>
    <t>PRATHAM RAIKAR</t>
  </si>
  <si>
    <t>Prema P</t>
  </si>
  <si>
    <t>PRIYAM PATEL</t>
  </si>
  <si>
    <t>Priyanka</t>
  </si>
  <si>
    <t>PRIYANKA BALAKUMAR</t>
  </si>
  <si>
    <t>Priyanka sanadi</t>
  </si>
  <si>
    <t>RACHANA S REDDY</t>
  </si>
  <si>
    <t>Raghavendra C Putani</t>
  </si>
  <si>
    <t>RAJESHWARA H.N</t>
  </si>
  <si>
    <t>RAJULAVARSHA</t>
  </si>
  <si>
    <t>Rakesh S M</t>
  </si>
  <si>
    <t>Revati</t>
  </si>
  <si>
    <t>Rincy Wilma R</t>
  </si>
  <si>
    <t>RISHABH RAJ</t>
  </si>
  <si>
    <t>Rishindra Kumar R</t>
  </si>
  <si>
    <t>ROHITH KUMAR S</t>
  </si>
  <si>
    <t>RUKSHANA G V</t>
  </si>
  <si>
    <t>S AKSHIT SRIJAN</t>
  </si>
  <si>
    <t>S GANAPRIYA</t>
  </si>
  <si>
    <t>S JAI DEEP SINGH</t>
  </si>
  <si>
    <t>S P PUNITH</t>
  </si>
  <si>
    <t>S R Arun</t>
  </si>
  <si>
    <t>S SRI VATHSA</t>
  </si>
  <si>
    <t>SAHIL S BAJANTRI</t>
  </si>
  <si>
    <t>Sai shree S Reddy</t>
  </si>
  <si>
    <t>SAI TEJA REDDY C</t>
  </si>
  <si>
    <t>SAI TEJASWI P</t>
  </si>
  <si>
    <t>Samarth Santosh</t>
  </si>
  <si>
    <t>Sangeeta Subhasrao Parvatikar</t>
  </si>
  <si>
    <t>SANJANA.S.RAO</t>
  </si>
  <si>
    <t>Sathvika</t>
  </si>
  <si>
    <t>SHAIK FATIMA SANA</t>
  </si>
  <si>
    <t>SHAIK PEDDAKHADARGARI MOHAMMAD THOUFIQ</t>
  </si>
  <si>
    <t>SHALINI H</t>
  </si>
  <si>
    <t>SHAMANTH.R</t>
  </si>
  <si>
    <t>SHASHANK REDDY S</t>
  </si>
  <si>
    <t>SHASHANK V</t>
  </si>
  <si>
    <t>SHISHIR MITHRA</t>
  </si>
  <si>
    <t>Shravani KL</t>
  </si>
  <si>
    <t>SHRAVANI S</t>
  </si>
  <si>
    <t>Shweta Umeshchandra Karjinni</t>
  </si>
  <si>
    <t>SIVAANI JANASWAMY</t>
  </si>
  <si>
    <t>SOHAN P</t>
  </si>
  <si>
    <t>SOURAADHITHYA</t>
  </si>
  <si>
    <t>Sowmyashree</t>
  </si>
  <si>
    <t>Spandana T R</t>
  </si>
  <si>
    <t>SRESTHA SARKAR</t>
  </si>
  <si>
    <t>Sri Vardhan B</t>
  </si>
  <si>
    <t>SRIJAN SHIVAKUMAR KAKHANDAKI</t>
  </si>
  <si>
    <t>SRISTI PURKAYASTHA</t>
  </si>
  <si>
    <t>SRUSHTI BENNEHALLI HANUMESH</t>
  </si>
  <si>
    <t>SRUSHTI R HANCHATE</t>
  </si>
  <si>
    <t>Stavya Khajuria</t>
  </si>
  <si>
    <t>SUBHAM BISWAL</t>
  </si>
  <si>
    <t>SUDHANSU RANJAN</t>
  </si>
  <si>
    <t>SUMANTH REDDY THODEM</t>
  </si>
  <si>
    <t>Surya kt</t>
  </si>
  <si>
    <t>SUSAN JOSEPH ANDREW</t>
  </si>
  <si>
    <t>SUSHANT SHARMA</t>
  </si>
  <si>
    <t>SUSHMITHA V</t>
  </si>
  <si>
    <t>Swaroop M R</t>
  </si>
  <si>
    <t>TEJAS KUMAR</t>
  </si>
  <si>
    <t>THARUNESH</t>
  </si>
  <si>
    <t>Thilak HM</t>
  </si>
  <si>
    <t>THIPPARAJULA PANDU NANDA KUMAR</t>
  </si>
  <si>
    <t>THUMMALA VAALMIKI MANUHAS</t>
  </si>
  <si>
    <t>Trisha D Rai</t>
  </si>
  <si>
    <t>Trupti S Malagi</t>
  </si>
  <si>
    <t>Tvarita R Sambrani</t>
  </si>
  <si>
    <t>V A SHAKTHI SRI YAMINI</t>
  </si>
  <si>
    <t>Vaishnavi V</t>
  </si>
  <si>
    <t>VANSHIKA SINHA</t>
  </si>
  <si>
    <t>Varsha v belamgi</t>
  </si>
  <si>
    <t>Vasu Malapati</t>
  </si>
  <si>
    <t>Vedhanth B M</t>
  </si>
  <si>
    <t>VENNAPUSA SYAM PRAKASH REDDY</t>
  </si>
  <si>
    <t>Vignesh.A</t>
  </si>
  <si>
    <t>VIJETHA HV</t>
  </si>
  <si>
    <t>VIKRAM K.SALIAN</t>
  </si>
  <si>
    <t>Vinay R</t>
  </si>
  <si>
    <t>Vinaykumar</t>
  </si>
  <si>
    <t>VISHWAS</t>
  </si>
  <si>
    <t>Vivek Mallappa Bagennavar</t>
  </si>
  <si>
    <t>YAMANURAPPA</t>
  </si>
  <si>
    <t>YARRAPUREDDY ARSHITHA REDDY</t>
  </si>
  <si>
    <t>YASH PATEL</t>
  </si>
  <si>
    <t>Yashas N S</t>
  </si>
  <si>
    <t>Yashaswini  P S</t>
  </si>
  <si>
    <t>YASHWANTH M</t>
  </si>
  <si>
    <t>Yuktha.M.S</t>
  </si>
  <si>
    <t>archit.ece24le@cmrit.ac.in</t>
  </si>
  <si>
    <t>Archit</t>
  </si>
  <si>
    <t>veka22ece@cmrit.ac.in</t>
  </si>
  <si>
    <t>Veeresh kale</t>
  </si>
  <si>
    <t>AAMITH PRAMOD</t>
  </si>
  <si>
    <t>AARYA B</t>
  </si>
  <si>
    <t>AASTHA RAI</t>
  </si>
  <si>
    <t>AAYUSH SINGH</t>
  </si>
  <si>
    <t>ABHISHEK KUMAR TIWARI</t>
  </si>
  <si>
    <t>ABHISHEK M</t>
  </si>
  <si>
    <t>AHIMANSHU SURYAM</t>
  </si>
  <si>
    <t>AKANKSHA PANDIT</t>
  </si>
  <si>
    <t>AKANSHA KUMARI</t>
  </si>
  <si>
    <t>AKSHATA SHASTRI S</t>
  </si>
  <si>
    <t>Alina Paul</t>
  </si>
  <si>
    <t>AMAN SHEKHAR</t>
  </si>
  <si>
    <t>AMI KRISHNA</t>
  </si>
  <si>
    <t>ANANYA RANE</t>
  </si>
  <si>
    <t>ANANYA VERMA</t>
  </si>
  <si>
    <t>ANKITA SIVARAMAKRISHNAN</t>
  </si>
  <si>
    <t>ANUSHKA B S</t>
  </si>
  <si>
    <t>ANUSHKA SINHA</t>
  </si>
  <si>
    <t>APARICHITA PADHEE</t>
  </si>
  <si>
    <t>ARYA P</t>
  </si>
  <si>
    <t>ARYA SWARAJ</t>
  </si>
  <si>
    <t>ARYAN NARESH</t>
  </si>
  <si>
    <t>ASHMIT SHAW</t>
  </si>
  <si>
    <t>ASHWIJ M D</t>
  </si>
  <si>
    <t>ASHWIN K</t>
  </si>
  <si>
    <t>ATHARV SAUNLO USCOICAR</t>
  </si>
  <si>
    <t>BALARAJ MALLAPPA PARANATTI</t>
  </si>
  <si>
    <t>BEESHMA ARJUN K</t>
  </si>
  <si>
    <t>BHANU PRAKASHREDDY C</t>
  </si>
  <si>
    <t>BHARATH G M</t>
  </si>
  <si>
    <t>BHAVYASHREE G</t>
  </si>
  <si>
    <t>BHOOMIKA MANTUR</t>
  </si>
  <si>
    <t>BIBEK CHAUBE</t>
  </si>
  <si>
    <t>BIJJAMULA KEERTHI</t>
  </si>
  <si>
    <t>C V PUNEETH RAJ</t>
  </si>
  <si>
    <t>CHANDAN U ACHAR</t>
  </si>
  <si>
    <t>CHANDANA R B</t>
  </si>
  <si>
    <t>CHICHILI UDAYA SREE</t>
  </si>
  <si>
    <t>CHINMAYEE P P</t>
  </si>
  <si>
    <t>CHIRAG S K</t>
  </si>
  <si>
    <t>DEEKSHA</t>
  </si>
  <si>
    <t>DEEKSHA K V</t>
  </si>
  <si>
    <t>DEEKSHA PANDU</t>
  </si>
  <si>
    <t>DEEPAK M V</t>
  </si>
  <si>
    <t>DHANUSH Y S</t>
  </si>
  <si>
    <t>Dikshit Bhusal</t>
  </si>
  <si>
    <t>DILIP KUMAR V T</t>
  </si>
  <si>
    <t>DIVIJ BELLIAPPA K A</t>
  </si>
  <si>
    <t>E ABHILASH</t>
  </si>
  <si>
    <t>E PRISCILLA SHINY</t>
  </si>
  <si>
    <t>EKTA MANJUNATH</t>
  </si>
  <si>
    <t>ENDLA DINEESH REDDY</t>
  </si>
  <si>
    <t>G AGRATHA CHOWDARY</t>
  </si>
  <si>
    <t>G NAVANEETHA</t>
  </si>
  <si>
    <t>GOWTHAMA R</t>
  </si>
  <si>
    <t>H B PRIYA</t>
  </si>
  <si>
    <t>H V SKANDA</t>
  </si>
  <si>
    <t>HARINI S</t>
  </si>
  <si>
    <t>HARSH BAGRI</t>
  </si>
  <si>
    <t>HARSH PARASAR</t>
  </si>
  <si>
    <t>HARSH RAJ</t>
  </si>
  <si>
    <t>harsha vardhan t</t>
  </si>
  <si>
    <t>HARSHITHA P</t>
  </si>
  <si>
    <t>HEMANTH KUMAR A Y</t>
  </si>
  <si>
    <t>INDRAJITH A S</t>
  </si>
  <si>
    <t>ISHITA JAIN</t>
  </si>
  <si>
    <t>J KESHAV</t>
  </si>
  <si>
    <t>jai shruthi n</t>
  </si>
  <si>
    <t>JAIDEEP SINGH</t>
  </si>
  <si>
    <t>JITIKA SAHA</t>
  </si>
  <si>
    <t>K SAMARTH GOUDA</t>
  </si>
  <si>
    <t>KAMPARA RAMA KRISHNA RITHVIK</t>
  </si>
  <si>
    <t>KANAHIYA BARAI</t>
  </si>
  <si>
    <t>KARNA KUMAR SAH</t>
  </si>
  <si>
    <t>KAVANA N</t>
  </si>
  <si>
    <t>KEERTHANA K</t>
  </si>
  <si>
    <t>KEERTHI G SINGH</t>
  </si>
  <si>
    <t>KHUSHI V</t>
  </si>
  <si>
    <t>KISHAN P</t>
  </si>
  <si>
    <t>KOWSHIK K V</t>
  </si>
  <si>
    <t>KSHITISH HARISH</t>
  </si>
  <si>
    <t>KUSUM JORAPUR</t>
  </si>
  <si>
    <t>L DEEPIKA</t>
  </si>
  <si>
    <t>L S K SRI NIVASHINI</t>
  </si>
  <si>
    <t>LAHARI V H</t>
  </si>
  <si>
    <t>LAKSHMEESHA</t>
  </si>
  <si>
    <t>LAKSHMI K R</t>
  </si>
  <si>
    <t>LAVISH AVINASH</t>
  </si>
  <si>
    <t>LAYASHREE V</t>
  </si>
  <si>
    <t>LUCKY DADLANI</t>
  </si>
  <si>
    <t>M N AKASH KASHYAP</t>
  </si>
  <si>
    <t>MADHU SHREE C L</t>
  </si>
  <si>
    <t>MANASA R</t>
  </si>
  <si>
    <t>MANISH SAHANI</t>
  </si>
  <si>
    <t>MANJUNATH M B</t>
  </si>
  <si>
    <t>MANNE JITHIN</t>
  </si>
  <si>
    <t>MOHAMMED RAKSHAN</t>
  </si>
  <si>
    <t>MOHAMMEDTAHA M WALIKAR</t>
  </si>
  <si>
    <t>MOKSHA GANESH S</t>
  </si>
  <si>
    <t>MONISH N</t>
  </si>
  <si>
    <t>Monisha dharmalingam</t>
  </si>
  <si>
    <t>MONU KUMAR</t>
  </si>
  <si>
    <t>morla tejaswini</t>
  </si>
  <si>
    <t>NAMRATHA N</t>
  </si>
  <si>
    <t>NANDEESHA M H</t>
  </si>
  <si>
    <t>NAVEEN S</t>
  </si>
  <si>
    <t>NIKHIL KUMAR</t>
  </si>
  <si>
    <t>NIRBHIK CHAKI</t>
  </si>
  <si>
    <t>NIVEDITA VINOD</t>
  </si>
  <si>
    <t>PANDAPPA RAMAPPA VASANAD</t>
  </si>
  <si>
    <t>PARTH</t>
  </si>
  <si>
    <t>pavan h a</t>
  </si>
  <si>
    <t>PAWAR AARTI VASANT</t>
  </si>
  <si>
    <t>POORVIK SHETTY Y</t>
  </si>
  <si>
    <t>POORVIKA K M</t>
  </si>
  <si>
    <t>PRABHAT ANIL BAJPAI</t>
  </si>
  <si>
    <t>Prathik rathnakar sheregar</t>
  </si>
  <si>
    <t>PRIYANSHU DWIVEDI</t>
  </si>
  <si>
    <t>PRIYANSHU SINGH</t>
  </si>
  <si>
    <t>PUSHPA H C</t>
  </si>
  <si>
    <t>R PRAGNA</t>
  </si>
  <si>
    <t>R RAHUL</t>
  </si>
  <si>
    <t>R SHARMISTHAA</t>
  </si>
  <si>
    <t>RACHANA D N</t>
  </si>
  <si>
    <t>RAKESH T A</t>
  </si>
  <si>
    <t>RAKSHITHA R</t>
  </si>
  <si>
    <t>RANJITHA M</t>
  </si>
  <si>
    <t>REETHI B SHETTY</t>
  </si>
  <si>
    <t>RISHIKA H S</t>
  </si>
  <si>
    <t>RIYA JAYANTI</t>
  </si>
  <si>
    <t>ROHAN</t>
  </si>
  <si>
    <t>ROSHAN GUPTA</t>
  </si>
  <si>
    <t>RUDRAKSH</t>
  </si>
  <si>
    <t>SADHURAM AGARWAL</t>
  </si>
  <si>
    <t>SAGAR S</t>
  </si>
  <si>
    <t>SAKSHAM KUMAR JHA</t>
  </si>
  <si>
    <t>SAMEER KUMAR</t>
  </si>
  <si>
    <t>SANIVARAPU SAHASRA</t>
  </si>
  <si>
    <t>SANKET KUMAR SINGH</t>
  </si>
  <si>
    <t>SANKETH KULKARNI</t>
  </si>
  <si>
    <t>SATTVIK SHUKLA</t>
  </si>
  <si>
    <t>SATYAM RAJ</t>
  </si>
  <si>
    <t>SAWAN RANA</t>
  </si>
  <si>
    <t>SHAHID FAROOQ MALIK</t>
  </si>
  <si>
    <t>SHAIK ASLAM SAMI</t>
  </si>
  <si>
    <t>SHALINI SINGH</t>
  </si>
  <si>
    <t>SHALINI V</t>
  </si>
  <si>
    <t>SHAMBHAVI SINGH</t>
  </si>
  <si>
    <t>SHARANABASAVA</t>
  </si>
  <si>
    <t>SHEKHAR GUPTA</t>
  </si>
  <si>
    <t>SHIVAM SAHANI</t>
  </si>
  <si>
    <t>SHOVAN MONDAL</t>
  </si>
  <si>
    <t>SHRAVAN R</t>
  </si>
  <si>
    <t>SHRAVYA</t>
  </si>
  <si>
    <t>SHREELAXMI SATISH NAIK</t>
  </si>
  <si>
    <t>SHREYA GUPTA</t>
  </si>
  <si>
    <t>SHREYAS V H</t>
  </si>
  <si>
    <t>SHUBHAM KUMAR</t>
  </si>
  <si>
    <t>SHUVAARJAN BIKRAM SHAH</t>
  </si>
  <si>
    <t>SHWETHA L</t>
  </si>
  <si>
    <t>SINCHANA B T</t>
  </si>
  <si>
    <t>SINCHANA S B</t>
  </si>
  <si>
    <t>SNEHA V</t>
  </si>
  <si>
    <t>SNEHASISH DHAR</t>
  </si>
  <si>
    <t>SOMYA CHOUDHARY</t>
  </si>
  <si>
    <t>SPANDANA N</t>
  </si>
  <si>
    <t>SPOORTHI C V</t>
  </si>
  <si>
    <t>SRIHARI S</t>
  </si>
  <si>
    <t>SUHAS KOTYAN S</t>
  </si>
  <si>
    <t>SUPREET JADHAV</t>
  </si>
  <si>
    <t>SUSHANTA</t>
  </si>
  <si>
    <t>SUSHRUTH MAIAH M R</t>
  </si>
  <si>
    <t>SWARA KULKARNI</t>
  </si>
  <si>
    <t>SYED ZAID</t>
  </si>
  <si>
    <t>TEJJAS A R</t>
  </si>
  <si>
    <t>THEJASHWI K A</t>
  </si>
  <si>
    <t>THEJASWINI R P</t>
  </si>
  <si>
    <t>THILAK S NAIK</t>
  </si>
  <si>
    <t>TRISHA HEGGONDANAHALLI BASAVARAJU</t>
  </si>
  <si>
    <t>UTKARSH PAL</t>
  </si>
  <si>
    <t>UTKARSH RAJ</t>
  </si>
  <si>
    <t>V SRIYA</t>
  </si>
  <si>
    <t>VAISHNO RAJ</t>
  </si>
  <si>
    <t>varshini n</t>
  </si>
  <si>
    <t>VEDANT GUPTA</t>
  </si>
  <si>
    <t>VIKRANTH THANIKANTI</t>
  </si>
  <si>
    <t>VINAYAK MISHRA</t>
  </si>
  <si>
    <t>VISHNU S KUMAR</t>
  </si>
  <si>
    <t>YALLALINGREDDY</t>
  </si>
  <si>
    <t>YASHASWINI M K</t>
  </si>
  <si>
    <t>YASHWANTHA H G</t>
  </si>
  <si>
    <t>ZAIRA</t>
  </si>
  <si>
    <t>SHARATH M</t>
  </si>
  <si>
    <t>ADITI KULKARNI</t>
  </si>
  <si>
    <t>CHINMAYI KIRAN</t>
  </si>
  <si>
    <t>ANJUM AFSANA</t>
  </si>
  <si>
    <t>CHARAN P. R.</t>
  </si>
  <si>
    <t>KADHIRAVAN A</t>
  </si>
  <si>
    <t>KARAN KUMAR V.</t>
  </si>
  <si>
    <t>KENNETH DOMNIC</t>
  </si>
  <si>
    <t>MANOJ N RAJ</t>
  </si>
  <si>
    <t>Manoj Sunagar</t>
  </si>
  <si>
    <t>PRASHANTH</t>
  </si>
  <si>
    <t>RINESH A. R.</t>
  </si>
  <si>
    <t>sudeep.aids241e@cmrit.ac.in</t>
  </si>
  <si>
    <t>SUNDEEP PATIL</t>
  </si>
  <si>
    <t>TANVEER AHMED</t>
  </si>
  <si>
    <t>varun.aids24le@cmrit.ac.in</t>
  </si>
  <si>
    <t>VARUN N.</t>
  </si>
  <si>
    <t>Dharshan P</t>
  </si>
  <si>
    <t>Gowtham M</t>
  </si>
  <si>
    <t>Isaiah Melvin Issac</t>
  </si>
  <si>
    <t>kprasad.aiml24le@cmrit.ac.in</t>
  </si>
  <si>
    <t>K Prasad</t>
  </si>
  <si>
    <t>Monisha L M</t>
  </si>
  <si>
    <t>Muhammad Ahmad</t>
  </si>
  <si>
    <t>NIKHIL KUMAR SINGH</t>
  </si>
  <si>
    <t>sachinkumar. aiml24le@cmrit.ac.in</t>
  </si>
  <si>
    <t>Sachinkumar Narayan Naik</t>
  </si>
  <si>
    <t>Syed.aiml24le@cmrit.ac.in</t>
  </si>
  <si>
    <t>SYED ANSHU</t>
  </si>
  <si>
    <t>Vijay Kumar B A</t>
  </si>
  <si>
    <t>vikasvikasgl@gmail.com</t>
  </si>
  <si>
    <t>VIKAS G L</t>
  </si>
  <si>
    <t>vikram. aiml24le@cmrit.ac.in</t>
  </si>
  <si>
    <t>Vikram S</t>
  </si>
  <si>
    <t>VINOD MAHANTESH METI</t>
  </si>
  <si>
    <t>KARTHIK BHAT</t>
  </si>
  <si>
    <t>NIHAR R.</t>
  </si>
  <si>
    <t>PRUTHVI RAJ B.</t>
  </si>
  <si>
    <t>Shreyas TK</t>
  </si>
  <si>
    <t>Thouheed</t>
  </si>
  <si>
    <t>VIKAS L</t>
  </si>
  <si>
    <t>AISHWARYA J</t>
  </si>
  <si>
    <t>Harshavardhan Reddy A</t>
  </si>
  <si>
    <t>NAGARAJA H</t>
  </si>
  <si>
    <t>Puneeth D</t>
  </si>
  <si>
    <t>SANDESH SANJEEV NAIK</t>
  </si>
  <si>
    <t>vishwaradhya.cseaiml24le@cmrit.ac.in</t>
  </si>
  <si>
    <t>VISHWARADHYA</t>
  </si>
  <si>
    <t>Akash N</t>
  </si>
  <si>
    <t>B Keshavakumar</t>
  </si>
  <si>
    <t>BHARATH KUMAR R</t>
  </si>
  <si>
    <t>Chaithra B B</t>
  </si>
  <si>
    <t>Chethan D R</t>
  </si>
  <si>
    <t>Darshan B V</t>
  </si>
  <si>
    <t>Dhanunjay K</t>
  </si>
  <si>
    <t>DIVYA.N</t>
  </si>
  <si>
    <t>geetha.ece24le@cmrit.ac.in</t>
  </si>
  <si>
    <t>GEETHA H</t>
  </si>
  <si>
    <t>GOKUL U</t>
  </si>
  <si>
    <t>JEEVAN B.V</t>
  </si>
  <si>
    <t>Kiran R</t>
  </si>
  <si>
    <t>Netravati Parashuram Sontakki</t>
  </si>
  <si>
    <t>Nithina</t>
  </si>
  <si>
    <t>PRASHANT MENI</t>
  </si>
  <si>
    <t>RANJITH KUMAR V</t>
  </si>
  <si>
    <t>Saish Jagadish Upase</t>
  </si>
  <si>
    <t>SHASHANK Y</t>
  </si>
  <si>
    <t>SRUJAN B</t>
  </si>
  <si>
    <t>sudarshana.ece24le@cmrit.ac.in</t>
  </si>
  <si>
    <t>Sudarshana L G</t>
  </si>
  <si>
    <t>tanuja.ece24le@cmrit.ac.in</t>
  </si>
  <si>
    <t>Tanuja S H</t>
  </si>
  <si>
    <t>UDAYAKIRAN R</t>
  </si>
  <si>
    <t>Ullas T C</t>
  </si>
  <si>
    <t>YADHUNANDAN K S</t>
  </si>
  <si>
    <t>AMAR K</t>
  </si>
  <si>
    <t>C L DEEKSHITHA</t>
  </si>
  <si>
    <t>DARSHAN V</t>
  </si>
  <si>
    <t>DHANYA SURESH HARIKANT</t>
  </si>
  <si>
    <t>HARSHAVARDHAN N</t>
  </si>
  <si>
    <t>hrushikesh.ise24le@cmrit.ac.in</t>
  </si>
  <si>
    <t>HRUSHIKESH</t>
  </si>
  <si>
    <t>KARTIK JAYAVANT LAKKUMANE</t>
  </si>
  <si>
    <t>PRAJWAL HEGADE</t>
  </si>
  <si>
    <t>SAKEEB PASHA</t>
  </si>
  <si>
    <t>Saquib.ise24le@cmrit.ac.in</t>
  </si>
  <si>
    <t>SAQUIB AZAM KHAN</t>
  </si>
  <si>
    <t>SRUJAN AMARAGATTI</t>
  </si>
  <si>
    <t>SUMANTHA SUBHACHANDRA GOWDRU</t>
  </si>
  <si>
    <t>SUSHMITHA R S</t>
  </si>
  <si>
    <t>thejawini.ise24le@cmrit.ac.in</t>
  </si>
  <si>
    <t>THEJASWINI N</t>
  </si>
  <si>
    <t>TWINKLE TANYA BRITTO</t>
  </si>
  <si>
    <t>UMESH P H</t>
  </si>
  <si>
    <t>UMESHA R</t>
  </si>
  <si>
    <t>Sl.No</t>
  </si>
  <si>
    <t>ISE</t>
  </si>
  <si>
    <t xml:space="preserve">89518 39536 </t>
  </si>
  <si>
    <t/>
  </si>
  <si>
    <t xml:space="preserve">74836 69963 </t>
  </si>
  <si>
    <t>981-6413353</t>
  </si>
  <si>
    <t>+977 9811445973</t>
  </si>
  <si>
    <t>zana22ise@cmrit.ac.in</t>
  </si>
  <si>
    <t>ZAHEER ABBAN NAVAS</t>
  </si>
  <si>
    <t xml:space="preserve">A RAHHUL NANDHAN </t>
  </si>
  <si>
    <t>AIDS</t>
  </si>
  <si>
    <t>AB</t>
  </si>
  <si>
    <t>ab</t>
  </si>
  <si>
    <t xml:space="preserve">AKSHAT PAL SURYAVANSHI </t>
  </si>
  <si>
    <t>NO</t>
  </si>
  <si>
    <t xml:space="preserve">ANUBHAB PRADHAN </t>
  </si>
  <si>
    <t xml:space="preserve">ARYAN V SHETTY </t>
  </si>
  <si>
    <t xml:space="preserve">FIZZA NAJAM N </t>
  </si>
  <si>
    <t xml:space="preserve">HARSHIL S JADHAV </t>
  </si>
  <si>
    <t xml:space="preserve">Jitendra Kumar gupta </t>
  </si>
  <si>
    <t xml:space="preserve">Krupa S P </t>
  </si>
  <si>
    <t xml:space="preserve">LAHITHA REDDY KAMBAM </t>
  </si>
  <si>
    <t>+977 9818330066</t>
  </si>
  <si>
    <t xml:space="preserve">MIRUDHULA VENKATACHALAM </t>
  </si>
  <si>
    <t>74832 65395</t>
  </si>
  <si>
    <t xml:space="preserve">76769 89625 </t>
  </si>
  <si>
    <t>00977 9811132423</t>
  </si>
  <si>
    <t xml:space="preserve">Sambarika Kshetri </t>
  </si>
  <si>
    <t>977 9843212670</t>
  </si>
  <si>
    <t xml:space="preserve">Spandana G </t>
  </si>
  <si>
    <t xml:space="preserve">SUJAL THAKUR </t>
  </si>
  <si>
    <t>ECE</t>
  </si>
  <si>
    <t xml:space="preserve">karankumar.aids24le@cmrit.ac.in </t>
  </si>
  <si>
    <t xml:space="preserve">prashant.aids24le@cmrit.ac.in </t>
  </si>
  <si>
    <t xml:space="preserve">sudeep.aids241e@cmrit.ac.in </t>
  </si>
  <si>
    <t>saa22csds@cmrit.ac.in</t>
  </si>
  <si>
    <t>Sai Sharan A</t>
  </si>
  <si>
    <t>CSDS</t>
  </si>
  <si>
    <t>CSE(DS)</t>
  </si>
  <si>
    <t xml:space="preserve">ADITI BRIJ </t>
  </si>
  <si>
    <t xml:space="preserve">Anjali shukla </t>
  </si>
  <si>
    <t>CSE TO CSE(DS)</t>
  </si>
  <si>
    <t xml:space="preserve">B.Pavan Kumar </t>
  </si>
  <si>
    <t xml:space="preserve">79753 12465 </t>
  </si>
  <si>
    <t xml:space="preserve">Dharmendra Singh </t>
  </si>
  <si>
    <t>70038 95935</t>
  </si>
  <si>
    <t xml:space="preserve">SANDHYA JOSHI </t>
  </si>
  <si>
    <t xml:space="preserve">SANIKA SANTHOSH </t>
  </si>
  <si>
    <t xml:space="preserve">VAKATI GEETHIKA REDDY </t>
  </si>
  <si>
    <t>s4</t>
  </si>
  <si>
    <t>2022 Batch Readmission</t>
  </si>
  <si>
    <t xml:space="preserve"> Mohammed  Shoaib</t>
  </si>
  <si>
    <t xml:space="preserve">ANKITHA PRADHAN </t>
  </si>
  <si>
    <t xml:space="preserve">ANSEL VIVIAN REGO </t>
  </si>
  <si>
    <t xml:space="preserve">ARJUN M NATH </t>
  </si>
  <si>
    <t xml:space="preserve">AYUSH KUMAR </t>
  </si>
  <si>
    <t xml:space="preserve">C V YETHIN </t>
  </si>
  <si>
    <t xml:space="preserve">LENITA ABRAHAM </t>
  </si>
  <si>
    <t xml:space="preserve">LEONA IDA PRANUHYA MORAGUDI </t>
  </si>
  <si>
    <t xml:space="preserve">Neetha </t>
  </si>
  <si>
    <t xml:space="preserve">Nishchal Abraham </t>
  </si>
  <si>
    <t xml:space="preserve">PENUGOLAKALA SHILPA </t>
  </si>
  <si>
    <t xml:space="preserve">Poorvi Parashuram Gajakosh </t>
  </si>
  <si>
    <t xml:space="preserve">97401 80211 </t>
  </si>
  <si>
    <t xml:space="preserve">Priyanka sanadi </t>
  </si>
  <si>
    <t xml:space="preserve">RACHANA S REDDY </t>
  </si>
  <si>
    <t xml:space="preserve">SAI TEJA REDDY C </t>
  </si>
  <si>
    <t xml:space="preserve">Samarth Santosh </t>
  </si>
  <si>
    <t xml:space="preserve">Shweta Umeshchandra Karjinni </t>
  </si>
  <si>
    <t xml:space="preserve">Trisha D Rai </t>
  </si>
  <si>
    <t xml:space="preserve">VENNAPUSA SYAM PRAKASH REDDY </t>
  </si>
  <si>
    <t xml:space="preserve">VISHWAS </t>
  </si>
  <si>
    <t xml:space="preserve">Yashas N S </t>
  </si>
  <si>
    <t>Re-admitted to 5th Semester</t>
  </si>
  <si>
    <t>72596 80107</t>
  </si>
  <si>
    <t>AIML</t>
  </si>
  <si>
    <t>+977-9847374660</t>
  </si>
  <si>
    <t>Bishal Kumar Shah</t>
  </si>
  <si>
    <t xml:space="preserve">DEEKSHA BABU </t>
  </si>
  <si>
    <t xml:space="preserve">MILIND NAIDU </t>
  </si>
  <si>
    <t xml:space="preserve">Mohamed Aqeeb </t>
  </si>
  <si>
    <t xml:space="preserve">MOHAMMED TAHA KALEEM </t>
  </si>
  <si>
    <t xml:space="preserve">P SHREEYA </t>
  </si>
  <si>
    <t xml:space="preserve">PALAKONDA SAI KIRAN </t>
  </si>
  <si>
    <t xml:space="preserve">Rishav Raj </t>
  </si>
  <si>
    <t xml:space="preserve">S Sanvi </t>
  </si>
  <si>
    <t xml:space="preserve">S V NAYANA </t>
  </si>
  <si>
    <t>ISE to AIML</t>
  </si>
  <si>
    <t xml:space="preserve">SANJANNA RAMESHH </t>
  </si>
  <si>
    <t xml:space="preserve">Shreyas Hemmady </t>
  </si>
  <si>
    <t>76670 55981</t>
  </si>
  <si>
    <t xml:space="preserve">NIKHIL KUMAR SINGH </t>
  </si>
  <si>
    <t xml:space="preserve">SYED ANSHU </t>
  </si>
  <si>
    <t>dmar22aiml@cmrit.ac.in</t>
  </si>
  <si>
    <t>D Sahil Mario(RE ADMITTED)</t>
  </si>
  <si>
    <t>RE ADMITTED</t>
  </si>
  <si>
    <t>CSE(AIML)</t>
  </si>
  <si>
    <t xml:space="preserve">  </t>
  </si>
  <si>
    <t xml:space="preserve">K Yashwanth Kumar </t>
  </si>
  <si>
    <t xml:space="preserve">KOTAPATI VENKATA DANUSH </t>
  </si>
  <si>
    <t xml:space="preserve">Shetty Sudhanshu Shankar </t>
  </si>
  <si>
    <t xml:space="preserve">NAGARAJA H </t>
  </si>
  <si>
    <t xml:space="preserve">SANDESH SANJEEV NAIK </t>
  </si>
  <si>
    <t>SL.NO</t>
  </si>
  <si>
    <t>SOFT SKILLS Sx</t>
  </si>
  <si>
    <t>Branch</t>
  </si>
  <si>
    <t>Total std</t>
  </si>
  <si>
    <t xml:space="preserve">L3 </t>
  </si>
  <si>
    <t>C2 Even</t>
  </si>
  <si>
    <t>C3 Even</t>
  </si>
  <si>
    <t>C4 Even</t>
  </si>
  <si>
    <t>P3-Java CSE</t>
  </si>
  <si>
    <t>CSAIML</t>
  </si>
  <si>
    <t>Total Students</t>
  </si>
  <si>
    <t>Total Attended</t>
  </si>
  <si>
    <t>X</t>
  </si>
  <si>
    <t>Total Pass</t>
  </si>
  <si>
    <t>Total Fail</t>
  </si>
  <si>
    <t>Pass% vs Total</t>
  </si>
  <si>
    <t>Pass% vs Attended</t>
  </si>
  <si>
    <t>abs22ise@cmrit.ac.in</t>
  </si>
  <si>
    <t>abma22ise@cmrit.ac.in</t>
  </si>
  <si>
    <t>abpr22ise@cmrit.ac.in</t>
  </si>
  <si>
    <t>abti22ise@cmrit.ac.in</t>
  </si>
  <si>
    <t>absi22ise@cmrit.ac.in</t>
  </si>
  <si>
    <t>ad22ise@cmrit.ac.in</t>
  </si>
  <si>
    <t>adna22ise@cmrit.ac.in</t>
  </si>
  <si>
    <t>adra22ise@cmrit.ac.in</t>
  </si>
  <si>
    <t>aimi22ise@cmrit.ac.in</t>
  </si>
  <si>
    <t>akgo22ise@cmrit.ac.in</t>
  </si>
  <si>
    <t>akmu22ise@cmrit.ac.in</t>
  </si>
  <si>
    <t>akt22ise@cmrit.ac.in</t>
  </si>
  <si>
    <t>ampa22ise@cmrit.ac.in</t>
  </si>
  <si>
    <t>amkr22ise@cmrit.ac.in</t>
  </si>
  <si>
    <t>ansr22ise@cmrit.ac.in</t>
  </si>
  <si>
    <t>anbe22ise@cmrit.ac.in</t>
  </si>
  <si>
    <t>anka22ise@cmrit.ac.in</t>
  </si>
  <si>
    <t>ansh22ise@cmrit.ac.in</t>
  </si>
  <si>
    <t>arpr22ise@cmrit.ac.in</t>
  </si>
  <si>
    <t>arja22ise@cmrit.ac.in</t>
  </si>
  <si>
    <t>arre22ise@cmrit.ac.in</t>
  </si>
  <si>
    <t>arku22ise@cmrit.ac.in</t>
  </si>
  <si>
    <t>asmu22ise@cmrit.ac.in</t>
  </si>
  <si>
    <t>asja22ise@cmrit.ac.in</t>
  </si>
  <si>
    <t>atja22ise@cmrit.ac.in</t>
  </si>
  <si>
    <t>atna22ise@cmrit.ac.in</t>
  </si>
  <si>
    <t>avku22ise@cmrit.ac.in</t>
  </si>
  <si>
    <t>ayuku22ise@cmrit.ac.in</t>
  </si>
  <si>
    <t>ayku22ise@cmrit.ac.in</t>
  </si>
  <si>
    <t>ayus22ise@cmrit.ac.in</t>
  </si>
  <si>
    <t>bhma22ise@cmrit.ac.in</t>
  </si>
  <si>
    <t>bhs22ise@cmrit.ac.in</t>
  </si>
  <si>
    <t>bstu22ise@cmrit.ac.in</t>
  </si>
  <si>
    <t>chsa22ise@cmrit.ac.in</t>
  </si>
  <si>
    <t>chmk22ise@cmrit.ac.in</t>
  </si>
  <si>
    <t>chch22ise@cmrit.ac.in</t>
  </si>
  <si>
    <t>cvre22ise@cmrit.ac.in</t>
  </si>
  <si>
    <t>dam22ise@cmrit.ac.in</t>
  </si>
  <si>
    <t>dabi22ise@cmrit.ac.in</t>
  </si>
  <si>
    <t>demi22ise@cmrit.ac.in</t>
  </si>
  <si>
    <t>dehs22ise@cmrit.ac.in</t>
  </si>
  <si>
    <t>dek22ise@cmrit.ac.in</t>
  </si>
  <si>
    <t>deg22ise@cmrit.ac.in</t>
  </si>
  <si>
    <t>dikl22ise@cmrit.ac.in</t>
  </si>
  <si>
    <t>gav22ise@cmrit.ac.in</t>
  </si>
  <si>
    <t>gams22ise@cmrit.ac.in</t>
  </si>
  <si>
    <t>geks22ise@cmrit.ac.in</t>
  </si>
  <si>
    <t>gim22ise@cmrit.ac.in</t>
  </si>
  <si>
    <t>gnma22ise@cmrit.ac.in</t>
  </si>
  <si>
    <t>gova22ise@cmrit.ac.in</t>
  </si>
  <si>
    <t>krkm22ise@cmrit.ac.in</t>
  </si>
  <si>
    <t>masn22ise@cmrit.ac.in</t>
  </si>
  <si>
    <t>nim22ise@cmrit.ac.in</t>
  </si>
  <si>
    <t>pher22ise@cmrit.ac.in</t>
  </si>
  <si>
    <t>pas22ise@cmrit.ac.in</t>
  </si>
  <si>
    <t>prmp22ise@cmrit.ac.in</t>
  </si>
  <si>
    <t>prat22ise@cmrit.ac.in</t>
  </si>
  <si>
    <t>reet22ise@cmrit.ac.in</t>
  </si>
  <si>
    <t>rojh22ise@cmrit.ac.in</t>
  </si>
  <si>
    <t>shi22ise@cmrit.ac.in</t>
  </si>
  <si>
    <t>sahr22ise@cmrit.ac.in</t>
  </si>
  <si>
    <t>sanr22ise@cmrit.ac.in</t>
  </si>
  <si>
    <t>sana22ise@cmrit.ac.in</t>
  </si>
  <si>
    <t>sar22ise@cmrit.ac.in</t>
  </si>
  <si>
    <t>shlu22ise@cmrit.ac.in</t>
  </si>
  <si>
    <t>sigo22ise@cmrit.ac.in</t>
  </si>
  <si>
    <t>soka22ise@cmrit.ac.in</t>
  </si>
  <si>
    <t>tha22ise@cmrit.ac.in</t>
  </si>
  <si>
    <t>ull22ise@cmrit.ac.in</t>
  </si>
  <si>
    <t>vabb22ise@cmrit.ac.in</t>
  </si>
  <si>
    <t>vahe22ise@cmrit.ac.in</t>
  </si>
  <si>
    <t>zail22ise@cmrit.ac.in</t>
  </si>
  <si>
    <t>adbh22ise@cmrit.ac.in</t>
  </si>
  <si>
    <t>anbh22ise@cmrit.ac.in</t>
  </si>
  <si>
    <t>bhn22ise@cmrit.ac.in</t>
  </si>
  <si>
    <t>bhra22ise@cmrit.ac.in</t>
  </si>
  <si>
    <t>chve22ise@cmrit.ac.in</t>
  </si>
  <si>
    <t>gare22ise@cmrit.ac.in</t>
  </si>
  <si>
    <t>goth22ise@cmrit.ac.in</t>
  </si>
  <si>
    <t>gos22ise@cmrit.ac.in</t>
  </si>
  <si>
    <t>gsch22ise@cmrit.ac.in</t>
  </si>
  <si>
    <t>gujn22ise@cmrit.ac.in</t>
  </si>
  <si>
    <t>gyna22ise@cmrit.ac.in</t>
  </si>
  <si>
    <t>har22ise@cmrit.ac.in</t>
  </si>
  <si>
    <t>hbde22ise@cmrit.ac.in</t>
  </si>
  <si>
    <t>isna22ise@cmrit.ac.in</t>
  </si>
  <si>
    <t>jara22ise@cmrit.ac.in</t>
  </si>
  <si>
    <t>jesr22ise@cmrit.ac.in</t>
  </si>
  <si>
    <t>kaah22ise@cmrit.ac.in</t>
  </si>
  <si>
    <t>kara22ise@cmrit.ac.in</t>
  </si>
  <si>
    <t>kaki22ise@cmrit.ac.in</t>
  </si>
  <si>
    <t>kevi22ise@cmrit.ac.in</t>
  </si>
  <si>
    <t>kjre22ise@cmrit.ac.in</t>
  </si>
  <si>
    <t>lab22ise@cmrit.ac.in</t>
  </si>
  <si>
    <t>lic22ise@cmrit.ac.in</t>
  </si>
  <si>
    <t>lima22ise@cmrit.ac.in</t>
  </si>
  <si>
    <t>lori22ise@cmrit.ac.in</t>
  </si>
  <si>
    <t>mako22ise@cmrit.ac.in</t>
  </si>
  <si>
    <t>masa22ise@cmrit.ac.in</t>
  </si>
  <si>
    <t>masi22ise@cmrit.ac.in</t>
  </si>
  <si>
    <t>mahe22ise@cmrit.ac.in</t>
  </si>
  <si>
    <t>mamv22ise@cmrit.ac.in</t>
  </si>
  <si>
    <t>maha22ise@cmrit.ac.in</t>
  </si>
  <si>
    <t>masv22ise@cmrit.ac.in</t>
  </si>
  <si>
    <t>mas22ise@cmrit.ac.in</t>
  </si>
  <si>
    <t>meku22ise@cmrit.ac.in</t>
  </si>
  <si>
    <t>moad22ise@cmrit.ac.in</t>
  </si>
  <si>
    <t>moab22ise@cmrit.ac.in</t>
  </si>
  <si>
    <t>mofa22ise@cmrit.ac.in</t>
  </si>
  <si>
    <t>muhs22ise@cmrit.ac.in</t>
  </si>
  <si>
    <t>nha22ise@cmrit.ac.in</t>
  </si>
  <si>
    <t>naac22ise@cmrit.ac.in</t>
  </si>
  <si>
    <t>nali22ise@cmrit.ac.in</t>
  </si>
  <si>
    <t>nas22ise@cmrit.ac.in</t>
  </si>
  <si>
    <t>nach22ise@cmrit.ac.in</t>
  </si>
  <si>
    <t>nasi22ise@cmrit.ac.in</t>
  </si>
  <si>
    <t>neko22ise@cmrit.ac.in</t>
  </si>
  <si>
    <t>nidb22ise@cmrit.ac.in</t>
  </si>
  <si>
    <t>nir22ise@cmrit.ac.in</t>
  </si>
  <si>
    <t>prhe22ise@cmrit.ac.in</t>
  </si>
  <si>
    <t>prba22ise@cmrit.ac.in</t>
  </si>
  <si>
    <t>prgu22ise@cmrit.ac.in</t>
  </si>
  <si>
    <t>prha22ise@cmrit.ac.in</t>
  </si>
  <si>
    <t>prv22ise@cmrit.ac.in</t>
  </si>
  <si>
    <t>prku22ise@cmrit.ac.in</t>
  </si>
  <si>
    <t>pue22ise@cmrit.ac.in</t>
  </si>
  <si>
    <t>rapa22ise@cmrit.ac.in</t>
  </si>
  <si>
    <t>rach22ise@cmrit.ac.in</t>
  </si>
  <si>
    <t>roku22ise@cmrit.ac.in</t>
  </si>
  <si>
    <t>rona22ise@cmrit.ac.in</t>
  </si>
  <si>
    <t>rora22ise@cmrit.ac.in</t>
  </si>
  <si>
    <t>ros22ise@cmrit.ac.in</t>
  </si>
  <si>
    <t>saak22ise@cmrit.ac.in</t>
  </si>
  <si>
    <t>sags22ise@cmrit.ac.in</t>
  </si>
  <si>
    <t>sahi22ise@cmrit.ac.in</t>
  </si>
  <si>
    <t>sasm22ise@cmrit.ac.in</t>
  </si>
  <si>
    <t>saan22ise@cmrit.ac.in</t>
  </si>
  <si>
    <t>sahs22ise@cmrit.ac.in</t>
  </si>
  <si>
    <t>samk22ise@cmrit.ac.in</t>
  </si>
  <si>
    <t>shs22ise@cmrit.ac.in</t>
  </si>
  <si>
    <t>teil22ise@cmrit.ac.in</t>
  </si>
  <si>
    <t>vde22ise@cmrit.ac.in</t>
  </si>
  <si>
    <t>yapa22ise@cmrit.ac.in</t>
  </si>
  <si>
    <t>yatu22ise@cmrit.ac.in</t>
  </si>
  <si>
    <t>sas22ise@cmrit.ac.in</t>
  </si>
  <si>
    <t>sakum22ise@cmrit.ac.in</t>
  </si>
  <si>
    <t>sapa22ise@cmrit.ac.in</t>
  </si>
  <si>
    <t>sasu22ise@cmrit.ac.in</t>
  </si>
  <si>
    <t>sasa22ise@cmrit.ac.in</t>
  </si>
  <si>
    <t>sakh22ise@cmrit.ac.in</t>
  </si>
  <si>
    <t>sasi22ise@cmrit.ac.in</t>
  </si>
  <si>
    <t>sav22ise@cmrit.ac.in</t>
  </si>
  <si>
    <t>sam22ise@cmrit.ac.in</t>
  </si>
  <si>
    <t>saja22ise@cmrit.ac.in</t>
  </si>
  <si>
    <t>shth22ise@cmrit.ac.in</t>
  </si>
  <si>
    <t>shsa22ise@cmrit.ac.in</t>
  </si>
  <si>
    <t>shp22ise@cmrit.ac.in</t>
  </si>
  <si>
    <t>shsp22ise@cmrit.ac.in</t>
  </si>
  <si>
    <t>shv22ise@cmrit.ac.in</t>
  </si>
  <si>
    <t>shdh22ise@cmrit.ac.in</t>
  </si>
  <si>
    <t>shh22ise@cmrit.ac.in</t>
  </si>
  <si>
    <t>sig22ise@cmrit.ac.in</t>
  </si>
  <si>
    <t>smkd22ise@cmrit.ac.in</t>
  </si>
  <si>
    <t>snm22ise@cmrit.ac.in</t>
  </si>
  <si>
    <t>soch22ise@cmrit.ac.in</t>
  </si>
  <si>
    <t>sopm22ise@cmrit.ac.in</t>
  </si>
  <si>
    <t>sowm22ise@cmrit.ac.in</t>
  </si>
  <si>
    <t>sphb22ise@cmrit.ac.in</t>
  </si>
  <si>
    <t>srma22ise@cmrit.ac.in</t>
  </si>
  <si>
    <t>supn22ise@cmrit.ac.in</t>
  </si>
  <si>
    <t>suhk22ise@cmrit.ac.in</t>
  </si>
  <si>
    <t>suv22ise@cmrit.ac.in</t>
  </si>
  <si>
    <t>tma22ise@cmrit.ac.in</t>
  </si>
  <si>
    <t>tara22ise@cmrit.ac.in</t>
  </si>
  <si>
    <t>taka22ise@cmrit.ac.in</t>
  </si>
  <si>
    <t>tag22ise@cmrit.ac.in</t>
  </si>
  <si>
    <t>tahi22ise@cmrit.ac.in</t>
  </si>
  <si>
    <t>thre22ise@cmrit.ac.in</t>
  </si>
  <si>
    <t>udko22ise@cmrit.ac.in</t>
  </si>
  <si>
    <t>utsha22ise@cmrit.ac.in</t>
  </si>
  <si>
    <t>utsi22ise@cmrit.ac.in</t>
  </si>
  <si>
    <t>vaka22ise@cmrit.ac.in</t>
  </si>
  <si>
    <t>vash22ise@cmrit.ac.in</t>
  </si>
  <si>
    <t>vars22ise@cmrit.ac.in</t>
  </si>
  <si>
    <t>vena22ise@cmrit.ac.in</t>
  </si>
  <si>
    <t>vidv22ise@cmrit.ac.in</t>
  </si>
  <si>
    <t>vish22ise@cmrit.ac.in</t>
  </si>
  <si>
    <t>vikh22ise@cmrit.ac.in</t>
  </si>
  <si>
    <t>yatm22ise@cmrit.ac.in</t>
  </si>
  <si>
    <t>yuga22ise@cmrit.ac.in</t>
  </si>
  <si>
    <t>zesy22ise@cmrit.ac.in</t>
  </si>
  <si>
    <t>abth22ainds@cmrit.ac.in</t>
  </si>
  <si>
    <t>absh22ainds@cmrit.ac.in</t>
  </si>
  <si>
    <t>addh22ainds@cmrit.ac.in</t>
  </si>
  <si>
    <t>ajs22ainds@cmrit.ac.in</t>
  </si>
  <si>
    <t>akun22ainds@cmrit.ac.in</t>
  </si>
  <si>
    <t>chan22ainds@cmrit.ac.in</t>
  </si>
  <si>
    <t>chgo22ainds@cmrit.ac.in</t>
  </si>
  <si>
    <t>hasi22ainds@cmrit.ac.in</t>
  </si>
  <si>
    <t>hars22ainds@cmrit.ac.in</t>
  </si>
  <si>
    <t>isha22ainds@cmrit.ac.in</t>
  </si>
  <si>
    <t>jaya22ainds@cmrit.ac.in</t>
  </si>
  <si>
    <t>kppa22ainds@cmrit.ac.in</t>
  </si>
  <si>
    <t>lasr22ainds@cmrit.ac.in</t>
  </si>
  <si>
    <t>misp22ainds@cmrit.ac.in</t>
  </si>
  <si>
    <t>pagt22ainds@cmrit.ac.in</t>
  </si>
  <si>
    <t>prav22ainds@cmrit.ac.in</t>
  </si>
  <si>
    <t>sag22ainds@cmrit.ac.in</t>
  </si>
  <si>
    <t>shgk22ainds@cmrit.ac.in</t>
  </si>
  <si>
    <t>shtc22ainds@cmrit.ac.in</t>
  </si>
  <si>
    <t>shna22ainds@cmrit.ac.in</t>
  </si>
  <si>
    <t>sinc22ainds@cmrit.ac.in</t>
  </si>
  <si>
    <t>srka22ainds@cmrit.ac.in</t>
  </si>
  <si>
    <t>suda22ainds@cmrit.ac.in</t>
  </si>
  <si>
    <t>vkan22ainds@cmrit.ac.in</t>
  </si>
  <si>
    <t>vam22ainds@cmrit.ac.in</t>
  </si>
  <si>
    <t>veer22ainds@cmrit.ac.in</t>
  </si>
  <si>
    <t>vic22ainds@cmrit.ac.in</t>
  </si>
  <si>
    <t>ajj22csaiml@cmrit.ac.in</t>
  </si>
  <si>
    <t>amsa22csaiml@cmrit.ac.in</t>
  </si>
  <si>
    <t>ansh22csaiml@cmrit.ac.in</t>
  </si>
  <si>
    <t>arsi22csaiml@cmrit.ac.in</t>
  </si>
  <si>
    <t>arm22csaiml@cmrit.ac.in</t>
  </si>
  <si>
    <t>ayra22csaiml@cmrit.ac.in</t>
  </si>
  <si>
    <t>besr22csaiml@cmrit.ac.in</t>
  </si>
  <si>
    <t>bhcv22csaiml@cmrit.ac.in</t>
  </si>
  <si>
    <t>bhbl22csaiml@cmrit.ac.in</t>
  </si>
  <si>
    <t>cka22csaiml@cmrit.ac.in</t>
  </si>
  <si>
    <t>chc22csaiml@cmrit.ac.in</t>
  </si>
  <si>
    <t>chbo22csaiml@cmrit.ac.in</t>
  </si>
  <si>
    <t>dchir22csaiml@cmrit.ac.in</t>
  </si>
  <si>
    <t>dama22csaiml@cmrit.ac.in</t>
  </si>
  <si>
    <t>desr22csaiml@cmrit.ac.in</t>
  </si>
  <si>
    <t>gapm22csaiml@cmrit.ac.in</t>
  </si>
  <si>
    <t>gabh22csaiml@cmrit.ac.in</t>
  </si>
  <si>
    <t>har22csaiml@cmrit.ac.in</t>
  </si>
  <si>
    <t>jofr22csaiml@cmrit.ac.in</t>
  </si>
  <si>
    <t>kare22csaiml@cmrit.ac.in</t>
  </si>
  <si>
    <t>ksro22csaiml@cmrit.ac.in</t>
  </si>
  <si>
    <t>mach22csaiml@cmrit.ac.in</t>
  </si>
  <si>
    <t>mape22csaiml@cmrit.ac.in</t>
  </si>
  <si>
    <t>map22csaiml@cmrit.ac.in</t>
  </si>
  <si>
    <t>moum22csaiml@cmrit.ac.in</t>
  </si>
  <si>
    <t>mrr22csaiml@cmrit.ac.in</t>
  </si>
  <si>
    <t>nidr22csaiml@cmrit.ac.in</t>
  </si>
  <si>
    <t>pas22csaiml@cmrit.ac.in</t>
  </si>
  <si>
    <t>rose22csaiml@cmrit.ac.in</t>
  </si>
  <si>
    <t>roc22csaiml@cmrit.ac.in</t>
  </si>
  <si>
    <t>saic22csaiml@cmrit.ac.in</t>
  </si>
  <si>
    <t>sasu22csaiml@cmrit.ac.in</t>
  </si>
  <si>
    <t>sava22csaiml@cmrit.ac.in</t>
  </si>
  <si>
    <t>samo22csaiml@cmrit.ac.in</t>
  </si>
  <si>
    <t>shm22csaiml@cmrit.ac.in</t>
  </si>
  <si>
    <t>shk22csaiml@cmrit.ac.in</t>
  </si>
  <si>
    <t>shka22csaiml@cmrit.ac.in</t>
  </si>
  <si>
    <t>shpa22csaiml@cmrit.ac.in</t>
  </si>
  <si>
    <t>shbh22csaiml@cmrit.ac.in</t>
  </si>
  <si>
    <t>shy22csaiml@cmrit.ac.in</t>
  </si>
  <si>
    <t>shja22csaiml@cmrit.ac.in</t>
  </si>
  <si>
    <t>srra22csaiml@cmrit.ac.in</t>
  </si>
  <si>
    <t>sum22csaiml@cmrit.ac.in</t>
  </si>
  <si>
    <t>tach22csaiml@cmrit.ac.in</t>
  </si>
  <si>
    <t>urbh22csaiml@cmrit.ac.in</t>
  </si>
  <si>
    <t>uzmo22csaiml@cmrit.ac.in</t>
  </si>
  <si>
    <t>venu22csaiml@cmrit.ac.in</t>
  </si>
  <si>
    <t>vira22csaiml@cmrit.ac.in</t>
  </si>
  <si>
    <t>viv22csaiml@cmrit.ac.in</t>
  </si>
  <si>
    <t>rigu22csaiml@cmrit.ac.in</t>
  </si>
  <si>
    <t>noif22csaiml@cmrit.ac.in</t>
  </si>
  <si>
    <t>arr22csaiml@cmrit.ac.in</t>
  </si>
  <si>
    <t>sar22csaiml@cmrit.ac.in</t>
  </si>
  <si>
    <t>akna22csaiml@cmrit.ac.in</t>
  </si>
  <si>
    <t>shbv22csaiml@cmrit.ac.in</t>
  </si>
  <si>
    <t>kab22csaiml@cmrit.ac.in</t>
  </si>
  <si>
    <t>kaj22csaiml@cmrit.ac.in</t>
  </si>
  <si>
    <t>tht22csaiml@cmrit.ac.in</t>
  </si>
  <si>
    <t>kiye22csaiml@cmrit.ac.in</t>
  </si>
  <si>
    <t>hik22csaiml@cmrit.ac.in</t>
  </si>
  <si>
    <t>asdh22csaiml@cmrit.ac.in</t>
  </si>
  <si>
    <t>avgu22ainds@cmrit.ac.in</t>
  </si>
  <si>
    <t>bhhv22ainds@cmrit.ac.in</t>
  </si>
  <si>
    <t>nana22aiml@cmrit.ac.in</t>
  </si>
  <si>
    <t>papa22aiml@cmrit.ac.in</t>
  </si>
  <si>
    <t>vsu22aiml@cmrit.ac.in</t>
  </si>
  <si>
    <t>srs22aiml@cmrit.ac.in</t>
  </si>
  <si>
    <t>syha22aiml@cmrit.ac.in</t>
  </si>
  <si>
    <t>viya22aiml@cmrit.ac.in</t>
  </si>
  <si>
    <t>lig22aiml@cmrit.ac.in</t>
  </si>
  <si>
    <t>daga22aiml@cmrit.ac.in</t>
  </si>
  <si>
    <t>ajav22aiml@cmrit.ac.in</t>
  </si>
  <si>
    <t>amit22ise@cmrit.ac.in</t>
  </si>
  <si>
    <t>aama22aiml@cmrit.ac.in</t>
  </si>
  <si>
    <t>aade22aiml@cmrit.ac.in</t>
  </si>
  <si>
    <t>abm22aiml@cmrit.ac.in</t>
  </si>
  <si>
    <t>abs22aiml@cmrit.ac.in</t>
  </si>
  <si>
    <t>adk22aiml@cmrit.ac.in</t>
  </si>
  <si>
    <t>adit22aiml@cmrit.ac.in</t>
  </si>
  <si>
    <t>aljh22aiml@cmrit.ac.in</t>
  </si>
  <si>
    <t>alku22aiml@cmrit.ac.in</t>
  </si>
  <si>
    <t>amti22aiml@cmrit.ac.in</t>
  </si>
  <si>
    <t>ant22aiml@cmrit.ac.in</t>
  </si>
  <si>
    <t>anda22aiml@cmrit.ac.in</t>
  </si>
  <si>
    <t>anur22aiml@cmrit.ac.in</t>
  </si>
  <si>
    <t>apra22aiml@cmrit.ac.in</t>
  </si>
  <si>
    <t>arys22aiml@cmrit.ac.in</t>
  </si>
  <si>
    <t>arhe22aiml@cmrit.ac.in</t>
  </si>
  <si>
    <t>asch22aiml@cmrit.ac.in</t>
  </si>
  <si>
    <t>atha22aiml@cmrit.ac.in</t>
  </si>
  <si>
    <t>bhob22aiml@cmrit.ac.in</t>
  </si>
  <si>
    <t>bima22aiml@cmrit.ac.in</t>
  </si>
  <si>
    <t>chre22aiml@cmrit.ac.in</t>
  </si>
  <si>
    <t>dta22aiml@cmrit.ac.in</t>
  </si>
  <si>
    <t>dhsr22aiml@cmrit.ac.in</t>
  </si>
  <si>
    <t>dija22aiml@cmrit.ac.in</t>
  </si>
  <si>
    <t>fana22aiml@cmrit.ac.in</t>
  </si>
  <si>
    <t>gsw22aiml@cmrit.ac.in</t>
  </si>
  <si>
    <t>hava22aiml@cmrit.ac.in</t>
  </si>
  <si>
    <t>ham22aiml@cmrit.ac.in</t>
  </si>
  <si>
    <t>hag22aiml@cmrit.ac.in</t>
  </si>
  <si>
    <t>har22aiml@cmrit.ac.in</t>
  </si>
  <si>
    <t>hed22aiml@cmrit.ac.in</t>
  </si>
  <si>
    <t>hesa22aiml@cmrit.ac.in</t>
  </si>
  <si>
    <t>hipa22aiml@cmrit.ac.in</t>
  </si>
  <si>
    <t>kag22aiml@cmrit.ac.in</t>
  </si>
  <si>
    <t>kemo22aiml@cmrit.ac.in</t>
  </si>
  <si>
    <t>kea22aiml@cmrit.ac.in</t>
  </si>
  <si>
    <t>ken22aiml@cmrit.ac.in</t>
  </si>
  <si>
    <t>krka22aiml@cmrit.ac.in</t>
  </si>
  <si>
    <t>ku22aiml@cmrit.ac.in</t>
  </si>
  <si>
    <t>kush22aiml@cmrit.ac.in</t>
  </si>
  <si>
    <t>kusha22aiml@cmrit.ac.in</t>
  </si>
  <si>
    <t>kusa22aiml@cmrit.ac.in</t>
  </si>
  <si>
    <t>lore22aiml@cmrit.ac.in</t>
  </si>
  <si>
    <t>mde22aiml@cmrit.ac.in</t>
  </si>
  <si>
    <t>mare22aiml@cmrit.ac.in</t>
  </si>
  <si>
    <t>mag22aiml@cmrit.ac.in</t>
  </si>
  <si>
    <t>mdpa22aiml@cmrit.ac.in</t>
  </si>
  <si>
    <t>mept22aiml@cmrit.ac.in</t>
  </si>
  <si>
    <t>mis22aiml@cmrit.ac.in</t>
  </si>
  <si>
    <t>moah22aiml@cmrit.ac.in</t>
  </si>
  <si>
    <t>mol22aiml@cmrit.ac.in</t>
  </si>
  <si>
    <t>prku22aiml@cmrit.ac.in</t>
  </si>
  <si>
    <t>bcth22aiml@cmrit.ac.in</t>
  </si>
  <si>
    <t>kure22aiml@cmrit.ac.in</t>
  </si>
  <si>
    <t>rch22aiml@cmrit.ac.in</t>
  </si>
  <si>
    <t>nak22aiml@cmrit.ac.in</t>
  </si>
  <si>
    <t>mahs22aiml@cmrit.ac.in</t>
  </si>
  <si>
    <t>abka22aiml@cmrit.ac.in</t>
  </si>
  <si>
    <t>sam22aiml@cmrit.ac.in</t>
  </si>
  <si>
    <t>sohs22aiml@cmrit.ac.in</t>
  </si>
  <si>
    <t>anne22aiml@cmrit.ac.in</t>
  </si>
  <si>
    <t>kun22aiml@cmrit.ac.in</t>
  </si>
  <si>
    <t>avln22aiml@cmrit.ac.in</t>
  </si>
  <si>
    <t>srv22aiml@cmrit.ac.in</t>
  </si>
  <si>
    <t>hart22aiml@cmrit.ac.in</t>
  </si>
  <si>
    <t>sade22aiml@cmrit.ac.in</t>
  </si>
  <si>
    <t>jal22aiml@cmrit.ac.in</t>
  </si>
  <si>
    <t>tbab22aiml@cmrit.ac.in</t>
  </si>
  <si>
    <t>sur22aiml@cmrit.ac.in</t>
  </si>
  <si>
    <t>nipa22aiml@cmrit.ac.in</t>
  </si>
  <si>
    <t>chat22aiml@cmrit.ac.in</t>
  </si>
  <si>
    <t>srkn22aiml@cmrit.ac.in</t>
  </si>
  <si>
    <t>nigo22aiml@cmrit.ac.in</t>
  </si>
  <si>
    <t>shnk22aiml@cmrit.ac.in</t>
  </si>
  <si>
    <t>adgu22ainds@cmrit.ac.in</t>
  </si>
  <si>
    <t>akbc22ainds@cmrit.ac.in</t>
  </si>
  <si>
    <t>angu22ainds@cmrit.ac.in</t>
  </si>
  <si>
    <t>arna22ainds@cmrit.ac.in</t>
  </si>
  <si>
    <t>arms22ainds@cmrit.ac.in</t>
  </si>
  <si>
    <t>asbi22ainds@cmrit.ac.in</t>
  </si>
  <si>
    <t>yaha22ainds@cmrit.ac.in</t>
  </si>
  <si>
    <t>bhm22ainds@cmrit.ac.in</t>
  </si>
  <si>
    <t>chhs22ainds@cmrit.ac.in</t>
  </si>
  <si>
    <t>chra22ainds@cmrit.ac.in</t>
  </si>
  <si>
    <t>chp22ainds@cmrit.ac.in</t>
  </si>
  <si>
    <t>chk22ainds@cmrit.ac.in</t>
  </si>
  <si>
    <t>chpg22ainds@cmrit.ac.in</t>
  </si>
  <si>
    <t>chha22ainds@cmrit.ac.in</t>
  </si>
  <si>
    <t>desh22ainds@cmrit.ac.in</t>
  </si>
  <si>
    <t>dhpa22ainds@cmrit.ac.in</t>
  </si>
  <si>
    <t>dikr22ainds@cmrit.ac.in</t>
  </si>
  <si>
    <t>gaya22ainds@cmrit.ac.in</t>
  </si>
  <si>
    <t>gach22ainds@cmrit.ac.in</t>
  </si>
  <si>
    <t>gosr22ainds@cmrit.ac.in</t>
  </si>
  <si>
    <t>gos22ainds@cmrit.ac.in</t>
  </si>
  <si>
    <t>guku22ainds@cmrit.ac.in</t>
  </si>
  <si>
    <t>jej22ainds@cmrit.ac.in</t>
  </si>
  <si>
    <t>kav22ainds@cmrit.ac.in</t>
  </si>
  <si>
    <t>kalo22ainds@cmrit.ac.in</t>
  </si>
  <si>
    <t>kaan22ainds@cmrit.ac.in</t>
  </si>
  <si>
    <t>kep22ainds@cmrit.ac.in</t>
  </si>
  <si>
    <t>keal22ainds@cmrit.ac.in</t>
  </si>
  <si>
    <t>khpr22ainds@cmrit.ac.in</t>
  </si>
  <si>
    <t>khsi22ainds@cmrit.ac.in</t>
  </si>
  <si>
    <t>koni22ainds@cmrit.ac.in</t>
  </si>
  <si>
    <t>kore22ainds@cmrit.ac.in</t>
  </si>
  <si>
    <t>lamv22ainds@cmrit.ac.in</t>
  </si>
  <si>
    <t>masu22ainds@cmrit.ac.in</t>
  </si>
  <si>
    <t>mepb22ainds@cmrit.ac.in</t>
  </si>
  <si>
    <t>miga22ainds@cmrit.ac.in</t>
  </si>
  <si>
    <t>moal22ainds@cmrit.ac.in</t>
  </si>
  <si>
    <t>mon22ainds@cmrit.ac.in</t>
  </si>
  <si>
    <t>musr22ainds@cmrit.ac.in</t>
  </si>
  <si>
    <t>nam22ainds@cmrit.ac.in</t>
  </si>
  <si>
    <t>nbre22ainds@cmrit.ac.in</t>
  </si>
  <si>
    <t>ndsr22ainds@cmrit.ac.in</t>
  </si>
  <si>
    <t>nir22ainds@cmrit.ac.in</t>
  </si>
  <si>
    <t>noa22ainds@cmrit.ac.in</t>
  </si>
  <si>
    <t>pooj22ainds@cmrit.ac.in</t>
  </si>
  <si>
    <t>prpr22ainds@cmrit.ac.in</t>
  </si>
  <si>
    <t>prma22ainds@cmrit.ac.in</t>
  </si>
  <si>
    <t>rpr22ainds@cmrit.ac.in</t>
  </si>
  <si>
    <t>ram22ainds@cmrit.ac.in</t>
  </si>
  <si>
    <t>rafa22ainds@cmrit.ac.in</t>
  </si>
  <si>
    <t>rura22ainds@cmrit.ac.in</t>
  </si>
  <si>
    <t>saav22ainds@cmrit.ac.in</t>
  </si>
  <si>
    <t>gsi22ainds@cmrit.ac.in</t>
  </si>
  <si>
    <t>lhta22ainds@cmrit.ac.in</t>
  </si>
  <si>
    <t>arra22ainds@cmrit.ac.in</t>
  </si>
  <si>
    <t>rada22ainds@cmrit.ac.in</t>
  </si>
  <si>
    <t>saur22ainds@cmrit.ac.in</t>
  </si>
  <si>
    <t>aku22ainds@cmrit.ac.in</t>
  </si>
  <si>
    <t>taku22ainds@cmrit.ac.in</t>
  </si>
  <si>
    <t>jitc22ainds@cmrit.ac.in</t>
  </si>
  <si>
    <t>prch22ainds@cmrit.ac.in</t>
  </si>
  <si>
    <t>prem22ainds@cmrit.ac.in</t>
  </si>
  <si>
    <t>bham22ainds@cmrit.ac.in</t>
  </si>
  <si>
    <t>tedb22ainds@cmrit.ac.in</t>
  </si>
  <si>
    <t>lemv22ainds@cmrit.ac.in</t>
  </si>
  <si>
    <t>yoe22ainds@cmrit.ac.in</t>
  </si>
  <si>
    <t>han22ainds@cmrit.ac.in</t>
  </si>
  <si>
    <t>chik22ainds@cmrit.ac.in</t>
  </si>
  <si>
    <t>moza22ainds@cmrit.ac.in</t>
  </si>
  <si>
    <t>moum22ainds@cmrit.ac.in</t>
  </si>
  <si>
    <t>esch22ainds@cmrit.ac.in</t>
  </si>
  <si>
    <t>navy22ainds@cmrit.ac.in</t>
  </si>
  <si>
    <t>pasi22ainds@cmrit.ac.in</t>
  </si>
  <si>
    <t>dhbm22ainds@cmrit.ac.in</t>
  </si>
  <si>
    <t>mora22ainds@cmrit.ac.in</t>
  </si>
  <si>
    <t>aba22aiml@cmrit.ac.in</t>
  </si>
  <si>
    <t>amna22aiml@cmrit.ac.in</t>
  </si>
  <si>
    <t>ans22aiml@cmrit.ac.in</t>
  </si>
  <si>
    <t>apav22aiml@cmrit.ac.in</t>
  </si>
  <si>
    <t>asbe22aiml@cmrit.ac.in</t>
  </si>
  <si>
    <t>bhgr22aiml@cmrit.ac.in</t>
  </si>
  <si>
    <t>charl22aiml@cmrit.ac.in</t>
  </si>
  <si>
    <t>kana22aiml@cmrit.ac.in</t>
  </si>
  <si>
    <t>kem22aiml@cmrit.ac.in</t>
  </si>
  <si>
    <t>liss22aiml@cmrit.ac.in</t>
  </si>
  <si>
    <t>mob22aiml@cmrit.ac.in</t>
  </si>
  <si>
    <t>nahr22aiml@cmrit.ac.in</t>
  </si>
  <si>
    <t>nar22aiml@cmrit.ac.in</t>
  </si>
  <si>
    <t>niga22aiml@cmrit.ac.in</t>
  </si>
  <si>
    <t>nic22aiml@cmrit.ac.in</t>
  </si>
  <si>
    <t>nis22aiml@cmrit.ac.in</t>
  </si>
  <si>
    <t>nip22aiml@cmrit.ac.in</t>
  </si>
  <si>
    <t>pida22aiml@cmrit.ac.in</t>
  </si>
  <si>
    <t>prgo22aiml@cmrit.ac.in</t>
  </si>
  <si>
    <t>prv22aiml@cmrit.ac.in</t>
  </si>
  <si>
    <t>prup22aiml@cmrit.ac.in</t>
  </si>
  <si>
    <t>rakn22aiml@cmrit.ac.in</t>
  </si>
  <si>
    <t>risi22aiml@cmrit.ac.in</t>
  </si>
  <si>
    <t>ropa22aiml@cmrit.ac.in</t>
  </si>
  <si>
    <t>sara22aiml@cmrit.ac.in</t>
  </si>
  <si>
    <t>sakb22aiml@cmrit.ac.in</t>
  </si>
  <si>
    <t>shsh22aiml@cmrit.ac.in</t>
  </si>
  <si>
    <t>shfi22aiml@cmrit.ac.in</t>
  </si>
  <si>
    <t>shgu22aiml@cmrit.ac.in</t>
  </si>
  <si>
    <t>shp22aiml@cmrit.ac.in</t>
  </si>
  <si>
    <t>shka22aiml@cmrit.ac.in</t>
  </si>
  <si>
    <t>spht22aiml@cmrit.ac.in</t>
  </si>
  <si>
    <t>srad22aiml@cmrit.ac.in</t>
  </si>
  <si>
    <t>susa22aiml@cmrit.ac.in</t>
  </si>
  <si>
    <t>sun22aiml@cmrit.ac.in</t>
  </si>
  <si>
    <t>suv22aiml@cmrit.ac.in</t>
  </si>
  <si>
    <t>syhu22aiml@cmrit.ac.in</t>
  </si>
  <si>
    <t>thpa22aiml@cmrit.ac.in</t>
  </si>
  <si>
    <t>tyre22aiml@cmrit.ac.in</t>
  </si>
  <si>
    <t>ujsr22aiml@cmrit.ac.in</t>
  </si>
  <si>
    <t>utka22aiml@cmrit.ac.in</t>
  </si>
  <si>
    <t>vacj22aiml@cmrit.ac.in</t>
  </si>
  <si>
    <t>vam22aiml@cmrit.ac.in</t>
  </si>
  <si>
    <t>vivs22aiml@cmrit.ac.in</t>
  </si>
  <si>
    <t>vipa22aiml@cmrit.ac.in</t>
  </si>
  <si>
    <t>viku22aiml@cmrit.ac.in</t>
  </si>
  <si>
    <t>yso22aiml@cmrit.ac.in</t>
  </si>
  <si>
    <t>yaja22aiml@cmrit.ac.in</t>
  </si>
  <si>
    <t>yesr22aiml@cmrit.ac.in</t>
  </si>
  <si>
    <t>kihr22ainds@cmrit.ac.in</t>
  </si>
  <si>
    <t>saro22ainds@cmrit.ac.in</t>
  </si>
  <si>
    <t>saku22ainds@cmrit.ac.in</t>
  </si>
  <si>
    <t>sach22ainds@cmrit.ac.in</t>
  </si>
  <si>
    <t>shs22ainds@cmrit.ac.in</t>
  </si>
  <si>
    <t>shum22ainds@cmrit.ac.in</t>
  </si>
  <si>
    <t>sidd22ainds@cmrit.ac.in</t>
  </si>
  <si>
    <t>srbs22ainds@cmrit.ac.in</t>
  </si>
  <si>
    <t>sura22ainds@cmrit.ac.in</t>
  </si>
  <si>
    <t>sumu22ainds@cmrit.ac.in</t>
  </si>
  <si>
    <t>symu22ainds@cmrit.ac.in</t>
  </si>
  <si>
    <t>tana22ainds@cmrit.ac.in</t>
  </si>
  <si>
    <t>tama22ainds@cmrit.ac.in</t>
  </si>
  <si>
    <t>trsn22ainds@cmrit.ac.in</t>
  </si>
  <si>
    <t>tuv22ainds@cmrit.ac.in</t>
  </si>
  <si>
    <t>tuhi22ainds@cmrit.ac.in</t>
  </si>
  <si>
    <t>vir22ainds@cmrit.ac.in</t>
  </si>
  <si>
    <t>vmsw22ainds@cmrit.ac.in</t>
  </si>
  <si>
    <t>amr22ainds@cmrit.ac.in</t>
  </si>
  <si>
    <t>bodi22ainds@cmrit.ac.in</t>
  </si>
  <si>
    <t>sav22ainds@cmrit.ac.in</t>
  </si>
  <si>
    <t>shre22ainds@cmrit.ac.in</t>
  </si>
  <si>
    <t>supo22aiml@cmrit.ac.in</t>
  </si>
  <si>
    <t>adipa22aiml@cmrit.ac.in</t>
  </si>
  <si>
    <t>muab22ainds@cmrit.ac.in</t>
  </si>
  <si>
    <t>aadi22cs@cmrit.ac.in</t>
  </si>
  <si>
    <t>aash22cs@cmrit.ac.in</t>
  </si>
  <si>
    <t>aach22cs@cmrit.ac.in</t>
  </si>
  <si>
    <t>aama22cs@cmrit.ac.in</t>
  </si>
  <si>
    <t>abga22cs@cmrit.ac.in</t>
  </si>
  <si>
    <t>abpv22cs@cmrit.ac.in</t>
  </si>
  <si>
    <t>aba22cs@cmrit.ac.in</t>
  </si>
  <si>
    <t>adad22cs@cmrit.ac.in</t>
  </si>
  <si>
    <t>adra22cs@cmrit.ac.in</t>
  </si>
  <si>
    <t>ahsu22cs@cmrit.ac.in</t>
  </si>
  <si>
    <t>aira22cs@cmrit.ac.in</t>
  </si>
  <si>
    <t>ajku22cs@cmrit.ac.in</t>
  </si>
  <si>
    <t>akkh22cs@cmrit.ac.in</t>
  </si>
  <si>
    <t>aks22cs@cmrit.ac.in</t>
  </si>
  <si>
    <t>akbg22cs@cmrit.ac.in</t>
  </si>
  <si>
    <t>akva22cs@cmrit.ac.in</t>
  </si>
  <si>
    <t>amsi22cs@cmrit.ac.in</t>
  </si>
  <si>
    <t>angu22cs@cmrit.ac.in</t>
  </si>
  <si>
    <t>ancho22cs@cmrit.ac.in</t>
  </si>
  <si>
    <t>anasa22cs@cmrit.ac.in</t>
  </si>
  <si>
    <t>anda22cs@cmrit.ac.in</t>
  </si>
  <si>
    <t>anku22cs@cmrit.ac.in</t>
  </si>
  <si>
    <t>anna22cs@cmrit.ac.in</t>
  </si>
  <si>
    <t>anja22cs@cmrit.ac.in</t>
  </si>
  <si>
    <t>anhd22cs@cmrit.ac.in</t>
  </si>
  <si>
    <t>ansa22cs@cmrit.ac.in</t>
  </si>
  <si>
    <t>anch22cs@cmrit.ac.in</t>
  </si>
  <si>
    <t>anbi22cs@cmrit.ac.in</t>
  </si>
  <si>
    <t>ansh22cs@cmrit.ac.in</t>
  </si>
  <si>
    <t>arsi22cs@cmrit.ac.in</t>
  </si>
  <si>
    <t>arsa22cs@cmrit.ac.in</t>
  </si>
  <si>
    <t>arni22cs@cmrit.ac.in</t>
  </si>
  <si>
    <t>asma22cs@cmrit.ac.in</t>
  </si>
  <si>
    <t>asgo22cs@cmrit.ac.in</t>
  </si>
  <si>
    <t>assh22cs@cmrit.ac.in</t>
  </si>
  <si>
    <t>asth22cs@cmrit.ac.in</t>
  </si>
  <si>
    <t>aygo22cs@cmrit.ac.in</t>
  </si>
  <si>
    <t>ayga22cs@cmrit.ac.in</t>
  </si>
  <si>
    <t>baal22cs@cmrit.ac.in</t>
  </si>
  <si>
    <t>bhpr22cs@cmrit.ac.in</t>
  </si>
  <si>
    <t>bhne22cs@cmrit.ac.in</t>
  </si>
  <si>
    <t>bhka22cs@cmrit.ac.in</t>
  </si>
  <si>
    <t>bhdo22cs@cmrit.ac.in</t>
  </si>
  <si>
    <t>bibh22cs@cmrit.ac.in</t>
  </si>
  <si>
    <t>bija22cs@cmrit.ac.in</t>
  </si>
  <si>
    <t>bipa22cs@cmrit.ac.in</t>
  </si>
  <si>
    <t>ceth22cs@cmrit.ac.in</t>
  </si>
  <si>
    <t>chm22cs@cmrit.ac.in</t>
  </si>
  <si>
    <t>desh22cs@cmrit.ac.in</t>
  </si>
  <si>
    <t>det22cs@cmrit.ac.in</t>
  </si>
  <si>
    <t>desi22cs@cmrit.ac.in</t>
  </si>
  <si>
    <t>dep22cs@cmrit.ac.in</t>
  </si>
  <si>
    <t>dht22cs@cmrit.ac.in</t>
  </si>
  <si>
    <t>dusi22cs@cmrit.ac.in</t>
  </si>
  <si>
    <t>eski22cs@cmrit.ac.in</t>
  </si>
  <si>
    <t>gkne22cs@cmrit.ac.in</t>
  </si>
  <si>
    <t>gar22cs@cmrit.ac.in</t>
  </si>
  <si>
    <t>gas22cs@cmrit.ac.in</t>
  </si>
  <si>
    <t>grku22cs@cmrit.ac.in</t>
  </si>
  <si>
    <t>hara22cs@cmrit.ac.in</t>
  </si>
  <si>
    <t>hag22cs@cmrit.ac.in</t>
  </si>
  <si>
    <t>hrsi22cs@cmrit.ac.in</t>
  </si>
  <si>
    <t>inb22cs@cmrit.ac.in</t>
  </si>
  <si>
    <t>kimr22cs@cmrit.ac.in</t>
  </si>
  <si>
    <t>nab22cs@cmrit.ac.in</t>
  </si>
  <si>
    <t>sand22cs@cmrit.ac.in</t>
  </si>
  <si>
    <t>saso22cs@cmrit.ac.in</t>
  </si>
  <si>
    <t>shpa22cs@cmrit.ac.in</t>
  </si>
  <si>
    <t>sumv22cs@cmrit.ac.in</t>
  </si>
  <si>
    <t>suha22cs@cmrit.ac.in</t>
  </si>
  <si>
    <t>udra22cs@cmrit.ac.in</t>
  </si>
  <si>
    <t>nagcl22cs@cmrit.ac.in</t>
  </si>
  <si>
    <t>amkh22cs@cmrit.ac.in</t>
  </si>
  <si>
    <t>arcsi22cs@cmrit.ac.in</t>
  </si>
  <si>
    <t>dme22cs@cmrit.ac.in</t>
  </si>
  <si>
    <t>ipmo22cs@cmrit.ac.in</t>
  </si>
  <si>
    <t>irbu22cs@cmrit.ac.in</t>
  </si>
  <si>
    <t>isro22cs@cmrit.ac.in</t>
  </si>
  <si>
    <t>jadu22cs@cmrit.ac.in</t>
  </si>
  <si>
    <t>jer22cs@cmrit.ac.in</t>
  </si>
  <si>
    <t>jem22cs@cmrit.ac.in</t>
  </si>
  <si>
    <t>jitgo22cs@cmrit.ac.in</t>
  </si>
  <si>
    <t>jolo22cs@cmrit.ac.in</t>
  </si>
  <si>
    <t>jysa22cs@cmrit.ac.in</t>
  </si>
  <si>
    <t>kahu22cs@cmrit.ac.in</t>
  </si>
  <si>
    <t>kam22cs@cmrit.ac.in</t>
  </si>
  <si>
    <t>kejk22cs@cmrit.ac.in</t>
  </si>
  <si>
    <t>kika22cs@cmrit.ac.in</t>
  </si>
  <si>
    <t>kobh22cs@cmrit.ac.in</t>
  </si>
  <si>
    <t>kuch22cs@cmrit.ac.in</t>
  </si>
  <si>
    <t>kuha22cs@cmrit.ac.in</t>
  </si>
  <si>
    <t>kus22cs@cmrit.ac.in</t>
  </si>
  <si>
    <t>lat22cs@cmrit.ac.in</t>
  </si>
  <si>
    <t>ladm22cs@cmrit.ac.in</t>
  </si>
  <si>
    <t>lasi22cs@cmrit.ac.in</t>
  </si>
  <si>
    <t>lisw22cs@cmrit.ac.in</t>
  </si>
  <si>
    <t>mam22cs@cmrit.ac.in</t>
  </si>
  <si>
    <t>masa22cs@cmrit.ac.in</t>
  </si>
  <si>
    <t>mac22cs@cmrit.ac.in</t>
  </si>
  <si>
    <t>mahg22cs@cmrit.ac.in</t>
  </si>
  <si>
    <t>mahe22cs@cmrit.ac.in</t>
  </si>
  <si>
    <t>mar22cs@cmrit.ac.in</t>
  </si>
  <si>
    <t>mans22cs@cmrit.ac.in</t>
  </si>
  <si>
    <t>mabc22cs@cmrit.ac.in</t>
  </si>
  <si>
    <t>mansi22cs@cmrit.ac.in</t>
  </si>
  <si>
    <t>mdga22cs@cmrit.ac.in</t>
  </si>
  <si>
    <t>mosu22cs@cmrit.ac.in</t>
  </si>
  <si>
    <t>mori22cs@cmrit.ac.in</t>
  </si>
  <si>
    <t>mosv22cs@cmrit.ac.in</t>
  </si>
  <si>
    <t>mom22cs@cmrit.ac.in</t>
  </si>
  <si>
    <t>moa22cs@cmrit.ac.in</t>
  </si>
  <si>
    <t>moum22cs@cmrit.ac.in</t>
  </si>
  <si>
    <t>mor22cs@cmrit.ac.in</t>
  </si>
  <si>
    <t>musu22cs@cmrit.ac.in</t>
  </si>
  <si>
    <t>muhu22cs@cmrit.ac.in</t>
  </si>
  <si>
    <t>nva22cs@cmrit.ac.in</t>
  </si>
  <si>
    <t>nasa22cs@cmrit.ac.in</t>
  </si>
  <si>
    <t>naac22cs@cmrit.ac.in</t>
  </si>
  <si>
    <t>nemp22cs@cmrit.ac.in</t>
  </si>
  <si>
    <t>nitn22cs@cmrit.ac.in</t>
  </si>
  <si>
    <t>nigu22cs@cmrit.ac.in</t>
  </si>
  <si>
    <t>pare22cs@cmrit.ac.in</t>
  </si>
  <si>
    <t>pahm22cs@cmrit.ac.in</t>
  </si>
  <si>
    <t>prne22cs@cmrit.ac.in</t>
  </si>
  <si>
    <t>prasi22cs@cmrit.ac.in</t>
  </si>
  <si>
    <t>prbg22cs@cmrit.ac.in</t>
  </si>
  <si>
    <t>prak22cs@cmrit.ac.in</t>
  </si>
  <si>
    <t>praya22cs@cmrit.ac.in</t>
  </si>
  <si>
    <t>prdh22cs@cmrit.ac.in</t>
  </si>
  <si>
    <t>prdey22cs@cmrit.ac.in</t>
  </si>
  <si>
    <t>prsi22cs@cmrit.ac.in</t>
  </si>
  <si>
    <t>prku22cs@cmrit.ac.in</t>
  </si>
  <si>
    <t>prde22cs@cmrit.ac.in</t>
  </si>
  <si>
    <t>prya22cs@cmrit.ac.in</t>
  </si>
  <si>
    <t>prisi22cs@cmrit.ac.in</t>
  </si>
  <si>
    <t>pusu22cs@cmrit.ac.in</t>
  </si>
  <si>
    <t>rsa22cs@cmrit.ac.in</t>
  </si>
  <si>
    <t>raph22cs@cmrit.ac.in</t>
  </si>
  <si>
    <t>samda22cs@cmrit.ac.in</t>
  </si>
  <si>
    <t>sac22cs@cmrit.ac.in</t>
  </si>
  <si>
    <t>shhe22cs@cmrit.ac.in</t>
  </si>
  <si>
    <t>shrna22cs@cmrit.ac.in</t>
  </si>
  <si>
    <t>dear22cs@cmrit.ac.in</t>
  </si>
  <si>
    <t>gaha22cs@cmrit.ac.in</t>
  </si>
  <si>
    <t>manl22cs@cmrit.ac.in</t>
  </si>
  <si>
    <t>mim22cs@cmrit.ac.in</t>
  </si>
  <si>
    <t>posp22cs@cmrit.ac.in</t>
  </si>
  <si>
    <t>preka22cs@cmrit.ac.in</t>
  </si>
  <si>
    <t>rar22cs@cmrit.ac.in</t>
  </si>
  <si>
    <t>ramr22cs@cmrit.ac.in</t>
  </si>
  <si>
    <t>rasa22cs@cmrit.ac.in</t>
  </si>
  <si>
    <t>rara22cs@cmrit.ac.in</t>
  </si>
  <si>
    <t>rac22cs@cmrit.ac.in</t>
  </si>
  <si>
    <t>rgu22cs@cmrit.ac.in</t>
  </si>
  <si>
    <t>rena22cs@cmrit.ac.in</t>
  </si>
  <si>
    <t>risi22cs@cmrit.ac.in</t>
  </si>
  <si>
    <t>riga22cs@cmrit.ac.in</t>
  </si>
  <si>
    <t>riysi22cs@cmrit.ac.in</t>
  </si>
  <si>
    <t>rola22cs@cmrit.ac.in</t>
  </si>
  <si>
    <t>rokc22cs@cmrit.ac.in</t>
  </si>
  <si>
    <t>rohr22cs@cmrit.ac.in</t>
  </si>
  <si>
    <t>ruv22cs@cmrit.ac.in</t>
  </si>
  <si>
    <t>sabs22cs@cmrit.ac.in</t>
  </si>
  <si>
    <t>saha22cs@cmrit.ac.in</t>
  </si>
  <si>
    <t>sas22cs@cmrit.ac.in</t>
  </si>
  <si>
    <t>sali22cs@cmrit.ac.in</t>
  </si>
  <si>
    <t>saya22cs@cmrit.ac.in</t>
  </si>
  <si>
    <t>sapa22cs@cmrit.ac.in</t>
  </si>
  <si>
    <t>sama22cs@cmrit.ac.in</t>
  </si>
  <si>
    <t>savy22cs@cmrit.ac.in</t>
  </si>
  <si>
    <t>sate22cs@cmrit.ac.in</t>
  </si>
  <si>
    <t>sana22cs@cmrit.ac.in</t>
  </si>
  <si>
    <t>sabu22cs@cmrit.ac.in</t>
  </si>
  <si>
    <t>sava22cs@cmrit.ac.in</t>
  </si>
  <si>
    <t>sakc22cs@cmrit.ac.in</t>
  </si>
  <si>
    <t>sakh22cs@cmrit.ac.in</t>
  </si>
  <si>
    <t>shkr22cs@cmrit.ac.in</t>
  </si>
  <si>
    <t>shkh22cs@cmrit.ac.in</t>
  </si>
  <si>
    <t>shsa22cs@cmrit.ac.in</t>
  </si>
  <si>
    <t>shva22cs@cmrit.ac.in</t>
  </si>
  <si>
    <t>shna22cs@cmrit.ac.in</t>
  </si>
  <si>
    <t>shiku22cs@cmrit.ac.in</t>
  </si>
  <si>
    <t>shkn22cs@cmrit.ac.in</t>
  </si>
  <si>
    <t>shha22cs@cmrit.ac.in</t>
  </si>
  <si>
    <t>shgo22cs@cmrit.ac.in</t>
  </si>
  <si>
    <t>shsg22cs@cmrit.ac.in</t>
  </si>
  <si>
    <t>shrg22cs@cmrit.ac.in</t>
  </si>
  <si>
    <t>sim22cs@cmrit.ac.in</t>
  </si>
  <si>
    <t>snla22cs@cmrit.ac.in</t>
  </si>
  <si>
    <t>spin22cs@cmrit.ac.in</t>
  </si>
  <si>
    <t>spkh22cs@cmrit.ac.in</t>
  </si>
  <si>
    <t>srku22cs@cmrit.ac.in</t>
  </si>
  <si>
    <t>susa22cs@cmrit.ac.in</t>
  </si>
  <si>
    <t>sush22cs@cmrit.ac.in</t>
  </si>
  <si>
    <t>suho22cs@cmrit.ac.in</t>
  </si>
  <si>
    <t>swgh22cs@cmrit.ac.in</t>
  </si>
  <si>
    <t>sysa22cs@cmrit.ac.in</t>
  </si>
  <si>
    <t>syr22cs@cmrit.ac.in</t>
  </si>
  <si>
    <t>thr22cs@cmrit.ac.in</t>
  </si>
  <si>
    <t>undjo22cs@cmrit.ac.in</t>
  </si>
  <si>
    <t>vsw22cs@cmrit.ac.in</t>
  </si>
  <si>
    <t>vako22cs@cmrit.ac.in</t>
  </si>
  <si>
    <t>vash22cs@cmrit.ac.in</t>
  </si>
  <si>
    <t>vams22cs@cmrit.ac.in</t>
  </si>
  <si>
    <t>vara22cs@cmrit.ac.in</t>
  </si>
  <si>
    <t>vegn22cs@cmrit.ac.in</t>
  </si>
  <si>
    <t>vesr22cs@cmrit.ac.in</t>
  </si>
  <si>
    <t>vipa22cs@cmrit.ac.in</t>
  </si>
  <si>
    <t>vir22cs@cmrit.ac.in</t>
  </si>
  <si>
    <t>vina22cs@cmrit.ac.in</t>
  </si>
  <si>
    <t>viak22cs@cmrit.ac.in</t>
  </si>
  <si>
    <t>vika22cs@cmrit.ac.in</t>
  </si>
  <si>
    <t>yara22cs@cmrit.ac.in</t>
  </si>
  <si>
    <t>yemn22cs@cmrit.ac.in</t>
  </si>
  <si>
    <t>akka22csds@cmrit.ac.in</t>
  </si>
  <si>
    <t>akja22csds@cmrit.ac.in</t>
  </si>
  <si>
    <t>akn22csds@cmrit.ac.in</t>
  </si>
  <si>
    <t>amda22csds@cmrit.ac.in</t>
  </si>
  <si>
    <t>anm22csds@cmrit.ac.in</t>
  </si>
  <si>
    <t>anv22csds@cmrit.ac.in</t>
  </si>
  <si>
    <t>bap22csds@cmrit.ac.in</t>
  </si>
  <si>
    <t>bhj22csds@cmrit.ac.in</t>
  </si>
  <si>
    <t>bhke22csds@cmrit.ac.in</t>
  </si>
  <si>
    <t>chsm22csds@cmrit.ac.in</t>
  </si>
  <si>
    <t>dam22csds@cmrit.ac.in</t>
  </si>
  <si>
    <t>desh22csds@cmrit.ac.in</t>
  </si>
  <si>
    <t>dime22csds@cmrit.ac.in</t>
  </si>
  <si>
    <t>farh22csds@cmrit.ac.in</t>
  </si>
  <si>
    <t>grku22csds@cmrit.ac.in</t>
  </si>
  <si>
    <t>hana22csds@cmrit.ac.in</t>
  </si>
  <si>
    <t>her22csds@cmrit.ac.in</t>
  </si>
  <si>
    <t>isam22csds@cmrit.ac.in</t>
  </si>
  <si>
    <t>jaka22csds@cmrit.ac.in</t>
  </si>
  <si>
    <t>kebs22csds@cmrit.ac.in</t>
  </si>
  <si>
    <t>khus22csds@cmrit.ac.in</t>
  </si>
  <si>
    <t>kim22csds@cmrit.ac.in</t>
  </si>
  <si>
    <t>lash22csds@cmrit.ac.in</t>
  </si>
  <si>
    <t>mraa22csds@cmrit.ac.in</t>
  </si>
  <si>
    <t>najh22csds@cmrit.ac.in</t>
  </si>
  <si>
    <t>nimo22csds@cmrit.ac.in</t>
  </si>
  <si>
    <t>niku22csds@cmrit.ac.in</t>
  </si>
  <si>
    <t>pabh22csds@cmrit.ac.in</t>
  </si>
  <si>
    <t>pamy22csds@cmrit.ac.in</t>
  </si>
  <si>
    <t>paja22csds@cmrit.ac.in</t>
  </si>
  <si>
    <t>prch22csds@cmrit.ac.in</t>
  </si>
  <si>
    <t>prgo22csds@cmrit.ac.in</t>
  </si>
  <si>
    <t>rata22csds@cmrit.ac.in</t>
  </si>
  <si>
    <t>raku22csds@cmrit.ac.in</t>
  </si>
  <si>
    <t>rach22csds@cmrit.ac.in</t>
  </si>
  <si>
    <t>sam22csds@cmrit.ac.in</t>
  </si>
  <si>
    <t>sal22csds@cmrit.ac.in</t>
  </si>
  <si>
    <t>sada22csds@cmrit.ac.in</t>
  </si>
  <si>
    <t>sasn22csds@cmrit.ac.in</t>
  </si>
  <si>
    <t>sash22csds@cmrit.ac.in</t>
  </si>
  <si>
    <t>shja22csds@cmrit.ac.in</t>
  </si>
  <si>
    <t>shte22csds@cmrit.ac.in</t>
  </si>
  <si>
    <t>shen22csds@cmrit.ac.in</t>
  </si>
  <si>
    <t>shre22csds@cmrit.ac.in</t>
  </si>
  <si>
    <t>shd22csds@cmrit.ac.in</t>
  </si>
  <si>
    <t>shsh22csds@cmrit.ac.in</t>
  </si>
  <si>
    <t>snoj22csds@cmrit.ac.in</t>
  </si>
  <si>
    <t>tag22csds@cmrit.ac.in</t>
  </si>
  <si>
    <t>uvi22csds@cmrit.ac.in</t>
  </si>
  <si>
    <t>vad22csds@cmrit.ac.in</t>
  </si>
  <si>
    <t>vans22csds@cmrit.ac.in</t>
  </si>
  <si>
    <t>vaya22csds@cmrit.ac.in</t>
  </si>
  <si>
    <t>vipa22csds@cmrit.ac.in</t>
  </si>
  <si>
    <t>vilp22csds@cmrit.ac.in</t>
  </si>
  <si>
    <t>vik22csds@cmrit.ac.in</t>
  </si>
  <si>
    <t>viv22csds@cmrit.ac.in</t>
  </si>
  <si>
    <t>yadw22csds@cmrit.ac.in</t>
  </si>
  <si>
    <t>ynre22csds@cmrit.ac.in</t>
  </si>
  <si>
    <t>yob22csds@cmrit.ac.in</t>
  </si>
  <si>
    <t>yukv22csds@cmrit.ac.in</t>
  </si>
  <si>
    <t>dak22csds@cmrit.ac.in</t>
  </si>
  <si>
    <t>mann22csds@cmrit.ac.in</t>
  </si>
  <si>
    <t>aaan22ece@cmrit.ac.in</t>
  </si>
  <si>
    <t>aash22ece@cmrit.ac.in</t>
  </si>
  <si>
    <t>abna22ece@cmrit.ac.in</t>
  </si>
  <si>
    <t>abp22ece@cmrit.ac.in</t>
  </si>
  <si>
    <t>adna22ece@cmrit.ac.in</t>
  </si>
  <si>
    <t>adra22ece@cmrit.ac.in</t>
  </si>
  <si>
    <t>adts22ece@cmrit.ac.in</t>
  </si>
  <si>
    <t>adv22ece@cmrit.ac.in</t>
  </si>
  <si>
    <t>adga22ece@cmrit.ac.in</t>
  </si>
  <si>
    <t>adku22ece@cmrit.ac.in</t>
  </si>
  <si>
    <t>akra22ece@cmrit.ac.in</t>
  </si>
  <si>
    <t>ammu22ece@cmrit.ac.in</t>
  </si>
  <si>
    <t>amsi22ece@cmrit.ac.in</t>
  </si>
  <si>
    <t>ams22ece@cmrit.ac.in</t>
  </si>
  <si>
    <t>an22ece@cmrit.ac.in</t>
  </si>
  <si>
    <t>arnr22ece@cmrit.ac.in</t>
  </si>
  <si>
    <t>arna22ece@cmrit.ac.in</t>
  </si>
  <si>
    <t>asv22ece@cmrit.ac.in</t>
  </si>
  <si>
    <t>ashpa22ece@cmrit.ac.in</t>
  </si>
  <si>
    <t>asj22ece@cmrit.ac.in</t>
  </si>
  <si>
    <t>aymo22ece@cmrit.ac.in</t>
  </si>
  <si>
    <t>ayv22ece@cmrit.ac.in</t>
  </si>
  <si>
    <t>bare22ece@cmrit.ac.in</t>
  </si>
  <si>
    <t>bhas22ece@cmrit.ac.in</t>
  </si>
  <si>
    <t>bhar22ece@cmrit.ac.in</t>
  </si>
  <si>
    <t>bhm22ece@cmrit.ac.in</t>
  </si>
  <si>
    <t>bhg22ece@cmrit.ac.in</t>
  </si>
  <si>
    <t>bhs22ece@cmrit.ac.in</t>
  </si>
  <si>
    <t>bhve22ece@cmrit.ac.in</t>
  </si>
  <si>
    <t>bib22ece@cmrit.ac.in</t>
  </si>
  <si>
    <t>bit22ece@cmrit.ac.in</t>
  </si>
  <si>
    <t>bvsh22ece@cmrit.ac.in</t>
  </si>
  <si>
    <t>chpv22ece@cmrit.ac.in</t>
  </si>
  <si>
    <t>chai22ece@cmrit.ac.in</t>
  </si>
  <si>
    <t>chas22ece@cmrit.ac.in</t>
  </si>
  <si>
    <t>chacv22ece@cmrit.ac.in</t>
  </si>
  <si>
    <t>chajk22ece@cmrit.ac.in</t>
  </si>
  <si>
    <t>chen22ece@cmrit.ac.in</t>
  </si>
  <si>
    <t>chka22ece@cmrit.ac.in</t>
  </si>
  <si>
    <t>chs22ece@cmrit.ac.in</t>
  </si>
  <si>
    <t>chd22ece@cmrit.ac.in</t>
  </si>
  <si>
    <t>chso22ece@cmrit.ac.in</t>
  </si>
  <si>
    <t>dan22ece@cmrit.ac.in</t>
  </si>
  <si>
    <t>dekn22ece@cmrit.ac.in</t>
  </si>
  <si>
    <t>desh22ece@cmrit.ac.in</t>
  </si>
  <si>
    <t>dea22ece@cmrit.ac.in</t>
  </si>
  <si>
    <t>dhds22ece@cmrit.ac.in</t>
  </si>
  <si>
    <t>dhg22ece@cmrit.ac.in</t>
  </si>
  <si>
    <t>dib22ece@cmrit.ac.in</t>
  </si>
  <si>
    <t>dida22ece@cmrit.ac.in</t>
  </si>
  <si>
    <t>disa22ece@cmrit.ac.in</t>
  </si>
  <si>
    <t>gansb22ece@cmrit.ac.in</t>
  </si>
  <si>
    <t>gesh22ece@cmrit.ac.in</t>
  </si>
  <si>
    <t>gure22ece@cmrit.ac.in</t>
  </si>
  <si>
    <t>josb22ece@cmrit.ac.in</t>
  </si>
  <si>
    <t>knra22ece@cmrit.ac.in</t>
  </si>
  <si>
    <t>kirvs22ece@cmrit.ac.in</t>
  </si>
  <si>
    <t>mans22ece@cmrit.ac.in</t>
  </si>
  <si>
    <t>navhs22ece@cmrit.ac.in</t>
  </si>
  <si>
    <t>shrnh22ece@cmrit.ac.in</t>
  </si>
  <si>
    <t>souke22ece@cmrit.ac.in</t>
  </si>
  <si>
    <t>uttku22ece@cmrit.ac.in</t>
  </si>
  <si>
    <t>abdba22ece@cmrit.ac.in</t>
  </si>
  <si>
    <t>akhkm22ece@cmrit.ac.in</t>
  </si>
  <si>
    <t>charm22ece@cmrit.ac.in</t>
  </si>
  <si>
    <t>chihi22ece@cmrit.ac.in</t>
  </si>
  <si>
    <t>darmp22ece@cmrit.ac.in</t>
  </si>
  <si>
    <t>diwp22ece@cmrit.ac.in</t>
  </si>
  <si>
    <t>guwa22ece@cmrit.ac.in</t>
  </si>
  <si>
    <t>gus22ece@cmrit.ac.in</t>
  </si>
  <si>
    <t>hahr22ece@cmrit.ac.in</t>
  </si>
  <si>
    <t>haya22ece@cmrit.ac.in</t>
  </si>
  <si>
    <t>hak22ece@cmrit.ac.in</t>
  </si>
  <si>
    <t>hipa22ece@cmrit.ac.in</t>
  </si>
  <si>
    <t>hrja22ece@cmrit.ac.in</t>
  </si>
  <si>
    <t>ispa22ece@cmrit.ac.in</t>
  </si>
  <si>
    <t>jahkc22ece@cmrit.ac.in</t>
  </si>
  <si>
    <t>jeevs22ece@cmrit.ac.in</t>
  </si>
  <si>
    <t>jmje22ece@cmrit.ac.in</t>
  </si>
  <si>
    <t>jns22ece@cmrit.ac.in</t>
  </si>
  <si>
    <t>kak22ece@cmrit.ac.in</t>
  </si>
  <si>
    <t>kaja22ece@cmrit.ac.in</t>
  </si>
  <si>
    <t>kasa22ece@cmrit.ac.in</t>
  </si>
  <si>
    <t>kadh22ece@cmrit.ac.in</t>
  </si>
  <si>
    <t>kaed22ece@cmrit.ac.in</t>
  </si>
  <si>
    <t>kec22ece@cmrit.ac.in</t>
  </si>
  <si>
    <t>khg22ece@cmrit.ac.in</t>
  </si>
  <si>
    <t>kiak22ece@cmrit.ac.in</t>
  </si>
  <si>
    <t>kis22ece@cmrit.ac.in</t>
  </si>
  <si>
    <t>kigs22ece@cmrit.ac.in</t>
  </si>
  <si>
    <t>krcj22ece@cmrit.ac.in</t>
  </si>
  <si>
    <t>kuka22ece@cmrit.ac.in</t>
  </si>
  <si>
    <t>kvbh22ece@cmrit.ac.in</t>
  </si>
  <si>
    <t>lag22ece@cmrit.ac.in</t>
  </si>
  <si>
    <t>lakr22ece@cmrit.ac.in</t>
  </si>
  <si>
    <t>lati22ece@cmrit.ac.in</t>
  </si>
  <si>
    <t>laja22ece@cmrit.ac.in</t>
  </si>
  <si>
    <t>lis22ece@cmrit.ac.in</t>
  </si>
  <si>
    <t>los22ece@cmrit.ac.in</t>
  </si>
  <si>
    <t>madkt22ece@cmrit.ac.in</t>
  </si>
  <si>
    <t>mah22ece@cmrit.ac.in</t>
  </si>
  <si>
    <t>mav22ece@cmrit.ac.in</t>
  </si>
  <si>
    <t>medk22ece@cmrit.ac.in</t>
  </si>
  <si>
    <t>meps22ece@cmrit.ac.in</t>
  </si>
  <si>
    <t>mona22ece@cmrit.ac.in</t>
  </si>
  <si>
    <t>mosho22ece@cmrit.ac.in</t>
  </si>
  <si>
    <t>mosh22ece@cmrit.ac.in</t>
  </si>
  <si>
    <t>nasu22ece@cmrit.ac.in</t>
  </si>
  <si>
    <t>nas22ece@cmrit.ac.in</t>
  </si>
  <si>
    <t>naob22ece@cmrit.ac.in</t>
  </si>
  <si>
    <t>nibh22ece@cmrit.ac.in</t>
  </si>
  <si>
    <t>nira22ece@cmrit.ac.in</t>
  </si>
  <si>
    <t>nirk22ece@cmrit.ac.in</t>
  </si>
  <si>
    <t>paas22ece@cmrit.ac.in</t>
  </si>
  <si>
    <t>pads22ece@cmrit.ac.in</t>
  </si>
  <si>
    <t>paku22ece@cmrit.ac.in</t>
  </si>
  <si>
    <t>pooba22ece@cmrit.ac.in</t>
  </si>
  <si>
    <t>poja22ece@cmrit.ac.in</t>
  </si>
  <si>
    <t>pobu22ece@cmrit.ac.in</t>
  </si>
  <si>
    <t>pohs22ece@cmrit.ac.in</t>
  </si>
  <si>
    <t>praj22ece@cmrit.ac.in</t>
  </si>
  <si>
    <t>prr22ece@cmrit.ac.in</t>
  </si>
  <si>
    <t>rohb22ece@cmrit.ac.in</t>
  </si>
  <si>
    <t>shiv22ece@cmrit.ac.in</t>
  </si>
  <si>
    <t>kar22ece@cmrit.ac.in</t>
  </si>
  <si>
    <t>anuj22ece@cmrit.ac.in</t>
  </si>
  <si>
    <t>darm22ece@cmrit.ac.in</t>
  </si>
  <si>
    <t>deej22ece@cmrit.ac.in</t>
  </si>
  <si>
    <t>hrup22ece@cmrit.ac.in</t>
  </si>
  <si>
    <t>jays22ece@cmrit.ac.in</t>
  </si>
  <si>
    <t>kavr22ece@cmrit.ac.in</t>
  </si>
  <si>
    <t>lavse22ece@cmrit.ac.in</t>
  </si>
  <si>
    <t>manhs22ece@cmrit.ac.in</t>
  </si>
  <si>
    <t>mond22ece@cmrit.ac.in</t>
  </si>
  <si>
    <t>nuthr22ece@cmrit.ac.in</t>
  </si>
  <si>
    <t>pook22ece@cmrit.ac.in</t>
  </si>
  <si>
    <t>prch22ece@cmrit.ac.in</t>
  </si>
  <si>
    <t>prna22ece@cmrit.ac.in</t>
  </si>
  <si>
    <t>prap22ece@cmrit.ac.in</t>
  </si>
  <si>
    <t>pssa22ece@cmrit.ac.in</t>
  </si>
  <si>
    <t>rach22ece@cmrit.ac.in</t>
  </si>
  <si>
    <t>raka22ece@cmrit.ac.in</t>
  </si>
  <si>
    <t>rana22ece@cmrit.ac.in</t>
  </si>
  <si>
    <t>rasi22ece@cmrit.ac.in</t>
  </si>
  <si>
    <t>raks22ece@cmrit.ac.in</t>
  </si>
  <si>
    <t>ran22ece@cmrit.ac.in</t>
  </si>
  <si>
    <t>rami22ece@cmrit.ac.in</t>
  </si>
  <si>
    <t>rimi22ece@cmrit.ac.in</t>
  </si>
  <si>
    <t>rija22ece@cmrit.ac.in</t>
  </si>
  <si>
    <t>riha22ece@cmrit.ac.in</t>
  </si>
  <si>
    <t>roch22ece@cmrit.ac.in</t>
  </si>
  <si>
    <t>sadi22ece@cmrit.ac.in</t>
  </si>
  <si>
    <t>sas22ece@cmrit.ac.in</t>
  </si>
  <si>
    <t>saa22ece@cmrit.ac.in</t>
  </si>
  <si>
    <t>sat22ece@cmrit.ac.in</t>
  </si>
  <si>
    <t>shsh22ece@cmrit.ac.in</t>
  </si>
  <si>
    <t>sham22ece@cmrit.ac.in</t>
  </si>
  <si>
    <t>shk22ece@cmrit.ac.in</t>
  </si>
  <si>
    <t>shil22ece@cmrit.ac.in</t>
  </si>
  <si>
    <t>shj22ece@cmrit.ac.in</t>
  </si>
  <si>
    <t>shvc22ece@cmrit.ac.in</t>
  </si>
  <si>
    <t>sisi22ece@cmrit.ac.in</t>
  </si>
  <si>
    <t>srna22ece@cmrit.ac.in</t>
  </si>
  <si>
    <t>srsa22ece@cmrit.ac.in</t>
  </si>
  <si>
    <t>sus22ece@cmrit.ac.in</t>
  </si>
  <si>
    <t>surch22ece@cmrit.ac.in</t>
  </si>
  <si>
    <t>sysa22ece@cmrit.ac.in</t>
  </si>
  <si>
    <t>tar22ece@cmrit.ac.in</t>
  </si>
  <si>
    <t>tehl22ece@cmrit.ac.in</t>
  </si>
  <si>
    <t>thm22ece@cmrit.ac.in</t>
  </si>
  <si>
    <t>thk22ece@cmrit.ac.in</t>
  </si>
  <si>
    <t>thak22ece@cmrit.ac.in</t>
  </si>
  <si>
    <t>tud22ece@cmrit.ac.in</t>
  </si>
  <si>
    <t>tuku22ece@cmrit.ac.in</t>
  </si>
  <si>
    <t>vas22ece@cmrit.ac.in</t>
  </si>
  <si>
    <t>vabv22ece@cmrit.ac.in</t>
  </si>
  <si>
    <t>vedd22ece@cmrit.ac.in</t>
  </si>
  <si>
    <t>visw22ece@cmrit.ac.in</t>
  </si>
  <si>
    <t>via22ece@cmrit.ac.in</t>
  </si>
  <si>
    <t>vinks22ece@cmrit.ac.in</t>
  </si>
  <si>
    <t>vir22ece@cmrit.ac.in</t>
  </si>
  <si>
    <t>vire22ece@cmrit.ac.in</t>
  </si>
  <si>
    <t>vide22ece@cmrit.ac.in</t>
  </si>
  <si>
    <t>visr22ece@cmrit.ac.in</t>
  </si>
  <si>
    <t>vsja22ece@cmrit.ac.in</t>
  </si>
  <si>
    <t>yasts22ece@cmrit.ac.in</t>
  </si>
  <si>
    <t>yash22ece@cmrit.ac.in</t>
  </si>
  <si>
    <t>yapr22ece@cmrit.ac.in</t>
  </si>
  <si>
    <t>anawa22ece@cmrit.ac.in</t>
  </si>
  <si>
    <t>anjgu22ece@cmrit.ac.in</t>
  </si>
  <si>
    <t>avin22ece@cmrit.ac.in</t>
  </si>
  <si>
    <t>basba22ece@cmrit.ac.in</t>
  </si>
  <si>
    <t>bhuba22ece@cmrit.ac.in</t>
  </si>
  <si>
    <t>chis22ece@cmrit.ac.in</t>
  </si>
  <si>
    <t>dars22ece@cmrit.ac.in</t>
  </si>
  <si>
    <t>daysk22ece@cmrit.ac.in</t>
  </si>
  <si>
    <t>dhaks22ece@cmrit.ac.in</t>
  </si>
  <si>
    <t>dusk22ece@cmrit.ac.in</t>
  </si>
  <si>
    <t>gmga22ece@cmrit.ac.in</t>
  </si>
  <si>
    <t>ganga22ece@cmrit.ac.in</t>
  </si>
  <si>
    <t>harck22ece@cmrit.ac.in</t>
  </si>
  <si>
    <t>hard22ece@cmrit.ac.in</t>
  </si>
  <si>
    <t>harpv22ece@cmrit.ac.in</t>
  </si>
  <si>
    <t>hempi22ece@cmrit.ac.in</t>
  </si>
  <si>
    <t>her22ece@cmrit.ac.in</t>
  </si>
  <si>
    <t>hemn22ece@cmrit.ac.in</t>
  </si>
  <si>
    <t>jees22ece@cmrit.ac.in</t>
  </si>
  <si>
    <t>jeego22ece@cmrit.ac.in</t>
  </si>
  <si>
    <t>jeekm22ece@cmrit.ac.in</t>
  </si>
  <si>
    <t>karr22ece@cmrit.ac.in</t>
  </si>
  <si>
    <t>kas22ece@cmrit.ac.in</t>
  </si>
  <si>
    <t>kees22ece@cmrit.ac.in</t>
  </si>
  <si>
    <t>keemc22ece@cmrit.ac.in</t>
  </si>
  <si>
    <t>khuja22ece@cmrit.ac.in</t>
  </si>
  <si>
    <t>kirvr22ece@cmrit.ac.in</t>
  </si>
  <si>
    <t>lalmi22ece@cmrit.ac.in</t>
  </si>
  <si>
    <t>liks22ece@cmrit.ac.in</t>
  </si>
  <si>
    <t>megm22ece@cmrit.ac.in</t>
  </si>
  <si>
    <t>nikka22ece@cmrit.ac.in</t>
  </si>
  <si>
    <t>nitr22ece@cmrit.ac.in</t>
  </si>
  <si>
    <t>nitko22ece@cmrit.ac.in</t>
  </si>
  <si>
    <t>prata22ece@cmrit.ac.in</t>
  </si>
  <si>
    <t>prah22ece@cmrit.ac.in</t>
  </si>
  <si>
    <t>rpo22ece@cmrit.ac.in</t>
  </si>
  <si>
    <t>rahu22ece@cmrit.ac.in</t>
  </si>
  <si>
    <t>rampu22ece@cmrit.ac.in</t>
  </si>
  <si>
    <t>rohcu22ece@cmrit.ac.in</t>
  </si>
  <si>
    <t>rohsh22ece@cmrit.ac.in</t>
  </si>
  <si>
    <t>sta22ece@cmrit.ac.in</t>
  </si>
  <si>
    <t>sahs22ece@cmrit.ac.in</t>
  </si>
  <si>
    <t>sanps22ece@cmrit.ac.in</t>
  </si>
  <si>
    <t>sanbh22ece@cmrit.ac.in</t>
  </si>
  <si>
    <t>shar22ece@cmrit.ac.in</t>
  </si>
  <si>
    <t>shepa22ece@cmrit.ac.in</t>
  </si>
  <si>
    <t>shika22ece@cmrit.ac.in</t>
  </si>
  <si>
    <t>sidp22ece@cmrit.ac.in</t>
  </si>
  <si>
    <t>sonve22ece@cmrit.ac.in</t>
  </si>
  <si>
    <t>sowj22ece@cmrit.ac.in</t>
  </si>
  <si>
    <t>suhnk22ece@cmrit.ac.in</t>
  </si>
  <si>
    <t>sujku22ece@cmrit.ac.in</t>
  </si>
  <si>
    <t>suji22ece@cmrit.ac.in</t>
  </si>
  <si>
    <t>supkg22ece@cmrit.ac.in</t>
  </si>
  <si>
    <t>swat22ece@cmrit.ac.in</t>
  </si>
  <si>
    <t>vamre22ece@cmrit.ac.in</t>
  </si>
  <si>
    <t>venk22ece@cmrit.ac.in</t>
  </si>
  <si>
    <t>vibpa22ece@cmrit.ac.in</t>
  </si>
  <si>
    <t>vinpa22ece@cmrit.ac.in</t>
  </si>
  <si>
    <t>wahma22ece@cmrit.ac.in</t>
  </si>
  <si>
    <t>yass22ece@cmrit.ac.in</t>
  </si>
  <si>
    <t>rakr22ece@cmrit.ac.in</t>
  </si>
  <si>
    <t>CR23AD101</t>
  </si>
  <si>
    <t xml:space="preserve">Email </t>
  </si>
  <si>
    <t>USN (Keep data in Ascending order)</t>
  </si>
  <si>
    <t>Hackathon name and prize details</t>
  </si>
  <si>
    <t>As per PAN Card or 10th Marks card</t>
  </si>
  <si>
    <t>Saloni Malhotra</t>
  </si>
  <si>
    <t>36 Hour National-Level Hackathon – HackFest 2025, RS.10,000</t>
  </si>
  <si>
    <t>Shraddha Jambagi</t>
  </si>
  <si>
    <t>Shruthi Ganapathy</t>
  </si>
  <si>
    <t>2024-25 (2nd year)</t>
  </si>
  <si>
    <t>Muhammed Fayas</t>
  </si>
  <si>
    <t>0</t>
  </si>
  <si>
    <t>Detained</t>
  </si>
  <si>
    <t>Leni Khadka(DETAINED)</t>
  </si>
  <si>
    <t>KIRTHANA S(DETAINED)</t>
  </si>
  <si>
    <t>SHUBHANK SHUKLA(DETAINED)</t>
  </si>
  <si>
    <t>Tezus Panjiyar(DETAINED)</t>
  </si>
  <si>
    <t>Shifted to ISE</t>
  </si>
  <si>
    <t>CHINMAYI KIRAN(SHIFTED TO ISE)</t>
  </si>
  <si>
    <t>2</t>
  </si>
  <si>
    <t>P R Harsha Reddy(DETAINED)</t>
  </si>
  <si>
    <t>Year Back</t>
  </si>
  <si>
    <t>DEEPAK BASHYAL</t>
  </si>
  <si>
    <t>ISHAAN NAYAK</t>
  </si>
  <si>
    <t>SEVVAKULURU RADHAKRISHNA TEJSAI</t>
  </si>
  <si>
    <t>SHASHANK S REDDY</t>
  </si>
  <si>
    <t>VIKASH KUMAR</t>
  </si>
  <si>
    <t>VIVAN AKASH BEERE</t>
  </si>
  <si>
    <t>MIR RAQUIB RAZA</t>
  </si>
  <si>
    <t>P GIRIDHAR PRABHU</t>
  </si>
  <si>
    <t>Readmitting in next year</t>
  </si>
  <si>
    <t xml:space="preserve">Lost eligibility </t>
  </si>
  <si>
    <t xml:space="preserve">SRISTI PURKAYASTHA </t>
  </si>
  <si>
    <t>Discontinued</t>
  </si>
  <si>
    <t>currently in 4 sem AY 2025-26</t>
  </si>
  <si>
    <t xml:space="preserve">REENA C THOMAS </t>
  </si>
  <si>
    <t xml:space="preserve">ROSHAN JOSHI </t>
  </si>
  <si>
    <t>+977-9806475447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</si>
</sst>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9">
    <font>
      <sz val="10.0"/>
      <color rgb="FF000000"/>
      <name val="Arial"/>
      <scheme val="minor"/>
    </font>
    <font>
      <b/>
      <sz val="12.0"/>
      <color theme="1"/>
      <name val="Nunito"/>
    </font>
    <font>
      <sz val="12.0"/>
      <color theme="1"/>
      <name val="Nunito"/>
    </font>
    <font>
      <color theme="1"/>
      <name val="Arial"/>
    </font>
    <font>
      <b/>
      <sz val="12.0"/>
      <color rgb="FFCC0000"/>
      <name val="Nunito"/>
    </font>
    <font>
      <sz val="12.0"/>
      <color theme="1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i/>
      <sz val="11.0"/>
      <color rgb="FF393939"/>
      <name val="Roboto"/>
    </font>
    <font>
      <color theme="1"/>
      <name val="Calibri"/>
    </font>
    <font>
      <color rgb="FF000000"/>
      <name val="Arial"/>
    </font>
    <font>
      <b/>
      <sz val="10.0"/>
      <color theme="1"/>
      <name val="Arial"/>
      <scheme val="minor"/>
    </font>
    <font>
      <b/>
      <color theme="1"/>
      <name val="Arial"/>
    </font>
    <font>
      <sz val="10.0"/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Arial"/>
      <scheme val="minor"/>
    </font>
    <font>
      <sz val="11.0"/>
      <color rgb="FF333333"/>
      <name val="Calibri"/>
    </font>
    <font>
      <i/>
      <sz val="11.0"/>
      <color theme="1"/>
      <name val="Calibri"/>
    </font>
    <font>
      <sz val="11.0"/>
      <color rgb="FF222222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11.0"/>
      <color rgb="FF000000"/>
      <name val="Nunito"/>
    </font>
    <font>
      <b/>
      <sz val="11.0"/>
      <color theme="1"/>
      <name val="Nunito"/>
    </font>
    <font/>
    <font>
      <sz val="11.0"/>
      <color theme="1"/>
      <name val="Nunito"/>
    </font>
    <font>
      <b/>
      <sz val="9.0"/>
      <color theme="1"/>
      <name val="Nunito"/>
    </font>
    <font>
      <b/>
      <sz val="11.0"/>
      <color rgb="FFFFE599"/>
      <name val="Nunito"/>
    </font>
    <font>
      <b/>
      <sz val="11.0"/>
      <color rgb="FFFFFFFF"/>
      <name val="Nunito"/>
    </font>
    <font>
      <sz val="11.0"/>
      <color rgb="FF000000"/>
      <name val="Nunito"/>
    </font>
    <font>
      <b/>
      <sz val="16.0"/>
      <color theme="1"/>
      <name val="Arial"/>
    </font>
    <font>
      <color rgb="FF434343"/>
      <name val="Roboto"/>
    </font>
    <font>
      <color rgb="FF222222"/>
      <name val="Tahoma"/>
    </font>
    <font>
      <color rgb="FF000000"/>
      <name val="Tahoma"/>
    </font>
    <font>
      <b/>
      <u/>
      <sz val="11.0"/>
      <color rgb="FF0000FF"/>
      <name val="Nunito"/>
    </font>
    <font>
      <sz val="11.0"/>
      <color rgb="FF1F1F1F"/>
      <name val="Calibri"/>
    </font>
    <font>
      <color rgb="FF333333"/>
      <name val="Calibri"/>
    </font>
    <font>
      <sz val="11.0"/>
      <color rgb="FF333333"/>
      <name val="Nunito"/>
    </font>
    <font>
      <sz val="11.0"/>
      <color rgb="FF222222"/>
      <name val="Nunito"/>
    </font>
    <font>
      <sz val="11.0"/>
      <color rgb="FFFF0000"/>
      <name val="Nunito"/>
    </font>
    <font>
      <i/>
      <sz val="11.0"/>
      <color theme="1"/>
      <name val="Nunito"/>
    </font>
    <font>
      <b/>
      <u/>
      <sz val="12.0"/>
      <color rgb="FF0000FF"/>
      <name val="Calibri"/>
    </font>
    <font>
      <b/>
      <sz val="12.0"/>
      <color theme="1"/>
      <name val="Calibri"/>
    </font>
    <font>
      <sz val="12.0"/>
      <color theme="1"/>
      <name val="Calibri"/>
    </font>
    <font>
      <b/>
      <sz val="12.0"/>
      <color rgb="FFFFE599"/>
      <name val="Calibri"/>
    </font>
    <font>
      <b/>
      <sz val="12.0"/>
      <color rgb="FFFFFFFF"/>
      <name val="Calibri"/>
    </font>
    <font>
      <sz val="12.0"/>
      <color rgb="FF000000"/>
      <name val="Calibri"/>
    </font>
    <font>
      <sz val="12.0"/>
      <color rgb="FF333333"/>
      <name val="Calibri"/>
    </font>
    <font>
      <sz val="12.0"/>
      <color rgb="FF222222"/>
      <name val="Calibri"/>
    </font>
    <font>
      <sz val="12.0"/>
      <color rgb="FFFF0000"/>
      <name val="Calibri"/>
    </font>
    <font>
      <color rgb="FFFFFFFF"/>
      <name val="Arial"/>
    </font>
    <font>
      <color rgb="FF222222"/>
      <name val="Arial"/>
    </font>
    <font>
      <color rgb="FF000000"/>
      <name val="Calibri"/>
    </font>
    <font>
      <sz val="9.0"/>
      <color rgb="FF000000"/>
      <name val="Arial"/>
    </font>
    <font>
      <sz val="11.0"/>
      <color rgb="FF202124"/>
      <name val="Calibri"/>
    </font>
    <font>
      <sz val="9.0"/>
      <color rgb="FF000000"/>
      <name val="&quot;Google Sans Mono&quot;"/>
    </font>
    <font>
      <b/>
      <color theme="1"/>
      <name val="Nunito"/>
    </font>
    <font>
      <color theme="1"/>
      <name val="Nunito"/>
    </font>
    <font>
      <sz val="11.0"/>
      <color theme="1"/>
      <name val="Arial"/>
    </font>
    <font>
      <sz val="11.0"/>
      <color rgb="FF666666"/>
      <name val="Calibri"/>
    </font>
  </fonts>
  <fills count="2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D9E6FC"/>
        <bgColor rgb="FFD9E6FC"/>
      </patternFill>
    </fill>
    <fill>
      <patternFill patternType="solid">
        <fgColor rgb="FFB6D7A8"/>
        <bgColor rgb="FFB6D7A8"/>
      </patternFill>
    </fill>
    <fill>
      <patternFill patternType="solid">
        <fgColor theme="9"/>
        <bgColor theme="9"/>
      </patternFill>
    </fill>
    <fill>
      <patternFill patternType="solid">
        <fgColor rgb="FFFFD966"/>
        <bgColor rgb="FFFFD966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  <fill>
      <patternFill patternType="solid">
        <fgColor rgb="FFA4C2F4"/>
        <bgColor rgb="FFA4C2F4"/>
      </patternFill>
    </fill>
    <fill>
      <patternFill patternType="solid">
        <fgColor rgb="FFF8F9FA"/>
        <bgColor rgb="FFF8F9FA"/>
      </patternFill>
    </fill>
    <fill>
      <patternFill patternType="solid">
        <fgColor rgb="FFF0F8FF"/>
        <bgColor rgb="FFF0F8FF"/>
      </patternFill>
    </fill>
    <fill>
      <patternFill patternType="solid">
        <fgColor rgb="FF46BDC6"/>
        <bgColor rgb="FF46BDC6"/>
      </patternFill>
    </fill>
    <fill>
      <patternFill patternType="solid">
        <fgColor rgb="FF4DD0E1"/>
        <bgColor rgb="FF4DD0E1"/>
      </patternFill>
    </fill>
    <fill>
      <patternFill patternType="solid">
        <fgColor rgb="FFDAF1F3"/>
        <bgColor rgb="FFDAF1F3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F7CB4D"/>
        <bgColor rgb="FFF7CB4D"/>
      </patternFill>
    </fill>
    <fill>
      <patternFill patternType="solid">
        <fgColor rgb="FFE0F7FA"/>
        <bgColor rgb="FFE0F7FA"/>
      </patternFill>
    </fill>
    <fill>
      <patternFill patternType="solid">
        <fgColor rgb="FFEA9999"/>
        <bgColor rgb="FFEA9999"/>
      </patternFill>
    </fill>
  </fills>
  <borders count="3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top style="thin">
        <color rgb="FF000000"/>
      </top>
      <bottom style="thin">
        <color rgb="FFFFFFFF"/>
      </bottom>
    </border>
    <border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top style="thin">
        <color rgb="FF000000"/>
      </top>
    </border>
    <border>
      <right style="thin">
        <color rgb="FFFFFFFF"/>
      </right>
      <top style="thin">
        <color rgb="FF000000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  <border>
      <right style="thin">
        <color rgb="FFFFFFFF"/>
      </right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bottom style="thin">
        <color rgb="FF000000"/>
      </bottom>
    </border>
    <border>
      <left style="thin">
        <color rgb="FFF8F9FA"/>
      </left>
      <top style="thin">
        <color rgb="FFF8F9FA"/>
      </top>
      <bottom style="thin">
        <color rgb="FFF8F9FA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6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7" numFmtId="0" xfId="0" applyFont="1"/>
    <xf borderId="0" fillId="2" fontId="8" numFmtId="0" xfId="0" applyAlignment="1" applyFill="1" applyFont="1">
      <alignment readingOrder="0"/>
    </xf>
    <xf borderId="0" fillId="3" fontId="7" numFmtId="0" xfId="0" applyAlignment="1" applyFill="1" applyFont="1">
      <alignment readingOrder="0"/>
    </xf>
    <xf borderId="0" fillId="3" fontId="7" numFmtId="0" xfId="0" applyFont="1"/>
    <xf borderId="0" fillId="2" fontId="7" numFmtId="0" xfId="0" applyAlignment="1" applyFont="1">
      <alignment readingOrder="0"/>
    </xf>
    <xf borderId="1" fillId="2" fontId="6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readingOrder="0" vertical="top"/>
    </xf>
    <xf borderId="1" fillId="0" fontId="9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vertical="bottom"/>
    </xf>
    <xf borderId="1" fillId="0" fontId="10" numFmtId="0" xfId="0" applyAlignment="1" applyBorder="1" applyFont="1">
      <alignment horizontal="center" readingOrder="0" shrinkToFit="0" vertical="bottom" wrapText="0"/>
    </xf>
    <xf borderId="2" fillId="0" fontId="10" numFmtId="0" xfId="0" applyAlignment="1" applyBorder="1" applyFont="1">
      <alignment horizontal="center" readingOrder="0" shrinkToFit="0" vertical="bottom" wrapText="0"/>
    </xf>
    <xf borderId="1" fillId="4" fontId="3" numFmtId="0" xfId="0" applyAlignment="1" applyBorder="1" applyFill="1" applyFont="1">
      <alignment vertical="bottom"/>
    </xf>
    <xf borderId="2" fillId="4" fontId="10" numFmtId="0" xfId="0" applyAlignment="1" applyBorder="1" applyFont="1">
      <alignment horizontal="center" readingOrder="0" shrinkToFit="0" vertical="bottom" wrapText="0"/>
    </xf>
    <xf borderId="1" fillId="0" fontId="10" numFmtId="0" xfId="0" applyAlignment="1" applyBorder="1" applyFont="1">
      <alignment readingOrder="0" shrinkToFit="0" vertical="bottom" wrapText="0"/>
    </xf>
    <xf borderId="2" fillId="0" fontId="10" numFmtId="0" xfId="0" applyAlignment="1" applyBorder="1" applyFont="1">
      <alignment readingOrder="0" shrinkToFit="0" vertical="bottom" wrapText="0"/>
    </xf>
    <xf borderId="2" fillId="4" fontId="10" numFmtId="0" xfId="0" applyAlignment="1" applyBorder="1" applyFont="1">
      <alignment readingOrder="0" shrinkToFit="0" vertical="bottom" wrapText="0"/>
    </xf>
    <xf borderId="2" fillId="3" fontId="10" numFmtId="0" xfId="0" applyAlignment="1" applyBorder="1" applyFon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0" numFmtId="0" xfId="0" applyAlignment="1" applyFont="1">
      <alignment horizontal="center" readingOrder="0" shrinkToFit="0" vertical="bottom" wrapText="0"/>
    </xf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1" fillId="0" fontId="13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1" fillId="2" fontId="13" numFmtId="0" xfId="0" applyAlignment="1" applyBorder="1" applyFont="1">
      <alignment horizontal="center" vertical="bottom"/>
    </xf>
    <xf borderId="0" fillId="4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13" numFmtId="0" xfId="0" applyAlignment="1" applyFont="1">
      <alignment vertical="bottom"/>
    </xf>
    <xf borderId="0" fillId="2" fontId="1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1" fillId="2" fontId="14" numFmtId="0" xfId="0" applyAlignment="1" applyBorder="1" applyFont="1">
      <alignment horizontal="center" vertical="bottom"/>
    </xf>
    <xf borderId="1" fillId="2" fontId="7" numFmtId="0" xfId="0" applyAlignment="1" applyBorder="1" applyFont="1">
      <alignment horizontal="center" vertical="bottom"/>
    </xf>
    <xf borderId="1" fillId="2" fontId="15" numFmtId="0" xfId="0" applyAlignment="1" applyBorder="1" applyFont="1">
      <alignment horizontal="center" vertical="bottom"/>
    </xf>
    <xf borderId="1" fillId="2" fontId="7" numFmtId="0" xfId="0" applyAlignment="1" applyBorder="1" applyFont="1">
      <alignment horizontal="center" readingOrder="0" vertical="bottom"/>
    </xf>
    <xf borderId="1" fillId="2" fontId="15" numFmtId="0" xfId="0" applyAlignment="1" applyBorder="1" applyFont="1">
      <alignment horizontal="center" vertical="top"/>
    </xf>
    <xf borderId="1" fillId="0" fontId="6" numFmtId="0" xfId="0" applyAlignment="1" applyBorder="1" applyFont="1">
      <alignment vertical="bottom"/>
    </xf>
    <xf borderId="3" fillId="0" fontId="16" numFmtId="0" xfId="0" applyAlignment="1" applyBorder="1" applyFont="1">
      <alignment shrinkToFit="0" vertical="bottom" wrapText="1"/>
    </xf>
    <xf borderId="2" fillId="0" fontId="6" numFmtId="0" xfId="0" applyAlignment="1" applyBorder="1" applyFont="1">
      <alignment vertical="bottom"/>
    </xf>
    <xf borderId="4" fillId="2" fontId="16" numFmtId="0" xfId="0" applyAlignment="1" applyBorder="1" applyFont="1">
      <alignment shrinkToFit="0" vertical="bottom" wrapText="1"/>
    </xf>
    <xf borderId="2" fillId="2" fontId="6" numFmtId="0" xfId="0" applyAlignment="1" applyBorder="1" applyFont="1">
      <alignment vertical="bottom"/>
    </xf>
    <xf borderId="2" fillId="5" fontId="6" numFmtId="0" xfId="0" applyAlignment="1" applyBorder="1" applyFill="1" applyFont="1">
      <alignment vertical="bottom"/>
    </xf>
    <xf borderId="2" fillId="0" fontId="6" numFmtId="0" xfId="0" applyAlignment="1" applyBorder="1" applyFont="1">
      <alignment readingOrder="0" vertical="bottom"/>
    </xf>
    <xf borderId="2" fillId="0" fontId="3" numFmtId="0" xfId="0" applyAlignment="1" applyBorder="1" applyFont="1">
      <alignment vertical="bottom"/>
    </xf>
    <xf borderId="2" fillId="0" fontId="9" numFmtId="0" xfId="0" applyAlignment="1" applyBorder="1" applyFont="1">
      <alignment vertical="bottom"/>
    </xf>
    <xf borderId="4" fillId="2" fontId="16" numFmtId="0" xfId="0" applyAlignment="1" applyBorder="1" applyFont="1">
      <alignment vertical="bottom"/>
    </xf>
    <xf borderId="2" fillId="4" fontId="6" numFmtId="0" xfId="0" applyAlignment="1" applyBorder="1" applyFont="1">
      <alignment vertical="bottom"/>
    </xf>
    <xf borderId="2" fillId="2" fontId="17" numFmtId="0" xfId="0" applyAlignment="1" applyBorder="1" applyFont="1">
      <alignment vertical="bottom"/>
    </xf>
    <xf borderId="4" fillId="2" fontId="16" numFmtId="0" xfId="0" applyAlignment="1" applyBorder="1" applyFont="1">
      <alignment readingOrder="0" shrinkToFit="0" vertical="bottom" wrapText="1"/>
    </xf>
    <xf borderId="2" fillId="5" fontId="18" numFmtId="0" xfId="0" applyAlignment="1" applyBorder="1" applyFont="1">
      <alignment vertical="bottom"/>
    </xf>
    <xf borderId="2" fillId="2" fontId="6" numFmtId="0" xfId="0" applyAlignment="1" applyBorder="1" applyFont="1">
      <alignment readingOrder="0" vertical="bottom"/>
    </xf>
    <xf borderId="2" fillId="2" fontId="6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readingOrder="0"/>
    </xf>
    <xf borderId="1" fillId="6" fontId="19" numFmtId="0" xfId="0" applyAlignment="1" applyBorder="1" applyFill="1" applyFont="1">
      <alignment horizontal="center" readingOrder="0" vertical="bottom"/>
    </xf>
    <xf borderId="4" fillId="2" fontId="16" numFmtId="0" xfId="0" applyAlignment="1" applyBorder="1" applyFont="1">
      <alignment readingOrder="0" vertical="bottom"/>
    </xf>
    <xf borderId="2" fillId="0" fontId="20" numFmtId="0" xfId="0" applyAlignment="1" applyBorder="1" applyFont="1">
      <alignment horizontal="right" readingOrder="0" shrinkToFit="0" vertical="bottom" wrapText="0"/>
    </xf>
    <xf borderId="1" fillId="0" fontId="20" numFmtId="0" xfId="0" applyAlignment="1" applyBorder="1" applyFont="1">
      <alignment horizontal="right" readingOrder="0" shrinkToFit="0" vertical="bottom" wrapText="0"/>
    </xf>
    <xf borderId="1" fillId="0" fontId="21" numFmtId="0" xfId="0" applyAlignment="1" applyBorder="1" applyFont="1">
      <alignment horizontal="left" readingOrder="0" shrinkToFit="0" vertical="center" wrapText="1"/>
    </xf>
    <xf borderId="1" fillId="0" fontId="22" numFmtId="0" xfId="0" applyAlignment="1" applyBorder="1" applyFont="1">
      <alignment horizontal="left" readingOrder="0" shrinkToFit="0" vertical="center" wrapText="1"/>
    </xf>
    <xf borderId="5" fillId="0" fontId="22" numFmtId="0" xfId="0" applyAlignment="1" applyBorder="1" applyFont="1">
      <alignment horizontal="center" readingOrder="0" shrinkToFit="0" vertical="center" wrapText="1"/>
    </xf>
    <xf borderId="1" fillId="0" fontId="22" numFmtId="0" xfId="0" applyAlignment="1" applyBorder="1" applyFont="1">
      <alignment horizontal="center" readingOrder="0" vertical="center"/>
    </xf>
    <xf borderId="5" fillId="0" fontId="22" numFmtId="0" xfId="0" applyAlignment="1" applyBorder="1" applyFont="1">
      <alignment horizontal="center" readingOrder="0" vertical="center"/>
    </xf>
    <xf borderId="6" fillId="7" fontId="22" numFmtId="0" xfId="0" applyAlignment="1" applyBorder="1" applyFill="1" applyFont="1">
      <alignment horizontal="center" readingOrder="0" shrinkToFit="0" vertical="center" wrapText="1"/>
    </xf>
    <xf borderId="7" fillId="0" fontId="23" numFmtId="0" xfId="0" applyBorder="1" applyFont="1"/>
    <xf borderId="3" fillId="0" fontId="23" numFmtId="0" xfId="0" applyBorder="1" applyFont="1"/>
    <xf borderId="6" fillId="8" fontId="22" numFmtId="0" xfId="0" applyAlignment="1" applyBorder="1" applyFill="1" applyFont="1">
      <alignment horizontal="center" readingOrder="0" vertical="center"/>
    </xf>
    <xf borderId="6" fillId="9" fontId="22" numFmtId="0" xfId="0" applyAlignment="1" applyBorder="1" applyFill="1" applyFont="1">
      <alignment horizontal="center" readingOrder="0" vertical="center"/>
    </xf>
    <xf borderId="1" fillId="9" fontId="22" numFmtId="0" xfId="0" applyAlignment="1" applyBorder="1" applyFont="1">
      <alignment horizontal="center" readingOrder="0" vertical="center"/>
    </xf>
    <xf borderId="6" fillId="10" fontId="22" numFmtId="0" xfId="0" applyAlignment="1" applyBorder="1" applyFill="1" applyFont="1">
      <alignment horizontal="center" readingOrder="0" vertical="center"/>
    </xf>
    <xf borderId="6" fillId="11" fontId="22" numFmtId="0" xfId="0" applyAlignment="1" applyBorder="1" applyFill="1" applyFont="1">
      <alignment horizontal="center" readingOrder="0" vertical="center"/>
    </xf>
    <xf borderId="0" fillId="0" fontId="22" numFmtId="0" xfId="0" applyAlignment="1" applyFont="1">
      <alignment horizontal="center" readingOrder="0" vertical="center"/>
    </xf>
    <xf borderId="8" fillId="12" fontId="24" numFmtId="0" xfId="0" applyAlignment="1" applyBorder="1" applyFill="1" applyFont="1">
      <alignment horizontal="center" shrinkToFit="0" wrapText="1"/>
    </xf>
    <xf borderId="8" fillId="12" fontId="24" numFmtId="0" xfId="0" applyAlignment="1" applyBorder="1" applyFont="1">
      <alignment horizontal="center"/>
    </xf>
    <xf borderId="0" fillId="0" fontId="24" numFmtId="0" xfId="0" applyFont="1"/>
    <xf borderId="2" fillId="0" fontId="23" numFmtId="0" xfId="0" applyBorder="1" applyFont="1"/>
    <xf borderId="1" fillId="7" fontId="22" numFmtId="0" xfId="0" applyAlignment="1" applyBorder="1" applyFont="1">
      <alignment horizontal="center" readingOrder="0" shrinkToFit="0" vertical="center" wrapText="1"/>
    </xf>
    <xf borderId="1" fillId="8" fontId="22" numFmtId="0" xfId="0" applyAlignment="1" applyBorder="1" applyFont="1">
      <alignment horizontal="center" readingOrder="0" shrinkToFit="0" vertical="center" wrapText="1"/>
    </xf>
    <xf borderId="1" fillId="9" fontId="22" numFmtId="0" xfId="0" applyAlignment="1" applyBorder="1" applyFont="1">
      <alignment horizontal="center" readingOrder="0" shrinkToFit="0" vertical="center" wrapText="1"/>
    </xf>
    <xf borderId="1" fillId="10" fontId="22" numFmtId="0" xfId="0" applyAlignment="1" applyBorder="1" applyFont="1">
      <alignment horizontal="center" readingOrder="0" shrinkToFit="0" vertical="center" wrapText="1"/>
    </xf>
    <xf borderId="5" fillId="11" fontId="22" numFmtId="0" xfId="0" applyAlignment="1" applyBorder="1" applyFont="1">
      <alignment horizontal="center" readingOrder="0" shrinkToFit="0" vertical="center" wrapText="1"/>
    </xf>
    <xf borderId="0" fillId="11" fontId="25" numFmtId="0" xfId="0" applyAlignment="1" applyFont="1">
      <alignment horizontal="center" readingOrder="0" shrinkToFit="0" vertical="center" wrapText="1"/>
    </xf>
    <xf borderId="8" fillId="12" fontId="24" numFmtId="0" xfId="0" applyAlignment="1" applyBorder="1" applyFont="1">
      <alignment horizontal="center" shrinkToFit="0" wrapText="1"/>
    </xf>
    <xf borderId="1" fillId="13" fontId="26" numFmtId="0" xfId="0" applyAlignment="1" applyBorder="1" applyFill="1" applyFont="1">
      <alignment readingOrder="0" vertical="bottom"/>
    </xf>
    <xf borderId="6" fillId="13" fontId="26" numFmtId="0" xfId="0" applyAlignment="1" applyBorder="1" applyFont="1">
      <alignment readingOrder="0" vertical="bottom"/>
    </xf>
    <xf borderId="6" fillId="13" fontId="24" numFmtId="0" xfId="0" applyAlignment="1" applyBorder="1" applyFont="1">
      <alignment horizontal="center" readingOrder="0"/>
    </xf>
    <xf borderId="1" fillId="13" fontId="27" numFmtId="0" xfId="0" applyAlignment="1" applyBorder="1" applyFont="1">
      <alignment horizontal="center" readingOrder="0" vertical="bottom"/>
    </xf>
    <xf borderId="0" fillId="13" fontId="27" numFmtId="0" xfId="0" applyAlignment="1" applyFont="1">
      <alignment horizontal="center" readingOrder="0" vertical="bottom"/>
    </xf>
    <xf borderId="9" fillId="13" fontId="27" numFmtId="0" xfId="0" applyAlignment="1" applyBorder="1" applyFont="1">
      <alignment horizontal="center" readingOrder="0" vertical="bottom"/>
    </xf>
    <xf borderId="9" fillId="13" fontId="27" numFmtId="0" xfId="0" applyAlignment="1" applyBorder="1" applyFont="1">
      <alignment horizontal="center" vertical="bottom"/>
    </xf>
    <xf borderId="10" fillId="13" fontId="27" numFmtId="0" xfId="0" applyAlignment="1" applyBorder="1" applyFont="1">
      <alignment horizontal="center" vertical="bottom"/>
    </xf>
    <xf borderId="0" fillId="0" fontId="24" numFmtId="0" xfId="0" applyAlignment="1" applyFont="1">
      <alignment horizontal="center" readingOrder="0" vertical="center"/>
    </xf>
    <xf borderId="0" fillId="12" fontId="3" numFmtId="0" xfId="0" applyFont="1"/>
    <xf borderId="1" fillId="13" fontId="27" numFmtId="0" xfId="0" applyAlignment="1" applyBorder="1" applyFont="1">
      <alignment horizontal="center"/>
    </xf>
    <xf borderId="1" fillId="13" fontId="27" numFmtId="0" xfId="0" applyAlignment="1" applyBorder="1" applyFont="1">
      <alignment horizontal="center" readingOrder="0"/>
    </xf>
    <xf borderId="0" fillId="13" fontId="27" numFmtId="0" xfId="0" applyAlignment="1" applyFont="1">
      <alignment horizontal="center" readingOrder="0"/>
    </xf>
    <xf borderId="9" fillId="13" fontId="27" numFmtId="0" xfId="0" applyAlignment="1" applyBorder="1" applyFont="1">
      <alignment horizontal="center" readingOrder="0"/>
    </xf>
    <xf borderId="1" fillId="13" fontId="27" numFmtId="0" xfId="0" applyAlignment="1" applyBorder="1" applyFont="1">
      <alignment horizontal="center"/>
    </xf>
    <xf borderId="9" fillId="13" fontId="27" numFmtId="0" xfId="0" applyAlignment="1" applyBorder="1" applyFont="1">
      <alignment horizontal="center"/>
    </xf>
    <xf borderId="10" fillId="13" fontId="27" numFmtId="0" xfId="0" applyAlignment="1" applyBorder="1" applyFont="1">
      <alignment horizontal="center" vertical="bottom"/>
    </xf>
    <xf borderId="1" fillId="2" fontId="6" numFmtId="0" xfId="0" applyAlignment="1" applyBorder="1" applyFont="1">
      <alignment readingOrder="0"/>
    </xf>
    <xf borderId="1" fillId="2" fontId="6" numFmtId="0" xfId="0" applyBorder="1" applyFont="1"/>
    <xf borderId="1" fillId="2" fontId="6" numFmtId="0" xfId="0" applyAlignment="1" applyBorder="1" applyFont="1">
      <alignment horizontal="center"/>
    </xf>
    <xf borderId="1" fillId="0" fontId="24" numFmtId="0" xfId="0" applyAlignment="1" applyBorder="1" applyFont="1">
      <alignment horizontal="center" readingOrder="0"/>
    </xf>
    <xf borderId="1" fillId="0" fontId="24" numFmtId="0" xfId="0" applyBorder="1" applyFont="1"/>
    <xf borderId="1" fillId="0" fontId="6" numFmtId="0" xfId="0" applyAlignment="1" applyBorder="1" applyFont="1">
      <alignment horizontal="center"/>
    </xf>
    <xf borderId="1" fillId="7" fontId="24" numFmtId="0" xfId="0" applyAlignment="1" applyBorder="1" applyFont="1">
      <alignment horizontal="center" readingOrder="0"/>
    </xf>
    <xf borderId="1" fillId="8" fontId="24" numFmtId="0" xfId="0" applyAlignment="1" applyBorder="1" applyFont="1">
      <alignment horizontal="center" readingOrder="0" vertical="center"/>
    </xf>
    <xf borderId="1" fillId="8" fontId="24" numFmtId="1" xfId="0" applyAlignment="1" applyBorder="1" applyFont="1" applyNumberFormat="1">
      <alignment horizontal="center" readingOrder="0" vertical="center"/>
    </xf>
    <xf borderId="1" fillId="9" fontId="24" numFmtId="0" xfId="0" applyAlignment="1" applyBorder="1" applyFont="1">
      <alignment horizontal="center" readingOrder="0" vertical="center"/>
    </xf>
    <xf borderId="1" fillId="10" fontId="28" numFmtId="0" xfId="0" applyAlignment="1" applyBorder="1" applyFont="1">
      <alignment horizontal="center" readingOrder="0" shrinkToFit="0" vertical="bottom" wrapText="0"/>
    </xf>
    <xf borderId="1" fillId="10" fontId="24" numFmtId="0" xfId="0" applyAlignment="1" applyBorder="1" applyFont="1">
      <alignment horizontal="center" readingOrder="0" vertical="center"/>
    </xf>
    <xf borderId="1" fillId="10" fontId="24" numFmtId="0" xfId="0" applyAlignment="1" applyBorder="1" applyFont="1">
      <alignment horizontal="center" vertical="center"/>
    </xf>
    <xf borderId="1" fillId="0" fontId="29" numFmtId="0" xfId="0" applyAlignment="1" applyBorder="1" applyFont="1">
      <alignment horizontal="right" vertical="bottom"/>
    </xf>
    <xf borderId="3" fillId="2" fontId="16" numFmtId="0" xfId="0" applyAlignment="1" applyBorder="1" applyFont="1">
      <alignment horizontal="center" readingOrder="0" vertical="bottom"/>
    </xf>
    <xf borderId="0" fillId="11" fontId="24" numFmtId="0" xfId="0" applyAlignment="1" applyFont="1">
      <alignment horizontal="center" readingOrder="0" vertical="center"/>
    </xf>
    <xf borderId="0" fillId="11" fontId="24" numFmtId="0" xfId="0" applyAlignment="1" applyFont="1">
      <alignment horizontal="center" vertical="center"/>
    </xf>
    <xf borderId="0" fillId="0" fontId="24" numFmtId="0" xfId="0" applyAlignment="1" applyFont="1">
      <alignment horizontal="center" vertical="center"/>
    </xf>
    <xf borderId="0" fillId="12" fontId="24" numFmtId="0" xfId="0" applyAlignment="1" applyFont="1">
      <alignment horizontal="center" vertical="bottom"/>
    </xf>
    <xf borderId="0" fillId="12" fontId="24" numFmtId="0" xfId="0" applyAlignment="1" applyFont="1">
      <alignment horizontal="center"/>
    </xf>
    <xf borderId="1" fillId="2" fontId="6" numFmtId="11" xfId="0" applyAlignment="1" applyBorder="1" applyFont="1" applyNumberFormat="1">
      <alignment horizontal="center"/>
    </xf>
    <xf borderId="4" fillId="2" fontId="16" numFmtId="0" xfId="0" applyAlignment="1" applyBorder="1" applyFont="1">
      <alignment horizontal="center" readingOrder="0" vertical="bottom"/>
    </xf>
    <xf borderId="1" fillId="2" fontId="6" numFmtId="0" xfId="0" applyAlignment="1" applyBorder="1" applyFont="1">
      <alignment readingOrder="0" vertical="bottom"/>
    </xf>
    <xf borderId="1" fillId="2" fontId="6" numFmtId="0" xfId="0" applyAlignment="1" applyBorder="1" applyFont="1">
      <alignment vertical="bottom"/>
    </xf>
    <xf borderId="1" fillId="2" fontId="6" numFmtId="0" xfId="0" applyAlignment="1" applyBorder="1" applyFont="1">
      <alignment horizontal="center" vertical="bottom"/>
    </xf>
    <xf borderId="1" fillId="3" fontId="6" numFmtId="0" xfId="0" applyBorder="1" applyFont="1"/>
    <xf borderId="1" fillId="2" fontId="18" numFmtId="0" xfId="0" applyBorder="1" applyFont="1"/>
    <xf borderId="1" fillId="0" fontId="6" numFmtId="0" xfId="0" applyAlignment="1" applyBorder="1" applyFont="1">
      <alignment horizontal="center" vertical="bottom"/>
    </xf>
    <xf borderId="1" fillId="2" fontId="6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vertical="bottom"/>
    </xf>
    <xf borderId="0" fillId="11" fontId="24" numFmtId="0" xfId="0" applyAlignment="1" applyFont="1">
      <alignment horizontal="center"/>
    </xf>
    <xf borderId="1" fillId="0" fontId="29" numFmtId="0" xfId="0" applyAlignment="1" applyBorder="1" applyFont="1">
      <alignment horizontal="right" readingOrder="0" vertical="bottom"/>
    </xf>
    <xf borderId="4" fillId="12" fontId="16" numFmtId="0" xfId="0" applyAlignment="1" applyBorder="1" applyFont="1">
      <alignment horizontal="center" readingOrder="0" vertical="bottom"/>
    </xf>
    <xf borderId="4" fillId="4" fontId="16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horizontal="center" vertical="bottom"/>
    </xf>
    <xf borderId="1" fillId="3" fontId="6" numFmtId="0" xfId="0" applyAlignment="1" applyBorder="1" applyFont="1">
      <alignment vertical="bottom"/>
    </xf>
    <xf borderId="1" fillId="4" fontId="6" numFmtId="0" xfId="0" applyAlignment="1" applyBorder="1" applyFont="1">
      <alignment horizontal="center"/>
    </xf>
    <xf borderId="1" fillId="14" fontId="6" numFmtId="0" xfId="0" applyAlignment="1" applyBorder="1" applyFill="1" applyFont="1">
      <alignment horizontal="center" readingOrder="0"/>
    </xf>
    <xf borderId="1" fillId="2" fontId="30" numFmtId="0" xfId="0" applyAlignment="1" applyBorder="1" applyFont="1">
      <alignment readingOrder="0" shrinkToFit="0" wrapText="0"/>
    </xf>
    <xf borderId="1" fillId="0" fontId="24" numFmtId="0" xfId="0" applyAlignment="1" applyBorder="1" applyFont="1">
      <alignment horizontal="left" readingOrder="0"/>
    </xf>
    <xf borderId="1" fillId="2" fontId="30" numFmtId="0" xfId="0" applyAlignment="1" applyBorder="1" applyFont="1">
      <alignment horizontal="center" shrinkToFit="0" wrapText="0"/>
    </xf>
    <xf borderId="0" fillId="0" fontId="24" numFmtId="0" xfId="0" applyAlignment="1" applyFont="1">
      <alignment horizontal="center" readingOrder="0"/>
    </xf>
    <xf borderId="0" fillId="0" fontId="3" numFmtId="0" xfId="0" applyFont="1"/>
    <xf borderId="4" fillId="10" fontId="20" numFmtId="0" xfId="0" applyAlignment="1" applyBorder="1" applyFont="1">
      <alignment horizontal="right" readingOrder="0" shrinkToFit="0" vertical="bottom" wrapText="0"/>
    </xf>
    <xf borderId="0" fillId="0" fontId="24" numFmtId="0" xfId="0" applyAlignment="1" applyFont="1">
      <alignment horizontal="center"/>
    </xf>
    <xf borderId="1" fillId="15" fontId="30" numFmtId="0" xfId="0" applyAlignment="1" applyBorder="1" applyFill="1" applyFont="1">
      <alignment shrinkToFit="0" wrapText="0"/>
    </xf>
    <xf borderId="1" fillId="15" fontId="30" numFmtId="0" xfId="0" applyAlignment="1" applyBorder="1" applyFont="1">
      <alignment horizontal="center" shrinkToFit="0" wrapText="0"/>
    </xf>
    <xf borderId="4" fillId="0" fontId="20" numFmtId="0" xfId="0" applyAlignment="1" applyBorder="1" applyFont="1">
      <alignment horizontal="right" readingOrder="0" shrinkToFit="0" vertical="bottom" wrapText="0"/>
    </xf>
    <xf borderId="1" fillId="2" fontId="30" numFmtId="0" xfId="0" applyAlignment="1" applyBorder="1" applyFont="1">
      <alignment shrinkToFit="0" wrapText="0"/>
    </xf>
    <xf borderId="1" fillId="0" fontId="28" numFmtId="0" xfId="0" applyAlignment="1" applyBorder="1" applyFont="1">
      <alignment horizontal="left" readingOrder="0" vertical="top"/>
    </xf>
    <xf borderId="1" fillId="15" fontId="30" numFmtId="0" xfId="0" applyAlignment="1" applyBorder="1" applyFont="1">
      <alignment readingOrder="0" shrinkToFit="0" wrapText="0"/>
    </xf>
    <xf borderId="0" fillId="0" fontId="3" numFmtId="0" xfId="0" applyAlignment="1" applyFont="1">
      <alignment readingOrder="0"/>
    </xf>
    <xf borderId="1" fillId="2" fontId="31" numFmtId="0" xfId="0" applyAlignment="1" applyBorder="1" applyFont="1">
      <alignment horizontal="center" shrinkToFit="0" wrapText="0"/>
    </xf>
    <xf borderId="1" fillId="16" fontId="31" numFmtId="0" xfId="0" applyAlignment="1" applyBorder="1" applyFill="1" applyFont="1">
      <alignment horizontal="center" shrinkToFit="0" wrapText="0"/>
    </xf>
    <xf borderId="1" fillId="2" fontId="32" numFmtId="0" xfId="0" applyAlignment="1" applyBorder="1" applyFont="1">
      <alignment horizontal="left" readingOrder="0"/>
    </xf>
    <xf borderId="1" fillId="2" fontId="32" numFmtId="0" xfId="0" applyAlignment="1" applyBorder="1" applyFont="1">
      <alignment horizontal="center" readingOrder="0"/>
    </xf>
    <xf borderId="5" fillId="2" fontId="6" numFmtId="0" xfId="0" applyAlignment="1" applyBorder="1" applyFont="1">
      <alignment readingOrder="0"/>
    </xf>
    <xf borderId="0" fillId="2" fontId="6" numFmtId="0" xfId="0" applyAlignment="1" applyFont="1">
      <alignment readingOrder="0"/>
    </xf>
    <xf borderId="0" fillId="0" fontId="28" numFmtId="0" xfId="0" applyAlignment="1" applyFont="1">
      <alignment horizontal="left" readingOrder="0" vertical="top"/>
    </xf>
    <xf borderId="0" fillId="0" fontId="24" numFmtId="0" xfId="0" applyAlignment="1" applyFont="1">
      <alignment readingOrder="0"/>
    </xf>
    <xf borderId="0" fillId="0" fontId="24" numFmtId="0" xfId="0" applyAlignment="1" applyFont="1">
      <alignment horizontal="left" readingOrder="0"/>
    </xf>
    <xf borderId="1" fillId="0" fontId="12" numFmtId="0" xfId="0" applyAlignment="1" applyBorder="1" applyFont="1">
      <alignment horizontal="center" vertical="bottom"/>
    </xf>
    <xf borderId="1" fillId="0" fontId="12" numFmtId="1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1" xfId="0" applyAlignment="1" applyBorder="1" applyFont="1" applyNumberFormat="1">
      <alignment horizontal="center" vertical="bottom"/>
    </xf>
    <xf borderId="1" fillId="0" fontId="3" numFmtId="1" xfId="0" applyAlignment="1" applyBorder="1" applyFont="1" applyNumberFormat="1">
      <alignment horizontal="center" readingOrder="0" vertical="bottom"/>
    </xf>
    <xf borderId="1" fillId="0" fontId="3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1" xfId="0" applyAlignment="1" applyFont="1" applyNumberFormat="1">
      <alignment horizontal="center" vertical="bottom"/>
    </xf>
    <xf borderId="0" fillId="0" fontId="33" numFmtId="0" xfId="0" applyAlignment="1" applyFont="1">
      <alignment horizontal="center" readingOrder="0" shrinkToFit="0" vertical="center" wrapText="1"/>
    </xf>
    <xf borderId="11" fillId="0" fontId="22" numFmtId="0" xfId="0" applyAlignment="1" applyBorder="1" applyFont="1">
      <alignment horizontal="center" readingOrder="0" shrinkToFit="0" vertical="center" wrapText="1"/>
    </xf>
    <xf borderId="6" fillId="2" fontId="22" numFmtId="0" xfId="0" applyAlignment="1" applyBorder="1" applyFont="1">
      <alignment horizontal="center" readingOrder="0" shrinkToFit="0" vertical="center" wrapText="1"/>
    </xf>
    <xf borderId="0" fillId="0" fontId="24" numFmtId="0" xfId="0" applyAlignment="1" applyFont="1">
      <alignment vertical="center"/>
    </xf>
    <xf borderId="0" fillId="0" fontId="22" numFmtId="0" xfId="0" applyAlignment="1" applyFont="1">
      <alignment horizontal="center" readingOrder="0" shrinkToFit="0" vertical="center" wrapText="1"/>
    </xf>
    <xf borderId="12" fillId="0" fontId="23" numFmtId="0" xfId="0" applyBorder="1" applyFont="1"/>
    <xf borderId="5" fillId="7" fontId="22" numFmtId="0" xfId="0" applyAlignment="1" applyBorder="1" applyFont="1">
      <alignment horizontal="center" readingOrder="0" shrinkToFit="0" vertical="center" wrapText="1"/>
    </xf>
    <xf borderId="5" fillId="8" fontId="22" numFmtId="0" xfId="0" applyAlignment="1" applyBorder="1" applyFont="1">
      <alignment horizontal="center" readingOrder="0" shrinkToFit="0" vertical="center" wrapText="1"/>
    </xf>
    <xf borderId="5" fillId="9" fontId="22" numFmtId="0" xfId="0" applyAlignment="1" applyBorder="1" applyFont="1">
      <alignment horizontal="center" readingOrder="0" shrinkToFit="0" vertical="center" wrapText="1"/>
    </xf>
    <xf borderId="5" fillId="10" fontId="22" numFmtId="0" xfId="0" applyAlignment="1" applyBorder="1" applyFont="1">
      <alignment horizontal="center" readingOrder="0" shrinkToFit="0" vertical="center" wrapText="1"/>
    </xf>
    <xf borderId="13" fillId="11" fontId="22" numFmtId="0" xfId="0" applyAlignment="1" applyBorder="1" applyFont="1">
      <alignment horizontal="center" shrinkToFit="0" vertical="center" wrapText="1"/>
    </xf>
    <xf borderId="0" fillId="13" fontId="26" numFmtId="0" xfId="0" applyAlignment="1" applyFont="1">
      <alignment horizontal="center" readingOrder="0" vertical="bottom"/>
    </xf>
    <xf borderId="14" fillId="13" fontId="26" numFmtId="0" xfId="0" applyAlignment="1" applyBorder="1" applyFont="1">
      <alignment readingOrder="0" vertical="bottom"/>
    </xf>
    <xf borderId="15" fillId="0" fontId="23" numFmtId="0" xfId="0" applyBorder="1" applyFont="1"/>
    <xf borderId="9" fillId="0" fontId="23" numFmtId="0" xfId="0" applyBorder="1" applyFont="1"/>
    <xf borderId="16" fillId="13" fontId="24" numFmtId="0" xfId="0" applyAlignment="1" applyBorder="1" applyFont="1">
      <alignment horizontal="center" readingOrder="0"/>
    </xf>
    <xf borderId="16" fillId="0" fontId="23" numFmtId="0" xfId="0" applyBorder="1" applyFont="1"/>
    <xf borderId="17" fillId="0" fontId="23" numFmtId="0" xfId="0" applyBorder="1" applyFont="1"/>
    <xf borderId="18" fillId="13" fontId="27" numFmtId="0" xfId="0" applyAlignment="1" applyBorder="1" applyFont="1">
      <alignment horizontal="center" readingOrder="0" vertical="bottom"/>
    </xf>
    <xf borderId="19" fillId="13" fontId="27" numFmtId="0" xfId="0" applyAlignment="1" applyBorder="1" applyFont="1">
      <alignment horizontal="center" readingOrder="0" vertical="bottom"/>
    </xf>
    <xf borderId="20" fillId="13" fontId="26" numFmtId="0" xfId="0" applyAlignment="1" applyBorder="1" applyFont="1">
      <alignment readingOrder="0" vertical="bottom"/>
    </xf>
    <xf borderId="21" fillId="0" fontId="23" numFmtId="0" xfId="0" applyBorder="1" applyFont="1"/>
    <xf borderId="19" fillId="0" fontId="23" numFmtId="0" xfId="0" applyBorder="1" applyFont="1"/>
    <xf borderId="9" fillId="13" fontId="27" numFmtId="0" xfId="0" applyAlignment="1" applyBorder="1" applyFont="1">
      <alignment horizontal="center"/>
    </xf>
    <xf borderId="10" fillId="13" fontId="27" numFmtId="0" xfId="0" applyAlignment="1" applyBorder="1" applyFont="1">
      <alignment horizontal="center" readingOrder="0"/>
    </xf>
    <xf borderId="1" fillId="0" fontId="16" numFmtId="0" xfId="0" applyAlignment="1" applyBorder="1" applyFont="1">
      <alignment shrinkToFit="0" wrapText="1"/>
    </xf>
    <xf borderId="1" fillId="2" fontId="20" numFmtId="0" xfId="0" applyAlignment="1" applyBorder="1" applyFont="1">
      <alignment horizontal="center"/>
    </xf>
    <xf borderId="0" fillId="7" fontId="6" numFmtId="0" xfId="0" applyAlignment="1" applyFont="1">
      <alignment horizontal="center"/>
    </xf>
    <xf borderId="0" fillId="7" fontId="24" numFmtId="0" xfId="0" applyAlignment="1" applyFont="1">
      <alignment horizontal="center" readingOrder="0"/>
    </xf>
    <xf borderId="0" fillId="8" fontId="24" numFmtId="0" xfId="0" applyAlignment="1" applyFont="1">
      <alignment horizontal="center" readingOrder="0" vertical="center"/>
    </xf>
    <xf borderId="0" fillId="8" fontId="24" numFmtId="1" xfId="0" applyAlignment="1" applyFont="1" applyNumberFormat="1">
      <alignment horizontal="center" readingOrder="0" vertical="center"/>
    </xf>
    <xf borderId="0" fillId="9" fontId="24" numFmtId="0" xfId="0" applyAlignment="1" applyFont="1">
      <alignment horizontal="center" readingOrder="0" vertical="center"/>
    </xf>
    <xf borderId="0" fillId="10" fontId="24" numFmtId="0" xfId="0" applyAlignment="1" applyFont="1">
      <alignment horizontal="center" readingOrder="0" vertical="center"/>
    </xf>
    <xf borderId="0" fillId="10" fontId="24" numFmtId="0" xfId="0" applyAlignment="1" applyFont="1">
      <alignment horizontal="center" vertical="center"/>
    </xf>
    <xf borderId="0" fillId="10" fontId="24" numFmtId="0" xfId="0" applyAlignment="1" applyFont="1">
      <alignment horizontal="center"/>
    </xf>
    <xf borderId="1" fillId="0" fontId="20" numFmtId="0" xfId="0" applyAlignment="1" applyBorder="1" applyFont="1">
      <alignment horizontal="center" readingOrder="0" shrinkToFit="0" wrapText="0"/>
    </xf>
    <xf borderId="1" fillId="2" fontId="20" numFmtId="0" xfId="0" applyAlignment="1" applyBorder="1" applyFont="1">
      <alignment horizontal="center" readingOrder="0" shrinkToFit="0" vertical="bottom" wrapText="0"/>
    </xf>
    <xf borderId="2" fillId="2" fontId="6" numFmtId="0" xfId="0" applyBorder="1" applyFont="1"/>
    <xf borderId="2" fillId="2" fontId="16" numFmtId="0" xfId="0" applyAlignment="1" applyBorder="1" applyFont="1">
      <alignment shrinkToFit="0" wrapText="1"/>
    </xf>
    <xf borderId="2" fillId="0" fontId="6" numFmtId="0" xfId="0" applyAlignment="1" applyBorder="1" applyFont="1">
      <alignment horizontal="center"/>
    </xf>
    <xf borderId="0" fillId="7" fontId="3" numFmtId="0" xfId="0" applyAlignment="1" applyFont="1">
      <alignment horizontal="center"/>
    </xf>
    <xf borderId="0" fillId="10" fontId="24" numFmtId="0" xfId="0" applyAlignment="1" applyFont="1">
      <alignment horizontal="center" vertical="center"/>
    </xf>
    <xf borderId="2" fillId="2" fontId="9" numFmtId="0" xfId="0" applyAlignment="1" applyBorder="1" applyFont="1">
      <alignment horizontal="center"/>
    </xf>
    <xf borderId="2" fillId="0" fontId="9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0" fillId="0" fontId="28" numFmtId="0" xfId="0" applyAlignment="1" applyFont="1">
      <alignment horizontal="center" readingOrder="0" vertical="bottom"/>
    </xf>
    <xf borderId="2" fillId="2" fontId="3" numFmtId="0" xfId="0" applyBorder="1" applyFont="1"/>
    <xf borderId="2" fillId="2" fontId="3" numFmtId="0" xfId="0" applyAlignment="1" applyBorder="1" applyFont="1">
      <alignment vertical="bottom"/>
    </xf>
    <xf borderId="2" fillId="0" fontId="3" numFmtId="0" xfId="0" applyAlignment="1" applyBorder="1" applyFont="1">
      <alignment horizontal="center" vertical="bottom"/>
    </xf>
    <xf borderId="0" fillId="0" fontId="28" numFmtId="0" xfId="0" applyAlignment="1" applyFont="1">
      <alignment horizontal="center" shrinkToFit="0" vertical="bottom" wrapText="0"/>
    </xf>
    <xf borderId="0" fillId="7" fontId="3" numFmtId="0" xfId="0" applyAlignment="1" applyFont="1">
      <alignment horizontal="center" readingOrder="0"/>
    </xf>
    <xf borderId="2" fillId="2" fontId="6" numFmtId="0" xfId="0" applyAlignment="1" applyBorder="1" applyFont="1">
      <alignment horizontal="center"/>
    </xf>
    <xf borderId="2" fillId="2" fontId="9" numFmtId="0" xfId="0" applyAlignment="1" applyBorder="1" applyFont="1">
      <alignment horizontal="center" readingOrder="0"/>
    </xf>
    <xf borderId="0" fillId="7" fontId="3" numFmtId="0" xfId="0" applyFont="1"/>
    <xf borderId="0" fillId="10" fontId="28" numFmtId="0" xfId="0" applyAlignment="1" applyFont="1">
      <alignment horizontal="center" readingOrder="0" vertical="center"/>
    </xf>
    <xf borderId="1" fillId="0" fontId="9" numFmtId="0" xfId="0" applyAlignment="1" applyBorder="1" applyFont="1">
      <alignment horizontal="center"/>
    </xf>
    <xf borderId="2" fillId="2" fontId="10" numFmtId="0" xfId="0" applyAlignment="1" applyBorder="1" applyFont="1">
      <alignment readingOrder="0"/>
    </xf>
    <xf borderId="2" fillId="0" fontId="6" numFmtId="0" xfId="0" applyAlignment="1" applyBorder="1" applyFont="1">
      <alignment horizontal="center" readingOrder="0"/>
    </xf>
    <xf borderId="2" fillId="2" fontId="9" numFmtId="0" xfId="0" applyBorder="1" applyFont="1"/>
    <xf borderId="0" fillId="2" fontId="6" numFmtId="0" xfId="0" applyFont="1"/>
    <xf borderId="0" fillId="7" fontId="6" numFmtId="0" xfId="0" applyAlignment="1" applyFont="1">
      <alignment horizontal="center" readingOrder="0"/>
    </xf>
    <xf borderId="2" fillId="2" fontId="20" numFmtId="0" xfId="0" applyAlignment="1" applyBorder="1" applyFont="1">
      <alignment readingOrder="0"/>
    </xf>
    <xf borderId="2" fillId="0" fontId="3" numFmtId="0" xfId="0" applyAlignment="1" applyBorder="1" applyFont="1">
      <alignment horizontal="center" readingOrder="0" vertical="bottom"/>
    </xf>
    <xf borderId="2" fillId="2" fontId="6" numFmtId="0" xfId="0" applyAlignment="1" applyBorder="1" applyFont="1">
      <alignment readingOrder="0"/>
    </xf>
    <xf borderId="2" fillId="2" fontId="34" numFmtId="0" xfId="0" applyAlignment="1" applyBorder="1" applyFont="1">
      <alignment horizontal="center"/>
    </xf>
    <xf borderId="2" fillId="2" fontId="35" numFmtId="0" xfId="0" applyAlignment="1" applyBorder="1" applyFont="1">
      <alignment shrinkToFit="0" wrapText="1"/>
    </xf>
    <xf borderId="5" fillId="0" fontId="20" numFmtId="0" xfId="0" applyAlignment="1" applyBorder="1" applyFont="1">
      <alignment horizontal="center" readingOrder="0" shrinkToFit="0" wrapText="0"/>
    </xf>
    <xf borderId="0" fillId="2" fontId="20" numFmtId="0" xfId="0" applyAlignment="1" applyFont="1">
      <alignment horizontal="center" readingOrder="0" shrinkToFit="0" vertical="bottom" wrapText="0"/>
    </xf>
    <xf borderId="1" fillId="0" fontId="7" numFmtId="0" xfId="0" applyAlignment="1" applyBorder="1" applyFont="1">
      <alignment readingOrder="0"/>
    </xf>
    <xf borderId="1" fillId="0" fontId="20" numFmtId="0" xfId="0" applyAlignment="1" applyBorder="1" applyFont="1">
      <alignment readingOrder="0" shrinkToFit="0" vertical="bottom" wrapText="0"/>
    </xf>
    <xf borderId="1" fillId="0" fontId="20" numFmtId="0" xfId="0" applyAlignment="1" applyBorder="1" applyFont="1">
      <alignment horizontal="center" readingOrder="0" vertical="top"/>
    </xf>
    <xf borderId="1" fillId="0" fontId="6" numFmtId="0" xfId="0" applyAlignment="1" applyBorder="1" applyFont="1">
      <alignment horizontal="center" readingOrder="0"/>
    </xf>
    <xf borderId="0" fillId="2" fontId="24" numFmtId="0" xfId="0" applyAlignment="1" applyFont="1">
      <alignment horizontal="center" readingOrder="0"/>
    </xf>
    <xf borderId="0" fillId="0" fontId="24" numFmtId="0" xfId="0" applyAlignment="1" applyFont="1">
      <alignment horizontal="center" vertical="center"/>
    </xf>
    <xf borderId="1" fillId="0" fontId="6" numFmtId="0" xfId="0" applyAlignment="1" applyBorder="1" applyFont="1">
      <alignment readingOrder="0"/>
    </xf>
    <xf borderId="0" fillId="7" fontId="24" numFmtId="0" xfId="0" applyAlignment="1" applyFont="1">
      <alignment horizontal="center"/>
    </xf>
    <xf borderId="1" fillId="0" fontId="9" numFmtId="0" xfId="0" applyAlignment="1" applyBorder="1" applyFont="1">
      <alignment horizontal="center" readingOrder="0"/>
    </xf>
    <xf borderId="1" fillId="0" fontId="20" numFmtId="0" xfId="0" applyAlignment="1" applyBorder="1" applyFont="1">
      <alignment horizontal="left" readingOrder="0" vertical="top"/>
    </xf>
    <xf borderId="0" fillId="0" fontId="28" numFmtId="0" xfId="0" applyAlignment="1" applyFont="1">
      <alignment horizontal="center" readingOrder="0" vertical="top"/>
    </xf>
    <xf borderId="1" fillId="2" fontId="22" numFmtId="0" xfId="0" applyAlignment="1" applyBorder="1" applyFont="1">
      <alignment horizontal="left" readingOrder="0" shrinkToFit="0" vertical="center" wrapText="1"/>
    </xf>
    <xf borderId="5" fillId="2" fontId="22" numFmtId="0" xfId="0" applyAlignment="1" applyBorder="1" applyFont="1">
      <alignment horizontal="center" readingOrder="0" shrinkToFit="0" vertical="center" wrapText="1"/>
    </xf>
    <xf borderId="1" fillId="2" fontId="22" numFmtId="0" xfId="0" applyAlignment="1" applyBorder="1" applyFont="1">
      <alignment horizontal="center" readingOrder="0" vertical="center"/>
    </xf>
    <xf borderId="5" fillId="2" fontId="22" numFmtId="0" xfId="0" applyAlignment="1" applyBorder="1" applyFont="1">
      <alignment horizontal="center" readingOrder="0" vertical="center"/>
    </xf>
    <xf borderId="22" fillId="2" fontId="26" numFmtId="0" xfId="0" applyAlignment="1" applyBorder="1" applyFont="1">
      <alignment readingOrder="0" vertical="bottom"/>
    </xf>
    <xf borderId="23" fillId="0" fontId="23" numFmtId="0" xfId="0" applyBorder="1" applyFont="1"/>
    <xf borderId="24" fillId="0" fontId="23" numFmtId="0" xfId="0" applyBorder="1" applyFont="1"/>
    <xf borderId="25" fillId="2" fontId="24" numFmtId="0" xfId="0" applyAlignment="1" applyBorder="1" applyFont="1">
      <alignment horizontal="center" readingOrder="0"/>
    </xf>
    <xf borderId="25" fillId="0" fontId="23" numFmtId="0" xfId="0" applyBorder="1" applyFont="1"/>
    <xf borderId="26" fillId="0" fontId="23" numFmtId="0" xfId="0" applyBorder="1" applyFont="1"/>
    <xf borderId="24" fillId="13" fontId="27" numFmtId="0" xfId="0" applyAlignment="1" applyBorder="1" applyFont="1">
      <alignment horizontal="center" readingOrder="0" vertical="bottom"/>
    </xf>
    <xf borderId="24" fillId="13" fontId="27" numFmtId="0" xfId="0" applyAlignment="1" applyBorder="1" applyFont="1">
      <alignment horizontal="center" readingOrder="0" vertical="center"/>
    </xf>
    <xf borderId="10" fillId="13" fontId="27" numFmtId="0" xfId="0" applyAlignment="1" applyBorder="1" applyFont="1">
      <alignment horizontal="center" readingOrder="0" vertical="bottom"/>
    </xf>
    <xf borderId="0" fillId="12" fontId="24" numFmtId="0" xfId="0" applyFont="1"/>
    <xf borderId="1" fillId="13" fontId="26" numFmtId="0" xfId="0" applyAlignment="1" applyBorder="1" applyFont="1">
      <alignment horizontal="center" readingOrder="0" vertical="bottom"/>
    </xf>
    <xf borderId="6" fillId="2" fontId="26" numFmtId="0" xfId="0" applyAlignment="1" applyBorder="1" applyFont="1">
      <alignment readingOrder="0" vertical="bottom"/>
    </xf>
    <xf borderId="6" fillId="2" fontId="24" numFmtId="0" xfId="0" applyAlignment="1" applyBorder="1" applyFont="1">
      <alignment horizontal="center" readingOrder="0"/>
    </xf>
    <xf borderId="1" fillId="13" fontId="27" numFmtId="0" xfId="0" applyAlignment="1" applyBorder="1" applyFont="1">
      <alignment horizontal="center" vertical="bottom"/>
    </xf>
    <xf borderId="24" fillId="13" fontId="27" numFmtId="0" xfId="0" applyAlignment="1" applyBorder="1" applyFont="1">
      <alignment horizontal="center" readingOrder="0"/>
    </xf>
    <xf borderId="1" fillId="13" fontId="27" numFmtId="0" xfId="0" applyAlignment="1" applyBorder="1" applyFont="1">
      <alignment horizontal="center" readingOrder="0" vertical="center"/>
    </xf>
    <xf borderId="24" fillId="13" fontId="27" numFmtId="0" xfId="0" applyAlignment="1" applyBorder="1" applyFont="1">
      <alignment horizontal="center"/>
    </xf>
    <xf borderId="27" fillId="13" fontId="27" numFmtId="0" xfId="0" applyAlignment="1" applyBorder="1" applyFont="1">
      <alignment horizontal="center" readingOrder="0"/>
    </xf>
    <xf borderId="1" fillId="2" fontId="24" numFmtId="0" xfId="0" applyAlignment="1" applyBorder="1" applyFont="1">
      <alignment horizontal="center" readingOrder="0"/>
    </xf>
    <xf borderId="1" fillId="2" fontId="24" numFmtId="0" xfId="0" applyAlignment="1" applyBorder="1" applyFont="1">
      <alignment horizontal="center" vertical="bottom"/>
    </xf>
    <xf borderId="1" fillId="2" fontId="28" numFmtId="0" xfId="0" applyAlignment="1" applyBorder="1" applyFont="1">
      <alignment horizontal="center"/>
    </xf>
    <xf borderId="1" fillId="2" fontId="24" numFmtId="0" xfId="0" applyAlignment="1" applyBorder="1" applyFont="1">
      <alignment horizontal="center" shrinkToFit="0" wrapText="1"/>
    </xf>
    <xf borderId="1" fillId="2" fontId="24" numFmtId="0" xfId="0" applyAlignment="1" applyBorder="1" applyFont="1">
      <alignment horizontal="center"/>
    </xf>
    <xf borderId="1" fillId="7" fontId="24" numFmtId="0" xfId="0" applyAlignment="1" applyBorder="1" applyFont="1">
      <alignment horizontal="center"/>
    </xf>
    <xf borderId="1" fillId="0" fontId="28" numFmtId="0" xfId="0" applyAlignment="1" applyBorder="1" applyFont="1">
      <alignment horizontal="center" readingOrder="0" shrinkToFit="0" wrapText="0"/>
    </xf>
    <xf borderId="0" fillId="10" fontId="28" numFmtId="0" xfId="0" applyAlignment="1" applyFont="1">
      <alignment horizontal="right" readingOrder="0" shrinkToFit="0" wrapText="0"/>
    </xf>
    <xf borderId="1" fillId="10" fontId="24" numFmtId="0" xfId="0" applyAlignment="1" applyBorder="1" applyFont="1">
      <alignment horizontal="center"/>
    </xf>
    <xf borderId="1" fillId="11" fontId="28" numFmtId="0" xfId="0" applyAlignment="1" applyBorder="1" applyFont="1">
      <alignment horizontal="center" readingOrder="0" shrinkToFit="0" wrapText="0"/>
    </xf>
    <xf borderId="1" fillId="11" fontId="36" numFmtId="0" xfId="0" applyAlignment="1" applyBorder="1" applyFont="1">
      <alignment horizontal="center" readingOrder="0"/>
    </xf>
    <xf borderId="1" fillId="11" fontId="24" numFmtId="0" xfId="0" applyAlignment="1" applyBorder="1" applyFont="1">
      <alignment horizontal="center" readingOrder="0" vertical="center"/>
    </xf>
    <xf borderId="1" fillId="11" fontId="24" numFmtId="0" xfId="0" applyAlignment="1" applyBorder="1" applyFont="1">
      <alignment horizontal="center" vertical="bottom"/>
    </xf>
    <xf borderId="1" fillId="11" fontId="24" numFmtId="0" xfId="0" applyAlignment="1" applyBorder="1" applyFont="1">
      <alignment horizontal="center" vertical="center"/>
    </xf>
    <xf borderId="1" fillId="11" fontId="24" numFmtId="0" xfId="0" applyAlignment="1" applyBorder="1" applyFont="1">
      <alignment horizontal="center"/>
    </xf>
    <xf borderId="1" fillId="0" fontId="24" numFmtId="0" xfId="0" applyAlignment="1" applyBorder="1" applyFont="1">
      <alignment horizontal="center"/>
    </xf>
    <xf borderId="1" fillId="12" fontId="24" numFmtId="0" xfId="0" applyAlignment="1" applyBorder="1" applyFont="1">
      <alignment horizontal="center" vertical="bottom"/>
    </xf>
    <xf borderId="1" fillId="12" fontId="24" numFmtId="0" xfId="0" applyAlignment="1" applyBorder="1" applyFont="1">
      <alignment horizontal="center"/>
    </xf>
    <xf borderId="1" fillId="11" fontId="24" numFmtId="0" xfId="0" applyAlignment="1" applyBorder="1" applyFont="1">
      <alignment horizontal="center" readingOrder="0" vertical="bottom"/>
    </xf>
    <xf borderId="1" fillId="10" fontId="28" numFmtId="0" xfId="0" applyAlignment="1" applyBorder="1" applyFont="1">
      <alignment horizontal="center" readingOrder="0" shrinkToFit="0" wrapText="0"/>
    </xf>
    <xf borderId="1" fillId="2" fontId="24" numFmtId="0" xfId="0" applyAlignment="1" applyBorder="1" applyFont="1">
      <alignment horizontal="center"/>
    </xf>
    <xf borderId="1" fillId="4" fontId="24" numFmtId="0" xfId="0" applyAlignment="1" applyBorder="1" applyFont="1">
      <alignment horizontal="center" readingOrder="0"/>
    </xf>
    <xf borderId="1" fillId="4" fontId="24" numFmtId="0" xfId="0" applyAlignment="1" applyBorder="1" applyFont="1">
      <alignment horizontal="center" readingOrder="0" vertical="center"/>
    </xf>
    <xf borderId="1" fillId="4" fontId="24" numFmtId="0" xfId="0" applyAlignment="1" applyBorder="1" applyFont="1">
      <alignment horizontal="center"/>
    </xf>
    <xf borderId="1" fillId="3" fontId="28" numFmtId="0" xfId="0" applyAlignment="1" applyBorder="1" applyFont="1">
      <alignment horizontal="center" readingOrder="0" shrinkToFit="0" wrapText="0"/>
    </xf>
    <xf borderId="1" fillId="11" fontId="24" numFmtId="0" xfId="0" applyAlignment="1" applyBorder="1" applyFont="1">
      <alignment horizontal="center" readingOrder="0"/>
    </xf>
    <xf borderId="1" fillId="2" fontId="37" numFmtId="0" xfId="0" applyAlignment="1" applyBorder="1" applyFont="1">
      <alignment horizontal="center"/>
    </xf>
    <xf borderId="1" fillId="0" fontId="28" numFmtId="0" xfId="0" applyAlignment="1" applyBorder="1" applyFont="1">
      <alignment horizontal="center" shrinkToFit="0" wrapText="0"/>
    </xf>
    <xf borderId="1" fillId="2" fontId="38" numFmtId="0" xfId="0" applyAlignment="1" applyBorder="1" applyFont="1">
      <alignment horizontal="center" shrinkToFit="0" wrapText="1"/>
    </xf>
    <xf borderId="1" fillId="2" fontId="28" numFmtId="0" xfId="0" applyAlignment="1" applyBorder="1" applyFont="1">
      <alignment horizontal="center" vertical="bottom"/>
    </xf>
    <xf borderId="1" fillId="4" fontId="24" numFmtId="0" xfId="0" applyAlignment="1" applyBorder="1" applyFont="1">
      <alignment horizontal="center"/>
    </xf>
    <xf borderId="1" fillId="2" fontId="39" numFmtId="0" xfId="0" applyAlignment="1" applyBorder="1" applyFont="1">
      <alignment horizontal="center"/>
    </xf>
    <xf borderId="1" fillId="2" fontId="24" numFmtId="0" xfId="0" applyAlignment="1" applyBorder="1" applyFont="1">
      <alignment horizontal="center" readingOrder="0" vertical="bottom"/>
    </xf>
    <xf borderId="1" fillId="11" fontId="28" numFmtId="0" xfId="0" applyAlignment="1" applyBorder="1" applyFont="1">
      <alignment horizontal="center" shrinkToFit="0" vertical="bottom" wrapText="0"/>
    </xf>
    <xf borderId="1" fillId="11" fontId="28" numFmtId="0" xfId="0" applyAlignment="1" applyBorder="1" applyFont="1">
      <alignment horizontal="center" readingOrder="0" shrinkToFit="0" vertical="bottom" wrapText="0"/>
    </xf>
    <xf borderId="1" fillId="10" fontId="28" numFmtId="0" xfId="0" applyAlignment="1" applyBorder="1" applyFont="1">
      <alignment horizontal="center" readingOrder="0" vertical="center"/>
    </xf>
    <xf borderId="1" fillId="2" fontId="24" numFmtId="3" xfId="0" applyAlignment="1" applyBorder="1" applyFont="1" applyNumberFormat="1">
      <alignment horizontal="center"/>
    </xf>
    <xf borderId="1" fillId="0" fontId="28" numFmtId="0" xfId="0" applyAlignment="1" applyBorder="1" applyFont="1">
      <alignment horizontal="center" readingOrder="0" vertical="top"/>
    </xf>
    <xf borderId="1" fillId="2" fontId="28" numFmtId="0" xfId="0" applyAlignment="1" applyBorder="1" applyFont="1">
      <alignment horizontal="center" readingOrder="0" vertical="top"/>
    </xf>
    <xf borderId="1" fillId="2" fontId="28" numFmtId="0" xfId="0" applyAlignment="1" applyBorder="1" applyFont="1">
      <alignment horizontal="center" readingOrder="0" shrinkToFit="0" wrapText="0"/>
    </xf>
    <xf borderId="1" fillId="0" fontId="24" numFmtId="0" xfId="0" applyAlignment="1" applyBorder="1" applyFont="1">
      <alignment horizontal="center" readingOrder="0" vertical="center"/>
    </xf>
    <xf borderId="1" fillId="2" fontId="24" numFmtId="0" xfId="0" applyAlignment="1" applyBorder="1" applyFont="1">
      <alignment horizontal="center" vertical="bottom"/>
    </xf>
    <xf borderId="1" fillId="7" fontId="24" numFmtId="0" xfId="0" applyAlignment="1" applyBorder="1" applyFont="1">
      <alignment horizontal="center" readingOrder="0" vertical="bottom"/>
    </xf>
    <xf borderId="1" fillId="17" fontId="24" numFmtId="0" xfId="0" applyAlignment="1" applyBorder="1" applyFill="1" applyFont="1">
      <alignment horizontal="center" readingOrder="0"/>
    </xf>
    <xf borderId="1" fillId="9" fontId="24" numFmtId="0" xfId="0" applyAlignment="1" applyBorder="1" applyFont="1">
      <alignment horizontal="center" readingOrder="0"/>
    </xf>
    <xf borderId="1" fillId="10" fontId="24" numFmtId="0" xfId="0" applyAlignment="1" applyBorder="1" applyFont="1">
      <alignment horizontal="center" readingOrder="0"/>
    </xf>
    <xf borderId="1" fillId="10" fontId="24" numFmtId="0" xfId="0" applyAlignment="1" applyBorder="1" applyFont="1">
      <alignment horizontal="center" vertical="bottom"/>
    </xf>
    <xf borderId="1" fillId="11" fontId="24" numFmtId="0" xfId="0" applyAlignment="1" applyBorder="1" applyFont="1">
      <alignment horizontal="center" vertical="bottom"/>
    </xf>
    <xf borderId="1" fillId="0" fontId="24" numFmtId="0" xfId="0" applyAlignment="1" applyBorder="1" applyFont="1">
      <alignment horizontal="center" vertical="bottom"/>
    </xf>
    <xf borderId="0" fillId="0" fontId="24" numFmtId="0" xfId="0" applyAlignment="1" applyFont="1">
      <alignment vertical="bottom"/>
    </xf>
    <xf borderId="1" fillId="2" fontId="28" numFmtId="0" xfId="0" applyAlignment="1" applyBorder="1" applyFont="1">
      <alignment horizontal="center" readingOrder="0" shrinkToFit="0" vertical="bottom" wrapText="0"/>
    </xf>
    <xf borderId="1" fillId="2" fontId="24" numFmtId="0" xfId="0" applyAlignment="1" applyBorder="1" applyFont="1">
      <alignment horizontal="center" readingOrder="0" vertical="center"/>
    </xf>
    <xf borderId="0" fillId="2" fontId="28" numFmtId="0" xfId="0" applyAlignment="1" applyFont="1">
      <alignment horizontal="left" readingOrder="0" vertical="top"/>
    </xf>
    <xf borderId="0" fillId="2" fontId="24" numFmtId="0" xfId="0" applyAlignment="1" applyFont="1">
      <alignment readingOrder="0"/>
    </xf>
    <xf borderId="0" fillId="2" fontId="24" numFmtId="0" xfId="0" applyFont="1"/>
    <xf borderId="0" fillId="2" fontId="24" numFmtId="0" xfId="0" applyAlignment="1" applyFont="1">
      <alignment horizontal="center" readingOrder="0" vertical="center"/>
    </xf>
    <xf borderId="0" fillId="2" fontId="24" numFmtId="0" xfId="0" applyAlignment="1" applyFont="1">
      <alignment horizontal="left" readingOrder="0"/>
    </xf>
    <xf borderId="0" fillId="0" fontId="40" numFmtId="0" xfId="0" applyAlignment="1" applyFont="1">
      <alignment horizontal="center" readingOrder="0" shrinkToFit="0" vertical="center" wrapText="1"/>
    </xf>
    <xf borderId="1" fillId="0" fontId="41" numFmtId="0" xfId="0" applyAlignment="1" applyBorder="1" applyFont="1">
      <alignment horizontal="center" readingOrder="0" shrinkToFit="0" vertical="center" wrapText="1"/>
    </xf>
    <xf borderId="1" fillId="2" fontId="41" numFmtId="0" xfId="0" applyAlignment="1" applyBorder="1" applyFont="1">
      <alignment horizontal="center" readingOrder="0" shrinkToFit="0" vertical="center" wrapText="1"/>
    </xf>
    <xf borderId="5" fillId="2" fontId="41" numFmtId="0" xfId="0" applyAlignment="1" applyBorder="1" applyFont="1">
      <alignment horizontal="center" readingOrder="0" shrinkToFit="0" vertical="center" wrapText="1"/>
    </xf>
    <xf borderId="1" fillId="0" fontId="41" numFmtId="0" xfId="0" applyAlignment="1" applyBorder="1" applyFont="1">
      <alignment horizontal="center" readingOrder="0" vertical="center"/>
    </xf>
    <xf borderId="5" fillId="0" fontId="41" numFmtId="0" xfId="0" applyAlignment="1" applyBorder="1" applyFont="1">
      <alignment horizontal="center" readingOrder="0" vertical="center"/>
    </xf>
    <xf borderId="5" fillId="0" fontId="41" numFmtId="0" xfId="0" applyAlignment="1" applyBorder="1" applyFont="1">
      <alignment horizontal="center" readingOrder="0" shrinkToFit="0" vertical="center" wrapText="1"/>
    </xf>
    <xf borderId="6" fillId="7" fontId="41" numFmtId="0" xfId="0" applyAlignment="1" applyBorder="1" applyFont="1">
      <alignment horizontal="center" readingOrder="0" shrinkToFit="0" vertical="center" wrapText="1"/>
    </xf>
    <xf borderId="6" fillId="8" fontId="41" numFmtId="0" xfId="0" applyAlignment="1" applyBorder="1" applyFont="1">
      <alignment horizontal="center" readingOrder="0" vertical="center"/>
    </xf>
    <xf borderId="6" fillId="9" fontId="41" numFmtId="0" xfId="0" applyAlignment="1" applyBorder="1" applyFont="1">
      <alignment horizontal="center" readingOrder="0" vertical="center"/>
    </xf>
    <xf borderId="1" fillId="9" fontId="41" numFmtId="0" xfId="0" applyAlignment="1" applyBorder="1" applyFont="1">
      <alignment horizontal="center" readingOrder="0" vertical="center"/>
    </xf>
    <xf borderId="6" fillId="10" fontId="41" numFmtId="0" xfId="0" applyAlignment="1" applyBorder="1" applyFont="1">
      <alignment horizontal="center" readingOrder="0" vertical="center"/>
    </xf>
    <xf borderId="6" fillId="11" fontId="41" numFmtId="0" xfId="0" applyAlignment="1" applyBorder="1" applyFont="1">
      <alignment horizontal="center" readingOrder="0" vertical="center"/>
    </xf>
    <xf borderId="1" fillId="11" fontId="41" numFmtId="0" xfId="0" applyAlignment="1" applyBorder="1" applyFont="1">
      <alignment horizontal="center" readingOrder="0" vertical="center"/>
    </xf>
    <xf borderId="0" fillId="11" fontId="41" numFmtId="0" xfId="0" applyAlignment="1" applyFont="1">
      <alignment horizontal="center" readingOrder="0" vertical="center"/>
    </xf>
    <xf borderId="8" fillId="12" fontId="42" numFmtId="0" xfId="0" applyAlignment="1" applyBorder="1" applyFont="1">
      <alignment horizontal="center" shrinkToFit="0" wrapText="1"/>
    </xf>
    <xf borderId="8" fillId="12" fontId="42" numFmtId="0" xfId="0" applyAlignment="1" applyBorder="1" applyFont="1">
      <alignment horizontal="center"/>
    </xf>
    <xf borderId="0" fillId="0" fontId="42" numFmtId="0" xfId="0" applyAlignment="1" applyFont="1">
      <alignment horizontal="center" vertical="center"/>
    </xf>
    <xf borderId="0" fillId="0" fontId="41" numFmtId="0" xfId="0" applyAlignment="1" applyFont="1">
      <alignment horizontal="center" readingOrder="0" shrinkToFit="0" vertical="center" wrapText="1"/>
    </xf>
    <xf borderId="5" fillId="7" fontId="41" numFmtId="0" xfId="0" applyAlignment="1" applyBorder="1" applyFont="1">
      <alignment horizontal="center" readingOrder="0" shrinkToFit="0" vertical="center" wrapText="1"/>
    </xf>
    <xf borderId="5" fillId="8" fontId="41" numFmtId="0" xfId="0" applyAlignment="1" applyBorder="1" applyFont="1">
      <alignment horizontal="center" readingOrder="0" shrinkToFit="0" vertical="center" wrapText="1"/>
    </xf>
    <xf borderId="5" fillId="9" fontId="41" numFmtId="0" xfId="0" applyAlignment="1" applyBorder="1" applyFont="1">
      <alignment horizontal="center" readingOrder="0" shrinkToFit="0" vertical="center" wrapText="1"/>
    </xf>
    <xf borderId="5" fillId="10" fontId="41" numFmtId="0" xfId="0" applyAlignment="1" applyBorder="1" applyFont="1">
      <alignment horizontal="center" readingOrder="0" shrinkToFit="0" vertical="center" wrapText="1"/>
    </xf>
    <xf borderId="5" fillId="11" fontId="41" numFmtId="0" xfId="0" applyAlignment="1" applyBorder="1" applyFont="1">
      <alignment horizontal="center" readingOrder="0" shrinkToFit="0" vertical="center" wrapText="1"/>
    </xf>
    <xf borderId="13" fillId="11" fontId="41" numFmtId="0" xfId="0" applyAlignment="1" applyBorder="1" applyFont="1">
      <alignment horizontal="center" shrinkToFit="0" vertical="center" wrapText="1"/>
    </xf>
    <xf borderId="8" fillId="12" fontId="42" numFmtId="0" xfId="0" applyAlignment="1" applyBorder="1" applyFont="1">
      <alignment horizontal="center" shrinkToFit="0" wrapText="1"/>
    </xf>
    <xf borderId="0" fillId="0" fontId="42" numFmtId="0" xfId="0" applyAlignment="1" applyFont="1">
      <alignment horizontal="center"/>
    </xf>
    <xf borderId="0" fillId="13" fontId="43" numFmtId="0" xfId="0" applyAlignment="1" applyFont="1">
      <alignment horizontal="center" readingOrder="0" vertical="bottom"/>
    </xf>
    <xf borderId="14" fillId="13" fontId="43" numFmtId="0" xfId="0" applyAlignment="1" applyBorder="1" applyFont="1">
      <alignment horizontal="center" readingOrder="0" vertical="bottom"/>
    </xf>
    <xf borderId="16" fillId="13" fontId="42" numFmtId="0" xfId="0" applyAlignment="1" applyBorder="1" applyFont="1">
      <alignment horizontal="center" readingOrder="0"/>
    </xf>
    <xf borderId="9" fillId="13" fontId="44" numFmtId="0" xfId="0" applyAlignment="1" applyBorder="1" applyFont="1">
      <alignment horizontal="center" readingOrder="0" vertical="bottom"/>
    </xf>
    <xf borderId="0" fillId="13" fontId="44" numFmtId="0" xfId="0" applyAlignment="1" applyFont="1">
      <alignment horizontal="center" readingOrder="0" vertical="center"/>
    </xf>
    <xf borderId="0" fillId="13" fontId="42" numFmtId="0" xfId="0" applyAlignment="1" applyFont="1">
      <alignment horizontal="center"/>
    </xf>
    <xf borderId="28" fillId="13" fontId="43" numFmtId="0" xfId="0" applyAlignment="1" applyBorder="1" applyFont="1">
      <alignment horizontal="center" readingOrder="0" vertical="bottom"/>
    </xf>
    <xf borderId="29" fillId="0" fontId="23" numFmtId="0" xfId="0" applyBorder="1" applyFont="1"/>
    <xf borderId="25" fillId="13" fontId="42" numFmtId="0" xfId="0" applyAlignment="1" applyBorder="1" applyFont="1">
      <alignment horizontal="center" readingOrder="0"/>
    </xf>
    <xf borderId="24" fillId="13" fontId="44" numFmtId="0" xfId="0" applyAlignment="1" applyBorder="1" applyFont="1">
      <alignment horizontal="center" readingOrder="0" vertical="bottom"/>
    </xf>
    <xf borderId="24" fillId="13" fontId="44" numFmtId="0" xfId="0" applyAlignment="1" applyBorder="1" applyFont="1">
      <alignment horizontal="center"/>
    </xf>
    <xf borderId="24" fillId="13" fontId="44" numFmtId="0" xfId="0" applyAlignment="1" applyBorder="1" applyFont="1">
      <alignment horizontal="center" vertical="bottom"/>
    </xf>
    <xf borderId="24" fillId="13" fontId="44" numFmtId="0" xfId="0" applyAlignment="1" applyBorder="1" applyFont="1">
      <alignment horizontal="center" readingOrder="0"/>
    </xf>
    <xf borderId="24" fillId="13" fontId="44" numFmtId="0" xfId="0" applyAlignment="1" applyBorder="1" applyFont="1">
      <alignment horizontal="center"/>
    </xf>
    <xf borderId="27" fillId="13" fontId="44" numFmtId="0" xfId="0" applyAlignment="1" applyBorder="1" applyFont="1">
      <alignment horizontal="center" readingOrder="0"/>
    </xf>
    <xf borderId="1" fillId="0" fontId="45" numFmtId="0" xfId="0" applyAlignment="1" applyBorder="1" applyFont="1">
      <alignment horizontal="center" readingOrder="0" vertical="top"/>
    </xf>
    <xf borderId="1" fillId="2" fontId="45" numFmtId="0" xfId="0" applyAlignment="1" applyBorder="1" applyFont="1">
      <alignment horizontal="center" readingOrder="0" vertical="top"/>
    </xf>
    <xf borderId="1" fillId="2" fontId="42" numFmtId="0" xfId="0" applyAlignment="1" applyBorder="1" applyFont="1">
      <alignment horizontal="center" readingOrder="0"/>
    </xf>
    <xf borderId="1" fillId="0" fontId="42" numFmtId="0" xfId="0" applyAlignment="1" applyBorder="1" applyFont="1">
      <alignment horizontal="center" readingOrder="0"/>
    </xf>
    <xf borderId="1" fillId="0" fontId="42" numFmtId="0" xfId="0" applyAlignment="1" applyBorder="1" applyFont="1">
      <alignment horizontal="center"/>
    </xf>
    <xf borderId="1" fillId="7" fontId="42" numFmtId="0" xfId="0" applyAlignment="1" applyBorder="1" applyFont="1">
      <alignment horizontal="center" readingOrder="0" vertical="bottom"/>
    </xf>
    <xf borderId="1" fillId="7" fontId="42" numFmtId="0" xfId="0" applyAlignment="1" applyBorder="1" applyFont="1">
      <alignment horizontal="center" readingOrder="0"/>
    </xf>
    <xf borderId="1" fillId="8" fontId="42" numFmtId="0" xfId="0" applyAlignment="1" applyBorder="1" applyFont="1">
      <alignment horizontal="center" readingOrder="0" vertical="center"/>
    </xf>
    <xf borderId="1" fillId="9" fontId="42" numFmtId="0" xfId="0" applyAlignment="1" applyBorder="1" applyFont="1">
      <alignment horizontal="center" readingOrder="0" vertical="center"/>
    </xf>
    <xf borderId="1" fillId="10" fontId="42" numFmtId="0" xfId="0" applyAlignment="1" applyBorder="1" applyFont="1">
      <alignment horizontal="center" readingOrder="0" vertical="center"/>
    </xf>
    <xf borderId="1" fillId="10" fontId="45" numFmtId="0" xfId="0" applyAlignment="1" applyBorder="1" applyFont="1">
      <alignment horizontal="center" readingOrder="0" shrinkToFit="0" wrapText="0"/>
    </xf>
    <xf borderId="1" fillId="10" fontId="42" numFmtId="0" xfId="0" applyAlignment="1" applyBorder="1" applyFont="1">
      <alignment horizontal="center" readingOrder="0"/>
    </xf>
    <xf borderId="1" fillId="11" fontId="42" numFmtId="0" xfId="0" applyAlignment="1" applyBorder="1" applyFont="1">
      <alignment horizontal="center" readingOrder="0" vertical="center"/>
    </xf>
    <xf borderId="1" fillId="11" fontId="24" numFmtId="0" xfId="0" applyAlignment="1" applyBorder="1" applyFont="1">
      <alignment horizontal="center"/>
    </xf>
    <xf borderId="1" fillId="11" fontId="42" numFmtId="0" xfId="0" applyAlignment="1" applyBorder="1" applyFont="1">
      <alignment horizontal="center" readingOrder="0"/>
    </xf>
    <xf borderId="1" fillId="11" fontId="42" numFmtId="0" xfId="0" applyAlignment="1" applyBorder="1" applyFont="1">
      <alignment horizontal="center"/>
    </xf>
    <xf borderId="1" fillId="12" fontId="42" numFmtId="0" xfId="0" applyAlignment="1" applyBorder="1" applyFont="1">
      <alignment horizontal="center" vertical="bottom"/>
    </xf>
    <xf borderId="1" fillId="12" fontId="42" numFmtId="0" xfId="0" applyAlignment="1" applyBorder="1" applyFont="1">
      <alignment horizontal="center"/>
    </xf>
    <xf borderId="1" fillId="2" fontId="42" numFmtId="0" xfId="0" applyAlignment="1" applyBorder="1" applyFont="1">
      <alignment horizontal="center"/>
    </xf>
    <xf borderId="1" fillId="2" fontId="45" numFmtId="0" xfId="0" applyAlignment="1" applyBorder="1" applyFont="1">
      <alignment horizontal="center"/>
    </xf>
    <xf borderId="1" fillId="7" fontId="42" numFmtId="0" xfId="0" applyAlignment="1" applyBorder="1" applyFont="1">
      <alignment horizontal="center"/>
    </xf>
    <xf borderId="1" fillId="8" fontId="42" numFmtId="1" xfId="0" applyAlignment="1" applyBorder="1" applyFont="1" applyNumberFormat="1">
      <alignment horizontal="center" readingOrder="0" vertical="center"/>
    </xf>
    <xf borderId="1" fillId="10" fontId="45" numFmtId="0" xfId="0" applyAlignment="1" applyBorder="1" applyFont="1">
      <alignment horizontal="center" readingOrder="0" shrinkToFit="0" vertical="bottom" wrapText="0"/>
    </xf>
    <xf borderId="0" fillId="0" fontId="10" numFmtId="0" xfId="0" applyAlignment="1" applyFont="1">
      <alignment horizontal="right" readingOrder="0" shrinkToFit="0" wrapText="0"/>
    </xf>
    <xf borderId="1" fillId="10" fontId="42" numFmtId="0" xfId="0" applyAlignment="1" applyBorder="1" applyFont="1">
      <alignment horizontal="center"/>
    </xf>
    <xf borderId="1" fillId="11" fontId="46" numFmtId="0" xfId="0" applyAlignment="1" applyBorder="1" applyFont="1">
      <alignment horizontal="center" readingOrder="0" shrinkToFit="0" vertical="bottom" wrapText="0"/>
    </xf>
    <xf borderId="1" fillId="11" fontId="45" numFmtId="0" xfId="0" applyAlignment="1" applyBorder="1" applyFont="1">
      <alignment horizontal="center" readingOrder="0" shrinkToFit="0" vertical="bottom" wrapText="0"/>
    </xf>
    <xf borderId="1" fillId="11" fontId="45" numFmtId="0" xfId="0" applyAlignment="1" applyBorder="1" applyFont="1">
      <alignment horizontal="center" readingOrder="0"/>
    </xf>
    <xf borderId="1" fillId="2" fontId="47" numFmtId="0" xfId="0" applyAlignment="1" applyBorder="1" applyFont="1">
      <alignment horizontal="center"/>
    </xf>
    <xf borderId="1" fillId="10" fontId="45" numFmtId="0" xfId="0" applyAlignment="1" applyBorder="1" applyFont="1">
      <alignment horizontal="center" readingOrder="0" shrinkToFit="0" wrapText="0"/>
    </xf>
    <xf borderId="1" fillId="2" fontId="45" numFmtId="0" xfId="0" applyAlignment="1" applyBorder="1" applyFont="1">
      <alignment horizontal="center" readingOrder="0" shrinkToFit="0" wrapText="0"/>
    </xf>
    <xf borderId="1" fillId="2" fontId="45" numFmtId="0" xfId="0" applyAlignment="1" applyBorder="1" applyFont="1">
      <alignment horizontal="center" readingOrder="0" shrinkToFit="0" vertical="bottom" wrapText="0"/>
    </xf>
    <xf borderId="0" fillId="0" fontId="45" numFmtId="0" xfId="0" applyAlignment="1" applyFont="1">
      <alignment horizontal="center" readingOrder="0" vertical="top"/>
    </xf>
    <xf borderId="0" fillId="2" fontId="45" numFmtId="0" xfId="0" applyAlignment="1" applyFont="1">
      <alignment horizontal="center" readingOrder="0" vertical="top"/>
    </xf>
    <xf borderId="0" fillId="2" fontId="42" numFmtId="0" xfId="0" applyAlignment="1" applyFont="1">
      <alignment horizontal="center" readingOrder="0"/>
    </xf>
    <xf borderId="0" fillId="0" fontId="42" numFmtId="0" xfId="0" applyAlignment="1" applyFont="1">
      <alignment horizontal="center" readingOrder="0"/>
    </xf>
    <xf borderId="0" fillId="0" fontId="42" numFmtId="0" xfId="0" applyAlignment="1" applyFont="1">
      <alignment horizontal="center"/>
    </xf>
    <xf borderId="0" fillId="0" fontId="42" numFmtId="0" xfId="0" applyAlignment="1" applyFont="1">
      <alignment horizontal="center" readingOrder="0" vertical="center"/>
    </xf>
    <xf borderId="0" fillId="15" fontId="42" numFmtId="0" xfId="0" applyAlignment="1" applyFont="1">
      <alignment horizontal="center"/>
    </xf>
    <xf borderId="0" fillId="0" fontId="45" numFmtId="0" xfId="0" applyAlignment="1" applyFont="1">
      <alignment horizontal="center" readingOrder="0" shrinkToFit="0" vertical="bottom" wrapText="0"/>
    </xf>
    <xf borderId="0" fillId="13" fontId="44" numFmtId="0" xfId="0" applyAlignment="1" applyFont="1">
      <alignment horizontal="center" readingOrder="0" vertical="bottom"/>
    </xf>
    <xf borderId="0" fillId="12" fontId="42" numFmtId="0" xfId="0" applyAlignment="1" applyFont="1">
      <alignment horizontal="center"/>
    </xf>
    <xf borderId="20" fillId="13" fontId="43" numFmtId="0" xfId="0" applyAlignment="1" applyBorder="1" applyFont="1">
      <alignment horizontal="center" readingOrder="0" vertical="bottom"/>
    </xf>
    <xf borderId="9" fillId="13" fontId="44" numFmtId="0" xfId="0" applyAlignment="1" applyBorder="1" applyFont="1">
      <alignment horizontal="center"/>
    </xf>
    <xf borderId="9" fillId="13" fontId="44" numFmtId="0" xfId="0" applyAlignment="1" applyBorder="1" applyFont="1">
      <alignment horizontal="center" vertical="bottom"/>
    </xf>
    <xf borderId="9" fillId="13" fontId="44" numFmtId="0" xfId="0" applyAlignment="1" applyBorder="1" applyFont="1">
      <alignment horizontal="center" readingOrder="0"/>
    </xf>
    <xf borderId="9" fillId="13" fontId="44" numFmtId="0" xfId="0" applyAlignment="1" applyBorder="1" applyFont="1">
      <alignment horizontal="center"/>
    </xf>
    <xf borderId="10" fillId="13" fontId="44" numFmtId="0" xfId="0" applyAlignment="1" applyBorder="1" applyFont="1">
      <alignment horizontal="center" readingOrder="0"/>
    </xf>
    <xf borderId="0" fillId="13" fontId="44" numFmtId="0" xfId="0" applyAlignment="1" applyFont="1">
      <alignment horizontal="center" readingOrder="0"/>
    </xf>
    <xf borderId="0" fillId="4" fontId="42" numFmtId="0" xfId="0" applyAlignment="1" applyFont="1">
      <alignment horizontal="center" readingOrder="0"/>
    </xf>
    <xf borderId="0" fillId="7" fontId="42" numFmtId="0" xfId="0" applyAlignment="1" applyFont="1">
      <alignment horizontal="center" readingOrder="0"/>
    </xf>
    <xf borderId="0" fillId="17" fontId="42" numFmtId="0" xfId="0" applyAlignment="1" applyFont="1">
      <alignment horizontal="center" readingOrder="0" vertical="center"/>
    </xf>
    <xf borderId="0" fillId="18" fontId="42" numFmtId="1" xfId="0" applyAlignment="1" applyFill="1" applyFont="1" applyNumberFormat="1">
      <alignment horizontal="center" readingOrder="0" vertical="center"/>
    </xf>
    <xf borderId="0" fillId="9" fontId="42" numFmtId="0" xfId="0" applyAlignment="1" applyFont="1">
      <alignment horizontal="center" readingOrder="0" vertical="center"/>
    </xf>
    <xf borderId="0" fillId="10" fontId="42" numFmtId="0" xfId="0" applyAlignment="1" applyFont="1">
      <alignment horizontal="center" readingOrder="0" vertical="center"/>
    </xf>
    <xf borderId="0" fillId="10" fontId="42" numFmtId="0" xfId="0" applyAlignment="1" applyFont="1">
      <alignment horizontal="center"/>
    </xf>
    <xf borderId="0" fillId="11" fontId="42" numFmtId="0" xfId="0" applyAlignment="1" applyFont="1">
      <alignment horizontal="center" readingOrder="0" vertical="center"/>
    </xf>
    <xf borderId="0" fillId="11" fontId="42" numFmtId="0" xfId="0" applyAlignment="1" applyFont="1">
      <alignment horizontal="center" vertical="center"/>
    </xf>
    <xf borderId="0" fillId="11" fontId="42" numFmtId="0" xfId="0" applyAlignment="1" applyFont="1">
      <alignment horizontal="center"/>
    </xf>
    <xf borderId="0" fillId="12" fontId="42" numFmtId="0" xfId="0" applyAlignment="1" applyFont="1">
      <alignment horizontal="center" vertical="bottom"/>
    </xf>
    <xf borderId="2" fillId="0" fontId="42" numFmtId="0" xfId="0" applyAlignment="1" applyBorder="1" applyFont="1">
      <alignment horizontal="center" readingOrder="0"/>
    </xf>
    <xf borderId="2" fillId="0" fontId="42" numFmtId="0" xfId="0" applyAlignment="1" applyBorder="1" applyFont="1">
      <alignment horizontal="center"/>
    </xf>
    <xf borderId="0" fillId="4" fontId="42" numFmtId="0" xfId="0" applyAlignment="1" applyFont="1">
      <alignment horizontal="center" readingOrder="0" vertical="center"/>
    </xf>
    <xf borderId="2" fillId="2" fontId="42" numFmtId="0" xfId="0" applyAlignment="1" applyBorder="1" applyFont="1">
      <alignment horizontal="center"/>
    </xf>
    <xf borderId="2" fillId="0" fontId="42" numFmtId="0" xfId="0" applyAlignment="1" applyBorder="1" applyFont="1">
      <alignment horizontal="center"/>
    </xf>
    <xf borderId="0" fillId="7" fontId="42" numFmtId="0" xfId="0" applyAlignment="1" applyFont="1">
      <alignment horizontal="center"/>
    </xf>
    <xf borderId="0" fillId="8" fontId="42" numFmtId="0" xfId="0" applyAlignment="1" applyFont="1">
      <alignment horizontal="center" readingOrder="0" vertical="center"/>
    </xf>
    <xf borderId="1" fillId="0" fontId="3" numFmtId="0" xfId="0" applyAlignment="1" applyBorder="1" applyFont="1">
      <alignment horizontal="right" vertical="bottom"/>
    </xf>
    <xf borderId="0" fillId="11" fontId="42" numFmtId="0" xfId="0" applyAlignment="1" applyFont="1">
      <alignment horizontal="center" readingOrder="0"/>
    </xf>
    <xf borderId="2" fillId="5" fontId="42" numFmtId="0" xfId="0" applyAlignment="1" applyBorder="1" applyFont="1">
      <alignment horizontal="center"/>
    </xf>
    <xf borderId="0" fillId="10" fontId="42" numFmtId="0" xfId="0" applyAlignment="1" applyFont="1">
      <alignment horizontal="center" vertical="center"/>
    </xf>
    <xf borderId="2" fillId="2" fontId="47" numFmtId="0" xfId="0" applyAlignment="1" applyBorder="1" applyFont="1">
      <alignment horizontal="center"/>
    </xf>
    <xf borderId="1" fillId="2" fontId="45" numFmtId="0" xfId="0" applyAlignment="1" applyBorder="1" applyFont="1">
      <alignment horizontal="center" readingOrder="0"/>
    </xf>
    <xf borderId="1" fillId="19" fontId="45" numFmtId="0" xfId="0" applyAlignment="1" applyBorder="1" applyFill="1" applyFont="1">
      <alignment horizontal="center" readingOrder="0" shrinkToFit="0" vertical="bottom" wrapText="0"/>
    </xf>
    <xf borderId="0" fillId="10" fontId="41" numFmtId="0" xfId="0" applyAlignment="1" applyFont="1">
      <alignment horizontal="center" readingOrder="0" vertical="center"/>
    </xf>
    <xf borderId="2" fillId="2" fontId="48" numFmtId="0" xfId="0" applyAlignment="1" applyBorder="1" applyFont="1">
      <alignment horizontal="center"/>
    </xf>
    <xf borderId="2" fillId="5" fontId="48" numFmtId="0" xfId="0" applyAlignment="1" applyBorder="1" applyFont="1">
      <alignment horizontal="center"/>
    </xf>
    <xf borderId="1" fillId="19" fontId="46" numFmtId="0" xfId="0" applyAlignment="1" applyBorder="1" applyFont="1">
      <alignment horizontal="center" readingOrder="0" vertical="bottom"/>
    </xf>
    <xf borderId="1" fillId="0" fontId="42" numFmtId="0" xfId="0" applyAlignment="1" applyBorder="1" applyFont="1">
      <alignment horizontal="center"/>
    </xf>
    <xf borderId="1" fillId="4" fontId="42" numFmtId="0" xfId="0" applyAlignment="1" applyBorder="1" applyFont="1">
      <alignment horizontal="center" readingOrder="0" vertical="center"/>
    </xf>
    <xf borderId="1" fillId="2" fontId="48" numFmtId="0" xfId="0" applyAlignment="1" applyBorder="1" applyFont="1">
      <alignment horizontal="center" readingOrder="0" shrinkToFit="0" wrapText="0"/>
    </xf>
    <xf borderId="1" fillId="0" fontId="42" numFmtId="0" xfId="0" applyAlignment="1" applyBorder="1" applyFont="1">
      <alignment horizontal="center" readingOrder="0" vertical="center"/>
    </xf>
    <xf borderId="1" fillId="2" fontId="42" numFmtId="0" xfId="0" applyAlignment="1" applyBorder="1" applyFont="1">
      <alignment horizontal="center" vertical="bottom"/>
    </xf>
    <xf borderId="1" fillId="2" fontId="42" numFmtId="0" xfId="0" applyAlignment="1" applyBorder="1" applyFont="1">
      <alignment horizontal="center" vertical="bottom"/>
    </xf>
    <xf borderId="1" fillId="2" fontId="42" numFmtId="0" xfId="0" applyAlignment="1" applyBorder="1" applyFont="1">
      <alignment horizontal="center" readingOrder="0" vertical="bottom"/>
    </xf>
    <xf borderId="1" fillId="2" fontId="42" numFmtId="0" xfId="0" applyAlignment="1" applyBorder="1" applyFont="1">
      <alignment horizontal="center" shrinkToFit="0" vertical="bottom" wrapText="1"/>
    </xf>
    <xf borderId="1" fillId="0" fontId="42" numFmtId="1" xfId="0" applyAlignment="1" applyBorder="1" applyFont="1" applyNumberFormat="1">
      <alignment horizontal="center" vertical="center"/>
    </xf>
    <xf borderId="1" fillId="9" fontId="42" numFmtId="0" xfId="0" applyAlignment="1" applyBorder="1" applyFont="1">
      <alignment horizontal="center" vertical="center"/>
    </xf>
    <xf borderId="1" fillId="10" fontId="42" numFmtId="0" xfId="0" applyAlignment="1" applyBorder="1" applyFont="1">
      <alignment horizontal="center" vertical="center"/>
    </xf>
    <xf borderId="1" fillId="10" fontId="42" numFmtId="0" xfId="0" applyAlignment="1" applyBorder="1" applyFont="1">
      <alignment horizontal="center" readingOrder="0" shrinkToFit="0" vertical="center" wrapText="1"/>
    </xf>
    <xf borderId="1" fillId="11" fontId="42" numFmtId="0" xfId="0" applyAlignment="1" applyBorder="1" applyFont="1">
      <alignment horizontal="center" vertical="center"/>
    </xf>
    <xf borderId="1" fillId="15" fontId="45" numFmtId="0" xfId="0" applyAlignment="1" applyBorder="1" applyFont="1">
      <alignment horizontal="center" readingOrder="0" shrinkToFit="0" wrapText="0"/>
    </xf>
    <xf borderId="1" fillId="0" fontId="45" numFmtId="0" xfId="0" applyAlignment="1" applyBorder="1" applyFont="1">
      <alignment horizontal="center" readingOrder="0" shrinkToFit="0" vertical="bottom" wrapText="0"/>
    </xf>
    <xf borderId="1" fillId="20" fontId="42" numFmtId="0" xfId="0" applyAlignment="1" applyBorder="1" applyFill="1" applyFont="1">
      <alignment horizontal="center"/>
    </xf>
    <xf borderId="0" fillId="0" fontId="42" numFmtId="0" xfId="0" applyAlignment="1" applyFont="1">
      <alignment horizontal="center" vertical="center"/>
    </xf>
    <xf borderId="0" fillId="0" fontId="3" numFmtId="0" xfId="0" applyAlignment="1" applyFont="1">
      <alignment vertical="bottom"/>
    </xf>
    <xf borderId="0" fillId="0" fontId="3" numFmtId="11" xfId="0" applyAlignment="1" applyFont="1" applyNumberFormat="1">
      <alignment vertical="bottom"/>
    </xf>
    <xf borderId="0" fillId="0" fontId="3" numFmtId="3" xfId="0" applyAlignment="1" applyFont="1" applyNumberFormat="1">
      <alignment vertical="bottom"/>
    </xf>
    <xf borderId="0" fillId="11" fontId="24" numFmtId="0" xfId="0" applyAlignment="1" applyFont="1">
      <alignment horizontal="center"/>
    </xf>
    <xf borderId="1" fillId="21" fontId="3" numFmtId="0" xfId="0" applyAlignment="1" applyBorder="1" applyFill="1" applyFont="1">
      <alignment horizontal="center"/>
    </xf>
    <xf borderId="2" fillId="2" fontId="6" numFmtId="0" xfId="0" applyAlignment="1" applyBorder="1" applyFont="1">
      <alignment vertical="bottom"/>
    </xf>
    <xf borderId="2" fillId="2" fontId="6" numFmtId="0" xfId="0" applyAlignment="1" applyBorder="1" applyFont="1">
      <alignment horizontal="center" vertical="bottom"/>
    </xf>
    <xf borderId="1" fillId="3" fontId="49" numFmtId="0" xfId="0" applyAlignment="1" applyBorder="1" applyFont="1">
      <alignment horizontal="center"/>
    </xf>
    <xf borderId="0" fillId="3" fontId="7" numFmtId="0" xfId="0" applyAlignment="1" applyFont="1">
      <alignment horizontal="center" readingOrder="0"/>
    </xf>
    <xf borderId="1" fillId="21" fontId="3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 readingOrder="0"/>
    </xf>
    <xf borderId="2" fillId="2" fontId="17" numFmtId="0" xfId="0" applyAlignment="1" applyBorder="1" applyFont="1">
      <alignment vertical="bottom"/>
    </xf>
    <xf borderId="2" fillId="2" fontId="50" numFmtId="0" xfId="0" applyAlignment="1" applyBorder="1" applyFont="1">
      <alignment readingOrder="0"/>
    </xf>
    <xf borderId="2" fillId="2" fontId="3" numFmtId="0" xfId="0" applyAlignment="1" applyBorder="1" applyFont="1">
      <alignment horizontal="center" readingOrder="0" vertical="bottom"/>
    </xf>
    <xf borderId="2" fillId="2" fontId="18" numFmtId="0" xfId="0" applyAlignment="1" applyBorder="1" applyFont="1">
      <alignment vertical="bottom"/>
    </xf>
    <xf borderId="1" fillId="3" fontId="49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/>
    </xf>
    <xf borderId="2" fillId="2" fontId="3" numFmtId="0" xfId="0" applyAlignment="1" applyBorder="1" applyFont="1">
      <alignment horizontal="center" vertical="bottom"/>
    </xf>
    <xf borderId="2" fillId="2" fontId="9" numFmtId="0" xfId="0" applyAlignment="1" applyBorder="1" applyFont="1">
      <alignment vertical="bottom"/>
    </xf>
    <xf borderId="2" fillId="2" fontId="9" numFmtId="0" xfId="0" applyAlignment="1" applyBorder="1" applyFont="1">
      <alignment horizontal="center" vertical="bottom"/>
    </xf>
    <xf borderId="1" fillId="3" fontId="24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vertical="bottom"/>
    </xf>
    <xf borderId="1" fillId="0" fontId="9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1" fillId="0" fontId="20" numFmtId="0" xfId="0" applyAlignment="1" applyBorder="1" applyFont="1">
      <alignment horizontal="right" readingOrder="0" shrinkToFit="0" vertical="bottom" wrapText="0"/>
    </xf>
    <xf borderId="1" fillId="0" fontId="24" numFmtId="0" xfId="0" applyAlignment="1" applyBorder="1" applyFont="1">
      <alignment horizontal="center" vertical="center"/>
    </xf>
    <xf borderId="1" fillId="0" fontId="7" numFmtId="0" xfId="0" applyBorder="1" applyFont="1"/>
    <xf borderId="0" fillId="0" fontId="7" numFmtId="0" xfId="0" applyAlignment="1" applyFont="1">
      <alignment readingOrder="0"/>
    </xf>
    <xf borderId="30" fillId="15" fontId="10" numFmtId="0" xfId="0" applyAlignment="1" applyBorder="1" applyFont="1">
      <alignment readingOrder="0" shrinkToFit="0" wrapText="0"/>
    </xf>
    <xf borderId="1" fillId="4" fontId="6" numFmtId="0" xfId="0" applyAlignment="1" applyBorder="1" applyFont="1">
      <alignment horizontal="center" readingOrder="0"/>
    </xf>
    <xf borderId="1" fillId="0" fontId="9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1" fillId="0" fontId="9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center" readingOrder="0" vertical="bottom"/>
    </xf>
    <xf borderId="0" fillId="0" fontId="20" numFmtId="0" xfId="0" applyAlignment="1" applyFont="1">
      <alignment horizontal="right" readingOrder="0" shrinkToFit="0" vertical="bottom" wrapText="0"/>
    </xf>
    <xf borderId="4" fillId="6" fontId="19" numFmtId="0" xfId="0" applyAlignment="1" applyBorder="1" applyFont="1">
      <alignment horizontal="center" readingOrder="0" vertical="bottom"/>
    </xf>
    <xf borderId="3" fillId="6" fontId="19" numFmtId="0" xfId="0" applyAlignment="1" applyBorder="1" applyFont="1">
      <alignment horizontal="center" readingOrder="0" vertical="bottom"/>
    </xf>
    <xf borderId="7" fillId="6" fontId="19" numFmtId="0" xfId="0" applyAlignment="1" applyBorder="1" applyFont="1">
      <alignment horizontal="center" readingOrder="0"/>
    </xf>
    <xf borderId="3" fillId="0" fontId="20" numFmtId="0" xfId="0" applyAlignment="1" applyBorder="1" applyFont="1">
      <alignment readingOrder="0" shrinkToFit="0" vertical="bottom" wrapText="0"/>
    </xf>
    <xf borderId="2" fillId="0" fontId="20" numFmtId="0" xfId="0" applyAlignment="1" applyBorder="1" applyFont="1">
      <alignment horizontal="center" readingOrder="0" vertical="bottom"/>
    </xf>
    <xf borderId="4" fillId="2" fontId="20" numFmtId="0" xfId="0" applyAlignment="1" applyBorder="1" applyFont="1">
      <alignment horizontal="center" readingOrder="0" vertical="bottom"/>
    </xf>
    <xf borderId="4" fillId="2" fontId="16" numFmtId="0" xfId="0" applyAlignment="1" applyBorder="1" applyFont="1">
      <alignment horizontal="center" readingOrder="0" vertical="bottom"/>
    </xf>
    <xf borderId="31" fillId="0" fontId="20" numFmtId="0" xfId="0" applyAlignment="1" applyBorder="1" applyFont="1">
      <alignment readingOrder="0"/>
    </xf>
    <xf borderId="4" fillId="0" fontId="20" numFmtId="0" xfId="0" applyAlignment="1" applyBorder="1" applyFont="1">
      <alignment horizontal="right" readingOrder="0" shrinkToFit="0" vertical="bottom" wrapText="0"/>
    </xf>
    <xf borderId="31" fillId="0" fontId="51" numFmtId="0" xfId="0" applyAlignment="1" applyBorder="1" applyFont="1">
      <alignment readingOrder="0"/>
    </xf>
    <xf borderId="31" fillId="2" fontId="51" numFmtId="0" xfId="0" applyAlignment="1" applyBorder="1" applyFont="1">
      <alignment readingOrder="0"/>
    </xf>
    <xf borderId="31" fillId="0" fontId="52" numFmtId="0" xfId="0" applyAlignment="1" applyBorder="1" applyFont="1">
      <alignment readingOrder="0" vertical="bottom"/>
    </xf>
    <xf borderId="31" fillId="0" fontId="10" numFmtId="0" xfId="0" applyAlignment="1" applyBorder="1" applyFont="1">
      <alignment readingOrder="0" vertical="bottom"/>
    </xf>
    <xf borderId="24" fillId="13" fontId="27" numFmtId="0" xfId="0" applyAlignment="1" applyBorder="1" applyFont="1">
      <alignment horizontal="center" vertical="bottom"/>
    </xf>
    <xf borderId="24" fillId="13" fontId="27" numFmtId="0" xfId="0" applyAlignment="1" applyBorder="1" applyFont="1">
      <alignment horizontal="center"/>
    </xf>
    <xf borderId="1" fillId="7" fontId="6" numFmtId="0" xfId="0" applyAlignment="1" applyBorder="1" applyFont="1">
      <alignment horizontal="center"/>
    </xf>
    <xf borderId="1" fillId="11" fontId="20" numFmtId="0" xfId="0" applyAlignment="1" applyBorder="1" applyFont="1">
      <alignment horizontal="center" readingOrder="0" shrinkToFit="0" wrapText="0"/>
    </xf>
    <xf borderId="1" fillId="11" fontId="20" numFmtId="0" xfId="0" applyAlignment="1" applyBorder="1" applyFont="1">
      <alignment horizontal="center" readingOrder="0" shrinkToFit="0" vertical="bottom" wrapText="0"/>
    </xf>
    <xf borderId="2" fillId="0" fontId="6" numFmtId="0" xfId="0" applyBorder="1" applyFont="1"/>
    <xf borderId="2" fillId="2" fontId="53" numFmtId="0" xfId="0" applyBorder="1" applyFont="1"/>
    <xf borderId="1" fillId="7" fontId="6" numFmtId="0" xfId="0" applyAlignment="1" applyBorder="1" applyFont="1">
      <alignment horizontal="center" readingOrder="0"/>
    </xf>
    <xf borderId="1" fillId="0" fontId="6" numFmtId="0" xfId="0" applyBorder="1" applyFont="1"/>
    <xf borderId="2" fillId="0" fontId="20" numFmtId="0" xfId="0" applyAlignment="1" applyBorder="1" applyFont="1">
      <alignment horizontal="left" readingOrder="0" shrinkToFit="0" vertical="center" wrapText="0"/>
    </xf>
    <xf borderId="2" fillId="2" fontId="18" numFmtId="0" xfId="0" applyBorder="1" applyFont="1"/>
    <xf borderId="2" fillId="2" fontId="18" numFmtId="0" xfId="0" applyAlignment="1" applyBorder="1" applyFont="1">
      <alignment horizontal="center"/>
    </xf>
    <xf borderId="1" fillId="11" fontId="54" numFmtId="0" xfId="0" applyAlignment="1" applyBorder="1" applyFont="1">
      <alignment readingOrder="0"/>
    </xf>
    <xf borderId="32" fillId="15" fontId="10" numFmtId="0" xfId="0" applyAlignment="1" applyBorder="1" applyFont="1">
      <alignment horizontal="right" readingOrder="0" shrinkToFit="0" wrapText="0"/>
    </xf>
    <xf borderId="0" fillId="2" fontId="6" numFmtId="0" xfId="0" applyAlignment="1" applyFont="1">
      <alignment horizontal="center"/>
    </xf>
    <xf borderId="0" fillId="0" fontId="9" numFmtId="0" xfId="0" applyAlignment="1" applyFont="1">
      <alignment vertical="bottom"/>
    </xf>
    <xf borderId="0" fillId="2" fontId="20" numFmtId="0" xfId="0" applyAlignment="1" applyFont="1">
      <alignment horizontal="center"/>
    </xf>
    <xf borderId="0" fillId="0" fontId="6" numFmtId="0" xfId="0" applyAlignment="1" applyFont="1">
      <alignment horizontal="center"/>
    </xf>
    <xf borderId="1" fillId="0" fontId="22" numFmtId="0" xfId="0" applyAlignment="1" applyBorder="1" applyFont="1">
      <alignment horizontal="center" readingOrder="0" shrinkToFit="0" vertical="center" wrapText="1"/>
    </xf>
    <xf borderId="1" fillId="0" fontId="22" numFmtId="49" xfId="0" applyAlignment="1" applyBorder="1" applyFont="1" applyNumberFormat="1">
      <alignment horizontal="center" readingOrder="0" vertical="center"/>
    </xf>
    <xf borderId="7" fillId="11" fontId="22" numFmtId="0" xfId="0" applyAlignment="1" applyBorder="1" applyFont="1">
      <alignment horizontal="center" readingOrder="0" vertical="center"/>
    </xf>
    <xf borderId="3" fillId="11" fontId="22" numFmtId="0" xfId="0" applyAlignment="1" applyBorder="1" applyFont="1">
      <alignment horizontal="center" readingOrder="0" vertical="center"/>
    </xf>
    <xf borderId="3" fillId="0" fontId="22" numFmtId="0" xfId="0" applyAlignment="1" applyBorder="1" applyFont="1">
      <alignment horizontal="center" readingOrder="0" vertical="center"/>
    </xf>
    <xf borderId="2" fillId="0" fontId="22" numFmtId="0" xfId="0" applyAlignment="1" applyBorder="1" applyFont="1">
      <alignment horizontal="center" readingOrder="0" vertical="center"/>
    </xf>
    <xf borderId="2" fillId="0" fontId="22" numFmtId="0" xfId="0" applyAlignment="1" applyBorder="1" applyFont="1">
      <alignment horizontal="center" readingOrder="0" shrinkToFit="0" vertical="center" wrapText="1"/>
    </xf>
    <xf borderId="14" fillId="13" fontId="26" numFmtId="0" xfId="0" applyAlignment="1" applyBorder="1" applyFont="1">
      <alignment horizontal="center" readingOrder="0" vertical="bottom"/>
    </xf>
    <xf borderId="16" fillId="13" fontId="24" numFmtId="49" xfId="0" applyAlignment="1" applyBorder="1" applyFont="1" applyNumberFormat="1">
      <alignment horizontal="center" readingOrder="0"/>
    </xf>
    <xf borderId="0" fillId="12" fontId="3" numFmtId="0" xfId="0" applyAlignment="1" applyFont="1">
      <alignment horizontal="center"/>
    </xf>
    <xf borderId="20" fillId="13" fontId="26" numFmtId="0" xfId="0" applyAlignment="1" applyBorder="1" applyFont="1">
      <alignment horizontal="center" readingOrder="0" vertical="bottom"/>
    </xf>
    <xf borderId="0" fillId="2" fontId="28" numFmtId="0" xfId="0" applyAlignment="1" applyFont="1">
      <alignment horizontal="center" readingOrder="0" shrinkToFit="0" vertical="bottom" wrapText="0"/>
    </xf>
    <xf borderId="25" fillId="2" fontId="28" numFmtId="0" xfId="0" applyAlignment="1" applyBorder="1" applyFont="1">
      <alignment horizontal="center" readingOrder="0" shrinkToFit="0" vertical="bottom" wrapText="0"/>
    </xf>
    <xf borderId="25" fillId="0" fontId="28" numFmtId="0" xfId="0" applyAlignment="1" applyBorder="1" applyFont="1">
      <alignment horizontal="left" readingOrder="0" vertical="top"/>
    </xf>
    <xf borderId="25" fillId="0" fontId="24" numFmtId="49" xfId="0" applyAlignment="1" applyBorder="1" applyFont="1" applyNumberFormat="1">
      <alignment horizontal="center" readingOrder="0"/>
    </xf>
    <xf borderId="0" fillId="7" fontId="24" numFmtId="0" xfId="0" applyAlignment="1" applyFont="1">
      <alignment horizontal="center"/>
    </xf>
    <xf borderId="0" fillId="8" fontId="24" numFmtId="0" xfId="0" applyAlignment="1" applyFont="1">
      <alignment horizontal="center"/>
    </xf>
    <xf borderId="0" fillId="8" fontId="24" numFmtId="1" xfId="0" applyAlignment="1" applyFont="1" applyNumberFormat="1">
      <alignment horizontal="center"/>
    </xf>
    <xf borderId="0" fillId="9" fontId="24" numFmtId="0" xfId="0" applyAlignment="1" applyFont="1">
      <alignment horizontal="center"/>
    </xf>
    <xf borderId="0" fillId="0" fontId="24" numFmtId="49" xfId="0" applyAlignment="1" applyFont="1" applyNumberFormat="1">
      <alignment horizontal="center" readingOrder="0"/>
    </xf>
    <xf borderId="0" fillId="0" fontId="28" numFmtId="0" xfId="0" applyAlignment="1" applyFont="1">
      <alignment horizontal="left" readingOrder="0" shrinkToFit="0" vertical="bottom" wrapText="0"/>
    </xf>
    <xf borderId="0" fillId="0" fontId="24" numFmtId="0" xfId="0" applyAlignment="1" applyFont="1">
      <alignment horizontal="left" readingOrder="0" vertical="top"/>
    </xf>
    <xf borderId="0" fillId="2" fontId="24" numFmtId="0" xfId="0" applyAlignment="1" applyFont="1">
      <alignment horizontal="center" readingOrder="0" shrinkToFit="0" vertical="bottom" wrapText="0"/>
    </xf>
    <xf borderId="0" fillId="18" fontId="55" numFmtId="0" xfId="0" applyAlignment="1" applyFont="1">
      <alignment shrinkToFit="0" vertical="center" wrapText="1"/>
    </xf>
    <xf borderId="0" fillId="18" fontId="55" numFmtId="0" xfId="0" applyAlignment="1" applyFont="1">
      <alignment horizontal="center" shrinkToFit="0" vertical="center" wrapText="1"/>
    </xf>
    <xf borderId="0" fillId="18" fontId="55" numFmtId="0" xfId="0" applyAlignment="1" applyFont="1">
      <alignment horizontal="center" readingOrder="0" shrinkToFit="0" vertical="center" wrapText="1"/>
    </xf>
    <xf borderId="0" fillId="22" fontId="55" numFmtId="0" xfId="0" applyAlignment="1" applyFill="1" applyFont="1">
      <alignment horizontal="center" shrinkToFit="0" vertical="center" wrapText="1"/>
    </xf>
    <xf borderId="0" fillId="2" fontId="56" numFmtId="0" xfId="0" applyAlignment="1" applyFont="1">
      <alignment readingOrder="0" vertical="bottom"/>
    </xf>
    <xf borderId="0" fillId="2" fontId="56" numFmtId="0" xfId="0" applyAlignment="1" applyFont="1">
      <alignment horizontal="center" vertical="bottom"/>
    </xf>
    <xf borderId="0" fillId="23" fontId="56" numFmtId="0" xfId="0" applyAlignment="1" applyFill="1" applyFont="1">
      <alignment vertical="bottom"/>
    </xf>
    <xf borderId="0" fillId="23" fontId="56" numFmtId="0" xfId="0" applyAlignment="1" applyFont="1">
      <alignment horizontal="center" vertical="bottom"/>
    </xf>
    <xf borderId="0" fillId="23" fontId="56" numFmtId="0" xfId="0" applyAlignment="1" applyFont="1">
      <alignment readingOrder="0" vertical="bottom"/>
    </xf>
    <xf borderId="0" fillId="2" fontId="56" numFmtId="0" xfId="0" applyAlignment="1" applyFont="1">
      <alignment vertical="bottom"/>
    </xf>
    <xf borderId="0" fillId="2" fontId="56" numFmtId="10" xfId="0" applyAlignment="1" applyFont="1" applyNumberFormat="1">
      <alignment horizontal="center" vertical="bottom"/>
    </xf>
    <xf borderId="0" fillId="23" fontId="56" numFmtId="10" xfId="0" applyAlignment="1" applyFont="1" applyNumberFormat="1">
      <alignment horizontal="center" vertical="bottom"/>
    </xf>
    <xf borderId="0" fillId="0" fontId="3" numFmtId="10" xfId="0" applyAlignment="1" applyFont="1" applyNumberFormat="1">
      <alignment vertical="bottom"/>
    </xf>
    <xf borderId="0" fillId="0" fontId="7" numFmtId="0" xfId="0" applyAlignment="1" applyFont="1">
      <alignment horizontal="center"/>
    </xf>
    <xf borderId="0" fillId="0" fontId="28" numFmtId="0" xfId="0" applyAlignment="1" applyFont="1">
      <alignment readingOrder="0" vertical="top"/>
    </xf>
    <xf borderId="0" fillId="20" fontId="57" numFmtId="0" xfId="0" applyAlignment="1" applyFont="1">
      <alignment horizontal="center" readingOrder="0" vertical="bottom"/>
    </xf>
    <xf borderId="0" fillId="20" fontId="57" numFmtId="0" xfId="0" applyAlignment="1" applyFont="1">
      <alignment horizontal="right" readingOrder="0" vertical="bottom"/>
    </xf>
    <xf borderId="0" fillId="2" fontId="24" numFmtId="0" xfId="0" applyAlignment="1" applyFont="1">
      <alignment readingOrder="0" vertical="bottom"/>
    </xf>
    <xf borderId="0" fillId="0" fontId="24" numFmtId="0" xfId="0" applyAlignment="1" applyFont="1">
      <alignment readingOrder="0" vertical="bottom"/>
    </xf>
    <xf borderId="0" fillId="20" fontId="57" numFmtId="0" xfId="0" applyAlignment="1" applyFont="1">
      <alignment readingOrder="0" vertical="bottom"/>
    </xf>
    <xf borderId="0" fillId="20" fontId="7" numFmtId="0" xfId="0" applyFont="1"/>
    <xf borderId="0" fillId="20" fontId="6" numFmtId="0" xfId="0" applyAlignment="1" applyFont="1">
      <alignment horizontal="center" readingOrder="0" vertical="bottom"/>
    </xf>
    <xf borderId="31" fillId="0" fontId="16" numFmtId="0" xfId="0" applyAlignment="1" applyBorder="1" applyFont="1">
      <alignment readingOrder="0"/>
    </xf>
    <xf borderId="31" fillId="2" fontId="16" numFmtId="0" xfId="0" applyAlignment="1" applyBorder="1" applyFont="1">
      <alignment readingOrder="0"/>
    </xf>
    <xf borderId="1" fillId="0" fontId="22" numFmtId="0" xfId="0" applyAlignment="1" applyBorder="1" applyFont="1">
      <alignment shrinkToFit="0" wrapText="1"/>
    </xf>
    <xf borderId="5" fillId="0" fontId="22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shrinkToFit="0" vertical="bottom" wrapText="1"/>
    </xf>
    <xf borderId="33" fillId="0" fontId="23" numFmtId="0" xfId="0" applyBorder="1" applyFont="1"/>
    <xf borderId="0" fillId="2" fontId="6" numFmtId="0" xfId="0" applyAlignment="1" applyFont="1">
      <alignment horizontal="center" readingOrder="0"/>
    </xf>
    <xf borderId="0" fillId="2" fontId="6" numFmtId="0" xfId="0" applyAlignment="1" applyFont="1">
      <alignment readingOrder="0" vertical="bottom"/>
    </xf>
    <xf borderId="0" fillId="2" fontId="6" numFmtId="0" xfId="0" applyAlignment="1" applyFont="1">
      <alignment vertical="bottom"/>
    </xf>
    <xf borderId="0" fillId="2" fontId="6" numFmtId="0" xfId="0" applyAlignment="1" applyFont="1">
      <alignment horizontal="center" vertical="bottom"/>
    </xf>
    <xf borderId="0" fillId="2" fontId="6" numFmtId="0" xfId="0" applyAlignment="1" applyFont="1">
      <alignment horizontal="center" shrinkToFit="0" wrapText="1"/>
    </xf>
    <xf borderId="0" fillId="0" fontId="6" numFmtId="0" xfId="0" applyFont="1"/>
    <xf borderId="0" fillId="8" fontId="6" numFmtId="0" xfId="0" applyAlignment="1" applyFont="1">
      <alignment horizontal="center" readingOrder="0" vertical="center"/>
    </xf>
    <xf borderId="0" fillId="9" fontId="6" numFmtId="0" xfId="0" applyAlignment="1" applyFont="1">
      <alignment horizontal="center" readingOrder="0" vertical="center"/>
    </xf>
    <xf borderId="0" fillId="10" fontId="6" numFmtId="0" xfId="0" applyAlignment="1" applyFont="1">
      <alignment horizontal="center" readingOrder="0" vertical="center"/>
    </xf>
    <xf borderId="0" fillId="10" fontId="6" numFmtId="0" xfId="0" applyAlignment="1" applyFont="1">
      <alignment horizontal="center"/>
    </xf>
    <xf borderId="0" fillId="2" fontId="20" numFmtId="0" xfId="0" applyAlignment="1" applyFont="1">
      <alignment horizontal="center" readingOrder="0" shrinkToFit="0" wrapText="0"/>
    </xf>
    <xf borderId="0" fillId="2" fontId="16" numFmtId="0" xfId="0" applyAlignment="1" applyFont="1">
      <alignment horizontal="center" readingOrder="0"/>
    </xf>
    <xf borderId="0" fillId="12" fontId="24" numFmtId="0" xfId="0" applyAlignment="1" applyFont="1">
      <alignment horizontal="center" vertical="center"/>
    </xf>
    <xf borderId="1" fillId="2" fontId="6" numFmtId="0" xfId="0" applyAlignment="1" applyBorder="1" applyFont="1">
      <alignment horizontal="center" shrinkToFit="0" wrapText="1"/>
    </xf>
    <xf borderId="1" fillId="0" fontId="6" numFmtId="0" xfId="0" applyBorder="1" applyFont="1"/>
    <xf borderId="1" fillId="8" fontId="6" numFmtId="0" xfId="0" applyAlignment="1" applyBorder="1" applyFont="1">
      <alignment horizontal="center" readingOrder="0" vertical="center"/>
    </xf>
    <xf borderId="1" fillId="9" fontId="6" numFmtId="0" xfId="0" applyAlignment="1" applyBorder="1" applyFont="1">
      <alignment horizontal="center" readingOrder="0" vertical="center"/>
    </xf>
    <xf borderId="1" fillId="10" fontId="6" numFmtId="0" xfId="0" applyAlignment="1" applyBorder="1" applyFont="1">
      <alignment horizontal="center" readingOrder="0" vertical="center"/>
    </xf>
    <xf borderId="1" fillId="10" fontId="6" numFmtId="0" xfId="0" applyAlignment="1" applyBorder="1" applyFont="1">
      <alignment horizontal="center"/>
    </xf>
    <xf borderId="1" fillId="2" fontId="20" numFmtId="0" xfId="0" applyAlignment="1" applyBorder="1" applyFont="1">
      <alignment horizontal="center" readingOrder="0" shrinkToFit="0" wrapText="0"/>
    </xf>
    <xf borderId="1" fillId="2" fontId="16" numFmtId="0" xfId="0" applyAlignment="1" applyBorder="1" applyFont="1">
      <alignment horizontal="center" readingOrder="0"/>
    </xf>
    <xf borderId="0" fillId="0" fontId="7" numFmtId="1" xfId="0" applyFont="1" applyNumberFormat="1"/>
    <xf borderId="2" fillId="2" fontId="18" numFmtId="0" xfId="0" applyAlignment="1" applyBorder="1" applyFont="1">
      <alignment readingOrder="0" vertical="bottom"/>
    </xf>
    <xf borderId="2" fillId="4" fontId="18" numFmtId="0" xfId="0" applyAlignment="1" applyBorder="1" applyFont="1">
      <alignment readingOrder="0" vertical="bottom"/>
    </xf>
    <xf borderId="2" fillId="0" fontId="24" numFmtId="0" xfId="0" applyAlignment="1" applyBorder="1" applyFont="1">
      <alignment horizontal="center" readingOrder="0"/>
    </xf>
    <xf borderId="2" fillId="4" fontId="6" numFmtId="0" xfId="0" applyAlignment="1" applyBorder="1" applyFont="1">
      <alignment readingOrder="0" vertical="bottom"/>
    </xf>
    <xf borderId="0" fillId="0" fontId="7" numFmtId="0" xfId="0" applyFont="1"/>
    <xf borderId="2" fillId="4" fontId="18" numFmtId="0" xfId="0" applyAlignment="1" applyBorder="1" applyFont="1">
      <alignment readingOrder="0"/>
    </xf>
    <xf borderId="0" fillId="0" fontId="7" numFmtId="1" xfId="0" applyAlignment="1" applyFont="1" applyNumberFormat="1">
      <alignment readingOrder="0"/>
    </xf>
    <xf borderId="2" fillId="0" fontId="58" numFmtId="0" xfId="0" applyBorder="1" applyFont="1"/>
    <xf borderId="31" fillId="0" fontId="6" numFmtId="0" xfId="0" applyAlignment="1" applyBorder="1" applyFont="1">
      <alignment horizontal="center"/>
    </xf>
    <xf borderId="2" fillId="24" fontId="16" numFmtId="0" xfId="0" applyAlignment="1" applyBorder="1" applyFill="1" applyFont="1">
      <alignment shrinkToFit="0" wrapText="1"/>
    </xf>
    <xf borderId="1" fillId="24" fontId="20" numFmtId="0" xfId="0" applyAlignment="1" applyBorder="1" applyFont="1">
      <alignment horizontal="center"/>
    </xf>
    <xf borderId="1" fillId="0" fontId="32" numFmtId="0" xfId="0" applyAlignment="1" applyBorder="1" applyFont="1">
      <alignment readingOrder="0" shrinkToFit="0" vertical="bottom" wrapText="0"/>
    </xf>
    <xf borderId="2" fillId="0" fontId="20" numFmtId="0" xfId="0" applyAlignment="1" applyBorder="1" applyFont="1">
      <alignment horizontal="center" readingOrder="0" shrinkToFit="0" wrapText="0"/>
    </xf>
    <xf borderId="2" fillId="2" fontId="24" numFmtId="0" xfId="0" applyBorder="1" applyFont="1"/>
    <xf borderId="2" fillId="3" fontId="24" numFmtId="0" xfId="0" applyBorder="1" applyFont="1"/>
    <xf borderId="2" fillId="2" fontId="24" numFmtId="0" xfId="0" applyAlignment="1" applyBorder="1" applyFont="1">
      <alignment horizontal="center"/>
    </xf>
    <xf borderId="2" fillId="0" fontId="24" numFmtId="0" xfId="0" applyAlignment="1" applyBorder="1" applyFont="1">
      <alignment horizontal="center"/>
    </xf>
    <xf borderId="4" fillId="10" fontId="28" numFmtId="0" xfId="0" applyAlignment="1" applyBorder="1" applyFont="1">
      <alignment horizontal="right" readingOrder="0" shrinkToFit="0" vertical="bottom" wrapText="0"/>
    </xf>
    <xf borderId="0" fillId="0" fontId="28" numFmtId="0" xfId="0" applyAlignment="1" applyFont="1">
      <alignment readingOrder="0" shrinkToFit="0" wrapText="0"/>
    </xf>
    <xf borderId="4" fillId="2" fontId="36" numFmtId="0" xfId="0" applyAlignment="1" applyBorder="1" applyFont="1">
      <alignment readingOrder="0" shrinkToFit="0" vertical="bottom" wrapText="0"/>
    </xf>
    <xf borderId="1" fillId="0" fontId="28" numFmtId="0" xfId="0" applyAlignment="1" applyBorder="1" applyFont="1">
      <alignment horizontal="center" readingOrder="0" shrinkToFit="0" vertical="bottom" wrapText="0"/>
    </xf>
    <xf borderId="1" fillId="2" fontId="28" numFmtId="0" xfId="0" applyAlignment="1" applyBorder="1" applyFont="1">
      <alignment horizontal="center" readingOrder="0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43">
    <tableStyle count="3" pivot="0" name="UG-CSE-style">
      <tableStyleElement dxfId="1" type="headerRow"/>
      <tableStyleElement dxfId="2" type="firstRowStripe"/>
      <tableStyleElement dxfId="3" type="secondRowStripe"/>
    </tableStyle>
    <tableStyle count="3" pivot="0" name="UG-CSE-style 2">
      <tableStyleElement dxfId="1" type="headerRow"/>
      <tableStyleElement dxfId="2" type="firstRowStripe"/>
      <tableStyleElement dxfId="3" type="secondRowStripe"/>
    </tableStyle>
    <tableStyle count="2" pivot="0" name="UG-CSE-style 3">
      <tableStyleElement dxfId="2" type="firstRowStripe"/>
      <tableStyleElement dxfId="4" type="secondRowStripe"/>
    </tableStyle>
    <tableStyle count="2" pivot="0" name="UG-CSE-style 4">
      <tableStyleElement dxfId="2" type="firstRowStripe"/>
      <tableStyleElement dxfId="4" type="secondRowStripe"/>
    </tableStyle>
    <tableStyle count="3" pivot="0" name="UG-ISE-style">
      <tableStyleElement dxfId="1" type="headerRow"/>
      <tableStyleElement dxfId="2" type="firstRowStripe"/>
      <tableStyleElement dxfId="3" type="secondRowStripe"/>
    </tableStyle>
    <tableStyle count="2" pivot="0" name="UG-ISE-style 2">
      <tableStyleElement dxfId="2" type="firstRowStripe"/>
      <tableStyleElement dxfId="4" type="secondRowStripe"/>
    </tableStyle>
    <tableStyle count="2" pivot="0" name="UG-ISE-style 3">
      <tableStyleElement dxfId="2" type="firstRowStripe"/>
      <tableStyleElement dxfId="4" type="secondRowStripe"/>
    </tableStyle>
    <tableStyle count="2" pivot="0" name="UG-ISE-style 4">
      <tableStyleElement dxfId="2" type="firstRowStripe"/>
      <tableStyleElement dxfId="4" type="secondRowStripe"/>
    </tableStyle>
    <tableStyle count="2" pivot="0" name="UG-ISE-style 5">
      <tableStyleElement dxfId="4" type="firstRowStripe"/>
      <tableStyleElement dxfId="2" type="secondRowStripe"/>
    </tableStyle>
    <tableStyle count="2" pivot="0" name="UG-ISE-style 6">
      <tableStyleElement dxfId="4" type="firstRowStripe"/>
      <tableStyleElement dxfId="2" type="secondRowStripe"/>
    </tableStyle>
    <tableStyle count="2" pivot="0" name="UG-ISE-style 7">
      <tableStyleElement dxfId="4" type="firstRowStripe"/>
      <tableStyleElement dxfId="2" type="secondRowStripe"/>
    </tableStyle>
    <tableStyle count="2" pivot="0" name="UG-ISE-style 8">
      <tableStyleElement dxfId="4" type="firstRowStripe"/>
      <tableStyleElement dxfId="2" type="secondRowStripe"/>
    </tableStyle>
    <tableStyle count="2" pivot="0" name="UG-ISE-style 9">
      <tableStyleElement dxfId="4" type="firstRowStripe"/>
      <tableStyleElement dxfId="2" type="secondRowStripe"/>
    </tableStyle>
    <tableStyle count="2" pivot="0" name="UG-ISE-style 10">
      <tableStyleElement dxfId="4" type="firstRowStripe"/>
      <tableStyleElement dxfId="2" type="secondRowStripe"/>
    </tableStyle>
    <tableStyle count="2" pivot="0" name="UG-ISE-style 11">
      <tableStyleElement dxfId="4" type="firstRowStripe"/>
      <tableStyleElement dxfId="2" type="secondRowStripe"/>
    </tableStyle>
    <tableStyle count="2" pivot="0" name="UG-ISE-style 12">
      <tableStyleElement dxfId="4" type="firstRowStripe"/>
      <tableStyleElement dxfId="2" type="secondRowStripe"/>
    </tableStyle>
    <tableStyle count="2" pivot="0" name="UG-ISE-style 13">
      <tableStyleElement dxfId="2" type="firstRowStripe"/>
      <tableStyleElement dxfId="4" type="secondRowStripe"/>
    </tableStyle>
    <tableStyle count="2" pivot="0" name="UG-ISE-style 14">
      <tableStyleElement dxfId="4" type="firstRowStripe"/>
      <tableStyleElement dxfId="2" type="secondRowStripe"/>
    </tableStyle>
    <tableStyle count="2" pivot="0" name="UG-ISE-style 15">
      <tableStyleElement dxfId="4" type="firstRowStripe"/>
      <tableStyleElement dxfId="2" type="secondRowStripe"/>
    </tableStyle>
    <tableStyle count="2" pivot="0" name="UG-ISE-style 16">
      <tableStyleElement dxfId="4" type="firstRowStripe"/>
      <tableStyleElement dxfId="2" type="secondRowStripe"/>
    </tableStyle>
    <tableStyle count="2" pivot="0" name="UG-ISE-style 17">
      <tableStyleElement dxfId="4" type="firstRowStripe"/>
      <tableStyleElement dxfId="2" type="secondRowStripe"/>
    </tableStyle>
    <tableStyle count="2" pivot="0" name="UG-ISE-style 18">
      <tableStyleElement dxfId="2" type="firstRowStripe"/>
      <tableStyleElement dxfId="4" type="secondRowStripe"/>
    </tableStyle>
    <tableStyle count="2" pivot="0" name="UG-ISE-style 19">
      <tableStyleElement dxfId="2" type="firstRowStripe"/>
      <tableStyleElement dxfId="4" type="secondRowStripe"/>
    </tableStyle>
    <tableStyle count="2" pivot="0" name="UG-ISE-style 20">
      <tableStyleElement dxfId="2" type="firstRowStripe"/>
      <tableStyleElement dxfId="4" type="secondRowStripe"/>
    </tableStyle>
    <tableStyle count="2" pivot="0" name="UG-ISE-style 21">
      <tableStyleElement dxfId="2" type="firstRowStripe"/>
      <tableStyleElement dxfId="4" type="secondRowStripe"/>
    </tableStyle>
    <tableStyle count="2" pivot="0" name="UG-ISE-style 22">
      <tableStyleElement dxfId="2" type="firstRowStripe"/>
      <tableStyleElement dxfId="4" type="secondRowStripe"/>
    </tableStyle>
    <tableStyle count="2" pivot="0" name="UG-ISE-style 23">
      <tableStyleElement dxfId="4" type="firstRowStripe"/>
      <tableStyleElement dxfId="2" type="secondRowStripe"/>
    </tableStyle>
    <tableStyle count="2" pivot="0" name="UG-ISE-style 24">
      <tableStyleElement dxfId="2" type="firstRowStripe"/>
      <tableStyleElement dxfId="4" type="secondRowStripe"/>
    </tableStyle>
    <tableStyle count="2" pivot="0" name="UG-ISE-style 25">
      <tableStyleElement dxfId="2" type="firstRowStripe"/>
      <tableStyleElement dxfId="4" type="secondRowStripe"/>
    </tableStyle>
    <tableStyle count="2" pivot="0" name="UG-ISE-style 26">
      <tableStyleElement dxfId="2" type="firstRowStripe"/>
      <tableStyleElement dxfId="4" type="secondRowStripe"/>
    </tableStyle>
    <tableStyle count="2" pivot="0" name="UG-ISE-style 27">
      <tableStyleElement dxfId="2" type="firstRowStripe"/>
      <tableStyleElement dxfId="4" type="secondRowStripe"/>
    </tableStyle>
    <tableStyle count="2" pivot="0" name="UG-ISE-style 28">
      <tableStyleElement dxfId="2" type="firstRowStripe"/>
      <tableStyleElement dxfId="4" type="secondRowStripe"/>
    </tableStyle>
    <tableStyle count="2" pivot="0" name="UG-ISE-style 29">
      <tableStyleElement dxfId="4" type="firstRowStripe"/>
      <tableStyleElement dxfId="2" type="secondRowStripe"/>
    </tableStyle>
    <tableStyle count="2" pivot="0" name="UG-ISE-style 30">
      <tableStyleElement dxfId="4" type="firstRowStripe"/>
      <tableStyleElement dxfId="2" type="secondRowStripe"/>
    </tableStyle>
    <tableStyle count="2" pivot="0" name="UG-ISE-style 31">
      <tableStyleElement dxfId="4" type="firstRowStripe"/>
      <tableStyleElement dxfId="2" type="secondRowStripe"/>
    </tableStyle>
    <tableStyle count="2" pivot="0" name="UG-ISE-style 32">
      <tableStyleElement dxfId="4" type="firstRowStripe"/>
      <tableStyleElement dxfId="2" type="secondRowStripe"/>
    </tableStyle>
    <tableStyle count="3" pivot="0" name="UG-AIDS-style">
      <tableStyleElement dxfId="1" type="headerRow"/>
      <tableStyleElement dxfId="2" type="firstRowStripe"/>
      <tableStyleElement dxfId="3" type="secondRowStripe"/>
    </tableStyle>
    <tableStyle count="3" pivot="0" name="UG-CSDS-style">
      <tableStyleElement dxfId="1" type="headerRow"/>
      <tableStyleElement dxfId="2" type="firstRowStripe"/>
      <tableStyleElement dxfId="3" type="secondRowStripe"/>
    </tableStyle>
    <tableStyle count="3" pivot="0" name="UG-ECE-style">
      <tableStyleElement dxfId="1" type="headerRow"/>
      <tableStyleElement dxfId="2" type="firstRowStripe"/>
      <tableStyleElement dxfId="3" type="secondRowStripe"/>
    </tableStyle>
    <tableStyle count="3" pivot="0" name="UG-AIML-style">
      <tableStyleElement dxfId="1" type="headerRow"/>
      <tableStyleElement dxfId="2" type="firstRowStripe"/>
      <tableStyleElement dxfId="3" type="secondRowStripe"/>
    </tableStyle>
    <tableStyle count="3" pivot="0" name="UG-CSAIML-style">
      <tableStyleElement dxfId="1" type="headerRow"/>
      <tableStyleElement dxfId="2" type="firstRowStripe"/>
      <tableStyleElement dxfId="3" type="secondRowStripe"/>
    </tableStyle>
    <tableStyle count="3" pivot="0" name="Consolidated-style">
      <tableStyleElement dxfId="1" type="headerRow"/>
      <tableStyleElement dxfId="2" type="firstRowStripe"/>
      <tableStyleElement dxfId="3" type="secondRowStripe"/>
    </tableStyle>
    <tableStyle count="3" pivot="0" name="Statistic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228600</xdr:colOff>
      <xdr:row>6</xdr:row>
      <xdr:rowOff>152400</xdr:rowOff>
    </xdr:from>
    <xdr:ext cx="3190875" cy="1971675"/>
    <xdr:pic>
      <xdr:nvPicPr>
        <xdr:cNvPr id="1889998134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E2:AF2" displayName="Table_1" name="Table_1" id="1">
  <tableColumns count="2">
    <tableColumn name="Column1" id="1"/>
    <tableColumn name="Column2" id="2"/>
  </tableColumns>
  <tableStyleInfo name="UG-CS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G2:AJ2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UG-CSE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B219:B240" displayName="Table_3" name="Table_3" id="3">
  <tableColumns count="1">
    <tableColumn name="Column1" id="1"/>
  </tableColumns>
  <tableStyleInfo name="UG-CSE-style 3" showColumnStripes="0" showFirstColumn="1" showLastColumn="1" showRowStripes="1"/>
</table>
</file>

<file path=xl/tables/table4.xml><?xml version="1.0" encoding="utf-8"?>
<table xmlns="http://schemas.openxmlformats.org/spreadsheetml/2006/main" headerRowCount="0" ref="E219:E240" displayName="Table_4" name="Table_4" id="4">
  <tableColumns count="1">
    <tableColumn name="Column1" id="1"/>
  </tableColumns>
  <tableStyleInfo name="UG-CSE-style 4" showColumnStripes="0" showFirstColumn="1" showLastColumn="1" showRowStripes="1"/>
</table>
</file>

<file path=xl/tables/table5.xml><?xml version="1.0" encoding="utf-8"?>
<table xmlns="http://schemas.openxmlformats.org/spreadsheetml/2006/main" headerRowCount="0" ref="AI2:AJ2" displayName="Table_5" name="Table_5" id="5">
  <tableColumns count="2">
    <tableColumn name="Column1" id="1"/>
    <tableColumn name="Column2" id="2"/>
  </tableColumns>
  <tableStyleInfo name="UG-IS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V7:X8" displayName="Table_6" name="Table_6" id="6">
  <tableColumns count="3">
    <tableColumn name="Column1" id="1"/>
    <tableColumn name="Column2" id="2"/>
    <tableColumn name="Column3" id="3"/>
  </tableColumns>
  <tableStyleInfo name="UG-ISE-style 2" showColumnStripes="0" showFirstColumn="1" showLastColumn="1" showRowStripes="1"/>
</table>
</file>

<file path=xl/tables/table7.xml><?xml version="1.0" encoding="utf-8"?>
<table xmlns="http://schemas.openxmlformats.org/spreadsheetml/2006/main" headerRowCount="0" ref="V10:X11" displayName="Table_7" name="Table_7" id="7">
  <tableColumns count="3">
    <tableColumn name="Column1" id="1"/>
    <tableColumn name="Column2" id="2"/>
    <tableColumn name="Column3" id="3"/>
  </tableColumns>
  <tableStyleInfo name="UG-ISE-style 3" showColumnStripes="0" showFirstColumn="1" showLastColumn="1" showRowStripes="1"/>
</table>
</file>

<file path=xl/tables/table8.xml><?xml version="1.0" encoding="utf-8"?>
<table xmlns="http://schemas.openxmlformats.org/spreadsheetml/2006/main" headerRowCount="0" ref="V14:X20" displayName="Table_8" name="Table_8" id="8">
  <tableColumns count="3">
    <tableColumn name="Column1" id="1"/>
    <tableColumn name="Column2" id="2"/>
    <tableColumn name="Column3" id="3"/>
  </tableColumns>
  <tableStyleInfo name="UG-ISE-style 4" showColumnStripes="0" showFirstColumn="1" showLastColumn="1" showRowStripes="1"/>
</table>
</file>

<file path=xl/tables/table9.xml><?xml version="1.0" encoding="utf-8"?>
<table xmlns="http://schemas.openxmlformats.org/spreadsheetml/2006/main" headerRowCount="0" ref="V22:X23" displayName="Table_9" name="Table_9" id="9">
  <tableColumns count="3">
    <tableColumn name="Column1" id="1"/>
    <tableColumn name="Column2" id="2"/>
    <tableColumn name="Column3" id="3"/>
  </tableColumns>
  <tableStyleInfo name="UG-ISE-style 5" showColumnStripes="0" showFirstColumn="1" showLastColumn="1" showRowStripes="1"/>
</table>
</file>

<file path=xl/tables/table10.xml><?xml version="1.0" encoding="utf-8"?>
<table xmlns="http://schemas.openxmlformats.org/spreadsheetml/2006/main" headerRowCount="0" ref="V25:X28" displayName="Table_10" name="Table_10" id="10">
  <tableColumns count="3">
    <tableColumn name="Column1" id="1"/>
    <tableColumn name="Column2" id="2"/>
    <tableColumn name="Column3" id="3"/>
  </tableColumns>
  <tableStyleInfo name="UG-ISE-style 6" showColumnStripes="0" showFirstColumn="1" showLastColumn="1" showRowStripes="1"/>
</table>
</file>

<file path=xl/tables/table11.xml><?xml version="1.0" encoding="utf-8"?>
<table xmlns="http://schemas.openxmlformats.org/spreadsheetml/2006/main" headerRowCount="0" ref="V30:X31" displayName="Table_11" name="Table_11" id="11">
  <tableColumns count="3">
    <tableColumn name="Column1" id="1"/>
    <tableColumn name="Column2" id="2"/>
    <tableColumn name="Column3" id="3"/>
  </tableColumns>
  <tableStyleInfo name="UG-ISE-style 7" showColumnStripes="0" showFirstColumn="1" showLastColumn="1" showRowStripes="1"/>
</table>
</file>

<file path=xl/tables/table12.xml><?xml version="1.0" encoding="utf-8"?>
<table xmlns="http://schemas.openxmlformats.org/spreadsheetml/2006/main" headerRowCount="0" ref="V33:X36" displayName="Table_12" name="Table_12" id="12">
  <tableColumns count="3">
    <tableColumn name="Column1" id="1"/>
    <tableColumn name="Column2" id="2"/>
    <tableColumn name="Column3" id="3"/>
  </tableColumns>
  <tableStyleInfo name="UG-ISE-style 8" showColumnStripes="0" showFirstColumn="1" showLastColumn="1" showRowStripes="1"/>
</table>
</file>

<file path=xl/tables/table13.xml><?xml version="1.0" encoding="utf-8"?>
<table xmlns="http://schemas.openxmlformats.org/spreadsheetml/2006/main" headerRowCount="0" ref="V38:X40" displayName="Table_13" name="Table_13" id="13">
  <tableColumns count="3">
    <tableColumn name="Column1" id="1"/>
    <tableColumn name="Column2" id="2"/>
    <tableColumn name="Column3" id="3"/>
  </tableColumns>
  <tableStyleInfo name="UG-ISE-style 9" showColumnStripes="0" showFirstColumn="1" showLastColumn="1" showRowStripes="1"/>
</table>
</file>

<file path=xl/tables/table14.xml><?xml version="1.0" encoding="utf-8"?>
<table xmlns="http://schemas.openxmlformats.org/spreadsheetml/2006/main" headerRowCount="0" ref="W44:X47" displayName="Table_14" name="Table_14" id="14">
  <tableColumns count="2">
    <tableColumn name="Column1" id="1"/>
    <tableColumn name="Column2" id="2"/>
  </tableColumns>
  <tableStyleInfo name="UG-ISE-style 10" showColumnStripes="0" showFirstColumn="1" showLastColumn="1" showRowStripes="1"/>
</table>
</file>

<file path=xl/tables/table15.xml><?xml version="1.0" encoding="utf-8"?>
<table xmlns="http://schemas.openxmlformats.org/spreadsheetml/2006/main" headerRowCount="0" ref="V48:X54" displayName="Table_15" name="Table_15" id="15">
  <tableColumns count="3">
    <tableColumn name="Column1" id="1"/>
    <tableColumn name="Column2" id="2"/>
    <tableColumn name="Column3" id="3"/>
  </tableColumns>
  <tableStyleInfo name="UG-ISE-style 11" showColumnStripes="0" showFirstColumn="1" showLastColumn="1" showRowStripes="1"/>
</table>
</file>

<file path=xl/tables/table16.xml><?xml version="1.0" encoding="utf-8"?>
<table xmlns="http://schemas.openxmlformats.org/spreadsheetml/2006/main" headerRowCount="0" ref="V57:X61" displayName="Table_16" name="Table_16" id="16">
  <tableColumns count="3">
    <tableColumn name="Column1" id="1"/>
    <tableColumn name="Column2" id="2"/>
    <tableColumn name="Column3" id="3"/>
  </tableColumns>
  <tableStyleInfo name="UG-ISE-style 12" showColumnStripes="0" showFirstColumn="1" showLastColumn="1" showRowStripes="1"/>
</table>
</file>

<file path=xl/tables/table17.xml><?xml version="1.0" encoding="utf-8"?>
<table xmlns="http://schemas.openxmlformats.org/spreadsheetml/2006/main" headerRowCount="0" ref="V64:X67" displayName="Table_17" name="Table_17" id="17">
  <tableColumns count="3">
    <tableColumn name="Column1" id="1"/>
    <tableColumn name="Column2" id="2"/>
    <tableColumn name="Column3" id="3"/>
  </tableColumns>
  <tableStyleInfo name="UG-ISE-style 13" showColumnStripes="0" showFirstColumn="1" showLastColumn="1" showRowStripes="1"/>
</table>
</file>

<file path=xl/tables/table18.xml><?xml version="1.0" encoding="utf-8"?>
<table xmlns="http://schemas.openxmlformats.org/spreadsheetml/2006/main" headerRowCount="0" ref="W71:X73" displayName="Table_18" name="Table_18" id="18">
  <tableColumns count="2">
    <tableColumn name="Column1" id="1"/>
    <tableColumn name="Column2" id="2"/>
  </tableColumns>
  <tableStyleInfo name="UG-ISE-style 14" showColumnStripes="0" showFirstColumn="1" showLastColumn="1" showRowStripes="1"/>
</table>
</file>

<file path=xl/tables/table19.xml><?xml version="1.0" encoding="utf-8"?>
<table xmlns="http://schemas.openxmlformats.org/spreadsheetml/2006/main" headerRowCount="0" ref="V74:X75" displayName="Table_19" name="Table_19" id="19">
  <tableColumns count="3">
    <tableColumn name="Column1" id="1"/>
    <tableColumn name="Column2" id="2"/>
    <tableColumn name="Column3" id="3"/>
  </tableColumns>
  <tableStyleInfo name="UG-ISE-style 15" showColumnStripes="0" showFirstColumn="1" showLastColumn="1" showRowStripes="1"/>
</table>
</file>

<file path=xl/tables/table20.xml><?xml version="1.0" encoding="utf-8"?>
<table xmlns="http://schemas.openxmlformats.org/spreadsheetml/2006/main" headerRowCount="0" ref="V77:X82" displayName="Table_20" name="Table_20" id="20">
  <tableColumns count="3">
    <tableColumn name="Column1" id="1"/>
    <tableColumn name="Column2" id="2"/>
    <tableColumn name="Column3" id="3"/>
  </tableColumns>
  <tableStyleInfo name="UG-ISE-style 16" showColumnStripes="0" showFirstColumn="1" showLastColumn="1" showRowStripes="1"/>
</table>
</file>

<file path=xl/tables/table21.xml><?xml version="1.0" encoding="utf-8"?>
<table xmlns="http://schemas.openxmlformats.org/spreadsheetml/2006/main" headerRowCount="0" ref="V84:X99" displayName="Table_21" name="Table_21" id="21">
  <tableColumns count="3">
    <tableColumn name="Column1" id="1"/>
    <tableColumn name="Column2" id="2"/>
    <tableColumn name="Column3" id="3"/>
  </tableColumns>
  <tableStyleInfo name="UG-ISE-style 17" showColumnStripes="0" showFirstColumn="1" showLastColumn="1" showRowStripes="1"/>
</table>
</file>

<file path=xl/tables/table22.xml><?xml version="1.0" encoding="utf-8"?>
<table xmlns="http://schemas.openxmlformats.org/spreadsheetml/2006/main" headerRowCount="0" ref="V102:X104" displayName="Table_22" name="Table_22" id="22">
  <tableColumns count="3">
    <tableColumn name="Column1" id="1"/>
    <tableColumn name="Column2" id="2"/>
    <tableColumn name="Column3" id="3"/>
  </tableColumns>
  <tableStyleInfo name="UG-ISE-style 18" showColumnStripes="0" showFirstColumn="1" showLastColumn="1" showRowStripes="1"/>
</table>
</file>

<file path=xl/tables/table23.xml><?xml version="1.0" encoding="utf-8"?>
<table xmlns="http://schemas.openxmlformats.org/spreadsheetml/2006/main" headerRowCount="0" ref="V106:X116" displayName="Table_23" name="Table_23" id="23">
  <tableColumns count="3">
    <tableColumn name="Column1" id="1"/>
    <tableColumn name="Column2" id="2"/>
    <tableColumn name="Column3" id="3"/>
  </tableColumns>
  <tableStyleInfo name="UG-ISE-style 19" showColumnStripes="0" showFirstColumn="1" showLastColumn="1" showRowStripes="1"/>
</table>
</file>

<file path=xl/tables/table24.xml><?xml version="1.0" encoding="utf-8"?>
<table xmlns="http://schemas.openxmlformats.org/spreadsheetml/2006/main" headerRowCount="0" ref="V118:X120" displayName="Table_24" name="Table_24" id="24">
  <tableColumns count="3">
    <tableColumn name="Column1" id="1"/>
    <tableColumn name="Column2" id="2"/>
    <tableColumn name="Column3" id="3"/>
  </tableColumns>
  <tableStyleInfo name="UG-ISE-style 20" showColumnStripes="0" showFirstColumn="1" showLastColumn="1" showRowStripes="1"/>
</table>
</file>

<file path=xl/tables/table25.xml><?xml version="1.0" encoding="utf-8"?>
<table xmlns="http://schemas.openxmlformats.org/spreadsheetml/2006/main" headerRowCount="0" ref="V122:X125" displayName="Table_25" name="Table_25" id="25">
  <tableColumns count="3">
    <tableColumn name="Column1" id="1"/>
    <tableColumn name="Column2" id="2"/>
    <tableColumn name="Column3" id="3"/>
  </tableColumns>
  <tableStyleInfo name="UG-ISE-style 21" showColumnStripes="0" showFirstColumn="1" showLastColumn="1" showRowStripes="1"/>
</table>
</file>

<file path=xl/tables/table26.xml><?xml version="1.0" encoding="utf-8"?>
<table xmlns="http://schemas.openxmlformats.org/spreadsheetml/2006/main" headerRowCount="0" ref="V127:X149" displayName="Table_26" name="Table_26" id="26">
  <tableColumns count="3">
    <tableColumn name="Column1" id="1"/>
    <tableColumn name="Column2" id="2"/>
    <tableColumn name="Column3" id="3"/>
  </tableColumns>
  <tableStyleInfo name="UG-ISE-style 22" showColumnStripes="0" showFirstColumn="1" showLastColumn="1" showRowStripes="1"/>
</table>
</file>

<file path=xl/tables/table27.xml><?xml version="1.0" encoding="utf-8"?>
<table xmlns="http://schemas.openxmlformats.org/spreadsheetml/2006/main" headerRowCount="0" ref="V151:X155" displayName="Table_27" name="Table_27" id="27">
  <tableColumns count="3">
    <tableColumn name="Column1" id="1"/>
    <tableColumn name="Column2" id="2"/>
    <tableColumn name="Column3" id="3"/>
  </tableColumns>
  <tableStyleInfo name="UG-ISE-style 23" showColumnStripes="0" showFirstColumn="1" showLastColumn="1" showRowStripes="1"/>
</table>
</file>

<file path=xl/tables/table28.xml><?xml version="1.0" encoding="utf-8"?>
<table xmlns="http://schemas.openxmlformats.org/spreadsheetml/2006/main" headerRowCount="0" ref="V156:X157" displayName="Table_28" name="Table_28" id="28">
  <tableColumns count="3">
    <tableColumn name="Column1" id="1"/>
    <tableColumn name="Column2" id="2"/>
    <tableColumn name="Column3" id="3"/>
  </tableColumns>
  <tableStyleInfo name="UG-ISE-style 24" showColumnStripes="0" showFirstColumn="1" showLastColumn="1" showRowStripes="1"/>
</table>
</file>

<file path=xl/tables/table29.xml><?xml version="1.0" encoding="utf-8"?>
<table xmlns="http://schemas.openxmlformats.org/spreadsheetml/2006/main" headerRowCount="0" ref="V160:X163" displayName="Table_29" name="Table_29" id="29">
  <tableColumns count="3">
    <tableColumn name="Column1" id="1"/>
    <tableColumn name="Column2" id="2"/>
    <tableColumn name="Column3" id="3"/>
  </tableColumns>
  <tableStyleInfo name="UG-ISE-style 25" showColumnStripes="0" showFirstColumn="1" showLastColumn="1" showRowStripes="1"/>
</table>
</file>

<file path=xl/tables/table30.xml><?xml version="1.0" encoding="utf-8"?>
<table xmlns="http://schemas.openxmlformats.org/spreadsheetml/2006/main" headerRowCount="0" ref="V165:X182" displayName="Table_30" name="Table_30" id="30">
  <tableColumns count="3">
    <tableColumn name="Column1" id="1"/>
    <tableColumn name="Column2" id="2"/>
    <tableColumn name="Column3" id="3"/>
  </tableColumns>
  <tableStyleInfo name="UG-ISE-style 26" showColumnStripes="0" showFirstColumn="1" showLastColumn="1" showRowStripes="1"/>
</table>
</file>

<file path=xl/tables/table31.xml><?xml version="1.0" encoding="utf-8"?>
<table xmlns="http://schemas.openxmlformats.org/spreadsheetml/2006/main" headerRowCount="0" ref="V184:X191" displayName="Table_31" name="Table_31" id="31">
  <tableColumns count="3">
    <tableColumn name="Column1" id="1"/>
    <tableColumn name="Column2" id="2"/>
    <tableColumn name="Column3" id="3"/>
  </tableColumns>
  <tableStyleInfo name="UG-ISE-style 27" showColumnStripes="0" showFirstColumn="1" showLastColumn="1" showRowStripes="1"/>
</table>
</file>

<file path=xl/tables/table32.xml><?xml version="1.0" encoding="utf-8"?>
<table xmlns="http://schemas.openxmlformats.org/spreadsheetml/2006/main" headerRowCount="0" ref="X192:X193" displayName="Table_32" name="Table_32" id="32">
  <tableColumns count="1">
    <tableColumn name="Column1" id="1"/>
  </tableColumns>
  <tableStyleInfo name="UG-ISE-style 28" showColumnStripes="0" showFirstColumn="1" showLastColumn="1" showRowStripes="1"/>
</table>
</file>

<file path=xl/tables/table33.xml><?xml version="1.0" encoding="utf-8"?>
<table xmlns="http://schemas.openxmlformats.org/spreadsheetml/2006/main" headerRowCount="0" ref="V195:X199" displayName="Table_33" name="Table_33" id="33">
  <tableColumns count="3">
    <tableColumn name="Column1" id="1"/>
    <tableColumn name="Column2" id="2"/>
    <tableColumn name="Column3" id="3"/>
  </tableColumns>
  <tableStyleInfo name="UG-ISE-style 29" showColumnStripes="0" showFirstColumn="1" showLastColumn="1" showRowStripes="1"/>
</table>
</file>

<file path=xl/tables/table34.xml><?xml version="1.0" encoding="utf-8"?>
<table xmlns="http://schemas.openxmlformats.org/spreadsheetml/2006/main" headerRowCount="0" ref="X204:X205" displayName="Table_34" name="Table_34" id="34">
  <tableColumns count="1">
    <tableColumn name="Column1" id="1"/>
  </tableColumns>
  <tableStyleInfo name="UG-ISE-style 30" showColumnStripes="0" showFirstColumn="1" showLastColumn="1" showRowStripes="1"/>
</table>
</file>

<file path=xl/tables/table35.xml><?xml version="1.0" encoding="utf-8"?>
<table xmlns="http://schemas.openxmlformats.org/spreadsheetml/2006/main" headerRowCount="0" ref="X207:X208" displayName="Table_35" name="Table_35" id="35">
  <tableColumns count="1">
    <tableColumn name="Column1" id="1"/>
  </tableColumns>
  <tableStyleInfo name="UG-ISE-style 31" showColumnStripes="0" showFirstColumn="1" showLastColumn="1" showRowStripes="1"/>
</table>
</file>

<file path=xl/tables/table36.xml><?xml version="1.0" encoding="utf-8"?>
<table xmlns="http://schemas.openxmlformats.org/spreadsheetml/2006/main" headerRowCount="0" ref="X210:X219" displayName="Table_36" name="Table_36" id="36">
  <tableColumns count="1">
    <tableColumn name="Column1" id="1"/>
  </tableColumns>
  <tableStyleInfo name="UG-ISE-style 32" showColumnStripes="0" showFirstColumn="1" showLastColumn="1" showRowStripes="1"/>
</table>
</file>

<file path=xl/tables/table37.xml><?xml version="1.0" encoding="utf-8"?>
<table xmlns="http://schemas.openxmlformats.org/spreadsheetml/2006/main" headerRowCount="0" ref="AI2:AJ2" displayName="Table_37" name="Table_37" id="37">
  <tableColumns count="2">
    <tableColumn name="Column1" id="1"/>
    <tableColumn name="Column2" id="2"/>
  </tableColumns>
  <tableStyleInfo name="UG-AID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8.xml><?xml version="1.0" encoding="utf-8"?>
<table xmlns="http://schemas.openxmlformats.org/spreadsheetml/2006/main" headerRowCount="0" ref="AI2:AJ2" displayName="Table_38" name="Table_38" id="38">
  <tableColumns count="2">
    <tableColumn name="Column1" id="1"/>
    <tableColumn name="Column2" id="2"/>
  </tableColumns>
  <tableStyleInfo name="UG-CSD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9.xml><?xml version="1.0" encoding="utf-8"?>
<table xmlns="http://schemas.openxmlformats.org/spreadsheetml/2006/main" headerRowCount="0" ref="AI2:AJ2" displayName="Table_39" name="Table_39" id="39">
  <tableColumns count="2">
    <tableColumn name="Column1" id="1"/>
    <tableColumn name="Column2" id="2"/>
  </tableColumns>
  <tableStyleInfo name="UG-EC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0.xml><?xml version="1.0" encoding="utf-8"?>
<table xmlns="http://schemas.openxmlformats.org/spreadsheetml/2006/main" headerRowCount="0" ref="AI2:AJ2" displayName="Table_40" name="Table_40" id="40">
  <tableColumns count="2">
    <tableColumn name="Column1" id="1"/>
    <tableColumn name="Column2" id="2"/>
  </tableColumns>
  <tableStyleInfo name="UG-AIM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1.xml><?xml version="1.0" encoding="utf-8"?>
<table xmlns="http://schemas.openxmlformats.org/spreadsheetml/2006/main" headerRowCount="0" ref="AI2:AJ2" displayName="Table_41" name="Table_41" id="41">
  <tableColumns count="2">
    <tableColumn name="Column1" id="1"/>
    <tableColumn name="Column2" id="2"/>
  </tableColumns>
  <tableStyleInfo name="UG-CSAIM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2.xml><?xml version="1.0" encoding="utf-8"?>
<table xmlns="http://schemas.openxmlformats.org/spreadsheetml/2006/main" headerRowCount="0" ref="AI2:AJ2" displayName="Table_42" name="Table_42" id="42">
  <tableColumns count="2">
    <tableColumn name="Column1" id="1"/>
    <tableColumn name="Column2" id="2"/>
  </tableColumns>
  <tableStyleInfo name="Consolidate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3.xml><?xml version="1.0" encoding="utf-8"?>
<table xmlns="http://schemas.openxmlformats.org/spreadsheetml/2006/main" ref="A1:AC1000" displayName="Table_43" name="Table_43" id="43">
  <tableColumns count="29">
    <tableColumn name="Branch" id="1"/>
    <tableColumn name="Total std" id="2"/>
    <tableColumn name="L1" id="3"/>
    <tableColumn name="L2" id="4"/>
    <tableColumn name="L3 " id="5"/>
    <tableColumn name="L4" id="6"/>
    <tableColumn name="A1" id="7"/>
    <tableColumn name="A2" id="8"/>
    <tableColumn name="A3" id="9"/>
    <tableColumn name="S1" id="10"/>
    <tableColumn name="S2" id="11"/>
    <tableColumn name="S3" id="12"/>
    <tableColumn name="C2 Odd" id="13"/>
    <tableColumn name="C2 Even" id="14"/>
    <tableColumn name="C3 Odd" id="15"/>
    <tableColumn name="C3 Even" id="16"/>
    <tableColumn name="C3 Full" id="17"/>
    <tableColumn name="C4 Odd" id="18"/>
    <tableColumn name="C4 Even" id="19"/>
    <tableColumn name="C4 Full" id="20"/>
    <tableColumn name="C5 Full" id="21"/>
    <tableColumn name="P1-C" id="22"/>
    <tableColumn name="P2-Python" id="23"/>
    <tableColumn name="P3-Python" id="24"/>
    <tableColumn name="P3-Java CSE" id="25"/>
    <tableColumn name="P4-Programming part 1" id="26"/>
    <tableColumn name="P4-Programming part 2" id="27"/>
    <tableColumn name="P4-MAD/FSD" id="28"/>
    <tableColumn name="P4-DS" id="29"/>
  </tableColumns>
  <tableStyleInfo name="Statistic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.v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table" Target="../tables/table8.xml"/><Relationship Id="rId62" Type="http://schemas.openxmlformats.org/officeDocument/2006/relationships/table" Target="../tables/table30.xml"/><Relationship Id="rId61" Type="http://schemas.openxmlformats.org/officeDocument/2006/relationships/table" Target="../tables/table29.xml"/><Relationship Id="rId42" Type="http://schemas.openxmlformats.org/officeDocument/2006/relationships/table" Target="../tables/table10.xml"/><Relationship Id="rId64" Type="http://schemas.openxmlformats.org/officeDocument/2006/relationships/table" Target="../tables/table32.xml"/><Relationship Id="rId41" Type="http://schemas.openxmlformats.org/officeDocument/2006/relationships/table" Target="../tables/table9.xml"/><Relationship Id="rId63" Type="http://schemas.openxmlformats.org/officeDocument/2006/relationships/table" Target="../tables/table31.xml"/><Relationship Id="rId44" Type="http://schemas.openxmlformats.org/officeDocument/2006/relationships/table" Target="../tables/table12.xml"/><Relationship Id="rId66" Type="http://schemas.openxmlformats.org/officeDocument/2006/relationships/table" Target="../tables/table34.xml"/><Relationship Id="rId43" Type="http://schemas.openxmlformats.org/officeDocument/2006/relationships/table" Target="../tables/table11.xml"/><Relationship Id="rId65" Type="http://schemas.openxmlformats.org/officeDocument/2006/relationships/table" Target="../tables/table33.xml"/><Relationship Id="rId46" Type="http://schemas.openxmlformats.org/officeDocument/2006/relationships/table" Target="../tables/table14.xml"/><Relationship Id="rId68" Type="http://schemas.openxmlformats.org/officeDocument/2006/relationships/table" Target="../tables/table36.xml"/><Relationship Id="rId45" Type="http://schemas.openxmlformats.org/officeDocument/2006/relationships/table" Target="../tables/table13.xml"/><Relationship Id="rId67" Type="http://schemas.openxmlformats.org/officeDocument/2006/relationships/table" Target="../tables/table35.xml"/><Relationship Id="rId60" Type="http://schemas.openxmlformats.org/officeDocument/2006/relationships/table" Target="../tables/table28.xml"/><Relationship Id="rId1" Type="http://schemas.openxmlformats.org/officeDocument/2006/relationships/hyperlink" Target="http://sl.no/" TargetMode="External"/><Relationship Id="rId2" Type="http://schemas.openxmlformats.org/officeDocument/2006/relationships/hyperlink" Target="mailto:kaba23ise@cmrit.ac.in" TargetMode="External"/><Relationship Id="rId3" Type="http://schemas.openxmlformats.org/officeDocument/2006/relationships/hyperlink" Target="mailto:rogu23ise@cmrit.ac.in" TargetMode="External"/><Relationship Id="rId4" Type="http://schemas.openxmlformats.org/officeDocument/2006/relationships/drawing" Target="../drawings/drawing16.xml"/><Relationship Id="rId48" Type="http://schemas.openxmlformats.org/officeDocument/2006/relationships/table" Target="../tables/table16.xml"/><Relationship Id="rId47" Type="http://schemas.openxmlformats.org/officeDocument/2006/relationships/table" Target="../tables/table15.xml"/><Relationship Id="rId49" Type="http://schemas.openxmlformats.org/officeDocument/2006/relationships/table" Target="../tables/table17.xml"/><Relationship Id="rId51" Type="http://schemas.openxmlformats.org/officeDocument/2006/relationships/table" Target="../tables/table19.xml"/><Relationship Id="rId50" Type="http://schemas.openxmlformats.org/officeDocument/2006/relationships/table" Target="../tables/table18.xml"/><Relationship Id="rId53" Type="http://schemas.openxmlformats.org/officeDocument/2006/relationships/table" Target="../tables/table21.xml"/><Relationship Id="rId52" Type="http://schemas.openxmlformats.org/officeDocument/2006/relationships/table" Target="../tables/table20.xml"/><Relationship Id="rId55" Type="http://schemas.openxmlformats.org/officeDocument/2006/relationships/table" Target="../tables/table23.xml"/><Relationship Id="rId54" Type="http://schemas.openxmlformats.org/officeDocument/2006/relationships/table" Target="../tables/table22.xml"/><Relationship Id="rId57" Type="http://schemas.openxmlformats.org/officeDocument/2006/relationships/table" Target="../tables/table25.xml"/><Relationship Id="rId56" Type="http://schemas.openxmlformats.org/officeDocument/2006/relationships/table" Target="../tables/table24.xml"/><Relationship Id="rId37" Type="http://schemas.openxmlformats.org/officeDocument/2006/relationships/table" Target="../tables/table5.xml"/><Relationship Id="rId59" Type="http://schemas.openxmlformats.org/officeDocument/2006/relationships/table" Target="../tables/table27.xml"/><Relationship Id="rId58" Type="http://schemas.openxmlformats.org/officeDocument/2006/relationships/table" Target="../tables/table26.xml"/><Relationship Id="rId39" Type="http://schemas.openxmlformats.org/officeDocument/2006/relationships/table" Target="../tables/table7.xml"/><Relationship Id="rId38" Type="http://schemas.openxmlformats.org/officeDocument/2006/relationships/table" Target="../tables/table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://sl.no/" TargetMode="External"/><Relationship Id="rId3" Type="http://schemas.openxmlformats.org/officeDocument/2006/relationships/drawing" Target="../drawings/drawing17.xml"/><Relationship Id="rId4" Type="http://schemas.openxmlformats.org/officeDocument/2006/relationships/vmlDrawing" Target="../drawings/vmlDrawing2.vml"/><Relationship Id="rId6" Type="http://schemas.openxmlformats.org/officeDocument/2006/relationships/table" Target="../tables/table3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drawing" Target="../drawings/drawing18.xml"/><Relationship Id="rId4" Type="http://schemas.openxmlformats.org/officeDocument/2006/relationships/table" Target="../tables/table3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3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hyperlink" Target="mailto:biku23aiml@cmrit.ac.in" TargetMode="External"/><Relationship Id="rId3" Type="http://schemas.openxmlformats.org/officeDocument/2006/relationships/drawing" Target="../drawings/drawing21.xml"/><Relationship Id="rId5" Type="http://schemas.openxmlformats.org/officeDocument/2006/relationships/table" Target="../tables/table40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drawing" Target="../drawings/drawing23.xml"/><Relationship Id="rId4" Type="http://schemas.openxmlformats.org/officeDocument/2006/relationships/table" Target="../tables/table41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drawing" Target="../drawings/drawing24.xml"/><Relationship Id="rId4" Type="http://schemas.openxmlformats.org/officeDocument/2006/relationships/table" Target="../tables/table42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43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mailto:lekh23aiml@cmrit.ac.in" TargetMode="External"/><Relationship Id="rId2" Type="http://schemas.openxmlformats.org/officeDocument/2006/relationships/hyperlink" Target="mailto:tepa23aiml@cmrit.ac.in" TargetMode="External"/><Relationship Id="rId3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88.63"/>
  </cols>
  <sheetData>
    <row r="1">
      <c r="A1" s="1" t="s">
        <v>0</v>
      </c>
      <c r="B1" s="2" t="s">
        <v>1</v>
      </c>
    </row>
    <row r="2">
      <c r="A2" s="3">
        <v>1.0</v>
      </c>
      <c r="B2" s="4" t="s">
        <v>2</v>
      </c>
    </row>
    <row r="3">
      <c r="A3" s="3">
        <v>2.0</v>
      </c>
      <c r="B3" s="4" t="s">
        <v>3</v>
      </c>
    </row>
    <row r="4">
      <c r="A4" s="3">
        <v>3.0</v>
      </c>
      <c r="B4" s="4" t="s">
        <v>4</v>
      </c>
    </row>
    <row r="5">
      <c r="A5" s="5">
        <v>4.0</v>
      </c>
      <c r="B5" s="6" t="s">
        <v>5</v>
      </c>
    </row>
    <row r="6">
      <c r="A6" s="5">
        <v>5.0</v>
      </c>
      <c r="B6" s="6" t="s">
        <v>6</v>
      </c>
    </row>
    <row r="7">
      <c r="A7" s="5">
        <v>6.0</v>
      </c>
      <c r="B7" s="6" t="s">
        <v>7</v>
      </c>
    </row>
    <row r="8">
      <c r="A8" s="5">
        <v>7.0</v>
      </c>
      <c r="B8" s="6" t="s">
        <v>8</v>
      </c>
    </row>
    <row r="9">
      <c r="A9" s="5">
        <v>8.0</v>
      </c>
      <c r="B9" s="6" t="s">
        <v>9</v>
      </c>
    </row>
    <row r="10">
      <c r="A10" s="6"/>
      <c r="B10" s="7"/>
    </row>
    <row r="11">
      <c r="A11" s="7"/>
      <c r="B11" s="8" t="s">
        <v>10</v>
      </c>
    </row>
    <row r="12">
      <c r="A12" s="9">
        <v>1.0</v>
      </c>
      <c r="B12" s="10" t="s">
        <v>11</v>
      </c>
    </row>
    <row r="13">
      <c r="A13" s="9">
        <v>2.0</v>
      </c>
      <c r="B13" s="10" t="s">
        <v>12</v>
      </c>
    </row>
    <row r="14">
      <c r="A14" s="9">
        <v>3.0</v>
      </c>
      <c r="B14" s="10" t="s">
        <v>13</v>
      </c>
    </row>
    <row r="15">
      <c r="A15" s="11">
        <v>4.0</v>
      </c>
      <c r="B15" s="12" t="s">
        <v>14</v>
      </c>
      <c r="C15" s="13"/>
    </row>
    <row r="16">
      <c r="A16" s="7"/>
      <c r="B16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</cols>
  <sheetData>
    <row r="1">
      <c r="A1" s="14" t="s">
        <v>15</v>
      </c>
      <c r="B1" s="15">
        <v>98.0</v>
      </c>
    </row>
    <row r="2">
      <c r="A2" s="14" t="s">
        <v>16</v>
      </c>
      <c r="B2" s="16">
        <v>96.0</v>
      </c>
    </row>
    <row r="3">
      <c r="A3" s="14" t="s">
        <v>17</v>
      </c>
      <c r="B3" s="16">
        <v>96.0</v>
      </c>
    </row>
    <row r="4">
      <c r="A4" s="14" t="s">
        <v>18</v>
      </c>
      <c r="B4" s="16">
        <v>96.0</v>
      </c>
    </row>
    <row r="5">
      <c r="A5" s="14" t="s">
        <v>19</v>
      </c>
      <c r="B5" s="16">
        <v>84.0</v>
      </c>
    </row>
    <row r="6">
      <c r="A6" s="14" t="s">
        <v>20</v>
      </c>
      <c r="B6" s="16">
        <v>84.0</v>
      </c>
    </row>
    <row r="7">
      <c r="A7" s="14" t="s">
        <v>21</v>
      </c>
      <c r="B7" s="16">
        <v>84.0</v>
      </c>
    </row>
    <row r="8">
      <c r="A8" s="14" t="s">
        <v>22</v>
      </c>
      <c r="B8" s="16">
        <v>84.0</v>
      </c>
    </row>
    <row r="9">
      <c r="A9" s="14" t="s">
        <v>23</v>
      </c>
      <c r="B9" s="16">
        <v>80.0</v>
      </c>
    </row>
    <row r="10">
      <c r="A10" s="14" t="s">
        <v>24</v>
      </c>
      <c r="B10" s="16">
        <v>80.0</v>
      </c>
    </row>
    <row r="11">
      <c r="A11" s="14" t="s">
        <v>25</v>
      </c>
      <c r="B11" s="16">
        <v>76.0</v>
      </c>
    </row>
    <row r="12">
      <c r="A12" s="14" t="s">
        <v>26</v>
      </c>
      <c r="B12" s="16">
        <v>76.0</v>
      </c>
    </row>
    <row r="13">
      <c r="A13" s="14" t="s">
        <v>27</v>
      </c>
      <c r="B13" s="16">
        <v>76.0</v>
      </c>
    </row>
    <row r="14">
      <c r="A14" s="14" t="s">
        <v>28</v>
      </c>
      <c r="B14" s="16">
        <v>72.0</v>
      </c>
    </row>
    <row r="15">
      <c r="A15" s="14" t="s">
        <v>29</v>
      </c>
      <c r="B15" s="16">
        <v>72.0</v>
      </c>
    </row>
    <row r="16">
      <c r="A16" s="14" t="s">
        <v>30</v>
      </c>
      <c r="B16" s="16">
        <v>72.0</v>
      </c>
    </row>
    <row r="17">
      <c r="A17" s="14" t="s">
        <v>31</v>
      </c>
      <c r="B17" s="16">
        <v>72.0</v>
      </c>
    </row>
    <row r="18">
      <c r="A18" s="14" t="s">
        <v>32</v>
      </c>
      <c r="B18" s="16">
        <v>72.0</v>
      </c>
    </row>
    <row r="19">
      <c r="A19" s="14" t="s">
        <v>33</v>
      </c>
      <c r="B19" s="16">
        <v>72.0</v>
      </c>
    </row>
    <row r="20">
      <c r="A20" s="14" t="s">
        <v>34</v>
      </c>
      <c r="B20" s="16">
        <v>68.0</v>
      </c>
    </row>
    <row r="21">
      <c r="A21" s="14" t="s">
        <v>35</v>
      </c>
      <c r="B21" s="16">
        <v>68.0</v>
      </c>
    </row>
    <row r="22">
      <c r="A22" s="14" t="s">
        <v>36</v>
      </c>
      <c r="B22" s="16">
        <v>68.0</v>
      </c>
    </row>
    <row r="23">
      <c r="A23" s="14" t="s">
        <v>37</v>
      </c>
      <c r="B23" s="16">
        <v>68.0</v>
      </c>
    </row>
    <row r="24">
      <c r="A24" s="14" t="s">
        <v>38</v>
      </c>
      <c r="B24" s="16">
        <v>68.0</v>
      </c>
    </row>
    <row r="25">
      <c r="A25" s="14" t="s">
        <v>39</v>
      </c>
      <c r="B25" s="15">
        <v>65.0</v>
      </c>
    </row>
    <row r="26">
      <c r="A26" s="14" t="s">
        <v>40</v>
      </c>
      <c r="B26" s="15">
        <v>65.0</v>
      </c>
    </row>
    <row r="27">
      <c r="A27" s="14" t="s">
        <v>41</v>
      </c>
      <c r="B27" s="15">
        <v>65.0</v>
      </c>
    </row>
    <row r="28">
      <c r="A28" s="14" t="s">
        <v>42</v>
      </c>
      <c r="B28" s="15">
        <v>65.0</v>
      </c>
    </row>
    <row r="29">
      <c r="A29" s="14" t="s">
        <v>43</v>
      </c>
      <c r="B29" s="15">
        <v>65.0</v>
      </c>
    </row>
    <row r="30">
      <c r="A30" s="14" t="s">
        <v>44</v>
      </c>
      <c r="B30" s="15">
        <v>65.0</v>
      </c>
    </row>
    <row r="31">
      <c r="A31" s="14" t="s">
        <v>45</v>
      </c>
      <c r="B31" s="16">
        <v>60.0</v>
      </c>
    </row>
    <row r="32">
      <c r="A32" s="14" t="s">
        <v>46</v>
      </c>
      <c r="B32" s="15">
        <v>65.0</v>
      </c>
    </row>
    <row r="33">
      <c r="A33" s="14" t="s">
        <v>47</v>
      </c>
      <c r="B33" s="16">
        <v>60.0</v>
      </c>
    </row>
    <row r="34">
      <c r="A34" s="14" t="s">
        <v>48</v>
      </c>
      <c r="B34" s="16">
        <v>60.0</v>
      </c>
    </row>
    <row r="35">
      <c r="A35" s="14" t="s">
        <v>49</v>
      </c>
      <c r="B35" s="16">
        <v>60.0</v>
      </c>
    </row>
    <row r="36">
      <c r="A36" s="14" t="s">
        <v>50</v>
      </c>
      <c r="B36" s="16">
        <v>60.0</v>
      </c>
    </row>
    <row r="37">
      <c r="A37" s="14" t="s">
        <v>51</v>
      </c>
      <c r="B37" s="16">
        <v>60.0</v>
      </c>
    </row>
    <row r="38">
      <c r="A38" s="14" t="s">
        <v>52</v>
      </c>
      <c r="B38" s="16">
        <v>60.0</v>
      </c>
    </row>
    <row r="39">
      <c r="A39" s="14" t="s">
        <v>53</v>
      </c>
      <c r="B39" s="16">
        <v>56.0</v>
      </c>
    </row>
    <row r="40">
      <c r="A40" s="14" t="s">
        <v>54</v>
      </c>
      <c r="B40" s="16">
        <v>56.0</v>
      </c>
    </row>
    <row r="41">
      <c r="A41" s="14" t="s">
        <v>55</v>
      </c>
      <c r="B41" s="16">
        <v>56.0</v>
      </c>
    </row>
    <row r="42">
      <c r="A42" s="14" t="s">
        <v>56</v>
      </c>
      <c r="B42" s="16">
        <v>56.0</v>
      </c>
    </row>
    <row r="43">
      <c r="A43" s="14" t="s">
        <v>57</v>
      </c>
      <c r="B43" s="16">
        <v>56.0</v>
      </c>
    </row>
    <row r="44">
      <c r="A44" s="14" t="s">
        <v>58</v>
      </c>
      <c r="B44" s="16">
        <v>56.0</v>
      </c>
    </row>
    <row r="45">
      <c r="A45" s="14" t="s">
        <v>59</v>
      </c>
      <c r="B45" s="16">
        <v>56.0</v>
      </c>
    </row>
    <row r="46">
      <c r="A46" s="14" t="s">
        <v>60</v>
      </c>
      <c r="B46" s="16">
        <v>56.0</v>
      </c>
    </row>
    <row r="47">
      <c r="A47" s="14" t="s">
        <v>61</v>
      </c>
      <c r="B47" s="16">
        <v>56.0</v>
      </c>
    </row>
    <row r="48">
      <c r="A48" s="14" t="s">
        <v>62</v>
      </c>
      <c r="B48" s="16">
        <v>56.0</v>
      </c>
    </row>
    <row r="49">
      <c r="A49" s="14" t="s">
        <v>63</v>
      </c>
      <c r="B49" s="16">
        <v>52.0</v>
      </c>
    </row>
    <row r="50">
      <c r="A50" s="14" t="s">
        <v>64</v>
      </c>
      <c r="B50" s="16">
        <v>52.0</v>
      </c>
    </row>
    <row r="51">
      <c r="A51" s="14" t="s">
        <v>65</v>
      </c>
      <c r="B51" s="16">
        <v>52.0</v>
      </c>
    </row>
    <row r="52">
      <c r="A52" s="14" t="s">
        <v>66</v>
      </c>
      <c r="B52" s="16">
        <v>52.0</v>
      </c>
    </row>
    <row r="53">
      <c r="A53" s="14" t="s">
        <v>67</v>
      </c>
      <c r="B53" s="16">
        <v>52.0</v>
      </c>
    </row>
    <row r="54">
      <c r="A54" s="14" t="s">
        <v>68</v>
      </c>
      <c r="B54" s="16">
        <v>52.0</v>
      </c>
    </row>
    <row r="55">
      <c r="A55" s="14" t="s">
        <v>69</v>
      </c>
      <c r="B55" s="16">
        <v>52.0</v>
      </c>
    </row>
    <row r="56">
      <c r="A56" s="14" t="s">
        <v>70</v>
      </c>
      <c r="B56" s="16">
        <v>52.0</v>
      </c>
    </row>
    <row r="57">
      <c r="A57" s="14" t="s">
        <v>71</v>
      </c>
      <c r="B57" s="16">
        <v>52.0</v>
      </c>
    </row>
    <row r="58">
      <c r="A58" s="14" t="s">
        <v>72</v>
      </c>
      <c r="B58" s="16">
        <v>52.0</v>
      </c>
    </row>
    <row r="59">
      <c r="A59" s="14" t="s">
        <v>73</v>
      </c>
      <c r="B59" s="16">
        <v>52.0</v>
      </c>
    </row>
    <row r="60">
      <c r="A60" s="14" t="s">
        <v>74</v>
      </c>
      <c r="B60" s="16">
        <v>52.0</v>
      </c>
    </row>
    <row r="61">
      <c r="A61" s="14" t="s">
        <v>75</v>
      </c>
      <c r="B61" s="16">
        <v>52.0</v>
      </c>
    </row>
    <row r="62">
      <c r="A62" s="14" t="s">
        <v>76</v>
      </c>
      <c r="B62" s="16">
        <v>52.0</v>
      </c>
    </row>
    <row r="63">
      <c r="A63" s="14" t="s">
        <v>77</v>
      </c>
      <c r="B63" s="16">
        <v>52.0</v>
      </c>
    </row>
    <row r="64">
      <c r="A64" s="14" t="s">
        <v>78</v>
      </c>
      <c r="B64" s="16">
        <v>52.0</v>
      </c>
    </row>
    <row r="65">
      <c r="A65" s="14" t="s">
        <v>79</v>
      </c>
      <c r="B65" s="16">
        <v>48.0</v>
      </c>
    </row>
    <row r="66">
      <c r="A66" s="14" t="s">
        <v>80</v>
      </c>
      <c r="B66" s="16">
        <v>48.0</v>
      </c>
    </row>
    <row r="67">
      <c r="A67" s="14" t="s">
        <v>81</v>
      </c>
      <c r="B67" s="16">
        <v>48.0</v>
      </c>
    </row>
    <row r="68">
      <c r="A68" s="14" t="s">
        <v>82</v>
      </c>
      <c r="B68" s="16">
        <v>48.0</v>
      </c>
    </row>
    <row r="69">
      <c r="A69" s="14" t="s">
        <v>83</v>
      </c>
      <c r="B69" s="16">
        <v>48.0</v>
      </c>
    </row>
    <row r="70">
      <c r="A70" s="14" t="s">
        <v>84</v>
      </c>
      <c r="B70" s="16">
        <v>48.0</v>
      </c>
    </row>
    <row r="71">
      <c r="A71" s="14" t="s">
        <v>85</v>
      </c>
      <c r="B71" s="16">
        <v>48.0</v>
      </c>
    </row>
    <row r="72">
      <c r="A72" s="14" t="s">
        <v>86</v>
      </c>
      <c r="B72" s="16">
        <v>48.0</v>
      </c>
    </row>
    <row r="73">
      <c r="A73" s="14" t="s">
        <v>87</v>
      </c>
      <c r="B73" s="16">
        <v>48.0</v>
      </c>
    </row>
    <row r="74">
      <c r="A74" s="14" t="s">
        <v>88</v>
      </c>
      <c r="B74" s="16">
        <v>48.0</v>
      </c>
    </row>
    <row r="75">
      <c r="A75" s="14" t="s">
        <v>89</v>
      </c>
      <c r="B75" s="15">
        <v>70.0</v>
      </c>
    </row>
    <row r="76">
      <c r="A76" s="14" t="s">
        <v>90</v>
      </c>
      <c r="B76" s="16">
        <v>44.0</v>
      </c>
    </row>
    <row r="77">
      <c r="A77" s="14" t="s">
        <v>91</v>
      </c>
      <c r="B77" s="15">
        <v>70.0</v>
      </c>
    </row>
    <row r="78">
      <c r="A78" s="14" t="s">
        <v>92</v>
      </c>
      <c r="B78" s="16">
        <v>44.0</v>
      </c>
    </row>
    <row r="79">
      <c r="A79" s="14" t="s">
        <v>93</v>
      </c>
      <c r="B79" s="16">
        <v>44.0</v>
      </c>
    </row>
    <row r="80">
      <c r="A80" s="14" t="s">
        <v>94</v>
      </c>
      <c r="B80" s="16">
        <v>44.0</v>
      </c>
    </row>
    <row r="81">
      <c r="A81" s="14" t="s">
        <v>95</v>
      </c>
      <c r="B81" s="16">
        <v>44.0</v>
      </c>
    </row>
    <row r="82">
      <c r="A82" s="14" t="s">
        <v>96</v>
      </c>
      <c r="B82" s="16">
        <v>44.0</v>
      </c>
    </row>
    <row r="83">
      <c r="A83" s="14" t="s">
        <v>97</v>
      </c>
      <c r="B83" s="16">
        <v>44.0</v>
      </c>
    </row>
    <row r="84">
      <c r="A84" s="14" t="s">
        <v>98</v>
      </c>
      <c r="B84" s="16">
        <v>44.0</v>
      </c>
    </row>
    <row r="85">
      <c r="A85" s="14" t="s">
        <v>99</v>
      </c>
      <c r="B85" s="16">
        <v>40.0</v>
      </c>
    </row>
    <row r="86">
      <c r="A86" s="14" t="s">
        <v>100</v>
      </c>
      <c r="B86" s="16">
        <v>40.0</v>
      </c>
    </row>
    <row r="87">
      <c r="A87" s="14" t="s">
        <v>101</v>
      </c>
      <c r="B87" s="16">
        <v>40.0</v>
      </c>
    </row>
    <row r="88">
      <c r="A88" s="14" t="s">
        <v>102</v>
      </c>
      <c r="B88" s="16">
        <v>40.0</v>
      </c>
    </row>
    <row r="89">
      <c r="A89" s="14" t="s">
        <v>103</v>
      </c>
      <c r="B89" s="16">
        <v>40.0</v>
      </c>
    </row>
    <row r="90">
      <c r="A90" s="14" t="s">
        <v>104</v>
      </c>
      <c r="B90" s="16">
        <v>40.0</v>
      </c>
    </row>
    <row r="91">
      <c r="A91" s="14" t="s">
        <v>105</v>
      </c>
      <c r="B91" s="16">
        <v>40.0</v>
      </c>
    </row>
    <row r="92">
      <c r="A92" s="14" t="s">
        <v>106</v>
      </c>
      <c r="B92" s="16">
        <v>40.0</v>
      </c>
    </row>
    <row r="93">
      <c r="A93" s="14" t="s">
        <v>107</v>
      </c>
      <c r="B93" s="16">
        <v>40.0</v>
      </c>
    </row>
    <row r="94">
      <c r="A94" s="14" t="s">
        <v>108</v>
      </c>
      <c r="B94" s="16">
        <v>40.0</v>
      </c>
    </row>
    <row r="95">
      <c r="A95" s="14" t="s">
        <v>109</v>
      </c>
      <c r="B95" s="16">
        <v>40.0</v>
      </c>
    </row>
    <row r="96">
      <c r="A96" s="14" t="s">
        <v>110</v>
      </c>
      <c r="B96" s="16">
        <v>40.0</v>
      </c>
    </row>
    <row r="97">
      <c r="A97" s="14" t="s">
        <v>111</v>
      </c>
      <c r="B97" s="16">
        <v>36.0</v>
      </c>
    </row>
    <row r="98">
      <c r="A98" s="14" t="s">
        <v>112</v>
      </c>
      <c r="B98" s="16">
        <v>36.0</v>
      </c>
    </row>
    <row r="99">
      <c r="A99" s="14" t="s">
        <v>113</v>
      </c>
      <c r="B99" s="16">
        <v>32.0</v>
      </c>
    </row>
    <row r="100">
      <c r="A100" s="14" t="s">
        <v>114</v>
      </c>
      <c r="B100" s="16">
        <v>32.0</v>
      </c>
    </row>
    <row r="101">
      <c r="A101" s="14" t="s">
        <v>115</v>
      </c>
      <c r="B101" s="16">
        <v>32.0</v>
      </c>
    </row>
    <row r="102">
      <c r="A102" s="14" t="s">
        <v>116</v>
      </c>
      <c r="B102" s="16">
        <v>32.0</v>
      </c>
    </row>
    <row r="103">
      <c r="A103" s="14" t="s">
        <v>117</v>
      </c>
      <c r="B103" s="16">
        <v>32.0</v>
      </c>
    </row>
    <row r="104">
      <c r="A104" s="14" t="s">
        <v>118</v>
      </c>
      <c r="B104" s="16">
        <v>28.0</v>
      </c>
    </row>
    <row r="105">
      <c r="A105" s="14" t="s">
        <v>119</v>
      </c>
      <c r="B105" s="16">
        <v>28.0</v>
      </c>
    </row>
    <row r="106">
      <c r="A106" s="14" t="s">
        <v>120</v>
      </c>
      <c r="B106" s="16">
        <v>16.0</v>
      </c>
    </row>
    <row r="107">
      <c r="A107" s="14" t="s">
        <v>121</v>
      </c>
      <c r="B107" s="16">
        <v>16.0</v>
      </c>
    </row>
    <row r="108">
      <c r="A108" s="14" t="s">
        <v>122</v>
      </c>
      <c r="B108" s="16">
        <v>16.0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</cols>
  <sheetData>
    <row r="1">
      <c r="A1" s="14" t="s">
        <v>123</v>
      </c>
      <c r="B1" s="16">
        <v>92.0</v>
      </c>
    </row>
    <row r="2">
      <c r="A2" s="14" t="s">
        <v>17</v>
      </c>
      <c r="B2" s="16">
        <v>92.0</v>
      </c>
    </row>
    <row r="3">
      <c r="A3" s="14" t="s">
        <v>106</v>
      </c>
      <c r="B3" s="16">
        <v>92.0</v>
      </c>
    </row>
    <row r="4">
      <c r="A4" s="14" t="s">
        <v>60</v>
      </c>
      <c r="B4" s="16">
        <v>92.0</v>
      </c>
    </row>
    <row r="5">
      <c r="A5" s="14" t="s">
        <v>87</v>
      </c>
      <c r="B5" s="16">
        <v>92.0</v>
      </c>
    </row>
    <row r="6">
      <c r="A6" s="14" t="s">
        <v>77</v>
      </c>
      <c r="B6" s="16">
        <v>92.0</v>
      </c>
    </row>
    <row r="7">
      <c r="A7" s="14" t="s">
        <v>32</v>
      </c>
      <c r="B7" s="16">
        <v>92.0</v>
      </c>
    </row>
    <row r="8">
      <c r="A8" s="14" t="s">
        <v>18</v>
      </c>
      <c r="B8" s="16">
        <v>88.0</v>
      </c>
    </row>
    <row r="9">
      <c r="A9" s="14" t="s">
        <v>72</v>
      </c>
      <c r="B9" s="16">
        <v>88.0</v>
      </c>
    </row>
    <row r="10">
      <c r="A10" s="14" t="s">
        <v>31</v>
      </c>
      <c r="B10" s="16">
        <v>88.0</v>
      </c>
    </row>
    <row r="11">
      <c r="A11" s="14" t="s">
        <v>51</v>
      </c>
      <c r="B11" s="16">
        <v>88.0</v>
      </c>
    </row>
    <row r="12">
      <c r="A12" s="14" t="s">
        <v>19</v>
      </c>
      <c r="B12" s="16">
        <v>88.0</v>
      </c>
    </row>
    <row r="13">
      <c r="A13" s="14" t="s">
        <v>108</v>
      </c>
      <c r="B13" s="16">
        <v>88.0</v>
      </c>
    </row>
    <row r="14">
      <c r="A14" s="14" t="s">
        <v>16</v>
      </c>
      <c r="B14" s="16">
        <v>84.0</v>
      </c>
    </row>
    <row r="15">
      <c r="A15" s="14" t="s">
        <v>41</v>
      </c>
      <c r="B15" s="16">
        <v>84.0</v>
      </c>
    </row>
    <row r="16">
      <c r="A16" s="14" t="s">
        <v>21</v>
      </c>
      <c r="B16" s="16">
        <v>84.0</v>
      </c>
    </row>
    <row r="17">
      <c r="A17" s="14" t="s">
        <v>20</v>
      </c>
      <c r="B17" s="16">
        <v>84.0</v>
      </c>
    </row>
    <row r="18">
      <c r="A18" s="14" t="s">
        <v>124</v>
      </c>
      <c r="B18" s="16">
        <v>80.0</v>
      </c>
    </row>
    <row r="19">
      <c r="A19" s="14" t="s">
        <v>88</v>
      </c>
      <c r="B19" s="16">
        <v>80.0</v>
      </c>
    </row>
    <row r="20">
      <c r="A20" s="14" t="s">
        <v>69</v>
      </c>
      <c r="B20" s="16">
        <v>80.0</v>
      </c>
    </row>
    <row r="21">
      <c r="A21" s="14" t="s">
        <v>76</v>
      </c>
      <c r="B21" s="16">
        <v>80.0</v>
      </c>
    </row>
    <row r="22">
      <c r="A22" s="14" t="s">
        <v>117</v>
      </c>
      <c r="B22" s="16">
        <v>76.0</v>
      </c>
    </row>
    <row r="23">
      <c r="A23" s="14" t="s">
        <v>26</v>
      </c>
      <c r="B23" s="16">
        <v>76.0</v>
      </c>
    </row>
    <row r="24">
      <c r="A24" s="14" t="s">
        <v>23</v>
      </c>
      <c r="B24" s="16">
        <v>76.0</v>
      </c>
    </row>
    <row r="25">
      <c r="A25" s="14" t="s">
        <v>22</v>
      </c>
      <c r="B25" s="16">
        <v>76.0</v>
      </c>
    </row>
    <row r="26">
      <c r="A26" s="14" t="s">
        <v>105</v>
      </c>
      <c r="B26" s="16">
        <v>76.0</v>
      </c>
    </row>
    <row r="27">
      <c r="A27" s="14" t="s">
        <v>104</v>
      </c>
      <c r="B27" s="16">
        <v>72.0</v>
      </c>
    </row>
    <row r="28">
      <c r="A28" s="14" t="s">
        <v>63</v>
      </c>
      <c r="B28" s="16">
        <v>72.0</v>
      </c>
    </row>
    <row r="29">
      <c r="A29" s="14" t="s">
        <v>35</v>
      </c>
      <c r="B29" s="16">
        <v>68.0</v>
      </c>
    </row>
    <row r="30">
      <c r="A30" s="14" t="s">
        <v>58</v>
      </c>
      <c r="B30" s="16">
        <v>68.0</v>
      </c>
    </row>
    <row r="31">
      <c r="A31" s="14" t="s">
        <v>42</v>
      </c>
      <c r="B31" s="16">
        <v>68.0</v>
      </c>
    </row>
    <row r="32">
      <c r="A32" s="14" t="s">
        <v>39</v>
      </c>
      <c r="B32" s="16">
        <v>68.0</v>
      </c>
    </row>
    <row r="33">
      <c r="A33" s="14" t="s">
        <v>125</v>
      </c>
      <c r="B33" s="15">
        <v>65.0</v>
      </c>
    </row>
    <row r="34">
      <c r="A34" s="14" t="s">
        <v>98</v>
      </c>
      <c r="B34" s="15">
        <v>65.0</v>
      </c>
    </row>
    <row r="35">
      <c r="A35" s="14" t="s">
        <v>126</v>
      </c>
      <c r="B35" s="15">
        <v>65.0</v>
      </c>
    </row>
    <row r="36">
      <c r="A36" s="14" t="s">
        <v>36</v>
      </c>
      <c r="B36" s="16">
        <v>60.0</v>
      </c>
    </row>
    <row r="37">
      <c r="A37" s="14" t="s">
        <v>49</v>
      </c>
      <c r="B37" s="16">
        <v>60.0</v>
      </c>
    </row>
    <row r="38">
      <c r="A38" s="14" t="s">
        <v>127</v>
      </c>
      <c r="B38" s="16">
        <v>60.0</v>
      </c>
    </row>
    <row r="39">
      <c r="A39" s="14" t="s">
        <v>33</v>
      </c>
      <c r="B39" s="16">
        <v>60.0</v>
      </c>
    </row>
    <row r="40">
      <c r="A40" s="14" t="s">
        <v>92</v>
      </c>
      <c r="B40" s="16">
        <v>60.0</v>
      </c>
    </row>
    <row r="41">
      <c r="A41" s="14" t="s">
        <v>43</v>
      </c>
      <c r="B41" s="16">
        <v>60.0</v>
      </c>
    </row>
    <row r="42">
      <c r="A42" s="14" t="s">
        <v>15</v>
      </c>
      <c r="B42" s="16">
        <v>60.0</v>
      </c>
    </row>
    <row r="43">
      <c r="A43" s="14" t="s">
        <v>75</v>
      </c>
      <c r="B43" s="16">
        <v>56.0</v>
      </c>
    </row>
    <row r="44">
      <c r="A44" s="14" t="s">
        <v>81</v>
      </c>
      <c r="B44" s="16">
        <v>56.0</v>
      </c>
    </row>
    <row r="45">
      <c r="A45" s="14" t="s">
        <v>128</v>
      </c>
      <c r="B45" s="16">
        <v>56.0</v>
      </c>
    </row>
    <row r="46">
      <c r="A46" s="14" t="s">
        <v>52</v>
      </c>
      <c r="B46" s="16">
        <v>56.0</v>
      </c>
    </row>
    <row r="47">
      <c r="A47" s="14" t="s">
        <v>53</v>
      </c>
      <c r="B47" s="16">
        <v>52.0</v>
      </c>
    </row>
    <row r="48">
      <c r="A48" s="14" t="s">
        <v>129</v>
      </c>
      <c r="B48" s="16">
        <v>52.0</v>
      </c>
    </row>
    <row r="49">
      <c r="A49" s="14" t="s">
        <v>130</v>
      </c>
      <c r="B49" s="16">
        <v>52.0</v>
      </c>
    </row>
    <row r="50">
      <c r="A50" s="14" t="s">
        <v>30</v>
      </c>
      <c r="B50" s="16">
        <v>52.0</v>
      </c>
    </row>
    <row r="51">
      <c r="A51" s="14" t="s">
        <v>116</v>
      </c>
      <c r="B51" s="16">
        <v>52.0</v>
      </c>
    </row>
    <row r="52">
      <c r="A52" s="14" t="s">
        <v>29</v>
      </c>
      <c r="B52" s="16">
        <v>52.0</v>
      </c>
    </row>
    <row r="53">
      <c r="A53" s="14" t="s">
        <v>131</v>
      </c>
      <c r="B53" s="16">
        <v>52.0</v>
      </c>
    </row>
    <row r="54">
      <c r="A54" s="14" t="s">
        <v>64</v>
      </c>
      <c r="B54" s="16">
        <v>48.0</v>
      </c>
    </row>
    <row r="55">
      <c r="A55" s="14" t="s">
        <v>59</v>
      </c>
      <c r="B55" s="16">
        <v>48.0</v>
      </c>
    </row>
    <row r="56">
      <c r="A56" s="14" t="s">
        <v>111</v>
      </c>
      <c r="B56" s="16">
        <v>48.0</v>
      </c>
    </row>
    <row r="57">
      <c r="A57" s="14" t="s">
        <v>112</v>
      </c>
      <c r="B57" s="16">
        <v>48.0</v>
      </c>
    </row>
    <row r="58">
      <c r="A58" s="14" t="s">
        <v>46</v>
      </c>
      <c r="B58" s="15">
        <v>65.0</v>
      </c>
    </row>
    <row r="59">
      <c r="A59" s="14" t="s">
        <v>132</v>
      </c>
      <c r="B59" s="16">
        <v>48.0</v>
      </c>
    </row>
    <row r="60">
      <c r="A60" s="14" t="s">
        <v>133</v>
      </c>
      <c r="B60" s="16">
        <v>48.0</v>
      </c>
    </row>
    <row r="61">
      <c r="A61" s="14" t="s">
        <v>84</v>
      </c>
      <c r="B61" s="16">
        <v>48.0</v>
      </c>
    </row>
    <row r="62">
      <c r="A62" s="14" t="s">
        <v>134</v>
      </c>
      <c r="B62" s="16">
        <v>44.0</v>
      </c>
    </row>
    <row r="63">
      <c r="A63" s="14" t="s">
        <v>115</v>
      </c>
      <c r="B63" s="16">
        <v>44.0</v>
      </c>
    </row>
    <row r="64">
      <c r="A64" s="14" t="s">
        <v>45</v>
      </c>
      <c r="B64" s="16">
        <v>44.0</v>
      </c>
    </row>
    <row r="65">
      <c r="A65" s="14" t="s">
        <v>56</v>
      </c>
      <c r="B65" s="16">
        <v>44.0</v>
      </c>
    </row>
    <row r="66">
      <c r="A66" s="14" t="s">
        <v>54</v>
      </c>
      <c r="B66" s="16">
        <v>44.0</v>
      </c>
    </row>
    <row r="67">
      <c r="A67" s="14" t="s">
        <v>89</v>
      </c>
      <c r="B67" s="15">
        <v>70.0</v>
      </c>
    </row>
    <row r="68">
      <c r="A68" s="14" t="s">
        <v>47</v>
      </c>
      <c r="B68" s="16">
        <v>44.0</v>
      </c>
    </row>
    <row r="69">
      <c r="A69" s="14" t="s">
        <v>50</v>
      </c>
      <c r="B69" s="16">
        <v>44.0</v>
      </c>
    </row>
    <row r="70">
      <c r="A70" s="14" t="s">
        <v>57</v>
      </c>
      <c r="B70" s="16">
        <v>44.0</v>
      </c>
    </row>
    <row r="71">
      <c r="A71" s="14" t="s">
        <v>24</v>
      </c>
      <c r="B71" s="16">
        <v>44.0</v>
      </c>
    </row>
    <row r="72">
      <c r="A72" s="14" t="s">
        <v>67</v>
      </c>
      <c r="B72" s="16">
        <v>40.0</v>
      </c>
    </row>
    <row r="73">
      <c r="A73" s="14" t="s">
        <v>86</v>
      </c>
      <c r="B73" s="16">
        <v>40.0</v>
      </c>
    </row>
    <row r="74">
      <c r="A74" s="14" t="s">
        <v>71</v>
      </c>
      <c r="B74" s="16">
        <v>40.0</v>
      </c>
    </row>
    <row r="75">
      <c r="A75" s="14" t="s">
        <v>91</v>
      </c>
      <c r="B75" s="15">
        <v>70.0</v>
      </c>
    </row>
    <row r="76">
      <c r="A76" s="14" t="s">
        <v>28</v>
      </c>
      <c r="B76" s="16">
        <v>40.0</v>
      </c>
    </row>
    <row r="77">
      <c r="A77" s="14" t="s">
        <v>68</v>
      </c>
      <c r="B77" s="16">
        <v>40.0</v>
      </c>
    </row>
    <row r="78">
      <c r="A78" s="14" t="s">
        <v>97</v>
      </c>
      <c r="B78" s="16">
        <v>40.0</v>
      </c>
    </row>
    <row r="79">
      <c r="A79" s="14" t="s">
        <v>135</v>
      </c>
      <c r="B79" s="16">
        <v>40.0</v>
      </c>
    </row>
    <row r="80">
      <c r="A80" s="14" t="s">
        <v>38</v>
      </c>
      <c r="B80" s="16">
        <v>40.0</v>
      </c>
    </row>
    <row r="81">
      <c r="A81" s="14" t="s">
        <v>44</v>
      </c>
      <c r="B81" s="15">
        <v>65.0</v>
      </c>
    </row>
    <row r="82">
      <c r="A82" s="14" t="s">
        <v>113</v>
      </c>
      <c r="B82" s="16">
        <v>36.0</v>
      </c>
    </row>
    <row r="83">
      <c r="A83" s="14" t="s">
        <v>136</v>
      </c>
      <c r="B83" s="16">
        <v>36.0</v>
      </c>
    </row>
    <row r="84">
      <c r="A84" s="14" t="s">
        <v>70</v>
      </c>
      <c r="B84" s="16">
        <v>36.0</v>
      </c>
    </row>
    <row r="85">
      <c r="A85" s="14" t="s">
        <v>119</v>
      </c>
      <c r="B85" s="16">
        <v>36.0</v>
      </c>
    </row>
    <row r="86">
      <c r="A86" s="14" t="s">
        <v>74</v>
      </c>
      <c r="B86" s="16">
        <v>36.0</v>
      </c>
    </row>
    <row r="87">
      <c r="A87" s="14" t="s">
        <v>109</v>
      </c>
      <c r="B87" s="16">
        <v>36.0</v>
      </c>
    </row>
    <row r="88">
      <c r="A88" s="14" t="s">
        <v>103</v>
      </c>
      <c r="B88" s="16">
        <v>32.0</v>
      </c>
    </row>
    <row r="89">
      <c r="A89" s="14" t="s">
        <v>93</v>
      </c>
      <c r="B89" s="16">
        <v>32.0</v>
      </c>
    </row>
    <row r="90">
      <c r="A90" s="14" t="s">
        <v>118</v>
      </c>
      <c r="B90" s="16">
        <v>32.0</v>
      </c>
    </row>
    <row r="91">
      <c r="A91" s="14" t="s">
        <v>37</v>
      </c>
      <c r="B91" s="16">
        <v>32.0</v>
      </c>
    </row>
    <row r="92">
      <c r="A92" s="14" t="s">
        <v>95</v>
      </c>
      <c r="B92" s="16">
        <v>32.0</v>
      </c>
    </row>
    <row r="93">
      <c r="A93" s="14" t="s">
        <v>73</v>
      </c>
      <c r="B93" s="16">
        <v>32.0</v>
      </c>
    </row>
    <row r="94">
      <c r="A94" s="14" t="s">
        <v>102</v>
      </c>
      <c r="B94" s="16">
        <v>28.0</v>
      </c>
    </row>
    <row r="95">
      <c r="A95" s="14" t="s">
        <v>83</v>
      </c>
      <c r="B95" s="16">
        <v>28.0</v>
      </c>
    </row>
    <row r="96">
      <c r="A96" s="14" t="s">
        <v>101</v>
      </c>
      <c r="B96" s="16">
        <v>28.0</v>
      </c>
    </row>
    <row r="97">
      <c r="A97" s="14" t="s">
        <v>96</v>
      </c>
      <c r="B97" s="16">
        <v>28.0</v>
      </c>
    </row>
    <row r="98">
      <c r="A98" s="14" t="s">
        <v>137</v>
      </c>
      <c r="B98" s="16">
        <v>28.0</v>
      </c>
    </row>
    <row r="99">
      <c r="A99" s="14" t="s">
        <v>107</v>
      </c>
      <c r="B99" s="16">
        <v>28.0</v>
      </c>
    </row>
    <row r="100">
      <c r="A100" s="14" t="s">
        <v>110</v>
      </c>
      <c r="B100" s="16">
        <v>28.0</v>
      </c>
    </row>
    <row r="101">
      <c r="A101" s="14" t="s">
        <v>90</v>
      </c>
      <c r="B101" s="16">
        <v>24.0</v>
      </c>
    </row>
    <row r="102">
      <c r="A102" s="14" t="s">
        <v>114</v>
      </c>
      <c r="B102" s="16">
        <v>24.0</v>
      </c>
    </row>
    <row r="103">
      <c r="A103" s="14" t="s">
        <v>55</v>
      </c>
      <c r="B103" s="16">
        <v>24.0</v>
      </c>
    </row>
    <row r="104">
      <c r="A104" s="14" t="s">
        <v>66</v>
      </c>
      <c r="B104" s="16">
        <v>24.0</v>
      </c>
    </row>
    <row r="105">
      <c r="A105" s="14" t="s">
        <v>120</v>
      </c>
      <c r="B105" s="16">
        <v>24.0</v>
      </c>
    </row>
    <row r="106">
      <c r="A106" s="14" t="s">
        <v>100</v>
      </c>
      <c r="B106" s="16">
        <v>16.0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138</v>
      </c>
      <c r="B1" s="15">
        <v>70.0</v>
      </c>
      <c r="C1" s="16" t="str">
        <f t="shared" ref="C1:C113" si="1">IF(B1&gt;=70,"PASS","FAIL")</f>
        <v>PASS</v>
      </c>
    </row>
    <row r="2">
      <c r="A2" s="15" t="s">
        <v>139</v>
      </c>
      <c r="B2" s="15">
        <v>82.0</v>
      </c>
      <c r="C2" s="16" t="str">
        <f t="shared" si="1"/>
        <v>PASS</v>
      </c>
    </row>
    <row r="3">
      <c r="A3" s="15" t="s">
        <v>140</v>
      </c>
      <c r="B3" s="15">
        <v>70.0</v>
      </c>
      <c r="C3" s="16" t="str">
        <f t="shared" si="1"/>
        <v>PASS</v>
      </c>
    </row>
    <row r="4">
      <c r="A4" s="15" t="s">
        <v>141</v>
      </c>
      <c r="B4" s="15">
        <v>49.0</v>
      </c>
      <c r="C4" s="16" t="str">
        <f t="shared" si="1"/>
        <v>FAIL</v>
      </c>
    </row>
    <row r="5">
      <c r="A5" s="15" t="s">
        <v>142</v>
      </c>
      <c r="B5" s="15">
        <v>70.0</v>
      </c>
      <c r="C5" s="16" t="str">
        <f t="shared" si="1"/>
        <v>PASS</v>
      </c>
    </row>
    <row r="6">
      <c r="A6" s="15" t="s">
        <v>143</v>
      </c>
      <c r="B6" s="15">
        <v>54.0</v>
      </c>
      <c r="C6" s="16" t="str">
        <f t="shared" si="1"/>
        <v>FAIL</v>
      </c>
      <c r="D6" s="15" t="s">
        <v>144</v>
      </c>
    </row>
    <row r="7">
      <c r="A7" s="15" t="s">
        <v>145</v>
      </c>
      <c r="B7" s="15">
        <v>70.0</v>
      </c>
      <c r="C7" s="16" t="str">
        <f t="shared" si="1"/>
        <v>PASS</v>
      </c>
    </row>
    <row r="8">
      <c r="A8" s="15" t="s">
        <v>146</v>
      </c>
      <c r="B8" s="15">
        <v>70.0</v>
      </c>
      <c r="C8" s="16" t="str">
        <f t="shared" si="1"/>
        <v>PASS</v>
      </c>
    </row>
    <row r="9">
      <c r="A9" s="15" t="s">
        <v>147</v>
      </c>
      <c r="B9" s="15">
        <v>70.0</v>
      </c>
      <c r="C9" s="16" t="str">
        <f t="shared" si="1"/>
        <v>PASS</v>
      </c>
    </row>
    <row r="10">
      <c r="A10" s="15" t="s">
        <v>148</v>
      </c>
      <c r="B10" s="15">
        <v>78.0</v>
      </c>
      <c r="C10" s="16" t="str">
        <f t="shared" si="1"/>
        <v>PASS</v>
      </c>
    </row>
    <row r="11">
      <c r="A11" s="15" t="s">
        <v>149</v>
      </c>
      <c r="B11" s="15">
        <v>6.0</v>
      </c>
      <c r="C11" s="16" t="str">
        <f t="shared" si="1"/>
        <v>FAIL</v>
      </c>
    </row>
    <row r="12">
      <c r="A12" s="15" t="s">
        <v>150</v>
      </c>
      <c r="B12" s="15">
        <v>72.0</v>
      </c>
      <c r="C12" s="16" t="str">
        <f t="shared" si="1"/>
        <v>PASS</v>
      </c>
    </row>
    <row r="13">
      <c r="A13" s="15" t="s">
        <v>151</v>
      </c>
      <c r="B13" s="15">
        <v>21.0</v>
      </c>
      <c r="C13" s="16" t="str">
        <f t="shared" si="1"/>
        <v>FAIL</v>
      </c>
    </row>
    <row r="14">
      <c r="A14" s="15" t="s">
        <v>152</v>
      </c>
      <c r="B14" s="15">
        <v>75.0</v>
      </c>
      <c r="C14" s="16" t="str">
        <f t="shared" si="1"/>
        <v>PASS</v>
      </c>
    </row>
    <row r="15">
      <c r="A15" s="15" t="s">
        <v>153</v>
      </c>
      <c r="B15" s="15">
        <v>71.0</v>
      </c>
      <c r="C15" s="16" t="str">
        <f t="shared" si="1"/>
        <v>PASS</v>
      </c>
    </row>
    <row r="16">
      <c r="A16" s="15" t="s">
        <v>154</v>
      </c>
      <c r="B16" s="15">
        <v>33.0</v>
      </c>
      <c r="C16" s="16" t="str">
        <f t="shared" si="1"/>
        <v>FAIL</v>
      </c>
    </row>
    <row r="17">
      <c r="A17" s="15" t="s">
        <v>155</v>
      </c>
      <c r="B17" s="15">
        <v>70.0</v>
      </c>
      <c r="C17" s="16" t="str">
        <f t="shared" si="1"/>
        <v>PASS</v>
      </c>
    </row>
    <row r="18">
      <c r="A18" s="15" t="s">
        <v>156</v>
      </c>
      <c r="B18" s="15">
        <v>88.0</v>
      </c>
      <c r="C18" s="16" t="str">
        <f t="shared" si="1"/>
        <v>PASS</v>
      </c>
    </row>
    <row r="19">
      <c r="A19" s="15" t="s">
        <v>157</v>
      </c>
      <c r="B19" s="15">
        <v>60.0</v>
      </c>
      <c r="C19" s="16" t="str">
        <f t="shared" si="1"/>
        <v>FAIL</v>
      </c>
    </row>
    <row r="20">
      <c r="A20" s="15" t="s">
        <v>158</v>
      </c>
      <c r="B20" s="15">
        <v>70.0</v>
      </c>
      <c r="C20" s="16" t="str">
        <f t="shared" si="1"/>
        <v>PASS</v>
      </c>
    </row>
    <row r="21">
      <c r="A21" s="15" t="s">
        <v>159</v>
      </c>
      <c r="B21" s="15">
        <v>92.0</v>
      </c>
      <c r="C21" s="16" t="str">
        <f t="shared" si="1"/>
        <v>PASS</v>
      </c>
    </row>
    <row r="22">
      <c r="A22" s="15" t="s">
        <v>160</v>
      </c>
      <c r="B22" s="15">
        <v>61.0</v>
      </c>
      <c r="C22" s="16" t="str">
        <f t="shared" si="1"/>
        <v>FAIL</v>
      </c>
    </row>
    <row r="23">
      <c r="A23" s="15" t="s">
        <v>161</v>
      </c>
      <c r="B23" s="15">
        <v>70.0</v>
      </c>
      <c r="C23" s="16" t="str">
        <f t="shared" si="1"/>
        <v>PASS</v>
      </c>
    </row>
    <row r="24">
      <c r="A24" s="15" t="s">
        <v>162</v>
      </c>
      <c r="B24" s="15">
        <v>70.0</v>
      </c>
      <c r="C24" s="16" t="str">
        <f t="shared" si="1"/>
        <v>PASS</v>
      </c>
    </row>
    <row r="25">
      <c r="A25" s="15" t="s">
        <v>163</v>
      </c>
      <c r="B25" s="15">
        <v>45.0</v>
      </c>
      <c r="C25" s="16" t="str">
        <f t="shared" si="1"/>
        <v>FAIL</v>
      </c>
    </row>
    <row r="26">
      <c r="A26" s="15" t="s">
        <v>164</v>
      </c>
      <c r="B26" s="15">
        <v>70.0</v>
      </c>
      <c r="C26" s="16" t="str">
        <f t="shared" si="1"/>
        <v>PASS</v>
      </c>
    </row>
    <row r="27">
      <c r="A27" s="15" t="s">
        <v>165</v>
      </c>
      <c r="B27" s="15">
        <v>79.0</v>
      </c>
      <c r="C27" s="16" t="str">
        <f t="shared" si="1"/>
        <v>PASS</v>
      </c>
    </row>
    <row r="28">
      <c r="A28" s="15" t="s">
        <v>166</v>
      </c>
      <c r="B28" s="15">
        <v>48.0</v>
      </c>
      <c r="C28" s="16" t="str">
        <f t="shared" si="1"/>
        <v>FAIL</v>
      </c>
    </row>
    <row r="29">
      <c r="A29" s="15" t="s">
        <v>167</v>
      </c>
      <c r="B29" s="15">
        <v>31.0</v>
      </c>
      <c r="C29" s="16" t="str">
        <f t="shared" si="1"/>
        <v>FAIL</v>
      </c>
    </row>
    <row r="30">
      <c r="A30" s="15" t="s">
        <v>168</v>
      </c>
      <c r="B30" s="15">
        <v>61.0</v>
      </c>
      <c r="C30" s="16" t="str">
        <f t="shared" si="1"/>
        <v>FAIL</v>
      </c>
    </row>
    <row r="31">
      <c r="A31" s="15" t="s">
        <v>169</v>
      </c>
      <c r="B31" s="15">
        <v>89.0</v>
      </c>
      <c r="C31" s="16" t="str">
        <f t="shared" si="1"/>
        <v>PASS</v>
      </c>
    </row>
    <row r="32">
      <c r="A32" s="15" t="s">
        <v>170</v>
      </c>
      <c r="B32" s="15">
        <v>80.0</v>
      </c>
      <c r="C32" s="16" t="str">
        <f t="shared" si="1"/>
        <v>PASS</v>
      </c>
    </row>
    <row r="33">
      <c r="A33" s="15" t="s">
        <v>171</v>
      </c>
      <c r="B33" s="15">
        <v>83.0</v>
      </c>
      <c r="C33" s="16" t="str">
        <f t="shared" si="1"/>
        <v>PASS</v>
      </c>
    </row>
    <row r="34">
      <c r="A34" s="15" t="s">
        <v>172</v>
      </c>
      <c r="B34" s="15">
        <v>80.0</v>
      </c>
      <c r="C34" s="16" t="str">
        <f t="shared" si="1"/>
        <v>PASS</v>
      </c>
    </row>
    <row r="35">
      <c r="A35" s="15" t="s">
        <v>173</v>
      </c>
      <c r="B35" s="15">
        <v>70.0</v>
      </c>
      <c r="C35" s="16" t="str">
        <f t="shared" si="1"/>
        <v>PASS</v>
      </c>
    </row>
    <row r="36">
      <c r="A36" s="15" t="s">
        <v>174</v>
      </c>
      <c r="B36" s="15">
        <v>70.0</v>
      </c>
      <c r="C36" s="16" t="str">
        <f t="shared" si="1"/>
        <v>PASS</v>
      </c>
    </row>
    <row r="37">
      <c r="A37" s="15" t="s">
        <v>175</v>
      </c>
      <c r="B37" s="15">
        <v>78.0</v>
      </c>
      <c r="C37" s="16" t="str">
        <f t="shared" si="1"/>
        <v>PASS</v>
      </c>
    </row>
    <row r="38">
      <c r="A38" s="15" t="s">
        <v>176</v>
      </c>
      <c r="B38" s="15">
        <v>0.0</v>
      </c>
      <c r="C38" s="16" t="str">
        <f t="shared" si="1"/>
        <v>FAIL</v>
      </c>
    </row>
    <row r="39">
      <c r="A39" s="15" t="s">
        <v>177</v>
      </c>
      <c r="B39" s="15">
        <v>3.0</v>
      </c>
      <c r="C39" s="16" t="str">
        <f t="shared" si="1"/>
        <v>FAIL</v>
      </c>
    </row>
    <row r="40">
      <c r="A40" s="15" t="s">
        <v>178</v>
      </c>
      <c r="B40" s="15">
        <v>47.0</v>
      </c>
      <c r="C40" s="16" t="str">
        <f t="shared" si="1"/>
        <v>FAIL</v>
      </c>
    </row>
    <row r="41">
      <c r="A41" s="15" t="s">
        <v>179</v>
      </c>
      <c r="B41" s="15">
        <v>82.0</v>
      </c>
      <c r="C41" s="16" t="str">
        <f t="shared" si="1"/>
        <v>PASS</v>
      </c>
    </row>
    <row r="42">
      <c r="A42" s="15" t="s">
        <v>180</v>
      </c>
      <c r="B42" s="15">
        <v>70.0</v>
      </c>
      <c r="C42" s="16" t="str">
        <f t="shared" si="1"/>
        <v>PASS</v>
      </c>
    </row>
    <row r="43">
      <c r="A43" s="15" t="s">
        <v>181</v>
      </c>
      <c r="B43" s="15">
        <v>86.0</v>
      </c>
      <c r="C43" s="16" t="str">
        <f t="shared" si="1"/>
        <v>PASS</v>
      </c>
    </row>
    <row r="44">
      <c r="A44" s="15" t="s">
        <v>182</v>
      </c>
      <c r="B44" s="15">
        <v>70.0</v>
      </c>
      <c r="C44" s="16" t="str">
        <f t="shared" si="1"/>
        <v>PASS</v>
      </c>
    </row>
    <row r="45">
      <c r="A45" s="15" t="s">
        <v>183</v>
      </c>
      <c r="B45" s="15">
        <v>70.0</v>
      </c>
      <c r="C45" s="16" t="str">
        <f t="shared" si="1"/>
        <v>PASS</v>
      </c>
    </row>
    <row r="46">
      <c r="A46" s="15" t="s">
        <v>184</v>
      </c>
      <c r="B46" s="15">
        <v>70.0</v>
      </c>
      <c r="C46" s="16" t="str">
        <f t="shared" si="1"/>
        <v>PASS</v>
      </c>
    </row>
    <row r="47">
      <c r="A47" s="15" t="s">
        <v>185</v>
      </c>
      <c r="B47" s="15">
        <v>15.0</v>
      </c>
      <c r="C47" s="16" t="str">
        <f t="shared" si="1"/>
        <v>FAIL</v>
      </c>
    </row>
    <row r="48">
      <c r="A48" s="15" t="s">
        <v>186</v>
      </c>
      <c r="B48" s="15">
        <v>73.0</v>
      </c>
      <c r="C48" s="16" t="str">
        <f t="shared" si="1"/>
        <v>PASS</v>
      </c>
    </row>
    <row r="49">
      <c r="A49" s="15" t="s">
        <v>187</v>
      </c>
      <c r="B49" s="15">
        <v>70.0</v>
      </c>
      <c r="C49" s="16" t="str">
        <f t="shared" si="1"/>
        <v>PASS</v>
      </c>
    </row>
    <row r="50">
      <c r="A50" s="15" t="s">
        <v>188</v>
      </c>
      <c r="B50" s="15">
        <v>54.0</v>
      </c>
      <c r="C50" s="16" t="str">
        <f t="shared" si="1"/>
        <v>FAIL</v>
      </c>
    </row>
    <row r="51">
      <c r="A51" s="15" t="s">
        <v>189</v>
      </c>
      <c r="B51" s="15">
        <v>70.0</v>
      </c>
      <c r="C51" s="16" t="str">
        <f t="shared" si="1"/>
        <v>PASS</v>
      </c>
    </row>
    <row r="52">
      <c r="A52" s="15" t="s">
        <v>190</v>
      </c>
      <c r="B52" s="15">
        <v>42.0</v>
      </c>
      <c r="C52" s="16" t="str">
        <f t="shared" si="1"/>
        <v>FAIL</v>
      </c>
    </row>
    <row r="53">
      <c r="A53" s="15" t="s">
        <v>191</v>
      </c>
      <c r="B53" s="15">
        <v>70.0</v>
      </c>
      <c r="C53" s="16" t="str">
        <f t="shared" si="1"/>
        <v>PASS</v>
      </c>
    </row>
    <row r="54">
      <c r="A54" s="15" t="s">
        <v>192</v>
      </c>
      <c r="B54" s="15">
        <v>71.0</v>
      </c>
      <c r="C54" s="16" t="str">
        <f t="shared" si="1"/>
        <v>PASS</v>
      </c>
    </row>
    <row r="55">
      <c r="A55" s="15" t="s">
        <v>193</v>
      </c>
      <c r="B55" s="15">
        <v>82.0</v>
      </c>
      <c r="C55" s="16" t="str">
        <f t="shared" si="1"/>
        <v>PASS</v>
      </c>
    </row>
    <row r="56">
      <c r="A56" s="15" t="s">
        <v>194</v>
      </c>
      <c r="B56" s="15">
        <v>77.0</v>
      </c>
      <c r="C56" s="16" t="str">
        <f t="shared" si="1"/>
        <v>PASS</v>
      </c>
    </row>
    <row r="57">
      <c r="A57" s="15" t="s">
        <v>195</v>
      </c>
      <c r="B57" s="15">
        <v>79.0</v>
      </c>
      <c r="C57" s="16" t="str">
        <f t="shared" si="1"/>
        <v>PASS</v>
      </c>
    </row>
    <row r="58">
      <c r="A58" s="15" t="s">
        <v>196</v>
      </c>
      <c r="B58" s="15">
        <v>70.0</v>
      </c>
      <c r="C58" s="16" t="str">
        <f t="shared" si="1"/>
        <v>PASS</v>
      </c>
    </row>
    <row r="59">
      <c r="A59" s="15" t="s">
        <v>197</v>
      </c>
      <c r="B59" s="15">
        <v>70.0</v>
      </c>
      <c r="C59" s="16" t="str">
        <f t="shared" si="1"/>
        <v>PASS</v>
      </c>
    </row>
    <row r="60">
      <c r="A60" s="15" t="s">
        <v>198</v>
      </c>
      <c r="B60" s="15">
        <v>70.0</v>
      </c>
      <c r="C60" s="16" t="str">
        <f t="shared" si="1"/>
        <v>PASS</v>
      </c>
    </row>
    <row r="61">
      <c r="A61" s="15" t="s">
        <v>199</v>
      </c>
      <c r="B61" s="15">
        <v>75.0</v>
      </c>
      <c r="C61" s="16" t="str">
        <f t="shared" si="1"/>
        <v>PASS</v>
      </c>
    </row>
    <row r="62">
      <c r="A62" s="15" t="s">
        <v>200</v>
      </c>
      <c r="B62" s="15">
        <v>0.0</v>
      </c>
      <c r="C62" s="16" t="str">
        <f t="shared" si="1"/>
        <v>FAIL</v>
      </c>
    </row>
    <row r="63">
      <c r="A63" s="15" t="s">
        <v>201</v>
      </c>
      <c r="B63" s="15">
        <v>85.0</v>
      </c>
      <c r="C63" s="16" t="str">
        <f t="shared" si="1"/>
        <v>PASS</v>
      </c>
    </row>
    <row r="64">
      <c r="A64" s="15" t="s">
        <v>202</v>
      </c>
      <c r="B64" s="15">
        <v>79.0</v>
      </c>
      <c r="C64" s="16" t="str">
        <f t="shared" si="1"/>
        <v>PASS</v>
      </c>
    </row>
    <row r="65">
      <c r="A65" s="15" t="s">
        <v>203</v>
      </c>
      <c r="B65" s="15">
        <v>75.0</v>
      </c>
      <c r="C65" s="16" t="str">
        <f t="shared" si="1"/>
        <v>PASS</v>
      </c>
    </row>
    <row r="66">
      <c r="A66" s="15" t="s">
        <v>204</v>
      </c>
      <c r="B66" s="15">
        <v>70.0</v>
      </c>
      <c r="C66" s="16" t="str">
        <f t="shared" si="1"/>
        <v>PASS</v>
      </c>
    </row>
    <row r="67">
      <c r="A67" s="15" t="s">
        <v>205</v>
      </c>
      <c r="B67" s="15">
        <v>67.0</v>
      </c>
      <c r="C67" s="16" t="str">
        <f t="shared" si="1"/>
        <v>FAIL</v>
      </c>
    </row>
    <row r="68">
      <c r="A68" s="15" t="s">
        <v>206</v>
      </c>
      <c r="B68" s="15">
        <v>83.0</v>
      </c>
      <c r="C68" s="16" t="str">
        <f t="shared" si="1"/>
        <v>PASS</v>
      </c>
    </row>
    <row r="69">
      <c r="A69" s="15" t="s">
        <v>207</v>
      </c>
      <c r="B69" s="15">
        <v>35.0</v>
      </c>
      <c r="C69" s="16" t="str">
        <f t="shared" si="1"/>
        <v>FAIL</v>
      </c>
    </row>
    <row r="70">
      <c r="A70" s="15" t="s">
        <v>208</v>
      </c>
      <c r="B70" s="15">
        <v>70.0</v>
      </c>
      <c r="C70" s="16" t="str">
        <f t="shared" si="1"/>
        <v>PASS</v>
      </c>
    </row>
    <row r="71">
      <c r="A71" s="15" t="s">
        <v>209</v>
      </c>
      <c r="B71" s="15">
        <v>54.0</v>
      </c>
      <c r="C71" s="16" t="str">
        <f t="shared" si="1"/>
        <v>FAIL</v>
      </c>
    </row>
    <row r="72">
      <c r="A72" s="15" t="s">
        <v>210</v>
      </c>
      <c r="B72" s="15">
        <v>39.0</v>
      </c>
      <c r="C72" s="16" t="str">
        <f t="shared" si="1"/>
        <v>FAIL</v>
      </c>
    </row>
    <row r="73">
      <c r="A73" s="15" t="s">
        <v>211</v>
      </c>
      <c r="B73" s="15">
        <v>80.0</v>
      </c>
      <c r="C73" s="16" t="str">
        <f t="shared" si="1"/>
        <v>PASS</v>
      </c>
    </row>
    <row r="74">
      <c r="A74" s="15" t="s">
        <v>212</v>
      </c>
      <c r="B74" s="15">
        <v>68.0</v>
      </c>
      <c r="C74" s="16" t="str">
        <f t="shared" si="1"/>
        <v>FAIL</v>
      </c>
    </row>
    <row r="75">
      <c r="A75" s="15" t="s">
        <v>213</v>
      </c>
      <c r="B75" s="15">
        <v>73.0</v>
      </c>
      <c r="C75" s="16" t="str">
        <f t="shared" si="1"/>
        <v>PASS</v>
      </c>
    </row>
    <row r="76">
      <c r="A76" s="15" t="s">
        <v>214</v>
      </c>
      <c r="B76" s="15">
        <v>79.0</v>
      </c>
      <c r="C76" s="16" t="str">
        <f t="shared" si="1"/>
        <v>PASS</v>
      </c>
    </row>
    <row r="77">
      <c r="A77" s="15" t="s">
        <v>215</v>
      </c>
      <c r="B77" s="15">
        <v>70.0</v>
      </c>
      <c r="C77" s="16" t="str">
        <f t="shared" si="1"/>
        <v>PASS</v>
      </c>
    </row>
    <row r="78">
      <c r="A78" s="15" t="s">
        <v>216</v>
      </c>
      <c r="B78" s="15">
        <v>83.0</v>
      </c>
      <c r="C78" s="16" t="str">
        <f t="shared" si="1"/>
        <v>PASS</v>
      </c>
    </row>
    <row r="79">
      <c r="A79" s="15" t="s">
        <v>217</v>
      </c>
      <c r="B79" s="15">
        <v>36.0</v>
      </c>
      <c r="C79" s="16" t="str">
        <f t="shared" si="1"/>
        <v>FAIL</v>
      </c>
    </row>
    <row r="80">
      <c r="A80" s="15" t="s">
        <v>218</v>
      </c>
      <c r="B80" s="15">
        <v>70.0</v>
      </c>
      <c r="C80" s="16" t="str">
        <f t="shared" si="1"/>
        <v>PASS</v>
      </c>
    </row>
    <row r="81">
      <c r="A81" s="15" t="s">
        <v>219</v>
      </c>
      <c r="B81" s="15">
        <v>80.0</v>
      </c>
      <c r="C81" s="16" t="str">
        <f t="shared" si="1"/>
        <v>PASS</v>
      </c>
    </row>
    <row r="82">
      <c r="A82" s="15" t="s">
        <v>220</v>
      </c>
      <c r="B82" s="15">
        <v>70.0</v>
      </c>
      <c r="C82" s="16" t="str">
        <f t="shared" si="1"/>
        <v>PASS</v>
      </c>
    </row>
    <row r="83">
      <c r="A83" s="15" t="s">
        <v>221</v>
      </c>
      <c r="B83" s="15">
        <v>70.0</v>
      </c>
      <c r="C83" s="16" t="str">
        <f t="shared" si="1"/>
        <v>PASS</v>
      </c>
    </row>
    <row r="84">
      <c r="A84" s="15" t="s">
        <v>222</v>
      </c>
      <c r="B84" s="15">
        <v>76.0</v>
      </c>
      <c r="C84" s="16" t="str">
        <f t="shared" si="1"/>
        <v>PASS</v>
      </c>
    </row>
    <row r="85">
      <c r="A85" s="15" t="s">
        <v>223</v>
      </c>
      <c r="B85" s="15">
        <v>70.0</v>
      </c>
      <c r="C85" s="16" t="str">
        <f t="shared" si="1"/>
        <v>PASS</v>
      </c>
    </row>
    <row r="86">
      <c r="A86" s="15" t="s">
        <v>224</v>
      </c>
      <c r="B86" s="15">
        <v>45.0</v>
      </c>
      <c r="C86" s="16" t="str">
        <f t="shared" si="1"/>
        <v>FAIL</v>
      </c>
    </row>
    <row r="87">
      <c r="A87" s="15" t="s">
        <v>225</v>
      </c>
      <c r="B87" s="15">
        <v>62.0</v>
      </c>
      <c r="C87" s="16" t="str">
        <f t="shared" si="1"/>
        <v>FAIL</v>
      </c>
    </row>
    <row r="88">
      <c r="A88" s="15" t="s">
        <v>226</v>
      </c>
      <c r="B88" s="15">
        <v>87.0</v>
      </c>
      <c r="C88" s="16" t="str">
        <f t="shared" si="1"/>
        <v>PASS</v>
      </c>
    </row>
    <row r="89">
      <c r="A89" s="15" t="s">
        <v>227</v>
      </c>
      <c r="B89" s="15">
        <v>70.0</v>
      </c>
      <c r="C89" s="16" t="str">
        <f t="shared" si="1"/>
        <v>PASS</v>
      </c>
    </row>
    <row r="90">
      <c r="A90" s="15" t="s">
        <v>228</v>
      </c>
      <c r="B90" s="15">
        <v>79.0</v>
      </c>
      <c r="C90" s="16" t="str">
        <f t="shared" si="1"/>
        <v>PASS</v>
      </c>
    </row>
    <row r="91">
      <c r="A91" s="15" t="s">
        <v>229</v>
      </c>
      <c r="B91" s="15">
        <v>70.0</v>
      </c>
      <c r="C91" s="16" t="str">
        <f t="shared" si="1"/>
        <v>PASS</v>
      </c>
    </row>
    <row r="92">
      <c r="A92" s="15" t="s">
        <v>230</v>
      </c>
      <c r="B92" s="15">
        <v>70.0</v>
      </c>
      <c r="C92" s="16" t="str">
        <f t="shared" si="1"/>
        <v>PASS</v>
      </c>
    </row>
    <row r="93">
      <c r="A93" s="15" t="s">
        <v>231</v>
      </c>
      <c r="B93" s="15">
        <v>70.0</v>
      </c>
      <c r="C93" s="16" t="str">
        <f t="shared" si="1"/>
        <v>PASS</v>
      </c>
    </row>
    <row r="94">
      <c r="A94" s="15" t="s">
        <v>232</v>
      </c>
      <c r="B94" s="15">
        <v>72.0</v>
      </c>
      <c r="C94" s="16" t="str">
        <f t="shared" si="1"/>
        <v>PASS</v>
      </c>
    </row>
    <row r="95">
      <c r="A95" s="15" t="s">
        <v>233</v>
      </c>
      <c r="B95" s="15">
        <v>70.0</v>
      </c>
      <c r="C95" s="16" t="str">
        <f t="shared" si="1"/>
        <v>PASS</v>
      </c>
    </row>
    <row r="96">
      <c r="A96" s="15" t="s">
        <v>234</v>
      </c>
      <c r="B96" s="15">
        <v>0.0</v>
      </c>
      <c r="C96" s="16" t="str">
        <f t="shared" si="1"/>
        <v>FAIL</v>
      </c>
    </row>
    <row r="97">
      <c r="A97" s="15" t="s">
        <v>235</v>
      </c>
      <c r="B97" s="15">
        <v>70.0</v>
      </c>
      <c r="C97" s="16" t="str">
        <f t="shared" si="1"/>
        <v>PASS</v>
      </c>
    </row>
    <row r="98">
      <c r="A98" s="15" t="s">
        <v>236</v>
      </c>
      <c r="B98" s="15">
        <v>90.0</v>
      </c>
      <c r="C98" s="16" t="str">
        <f t="shared" si="1"/>
        <v>PASS</v>
      </c>
    </row>
    <row r="99">
      <c r="A99" s="15" t="s">
        <v>237</v>
      </c>
      <c r="B99" s="15">
        <v>71.0</v>
      </c>
      <c r="C99" s="16" t="str">
        <f t="shared" si="1"/>
        <v>PASS</v>
      </c>
    </row>
    <row r="100">
      <c r="A100" s="15" t="s">
        <v>238</v>
      </c>
      <c r="B100" s="15">
        <v>75.0</v>
      </c>
      <c r="C100" s="16" t="str">
        <f t="shared" si="1"/>
        <v>PASS</v>
      </c>
    </row>
    <row r="101">
      <c r="A101" s="15" t="s">
        <v>239</v>
      </c>
      <c r="B101" s="15">
        <v>70.0</v>
      </c>
      <c r="C101" s="16" t="str">
        <f t="shared" si="1"/>
        <v>PASS</v>
      </c>
    </row>
    <row r="102">
      <c r="A102" s="15" t="s">
        <v>240</v>
      </c>
      <c r="B102" s="15">
        <v>12.0</v>
      </c>
      <c r="C102" s="16" t="str">
        <f t="shared" si="1"/>
        <v>FAIL</v>
      </c>
    </row>
    <row r="103">
      <c r="A103" s="15" t="s">
        <v>241</v>
      </c>
      <c r="B103" s="15">
        <v>70.0</v>
      </c>
      <c r="C103" s="16" t="str">
        <f t="shared" si="1"/>
        <v>PASS</v>
      </c>
    </row>
    <row r="104">
      <c r="A104" s="15" t="s">
        <v>242</v>
      </c>
      <c r="B104" s="15">
        <v>70.0</v>
      </c>
      <c r="C104" s="16" t="str">
        <f t="shared" si="1"/>
        <v>PASS</v>
      </c>
    </row>
    <row r="105">
      <c r="A105" s="15" t="s">
        <v>243</v>
      </c>
      <c r="B105" s="15">
        <v>70.0</v>
      </c>
      <c r="C105" s="16" t="str">
        <f t="shared" si="1"/>
        <v>PASS</v>
      </c>
    </row>
    <row r="106">
      <c r="A106" s="15" t="s">
        <v>244</v>
      </c>
      <c r="B106" s="15">
        <v>70.0</v>
      </c>
      <c r="C106" s="16" t="str">
        <f t="shared" si="1"/>
        <v>PASS</v>
      </c>
    </row>
    <row r="107">
      <c r="A107" s="15" t="s">
        <v>245</v>
      </c>
      <c r="B107" s="15">
        <v>67.0</v>
      </c>
      <c r="C107" s="16" t="str">
        <f t="shared" si="1"/>
        <v>FAIL</v>
      </c>
    </row>
    <row r="108">
      <c r="A108" s="15" t="s">
        <v>246</v>
      </c>
      <c r="B108" s="15">
        <v>81.0</v>
      </c>
      <c r="C108" s="16" t="str">
        <f t="shared" si="1"/>
        <v>PASS</v>
      </c>
    </row>
    <row r="109">
      <c r="A109" s="15" t="s">
        <v>247</v>
      </c>
      <c r="B109" s="15">
        <v>87.0</v>
      </c>
      <c r="C109" s="16" t="str">
        <f t="shared" si="1"/>
        <v>PASS</v>
      </c>
    </row>
    <row r="110">
      <c r="A110" s="15" t="s">
        <v>248</v>
      </c>
      <c r="B110" s="15">
        <v>70.0</v>
      </c>
      <c r="C110" s="16" t="str">
        <f t="shared" si="1"/>
        <v>PASS</v>
      </c>
    </row>
    <row r="111">
      <c r="A111" s="15" t="s">
        <v>249</v>
      </c>
      <c r="B111" s="15">
        <v>70.0</v>
      </c>
      <c r="C111" s="16" t="str">
        <f t="shared" si="1"/>
        <v>PASS</v>
      </c>
    </row>
    <row r="112">
      <c r="A112" s="15" t="s">
        <v>250</v>
      </c>
      <c r="B112" s="15">
        <v>87.0</v>
      </c>
      <c r="C112" s="16" t="str">
        <f t="shared" si="1"/>
        <v>PASS</v>
      </c>
    </row>
    <row r="113">
      <c r="A113" s="15" t="s">
        <v>251</v>
      </c>
      <c r="B113" s="15">
        <v>77.0</v>
      </c>
      <c r="C113" s="16" t="str">
        <f t="shared" si="1"/>
        <v>PASS</v>
      </c>
    </row>
    <row r="114">
      <c r="A114" s="15" t="s">
        <v>252</v>
      </c>
      <c r="B114" s="15">
        <v>81.0</v>
      </c>
      <c r="C114" s="15" t="s">
        <v>253</v>
      </c>
    </row>
    <row r="115">
      <c r="A115" s="15" t="s">
        <v>254</v>
      </c>
      <c r="B115" s="15">
        <v>76.0</v>
      </c>
      <c r="C115" s="16" t="str">
        <f t="shared" ref="C115:C1203" si="2">IF(B115&gt;=70,"PASS","FAIL")</f>
        <v>PASS</v>
      </c>
    </row>
    <row r="116">
      <c r="A116" s="15" t="s">
        <v>255</v>
      </c>
      <c r="B116" s="15">
        <v>82.0</v>
      </c>
      <c r="C116" s="16" t="str">
        <f t="shared" si="2"/>
        <v>PASS</v>
      </c>
    </row>
    <row r="117">
      <c r="A117" s="15" t="s">
        <v>256</v>
      </c>
      <c r="B117" s="15">
        <v>70.0</v>
      </c>
      <c r="C117" s="16" t="str">
        <f t="shared" si="2"/>
        <v>PASS</v>
      </c>
    </row>
    <row r="118">
      <c r="A118" s="15" t="s">
        <v>257</v>
      </c>
      <c r="B118" s="15">
        <v>70.0</v>
      </c>
      <c r="C118" s="16" t="str">
        <f t="shared" si="2"/>
        <v>PASS</v>
      </c>
    </row>
    <row r="119">
      <c r="A119" s="15" t="s">
        <v>258</v>
      </c>
      <c r="B119" s="15">
        <v>79.0</v>
      </c>
      <c r="C119" s="16" t="str">
        <f t="shared" si="2"/>
        <v>PASS</v>
      </c>
    </row>
    <row r="120">
      <c r="A120" s="15" t="s">
        <v>259</v>
      </c>
      <c r="B120" s="15">
        <v>74.0</v>
      </c>
      <c r="C120" s="16" t="str">
        <f t="shared" si="2"/>
        <v>PASS</v>
      </c>
    </row>
    <row r="121">
      <c r="A121" s="15" t="s">
        <v>260</v>
      </c>
      <c r="B121" s="15">
        <v>73.0</v>
      </c>
      <c r="C121" s="16" t="str">
        <f t="shared" si="2"/>
        <v>PASS</v>
      </c>
    </row>
    <row r="122">
      <c r="A122" s="15" t="s">
        <v>261</v>
      </c>
      <c r="B122" s="15">
        <v>70.0</v>
      </c>
      <c r="C122" s="16" t="str">
        <f t="shared" si="2"/>
        <v>PASS</v>
      </c>
    </row>
    <row r="123">
      <c r="A123" s="15" t="s">
        <v>262</v>
      </c>
      <c r="B123" s="15">
        <v>70.0</v>
      </c>
      <c r="C123" s="16" t="str">
        <f t="shared" si="2"/>
        <v>PASS</v>
      </c>
    </row>
    <row r="124">
      <c r="A124" s="15" t="s">
        <v>263</v>
      </c>
      <c r="B124" s="15">
        <v>75.0</v>
      </c>
      <c r="C124" s="16" t="str">
        <f t="shared" si="2"/>
        <v>PASS</v>
      </c>
    </row>
    <row r="125">
      <c r="A125" s="15" t="s">
        <v>264</v>
      </c>
      <c r="B125" s="15">
        <v>47.0</v>
      </c>
      <c r="C125" s="16" t="str">
        <f t="shared" si="2"/>
        <v>FAIL</v>
      </c>
    </row>
    <row r="126">
      <c r="A126" s="15" t="s">
        <v>265</v>
      </c>
      <c r="B126" s="15">
        <v>71.0</v>
      </c>
      <c r="C126" s="16" t="str">
        <f t="shared" si="2"/>
        <v>PASS</v>
      </c>
    </row>
    <row r="127">
      <c r="A127" s="15" t="s">
        <v>266</v>
      </c>
      <c r="B127" s="15">
        <v>70.0</v>
      </c>
      <c r="C127" s="16" t="str">
        <f t="shared" si="2"/>
        <v>PASS</v>
      </c>
    </row>
    <row r="128">
      <c r="A128" s="15" t="s">
        <v>267</v>
      </c>
      <c r="B128" s="15">
        <v>70.0</v>
      </c>
      <c r="C128" s="16" t="str">
        <f t="shared" si="2"/>
        <v>PASS</v>
      </c>
    </row>
    <row r="129">
      <c r="A129" s="15" t="s">
        <v>268</v>
      </c>
      <c r="B129" s="15">
        <v>70.0</v>
      </c>
      <c r="C129" s="16" t="str">
        <f t="shared" si="2"/>
        <v>PASS</v>
      </c>
    </row>
    <row r="130">
      <c r="A130" s="15" t="s">
        <v>269</v>
      </c>
      <c r="B130" s="15">
        <v>82.0</v>
      </c>
      <c r="C130" s="16" t="str">
        <f t="shared" si="2"/>
        <v>PASS</v>
      </c>
    </row>
    <row r="131">
      <c r="A131" s="15" t="s">
        <v>270</v>
      </c>
      <c r="B131" s="15">
        <v>70.0</v>
      </c>
      <c r="C131" s="16" t="str">
        <f t="shared" si="2"/>
        <v>PASS</v>
      </c>
    </row>
    <row r="132">
      <c r="A132" s="15" t="s">
        <v>271</v>
      </c>
      <c r="B132" s="15">
        <v>71.0</v>
      </c>
      <c r="C132" s="16" t="str">
        <f t="shared" si="2"/>
        <v>PASS</v>
      </c>
    </row>
    <row r="133">
      <c r="A133" s="15" t="s">
        <v>272</v>
      </c>
      <c r="B133" s="15">
        <v>70.0</v>
      </c>
      <c r="C133" s="16" t="str">
        <f t="shared" si="2"/>
        <v>PASS</v>
      </c>
    </row>
    <row r="134">
      <c r="A134" s="15" t="s">
        <v>273</v>
      </c>
      <c r="B134" s="15">
        <v>70.0</v>
      </c>
      <c r="C134" s="16" t="str">
        <f t="shared" si="2"/>
        <v>PASS</v>
      </c>
    </row>
    <row r="135">
      <c r="A135" s="15" t="s">
        <v>274</v>
      </c>
      <c r="B135" s="15">
        <v>70.0</v>
      </c>
      <c r="C135" s="16" t="str">
        <f t="shared" si="2"/>
        <v>PASS</v>
      </c>
    </row>
    <row r="136">
      <c r="A136" s="15" t="s">
        <v>275</v>
      </c>
      <c r="B136" s="15">
        <v>71.0</v>
      </c>
      <c r="C136" s="16" t="str">
        <f t="shared" si="2"/>
        <v>PASS</v>
      </c>
    </row>
    <row r="137">
      <c r="A137" s="15" t="s">
        <v>276</v>
      </c>
      <c r="B137" s="15">
        <v>54.0</v>
      </c>
      <c r="C137" s="16" t="str">
        <f t="shared" si="2"/>
        <v>FAIL</v>
      </c>
    </row>
    <row r="138">
      <c r="A138" s="15" t="s">
        <v>277</v>
      </c>
      <c r="B138" s="15">
        <v>70.0</v>
      </c>
      <c r="C138" s="16" t="str">
        <f t="shared" si="2"/>
        <v>PASS</v>
      </c>
    </row>
    <row r="139">
      <c r="A139" s="15" t="s">
        <v>278</v>
      </c>
      <c r="B139" s="15">
        <v>70.0</v>
      </c>
      <c r="C139" s="16" t="str">
        <f t="shared" si="2"/>
        <v>PASS</v>
      </c>
    </row>
    <row r="140">
      <c r="A140" s="15" t="s">
        <v>279</v>
      </c>
      <c r="B140" s="15">
        <v>37.0</v>
      </c>
      <c r="C140" s="16" t="str">
        <f t="shared" si="2"/>
        <v>FAIL</v>
      </c>
    </row>
    <row r="141">
      <c r="A141" s="15" t="s">
        <v>280</v>
      </c>
      <c r="B141" s="15">
        <v>48.0</v>
      </c>
      <c r="C141" s="16" t="str">
        <f t="shared" si="2"/>
        <v>FAIL</v>
      </c>
    </row>
    <row r="142">
      <c r="A142" s="15" t="s">
        <v>281</v>
      </c>
      <c r="B142" s="15">
        <v>70.0</v>
      </c>
      <c r="C142" s="16" t="str">
        <f t="shared" si="2"/>
        <v>PASS</v>
      </c>
    </row>
    <row r="143">
      <c r="A143" s="15" t="s">
        <v>282</v>
      </c>
      <c r="B143" s="15">
        <v>71.0</v>
      </c>
      <c r="C143" s="16" t="str">
        <f t="shared" si="2"/>
        <v>PASS</v>
      </c>
    </row>
    <row r="144">
      <c r="A144" s="15" t="s">
        <v>283</v>
      </c>
      <c r="B144" s="15">
        <v>11.0</v>
      </c>
      <c r="C144" s="16" t="str">
        <f t="shared" si="2"/>
        <v>FAIL</v>
      </c>
    </row>
    <row r="145">
      <c r="A145" s="15" t="s">
        <v>284</v>
      </c>
      <c r="B145" s="15">
        <v>0.0</v>
      </c>
      <c r="C145" s="16" t="str">
        <f t="shared" si="2"/>
        <v>FAIL</v>
      </c>
    </row>
    <row r="146">
      <c r="A146" s="15" t="s">
        <v>285</v>
      </c>
      <c r="B146" s="15">
        <v>71.0</v>
      </c>
      <c r="C146" s="16" t="str">
        <f t="shared" si="2"/>
        <v>PASS</v>
      </c>
    </row>
    <row r="147">
      <c r="A147" s="15" t="s">
        <v>286</v>
      </c>
      <c r="B147" s="15">
        <v>70.0</v>
      </c>
      <c r="C147" s="16" t="str">
        <f t="shared" si="2"/>
        <v>PASS</v>
      </c>
    </row>
    <row r="148">
      <c r="A148" s="15" t="s">
        <v>287</v>
      </c>
      <c r="B148" s="15">
        <v>70.0</v>
      </c>
      <c r="C148" s="16" t="str">
        <f t="shared" si="2"/>
        <v>PASS</v>
      </c>
    </row>
    <row r="149">
      <c r="A149" s="15" t="s">
        <v>288</v>
      </c>
      <c r="B149" s="15">
        <v>82.0</v>
      </c>
      <c r="C149" s="16" t="str">
        <f t="shared" si="2"/>
        <v>PASS</v>
      </c>
    </row>
    <row r="150">
      <c r="A150" s="15" t="s">
        <v>289</v>
      </c>
      <c r="B150" s="15">
        <v>0.0</v>
      </c>
      <c r="C150" s="16" t="str">
        <f t="shared" si="2"/>
        <v>FAIL</v>
      </c>
    </row>
    <row r="151">
      <c r="A151" s="15" t="s">
        <v>290</v>
      </c>
      <c r="B151" s="15">
        <v>78.0</v>
      </c>
      <c r="C151" s="16" t="str">
        <f t="shared" si="2"/>
        <v>PASS</v>
      </c>
    </row>
    <row r="152">
      <c r="A152" s="15" t="s">
        <v>291</v>
      </c>
      <c r="B152" s="15">
        <v>70.0</v>
      </c>
      <c r="C152" s="16" t="str">
        <f t="shared" si="2"/>
        <v>PASS</v>
      </c>
    </row>
    <row r="153">
      <c r="A153" s="15" t="s">
        <v>292</v>
      </c>
      <c r="B153" s="15">
        <v>72.0</v>
      </c>
      <c r="C153" s="16" t="str">
        <f t="shared" si="2"/>
        <v>PASS</v>
      </c>
    </row>
    <row r="154">
      <c r="A154" s="15" t="s">
        <v>293</v>
      </c>
      <c r="B154" s="15">
        <v>84.0</v>
      </c>
      <c r="C154" s="16" t="str">
        <f t="shared" si="2"/>
        <v>PASS</v>
      </c>
    </row>
    <row r="155">
      <c r="A155" s="15" t="s">
        <v>294</v>
      </c>
      <c r="B155" s="15">
        <v>70.0</v>
      </c>
      <c r="C155" s="16" t="str">
        <f t="shared" si="2"/>
        <v>PASS</v>
      </c>
    </row>
    <row r="156">
      <c r="A156" s="15" t="s">
        <v>295</v>
      </c>
      <c r="B156" s="15">
        <v>71.0</v>
      </c>
      <c r="C156" s="16" t="str">
        <f t="shared" si="2"/>
        <v>PASS</v>
      </c>
    </row>
    <row r="157">
      <c r="A157" s="15" t="s">
        <v>296</v>
      </c>
      <c r="B157" s="15">
        <v>75.0</v>
      </c>
      <c r="C157" s="16" t="str">
        <f t="shared" si="2"/>
        <v>PASS</v>
      </c>
    </row>
    <row r="158">
      <c r="A158" s="15" t="s">
        <v>297</v>
      </c>
      <c r="B158" s="15">
        <v>63.0</v>
      </c>
      <c r="C158" s="16" t="str">
        <f t="shared" si="2"/>
        <v>FAIL</v>
      </c>
    </row>
    <row r="159">
      <c r="A159" s="15" t="s">
        <v>298</v>
      </c>
      <c r="B159" s="15">
        <v>70.0</v>
      </c>
      <c r="C159" s="16" t="str">
        <f t="shared" si="2"/>
        <v>PASS</v>
      </c>
    </row>
    <row r="160">
      <c r="A160" s="15" t="s">
        <v>299</v>
      </c>
      <c r="B160" s="15">
        <v>75.0</v>
      </c>
      <c r="C160" s="16" t="str">
        <f t="shared" si="2"/>
        <v>PASS</v>
      </c>
    </row>
    <row r="161">
      <c r="A161" s="15" t="s">
        <v>300</v>
      </c>
      <c r="B161" s="15">
        <v>74.0</v>
      </c>
      <c r="C161" s="16" t="str">
        <f t="shared" si="2"/>
        <v>PASS</v>
      </c>
    </row>
    <row r="162">
      <c r="A162" s="15" t="s">
        <v>301</v>
      </c>
      <c r="B162" s="15">
        <v>70.0</v>
      </c>
      <c r="C162" s="16" t="str">
        <f t="shared" si="2"/>
        <v>PASS</v>
      </c>
    </row>
    <row r="163">
      <c r="A163" s="15" t="s">
        <v>302</v>
      </c>
      <c r="B163" s="15">
        <v>0.0</v>
      </c>
      <c r="C163" s="16" t="str">
        <f t="shared" si="2"/>
        <v>FAIL</v>
      </c>
    </row>
    <row r="164">
      <c r="A164" s="15" t="s">
        <v>303</v>
      </c>
      <c r="B164" s="15">
        <v>72.0</v>
      </c>
      <c r="C164" s="16" t="str">
        <f t="shared" si="2"/>
        <v>PASS</v>
      </c>
    </row>
    <row r="165">
      <c r="A165" s="15" t="s">
        <v>304</v>
      </c>
      <c r="B165" s="15">
        <v>70.0</v>
      </c>
      <c r="C165" s="16" t="str">
        <f t="shared" si="2"/>
        <v>PASS</v>
      </c>
    </row>
    <row r="166">
      <c r="A166" s="15" t="s">
        <v>305</v>
      </c>
      <c r="B166" s="15">
        <v>74.0</v>
      </c>
      <c r="C166" s="16" t="str">
        <f t="shared" si="2"/>
        <v>PASS</v>
      </c>
    </row>
    <row r="167">
      <c r="A167" s="15" t="s">
        <v>306</v>
      </c>
      <c r="B167" s="15">
        <v>72.0</v>
      </c>
      <c r="C167" s="16" t="str">
        <f t="shared" si="2"/>
        <v>PASS</v>
      </c>
    </row>
    <row r="168">
      <c r="A168" s="15" t="s">
        <v>307</v>
      </c>
      <c r="B168" s="15">
        <v>70.0</v>
      </c>
      <c r="C168" s="16" t="str">
        <f t="shared" si="2"/>
        <v>PASS</v>
      </c>
    </row>
    <row r="169">
      <c r="A169" s="15" t="s">
        <v>308</v>
      </c>
      <c r="B169" s="15">
        <v>70.0</v>
      </c>
      <c r="C169" s="16" t="str">
        <f t="shared" si="2"/>
        <v>PASS</v>
      </c>
    </row>
    <row r="170">
      <c r="A170" s="15" t="s">
        <v>309</v>
      </c>
      <c r="B170" s="15">
        <v>70.0</v>
      </c>
      <c r="C170" s="16" t="str">
        <f t="shared" si="2"/>
        <v>PASS</v>
      </c>
    </row>
    <row r="171">
      <c r="A171" s="15" t="s">
        <v>310</v>
      </c>
      <c r="B171" s="15">
        <v>70.0</v>
      </c>
      <c r="C171" s="16" t="str">
        <f t="shared" si="2"/>
        <v>PASS</v>
      </c>
    </row>
    <row r="172">
      <c r="A172" s="15" t="s">
        <v>311</v>
      </c>
      <c r="B172" s="15">
        <v>54.0</v>
      </c>
      <c r="C172" s="16" t="str">
        <f t="shared" si="2"/>
        <v>FAIL</v>
      </c>
    </row>
    <row r="173">
      <c r="A173" s="15" t="s">
        <v>312</v>
      </c>
      <c r="B173" s="15">
        <v>39.0</v>
      </c>
      <c r="C173" s="16" t="str">
        <f t="shared" si="2"/>
        <v>FAIL</v>
      </c>
    </row>
    <row r="174">
      <c r="A174" s="15" t="s">
        <v>313</v>
      </c>
      <c r="B174" s="15">
        <v>72.0</v>
      </c>
      <c r="C174" s="16" t="str">
        <f t="shared" si="2"/>
        <v>PASS</v>
      </c>
    </row>
    <row r="175">
      <c r="A175" s="15" t="s">
        <v>314</v>
      </c>
      <c r="B175" s="15">
        <v>70.0</v>
      </c>
      <c r="C175" s="16" t="str">
        <f t="shared" si="2"/>
        <v>PASS</v>
      </c>
    </row>
    <row r="176">
      <c r="A176" s="15" t="s">
        <v>315</v>
      </c>
      <c r="B176" s="15">
        <v>74.0</v>
      </c>
      <c r="C176" s="16" t="str">
        <f t="shared" si="2"/>
        <v>PASS</v>
      </c>
    </row>
    <row r="177">
      <c r="A177" s="15" t="s">
        <v>316</v>
      </c>
      <c r="B177" s="15">
        <v>79.0</v>
      </c>
      <c r="C177" s="16" t="str">
        <f t="shared" si="2"/>
        <v>PASS</v>
      </c>
    </row>
    <row r="178">
      <c r="A178" s="15" t="s">
        <v>317</v>
      </c>
      <c r="B178" s="15">
        <v>81.0</v>
      </c>
      <c r="C178" s="16" t="str">
        <f t="shared" si="2"/>
        <v>PASS</v>
      </c>
    </row>
    <row r="179">
      <c r="A179" s="15" t="s">
        <v>318</v>
      </c>
      <c r="B179" s="15">
        <v>84.0</v>
      </c>
      <c r="C179" s="16" t="str">
        <f t="shared" si="2"/>
        <v>PASS</v>
      </c>
    </row>
    <row r="180">
      <c r="A180" s="15" t="s">
        <v>319</v>
      </c>
      <c r="B180" s="15">
        <v>78.0</v>
      </c>
      <c r="C180" s="16" t="str">
        <f t="shared" si="2"/>
        <v>PASS</v>
      </c>
    </row>
    <row r="181">
      <c r="A181" s="15" t="s">
        <v>320</v>
      </c>
      <c r="B181" s="15">
        <v>76.0</v>
      </c>
      <c r="C181" s="16" t="str">
        <f t="shared" si="2"/>
        <v>PASS</v>
      </c>
    </row>
    <row r="182">
      <c r="A182" s="15" t="s">
        <v>321</v>
      </c>
      <c r="B182" s="15">
        <v>72.0</v>
      </c>
      <c r="C182" s="16" t="str">
        <f t="shared" si="2"/>
        <v>PASS</v>
      </c>
    </row>
    <row r="183">
      <c r="A183" s="15" t="s">
        <v>322</v>
      </c>
      <c r="B183" s="15">
        <v>70.0</v>
      </c>
      <c r="C183" s="16" t="str">
        <f t="shared" si="2"/>
        <v>PASS</v>
      </c>
    </row>
    <row r="184">
      <c r="A184" s="15" t="s">
        <v>323</v>
      </c>
      <c r="B184" s="15">
        <v>71.0</v>
      </c>
      <c r="C184" s="16" t="str">
        <f t="shared" si="2"/>
        <v>PASS</v>
      </c>
    </row>
    <row r="185">
      <c r="A185" s="15" t="s">
        <v>324</v>
      </c>
      <c r="B185" s="15">
        <v>70.0</v>
      </c>
      <c r="C185" s="16" t="str">
        <f t="shared" si="2"/>
        <v>PASS</v>
      </c>
    </row>
    <row r="186">
      <c r="A186" s="15" t="s">
        <v>325</v>
      </c>
      <c r="B186" s="15">
        <v>73.0</v>
      </c>
      <c r="C186" s="16" t="str">
        <f t="shared" si="2"/>
        <v>PASS</v>
      </c>
    </row>
    <row r="187">
      <c r="A187" s="15" t="s">
        <v>326</v>
      </c>
      <c r="B187" s="15">
        <v>73.0</v>
      </c>
      <c r="C187" s="16" t="str">
        <f t="shared" si="2"/>
        <v>PASS</v>
      </c>
    </row>
    <row r="188">
      <c r="A188" s="15" t="s">
        <v>327</v>
      </c>
      <c r="B188" s="15">
        <v>77.0</v>
      </c>
      <c r="C188" s="16" t="str">
        <f t="shared" si="2"/>
        <v>PASS</v>
      </c>
    </row>
    <row r="189">
      <c r="A189" s="15" t="s">
        <v>328</v>
      </c>
      <c r="B189" s="15">
        <v>90.0</v>
      </c>
      <c r="C189" s="16" t="str">
        <f t="shared" si="2"/>
        <v>PASS</v>
      </c>
    </row>
    <row r="190">
      <c r="A190" s="15" t="s">
        <v>329</v>
      </c>
      <c r="B190" s="15">
        <v>77.0</v>
      </c>
      <c r="C190" s="16" t="str">
        <f t="shared" si="2"/>
        <v>PASS</v>
      </c>
    </row>
    <row r="191">
      <c r="A191" s="15" t="s">
        <v>330</v>
      </c>
      <c r="B191" s="15">
        <v>60.0</v>
      </c>
      <c r="C191" s="16" t="str">
        <f t="shared" si="2"/>
        <v>FAIL</v>
      </c>
    </row>
    <row r="192">
      <c r="A192" s="15" t="s">
        <v>331</v>
      </c>
      <c r="B192" s="15">
        <v>20.0</v>
      </c>
      <c r="C192" s="16" t="str">
        <f t="shared" si="2"/>
        <v>FAIL</v>
      </c>
    </row>
    <row r="193">
      <c r="A193" s="15" t="s">
        <v>332</v>
      </c>
      <c r="B193" s="15">
        <v>44.0</v>
      </c>
      <c r="C193" s="16" t="str">
        <f t="shared" si="2"/>
        <v>FAIL</v>
      </c>
    </row>
    <row r="194">
      <c r="A194" s="15" t="s">
        <v>333</v>
      </c>
      <c r="B194" s="15">
        <v>9.0</v>
      </c>
      <c r="C194" s="16" t="str">
        <f t="shared" si="2"/>
        <v>FAIL</v>
      </c>
    </row>
    <row r="195">
      <c r="A195" s="15" t="s">
        <v>334</v>
      </c>
      <c r="B195" s="15">
        <v>71.0</v>
      </c>
      <c r="C195" s="16" t="str">
        <f t="shared" si="2"/>
        <v>PASS</v>
      </c>
    </row>
    <row r="196">
      <c r="A196" s="15" t="s">
        <v>335</v>
      </c>
      <c r="B196" s="15">
        <v>78.0</v>
      </c>
      <c r="C196" s="16" t="str">
        <f t="shared" si="2"/>
        <v>PASS</v>
      </c>
    </row>
    <row r="197">
      <c r="A197" s="15" t="s">
        <v>336</v>
      </c>
      <c r="B197" s="15">
        <v>91.0</v>
      </c>
      <c r="C197" s="16" t="str">
        <f t="shared" si="2"/>
        <v>PASS</v>
      </c>
    </row>
    <row r="198">
      <c r="A198" s="15" t="s">
        <v>337</v>
      </c>
      <c r="B198" s="15">
        <v>80.0</v>
      </c>
      <c r="C198" s="16" t="str">
        <f t="shared" si="2"/>
        <v>PASS</v>
      </c>
    </row>
    <row r="199">
      <c r="A199" s="15" t="s">
        <v>338</v>
      </c>
      <c r="B199" s="15">
        <v>81.0</v>
      </c>
      <c r="C199" s="16" t="str">
        <f t="shared" si="2"/>
        <v>PASS</v>
      </c>
    </row>
    <row r="200">
      <c r="A200" s="15" t="s">
        <v>339</v>
      </c>
      <c r="B200" s="15">
        <v>11.0</v>
      </c>
      <c r="C200" s="16" t="str">
        <f t="shared" si="2"/>
        <v>FAIL</v>
      </c>
    </row>
    <row r="201">
      <c r="A201" s="15" t="s">
        <v>340</v>
      </c>
      <c r="B201" s="15">
        <v>72.0</v>
      </c>
      <c r="C201" s="16" t="str">
        <f t="shared" si="2"/>
        <v>PASS</v>
      </c>
    </row>
    <row r="202">
      <c r="A202" s="15" t="s">
        <v>341</v>
      </c>
      <c r="B202" s="15">
        <v>71.0</v>
      </c>
      <c r="C202" s="16" t="str">
        <f t="shared" si="2"/>
        <v>PASS</v>
      </c>
    </row>
    <row r="203">
      <c r="A203" s="15" t="s">
        <v>342</v>
      </c>
      <c r="B203" s="15">
        <v>30.0</v>
      </c>
      <c r="C203" s="16" t="str">
        <f t="shared" si="2"/>
        <v>FAIL</v>
      </c>
    </row>
    <row r="204">
      <c r="A204" s="15" t="s">
        <v>343</v>
      </c>
      <c r="B204" s="15">
        <v>80.0</v>
      </c>
      <c r="C204" s="16" t="str">
        <f t="shared" si="2"/>
        <v>PASS</v>
      </c>
    </row>
    <row r="205">
      <c r="A205" s="15" t="s">
        <v>344</v>
      </c>
      <c r="B205" s="15">
        <v>80.0</v>
      </c>
      <c r="C205" s="16" t="str">
        <f t="shared" si="2"/>
        <v>PASS</v>
      </c>
    </row>
    <row r="206">
      <c r="A206" s="15" t="s">
        <v>345</v>
      </c>
      <c r="B206" s="15">
        <v>73.0</v>
      </c>
      <c r="C206" s="16" t="str">
        <f t="shared" si="2"/>
        <v>PASS</v>
      </c>
    </row>
    <row r="207">
      <c r="A207" s="15" t="s">
        <v>346</v>
      </c>
      <c r="B207" s="15">
        <v>77.0</v>
      </c>
      <c r="C207" s="16" t="str">
        <f t="shared" si="2"/>
        <v>PASS</v>
      </c>
    </row>
    <row r="208">
      <c r="A208" s="15" t="s">
        <v>347</v>
      </c>
      <c r="B208" s="15">
        <v>72.0</v>
      </c>
      <c r="C208" s="16" t="str">
        <f t="shared" si="2"/>
        <v>PASS</v>
      </c>
    </row>
    <row r="209">
      <c r="A209" s="15" t="s">
        <v>348</v>
      </c>
      <c r="B209" s="15">
        <v>70.0</v>
      </c>
      <c r="C209" s="16" t="str">
        <f t="shared" si="2"/>
        <v>PASS</v>
      </c>
    </row>
    <row r="210">
      <c r="A210" s="15" t="s">
        <v>349</v>
      </c>
      <c r="B210" s="15">
        <v>31.0</v>
      </c>
      <c r="C210" s="16" t="str">
        <f t="shared" si="2"/>
        <v>FAIL</v>
      </c>
    </row>
    <row r="211">
      <c r="A211" s="15" t="s">
        <v>350</v>
      </c>
      <c r="B211" s="15">
        <v>70.0</v>
      </c>
      <c r="C211" s="16" t="str">
        <f t="shared" si="2"/>
        <v>PASS</v>
      </c>
    </row>
    <row r="212">
      <c r="A212" s="15" t="s">
        <v>351</v>
      </c>
      <c r="B212" s="15">
        <v>39.0</v>
      </c>
      <c r="C212" s="16" t="str">
        <f t="shared" si="2"/>
        <v>FAIL</v>
      </c>
    </row>
    <row r="213">
      <c r="A213" s="15" t="s">
        <v>352</v>
      </c>
      <c r="B213" s="15">
        <v>41.0</v>
      </c>
      <c r="C213" s="16" t="str">
        <f t="shared" si="2"/>
        <v>FAIL</v>
      </c>
    </row>
    <row r="214">
      <c r="A214" s="15" t="s">
        <v>353</v>
      </c>
      <c r="B214" s="15">
        <v>63.0</v>
      </c>
      <c r="C214" s="16" t="str">
        <f t="shared" si="2"/>
        <v>FAIL</v>
      </c>
    </row>
    <row r="215">
      <c r="A215" s="15" t="s">
        <v>354</v>
      </c>
      <c r="B215" s="15">
        <v>24.0</v>
      </c>
      <c r="C215" s="16" t="str">
        <f t="shared" si="2"/>
        <v>FAIL</v>
      </c>
    </row>
    <row r="216">
      <c r="A216" s="15" t="s">
        <v>355</v>
      </c>
      <c r="B216" s="15">
        <v>75.0</v>
      </c>
      <c r="C216" s="16" t="str">
        <f t="shared" si="2"/>
        <v>PASS</v>
      </c>
    </row>
    <row r="217">
      <c r="A217" s="15" t="s">
        <v>356</v>
      </c>
      <c r="B217" s="15">
        <v>53.0</v>
      </c>
      <c r="C217" s="16" t="str">
        <f t="shared" si="2"/>
        <v>FAIL</v>
      </c>
    </row>
    <row r="218">
      <c r="A218" s="15" t="s">
        <v>357</v>
      </c>
      <c r="B218" s="15">
        <v>83.0</v>
      </c>
      <c r="C218" s="16" t="str">
        <f t="shared" si="2"/>
        <v>PASS</v>
      </c>
    </row>
    <row r="219">
      <c r="A219" s="15" t="s">
        <v>358</v>
      </c>
      <c r="B219" s="15">
        <v>65.0</v>
      </c>
      <c r="C219" s="16" t="str">
        <f t="shared" si="2"/>
        <v>FAIL</v>
      </c>
    </row>
    <row r="220">
      <c r="A220" s="15" t="s">
        <v>359</v>
      </c>
      <c r="B220" s="15">
        <v>70.0</v>
      </c>
      <c r="C220" s="16" t="str">
        <f t="shared" si="2"/>
        <v>PASS</v>
      </c>
    </row>
    <row r="221">
      <c r="A221" s="15" t="s">
        <v>360</v>
      </c>
      <c r="B221" s="15">
        <v>52.0</v>
      </c>
      <c r="C221" s="16" t="str">
        <f t="shared" si="2"/>
        <v>FAIL</v>
      </c>
    </row>
    <row r="222">
      <c r="A222" s="15" t="s">
        <v>361</v>
      </c>
      <c r="B222" s="15">
        <v>70.0</v>
      </c>
      <c r="C222" s="16" t="str">
        <f t="shared" si="2"/>
        <v>PASS</v>
      </c>
    </row>
    <row r="223">
      <c r="A223" s="15" t="s">
        <v>362</v>
      </c>
      <c r="B223" s="15">
        <v>70.0</v>
      </c>
      <c r="C223" s="16" t="str">
        <f t="shared" si="2"/>
        <v>PASS</v>
      </c>
    </row>
    <row r="224">
      <c r="A224" s="18" t="s">
        <v>363</v>
      </c>
      <c r="B224" s="18">
        <v>70.0</v>
      </c>
      <c r="C224" s="19" t="str">
        <f t="shared" si="2"/>
        <v>PASS</v>
      </c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15" t="s">
        <v>364</v>
      </c>
      <c r="B225" s="15">
        <v>70.0</v>
      </c>
      <c r="C225" s="16" t="str">
        <f t="shared" si="2"/>
        <v>PASS</v>
      </c>
    </row>
    <row r="226">
      <c r="A226" s="15" t="s">
        <v>365</v>
      </c>
      <c r="B226" s="15">
        <v>70.0</v>
      </c>
      <c r="C226" s="16" t="str">
        <f t="shared" si="2"/>
        <v>PASS</v>
      </c>
    </row>
    <row r="227">
      <c r="A227" s="15" t="s">
        <v>366</v>
      </c>
      <c r="B227" s="15">
        <v>70.0</v>
      </c>
      <c r="C227" s="16" t="str">
        <f t="shared" si="2"/>
        <v>PASS</v>
      </c>
    </row>
    <row r="228">
      <c r="A228" s="15" t="s">
        <v>367</v>
      </c>
      <c r="B228" s="15">
        <v>81.0</v>
      </c>
      <c r="C228" s="16" t="str">
        <f t="shared" si="2"/>
        <v>PASS</v>
      </c>
    </row>
    <row r="229">
      <c r="A229" s="15" t="s">
        <v>368</v>
      </c>
      <c r="B229" s="15">
        <v>61.0</v>
      </c>
      <c r="C229" s="16" t="str">
        <f t="shared" si="2"/>
        <v>FAIL</v>
      </c>
    </row>
    <row r="230">
      <c r="A230" s="15" t="s">
        <v>369</v>
      </c>
      <c r="B230" s="15">
        <v>20.0</v>
      </c>
      <c r="C230" s="16" t="str">
        <f t="shared" si="2"/>
        <v>FAIL</v>
      </c>
    </row>
    <row r="231">
      <c r="A231" s="15" t="s">
        <v>370</v>
      </c>
      <c r="B231" s="15">
        <v>70.0</v>
      </c>
      <c r="C231" s="16" t="str">
        <f t="shared" si="2"/>
        <v>PASS</v>
      </c>
    </row>
    <row r="232">
      <c r="A232" s="15" t="s">
        <v>371</v>
      </c>
      <c r="B232" s="15">
        <v>70.0</v>
      </c>
      <c r="C232" s="16" t="str">
        <f t="shared" si="2"/>
        <v>PASS</v>
      </c>
    </row>
    <row r="233">
      <c r="A233" s="15" t="s">
        <v>372</v>
      </c>
      <c r="B233" s="15">
        <v>70.0</v>
      </c>
      <c r="C233" s="16" t="str">
        <f t="shared" si="2"/>
        <v>PASS</v>
      </c>
    </row>
    <row r="234">
      <c r="A234" s="15" t="s">
        <v>373</v>
      </c>
      <c r="B234" s="15">
        <v>70.0</v>
      </c>
      <c r="C234" s="16" t="str">
        <f t="shared" si="2"/>
        <v>PASS</v>
      </c>
    </row>
    <row r="235">
      <c r="A235" s="15" t="s">
        <v>374</v>
      </c>
      <c r="B235" s="15">
        <v>33.0</v>
      </c>
      <c r="C235" s="16" t="str">
        <f t="shared" si="2"/>
        <v>FAIL</v>
      </c>
    </row>
    <row r="236">
      <c r="A236" s="15" t="s">
        <v>375</v>
      </c>
      <c r="B236" s="15">
        <v>70.0</v>
      </c>
      <c r="C236" s="16" t="str">
        <f t="shared" si="2"/>
        <v>PASS</v>
      </c>
    </row>
    <row r="237">
      <c r="A237" s="15" t="s">
        <v>376</v>
      </c>
      <c r="B237" s="15">
        <v>52.0</v>
      </c>
      <c r="C237" s="16" t="str">
        <f t="shared" si="2"/>
        <v>FAIL</v>
      </c>
    </row>
    <row r="238">
      <c r="A238" s="15" t="s">
        <v>377</v>
      </c>
      <c r="B238" s="15">
        <v>70.0</v>
      </c>
      <c r="C238" s="16" t="str">
        <f t="shared" si="2"/>
        <v>PASS</v>
      </c>
    </row>
    <row r="239">
      <c r="A239" s="15" t="s">
        <v>378</v>
      </c>
      <c r="B239" s="15">
        <v>30.0</v>
      </c>
      <c r="C239" s="16" t="str">
        <f t="shared" si="2"/>
        <v>FAIL</v>
      </c>
    </row>
    <row r="240">
      <c r="A240" s="15" t="s">
        <v>379</v>
      </c>
      <c r="B240" s="15">
        <v>29.0</v>
      </c>
      <c r="C240" s="16" t="str">
        <f t="shared" si="2"/>
        <v>FAIL</v>
      </c>
    </row>
    <row r="241">
      <c r="A241" s="15" t="s">
        <v>380</v>
      </c>
      <c r="B241" s="15">
        <v>45.0</v>
      </c>
      <c r="C241" s="16" t="str">
        <f t="shared" si="2"/>
        <v>FAIL</v>
      </c>
    </row>
    <row r="242">
      <c r="A242" s="15" t="s">
        <v>381</v>
      </c>
      <c r="B242" s="15">
        <v>70.0</v>
      </c>
      <c r="C242" s="16" t="str">
        <f t="shared" si="2"/>
        <v>PASS</v>
      </c>
    </row>
    <row r="243">
      <c r="A243" s="15" t="s">
        <v>382</v>
      </c>
      <c r="B243" s="15">
        <v>70.0</v>
      </c>
      <c r="C243" s="16" t="str">
        <f t="shared" si="2"/>
        <v>PASS</v>
      </c>
    </row>
    <row r="244">
      <c r="A244" s="15" t="s">
        <v>383</v>
      </c>
      <c r="B244" s="15">
        <v>51.0</v>
      </c>
      <c r="C244" s="16" t="str">
        <f t="shared" si="2"/>
        <v>FAIL</v>
      </c>
    </row>
    <row r="245">
      <c r="A245" s="15" t="s">
        <v>384</v>
      </c>
      <c r="B245" s="15">
        <v>60.0</v>
      </c>
      <c r="C245" s="16" t="str">
        <f t="shared" si="2"/>
        <v>FAIL</v>
      </c>
    </row>
    <row r="246">
      <c r="A246" s="15" t="s">
        <v>385</v>
      </c>
      <c r="B246" s="15">
        <v>70.0</v>
      </c>
      <c r="C246" s="16" t="str">
        <f t="shared" si="2"/>
        <v>PASS</v>
      </c>
    </row>
    <row r="247">
      <c r="A247" s="15" t="s">
        <v>386</v>
      </c>
      <c r="B247" s="15">
        <v>70.0</v>
      </c>
      <c r="C247" s="16" t="str">
        <f t="shared" si="2"/>
        <v>PASS</v>
      </c>
    </row>
    <row r="248">
      <c r="A248" s="15" t="s">
        <v>387</v>
      </c>
      <c r="B248" s="15">
        <v>64.0</v>
      </c>
      <c r="C248" s="16" t="str">
        <f t="shared" si="2"/>
        <v>FAIL</v>
      </c>
    </row>
    <row r="249">
      <c r="A249" s="15" t="s">
        <v>388</v>
      </c>
      <c r="B249" s="15">
        <v>38.0</v>
      </c>
      <c r="C249" s="16" t="str">
        <f t="shared" si="2"/>
        <v>FAIL</v>
      </c>
    </row>
    <row r="250">
      <c r="A250" s="15" t="s">
        <v>389</v>
      </c>
      <c r="B250" s="15">
        <v>61.0</v>
      </c>
      <c r="C250" s="16" t="str">
        <f t="shared" si="2"/>
        <v>FAIL</v>
      </c>
    </row>
    <row r="251">
      <c r="A251" s="15" t="s">
        <v>390</v>
      </c>
      <c r="B251" s="15">
        <v>79.0</v>
      </c>
      <c r="C251" s="16" t="str">
        <f t="shared" si="2"/>
        <v>PASS</v>
      </c>
    </row>
    <row r="252">
      <c r="A252" s="15" t="s">
        <v>391</v>
      </c>
      <c r="B252" s="15">
        <v>74.0</v>
      </c>
      <c r="C252" s="16" t="str">
        <f t="shared" si="2"/>
        <v>PASS</v>
      </c>
    </row>
    <row r="253">
      <c r="A253" s="15" t="s">
        <v>392</v>
      </c>
      <c r="B253" s="15">
        <v>70.0</v>
      </c>
      <c r="C253" s="16" t="str">
        <f t="shared" si="2"/>
        <v>PASS</v>
      </c>
    </row>
    <row r="254">
      <c r="A254" s="15" t="s">
        <v>393</v>
      </c>
      <c r="B254" s="15">
        <v>79.0</v>
      </c>
      <c r="C254" s="16" t="str">
        <f t="shared" si="2"/>
        <v>PASS</v>
      </c>
    </row>
    <row r="255">
      <c r="A255" s="15" t="s">
        <v>394</v>
      </c>
      <c r="B255" s="15">
        <v>70.0</v>
      </c>
      <c r="C255" s="16" t="str">
        <f t="shared" si="2"/>
        <v>PASS</v>
      </c>
    </row>
    <row r="256">
      <c r="A256" s="15" t="s">
        <v>395</v>
      </c>
      <c r="B256" s="15">
        <v>53.0</v>
      </c>
      <c r="C256" s="16" t="str">
        <f t="shared" si="2"/>
        <v>FAIL</v>
      </c>
    </row>
    <row r="257">
      <c r="A257" s="15" t="s">
        <v>396</v>
      </c>
      <c r="B257" s="15">
        <v>76.0</v>
      </c>
      <c r="C257" s="16" t="str">
        <f t="shared" si="2"/>
        <v>PASS</v>
      </c>
    </row>
    <row r="258">
      <c r="A258" s="15" t="s">
        <v>397</v>
      </c>
      <c r="B258" s="15">
        <v>84.0</v>
      </c>
      <c r="C258" s="16" t="str">
        <f t="shared" si="2"/>
        <v>PASS</v>
      </c>
    </row>
    <row r="259">
      <c r="A259" s="15" t="s">
        <v>398</v>
      </c>
      <c r="B259" s="15">
        <v>70.0</v>
      </c>
      <c r="C259" s="16" t="str">
        <f t="shared" si="2"/>
        <v>PASS</v>
      </c>
    </row>
    <row r="260">
      <c r="A260" s="15" t="s">
        <v>399</v>
      </c>
      <c r="B260" s="15">
        <v>83.0</v>
      </c>
      <c r="C260" s="16" t="str">
        <f t="shared" si="2"/>
        <v>PASS</v>
      </c>
    </row>
    <row r="261">
      <c r="A261" s="15" t="s">
        <v>400</v>
      </c>
      <c r="B261" s="15">
        <v>70.0</v>
      </c>
      <c r="C261" s="16" t="str">
        <f t="shared" si="2"/>
        <v>PASS</v>
      </c>
    </row>
    <row r="262">
      <c r="A262" s="15" t="s">
        <v>401</v>
      </c>
      <c r="B262" s="15">
        <v>70.0</v>
      </c>
      <c r="C262" s="16" t="str">
        <f t="shared" si="2"/>
        <v>PASS</v>
      </c>
    </row>
    <row r="263">
      <c r="A263" s="15" t="s">
        <v>402</v>
      </c>
      <c r="B263" s="15">
        <v>62.0</v>
      </c>
      <c r="C263" s="16" t="str">
        <f t="shared" si="2"/>
        <v>FAIL</v>
      </c>
    </row>
    <row r="264">
      <c r="A264" s="15" t="s">
        <v>403</v>
      </c>
      <c r="B264" s="15">
        <v>33.0</v>
      </c>
      <c r="C264" s="16" t="str">
        <f t="shared" si="2"/>
        <v>FAIL</v>
      </c>
    </row>
    <row r="265">
      <c r="A265" s="15" t="s">
        <v>404</v>
      </c>
      <c r="B265" s="15">
        <v>44.0</v>
      </c>
      <c r="C265" s="16" t="str">
        <f t="shared" si="2"/>
        <v>FAIL</v>
      </c>
    </row>
    <row r="266">
      <c r="A266" s="15" t="s">
        <v>405</v>
      </c>
      <c r="B266" s="15">
        <v>88.0</v>
      </c>
      <c r="C266" s="16" t="str">
        <f t="shared" si="2"/>
        <v>PASS</v>
      </c>
    </row>
    <row r="267">
      <c r="A267" s="15" t="s">
        <v>406</v>
      </c>
      <c r="B267" s="15">
        <v>70.0</v>
      </c>
      <c r="C267" s="16" t="str">
        <f t="shared" si="2"/>
        <v>PASS</v>
      </c>
    </row>
    <row r="268">
      <c r="A268" s="15" t="s">
        <v>407</v>
      </c>
      <c r="B268" s="15">
        <v>70.0</v>
      </c>
      <c r="C268" s="16" t="str">
        <f t="shared" si="2"/>
        <v>PASS</v>
      </c>
    </row>
    <row r="269">
      <c r="A269" s="15" t="s">
        <v>408</v>
      </c>
      <c r="B269" s="15">
        <v>70.0</v>
      </c>
      <c r="C269" s="16" t="str">
        <f t="shared" si="2"/>
        <v>PASS</v>
      </c>
    </row>
    <row r="270">
      <c r="A270" s="15" t="s">
        <v>409</v>
      </c>
      <c r="B270" s="15">
        <v>72.0</v>
      </c>
      <c r="C270" s="16" t="str">
        <f t="shared" si="2"/>
        <v>PASS</v>
      </c>
    </row>
    <row r="271">
      <c r="A271" s="15" t="s">
        <v>410</v>
      </c>
      <c r="B271" s="15">
        <v>32.0</v>
      </c>
      <c r="C271" s="16" t="str">
        <f t="shared" si="2"/>
        <v>FAIL</v>
      </c>
    </row>
    <row r="272">
      <c r="A272" s="15" t="s">
        <v>411</v>
      </c>
      <c r="B272" s="15">
        <v>24.0</v>
      </c>
      <c r="C272" s="16" t="str">
        <f t="shared" si="2"/>
        <v>FAIL</v>
      </c>
    </row>
    <row r="273">
      <c r="A273" s="15" t="s">
        <v>412</v>
      </c>
      <c r="B273" s="15">
        <v>82.0</v>
      </c>
      <c r="C273" s="16" t="str">
        <f t="shared" si="2"/>
        <v>PASS</v>
      </c>
    </row>
    <row r="274">
      <c r="A274" s="15" t="s">
        <v>413</v>
      </c>
      <c r="B274" s="15">
        <v>70.0</v>
      </c>
      <c r="C274" s="16" t="str">
        <f t="shared" si="2"/>
        <v>PASS</v>
      </c>
    </row>
    <row r="275">
      <c r="A275" s="15" t="s">
        <v>414</v>
      </c>
      <c r="B275" s="15">
        <v>70.0</v>
      </c>
      <c r="C275" s="16" t="str">
        <f t="shared" si="2"/>
        <v>PASS</v>
      </c>
    </row>
    <row r="276">
      <c r="A276" s="15" t="s">
        <v>415</v>
      </c>
      <c r="B276" s="15">
        <v>70.0</v>
      </c>
      <c r="C276" s="16" t="str">
        <f t="shared" si="2"/>
        <v>PASS</v>
      </c>
    </row>
    <row r="277">
      <c r="A277" s="15" t="s">
        <v>416</v>
      </c>
      <c r="B277" s="15">
        <v>70.0</v>
      </c>
      <c r="C277" s="16" t="str">
        <f t="shared" si="2"/>
        <v>PASS</v>
      </c>
    </row>
    <row r="278">
      <c r="A278" s="15" t="s">
        <v>417</v>
      </c>
      <c r="B278" s="15">
        <v>27.0</v>
      </c>
      <c r="C278" s="16" t="str">
        <f t="shared" si="2"/>
        <v>FAIL</v>
      </c>
    </row>
    <row r="279">
      <c r="A279" s="15" t="s">
        <v>418</v>
      </c>
      <c r="B279" s="15">
        <v>49.0</v>
      </c>
      <c r="C279" s="16" t="str">
        <f t="shared" si="2"/>
        <v>FAIL</v>
      </c>
    </row>
    <row r="280">
      <c r="A280" s="15" t="s">
        <v>419</v>
      </c>
      <c r="B280" s="15">
        <v>70.0</v>
      </c>
      <c r="C280" s="16" t="str">
        <f t="shared" si="2"/>
        <v>PASS</v>
      </c>
    </row>
    <row r="281">
      <c r="A281" s="15" t="s">
        <v>420</v>
      </c>
      <c r="B281" s="15">
        <v>81.0</v>
      </c>
      <c r="C281" s="16" t="str">
        <f t="shared" si="2"/>
        <v>PASS</v>
      </c>
    </row>
    <row r="282">
      <c r="A282" s="15" t="s">
        <v>421</v>
      </c>
      <c r="B282" s="15">
        <v>70.0</v>
      </c>
      <c r="C282" s="16" t="str">
        <f t="shared" si="2"/>
        <v>PASS</v>
      </c>
    </row>
    <row r="283">
      <c r="A283" s="15" t="s">
        <v>422</v>
      </c>
      <c r="B283" s="15">
        <v>76.0</v>
      </c>
      <c r="C283" s="16" t="str">
        <f t="shared" si="2"/>
        <v>PASS</v>
      </c>
    </row>
    <row r="284">
      <c r="A284" s="15" t="s">
        <v>423</v>
      </c>
      <c r="B284" s="15">
        <v>70.0</v>
      </c>
      <c r="C284" s="16" t="str">
        <f t="shared" si="2"/>
        <v>PASS</v>
      </c>
    </row>
    <row r="285">
      <c r="A285" s="15" t="s">
        <v>424</v>
      </c>
      <c r="B285" s="15">
        <v>71.0</v>
      </c>
      <c r="C285" s="16" t="str">
        <f t="shared" si="2"/>
        <v>PASS</v>
      </c>
    </row>
    <row r="286">
      <c r="A286" s="15" t="s">
        <v>425</v>
      </c>
      <c r="B286" s="15">
        <v>70.0</v>
      </c>
      <c r="C286" s="16" t="str">
        <f t="shared" si="2"/>
        <v>PASS</v>
      </c>
    </row>
    <row r="287">
      <c r="A287" s="15" t="s">
        <v>426</v>
      </c>
      <c r="B287" s="15">
        <v>74.0</v>
      </c>
      <c r="C287" s="16" t="str">
        <f t="shared" si="2"/>
        <v>PASS</v>
      </c>
    </row>
    <row r="288">
      <c r="A288" s="15" t="s">
        <v>427</v>
      </c>
      <c r="B288" s="15">
        <v>71.0</v>
      </c>
      <c r="C288" s="16" t="str">
        <f t="shared" si="2"/>
        <v>PASS</v>
      </c>
    </row>
    <row r="289">
      <c r="A289" s="15" t="s">
        <v>428</v>
      </c>
      <c r="B289" s="15">
        <v>70.0</v>
      </c>
      <c r="C289" s="16" t="str">
        <f t="shared" si="2"/>
        <v>PASS</v>
      </c>
    </row>
    <row r="290">
      <c r="A290" s="15" t="s">
        <v>429</v>
      </c>
      <c r="B290" s="15">
        <v>70.0</v>
      </c>
      <c r="C290" s="16" t="str">
        <f t="shared" si="2"/>
        <v>PASS</v>
      </c>
    </row>
    <row r="291">
      <c r="A291" s="15" t="s">
        <v>430</v>
      </c>
      <c r="B291" s="15">
        <v>76.0</v>
      </c>
      <c r="C291" s="16" t="str">
        <f t="shared" si="2"/>
        <v>PASS</v>
      </c>
    </row>
    <row r="292">
      <c r="A292" s="15" t="s">
        <v>431</v>
      </c>
      <c r="B292" s="15">
        <v>62.0</v>
      </c>
      <c r="C292" s="16" t="str">
        <f t="shared" si="2"/>
        <v>FAIL</v>
      </c>
    </row>
    <row r="293">
      <c r="A293" s="15" t="s">
        <v>432</v>
      </c>
      <c r="B293" s="15">
        <v>71.0</v>
      </c>
      <c r="C293" s="16" t="str">
        <f t="shared" si="2"/>
        <v>PASS</v>
      </c>
    </row>
    <row r="294">
      <c r="A294" s="15" t="s">
        <v>433</v>
      </c>
      <c r="B294" s="15">
        <v>87.0</v>
      </c>
      <c r="C294" s="16" t="str">
        <f t="shared" si="2"/>
        <v>PASS</v>
      </c>
    </row>
    <row r="295">
      <c r="A295" s="15" t="s">
        <v>434</v>
      </c>
      <c r="B295" s="15">
        <v>12.0</v>
      </c>
      <c r="C295" s="16" t="str">
        <f t="shared" si="2"/>
        <v>FAIL</v>
      </c>
    </row>
    <row r="296">
      <c r="A296" s="15" t="s">
        <v>435</v>
      </c>
      <c r="B296" s="15">
        <v>67.0</v>
      </c>
      <c r="C296" s="16" t="str">
        <f t="shared" si="2"/>
        <v>FAIL</v>
      </c>
    </row>
    <row r="297">
      <c r="A297" s="15" t="s">
        <v>436</v>
      </c>
      <c r="B297" s="15">
        <v>43.0</v>
      </c>
      <c r="C297" s="16" t="str">
        <f t="shared" si="2"/>
        <v>FAIL</v>
      </c>
    </row>
    <row r="298">
      <c r="A298" s="15" t="s">
        <v>437</v>
      </c>
      <c r="B298" s="15">
        <v>70.0</v>
      </c>
      <c r="C298" s="16" t="str">
        <f t="shared" si="2"/>
        <v>PASS</v>
      </c>
    </row>
    <row r="299">
      <c r="A299" s="15" t="s">
        <v>438</v>
      </c>
      <c r="B299" s="15">
        <v>72.0</v>
      </c>
      <c r="C299" s="16" t="str">
        <f t="shared" si="2"/>
        <v>PASS</v>
      </c>
    </row>
    <row r="300">
      <c r="A300" s="15" t="s">
        <v>439</v>
      </c>
      <c r="B300" s="15">
        <v>70.0</v>
      </c>
      <c r="C300" s="16" t="str">
        <f t="shared" si="2"/>
        <v>PASS</v>
      </c>
    </row>
    <row r="301">
      <c r="A301" s="15" t="s">
        <v>440</v>
      </c>
      <c r="B301" s="15">
        <v>70.0</v>
      </c>
      <c r="C301" s="16" t="str">
        <f t="shared" si="2"/>
        <v>PASS</v>
      </c>
    </row>
    <row r="302">
      <c r="A302" s="15" t="s">
        <v>441</v>
      </c>
      <c r="B302" s="15">
        <v>70.0</v>
      </c>
      <c r="C302" s="16" t="str">
        <f t="shared" si="2"/>
        <v>PASS</v>
      </c>
    </row>
    <row r="303">
      <c r="A303" s="15" t="s">
        <v>442</v>
      </c>
      <c r="B303" s="15">
        <v>70.0</v>
      </c>
      <c r="C303" s="16" t="str">
        <f t="shared" si="2"/>
        <v>PASS</v>
      </c>
    </row>
    <row r="304">
      <c r="A304" s="15" t="s">
        <v>443</v>
      </c>
      <c r="B304" s="15">
        <v>45.0</v>
      </c>
      <c r="C304" s="16" t="str">
        <f t="shared" si="2"/>
        <v>FAIL</v>
      </c>
    </row>
    <row r="305">
      <c r="A305" s="15" t="s">
        <v>444</v>
      </c>
      <c r="B305" s="15">
        <v>70.0</v>
      </c>
      <c r="C305" s="16" t="str">
        <f t="shared" si="2"/>
        <v>PASS</v>
      </c>
    </row>
    <row r="306">
      <c r="A306" s="15" t="s">
        <v>445</v>
      </c>
      <c r="B306" s="15">
        <v>70.0</v>
      </c>
      <c r="C306" s="16" t="str">
        <f t="shared" si="2"/>
        <v>PASS</v>
      </c>
    </row>
    <row r="307">
      <c r="A307" s="15" t="s">
        <v>446</v>
      </c>
      <c r="B307" s="15">
        <v>85.0</v>
      </c>
      <c r="C307" s="16" t="str">
        <f t="shared" si="2"/>
        <v>PASS</v>
      </c>
    </row>
    <row r="308">
      <c r="A308" s="15" t="s">
        <v>447</v>
      </c>
      <c r="B308" s="15">
        <v>75.0</v>
      </c>
      <c r="C308" s="16" t="str">
        <f t="shared" si="2"/>
        <v>PASS</v>
      </c>
    </row>
    <row r="309">
      <c r="A309" s="15" t="s">
        <v>448</v>
      </c>
      <c r="B309" s="15">
        <v>26.0</v>
      </c>
      <c r="C309" s="16" t="str">
        <f t="shared" si="2"/>
        <v>FAIL</v>
      </c>
    </row>
    <row r="310">
      <c r="A310" s="15" t="s">
        <v>449</v>
      </c>
      <c r="B310" s="15">
        <v>82.0</v>
      </c>
      <c r="C310" s="16" t="str">
        <f t="shared" si="2"/>
        <v>PASS</v>
      </c>
    </row>
    <row r="311">
      <c r="A311" s="15" t="s">
        <v>450</v>
      </c>
      <c r="B311" s="15">
        <v>41.0</v>
      </c>
      <c r="C311" s="16" t="str">
        <f t="shared" si="2"/>
        <v>FAIL</v>
      </c>
    </row>
    <row r="312">
      <c r="A312" s="18" t="s">
        <v>451</v>
      </c>
      <c r="B312" s="18">
        <v>70.0</v>
      </c>
      <c r="C312" s="19" t="str">
        <f t="shared" si="2"/>
        <v>PASS</v>
      </c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15" t="s">
        <v>452</v>
      </c>
      <c r="B313" s="15">
        <v>39.0</v>
      </c>
      <c r="C313" s="16" t="str">
        <f t="shared" si="2"/>
        <v>FAIL</v>
      </c>
    </row>
    <row r="314">
      <c r="A314" s="15" t="s">
        <v>453</v>
      </c>
      <c r="B314" s="15">
        <v>72.0</v>
      </c>
      <c r="C314" s="16" t="str">
        <f t="shared" si="2"/>
        <v>PASS</v>
      </c>
    </row>
    <row r="315">
      <c r="A315" s="15" t="s">
        <v>454</v>
      </c>
      <c r="B315" s="15">
        <v>73.0</v>
      </c>
      <c r="C315" s="16" t="str">
        <f t="shared" si="2"/>
        <v>PASS</v>
      </c>
    </row>
    <row r="316">
      <c r="A316" s="15" t="s">
        <v>455</v>
      </c>
      <c r="B316" s="15">
        <v>70.0</v>
      </c>
      <c r="C316" s="16" t="str">
        <f t="shared" si="2"/>
        <v>PASS</v>
      </c>
    </row>
    <row r="317">
      <c r="A317" s="15" t="s">
        <v>456</v>
      </c>
      <c r="B317" s="15">
        <v>72.0</v>
      </c>
      <c r="C317" s="16" t="str">
        <f t="shared" si="2"/>
        <v>PASS</v>
      </c>
    </row>
    <row r="318">
      <c r="A318" s="15" t="s">
        <v>457</v>
      </c>
      <c r="B318" s="15">
        <v>80.0</v>
      </c>
      <c r="C318" s="16" t="str">
        <f t="shared" si="2"/>
        <v>PASS</v>
      </c>
    </row>
    <row r="319">
      <c r="A319" s="15" t="s">
        <v>458</v>
      </c>
      <c r="B319" s="15">
        <v>70.0</v>
      </c>
      <c r="C319" s="16" t="str">
        <f t="shared" si="2"/>
        <v>PASS</v>
      </c>
    </row>
    <row r="320">
      <c r="A320" s="15" t="s">
        <v>459</v>
      </c>
      <c r="B320" s="15">
        <v>76.0</v>
      </c>
      <c r="C320" s="16" t="str">
        <f t="shared" si="2"/>
        <v>PASS</v>
      </c>
    </row>
    <row r="321">
      <c r="A321" s="15" t="s">
        <v>460</v>
      </c>
      <c r="B321" s="15">
        <v>69.0</v>
      </c>
      <c r="C321" s="16" t="str">
        <f t="shared" si="2"/>
        <v>FAIL</v>
      </c>
    </row>
    <row r="322">
      <c r="A322" s="15" t="s">
        <v>461</v>
      </c>
      <c r="B322" s="15">
        <v>64.0</v>
      </c>
      <c r="C322" s="16" t="str">
        <f t="shared" si="2"/>
        <v>FAIL</v>
      </c>
    </row>
    <row r="323">
      <c r="A323" s="15" t="s">
        <v>462</v>
      </c>
      <c r="B323" s="15">
        <v>39.0</v>
      </c>
      <c r="C323" s="16" t="str">
        <f t="shared" si="2"/>
        <v>FAIL</v>
      </c>
    </row>
    <row r="324">
      <c r="A324" s="15" t="s">
        <v>463</v>
      </c>
      <c r="B324" s="15">
        <v>70.0</v>
      </c>
      <c r="C324" s="16" t="str">
        <f t="shared" si="2"/>
        <v>PASS</v>
      </c>
    </row>
    <row r="325">
      <c r="A325" s="15" t="s">
        <v>464</v>
      </c>
      <c r="B325" s="15">
        <v>70.0</v>
      </c>
      <c r="C325" s="16" t="str">
        <f t="shared" si="2"/>
        <v>PASS</v>
      </c>
    </row>
    <row r="326">
      <c r="A326" s="15" t="s">
        <v>465</v>
      </c>
      <c r="B326" s="15">
        <v>70.0</v>
      </c>
      <c r="C326" s="16" t="str">
        <f t="shared" si="2"/>
        <v>PASS</v>
      </c>
    </row>
    <row r="327">
      <c r="A327" s="15" t="s">
        <v>466</v>
      </c>
      <c r="B327" s="15">
        <v>70.0</v>
      </c>
      <c r="C327" s="16" t="str">
        <f t="shared" si="2"/>
        <v>PASS</v>
      </c>
    </row>
    <row r="328">
      <c r="A328" s="15" t="s">
        <v>467</v>
      </c>
      <c r="B328" s="15">
        <v>70.0</v>
      </c>
      <c r="C328" s="16" t="str">
        <f t="shared" si="2"/>
        <v>PASS</v>
      </c>
    </row>
    <row r="329">
      <c r="A329" s="15" t="s">
        <v>468</v>
      </c>
      <c r="B329" s="15">
        <v>83.0</v>
      </c>
      <c r="C329" s="16" t="str">
        <f t="shared" si="2"/>
        <v>PASS</v>
      </c>
    </row>
    <row r="330">
      <c r="A330" s="15" t="s">
        <v>469</v>
      </c>
      <c r="B330" s="15">
        <v>70.0</v>
      </c>
      <c r="C330" s="16" t="str">
        <f t="shared" si="2"/>
        <v>PASS</v>
      </c>
    </row>
    <row r="331">
      <c r="A331" s="15" t="s">
        <v>470</v>
      </c>
      <c r="B331" s="15">
        <v>70.0</v>
      </c>
      <c r="C331" s="16" t="str">
        <f t="shared" si="2"/>
        <v>PASS</v>
      </c>
    </row>
    <row r="332">
      <c r="A332" s="15" t="s">
        <v>471</v>
      </c>
      <c r="B332" s="15">
        <v>37.0</v>
      </c>
      <c r="C332" s="16" t="str">
        <f t="shared" si="2"/>
        <v>FAIL</v>
      </c>
    </row>
    <row r="333">
      <c r="A333" s="15" t="s">
        <v>472</v>
      </c>
      <c r="B333" s="15">
        <v>64.0</v>
      </c>
      <c r="C333" s="16" t="str">
        <f t="shared" si="2"/>
        <v>FAIL</v>
      </c>
    </row>
    <row r="334">
      <c r="A334" s="15" t="s">
        <v>473</v>
      </c>
      <c r="B334" s="15">
        <v>89.0</v>
      </c>
      <c r="C334" s="16" t="str">
        <f t="shared" si="2"/>
        <v>PASS</v>
      </c>
    </row>
    <row r="335">
      <c r="A335" s="15" t="s">
        <v>474</v>
      </c>
      <c r="B335" s="15">
        <v>70.0</v>
      </c>
      <c r="C335" s="16" t="str">
        <f t="shared" si="2"/>
        <v>PASS</v>
      </c>
    </row>
    <row r="336">
      <c r="A336" s="15" t="s">
        <v>475</v>
      </c>
      <c r="B336" s="15">
        <v>40.0</v>
      </c>
      <c r="C336" s="16" t="str">
        <f t="shared" si="2"/>
        <v>FAIL</v>
      </c>
    </row>
    <row r="337">
      <c r="A337" s="15" t="s">
        <v>476</v>
      </c>
      <c r="B337" s="15">
        <v>82.0</v>
      </c>
      <c r="C337" s="16" t="str">
        <f t="shared" si="2"/>
        <v>PASS</v>
      </c>
    </row>
    <row r="338">
      <c r="A338" s="15" t="s">
        <v>477</v>
      </c>
      <c r="B338" s="15">
        <v>70.0</v>
      </c>
      <c r="C338" s="16" t="str">
        <f t="shared" si="2"/>
        <v>PASS</v>
      </c>
    </row>
    <row r="339">
      <c r="A339" s="15" t="s">
        <v>478</v>
      </c>
      <c r="B339" s="15">
        <v>72.0</v>
      </c>
      <c r="C339" s="16" t="str">
        <f t="shared" si="2"/>
        <v>PASS</v>
      </c>
    </row>
    <row r="340">
      <c r="A340" s="15" t="s">
        <v>479</v>
      </c>
      <c r="B340" s="15">
        <v>71.0</v>
      </c>
      <c r="C340" s="16" t="str">
        <f t="shared" si="2"/>
        <v>PASS</v>
      </c>
    </row>
    <row r="341">
      <c r="A341" s="15" t="s">
        <v>480</v>
      </c>
      <c r="B341" s="15">
        <v>84.0</v>
      </c>
      <c r="C341" s="16" t="str">
        <f t="shared" si="2"/>
        <v>PASS</v>
      </c>
    </row>
    <row r="342">
      <c r="A342" s="15" t="s">
        <v>481</v>
      </c>
      <c r="B342" s="15">
        <v>72.0</v>
      </c>
      <c r="C342" s="16" t="str">
        <f t="shared" si="2"/>
        <v>PASS</v>
      </c>
    </row>
    <row r="343">
      <c r="A343" s="15" t="s">
        <v>482</v>
      </c>
      <c r="B343" s="15">
        <v>77.0</v>
      </c>
      <c r="C343" s="16" t="str">
        <f t="shared" si="2"/>
        <v>PASS</v>
      </c>
    </row>
    <row r="344">
      <c r="A344" s="15" t="s">
        <v>483</v>
      </c>
      <c r="B344" s="15">
        <v>82.0</v>
      </c>
      <c r="C344" s="16" t="str">
        <f t="shared" si="2"/>
        <v>PASS</v>
      </c>
    </row>
    <row r="345">
      <c r="A345" s="15" t="s">
        <v>484</v>
      </c>
      <c r="B345" s="15">
        <v>80.0</v>
      </c>
      <c r="C345" s="16" t="str">
        <f t="shared" si="2"/>
        <v>PASS</v>
      </c>
    </row>
    <row r="346">
      <c r="A346" s="15" t="s">
        <v>485</v>
      </c>
      <c r="B346" s="15">
        <v>82.0</v>
      </c>
      <c r="C346" s="16" t="str">
        <f t="shared" si="2"/>
        <v>PASS</v>
      </c>
    </row>
    <row r="347">
      <c r="A347" s="15" t="s">
        <v>486</v>
      </c>
      <c r="B347" s="15">
        <v>70.0</v>
      </c>
      <c r="C347" s="16" t="str">
        <f t="shared" si="2"/>
        <v>PASS</v>
      </c>
    </row>
    <row r="348">
      <c r="A348" s="15" t="s">
        <v>487</v>
      </c>
      <c r="B348" s="15">
        <v>5.0</v>
      </c>
      <c r="C348" s="16" t="str">
        <f t="shared" si="2"/>
        <v>FAIL</v>
      </c>
    </row>
    <row r="349">
      <c r="A349" s="15" t="s">
        <v>488</v>
      </c>
      <c r="B349" s="15">
        <v>43.0</v>
      </c>
      <c r="C349" s="16" t="str">
        <f t="shared" si="2"/>
        <v>FAIL</v>
      </c>
    </row>
    <row r="350">
      <c r="A350" s="15" t="s">
        <v>489</v>
      </c>
      <c r="B350" s="15">
        <v>90.0</v>
      </c>
      <c r="C350" s="16" t="str">
        <f t="shared" si="2"/>
        <v>PASS</v>
      </c>
    </row>
    <row r="351">
      <c r="A351" s="15" t="s">
        <v>490</v>
      </c>
      <c r="B351" s="15">
        <v>70.0</v>
      </c>
      <c r="C351" s="16" t="str">
        <f t="shared" si="2"/>
        <v>PASS</v>
      </c>
    </row>
    <row r="352">
      <c r="A352" s="15" t="s">
        <v>491</v>
      </c>
      <c r="B352" s="15">
        <v>30.0</v>
      </c>
      <c r="C352" s="16" t="str">
        <f t="shared" si="2"/>
        <v>FAIL</v>
      </c>
    </row>
    <row r="353">
      <c r="A353" s="15" t="s">
        <v>492</v>
      </c>
      <c r="B353" s="15">
        <v>39.0</v>
      </c>
      <c r="C353" s="16" t="str">
        <f t="shared" si="2"/>
        <v>FAIL</v>
      </c>
    </row>
    <row r="354">
      <c r="A354" s="15" t="s">
        <v>493</v>
      </c>
      <c r="B354" s="15">
        <v>27.0</v>
      </c>
      <c r="C354" s="16" t="str">
        <f t="shared" si="2"/>
        <v>FAIL</v>
      </c>
    </row>
    <row r="355">
      <c r="A355" s="15" t="s">
        <v>494</v>
      </c>
      <c r="B355" s="15">
        <v>0.0</v>
      </c>
      <c r="C355" s="16" t="str">
        <f t="shared" si="2"/>
        <v>FAIL</v>
      </c>
    </row>
    <row r="356">
      <c r="A356" s="15" t="s">
        <v>495</v>
      </c>
      <c r="B356" s="15">
        <v>70.0</v>
      </c>
      <c r="C356" s="16" t="str">
        <f t="shared" si="2"/>
        <v>PASS</v>
      </c>
    </row>
    <row r="357">
      <c r="A357" s="15" t="s">
        <v>496</v>
      </c>
      <c r="B357" s="15">
        <v>70.0</v>
      </c>
      <c r="C357" s="16" t="str">
        <f t="shared" si="2"/>
        <v>PASS</v>
      </c>
    </row>
    <row r="358">
      <c r="A358" s="15" t="s">
        <v>497</v>
      </c>
      <c r="B358" s="15">
        <v>13.0</v>
      </c>
      <c r="C358" s="16" t="str">
        <f t="shared" si="2"/>
        <v>FAIL</v>
      </c>
    </row>
    <row r="359">
      <c r="A359" s="15" t="s">
        <v>498</v>
      </c>
      <c r="B359" s="15">
        <v>32.0</v>
      </c>
      <c r="C359" s="16" t="str">
        <f t="shared" si="2"/>
        <v>FAIL</v>
      </c>
    </row>
    <row r="360">
      <c r="A360" s="15" t="s">
        <v>499</v>
      </c>
      <c r="B360" s="15">
        <v>45.0</v>
      </c>
      <c r="C360" s="16" t="str">
        <f t="shared" si="2"/>
        <v>FAIL</v>
      </c>
    </row>
    <row r="361">
      <c r="A361" s="15" t="s">
        <v>500</v>
      </c>
      <c r="B361" s="15">
        <v>70.0</v>
      </c>
      <c r="C361" s="16" t="str">
        <f t="shared" si="2"/>
        <v>PASS</v>
      </c>
    </row>
    <row r="362">
      <c r="A362" s="15" t="s">
        <v>501</v>
      </c>
      <c r="B362" s="15">
        <v>32.0</v>
      </c>
      <c r="C362" s="16" t="str">
        <f t="shared" si="2"/>
        <v>FAIL</v>
      </c>
    </row>
    <row r="363">
      <c r="A363" s="15" t="s">
        <v>502</v>
      </c>
      <c r="B363" s="15">
        <v>35.0</v>
      </c>
      <c r="C363" s="16" t="str">
        <f t="shared" si="2"/>
        <v>FAIL</v>
      </c>
    </row>
    <row r="364">
      <c r="A364" s="15" t="s">
        <v>503</v>
      </c>
      <c r="B364" s="15">
        <v>70.0</v>
      </c>
      <c r="C364" s="16" t="str">
        <f t="shared" si="2"/>
        <v>PASS</v>
      </c>
    </row>
    <row r="365">
      <c r="A365" s="15" t="s">
        <v>504</v>
      </c>
      <c r="B365" s="15">
        <v>70.0</v>
      </c>
      <c r="C365" s="16" t="str">
        <f t="shared" si="2"/>
        <v>PASS</v>
      </c>
    </row>
    <row r="366">
      <c r="A366" s="15" t="s">
        <v>505</v>
      </c>
      <c r="B366" s="15">
        <v>70.0</v>
      </c>
      <c r="C366" s="16" t="str">
        <f t="shared" si="2"/>
        <v>PASS</v>
      </c>
    </row>
    <row r="367">
      <c r="A367" s="15" t="s">
        <v>506</v>
      </c>
      <c r="B367" s="15">
        <v>71.0</v>
      </c>
      <c r="C367" s="16" t="str">
        <f t="shared" si="2"/>
        <v>PASS</v>
      </c>
    </row>
    <row r="368">
      <c r="A368" s="15" t="s">
        <v>507</v>
      </c>
      <c r="B368" s="15">
        <v>70.0</v>
      </c>
      <c r="C368" s="16" t="str">
        <f t="shared" si="2"/>
        <v>PASS</v>
      </c>
    </row>
    <row r="369">
      <c r="A369" s="15" t="s">
        <v>508</v>
      </c>
      <c r="B369" s="15">
        <v>70.0</v>
      </c>
      <c r="C369" s="16" t="str">
        <f t="shared" si="2"/>
        <v>PASS</v>
      </c>
    </row>
    <row r="370">
      <c r="A370" s="15" t="s">
        <v>509</v>
      </c>
      <c r="B370" s="15">
        <v>5.5</v>
      </c>
      <c r="C370" s="16" t="str">
        <f t="shared" si="2"/>
        <v>FAIL</v>
      </c>
    </row>
    <row r="371">
      <c r="A371" s="15" t="s">
        <v>510</v>
      </c>
      <c r="B371" s="15">
        <v>44.0</v>
      </c>
      <c r="C371" s="16" t="str">
        <f t="shared" si="2"/>
        <v>FAIL</v>
      </c>
    </row>
    <row r="372">
      <c r="A372" s="15" t="s">
        <v>511</v>
      </c>
      <c r="B372" s="15">
        <v>70.0</v>
      </c>
      <c r="C372" s="16" t="str">
        <f t="shared" si="2"/>
        <v>PASS</v>
      </c>
    </row>
    <row r="373">
      <c r="A373" s="15" t="s">
        <v>512</v>
      </c>
      <c r="B373" s="15">
        <v>70.0</v>
      </c>
      <c r="C373" s="16" t="str">
        <f t="shared" si="2"/>
        <v>PASS</v>
      </c>
    </row>
    <row r="374">
      <c r="A374" s="15" t="s">
        <v>513</v>
      </c>
      <c r="B374" s="15">
        <v>70.0</v>
      </c>
      <c r="C374" s="16" t="str">
        <f t="shared" si="2"/>
        <v>PASS</v>
      </c>
    </row>
    <row r="375">
      <c r="A375" s="15" t="s">
        <v>514</v>
      </c>
      <c r="B375" s="15">
        <v>83.0</v>
      </c>
      <c r="C375" s="16" t="str">
        <f t="shared" si="2"/>
        <v>PASS</v>
      </c>
    </row>
    <row r="376">
      <c r="A376" s="15" t="s">
        <v>515</v>
      </c>
      <c r="B376" s="15">
        <v>70.0</v>
      </c>
      <c r="C376" s="16" t="str">
        <f t="shared" si="2"/>
        <v>PASS</v>
      </c>
    </row>
    <row r="377">
      <c r="A377" s="15" t="s">
        <v>516</v>
      </c>
      <c r="B377" s="15">
        <v>72.0</v>
      </c>
      <c r="C377" s="16" t="str">
        <f t="shared" si="2"/>
        <v>PASS</v>
      </c>
    </row>
    <row r="378">
      <c r="A378" s="15" t="s">
        <v>517</v>
      </c>
      <c r="B378" s="15">
        <v>5.0</v>
      </c>
      <c r="C378" s="16" t="str">
        <f t="shared" si="2"/>
        <v>FAIL</v>
      </c>
    </row>
    <row r="379">
      <c r="A379" s="15" t="s">
        <v>518</v>
      </c>
      <c r="B379" s="15">
        <v>75.0</v>
      </c>
      <c r="C379" s="16" t="str">
        <f t="shared" si="2"/>
        <v>PASS</v>
      </c>
    </row>
    <row r="380">
      <c r="A380" s="15" t="s">
        <v>519</v>
      </c>
      <c r="B380" s="15">
        <v>0.0</v>
      </c>
      <c r="C380" s="16" t="str">
        <f t="shared" si="2"/>
        <v>FAIL</v>
      </c>
    </row>
    <row r="381">
      <c r="A381" s="15" t="s">
        <v>520</v>
      </c>
      <c r="B381" s="15">
        <v>5.0</v>
      </c>
      <c r="C381" s="16" t="str">
        <f t="shared" si="2"/>
        <v>FAIL</v>
      </c>
    </row>
    <row r="382">
      <c r="A382" s="15" t="s">
        <v>521</v>
      </c>
      <c r="B382" s="15">
        <v>81.0</v>
      </c>
      <c r="C382" s="16" t="str">
        <f t="shared" si="2"/>
        <v>PASS</v>
      </c>
    </row>
    <row r="383">
      <c r="A383" s="15" t="s">
        <v>522</v>
      </c>
      <c r="B383" s="15">
        <v>70.0</v>
      </c>
      <c r="C383" s="16" t="str">
        <f t="shared" si="2"/>
        <v>PASS</v>
      </c>
    </row>
    <row r="384">
      <c r="A384" s="15" t="s">
        <v>523</v>
      </c>
      <c r="B384" s="15">
        <v>79.0</v>
      </c>
      <c r="C384" s="16" t="str">
        <f t="shared" si="2"/>
        <v>PASS</v>
      </c>
    </row>
    <row r="385">
      <c r="A385" s="15" t="s">
        <v>524</v>
      </c>
      <c r="B385" s="15">
        <v>70.0</v>
      </c>
      <c r="C385" s="16" t="str">
        <f t="shared" si="2"/>
        <v>PASS</v>
      </c>
    </row>
    <row r="386">
      <c r="A386" s="15" t="s">
        <v>525</v>
      </c>
      <c r="B386" s="15">
        <v>70.0</v>
      </c>
      <c r="C386" s="16" t="str">
        <f t="shared" si="2"/>
        <v>PASS</v>
      </c>
    </row>
    <row r="387">
      <c r="A387" s="15" t="s">
        <v>526</v>
      </c>
      <c r="B387" s="15">
        <v>10.0</v>
      </c>
      <c r="C387" s="16" t="str">
        <f t="shared" si="2"/>
        <v>FAIL</v>
      </c>
    </row>
    <row r="388">
      <c r="A388" s="15" t="s">
        <v>527</v>
      </c>
      <c r="B388" s="15">
        <v>40.0</v>
      </c>
      <c r="C388" s="16" t="str">
        <f t="shared" si="2"/>
        <v>FAIL</v>
      </c>
    </row>
    <row r="389">
      <c r="A389" s="15" t="s">
        <v>528</v>
      </c>
      <c r="B389" s="15">
        <v>13.0</v>
      </c>
      <c r="C389" s="16" t="str">
        <f t="shared" si="2"/>
        <v>FAIL</v>
      </c>
    </row>
    <row r="390">
      <c r="A390" s="15" t="s">
        <v>529</v>
      </c>
      <c r="B390" s="15">
        <v>65.0</v>
      </c>
      <c r="C390" s="16" t="str">
        <f t="shared" si="2"/>
        <v>FAIL</v>
      </c>
    </row>
    <row r="391">
      <c r="A391" s="15" t="s">
        <v>530</v>
      </c>
      <c r="B391" s="15">
        <v>70.0</v>
      </c>
      <c r="C391" s="16" t="str">
        <f t="shared" si="2"/>
        <v>PASS</v>
      </c>
    </row>
    <row r="392">
      <c r="A392" s="15" t="s">
        <v>531</v>
      </c>
      <c r="B392" s="15">
        <v>70.0</v>
      </c>
      <c r="C392" s="16" t="str">
        <f t="shared" si="2"/>
        <v>PASS</v>
      </c>
    </row>
    <row r="393">
      <c r="A393" s="15" t="s">
        <v>532</v>
      </c>
      <c r="B393" s="15">
        <v>70.0</v>
      </c>
      <c r="C393" s="16" t="str">
        <f t="shared" si="2"/>
        <v>PASS</v>
      </c>
    </row>
    <row r="394">
      <c r="A394" s="15" t="s">
        <v>533</v>
      </c>
      <c r="B394" s="15">
        <v>70.0</v>
      </c>
      <c r="C394" s="16" t="str">
        <f t="shared" si="2"/>
        <v>PASS</v>
      </c>
    </row>
    <row r="395">
      <c r="A395" s="15" t="s">
        <v>534</v>
      </c>
      <c r="B395" s="15">
        <v>70.0</v>
      </c>
      <c r="C395" s="16" t="str">
        <f t="shared" si="2"/>
        <v>PASS</v>
      </c>
    </row>
    <row r="396">
      <c r="A396" s="15" t="s">
        <v>535</v>
      </c>
      <c r="B396" s="15">
        <v>38.0</v>
      </c>
      <c r="C396" s="16" t="str">
        <f t="shared" si="2"/>
        <v>FAIL</v>
      </c>
    </row>
    <row r="397">
      <c r="A397" s="15" t="s">
        <v>536</v>
      </c>
      <c r="B397" s="15">
        <v>70.0</v>
      </c>
      <c r="C397" s="16" t="str">
        <f t="shared" si="2"/>
        <v>PASS</v>
      </c>
    </row>
    <row r="398">
      <c r="A398" s="15" t="s">
        <v>537</v>
      </c>
      <c r="B398" s="15">
        <v>18.0</v>
      </c>
      <c r="C398" s="16" t="str">
        <f t="shared" si="2"/>
        <v>FAIL</v>
      </c>
    </row>
    <row r="399">
      <c r="A399" s="15" t="s">
        <v>538</v>
      </c>
      <c r="B399" s="15">
        <v>70.0</v>
      </c>
      <c r="C399" s="16" t="str">
        <f t="shared" si="2"/>
        <v>PASS</v>
      </c>
    </row>
    <row r="400">
      <c r="A400" s="15" t="s">
        <v>539</v>
      </c>
      <c r="B400" s="15">
        <v>86.0</v>
      </c>
      <c r="C400" s="16" t="str">
        <f t="shared" si="2"/>
        <v>PASS</v>
      </c>
    </row>
    <row r="401">
      <c r="A401" s="15" t="s">
        <v>540</v>
      </c>
      <c r="B401" s="15">
        <v>70.0</v>
      </c>
      <c r="C401" s="16" t="str">
        <f t="shared" si="2"/>
        <v>PASS</v>
      </c>
    </row>
    <row r="402">
      <c r="A402" s="15" t="s">
        <v>541</v>
      </c>
      <c r="B402" s="15">
        <v>70.0</v>
      </c>
      <c r="C402" s="16" t="str">
        <f t="shared" si="2"/>
        <v>PASS</v>
      </c>
    </row>
    <row r="403">
      <c r="A403" s="15" t="s">
        <v>542</v>
      </c>
      <c r="B403" s="15">
        <v>51.0</v>
      </c>
      <c r="C403" s="16" t="str">
        <f t="shared" si="2"/>
        <v>FAIL</v>
      </c>
    </row>
    <row r="404">
      <c r="A404" s="15" t="s">
        <v>543</v>
      </c>
      <c r="B404" s="15">
        <v>77.0</v>
      </c>
      <c r="C404" s="16" t="str">
        <f t="shared" si="2"/>
        <v>PASS</v>
      </c>
    </row>
    <row r="405">
      <c r="A405" s="15" t="s">
        <v>544</v>
      </c>
      <c r="B405" s="15">
        <v>76.0</v>
      </c>
      <c r="C405" s="16" t="str">
        <f t="shared" si="2"/>
        <v>PASS</v>
      </c>
    </row>
    <row r="406">
      <c r="A406" s="15" t="s">
        <v>545</v>
      </c>
      <c r="B406" s="15">
        <v>75.0</v>
      </c>
      <c r="C406" s="16" t="str">
        <f t="shared" si="2"/>
        <v>PASS</v>
      </c>
    </row>
    <row r="407">
      <c r="A407" s="15" t="s">
        <v>546</v>
      </c>
      <c r="B407" s="15">
        <v>70.0</v>
      </c>
      <c r="C407" s="16" t="str">
        <f t="shared" si="2"/>
        <v>PASS</v>
      </c>
    </row>
    <row r="408">
      <c r="A408" s="15" t="s">
        <v>547</v>
      </c>
      <c r="B408" s="15">
        <v>62.0</v>
      </c>
      <c r="C408" s="16" t="str">
        <f t="shared" si="2"/>
        <v>FAIL</v>
      </c>
    </row>
    <row r="409">
      <c r="A409" s="15" t="s">
        <v>548</v>
      </c>
      <c r="B409" s="15">
        <v>77.0</v>
      </c>
      <c r="C409" s="16" t="str">
        <f t="shared" si="2"/>
        <v>PASS</v>
      </c>
    </row>
    <row r="410">
      <c r="A410" s="15" t="s">
        <v>549</v>
      </c>
      <c r="B410" s="15">
        <v>70.0</v>
      </c>
      <c r="C410" s="16" t="str">
        <f t="shared" si="2"/>
        <v>PASS</v>
      </c>
    </row>
    <row r="411">
      <c r="A411" s="15" t="s">
        <v>550</v>
      </c>
      <c r="B411" s="15">
        <v>70.0</v>
      </c>
      <c r="C411" s="16" t="str">
        <f t="shared" si="2"/>
        <v>PASS</v>
      </c>
    </row>
    <row r="412">
      <c r="A412" s="15" t="s">
        <v>551</v>
      </c>
      <c r="B412" s="15">
        <v>70.0</v>
      </c>
      <c r="C412" s="16" t="str">
        <f t="shared" si="2"/>
        <v>PASS</v>
      </c>
    </row>
    <row r="413">
      <c r="A413" s="15" t="s">
        <v>552</v>
      </c>
      <c r="B413" s="15">
        <v>70.0</v>
      </c>
      <c r="C413" s="16" t="str">
        <f t="shared" si="2"/>
        <v>PASS</v>
      </c>
    </row>
    <row r="414">
      <c r="A414" s="15" t="s">
        <v>553</v>
      </c>
      <c r="B414" s="15">
        <v>70.0</v>
      </c>
      <c r="C414" s="16" t="str">
        <f t="shared" si="2"/>
        <v>PASS</v>
      </c>
    </row>
    <row r="415">
      <c r="A415" s="15" t="s">
        <v>554</v>
      </c>
      <c r="B415" s="15">
        <v>70.0</v>
      </c>
      <c r="C415" s="16" t="str">
        <f t="shared" si="2"/>
        <v>PASS</v>
      </c>
    </row>
    <row r="416">
      <c r="A416" s="15" t="s">
        <v>555</v>
      </c>
      <c r="B416" s="15">
        <v>74.0</v>
      </c>
      <c r="C416" s="16" t="str">
        <f t="shared" si="2"/>
        <v>PASS</v>
      </c>
    </row>
    <row r="417">
      <c r="A417" s="15" t="s">
        <v>556</v>
      </c>
      <c r="B417" s="15">
        <v>82.0</v>
      </c>
      <c r="C417" s="16" t="str">
        <f t="shared" si="2"/>
        <v>PASS</v>
      </c>
    </row>
    <row r="418">
      <c r="A418" s="15" t="s">
        <v>557</v>
      </c>
      <c r="B418" s="15">
        <v>18.0</v>
      </c>
      <c r="C418" s="16" t="str">
        <f t="shared" si="2"/>
        <v>FAIL</v>
      </c>
    </row>
    <row r="419">
      <c r="A419" s="15" t="s">
        <v>558</v>
      </c>
      <c r="B419" s="15">
        <v>59.0</v>
      </c>
      <c r="C419" s="16" t="str">
        <f t="shared" si="2"/>
        <v>FAIL</v>
      </c>
    </row>
    <row r="420">
      <c r="A420" s="15" t="s">
        <v>559</v>
      </c>
      <c r="B420" s="15">
        <v>70.0</v>
      </c>
      <c r="C420" s="16" t="str">
        <f t="shared" si="2"/>
        <v>PASS</v>
      </c>
    </row>
    <row r="421">
      <c r="A421" s="15" t="s">
        <v>560</v>
      </c>
      <c r="B421" s="15">
        <v>73.0</v>
      </c>
      <c r="C421" s="16" t="str">
        <f t="shared" si="2"/>
        <v>PASS</v>
      </c>
    </row>
    <row r="422">
      <c r="A422" s="15" t="s">
        <v>561</v>
      </c>
      <c r="B422" s="15">
        <v>70.0</v>
      </c>
      <c r="C422" s="16" t="str">
        <f t="shared" si="2"/>
        <v>PASS</v>
      </c>
    </row>
    <row r="423">
      <c r="A423" s="15" t="s">
        <v>562</v>
      </c>
      <c r="B423" s="15">
        <v>81.0</v>
      </c>
      <c r="C423" s="16" t="str">
        <f t="shared" si="2"/>
        <v>PASS</v>
      </c>
    </row>
    <row r="424">
      <c r="A424" s="15" t="s">
        <v>563</v>
      </c>
      <c r="B424" s="15">
        <v>70.0</v>
      </c>
      <c r="C424" s="16" t="str">
        <f t="shared" si="2"/>
        <v>PASS</v>
      </c>
    </row>
    <row r="425">
      <c r="A425" s="15" t="s">
        <v>564</v>
      </c>
      <c r="B425" s="15">
        <v>36.0</v>
      </c>
      <c r="C425" s="16" t="str">
        <f t="shared" si="2"/>
        <v>FAIL</v>
      </c>
    </row>
    <row r="426">
      <c r="A426" s="15" t="s">
        <v>565</v>
      </c>
      <c r="B426" s="15">
        <v>70.0</v>
      </c>
      <c r="C426" s="16" t="str">
        <f t="shared" si="2"/>
        <v>PASS</v>
      </c>
    </row>
    <row r="427">
      <c r="A427" s="15" t="s">
        <v>566</v>
      </c>
      <c r="B427" s="15">
        <v>70.0</v>
      </c>
      <c r="C427" s="16" t="str">
        <f t="shared" si="2"/>
        <v>PASS</v>
      </c>
    </row>
    <row r="428">
      <c r="A428" s="15" t="s">
        <v>567</v>
      </c>
      <c r="B428" s="15">
        <v>43.0</v>
      </c>
      <c r="C428" s="16" t="str">
        <f t="shared" si="2"/>
        <v>FAIL</v>
      </c>
    </row>
    <row r="429">
      <c r="A429" s="15" t="s">
        <v>568</v>
      </c>
      <c r="B429" s="15">
        <v>70.0</v>
      </c>
      <c r="C429" s="16" t="str">
        <f t="shared" si="2"/>
        <v>PASS</v>
      </c>
    </row>
    <row r="430">
      <c r="A430" s="15" t="s">
        <v>569</v>
      </c>
      <c r="B430" s="15">
        <v>70.0</v>
      </c>
      <c r="C430" s="16" t="str">
        <f t="shared" si="2"/>
        <v>PASS</v>
      </c>
    </row>
    <row r="431">
      <c r="A431" s="15" t="s">
        <v>570</v>
      </c>
      <c r="B431" s="15">
        <v>70.0</v>
      </c>
      <c r="C431" s="16" t="str">
        <f t="shared" si="2"/>
        <v>PASS</v>
      </c>
    </row>
    <row r="432">
      <c r="A432" s="15" t="s">
        <v>571</v>
      </c>
      <c r="B432" s="15">
        <v>49.0</v>
      </c>
      <c r="C432" s="16" t="str">
        <f t="shared" si="2"/>
        <v>FAIL</v>
      </c>
    </row>
    <row r="433">
      <c r="A433" s="15" t="s">
        <v>572</v>
      </c>
      <c r="B433" s="15">
        <v>70.0</v>
      </c>
      <c r="C433" s="16" t="str">
        <f t="shared" si="2"/>
        <v>PASS</v>
      </c>
    </row>
    <row r="434">
      <c r="A434" s="15" t="s">
        <v>573</v>
      </c>
      <c r="B434" s="15">
        <v>72.0</v>
      </c>
      <c r="C434" s="16" t="str">
        <f t="shared" si="2"/>
        <v>PASS</v>
      </c>
    </row>
    <row r="435">
      <c r="A435" s="15" t="s">
        <v>574</v>
      </c>
      <c r="B435" s="15">
        <v>78.0</v>
      </c>
      <c r="C435" s="16" t="str">
        <f t="shared" si="2"/>
        <v>PASS</v>
      </c>
    </row>
    <row r="436">
      <c r="A436" s="15" t="s">
        <v>575</v>
      </c>
      <c r="B436" s="15">
        <v>85.0</v>
      </c>
      <c r="C436" s="16" t="str">
        <f t="shared" si="2"/>
        <v>PASS</v>
      </c>
    </row>
    <row r="437">
      <c r="A437" s="15" t="s">
        <v>576</v>
      </c>
      <c r="B437" s="15">
        <v>75.0</v>
      </c>
      <c r="C437" s="16" t="str">
        <f t="shared" si="2"/>
        <v>PASS</v>
      </c>
    </row>
    <row r="438">
      <c r="A438" s="15" t="s">
        <v>577</v>
      </c>
      <c r="B438" s="15">
        <v>60.0</v>
      </c>
      <c r="C438" s="16" t="str">
        <f t="shared" si="2"/>
        <v>FAIL</v>
      </c>
    </row>
    <row r="439">
      <c r="A439" s="15" t="s">
        <v>578</v>
      </c>
      <c r="B439" s="15">
        <v>77.0</v>
      </c>
      <c r="C439" s="16" t="str">
        <f t="shared" si="2"/>
        <v>PASS</v>
      </c>
    </row>
    <row r="440">
      <c r="A440" s="15" t="s">
        <v>579</v>
      </c>
      <c r="B440" s="15">
        <v>45.0</v>
      </c>
      <c r="C440" s="16" t="str">
        <f t="shared" si="2"/>
        <v>FAIL</v>
      </c>
    </row>
    <row r="441">
      <c r="A441" s="15" t="s">
        <v>580</v>
      </c>
      <c r="B441" s="15">
        <v>49.0</v>
      </c>
      <c r="C441" s="16" t="str">
        <f t="shared" si="2"/>
        <v>FAIL</v>
      </c>
    </row>
    <row r="442">
      <c r="A442" s="15" t="s">
        <v>581</v>
      </c>
      <c r="B442" s="15">
        <v>70.0</v>
      </c>
      <c r="C442" s="16" t="str">
        <f t="shared" si="2"/>
        <v>PASS</v>
      </c>
    </row>
    <row r="443">
      <c r="A443" s="15" t="s">
        <v>582</v>
      </c>
      <c r="B443" s="15">
        <v>51.0</v>
      </c>
      <c r="C443" s="16" t="str">
        <f t="shared" si="2"/>
        <v>FAIL</v>
      </c>
    </row>
    <row r="444">
      <c r="A444" s="15" t="s">
        <v>583</v>
      </c>
      <c r="B444" s="15">
        <v>70.0</v>
      </c>
      <c r="C444" s="16" t="str">
        <f t="shared" si="2"/>
        <v>PASS</v>
      </c>
    </row>
    <row r="445">
      <c r="A445" s="15" t="s">
        <v>584</v>
      </c>
      <c r="B445" s="15">
        <v>70.0</v>
      </c>
      <c r="C445" s="16" t="str">
        <f t="shared" si="2"/>
        <v>PASS</v>
      </c>
    </row>
    <row r="446">
      <c r="A446" s="15" t="s">
        <v>585</v>
      </c>
      <c r="B446" s="15">
        <v>78.0</v>
      </c>
      <c r="C446" s="16" t="str">
        <f t="shared" si="2"/>
        <v>PASS</v>
      </c>
    </row>
    <row r="447">
      <c r="A447" s="15" t="s">
        <v>586</v>
      </c>
      <c r="B447" s="15">
        <v>45.0</v>
      </c>
      <c r="C447" s="16" t="str">
        <f t="shared" si="2"/>
        <v>FAIL</v>
      </c>
    </row>
    <row r="448">
      <c r="A448" s="15" t="s">
        <v>587</v>
      </c>
      <c r="B448" s="15">
        <v>57.0</v>
      </c>
      <c r="C448" s="16" t="str">
        <f t="shared" si="2"/>
        <v>FAIL</v>
      </c>
    </row>
    <row r="449">
      <c r="A449" s="15" t="s">
        <v>588</v>
      </c>
      <c r="B449" s="15">
        <v>71.0</v>
      </c>
      <c r="C449" s="16" t="str">
        <f t="shared" si="2"/>
        <v>PASS</v>
      </c>
    </row>
    <row r="450">
      <c r="A450" s="15" t="s">
        <v>589</v>
      </c>
      <c r="B450" s="15">
        <v>71.0</v>
      </c>
      <c r="C450" s="16" t="str">
        <f t="shared" si="2"/>
        <v>PASS</v>
      </c>
    </row>
    <row r="451">
      <c r="A451" s="15" t="s">
        <v>590</v>
      </c>
      <c r="B451" s="15">
        <v>72.0</v>
      </c>
      <c r="C451" s="16" t="str">
        <f t="shared" si="2"/>
        <v>PASS</v>
      </c>
    </row>
    <row r="452">
      <c r="A452" s="15" t="s">
        <v>591</v>
      </c>
      <c r="B452" s="15">
        <v>85.0</v>
      </c>
      <c r="C452" s="16" t="str">
        <f t="shared" si="2"/>
        <v>PASS</v>
      </c>
    </row>
    <row r="453">
      <c r="A453" s="15" t="s">
        <v>592</v>
      </c>
      <c r="B453" s="15">
        <v>62.0</v>
      </c>
      <c r="C453" s="16" t="str">
        <f t="shared" si="2"/>
        <v>FAIL</v>
      </c>
    </row>
    <row r="454">
      <c r="A454" s="15" t="s">
        <v>593</v>
      </c>
      <c r="B454" s="15">
        <v>72.0</v>
      </c>
      <c r="C454" s="16" t="str">
        <f t="shared" si="2"/>
        <v>PASS</v>
      </c>
    </row>
    <row r="455">
      <c r="A455" s="15" t="s">
        <v>594</v>
      </c>
      <c r="B455" s="15">
        <v>54.0</v>
      </c>
      <c r="C455" s="16" t="str">
        <f t="shared" si="2"/>
        <v>FAIL</v>
      </c>
    </row>
    <row r="456">
      <c r="A456" s="15" t="s">
        <v>595</v>
      </c>
      <c r="B456" s="15">
        <v>74.0</v>
      </c>
      <c r="C456" s="16" t="str">
        <f t="shared" si="2"/>
        <v>PASS</v>
      </c>
    </row>
    <row r="457">
      <c r="A457" s="15" t="s">
        <v>596</v>
      </c>
      <c r="B457" s="15">
        <v>70.0</v>
      </c>
      <c r="C457" s="16" t="str">
        <f t="shared" si="2"/>
        <v>PASS</v>
      </c>
    </row>
    <row r="458">
      <c r="A458" s="18" t="s">
        <v>597</v>
      </c>
      <c r="B458" s="18">
        <v>70.0</v>
      </c>
      <c r="C458" s="19" t="str">
        <f t="shared" si="2"/>
        <v>PASS</v>
      </c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15" t="s">
        <v>598</v>
      </c>
      <c r="B459" s="15">
        <v>70.0</v>
      </c>
      <c r="C459" s="16" t="str">
        <f t="shared" si="2"/>
        <v>PASS</v>
      </c>
    </row>
    <row r="460">
      <c r="A460" s="15" t="s">
        <v>599</v>
      </c>
      <c r="B460" s="15">
        <v>74.0</v>
      </c>
      <c r="C460" s="16" t="str">
        <f t="shared" si="2"/>
        <v>PASS</v>
      </c>
    </row>
    <row r="461">
      <c r="A461" s="15" t="s">
        <v>600</v>
      </c>
      <c r="B461" s="15">
        <v>70.0</v>
      </c>
      <c r="C461" s="16" t="str">
        <f t="shared" si="2"/>
        <v>PASS</v>
      </c>
    </row>
    <row r="462">
      <c r="A462" s="15" t="s">
        <v>601</v>
      </c>
      <c r="B462" s="15">
        <v>70.0</v>
      </c>
      <c r="C462" s="16" t="str">
        <f t="shared" si="2"/>
        <v>PASS</v>
      </c>
    </row>
    <row r="463">
      <c r="A463" s="15" t="s">
        <v>602</v>
      </c>
      <c r="B463" s="15">
        <v>87.0</v>
      </c>
      <c r="C463" s="16" t="str">
        <f t="shared" si="2"/>
        <v>PASS</v>
      </c>
    </row>
    <row r="464">
      <c r="A464" s="15" t="s">
        <v>603</v>
      </c>
      <c r="B464" s="15">
        <v>71.0</v>
      </c>
      <c r="C464" s="16" t="str">
        <f t="shared" si="2"/>
        <v>PASS</v>
      </c>
    </row>
    <row r="465">
      <c r="A465" s="15" t="s">
        <v>604</v>
      </c>
      <c r="B465" s="15">
        <v>70.0</v>
      </c>
      <c r="C465" s="16" t="str">
        <f t="shared" si="2"/>
        <v>PASS</v>
      </c>
    </row>
    <row r="466">
      <c r="A466" s="15" t="s">
        <v>605</v>
      </c>
      <c r="B466" s="15">
        <v>70.0</v>
      </c>
      <c r="C466" s="16" t="str">
        <f t="shared" si="2"/>
        <v>PASS</v>
      </c>
    </row>
    <row r="467">
      <c r="A467" s="15" t="s">
        <v>606</v>
      </c>
      <c r="B467" s="15">
        <v>77.0</v>
      </c>
      <c r="C467" s="16" t="str">
        <f t="shared" si="2"/>
        <v>PASS</v>
      </c>
    </row>
    <row r="468">
      <c r="A468" s="15" t="s">
        <v>607</v>
      </c>
      <c r="B468" s="15">
        <v>62.0</v>
      </c>
      <c r="C468" s="16" t="str">
        <f t="shared" si="2"/>
        <v>FAIL</v>
      </c>
    </row>
    <row r="469">
      <c r="A469" s="15" t="s">
        <v>608</v>
      </c>
      <c r="B469" s="15">
        <v>70.0</v>
      </c>
      <c r="C469" s="16" t="str">
        <f t="shared" si="2"/>
        <v>PASS</v>
      </c>
    </row>
    <row r="470">
      <c r="A470" s="15" t="s">
        <v>609</v>
      </c>
      <c r="B470" s="15">
        <v>15.0</v>
      </c>
      <c r="C470" s="16" t="str">
        <f t="shared" si="2"/>
        <v>FAIL</v>
      </c>
    </row>
    <row r="471">
      <c r="A471" s="15" t="s">
        <v>610</v>
      </c>
      <c r="B471" s="15">
        <v>65.0</v>
      </c>
      <c r="C471" s="16" t="str">
        <f t="shared" si="2"/>
        <v>FAIL</v>
      </c>
    </row>
    <row r="472">
      <c r="A472" s="15" t="s">
        <v>611</v>
      </c>
      <c r="B472" s="15">
        <v>70.0</v>
      </c>
      <c r="C472" s="16" t="str">
        <f t="shared" si="2"/>
        <v>PASS</v>
      </c>
    </row>
    <row r="473">
      <c r="A473" s="15" t="s">
        <v>612</v>
      </c>
      <c r="B473" s="15">
        <v>46.0</v>
      </c>
      <c r="C473" s="16" t="str">
        <f t="shared" si="2"/>
        <v>FAIL</v>
      </c>
    </row>
    <row r="474">
      <c r="A474" s="15" t="s">
        <v>613</v>
      </c>
      <c r="B474" s="15">
        <v>71.0</v>
      </c>
      <c r="C474" s="16" t="str">
        <f t="shared" si="2"/>
        <v>PASS</v>
      </c>
    </row>
    <row r="475">
      <c r="A475" s="15" t="s">
        <v>614</v>
      </c>
      <c r="B475" s="15">
        <v>48.0</v>
      </c>
      <c r="C475" s="16" t="str">
        <f t="shared" si="2"/>
        <v>FAIL</v>
      </c>
    </row>
    <row r="476">
      <c r="A476" s="15" t="s">
        <v>615</v>
      </c>
      <c r="B476" s="15">
        <v>74.0</v>
      </c>
      <c r="C476" s="16" t="str">
        <f t="shared" si="2"/>
        <v>PASS</v>
      </c>
    </row>
    <row r="477">
      <c r="A477" s="15" t="s">
        <v>616</v>
      </c>
      <c r="B477" s="15">
        <v>70.0</v>
      </c>
      <c r="C477" s="16" t="str">
        <f t="shared" si="2"/>
        <v>PASS</v>
      </c>
    </row>
    <row r="478">
      <c r="A478" s="15" t="s">
        <v>617</v>
      </c>
      <c r="B478" s="15">
        <v>70.0</v>
      </c>
      <c r="C478" s="16" t="str">
        <f t="shared" si="2"/>
        <v>PASS</v>
      </c>
    </row>
    <row r="479">
      <c r="A479" s="15" t="s">
        <v>618</v>
      </c>
      <c r="B479" s="15">
        <v>0.0</v>
      </c>
      <c r="C479" s="16" t="str">
        <f t="shared" si="2"/>
        <v>FAIL</v>
      </c>
    </row>
    <row r="480">
      <c r="A480" s="15" t="s">
        <v>619</v>
      </c>
      <c r="B480" s="15">
        <v>56.0</v>
      </c>
      <c r="C480" s="16" t="str">
        <f t="shared" si="2"/>
        <v>FAIL</v>
      </c>
    </row>
    <row r="481">
      <c r="A481" s="15" t="s">
        <v>620</v>
      </c>
      <c r="B481" s="15">
        <v>70.0</v>
      </c>
      <c r="C481" s="16" t="str">
        <f t="shared" si="2"/>
        <v>PASS</v>
      </c>
    </row>
    <row r="482">
      <c r="A482" s="15" t="s">
        <v>621</v>
      </c>
      <c r="B482" s="15">
        <v>0.0</v>
      </c>
      <c r="C482" s="16" t="str">
        <f t="shared" si="2"/>
        <v>FAIL</v>
      </c>
    </row>
    <row r="483">
      <c r="A483" s="15" t="s">
        <v>622</v>
      </c>
      <c r="B483" s="15">
        <v>70.0</v>
      </c>
      <c r="C483" s="16" t="str">
        <f t="shared" si="2"/>
        <v>PASS</v>
      </c>
    </row>
    <row r="484">
      <c r="A484" s="15" t="s">
        <v>623</v>
      </c>
      <c r="B484" s="15">
        <v>62.0</v>
      </c>
      <c r="C484" s="16" t="str">
        <f t="shared" si="2"/>
        <v>FAIL</v>
      </c>
    </row>
    <row r="485">
      <c r="A485" s="15" t="s">
        <v>624</v>
      </c>
      <c r="B485" s="15">
        <v>70.0</v>
      </c>
      <c r="C485" s="16" t="str">
        <f t="shared" si="2"/>
        <v>PASS</v>
      </c>
    </row>
    <row r="486">
      <c r="A486" s="15" t="s">
        <v>625</v>
      </c>
      <c r="B486" s="15">
        <v>70.0</v>
      </c>
      <c r="C486" s="16" t="str">
        <f t="shared" si="2"/>
        <v>PASS</v>
      </c>
    </row>
    <row r="487">
      <c r="A487" s="15" t="s">
        <v>626</v>
      </c>
      <c r="B487" s="15">
        <v>34.0</v>
      </c>
      <c r="C487" s="16" t="str">
        <f t="shared" si="2"/>
        <v>FAIL</v>
      </c>
    </row>
    <row r="488">
      <c r="A488" s="15" t="s">
        <v>627</v>
      </c>
      <c r="B488" s="15">
        <v>19.0</v>
      </c>
      <c r="C488" s="16" t="str">
        <f t="shared" si="2"/>
        <v>FAIL</v>
      </c>
    </row>
    <row r="489">
      <c r="A489" s="15" t="s">
        <v>628</v>
      </c>
      <c r="B489" s="15">
        <v>70.0</v>
      </c>
      <c r="C489" s="16" t="str">
        <f t="shared" si="2"/>
        <v>PASS</v>
      </c>
    </row>
    <row r="490">
      <c r="A490" s="15" t="s">
        <v>629</v>
      </c>
      <c r="B490" s="15">
        <v>74.0</v>
      </c>
      <c r="C490" s="16" t="str">
        <f t="shared" si="2"/>
        <v>PASS</v>
      </c>
    </row>
    <row r="491">
      <c r="A491" s="15" t="s">
        <v>630</v>
      </c>
      <c r="B491" s="15">
        <v>80.0</v>
      </c>
      <c r="C491" s="16" t="str">
        <f t="shared" si="2"/>
        <v>PASS</v>
      </c>
    </row>
    <row r="492">
      <c r="A492" s="15" t="s">
        <v>631</v>
      </c>
      <c r="B492" s="15">
        <v>51.0</v>
      </c>
      <c r="C492" s="16" t="str">
        <f t="shared" si="2"/>
        <v>FAIL</v>
      </c>
    </row>
    <row r="493">
      <c r="A493" s="15" t="s">
        <v>632</v>
      </c>
      <c r="B493" s="15">
        <v>0.0</v>
      </c>
      <c r="C493" s="16" t="str">
        <f t="shared" si="2"/>
        <v>FAIL</v>
      </c>
    </row>
    <row r="494">
      <c r="A494" s="15" t="s">
        <v>633</v>
      </c>
      <c r="B494" s="15">
        <v>38.0</v>
      </c>
      <c r="C494" s="16" t="str">
        <f t="shared" si="2"/>
        <v>FAIL</v>
      </c>
    </row>
    <row r="495">
      <c r="A495" s="15" t="s">
        <v>634</v>
      </c>
      <c r="B495" s="15">
        <v>46.0</v>
      </c>
      <c r="C495" s="16" t="str">
        <f t="shared" si="2"/>
        <v>FAIL</v>
      </c>
    </row>
    <row r="496">
      <c r="A496" s="15" t="s">
        <v>635</v>
      </c>
      <c r="B496" s="15">
        <v>70.0</v>
      </c>
      <c r="C496" s="16" t="str">
        <f t="shared" si="2"/>
        <v>PASS</v>
      </c>
    </row>
    <row r="497">
      <c r="A497" s="15" t="s">
        <v>636</v>
      </c>
      <c r="B497" s="15">
        <v>70.0</v>
      </c>
      <c r="C497" s="16" t="str">
        <f t="shared" si="2"/>
        <v>PASS</v>
      </c>
    </row>
    <row r="498">
      <c r="A498" s="15" t="s">
        <v>637</v>
      </c>
      <c r="B498" s="15">
        <v>70.0</v>
      </c>
      <c r="C498" s="16" t="str">
        <f t="shared" si="2"/>
        <v>PASS</v>
      </c>
    </row>
    <row r="499">
      <c r="A499" s="15" t="s">
        <v>638</v>
      </c>
      <c r="B499" s="15">
        <v>70.0</v>
      </c>
      <c r="C499" s="16" t="str">
        <f t="shared" si="2"/>
        <v>PASS</v>
      </c>
    </row>
    <row r="500">
      <c r="A500" s="15" t="s">
        <v>639</v>
      </c>
      <c r="B500" s="15">
        <v>70.0</v>
      </c>
      <c r="C500" s="16" t="str">
        <f t="shared" si="2"/>
        <v>PASS</v>
      </c>
    </row>
    <row r="501">
      <c r="A501" s="15" t="s">
        <v>640</v>
      </c>
      <c r="B501" s="15">
        <v>70.0</v>
      </c>
      <c r="C501" s="16" t="str">
        <f t="shared" si="2"/>
        <v>PASS</v>
      </c>
    </row>
    <row r="502">
      <c r="A502" s="15" t="s">
        <v>641</v>
      </c>
      <c r="B502" s="15">
        <v>70.0</v>
      </c>
      <c r="C502" s="16" t="str">
        <f t="shared" si="2"/>
        <v>PASS</v>
      </c>
    </row>
    <row r="503">
      <c r="A503" s="15" t="s">
        <v>642</v>
      </c>
      <c r="B503" s="15">
        <v>70.0</v>
      </c>
      <c r="C503" s="16" t="str">
        <f t="shared" si="2"/>
        <v>PASS</v>
      </c>
    </row>
    <row r="504">
      <c r="A504" s="15" t="s">
        <v>643</v>
      </c>
      <c r="B504" s="15">
        <v>70.0</v>
      </c>
      <c r="C504" s="16" t="str">
        <f t="shared" si="2"/>
        <v>PASS</v>
      </c>
    </row>
    <row r="505">
      <c r="A505" s="15" t="s">
        <v>644</v>
      </c>
      <c r="B505" s="15">
        <v>70.0</v>
      </c>
      <c r="C505" s="16" t="str">
        <f t="shared" si="2"/>
        <v>PASS</v>
      </c>
    </row>
    <row r="506">
      <c r="A506" s="15" t="s">
        <v>645</v>
      </c>
      <c r="B506" s="15">
        <v>53.0</v>
      </c>
      <c r="C506" s="16" t="str">
        <f t="shared" si="2"/>
        <v>FAIL</v>
      </c>
    </row>
    <row r="507">
      <c r="A507" s="15" t="s">
        <v>646</v>
      </c>
      <c r="B507" s="15">
        <v>70.0</v>
      </c>
      <c r="C507" s="16" t="str">
        <f t="shared" si="2"/>
        <v>PASS</v>
      </c>
    </row>
    <row r="508">
      <c r="A508" s="15" t="s">
        <v>647</v>
      </c>
      <c r="B508" s="15">
        <v>32.0</v>
      </c>
      <c r="C508" s="16" t="str">
        <f t="shared" si="2"/>
        <v>FAIL</v>
      </c>
    </row>
    <row r="509">
      <c r="A509" s="15" t="s">
        <v>648</v>
      </c>
      <c r="B509" s="15">
        <v>71.0</v>
      </c>
      <c r="C509" s="16" t="str">
        <f t="shared" si="2"/>
        <v>PASS</v>
      </c>
    </row>
    <row r="510">
      <c r="A510" s="15" t="s">
        <v>649</v>
      </c>
      <c r="B510" s="15">
        <v>70.0</v>
      </c>
      <c r="C510" s="16" t="str">
        <f t="shared" si="2"/>
        <v>PASS</v>
      </c>
    </row>
    <row r="511">
      <c r="A511" s="15" t="s">
        <v>650</v>
      </c>
      <c r="B511" s="15">
        <v>70.0</v>
      </c>
      <c r="C511" s="16" t="str">
        <f t="shared" si="2"/>
        <v>PASS</v>
      </c>
    </row>
    <row r="512">
      <c r="A512" s="15" t="s">
        <v>651</v>
      </c>
      <c r="B512" s="15">
        <v>70.0</v>
      </c>
      <c r="C512" s="16" t="str">
        <f t="shared" si="2"/>
        <v>PASS</v>
      </c>
    </row>
    <row r="513">
      <c r="A513" s="15" t="s">
        <v>652</v>
      </c>
      <c r="B513" s="15">
        <v>53.0</v>
      </c>
      <c r="C513" s="16" t="str">
        <f t="shared" si="2"/>
        <v>FAIL</v>
      </c>
    </row>
    <row r="514">
      <c r="A514" s="15" t="s">
        <v>653</v>
      </c>
      <c r="B514" s="15">
        <v>70.0</v>
      </c>
      <c r="C514" s="16" t="str">
        <f t="shared" si="2"/>
        <v>PASS</v>
      </c>
    </row>
    <row r="515">
      <c r="A515" s="15" t="s">
        <v>654</v>
      </c>
      <c r="B515" s="15">
        <v>40.0</v>
      </c>
      <c r="C515" s="16" t="str">
        <f t="shared" si="2"/>
        <v>FAIL</v>
      </c>
    </row>
    <row r="516">
      <c r="A516" s="15" t="s">
        <v>655</v>
      </c>
      <c r="B516" s="15">
        <v>56.0</v>
      </c>
      <c r="C516" s="16" t="str">
        <f t="shared" si="2"/>
        <v>FAIL</v>
      </c>
    </row>
    <row r="517">
      <c r="A517" s="15" t="s">
        <v>654</v>
      </c>
      <c r="B517" s="15">
        <v>42.0</v>
      </c>
      <c r="C517" s="16" t="str">
        <f t="shared" si="2"/>
        <v>FAIL</v>
      </c>
    </row>
    <row r="518">
      <c r="A518" s="15" t="s">
        <v>656</v>
      </c>
      <c r="B518" s="15">
        <v>0.0</v>
      </c>
      <c r="C518" s="16" t="str">
        <f t="shared" si="2"/>
        <v>FAIL</v>
      </c>
    </row>
    <row r="519">
      <c r="A519" s="15" t="s">
        <v>657</v>
      </c>
      <c r="B519" s="15">
        <v>58.0</v>
      </c>
      <c r="C519" s="16" t="str">
        <f t="shared" si="2"/>
        <v>FAIL</v>
      </c>
    </row>
    <row r="520">
      <c r="A520" s="15" t="s">
        <v>658</v>
      </c>
      <c r="B520" s="15">
        <v>45.0</v>
      </c>
      <c r="C520" s="16" t="str">
        <f t="shared" si="2"/>
        <v>FAIL</v>
      </c>
    </row>
    <row r="521">
      <c r="A521" s="15" t="s">
        <v>642</v>
      </c>
      <c r="B521" s="15">
        <v>51.0</v>
      </c>
      <c r="C521" s="16" t="str">
        <f t="shared" si="2"/>
        <v>FAIL</v>
      </c>
    </row>
    <row r="522">
      <c r="A522" s="15" t="s">
        <v>659</v>
      </c>
      <c r="B522" s="15">
        <v>5.0</v>
      </c>
      <c r="C522" s="16" t="str">
        <f t="shared" si="2"/>
        <v>FAIL</v>
      </c>
    </row>
    <row r="523">
      <c r="A523" s="15" t="s">
        <v>660</v>
      </c>
      <c r="B523" s="15">
        <v>73.0</v>
      </c>
      <c r="C523" s="16" t="str">
        <f t="shared" si="2"/>
        <v>PASS</v>
      </c>
    </row>
    <row r="524">
      <c r="A524" s="15" t="s">
        <v>661</v>
      </c>
      <c r="B524" s="15">
        <v>71.0</v>
      </c>
      <c r="C524" s="16" t="str">
        <f t="shared" si="2"/>
        <v>PASS</v>
      </c>
    </row>
    <row r="525">
      <c r="A525" s="15" t="s">
        <v>662</v>
      </c>
      <c r="B525" s="15">
        <v>70.0</v>
      </c>
      <c r="C525" s="16" t="str">
        <f t="shared" si="2"/>
        <v>PASS</v>
      </c>
    </row>
    <row r="526">
      <c r="A526" s="15" t="s">
        <v>663</v>
      </c>
      <c r="B526" s="15">
        <v>70.0</v>
      </c>
      <c r="C526" s="16" t="str">
        <f t="shared" si="2"/>
        <v>PASS</v>
      </c>
    </row>
    <row r="527">
      <c r="A527" s="15" t="s">
        <v>664</v>
      </c>
      <c r="B527" s="15">
        <v>70.0</v>
      </c>
      <c r="C527" s="16" t="str">
        <f t="shared" si="2"/>
        <v>PASS</v>
      </c>
    </row>
    <row r="528">
      <c r="A528" s="15" t="s">
        <v>665</v>
      </c>
      <c r="B528" s="15">
        <v>70.0</v>
      </c>
      <c r="C528" s="16" t="str">
        <f t="shared" si="2"/>
        <v>PASS</v>
      </c>
    </row>
    <row r="529">
      <c r="A529" s="15" t="s">
        <v>666</v>
      </c>
      <c r="B529" s="15">
        <v>70.0</v>
      </c>
      <c r="C529" s="16" t="str">
        <f t="shared" si="2"/>
        <v>PASS</v>
      </c>
    </row>
    <row r="530">
      <c r="A530" s="15" t="s">
        <v>667</v>
      </c>
      <c r="B530" s="15">
        <v>70.0</v>
      </c>
      <c r="C530" s="16" t="str">
        <f t="shared" si="2"/>
        <v>PASS</v>
      </c>
    </row>
    <row r="531">
      <c r="A531" s="15" t="s">
        <v>668</v>
      </c>
      <c r="B531" s="15">
        <v>70.0</v>
      </c>
      <c r="C531" s="16" t="str">
        <f t="shared" si="2"/>
        <v>PASS</v>
      </c>
    </row>
    <row r="532">
      <c r="A532" s="15" t="s">
        <v>669</v>
      </c>
      <c r="B532" s="15">
        <v>70.0</v>
      </c>
      <c r="C532" s="16" t="str">
        <f t="shared" si="2"/>
        <v>PASS</v>
      </c>
    </row>
    <row r="533">
      <c r="A533" s="15" t="s">
        <v>670</v>
      </c>
      <c r="B533" s="15">
        <v>70.0</v>
      </c>
      <c r="C533" s="16" t="str">
        <f t="shared" si="2"/>
        <v>PASS</v>
      </c>
    </row>
    <row r="534">
      <c r="A534" s="15" t="s">
        <v>671</v>
      </c>
      <c r="B534" s="15">
        <v>70.0</v>
      </c>
      <c r="C534" s="16" t="str">
        <f t="shared" si="2"/>
        <v>PASS</v>
      </c>
    </row>
    <row r="535">
      <c r="A535" s="15" t="s">
        <v>672</v>
      </c>
      <c r="B535" s="15">
        <v>88.0</v>
      </c>
      <c r="C535" s="16" t="str">
        <f t="shared" si="2"/>
        <v>PASS</v>
      </c>
    </row>
    <row r="536">
      <c r="A536" s="15" t="s">
        <v>673</v>
      </c>
      <c r="B536" s="15">
        <v>70.0</v>
      </c>
      <c r="C536" s="16" t="str">
        <f t="shared" si="2"/>
        <v>PASS</v>
      </c>
    </row>
    <row r="537">
      <c r="A537" s="15" t="s">
        <v>674</v>
      </c>
      <c r="B537" s="15">
        <v>77.0</v>
      </c>
      <c r="C537" s="16" t="str">
        <f t="shared" si="2"/>
        <v>PASS</v>
      </c>
    </row>
    <row r="538">
      <c r="A538" s="15" t="s">
        <v>675</v>
      </c>
      <c r="B538" s="15">
        <v>70.0</v>
      </c>
      <c r="C538" s="16" t="str">
        <f t="shared" si="2"/>
        <v>PASS</v>
      </c>
    </row>
    <row r="539">
      <c r="A539" s="15" t="s">
        <v>676</v>
      </c>
      <c r="B539" s="15">
        <v>70.0</v>
      </c>
      <c r="C539" s="16" t="str">
        <f t="shared" si="2"/>
        <v>PASS</v>
      </c>
    </row>
    <row r="540">
      <c r="A540" s="15" t="s">
        <v>677</v>
      </c>
      <c r="B540" s="15">
        <v>70.0</v>
      </c>
      <c r="C540" s="16" t="str">
        <f t="shared" si="2"/>
        <v>PASS</v>
      </c>
    </row>
    <row r="541">
      <c r="A541" s="15" t="s">
        <v>678</v>
      </c>
      <c r="B541" s="15">
        <v>6.0</v>
      </c>
      <c r="C541" s="16" t="str">
        <f t="shared" si="2"/>
        <v>FAIL</v>
      </c>
    </row>
    <row r="542">
      <c r="A542" s="15" t="s">
        <v>679</v>
      </c>
      <c r="B542" s="15">
        <v>78.0</v>
      </c>
      <c r="C542" s="16" t="str">
        <f t="shared" si="2"/>
        <v>PASS</v>
      </c>
    </row>
    <row r="543">
      <c r="A543" s="15" t="s">
        <v>680</v>
      </c>
      <c r="B543" s="15">
        <v>70.0</v>
      </c>
      <c r="C543" s="16" t="str">
        <f t="shared" si="2"/>
        <v>PASS</v>
      </c>
    </row>
    <row r="544">
      <c r="A544" s="15" t="s">
        <v>681</v>
      </c>
      <c r="B544" s="15">
        <v>70.0</v>
      </c>
      <c r="C544" s="16" t="str">
        <f t="shared" si="2"/>
        <v>PASS</v>
      </c>
    </row>
    <row r="545">
      <c r="A545" s="15" t="s">
        <v>682</v>
      </c>
      <c r="B545" s="15">
        <v>70.0</v>
      </c>
      <c r="C545" s="16" t="str">
        <f t="shared" si="2"/>
        <v>PASS</v>
      </c>
    </row>
    <row r="546">
      <c r="A546" s="15" t="s">
        <v>683</v>
      </c>
      <c r="B546" s="15">
        <v>70.0</v>
      </c>
      <c r="C546" s="16" t="str">
        <f t="shared" si="2"/>
        <v>PASS</v>
      </c>
    </row>
    <row r="547">
      <c r="A547" s="15" t="s">
        <v>684</v>
      </c>
      <c r="B547" s="15">
        <v>70.0</v>
      </c>
      <c r="C547" s="16" t="str">
        <f t="shared" si="2"/>
        <v>PASS</v>
      </c>
    </row>
    <row r="548">
      <c r="A548" s="15" t="s">
        <v>685</v>
      </c>
      <c r="B548" s="15">
        <v>76.0</v>
      </c>
      <c r="C548" s="16" t="str">
        <f t="shared" si="2"/>
        <v>PASS</v>
      </c>
    </row>
    <row r="549">
      <c r="A549" s="15" t="s">
        <v>686</v>
      </c>
      <c r="B549" s="15">
        <v>76.0</v>
      </c>
      <c r="C549" s="16" t="str">
        <f t="shared" si="2"/>
        <v>PASS</v>
      </c>
    </row>
    <row r="550">
      <c r="A550" s="15" t="s">
        <v>687</v>
      </c>
      <c r="B550" s="15">
        <v>70.0</v>
      </c>
      <c r="C550" s="16" t="str">
        <f t="shared" si="2"/>
        <v>PASS</v>
      </c>
    </row>
    <row r="551">
      <c r="A551" s="15" t="s">
        <v>688</v>
      </c>
      <c r="B551" s="15">
        <v>70.0</v>
      </c>
      <c r="C551" s="16" t="str">
        <f t="shared" si="2"/>
        <v>PASS</v>
      </c>
    </row>
    <row r="552">
      <c r="A552" s="15" t="s">
        <v>689</v>
      </c>
      <c r="B552" s="15">
        <v>70.0</v>
      </c>
      <c r="C552" s="16" t="str">
        <f t="shared" si="2"/>
        <v>PASS</v>
      </c>
    </row>
    <row r="553">
      <c r="A553" s="15" t="s">
        <v>690</v>
      </c>
      <c r="B553" s="15">
        <v>70.0</v>
      </c>
      <c r="C553" s="16" t="str">
        <f t="shared" si="2"/>
        <v>PASS</v>
      </c>
    </row>
    <row r="554">
      <c r="A554" s="15" t="s">
        <v>691</v>
      </c>
      <c r="B554" s="15">
        <v>26.0</v>
      </c>
      <c r="C554" s="16" t="str">
        <f t="shared" si="2"/>
        <v>FAIL</v>
      </c>
    </row>
    <row r="555">
      <c r="A555" s="15" t="s">
        <v>692</v>
      </c>
      <c r="B555" s="15">
        <v>70.0</v>
      </c>
      <c r="C555" s="16" t="str">
        <f t="shared" si="2"/>
        <v>PASS</v>
      </c>
    </row>
    <row r="556">
      <c r="A556" s="15" t="s">
        <v>693</v>
      </c>
      <c r="B556" s="15">
        <v>46.0</v>
      </c>
      <c r="C556" s="16" t="str">
        <f t="shared" si="2"/>
        <v>FAIL</v>
      </c>
    </row>
    <row r="557">
      <c r="A557" s="15" t="s">
        <v>694</v>
      </c>
      <c r="B557" s="15">
        <v>70.0</v>
      </c>
      <c r="C557" s="16" t="str">
        <f t="shared" si="2"/>
        <v>PASS</v>
      </c>
    </row>
    <row r="558">
      <c r="A558" s="15" t="s">
        <v>695</v>
      </c>
      <c r="B558" s="15">
        <v>70.0</v>
      </c>
      <c r="C558" s="16" t="str">
        <f t="shared" si="2"/>
        <v>PASS</v>
      </c>
    </row>
    <row r="559">
      <c r="A559" s="15" t="s">
        <v>696</v>
      </c>
      <c r="B559" s="15">
        <v>70.0</v>
      </c>
      <c r="C559" s="16" t="str">
        <f t="shared" si="2"/>
        <v>PASS</v>
      </c>
    </row>
    <row r="560">
      <c r="A560" s="15" t="s">
        <v>697</v>
      </c>
      <c r="B560" s="15">
        <v>70.0</v>
      </c>
      <c r="C560" s="16" t="str">
        <f t="shared" si="2"/>
        <v>PASS</v>
      </c>
    </row>
    <row r="561">
      <c r="A561" s="15" t="s">
        <v>698</v>
      </c>
      <c r="B561" s="15">
        <v>70.0</v>
      </c>
      <c r="C561" s="16" t="str">
        <f t="shared" si="2"/>
        <v>PASS</v>
      </c>
    </row>
    <row r="562">
      <c r="A562" s="15" t="s">
        <v>699</v>
      </c>
      <c r="B562" s="15">
        <v>76.0</v>
      </c>
      <c r="C562" s="16" t="str">
        <f t="shared" si="2"/>
        <v>PASS</v>
      </c>
    </row>
    <row r="563">
      <c r="A563" s="15" t="s">
        <v>700</v>
      </c>
      <c r="B563" s="15">
        <v>70.0</v>
      </c>
      <c r="C563" s="16" t="str">
        <f t="shared" si="2"/>
        <v>PASS</v>
      </c>
    </row>
    <row r="564">
      <c r="A564" s="15" t="s">
        <v>701</v>
      </c>
      <c r="B564" s="15">
        <v>83.0</v>
      </c>
      <c r="C564" s="16" t="str">
        <f t="shared" si="2"/>
        <v>PASS</v>
      </c>
    </row>
    <row r="565">
      <c r="A565" s="15" t="s">
        <v>702</v>
      </c>
      <c r="B565" s="15">
        <v>8.5</v>
      </c>
      <c r="C565" s="16" t="str">
        <f t="shared" si="2"/>
        <v>FAIL</v>
      </c>
    </row>
    <row r="566">
      <c r="A566" s="15" t="s">
        <v>703</v>
      </c>
      <c r="B566" s="15">
        <v>70.0</v>
      </c>
      <c r="C566" s="16" t="str">
        <f t="shared" si="2"/>
        <v>PASS</v>
      </c>
    </row>
    <row r="567">
      <c r="A567" s="15" t="s">
        <v>704</v>
      </c>
      <c r="B567" s="15">
        <v>70.0</v>
      </c>
      <c r="C567" s="16" t="str">
        <f t="shared" si="2"/>
        <v>PASS</v>
      </c>
    </row>
    <row r="568">
      <c r="A568" s="18" t="s">
        <v>705</v>
      </c>
      <c r="B568" s="18">
        <v>70.0</v>
      </c>
      <c r="C568" s="19" t="str">
        <f t="shared" si="2"/>
        <v>PASS</v>
      </c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15" t="s">
        <v>706</v>
      </c>
      <c r="B569" s="15">
        <v>71.0</v>
      </c>
      <c r="C569" s="16" t="str">
        <f t="shared" si="2"/>
        <v>PASS</v>
      </c>
    </row>
    <row r="570">
      <c r="A570" s="15" t="s">
        <v>707</v>
      </c>
      <c r="B570" s="15">
        <v>73.0</v>
      </c>
      <c r="C570" s="16" t="str">
        <f t="shared" si="2"/>
        <v>PASS</v>
      </c>
    </row>
    <row r="571">
      <c r="A571" s="15" t="s">
        <v>708</v>
      </c>
      <c r="B571" s="15">
        <v>70.0</v>
      </c>
      <c r="C571" s="16" t="str">
        <f t="shared" si="2"/>
        <v>PASS</v>
      </c>
    </row>
    <row r="572">
      <c r="A572" s="15" t="s">
        <v>709</v>
      </c>
      <c r="B572" s="15">
        <v>88.0</v>
      </c>
      <c r="C572" s="16" t="str">
        <f t="shared" si="2"/>
        <v>PASS</v>
      </c>
    </row>
    <row r="573">
      <c r="A573" s="15" t="s">
        <v>710</v>
      </c>
      <c r="B573" s="15">
        <v>70.0</v>
      </c>
      <c r="C573" s="16" t="str">
        <f t="shared" si="2"/>
        <v>PASS</v>
      </c>
    </row>
    <row r="574">
      <c r="A574" s="15" t="s">
        <v>711</v>
      </c>
      <c r="B574" s="15">
        <v>6.0</v>
      </c>
      <c r="C574" s="16" t="str">
        <f t="shared" si="2"/>
        <v>FAIL</v>
      </c>
    </row>
    <row r="575">
      <c r="A575" s="15" t="s">
        <v>712</v>
      </c>
      <c r="B575" s="15">
        <v>70.0</v>
      </c>
      <c r="C575" s="16" t="str">
        <f t="shared" si="2"/>
        <v>PASS</v>
      </c>
    </row>
    <row r="576">
      <c r="A576" s="18" t="s">
        <v>713</v>
      </c>
      <c r="B576" s="18">
        <v>70.0</v>
      </c>
      <c r="C576" s="19" t="str">
        <f t="shared" si="2"/>
        <v>PASS</v>
      </c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15" t="s">
        <v>714</v>
      </c>
      <c r="B577" s="15">
        <v>70.0</v>
      </c>
      <c r="C577" s="16" t="str">
        <f t="shared" si="2"/>
        <v>PASS</v>
      </c>
    </row>
    <row r="578">
      <c r="A578" s="15" t="s">
        <v>715</v>
      </c>
      <c r="B578" s="15">
        <v>76.0</v>
      </c>
      <c r="C578" s="16" t="str">
        <f t="shared" si="2"/>
        <v>PASS</v>
      </c>
    </row>
    <row r="579">
      <c r="A579" s="15" t="s">
        <v>716</v>
      </c>
      <c r="B579" s="15">
        <v>70.0</v>
      </c>
      <c r="C579" s="16" t="str">
        <f t="shared" si="2"/>
        <v>PASS</v>
      </c>
    </row>
    <row r="580">
      <c r="A580" s="15" t="s">
        <v>717</v>
      </c>
      <c r="B580" s="15">
        <v>70.0</v>
      </c>
      <c r="C580" s="16" t="str">
        <f t="shared" si="2"/>
        <v>PASS</v>
      </c>
    </row>
    <row r="581">
      <c r="A581" s="15" t="s">
        <v>718</v>
      </c>
      <c r="B581" s="15">
        <v>70.0</v>
      </c>
      <c r="C581" s="16" t="str">
        <f t="shared" si="2"/>
        <v>PASS</v>
      </c>
    </row>
    <row r="582">
      <c r="A582" s="15" t="s">
        <v>719</v>
      </c>
      <c r="B582" s="15">
        <v>70.0</v>
      </c>
      <c r="C582" s="16" t="str">
        <f t="shared" si="2"/>
        <v>PASS</v>
      </c>
    </row>
    <row r="583">
      <c r="A583" s="15" t="s">
        <v>720</v>
      </c>
      <c r="B583" s="15">
        <v>70.0</v>
      </c>
      <c r="C583" s="16" t="str">
        <f t="shared" si="2"/>
        <v>PASS</v>
      </c>
    </row>
    <row r="584">
      <c r="A584" s="15" t="s">
        <v>721</v>
      </c>
      <c r="B584" s="15">
        <v>70.0</v>
      </c>
      <c r="C584" s="16" t="str">
        <f t="shared" si="2"/>
        <v>PASS</v>
      </c>
    </row>
    <row r="585">
      <c r="A585" s="15" t="s">
        <v>722</v>
      </c>
      <c r="B585" s="15">
        <v>70.0</v>
      </c>
      <c r="C585" s="16" t="str">
        <f t="shared" si="2"/>
        <v>PASS</v>
      </c>
    </row>
    <row r="586">
      <c r="A586" s="15" t="s">
        <v>723</v>
      </c>
      <c r="B586" s="15">
        <v>5.0</v>
      </c>
      <c r="C586" s="16" t="str">
        <f t="shared" si="2"/>
        <v>FAIL</v>
      </c>
    </row>
    <row r="587">
      <c r="A587" s="15" t="s">
        <v>724</v>
      </c>
      <c r="B587" s="15">
        <v>70.0</v>
      </c>
      <c r="C587" s="16" t="str">
        <f t="shared" si="2"/>
        <v>PASS</v>
      </c>
    </row>
    <row r="588">
      <c r="A588" s="15" t="s">
        <v>725</v>
      </c>
      <c r="B588" s="15">
        <v>0.0</v>
      </c>
      <c r="C588" s="16" t="str">
        <f t="shared" si="2"/>
        <v>FAIL</v>
      </c>
    </row>
    <row r="589">
      <c r="A589" s="15" t="s">
        <v>726</v>
      </c>
      <c r="B589" s="15">
        <v>87.0</v>
      </c>
      <c r="C589" s="16" t="str">
        <f t="shared" si="2"/>
        <v>PASS</v>
      </c>
    </row>
    <row r="590">
      <c r="A590" s="15" t="s">
        <v>727</v>
      </c>
      <c r="B590" s="15">
        <v>20.0</v>
      </c>
      <c r="C590" s="16" t="str">
        <f t="shared" si="2"/>
        <v>FAIL</v>
      </c>
    </row>
    <row r="591">
      <c r="A591" s="15" t="s">
        <v>728</v>
      </c>
      <c r="B591" s="15">
        <v>70.0</v>
      </c>
      <c r="C591" s="16" t="str">
        <f t="shared" si="2"/>
        <v>PASS</v>
      </c>
    </row>
    <row r="592">
      <c r="A592" s="15" t="s">
        <v>729</v>
      </c>
      <c r="B592" s="15">
        <v>26.0</v>
      </c>
      <c r="C592" s="16" t="str">
        <f t="shared" si="2"/>
        <v>FAIL</v>
      </c>
    </row>
    <row r="593">
      <c r="A593" s="15" t="s">
        <v>730</v>
      </c>
      <c r="B593" s="15">
        <v>70.0</v>
      </c>
      <c r="C593" s="16" t="str">
        <f t="shared" si="2"/>
        <v>PASS</v>
      </c>
    </row>
    <row r="594">
      <c r="A594" s="15" t="s">
        <v>731</v>
      </c>
      <c r="B594" s="15">
        <v>79.0</v>
      </c>
      <c r="C594" s="16" t="str">
        <f t="shared" si="2"/>
        <v>PASS</v>
      </c>
    </row>
    <row r="595">
      <c r="A595" s="15" t="s">
        <v>732</v>
      </c>
      <c r="B595" s="15">
        <v>5.0</v>
      </c>
      <c r="C595" s="16" t="str">
        <f t="shared" si="2"/>
        <v>FAIL</v>
      </c>
    </row>
    <row r="596">
      <c r="A596" s="15" t="s">
        <v>733</v>
      </c>
      <c r="B596" s="15">
        <v>70.0</v>
      </c>
      <c r="C596" s="16" t="str">
        <f t="shared" si="2"/>
        <v>PASS</v>
      </c>
    </row>
    <row r="597">
      <c r="A597" s="15" t="s">
        <v>734</v>
      </c>
      <c r="B597" s="15">
        <v>70.0</v>
      </c>
      <c r="C597" s="16" t="str">
        <f t="shared" si="2"/>
        <v>PASS</v>
      </c>
    </row>
    <row r="598">
      <c r="A598" s="15" t="s">
        <v>735</v>
      </c>
      <c r="B598" s="15">
        <v>71.0</v>
      </c>
      <c r="C598" s="16" t="str">
        <f t="shared" si="2"/>
        <v>PASS</v>
      </c>
    </row>
    <row r="599">
      <c r="A599" s="15" t="s">
        <v>736</v>
      </c>
      <c r="B599" s="15">
        <v>81.0</v>
      </c>
      <c r="C599" s="16" t="str">
        <f t="shared" si="2"/>
        <v>PASS</v>
      </c>
    </row>
    <row r="600">
      <c r="A600" s="15" t="s">
        <v>737</v>
      </c>
      <c r="B600" s="15">
        <v>77.0</v>
      </c>
      <c r="C600" s="16" t="str">
        <f t="shared" si="2"/>
        <v>PASS</v>
      </c>
    </row>
    <row r="601">
      <c r="A601" s="15" t="s">
        <v>738</v>
      </c>
      <c r="B601" s="15">
        <v>77.0</v>
      </c>
      <c r="C601" s="16" t="str">
        <f t="shared" si="2"/>
        <v>PASS</v>
      </c>
    </row>
    <row r="602">
      <c r="A602" s="15" t="s">
        <v>739</v>
      </c>
      <c r="B602" s="15">
        <v>26.0</v>
      </c>
      <c r="C602" s="16" t="str">
        <f t="shared" si="2"/>
        <v>FAIL</v>
      </c>
    </row>
    <row r="603">
      <c r="A603" s="15" t="s">
        <v>740</v>
      </c>
      <c r="B603" s="15">
        <v>75.0</v>
      </c>
      <c r="C603" s="16" t="str">
        <f t="shared" si="2"/>
        <v>PASS</v>
      </c>
    </row>
    <row r="604">
      <c r="A604" s="15" t="s">
        <v>741</v>
      </c>
      <c r="B604" s="15">
        <v>80.0</v>
      </c>
      <c r="C604" s="16" t="str">
        <f t="shared" si="2"/>
        <v>PASS</v>
      </c>
    </row>
    <row r="605">
      <c r="A605" s="15" t="s">
        <v>742</v>
      </c>
      <c r="B605" s="15">
        <v>29.0</v>
      </c>
      <c r="C605" s="16" t="str">
        <f t="shared" si="2"/>
        <v>FAIL</v>
      </c>
    </row>
    <row r="606">
      <c r="A606" s="15" t="s">
        <v>743</v>
      </c>
      <c r="B606" s="15">
        <v>93.0</v>
      </c>
      <c r="C606" s="16" t="str">
        <f t="shared" si="2"/>
        <v>PASS</v>
      </c>
    </row>
    <row r="607">
      <c r="A607" s="15" t="s">
        <v>744</v>
      </c>
      <c r="B607" s="15">
        <v>59.0</v>
      </c>
      <c r="C607" s="16" t="str">
        <f t="shared" si="2"/>
        <v>FAIL</v>
      </c>
    </row>
    <row r="608">
      <c r="A608" s="15" t="s">
        <v>745</v>
      </c>
      <c r="B608" s="15">
        <v>73.0</v>
      </c>
      <c r="C608" s="16" t="str">
        <f t="shared" si="2"/>
        <v>PASS</v>
      </c>
    </row>
    <row r="609">
      <c r="A609" s="15" t="s">
        <v>746</v>
      </c>
      <c r="B609" s="15">
        <v>75.0</v>
      </c>
      <c r="C609" s="16" t="str">
        <f t="shared" si="2"/>
        <v>PASS</v>
      </c>
    </row>
    <row r="610">
      <c r="A610" s="15" t="s">
        <v>747</v>
      </c>
      <c r="B610" s="15">
        <v>71.0</v>
      </c>
      <c r="C610" s="16" t="str">
        <f t="shared" si="2"/>
        <v>PASS</v>
      </c>
    </row>
    <row r="611">
      <c r="A611" s="15" t="s">
        <v>748</v>
      </c>
      <c r="B611" s="15">
        <v>70.0</v>
      </c>
      <c r="C611" s="16" t="str">
        <f t="shared" si="2"/>
        <v>PASS</v>
      </c>
    </row>
    <row r="612">
      <c r="A612" s="15" t="s">
        <v>749</v>
      </c>
      <c r="B612" s="15">
        <v>65.0</v>
      </c>
      <c r="C612" s="16" t="str">
        <f t="shared" si="2"/>
        <v>FAIL</v>
      </c>
    </row>
    <row r="613">
      <c r="A613" s="15" t="s">
        <v>750</v>
      </c>
      <c r="B613" s="15">
        <v>77.0</v>
      </c>
      <c r="C613" s="16" t="str">
        <f t="shared" si="2"/>
        <v>PASS</v>
      </c>
    </row>
    <row r="614">
      <c r="A614" s="15" t="s">
        <v>751</v>
      </c>
      <c r="B614" s="15">
        <v>79.0</v>
      </c>
      <c r="C614" s="16" t="str">
        <f t="shared" si="2"/>
        <v>PASS</v>
      </c>
    </row>
    <row r="615">
      <c r="A615" s="15" t="s">
        <v>752</v>
      </c>
      <c r="B615" s="15">
        <v>87.0</v>
      </c>
      <c r="C615" s="16" t="str">
        <f t="shared" si="2"/>
        <v>PASS</v>
      </c>
    </row>
    <row r="616">
      <c r="A616" s="15" t="s">
        <v>753</v>
      </c>
      <c r="B616" s="15">
        <v>70.0</v>
      </c>
      <c r="C616" s="16" t="str">
        <f t="shared" si="2"/>
        <v>PASS</v>
      </c>
    </row>
    <row r="617">
      <c r="A617" s="15" t="s">
        <v>754</v>
      </c>
      <c r="B617" s="15">
        <v>78.0</v>
      </c>
      <c r="C617" s="16" t="str">
        <f t="shared" si="2"/>
        <v>PASS</v>
      </c>
    </row>
    <row r="618">
      <c r="A618" s="15" t="s">
        <v>755</v>
      </c>
      <c r="B618" s="15">
        <v>70.0</v>
      </c>
      <c r="C618" s="16" t="str">
        <f t="shared" si="2"/>
        <v>PASS</v>
      </c>
    </row>
    <row r="619">
      <c r="A619" s="15" t="s">
        <v>756</v>
      </c>
      <c r="B619" s="15">
        <v>71.0</v>
      </c>
      <c r="C619" s="16" t="str">
        <f t="shared" si="2"/>
        <v>PASS</v>
      </c>
    </row>
    <row r="620">
      <c r="A620" s="15" t="s">
        <v>757</v>
      </c>
      <c r="B620" s="15">
        <v>81.0</v>
      </c>
      <c r="C620" s="16" t="str">
        <f t="shared" si="2"/>
        <v>PASS</v>
      </c>
    </row>
    <row r="621">
      <c r="A621" s="15" t="s">
        <v>758</v>
      </c>
      <c r="B621" s="15">
        <v>12.0</v>
      </c>
      <c r="C621" s="16" t="str">
        <f t="shared" si="2"/>
        <v>FAIL</v>
      </c>
    </row>
    <row r="622">
      <c r="A622" s="15" t="s">
        <v>759</v>
      </c>
      <c r="B622" s="15">
        <v>70.0</v>
      </c>
      <c r="C622" s="16" t="str">
        <f t="shared" si="2"/>
        <v>PASS</v>
      </c>
    </row>
    <row r="623">
      <c r="A623" s="15" t="s">
        <v>760</v>
      </c>
      <c r="B623" s="15">
        <v>70.0</v>
      </c>
      <c r="C623" s="16" t="str">
        <f t="shared" si="2"/>
        <v>PASS</v>
      </c>
    </row>
    <row r="624">
      <c r="A624" s="15" t="s">
        <v>761</v>
      </c>
      <c r="B624" s="15">
        <v>70.0</v>
      </c>
      <c r="C624" s="16" t="str">
        <f t="shared" si="2"/>
        <v>PASS</v>
      </c>
    </row>
    <row r="625">
      <c r="A625" s="15" t="s">
        <v>762</v>
      </c>
      <c r="B625" s="15">
        <v>21.0</v>
      </c>
      <c r="C625" s="16" t="str">
        <f t="shared" si="2"/>
        <v>FAIL</v>
      </c>
    </row>
    <row r="626">
      <c r="A626" s="15" t="s">
        <v>763</v>
      </c>
      <c r="B626" s="15">
        <v>87.0</v>
      </c>
      <c r="C626" s="16" t="str">
        <f t="shared" si="2"/>
        <v>PASS</v>
      </c>
    </row>
    <row r="627">
      <c r="A627" s="15" t="s">
        <v>764</v>
      </c>
      <c r="B627" s="15">
        <v>75.0</v>
      </c>
      <c r="C627" s="16" t="str">
        <f t="shared" si="2"/>
        <v>PASS</v>
      </c>
    </row>
    <row r="628">
      <c r="A628" s="15" t="s">
        <v>765</v>
      </c>
      <c r="B628" s="15">
        <v>88.0</v>
      </c>
      <c r="C628" s="16" t="str">
        <f t="shared" si="2"/>
        <v>PASS</v>
      </c>
    </row>
    <row r="629">
      <c r="A629" s="15" t="s">
        <v>766</v>
      </c>
      <c r="B629" s="15">
        <v>71.0</v>
      </c>
      <c r="C629" s="16" t="str">
        <f t="shared" si="2"/>
        <v>PASS</v>
      </c>
    </row>
    <row r="630">
      <c r="A630" s="15" t="s">
        <v>767</v>
      </c>
      <c r="B630" s="15">
        <v>70.0</v>
      </c>
      <c r="C630" s="16" t="str">
        <f t="shared" si="2"/>
        <v>PASS</v>
      </c>
    </row>
    <row r="631">
      <c r="A631" s="15" t="s">
        <v>768</v>
      </c>
      <c r="B631" s="15">
        <v>70.0</v>
      </c>
      <c r="C631" s="16" t="str">
        <f t="shared" si="2"/>
        <v>PASS</v>
      </c>
    </row>
    <row r="632">
      <c r="A632" s="15" t="s">
        <v>769</v>
      </c>
      <c r="B632" s="15">
        <v>88.0</v>
      </c>
      <c r="C632" s="16" t="str">
        <f t="shared" si="2"/>
        <v>PASS</v>
      </c>
    </row>
    <row r="633">
      <c r="A633" s="15" t="s">
        <v>770</v>
      </c>
      <c r="B633" s="15">
        <v>90.0</v>
      </c>
      <c r="C633" s="16" t="str">
        <f t="shared" si="2"/>
        <v>PASS</v>
      </c>
    </row>
    <row r="634">
      <c r="A634" s="15" t="s">
        <v>771</v>
      </c>
      <c r="B634" s="15">
        <v>81.0</v>
      </c>
      <c r="C634" s="16" t="str">
        <f t="shared" si="2"/>
        <v>PASS</v>
      </c>
    </row>
    <row r="635">
      <c r="A635" s="15" t="s">
        <v>772</v>
      </c>
      <c r="B635" s="15">
        <v>13.0</v>
      </c>
      <c r="C635" s="16" t="str">
        <f t="shared" si="2"/>
        <v>FAIL</v>
      </c>
    </row>
    <row r="636">
      <c r="A636" s="15" t="s">
        <v>773</v>
      </c>
      <c r="B636" s="15">
        <v>70.0</v>
      </c>
      <c r="C636" s="16" t="str">
        <f t="shared" si="2"/>
        <v>PASS</v>
      </c>
    </row>
    <row r="637">
      <c r="A637" s="15" t="s">
        <v>774</v>
      </c>
      <c r="B637" s="15">
        <v>85.0</v>
      </c>
      <c r="C637" s="16" t="str">
        <f t="shared" si="2"/>
        <v>PASS</v>
      </c>
    </row>
    <row r="638">
      <c r="A638" s="15" t="s">
        <v>775</v>
      </c>
      <c r="B638" s="15">
        <v>78.0</v>
      </c>
      <c r="C638" s="16" t="str">
        <f t="shared" si="2"/>
        <v>PASS</v>
      </c>
    </row>
    <row r="639">
      <c r="A639" s="15" t="s">
        <v>776</v>
      </c>
      <c r="B639" s="15">
        <v>70.0</v>
      </c>
      <c r="C639" s="16" t="str">
        <f t="shared" si="2"/>
        <v>PASS</v>
      </c>
    </row>
    <row r="640">
      <c r="A640" s="15" t="s">
        <v>777</v>
      </c>
      <c r="B640" s="15">
        <v>70.0</v>
      </c>
      <c r="C640" s="16" t="str">
        <f t="shared" si="2"/>
        <v>PASS</v>
      </c>
    </row>
    <row r="641">
      <c r="A641" s="15" t="s">
        <v>778</v>
      </c>
      <c r="B641" s="15">
        <v>77.0</v>
      </c>
      <c r="C641" s="16" t="str">
        <f t="shared" si="2"/>
        <v>PASS</v>
      </c>
    </row>
    <row r="642">
      <c r="A642" s="15" t="s">
        <v>779</v>
      </c>
      <c r="B642" s="15">
        <v>70.0</v>
      </c>
      <c r="C642" s="16" t="str">
        <f t="shared" si="2"/>
        <v>PASS</v>
      </c>
    </row>
    <row r="643">
      <c r="A643" s="15" t="s">
        <v>780</v>
      </c>
      <c r="B643" s="15">
        <v>70.0</v>
      </c>
      <c r="C643" s="16" t="str">
        <f t="shared" si="2"/>
        <v>PASS</v>
      </c>
    </row>
    <row r="644">
      <c r="A644" s="15" t="s">
        <v>781</v>
      </c>
      <c r="B644" s="15">
        <v>74.0</v>
      </c>
      <c r="C644" s="16" t="str">
        <f t="shared" si="2"/>
        <v>PASS</v>
      </c>
    </row>
    <row r="645">
      <c r="A645" s="15" t="s">
        <v>782</v>
      </c>
      <c r="B645" s="15">
        <v>80.0</v>
      </c>
      <c r="C645" s="16" t="str">
        <f t="shared" si="2"/>
        <v>PASS</v>
      </c>
    </row>
    <row r="646">
      <c r="A646" s="15" t="s">
        <v>783</v>
      </c>
      <c r="B646" s="15">
        <v>83.0</v>
      </c>
      <c r="C646" s="16" t="str">
        <f t="shared" si="2"/>
        <v>PASS</v>
      </c>
    </row>
    <row r="647">
      <c r="A647" s="15" t="s">
        <v>784</v>
      </c>
      <c r="B647" s="15">
        <v>70.0</v>
      </c>
      <c r="C647" s="16" t="str">
        <f t="shared" si="2"/>
        <v>PASS</v>
      </c>
    </row>
    <row r="648">
      <c r="A648" s="15" t="s">
        <v>785</v>
      </c>
      <c r="B648" s="15">
        <v>71.0</v>
      </c>
      <c r="C648" s="16" t="str">
        <f t="shared" si="2"/>
        <v>PASS</v>
      </c>
    </row>
    <row r="649">
      <c r="A649" s="15" t="s">
        <v>786</v>
      </c>
      <c r="B649" s="15">
        <v>70.0</v>
      </c>
      <c r="C649" s="16" t="str">
        <f t="shared" si="2"/>
        <v>PASS</v>
      </c>
    </row>
    <row r="650">
      <c r="A650" s="15" t="s">
        <v>787</v>
      </c>
      <c r="B650" s="15">
        <v>73.0</v>
      </c>
      <c r="C650" s="16" t="str">
        <f t="shared" si="2"/>
        <v>PASS</v>
      </c>
    </row>
    <row r="651">
      <c r="A651" s="15" t="s">
        <v>788</v>
      </c>
      <c r="B651" s="15">
        <v>83.0</v>
      </c>
      <c r="C651" s="16" t="str">
        <f t="shared" si="2"/>
        <v>PASS</v>
      </c>
    </row>
    <row r="652">
      <c r="A652" s="15" t="s">
        <v>789</v>
      </c>
      <c r="B652" s="15">
        <v>73.0</v>
      </c>
      <c r="C652" s="16" t="str">
        <f t="shared" si="2"/>
        <v>PASS</v>
      </c>
    </row>
    <row r="653">
      <c r="A653" s="15" t="s">
        <v>790</v>
      </c>
      <c r="B653" s="15">
        <v>70.0</v>
      </c>
      <c r="C653" s="16" t="str">
        <f t="shared" si="2"/>
        <v>PASS</v>
      </c>
    </row>
    <row r="654">
      <c r="A654" s="15" t="s">
        <v>791</v>
      </c>
      <c r="B654" s="15">
        <v>74.0</v>
      </c>
      <c r="C654" s="16" t="str">
        <f t="shared" si="2"/>
        <v>PASS</v>
      </c>
    </row>
    <row r="655">
      <c r="A655" s="15" t="s">
        <v>792</v>
      </c>
      <c r="B655" s="15">
        <v>70.0</v>
      </c>
      <c r="C655" s="16" t="str">
        <f t="shared" si="2"/>
        <v>PASS</v>
      </c>
    </row>
    <row r="656">
      <c r="A656" s="15" t="s">
        <v>793</v>
      </c>
      <c r="B656" s="15">
        <v>70.0</v>
      </c>
      <c r="C656" s="16" t="str">
        <f t="shared" si="2"/>
        <v>PASS</v>
      </c>
    </row>
    <row r="657">
      <c r="A657" s="15" t="s">
        <v>794</v>
      </c>
      <c r="B657" s="15">
        <v>77.0</v>
      </c>
      <c r="C657" s="16" t="str">
        <f t="shared" si="2"/>
        <v>PASS</v>
      </c>
    </row>
    <row r="658">
      <c r="A658" s="15" t="s">
        <v>795</v>
      </c>
      <c r="B658" s="15">
        <v>70.0</v>
      </c>
      <c r="C658" s="16" t="str">
        <f t="shared" si="2"/>
        <v>PASS</v>
      </c>
    </row>
    <row r="659">
      <c r="A659" s="15" t="s">
        <v>796</v>
      </c>
      <c r="B659" s="15">
        <v>70.0</v>
      </c>
      <c r="C659" s="16" t="str">
        <f t="shared" si="2"/>
        <v>PASS</v>
      </c>
    </row>
    <row r="660">
      <c r="A660" s="15" t="s">
        <v>797</v>
      </c>
      <c r="B660" s="15">
        <v>70.0</v>
      </c>
      <c r="C660" s="16" t="str">
        <f t="shared" si="2"/>
        <v>PASS</v>
      </c>
    </row>
    <row r="661">
      <c r="A661" s="15" t="s">
        <v>798</v>
      </c>
      <c r="B661" s="15">
        <v>70.0</v>
      </c>
      <c r="C661" s="16" t="str">
        <f t="shared" si="2"/>
        <v>PASS</v>
      </c>
    </row>
    <row r="662">
      <c r="A662" s="15" t="s">
        <v>799</v>
      </c>
      <c r="B662" s="15">
        <v>71.0</v>
      </c>
      <c r="C662" s="16" t="str">
        <f t="shared" si="2"/>
        <v>PASS</v>
      </c>
    </row>
    <row r="663">
      <c r="A663" s="15" t="s">
        <v>800</v>
      </c>
      <c r="B663" s="15">
        <v>70.0</v>
      </c>
      <c r="C663" s="16" t="str">
        <f t="shared" si="2"/>
        <v>PASS</v>
      </c>
    </row>
    <row r="664">
      <c r="A664" s="15" t="s">
        <v>801</v>
      </c>
      <c r="B664" s="15">
        <v>70.0</v>
      </c>
      <c r="C664" s="16" t="str">
        <f t="shared" si="2"/>
        <v>PASS</v>
      </c>
    </row>
    <row r="665">
      <c r="A665" s="15" t="s">
        <v>802</v>
      </c>
      <c r="B665" s="15">
        <v>76.0</v>
      </c>
      <c r="C665" s="16" t="str">
        <f t="shared" si="2"/>
        <v>PASS</v>
      </c>
    </row>
    <row r="666">
      <c r="A666" s="15" t="s">
        <v>803</v>
      </c>
      <c r="B666" s="15">
        <v>78.0</v>
      </c>
      <c r="C666" s="16" t="str">
        <f t="shared" si="2"/>
        <v>PASS</v>
      </c>
    </row>
    <row r="667">
      <c r="A667" s="15" t="s">
        <v>804</v>
      </c>
      <c r="B667" s="15">
        <v>70.0</v>
      </c>
      <c r="C667" s="16" t="str">
        <f t="shared" si="2"/>
        <v>PASS</v>
      </c>
    </row>
    <row r="668">
      <c r="A668" s="15" t="s">
        <v>805</v>
      </c>
      <c r="B668" s="15">
        <v>74.0</v>
      </c>
      <c r="C668" s="16" t="str">
        <f t="shared" si="2"/>
        <v>PASS</v>
      </c>
    </row>
    <row r="669">
      <c r="A669" s="15" t="s">
        <v>806</v>
      </c>
      <c r="B669" s="15">
        <v>70.0</v>
      </c>
      <c r="C669" s="16" t="str">
        <f t="shared" si="2"/>
        <v>PASS</v>
      </c>
    </row>
    <row r="670">
      <c r="A670" s="15" t="s">
        <v>807</v>
      </c>
      <c r="B670" s="15">
        <v>75.0</v>
      </c>
      <c r="C670" s="16" t="str">
        <f t="shared" si="2"/>
        <v>PASS</v>
      </c>
    </row>
    <row r="671">
      <c r="A671" s="15" t="s">
        <v>808</v>
      </c>
      <c r="B671" s="15">
        <v>0.0</v>
      </c>
      <c r="C671" s="16" t="str">
        <f t="shared" si="2"/>
        <v>FAIL</v>
      </c>
    </row>
    <row r="672">
      <c r="A672" s="15" t="s">
        <v>809</v>
      </c>
      <c r="B672" s="15">
        <v>38.0</v>
      </c>
      <c r="C672" s="16" t="str">
        <f t="shared" si="2"/>
        <v>FAIL</v>
      </c>
    </row>
    <row r="673">
      <c r="A673" s="15" t="s">
        <v>810</v>
      </c>
      <c r="B673" s="15">
        <v>25.0</v>
      </c>
      <c r="C673" s="16" t="str">
        <f t="shared" si="2"/>
        <v>FAIL</v>
      </c>
    </row>
    <row r="674">
      <c r="A674" s="15" t="s">
        <v>811</v>
      </c>
      <c r="B674" s="15">
        <v>79.0</v>
      </c>
      <c r="C674" s="16" t="str">
        <f t="shared" si="2"/>
        <v>PASS</v>
      </c>
    </row>
    <row r="675">
      <c r="A675" s="15" t="s">
        <v>812</v>
      </c>
      <c r="B675" s="15">
        <v>77.0</v>
      </c>
      <c r="C675" s="16" t="str">
        <f t="shared" si="2"/>
        <v>PASS</v>
      </c>
    </row>
    <row r="676">
      <c r="A676" s="15" t="s">
        <v>813</v>
      </c>
      <c r="B676" s="15">
        <v>82.0</v>
      </c>
      <c r="C676" s="16" t="str">
        <f t="shared" si="2"/>
        <v>PASS</v>
      </c>
    </row>
    <row r="677">
      <c r="A677" s="18" t="s">
        <v>814</v>
      </c>
      <c r="B677" s="18">
        <v>70.0</v>
      </c>
      <c r="C677" s="19" t="str">
        <f t="shared" si="2"/>
        <v>PASS</v>
      </c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15" t="s">
        <v>815</v>
      </c>
      <c r="B678" s="15">
        <v>0.0</v>
      </c>
      <c r="C678" s="16" t="str">
        <f t="shared" si="2"/>
        <v>FAIL</v>
      </c>
    </row>
    <row r="679">
      <c r="A679" s="15" t="s">
        <v>816</v>
      </c>
      <c r="B679" s="15">
        <v>32.0</v>
      </c>
      <c r="C679" s="16" t="str">
        <f t="shared" si="2"/>
        <v>FAIL</v>
      </c>
    </row>
    <row r="680">
      <c r="A680" s="15" t="s">
        <v>817</v>
      </c>
      <c r="B680" s="15">
        <v>70.0</v>
      </c>
      <c r="C680" s="16" t="str">
        <f t="shared" si="2"/>
        <v>PASS</v>
      </c>
    </row>
    <row r="681">
      <c r="A681" s="15" t="s">
        <v>818</v>
      </c>
      <c r="B681" s="15">
        <v>70.0</v>
      </c>
      <c r="C681" s="16" t="str">
        <f t="shared" si="2"/>
        <v>PASS</v>
      </c>
    </row>
    <row r="682">
      <c r="A682" s="15" t="s">
        <v>819</v>
      </c>
      <c r="B682" s="15">
        <v>53.0</v>
      </c>
      <c r="C682" s="16" t="str">
        <f t="shared" si="2"/>
        <v>FAIL</v>
      </c>
    </row>
    <row r="683">
      <c r="A683" s="15" t="s">
        <v>820</v>
      </c>
      <c r="B683" s="15">
        <v>74.0</v>
      </c>
      <c r="C683" s="16" t="str">
        <f t="shared" si="2"/>
        <v>PASS</v>
      </c>
    </row>
    <row r="684">
      <c r="A684" s="15" t="s">
        <v>821</v>
      </c>
      <c r="B684" s="15">
        <v>87.0</v>
      </c>
      <c r="C684" s="16" t="str">
        <f t="shared" si="2"/>
        <v>PASS</v>
      </c>
    </row>
    <row r="685">
      <c r="A685" s="15" t="s">
        <v>822</v>
      </c>
      <c r="B685" s="15">
        <v>74.0</v>
      </c>
      <c r="C685" s="16" t="str">
        <f t="shared" si="2"/>
        <v>PASS</v>
      </c>
    </row>
    <row r="686">
      <c r="A686" s="15" t="s">
        <v>823</v>
      </c>
      <c r="B686" s="15">
        <v>70.0</v>
      </c>
      <c r="C686" s="16" t="str">
        <f t="shared" si="2"/>
        <v>PASS</v>
      </c>
    </row>
    <row r="687">
      <c r="A687" s="15" t="s">
        <v>824</v>
      </c>
      <c r="B687" s="15">
        <v>70.0</v>
      </c>
      <c r="C687" s="16" t="str">
        <f t="shared" si="2"/>
        <v>PASS</v>
      </c>
    </row>
    <row r="688">
      <c r="A688" s="15" t="s">
        <v>825</v>
      </c>
      <c r="B688" s="15">
        <v>41.0</v>
      </c>
      <c r="C688" s="16" t="str">
        <f t="shared" si="2"/>
        <v>FAIL</v>
      </c>
    </row>
    <row r="689">
      <c r="A689" s="15" t="s">
        <v>826</v>
      </c>
      <c r="B689" s="15">
        <v>78.0</v>
      </c>
      <c r="C689" s="16" t="str">
        <f t="shared" si="2"/>
        <v>PASS</v>
      </c>
    </row>
    <row r="690">
      <c r="A690" s="15" t="s">
        <v>827</v>
      </c>
      <c r="B690" s="15">
        <v>70.0</v>
      </c>
      <c r="C690" s="16" t="str">
        <f t="shared" si="2"/>
        <v>PASS</v>
      </c>
    </row>
    <row r="691">
      <c r="A691" s="15" t="s">
        <v>828</v>
      </c>
      <c r="B691" s="15">
        <v>77.0</v>
      </c>
      <c r="C691" s="16" t="str">
        <f t="shared" si="2"/>
        <v>PASS</v>
      </c>
    </row>
    <row r="692">
      <c r="A692" s="15" t="s">
        <v>829</v>
      </c>
      <c r="B692" s="15">
        <v>70.0</v>
      </c>
      <c r="C692" s="16" t="str">
        <f t="shared" si="2"/>
        <v>PASS</v>
      </c>
    </row>
    <row r="693">
      <c r="A693" s="15" t="s">
        <v>830</v>
      </c>
      <c r="B693" s="15">
        <v>75.0</v>
      </c>
      <c r="C693" s="16" t="str">
        <f t="shared" si="2"/>
        <v>PASS</v>
      </c>
    </row>
    <row r="694">
      <c r="A694" s="15" t="s">
        <v>831</v>
      </c>
      <c r="B694" s="15">
        <v>81.0</v>
      </c>
      <c r="C694" s="16" t="str">
        <f t="shared" si="2"/>
        <v>PASS</v>
      </c>
    </row>
    <row r="695">
      <c r="A695" s="15" t="s">
        <v>832</v>
      </c>
      <c r="B695" s="15">
        <v>71.0</v>
      </c>
      <c r="C695" s="16" t="str">
        <f t="shared" si="2"/>
        <v>PASS</v>
      </c>
    </row>
    <row r="696">
      <c r="A696" s="15" t="s">
        <v>833</v>
      </c>
      <c r="B696" s="15">
        <v>70.0</v>
      </c>
      <c r="C696" s="16" t="str">
        <f t="shared" si="2"/>
        <v>PASS</v>
      </c>
    </row>
    <row r="697">
      <c r="A697" s="15" t="s">
        <v>834</v>
      </c>
      <c r="B697" s="15">
        <v>70.0</v>
      </c>
      <c r="C697" s="16" t="str">
        <f t="shared" si="2"/>
        <v>PASS</v>
      </c>
    </row>
    <row r="698">
      <c r="A698" s="15" t="s">
        <v>835</v>
      </c>
      <c r="B698" s="15">
        <v>70.0</v>
      </c>
      <c r="C698" s="16" t="str">
        <f t="shared" si="2"/>
        <v>PASS</v>
      </c>
    </row>
    <row r="699">
      <c r="A699" s="15" t="s">
        <v>836</v>
      </c>
      <c r="B699" s="15">
        <v>18.0</v>
      </c>
      <c r="C699" s="16" t="str">
        <f t="shared" si="2"/>
        <v>FAIL</v>
      </c>
    </row>
    <row r="700">
      <c r="A700" s="15" t="s">
        <v>837</v>
      </c>
      <c r="B700" s="15">
        <v>33.0</v>
      </c>
      <c r="C700" s="16" t="str">
        <f t="shared" si="2"/>
        <v>FAIL</v>
      </c>
    </row>
    <row r="701">
      <c r="A701" s="15" t="s">
        <v>838</v>
      </c>
      <c r="B701" s="15">
        <v>79.0</v>
      </c>
      <c r="C701" s="16" t="str">
        <f t="shared" si="2"/>
        <v>PASS</v>
      </c>
    </row>
    <row r="702">
      <c r="A702" s="15" t="s">
        <v>839</v>
      </c>
      <c r="B702" s="15">
        <v>81.0</v>
      </c>
      <c r="C702" s="16" t="str">
        <f t="shared" si="2"/>
        <v>PASS</v>
      </c>
    </row>
    <row r="703">
      <c r="A703" s="15" t="s">
        <v>840</v>
      </c>
      <c r="B703" s="15">
        <v>81.0</v>
      </c>
      <c r="C703" s="16" t="str">
        <f t="shared" si="2"/>
        <v>PASS</v>
      </c>
    </row>
    <row r="704">
      <c r="A704" s="15" t="s">
        <v>841</v>
      </c>
      <c r="B704" s="15">
        <v>76.0</v>
      </c>
      <c r="C704" s="16" t="str">
        <f t="shared" si="2"/>
        <v>PASS</v>
      </c>
    </row>
    <row r="705">
      <c r="A705" s="15" t="s">
        <v>842</v>
      </c>
      <c r="B705" s="15">
        <v>72.0</v>
      </c>
      <c r="C705" s="16" t="str">
        <f t="shared" si="2"/>
        <v>PASS</v>
      </c>
    </row>
    <row r="706">
      <c r="A706" s="15" t="s">
        <v>843</v>
      </c>
      <c r="B706" s="15">
        <v>70.0</v>
      </c>
      <c r="C706" s="16" t="str">
        <f t="shared" si="2"/>
        <v>PASS</v>
      </c>
    </row>
    <row r="707">
      <c r="A707" s="15" t="s">
        <v>844</v>
      </c>
      <c r="B707" s="15">
        <v>70.0</v>
      </c>
      <c r="C707" s="16" t="str">
        <f t="shared" si="2"/>
        <v>PASS</v>
      </c>
    </row>
    <row r="708">
      <c r="A708" s="15" t="s">
        <v>845</v>
      </c>
      <c r="B708" s="15">
        <v>70.0</v>
      </c>
      <c r="C708" s="16" t="str">
        <f t="shared" si="2"/>
        <v>PASS</v>
      </c>
    </row>
    <row r="709">
      <c r="A709" s="15" t="s">
        <v>846</v>
      </c>
      <c r="B709" s="15">
        <v>70.0</v>
      </c>
      <c r="C709" s="16" t="str">
        <f t="shared" si="2"/>
        <v>PASS</v>
      </c>
    </row>
    <row r="710">
      <c r="A710" s="15" t="s">
        <v>847</v>
      </c>
      <c r="B710" s="15">
        <v>79.0</v>
      </c>
      <c r="C710" s="16" t="str">
        <f t="shared" si="2"/>
        <v>PASS</v>
      </c>
    </row>
    <row r="711">
      <c r="A711" s="15" t="s">
        <v>848</v>
      </c>
      <c r="B711" s="15">
        <v>81.0</v>
      </c>
      <c r="C711" s="16" t="str">
        <f t="shared" si="2"/>
        <v>PASS</v>
      </c>
    </row>
    <row r="712">
      <c r="A712" s="15" t="s">
        <v>849</v>
      </c>
      <c r="B712" s="15">
        <v>17.0</v>
      </c>
      <c r="C712" s="16" t="str">
        <f t="shared" si="2"/>
        <v>FAIL</v>
      </c>
    </row>
    <row r="713">
      <c r="A713" s="15" t="s">
        <v>850</v>
      </c>
      <c r="B713" s="15">
        <v>73.0</v>
      </c>
      <c r="C713" s="16" t="str">
        <f t="shared" si="2"/>
        <v>PASS</v>
      </c>
    </row>
    <row r="714">
      <c r="A714" s="15" t="s">
        <v>851</v>
      </c>
      <c r="B714" s="15">
        <v>70.0</v>
      </c>
      <c r="C714" s="16" t="str">
        <f t="shared" si="2"/>
        <v>PASS</v>
      </c>
    </row>
    <row r="715">
      <c r="A715" s="15" t="s">
        <v>852</v>
      </c>
      <c r="B715" s="15">
        <v>0.0</v>
      </c>
      <c r="C715" s="16" t="str">
        <f t="shared" si="2"/>
        <v>FAIL</v>
      </c>
    </row>
    <row r="716">
      <c r="A716" s="15" t="s">
        <v>853</v>
      </c>
      <c r="B716" s="15">
        <v>88.0</v>
      </c>
      <c r="C716" s="16" t="str">
        <f t="shared" si="2"/>
        <v>PASS</v>
      </c>
    </row>
    <row r="717">
      <c r="A717" s="15" t="s">
        <v>854</v>
      </c>
      <c r="B717" s="15">
        <v>78.0</v>
      </c>
      <c r="C717" s="16" t="str">
        <f t="shared" si="2"/>
        <v>PASS</v>
      </c>
    </row>
    <row r="718">
      <c r="A718" s="15" t="s">
        <v>855</v>
      </c>
      <c r="B718" s="15">
        <v>37.0</v>
      </c>
      <c r="C718" s="16" t="str">
        <f t="shared" si="2"/>
        <v>FAIL</v>
      </c>
    </row>
    <row r="719">
      <c r="A719" s="15" t="s">
        <v>856</v>
      </c>
      <c r="B719" s="15">
        <v>0.0</v>
      </c>
      <c r="C719" s="16" t="str">
        <f t="shared" si="2"/>
        <v>FAIL</v>
      </c>
    </row>
    <row r="720">
      <c r="A720" s="15" t="s">
        <v>857</v>
      </c>
      <c r="B720" s="15">
        <v>70.0</v>
      </c>
      <c r="C720" s="16" t="str">
        <f t="shared" si="2"/>
        <v>PASS</v>
      </c>
    </row>
    <row r="721">
      <c r="A721" s="15" t="s">
        <v>858</v>
      </c>
      <c r="B721" s="15">
        <v>74.0</v>
      </c>
      <c r="C721" s="16" t="str">
        <f t="shared" si="2"/>
        <v>PASS</v>
      </c>
    </row>
    <row r="722">
      <c r="A722" s="15" t="s">
        <v>859</v>
      </c>
      <c r="B722" s="15">
        <v>70.0</v>
      </c>
      <c r="C722" s="16" t="str">
        <f t="shared" si="2"/>
        <v>PASS</v>
      </c>
    </row>
    <row r="723">
      <c r="A723" s="15" t="s">
        <v>860</v>
      </c>
      <c r="B723" s="15">
        <v>85.0</v>
      </c>
      <c r="C723" s="16" t="str">
        <f t="shared" si="2"/>
        <v>PASS</v>
      </c>
    </row>
    <row r="724">
      <c r="A724" s="15" t="s">
        <v>861</v>
      </c>
      <c r="B724" s="15">
        <v>70.0</v>
      </c>
      <c r="C724" s="16" t="str">
        <f t="shared" si="2"/>
        <v>PASS</v>
      </c>
    </row>
    <row r="725">
      <c r="A725" s="15" t="s">
        <v>562</v>
      </c>
      <c r="B725" s="15">
        <v>81.0</v>
      </c>
      <c r="C725" s="16" t="str">
        <f t="shared" si="2"/>
        <v>PASS</v>
      </c>
    </row>
    <row r="726">
      <c r="A726" s="15" t="s">
        <v>862</v>
      </c>
      <c r="B726" s="15">
        <v>42.0</v>
      </c>
      <c r="C726" s="16" t="str">
        <f t="shared" si="2"/>
        <v>FAIL</v>
      </c>
    </row>
    <row r="727">
      <c r="A727" s="15" t="s">
        <v>863</v>
      </c>
      <c r="B727" s="15">
        <v>73.0</v>
      </c>
      <c r="C727" s="16" t="str">
        <f t="shared" si="2"/>
        <v>PASS</v>
      </c>
    </row>
    <row r="728">
      <c r="A728" s="15" t="s">
        <v>579</v>
      </c>
      <c r="B728" s="15">
        <v>52.0</v>
      </c>
      <c r="C728" s="16" t="str">
        <f t="shared" si="2"/>
        <v>FAIL</v>
      </c>
    </row>
    <row r="729">
      <c r="A729" s="15" t="s">
        <v>864</v>
      </c>
      <c r="B729" s="15">
        <v>72.0</v>
      </c>
      <c r="C729" s="16" t="str">
        <f t="shared" si="2"/>
        <v>PASS</v>
      </c>
    </row>
    <row r="730">
      <c r="A730" s="18" t="s">
        <v>865</v>
      </c>
      <c r="B730" s="18">
        <v>70.0</v>
      </c>
      <c r="C730" s="19" t="str">
        <f t="shared" si="2"/>
        <v>PASS</v>
      </c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15" t="s">
        <v>866</v>
      </c>
      <c r="B731" s="15">
        <v>70.0</v>
      </c>
      <c r="C731" s="16" t="str">
        <f t="shared" si="2"/>
        <v>PASS</v>
      </c>
    </row>
    <row r="732">
      <c r="A732" s="15" t="s">
        <v>867</v>
      </c>
      <c r="B732" s="15">
        <v>70.0</v>
      </c>
      <c r="C732" s="16" t="str">
        <f t="shared" si="2"/>
        <v>PASS</v>
      </c>
    </row>
    <row r="733">
      <c r="A733" s="15" t="s">
        <v>868</v>
      </c>
      <c r="B733" s="15">
        <v>4.0</v>
      </c>
      <c r="C733" s="16" t="str">
        <f t="shared" si="2"/>
        <v>FAIL</v>
      </c>
    </row>
    <row r="734">
      <c r="A734" s="18" t="s">
        <v>869</v>
      </c>
      <c r="B734" s="18">
        <v>70.0</v>
      </c>
      <c r="C734" s="19" t="str">
        <f t="shared" si="2"/>
        <v>PASS</v>
      </c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15" t="s">
        <v>870</v>
      </c>
      <c r="B735" s="15">
        <v>70.0</v>
      </c>
      <c r="C735" s="16" t="str">
        <f t="shared" si="2"/>
        <v>PASS</v>
      </c>
    </row>
    <row r="736">
      <c r="A736" s="15" t="s">
        <v>871</v>
      </c>
      <c r="B736" s="15">
        <v>70.0</v>
      </c>
      <c r="C736" s="16" t="str">
        <f t="shared" si="2"/>
        <v>PASS</v>
      </c>
    </row>
    <row r="737">
      <c r="A737" s="15" t="s">
        <v>872</v>
      </c>
      <c r="B737" s="15">
        <v>70.0</v>
      </c>
      <c r="C737" s="16" t="str">
        <f t="shared" si="2"/>
        <v>PASS</v>
      </c>
    </row>
    <row r="738">
      <c r="A738" s="15" t="s">
        <v>873</v>
      </c>
      <c r="B738" s="15">
        <v>70.0</v>
      </c>
      <c r="C738" s="16" t="str">
        <f t="shared" si="2"/>
        <v>PASS</v>
      </c>
    </row>
    <row r="739">
      <c r="A739" s="15" t="s">
        <v>874</v>
      </c>
      <c r="B739" s="15">
        <v>29.5</v>
      </c>
      <c r="C739" s="16" t="str">
        <f t="shared" si="2"/>
        <v>FAIL</v>
      </c>
    </row>
    <row r="740">
      <c r="A740" s="15" t="s">
        <v>875</v>
      </c>
      <c r="B740" s="15">
        <v>6.0</v>
      </c>
      <c r="C740" s="16" t="str">
        <f t="shared" si="2"/>
        <v>FAIL</v>
      </c>
    </row>
    <row r="741">
      <c r="A741" s="15" t="s">
        <v>876</v>
      </c>
      <c r="B741" s="15">
        <v>70.0</v>
      </c>
      <c r="C741" s="16" t="str">
        <f t="shared" si="2"/>
        <v>PASS</v>
      </c>
    </row>
    <row r="742">
      <c r="A742" s="15" t="s">
        <v>877</v>
      </c>
      <c r="B742" s="15">
        <v>70.0</v>
      </c>
      <c r="C742" s="16" t="str">
        <f t="shared" si="2"/>
        <v>PASS</v>
      </c>
    </row>
    <row r="743">
      <c r="A743" s="15" t="s">
        <v>878</v>
      </c>
      <c r="B743" s="15">
        <v>50.0</v>
      </c>
      <c r="C743" s="16" t="str">
        <f t="shared" si="2"/>
        <v>FAIL</v>
      </c>
    </row>
    <row r="744">
      <c r="A744" s="15" t="s">
        <v>879</v>
      </c>
      <c r="B744" s="15">
        <v>70.0</v>
      </c>
      <c r="C744" s="16" t="str">
        <f t="shared" si="2"/>
        <v>PASS</v>
      </c>
    </row>
    <row r="745">
      <c r="A745" s="15" t="s">
        <v>880</v>
      </c>
      <c r="B745" s="15">
        <v>70.0</v>
      </c>
      <c r="C745" s="16" t="str">
        <f t="shared" si="2"/>
        <v>PASS</v>
      </c>
    </row>
    <row r="746">
      <c r="A746" s="15" t="s">
        <v>881</v>
      </c>
      <c r="B746" s="15">
        <v>43.0</v>
      </c>
      <c r="C746" s="16" t="str">
        <f t="shared" si="2"/>
        <v>FAIL</v>
      </c>
    </row>
    <row r="747">
      <c r="A747" s="15" t="s">
        <v>882</v>
      </c>
      <c r="B747" s="15">
        <v>70.0</v>
      </c>
      <c r="C747" s="16" t="str">
        <f t="shared" si="2"/>
        <v>PASS</v>
      </c>
    </row>
    <row r="748">
      <c r="A748" s="15" t="s">
        <v>883</v>
      </c>
      <c r="B748" s="15">
        <v>70.0</v>
      </c>
      <c r="C748" s="16" t="str">
        <f t="shared" si="2"/>
        <v>PASS</v>
      </c>
    </row>
    <row r="749">
      <c r="A749" s="15" t="s">
        <v>884</v>
      </c>
      <c r="B749" s="15">
        <v>81.0</v>
      </c>
      <c r="C749" s="16" t="str">
        <f t="shared" si="2"/>
        <v>PASS</v>
      </c>
    </row>
    <row r="750">
      <c r="A750" s="15" t="s">
        <v>885</v>
      </c>
      <c r="B750" s="15">
        <v>70.0</v>
      </c>
      <c r="C750" s="16" t="str">
        <f t="shared" si="2"/>
        <v>PASS</v>
      </c>
    </row>
    <row r="751">
      <c r="A751" s="15" t="s">
        <v>886</v>
      </c>
      <c r="B751" s="15">
        <v>53.0</v>
      </c>
      <c r="C751" s="16" t="str">
        <f t="shared" si="2"/>
        <v>FAIL</v>
      </c>
    </row>
    <row r="752">
      <c r="A752" s="15" t="s">
        <v>887</v>
      </c>
      <c r="B752" s="15">
        <v>70.0</v>
      </c>
      <c r="C752" s="16" t="str">
        <f t="shared" si="2"/>
        <v>PASS</v>
      </c>
    </row>
    <row r="753">
      <c r="A753" s="15" t="s">
        <v>888</v>
      </c>
      <c r="B753" s="15">
        <v>70.0</v>
      </c>
      <c r="C753" s="16" t="str">
        <f t="shared" si="2"/>
        <v>PASS</v>
      </c>
    </row>
    <row r="754">
      <c r="A754" s="15" t="s">
        <v>889</v>
      </c>
      <c r="B754" s="15">
        <v>48.0</v>
      </c>
      <c r="C754" s="16" t="str">
        <f t="shared" si="2"/>
        <v>FAIL</v>
      </c>
    </row>
    <row r="755">
      <c r="A755" s="15" t="s">
        <v>890</v>
      </c>
      <c r="B755" s="15">
        <v>70.0</v>
      </c>
      <c r="C755" s="16" t="str">
        <f t="shared" si="2"/>
        <v>PASS</v>
      </c>
    </row>
    <row r="756">
      <c r="A756" s="15" t="s">
        <v>891</v>
      </c>
      <c r="B756" s="15">
        <v>70.0</v>
      </c>
      <c r="C756" s="16" t="str">
        <f t="shared" si="2"/>
        <v>PASS</v>
      </c>
    </row>
    <row r="757">
      <c r="A757" s="15" t="s">
        <v>892</v>
      </c>
      <c r="B757" s="15">
        <v>17.0</v>
      </c>
      <c r="C757" s="16" t="str">
        <f t="shared" si="2"/>
        <v>FAIL</v>
      </c>
    </row>
    <row r="758">
      <c r="A758" s="15" t="s">
        <v>893</v>
      </c>
      <c r="B758" s="15">
        <v>54.0</v>
      </c>
      <c r="C758" s="16" t="str">
        <f t="shared" si="2"/>
        <v>FAIL</v>
      </c>
    </row>
    <row r="759">
      <c r="A759" s="15" t="s">
        <v>894</v>
      </c>
      <c r="B759" s="15">
        <v>78.0</v>
      </c>
      <c r="C759" s="16" t="str">
        <f t="shared" si="2"/>
        <v>PASS</v>
      </c>
    </row>
    <row r="760">
      <c r="A760" s="15" t="s">
        <v>895</v>
      </c>
      <c r="B760" s="15">
        <v>70.0</v>
      </c>
      <c r="C760" s="16" t="str">
        <f t="shared" si="2"/>
        <v>PASS</v>
      </c>
    </row>
    <row r="761">
      <c r="A761" s="15" t="s">
        <v>896</v>
      </c>
      <c r="B761" s="15">
        <v>9.0</v>
      </c>
      <c r="C761" s="16" t="str">
        <f t="shared" si="2"/>
        <v>FAIL</v>
      </c>
    </row>
    <row r="762">
      <c r="A762" s="15" t="s">
        <v>897</v>
      </c>
      <c r="B762" s="15">
        <v>35.0</v>
      </c>
      <c r="C762" s="16" t="str">
        <f t="shared" si="2"/>
        <v>FAIL</v>
      </c>
    </row>
    <row r="763">
      <c r="A763" s="15" t="s">
        <v>898</v>
      </c>
      <c r="B763" s="15">
        <v>40.0</v>
      </c>
      <c r="C763" s="16" t="str">
        <f t="shared" si="2"/>
        <v>FAIL</v>
      </c>
    </row>
    <row r="764">
      <c r="A764" s="15" t="s">
        <v>899</v>
      </c>
      <c r="B764" s="15">
        <v>70.0</v>
      </c>
      <c r="C764" s="16" t="str">
        <f t="shared" si="2"/>
        <v>PASS</v>
      </c>
    </row>
    <row r="765">
      <c r="A765" s="15" t="s">
        <v>900</v>
      </c>
      <c r="B765" s="15">
        <v>64.0</v>
      </c>
      <c r="C765" s="16" t="str">
        <f t="shared" si="2"/>
        <v>FAIL</v>
      </c>
    </row>
    <row r="766">
      <c r="A766" s="15" t="s">
        <v>901</v>
      </c>
      <c r="B766" s="15">
        <v>71.0</v>
      </c>
      <c r="C766" s="16" t="str">
        <f t="shared" si="2"/>
        <v>PASS</v>
      </c>
    </row>
    <row r="767">
      <c r="A767" s="15" t="s">
        <v>902</v>
      </c>
      <c r="B767" s="15">
        <v>77.0</v>
      </c>
      <c r="C767" s="16" t="str">
        <f t="shared" si="2"/>
        <v>PASS</v>
      </c>
    </row>
    <row r="768">
      <c r="A768" s="15" t="s">
        <v>903</v>
      </c>
      <c r="B768" s="15">
        <v>50.0</v>
      </c>
      <c r="C768" s="16" t="str">
        <f t="shared" si="2"/>
        <v>FAIL</v>
      </c>
    </row>
    <row r="769">
      <c r="A769" s="15" t="s">
        <v>904</v>
      </c>
      <c r="B769" s="15">
        <v>29.0</v>
      </c>
      <c r="C769" s="16" t="str">
        <f t="shared" si="2"/>
        <v>FAIL</v>
      </c>
    </row>
    <row r="770">
      <c r="A770" s="15" t="s">
        <v>905</v>
      </c>
      <c r="B770" s="15">
        <v>70.0</v>
      </c>
      <c r="C770" s="16" t="str">
        <f t="shared" si="2"/>
        <v>PASS</v>
      </c>
    </row>
    <row r="771">
      <c r="A771" s="15" t="s">
        <v>906</v>
      </c>
      <c r="B771" s="15">
        <v>77.0</v>
      </c>
      <c r="C771" s="16" t="str">
        <f t="shared" si="2"/>
        <v>PASS</v>
      </c>
    </row>
    <row r="772">
      <c r="A772" s="15" t="s">
        <v>907</v>
      </c>
      <c r="B772" s="15">
        <v>71.0</v>
      </c>
      <c r="C772" s="16" t="str">
        <f t="shared" si="2"/>
        <v>PASS</v>
      </c>
    </row>
    <row r="773">
      <c r="A773" s="15" t="s">
        <v>908</v>
      </c>
      <c r="B773" s="15">
        <v>35.0</v>
      </c>
      <c r="C773" s="16" t="str">
        <f t="shared" si="2"/>
        <v>FAIL</v>
      </c>
    </row>
    <row r="774">
      <c r="A774" s="15" t="s">
        <v>909</v>
      </c>
      <c r="B774" s="15">
        <v>76.0</v>
      </c>
      <c r="C774" s="16" t="str">
        <f t="shared" si="2"/>
        <v>PASS</v>
      </c>
    </row>
    <row r="775">
      <c r="A775" s="15" t="s">
        <v>910</v>
      </c>
      <c r="B775" s="15">
        <v>70.0</v>
      </c>
      <c r="C775" s="16" t="str">
        <f t="shared" si="2"/>
        <v>PASS</v>
      </c>
    </row>
    <row r="776">
      <c r="A776" s="15" t="s">
        <v>911</v>
      </c>
      <c r="B776" s="15">
        <v>70.0</v>
      </c>
      <c r="C776" s="16" t="str">
        <f t="shared" si="2"/>
        <v>PASS</v>
      </c>
    </row>
    <row r="777">
      <c r="A777" s="15" t="s">
        <v>912</v>
      </c>
      <c r="B777" s="15">
        <v>70.0</v>
      </c>
      <c r="C777" s="16" t="str">
        <f t="shared" si="2"/>
        <v>PASS</v>
      </c>
    </row>
    <row r="778">
      <c r="A778" s="15" t="s">
        <v>913</v>
      </c>
      <c r="B778" s="15">
        <v>56.0</v>
      </c>
      <c r="C778" s="16" t="str">
        <f t="shared" si="2"/>
        <v>FAIL</v>
      </c>
    </row>
    <row r="779">
      <c r="A779" s="15" t="s">
        <v>914</v>
      </c>
      <c r="B779" s="15">
        <v>70.0</v>
      </c>
      <c r="C779" s="16" t="str">
        <f t="shared" si="2"/>
        <v>PASS</v>
      </c>
    </row>
    <row r="780">
      <c r="A780" s="15" t="s">
        <v>915</v>
      </c>
      <c r="B780" s="15">
        <v>70.0</v>
      </c>
      <c r="C780" s="16" t="str">
        <f t="shared" si="2"/>
        <v>PASS</v>
      </c>
    </row>
    <row r="781">
      <c r="A781" s="15" t="s">
        <v>916</v>
      </c>
      <c r="B781" s="15">
        <v>70.0</v>
      </c>
      <c r="C781" s="16" t="str">
        <f t="shared" si="2"/>
        <v>PASS</v>
      </c>
    </row>
    <row r="782">
      <c r="A782" s="15" t="s">
        <v>917</v>
      </c>
      <c r="B782" s="15">
        <v>26.0</v>
      </c>
      <c r="C782" s="16" t="str">
        <f t="shared" si="2"/>
        <v>FAIL</v>
      </c>
    </row>
    <row r="783">
      <c r="A783" s="15" t="s">
        <v>918</v>
      </c>
      <c r="B783" s="15">
        <v>70.0</v>
      </c>
      <c r="C783" s="16" t="str">
        <f t="shared" si="2"/>
        <v>PASS</v>
      </c>
    </row>
    <row r="784">
      <c r="A784" s="15" t="s">
        <v>919</v>
      </c>
      <c r="B784" s="15">
        <v>70.0</v>
      </c>
      <c r="C784" s="16" t="str">
        <f t="shared" si="2"/>
        <v>PASS</v>
      </c>
    </row>
    <row r="785">
      <c r="A785" s="15" t="s">
        <v>920</v>
      </c>
      <c r="B785" s="15">
        <v>80.0</v>
      </c>
      <c r="C785" s="16" t="str">
        <f t="shared" si="2"/>
        <v>PASS</v>
      </c>
    </row>
    <row r="786">
      <c r="A786" s="15" t="s">
        <v>921</v>
      </c>
      <c r="B786" s="15">
        <v>79.0</v>
      </c>
      <c r="C786" s="16" t="str">
        <f t="shared" si="2"/>
        <v>PASS</v>
      </c>
    </row>
    <row r="787">
      <c r="A787" s="15" t="s">
        <v>922</v>
      </c>
      <c r="B787" s="15">
        <v>70.0</v>
      </c>
      <c r="C787" s="16" t="str">
        <f t="shared" si="2"/>
        <v>PASS</v>
      </c>
    </row>
    <row r="788">
      <c r="A788" s="15" t="s">
        <v>923</v>
      </c>
      <c r="B788" s="15">
        <v>79.0</v>
      </c>
      <c r="C788" s="16" t="str">
        <f t="shared" si="2"/>
        <v>PASS</v>
      </c>
    </row>
    <row r="789">
      <c r="A789" s="15" t="s">
        <v>924</v>
      </c>
      <c r="B789" s="15">
        <v>70.0</v>
      </c>
      <c r="C789" s="16" t="str">
        <f t="shared" si="2"/>
        <v>PASS</v>
      </c>
    </row>
    <row r="790">
      <c r="A790" s="15" t="s">
        <v>925</v>
      </c>
      <c r="B790" s="15">
        <v>70.0</v>
      </c>
      <c r="C790" s="16" t="str">
        <f t="shared" si="2"/>
        <v>PASS</v>
      </c>
    </row>
    <row r="791">
      <c r="A791" s="15" t="s">
        <v>926</v>
      </c>
      <c r="B791" s="15">
        <v>70.0</v>
      </c>
      <c r="C791" s="16" t="str">
        <f t="shared" si="2"/>
        <v>PASS</v>
      </c>
    </row>
    <row r="792">
      <c r="A792" s="15" t="s">
        <v>927</v>
      </c>
      <c r="B792" s="15">
        <v>72.0</v>
      </c>
      <c r="C792" s="16" t="str">
        <f t="shared" si="2"/>
        <v>PASS</v>
      </c>
    </row>
    <row r="793">
      <c r="A793" s="15" t="s">
        <v>928</v>
      </c>
      <c r="B793" s="15">
        <v>70.0</v>
      </c>
      <c r="C793" s="16" t="str">
        <f t="shared" si="2"/>
        <v>PASS</v>
      </c>
    </row>
    <row r="794">
      <c r="A794" s="15" t="s">
        <v>929</v>
      </c>
      <c r="B794" s="15">
        <v>50.0</v>
      </c>
      <c r="C794" s="16" t="str">
        <f t="shared" si="2"/>
        <v>FAIL</v>
      </c>
    </row>
    <row r="795">
      <c r="A795" s="15" t="s">
        <v>930</v>
      </c>
      <c r="B795" s="15">
        <v>77.0</v>
      </c>
      <c r="C795" s="16" t="str">
        <f t="shared" si="2"/>
        <v>PASS</v>
      </c>
    </row>
    <row r="796">
      <c r="A796" s="15" t="s">
        <v>931</v>
      </c>
      <c r="B796" s="15">
        <v>70.0</v>
      </c>
      <c r="C796" s="16" t="str">
        <f t="shared" si="2"/>
        <v>PASS</v>
      </c>
    </row>
    <row r="797">
      <c r="A797" s="15" t="s">
        <v>932</v>
      </c>
      <c r="B797" s="15">
        <v>70.0</v>
      </c>
      <c r="C797" s="16" t="str">
        <f t="shared" si="2"/>
        <v>PASS</v>
      </c>
    </row>
    <row r="798">
      <c r="A798" s="15" t="s">
        <v>933</v>
      </c>
      <c r="B798" s="15">
        <v>70.0</v>
      </c>
      <c r="C798" s="16" t="str">
        <f t="shared" si="2"/>
        <v>PASS</v>
      </c>
    </row>
    <row r="799">
      <c r="A799" s="15" t="s">
        <v>934</v>
      </c>
      <c r="B799" s="15">
        <v>30.0</v>
      </c>
      <c r="C799" s="16" t="str">
        <f t="shared" si="2"/>
        <v>FAIL</v>
      </c>
    </row>
    <row r="800">
      <c r="A800" s="15" t="s">
        <v>935</v>
      </c>
      <c r="B800" s="15">
        <v>5.0</v>
      </c>
      <c r="C800" s="16" t="str">
        <f t="shared" si="2"/>
        <v>FAIL</v>
      </c>
    </row>
    <row r="801">
      <c r="A801" s="15" t="s">
        <v>936</v>
      </c>
      <c r="B801" s="15">
        <v>70.0</v>
      </c>
      <c r="C801" s="16" t="str">
        <f t="shared" si="2"/>
        <v>PASS</v>
      </c>
    </row>
    <row r="802">
      <c r="A802" s="15" t="s">
        <v>937</v>
      </c>
      <c r="B802" s="15">
        <v>82.0</v>
      </c>
      <c r="C802" s="16" t="str">
        <f t="shared" si="2"/>
        <v>PASS</v>
      </c>
    </row>
    <row r="803">
      <c r="A803" s="15" t="s">
        <v>938</v>
      </c>
      <c r="B803" s="15">
        <v>73.0</v>
      </c>
      <c r="C803" s="16" t="str">
        <f t="shared" si="2"/>
        <v>PASS</v>
      </c>
    </row>
    <row r="804">
      <c r="A804" s="15" t="s">
        <v>939</v>
      </c>
      <c r="B804" s="15">
        <v>76.0</v>
      </c>
      <c r="C804" s="16" t="str">
        <f t="shared" si="2"/>
        <v>PASS</v>
      </c>
    </row>
    <row r="805">
      <c r="A805" s="15" t="s">
        <v>940</v>
      </c>
      <c r="B805" s="15">
        <v>58.0</v>
      </c>
      <c r="C805" s="16" t="str">
        <f t="shared" si="2"/>
        <v>FAIL</v>
      </c>
    </row>
    <row r="806">
      <c r="A806" s="15" t="s">
        <v>941</v>
      </c>
      <c r="B806" s="15">
        <v>74.0</v>
      </c>
      <c r="C806" s="16" t="str">
        <f t="shared" si="2"/>
        <v>PASS</v>
      </c>
    </row>
    <row r="807">
      <c r="A807" s="15" t="s">
        <v>942</v>
      </c>
      <c r="B807" s="15">
        <v>76.0</v>
      </c>
      <c r="C807" s="16" t="str">
        <f t="shared" si="2"/>
        <v>PASS</v>
      </c>
    </row>
    <row r="808">
      <c r="A808" s="15" t="s">
        <v>943</v>
      </c>
      <c r="B808" s="15">
        <v>71.0</v>
      </c>
      <c r="C808" s="16" t="str">
        <f t="shared" si="2"/>
        <v>PASS</v>
      </c>
    </row>
    <row r="809">
      <c r="A809" s="15" t="s">
        <v>944</v>
      </c>
      <c r="B809" s="15">
        <v>77.0</v>
      </c>
      <c r="C809" s="16" t="str">
        <f t="shared" si="2"/>
        <v>PASS</v>
      </c>
    </row>
    <row r="810">
      <c r="A810" s="15" t="s">
        <v>945</v>
      </c>
      <c r="B810" s="15">
        <v>70.0</v>
      </c>
      <c r="C810" s="16" t="str">
        <f t="shared" si="2"/>
        <v>PASS</v>
      </c>
    </row>
    <row r="811">
      <c r="A811" s="15" t="s">
        <v>946</v>
      </c>
      <c r="B811" s="15">
        <v>0.0</v>
      </c>
      <c r="C811" s="16" t="str">
        <f t="shared" si="2"/>
        <v>FAIL</v>
      </c>
    </row>
    <row r="812">
      <c r="A812" s="15" t="s">
        <v>947</v>
      </c>
      <c r="B812" s="15">
        <v>72.0</v>
      </c>
      <c r="C812" s="16" t="str">
        <f t="shared" si="2"/>
        <v>PASS</v>
      </c>
    </row>
    <row r="813">
      <c r="A813" s="15" t="s">
        <v>948</v>
      </c>
      <c r="B813" s="15">
        <v>83.0</v>
      </c>
      <c r="C813" s="16" t="str">
        <f t="shared" si="2"/>
        <v>PASS</v>
      </c>
    </row>
    <row r="814">
      <c r="A814" s="15" t="s">
        <v>949</v>
      </c>
      <c r="B814" s="15">
        <v>83.0</v>
      </c>
      <c r="C814" s="16" t="str">
        <f t="shared" si="2"/>
        <v>PASS</v>
      </c>
    </row>
    <row r="815">
      <c r="A815" s="15" t="s">
        <v>950</v>
      </c>
      <c r="B815" s="15">
        <v>79.0</v>
      </c>
      <c r="C815" s="16" t="str">
        <f t="shared" si="2"/>
        <v>PASS</v>
      </c>
    </row>
    <row r="816">
      <c r="A816" s="15" t="s">
        <v>951</v>
      </c>
      <c r="B816" s="15">
        <v>79.0</v>
      </c>
      <c r="C816" s="16" t="str">
        <f t="shared" si="2"/>
        <v>PASS</v>
      </c>
    </row>
    <row r="817">
      <c r="A817" s="15" t="s">
        <v>952</v>
      </c>
      <c r="B817" s="15">
        <v>70.0</v>
      </c>
      <c r="C817" s="16" t="str">
        <f t="shared" si="2"/>
        <v>PASS</v>
      </c>
    </row>
    <row r="818">
      <c r="A818" s="15" t="s">
        <v>953</v>
      </c>
      <c r="B818" s="15">
        <v>70.0</v>
      </c>
      <c r="C818" s="16" t="str">
        <f t="shared" si="2"/>
        <v>PASS</v>
      </c>
    </row>
    <row r="819">
      <c r="A819" s="15" t="s">
        <v>954</v>
      </c>
      <c r="B819" s="15">
        <v>76.0</v>
      </c>
      <c r="C819" s="16" t="str">
        <f t="shared" si="2"/>
        <v>PASS</v>
      </c>
    </row>
    <row r="820">
      <c r="A820" s="15" t="s">
        <v>955</v>
      </c>
      <c r="B820" s="15">
        <v>70.0</v>
      </c>
      <c r="C820" s="16" t="str">
        <f t="shared" si="2"/>
        <v>PASS</v>
      </c>
    </row>
    <row r="821">
      <c r="A821" s="15" t="s">
        <v>956</v>
      </c>
      <c r="B821" s="15">
        <v>70.0</v>
      </c>
      <c r="C821" s="16" t="str">
        <f t="shared" si="2"/>
        <v>PASS</v>
      </c>
    </row>
    <row r="822">
      <c r="A822" s="15" t="s">
        <v>957</v>
      </c>
      <c r="B822" s="15">
        <v>70.0</v>
      </c>
      <c r="C822" s="16" t="str">
        <f t="shared" si="2"/>
        <v>PASS</v>
      </c>
    </row>
    <row r="823">
      <c r="A823" s="15" t="s">
        <v>958</v>
      </c>
      <c r="B823" s="15">
        <v>0.0</v>
      </c>
      <c r="C823" s="16" t="str">
        <f t="shared" si="2"/>
        <v>FAIL</v>
      </c>
    </row>
    <row r="824">
      <c r="A824" s="15" t="s">
        <v>959</v>
      </c>
      <c r="B824" s="15">
        <v>70.0</v>
      </c>
      <c r="C824" s="16" t="str">
        <f t="shared" si="2"/>
        <v>PASS</v>
      </c>
    </row>
    <row r="825">
      <c r="A825" s="15" t="s">
        <v>960</v>
      </c>
      <c r="B825" s="15">
        <v>58.0</v>
      </c>
      <c r="C825" s="16" t="str">
        <f t="shared" si="2"/>
        <v>FAIL</v>
      </c>
    </row>
    <row r="826">
      <c r="A826" s="15" t="s">
        <v>961</v>
      </c>
      <c r="B826" s="15">
        <v>70.0</v>
      </c>
      <c r="C826" s="16" t="str">
        <f t="shared" si="2"/>
        <v>PASS</v>
      </c>
    </row>
    <row r="827">
      <c r="A827" s="15" t="s">
        <v>962</v>
      </c>
      <c r="B827" s="15">
        <v>70.0</v>
      </c>
      <c r="C827" s="16" t="str">
        <f t="shared" si="2"/>
        <v>PASS</v>
      </c>
    </row>
    <row r="828">
      <c r="A828" s="15" t="s">
        <v>963</v>
      </c>
      <c r="B828" s="15">
        <v>71.0</v>
      </c>
      <c r="C828" s="16" t="str">
        <f t="shared" si="2"/>
        <v>PASS</v>
      </c>
    </row>
    <row r="829">
      <c r="A829" s="15" t="s">
        <v>964</v>
      </c>
      <c r="B829" s="15">
        <v>67.0</v>
      </c>
      <c r="C829" s="16" t="str">
        <f t="shared" si="2"/>
        <v>FAIL</v>
      </c>
    </row>
    <row r="830">
      <c r="A830" s="15" t="s">
        <v>965</v>
      </c>
      <c r="B830" s="15">
        <v>70.0</v>
      </c>
      <c r="C830" s="16" t="str">
        <f t="shared" si="2"/>
        <v>PASS</v>
      </c>
    </row>
    <row r="831">
      <c r="A831" s="15" t="s">
        <v>966</v>
      </c>
      <c r="B831" s="15">
        <v>90.0</v>
      </c>
      <c r="C831" s="16" t="str">
        <f t="shared" si="2"/>
        <v>PASS</v>
      </c>
    </row>
    <row r="832">
      <c r="A832" s="15" t="s">
        <v>967</v>
      </c>
      <c r="B832" s="15">
        <v>87.0</v>
      </c>
      <c r="C832" s="16" t="str">
        <f t="shared" si="2"/>
        <v>PASS</v>
      </c>
    </row>
    <row r="833">
      <c r="A833" s="15" t="s">
        <v>968</v>
      </c>
      <c r="B833" s="15">
        <v>70.0</v>
      </c>
      <c r="C833" s="16" t="str">
        <f t="shared" si="2"/>
        <v>PASS</v>
      </c>
    </row>
    <row r="834">
      <c r="A834" s="15" t="s">
        <v>969</v>
      </c>
      <c r="B834" s="15">
        <v>70.0</v>
      </c>
      <c r="C834" s="16" t="str">
        <f t="shared" si="2"/>
        <v>PASS</v>
      </c>
    </row>
    <row r="835">
      <c r="A835" s="15" t="s">
        <v>970</v>
      </c>
      <c r="B835" s="15">
        <v>76.0</v>
      </c>
      <c r="C835" s="16" t="str">
        <f t="shared" si="2"/>
        <v>PASS</v>
      </c>
    </row>
    <row r="836">
      <c r="A836" s="15" t="s">
        <v>971</v>
      </c>
      <c r="B836" s="15">
        <v>70.0</v>
      </c>
      <c r="C836" s="16" t="str">
        <f t="shared" si="2"/>
        <v>PASS</v>
      </c>
    </row>
    <row r="837">
      <c r="A837" s="15" t="s">
        <v>972</v>
      </c>
      <c r="B837" s="15">
        <v>70.0</v>
      </c>
      <c r="C837" s="16" t="str">
        <f t="shared" si="2"/>
        <v>PASS</v>
      </c>
    </row>
    <row r="838">
      <c r="A838" s="15" t="s">
        <v>973</v>
      </c>
      <c r="B838" s="15">
        <v>15.0</v>
      </c>
      <c r="C838" s="16" t="str">
        <f t="shared" si="2"/>
        <v>FAIL</v>
      </c>
    </row>
    <row r="839">
      <c r="A839" s="15" t="s">
        <v>974</v>
      </c>
      <c r="B839" s="15">
        <v>74.0</v>
      </c>
      <c r="C839" s="16" t="str">
        <f t="shared" si="2"/>
        <v>PASS</v>
      </c>
    </row>
    <row r="840">
      <c r="A840" s="15" t="s">
        <v>975</v>
      </c>
      <c r="B840" s="15">
        <v>82.0</v>
      </c>
      <c r="C840" s="16" t="str">
        <f t="shared" si="2"/>
        <v>PASS</v>
      </c>
    </row>
    <row r="841">
      <c r="A841" s="15" t="s">
        <v>976</v>
      </c>
      <c r="B841" s="15">
        <v>71.0</v>
      </c>
      <c r="C841" s="16" t="str">
        <f t="shared" si="2"/>
        <v>PASS</v>
      </c>
    </row>
    <row r="842">
      <c r="A842" s="15" t="s">
        <v>977</v>
      </c>
      <c r="B842" s="15">
        <v>83.0</v>
      </c>
      <c r="C842" s="16" t="str">
        <f t="shared" si="2"/>
        <v>PASS</v>
      </c>
    </row>
    <row r="843">
      <c r="A843" s="15" t="s">
        <v>978</v>
      </c>
      <c r="B843" s="15">
        <v>71.0</v>
      </c>
      <c r="C843" s="16" t="str">
        <f t="shared" si="2"/>
        <v>PASS</v>
      </c>
    </row>
    <row r="844">
      <c r="A844" s="15" t="s">
        <v>979</v>
      </c>
      <c r="B844" s="15">
        <v>70.0</v>
      </c>
      <c r="C844" s="16" t="str">
        <f t="shared" si="2"/>
        <v>PASS</v>
      </c>
    </row>
    <row r="845">
      <c r="A845" s="15" t="s">
        <v>980</v>
      </c>
      <c r="B845" s="15">
        <v>60.0</v>
      </c>
      <c r="C845" s="16" t="str">
        <f t="shared" si="2"/>
        <v>FAIL</v>
      </c>
    </row>
    <row r="846">
      <c r="A846" s="15" t="s">
        <v>981</v>
      </c>
      <c r="B846" s="15">
        <v>70.0</v>
      </c>
      <c r="C846" s="16" t="str">
        <f t="shared" si="2"/>
        <v>PASS</v>
      </c>
    </row>
    <row r="847">
      <c r="A847" s="15" t="s">
        <v>982</v>
      </c>
      <c r="B847" s="15">
        <v>70.0</v>
      </c>
      <c r="C847" s="16" t="str">
        <f t="shared" si="2"/>
        <v>PASS</v>
      </c>
    </row>
    <row r="848">
      <c r="A848" s="15" t="s">
        <v>983</v>
      </c>
      <c r="B848" s="15">
        <v>85.0</v>
      </c>
      <c r="C848" s="16" t="str">
        <f t="shared" si="2"/>
        <v>PASS</v>
      </c>
    </row>
    <row r="849">
      <c r="A849" s="15" t="s">
        <v>984</v>
      </c>
      <c r="B849" s="15">
        <v>76.0</v>
      </c>
      <c r="C849" s="16" t="str">
        <f t="shared" si="2"/>
        <v>PASS</v>
      </c>
    </row>
    <row r="850">
      <c r="A850" s="15" t="s">
        <v>985</v>
      </c>
      <c r="B850" s="15">
        <v>75.0</v>
      </c>
      <c r="C850" s="16" t="str">
        <f t="shared" si="2"/>
        <v>PASS</v>
      </c>
    </row>
    <row r="851">
      <c r="A851" s="15" t="s">
        <v>986</v>
      </c>
      <c r="B851" s="15">
        <v>22.0</v>
      </c>
      <c r="C851" s="16" t="str">
        <f t="shared" si="2"/>
        <v>FAIL</v>
      </c>
    </row>
    <row r="852">
      <c r="A852" s="15" t="s">
        <v>987</v>
      </c>
      <c r="B852" s="15">
        <v>67.0</v>
      </c>
      <c r="C852" s="16" t="str">
        <f t="shared" si="2"/>
        <v>FAIL</v>
      </c>
    </row>
    <row r="853">
      <c r="A853" s="15" t="s">
        <v>988</v>
      </c>
      <c r="B853" s="15">
        <v>81.0</v>
      </c>
      <c r="C853" s="16" t="str">
        <f t="shared" si="2"/>
        <v>PASS</v>
      </c>
    </row>
    <row r="854">
      <c r="A854" s="15" t="s">
        <v>989</v>
      </c>
      <c r="B854" s="15">
        <v>84.0</v>
      </c>
      <c r="C854" s="16" t="str">
        <f t="shared" si="2"/>
        <v>PASS</v>
      </c>
    </row>
    <row r="855">
      <c r="A855" s="15" t="s">
        <v>990</v>
      </c>
      <c r="B855" s="15">
        <v>77.0</v>
      </c>
      <c r="C855" s="16" t="str">
        <f t="shared" si="2"/>
        <v>PASS</v>
      </c>
    </row>
    <row r="856">
      <c r="A856" s="15" t="s">
        <v>991</v>
      </c>
      <c r="B856" s="15">
        <v>79.0</v>
      </c>
      <c r="C856" s="16" t="str">
        <f t="shared" si="2"/>
        <v>PASS</v>
      </c>
    </row>
    <row r="857">
      <c r="A857" s="15" t="s">
        <v>992</v>
      </c>
      <c r="B857" s="15">
        <v>69.0</v>
      </c>
      <c r="C857" s="16" t="str">
        <f t="shared" si="2"/>
        <v>FAIL</v>
      </c>
    </row>
    <row r="858">
      <c r="A858" s="15" t="s">
        <v>993</v>
      </c>
      <c r="B858" s="15">
        <v>72.0</v>
      </c>
      <c r="C858" s="16" t="str">
        <f t="shared" si="2"/>
        <v>PASS</v>
      </c>
    </row>
    <row r="859">
      <c r="A859" s="15" t="s">
        <v>994</v>
      </c>
      <c r="B859" s="15">
        <v>75.0</v>
      </c>
      <c r="C859" s="16" t="str">
        <f t="shared" si="2"/>
        <v>PASS</v>
      </c>
    </row>
    <row r="860">
      <c r="A860" s="15" t="s">
        <v>995</v>
      </c>
      <c r="B860" s="15">
        <v>47.0</v>
      </c>
      <c r="C860" s="16" t="str">
        <f t="shared" si="2"/>
        <v>FAIL</v>
      </c>
    </row>
    <row r="861">
      <c r="A861" s="15" t="s">
        <v>996</v>
      </c>
      <c r="B861" s="15">
        <v>76.0</v>
      </c>
      <c r="C861" s="16" t="str">
        <f t="shared" si="2"/>
        <v>PASS</v>
      </c>
    </row>
    <row r="862">
      <c r="A862" s="15" t="s">
        <v>997</v>
      </c>
      <c r="B862" s="15">
        <v>28.0</v>
      </c>
      <c r="C862" s="16" t="str">
        <f t="shared" si="2"/>
        <v>FAIL</v>
      </c>
    </row>
    <row r="863">
      <c r="A863" s="15" t="s">
        <v>998</v>
      </c>
      <c r="B863" s="15">
        <v>70.0</v>
      </c>
      <c r="C863" s="16" t="str">
        <f t="shared" si="2"/>
        <v>PASS</v>
      </c>
    </row>
    <row r="864">
      <c r="A864" s="15" t="s">
        <v>999</v>
      </c>
      <c r="B864" s="15">
        <v>79.0</v>
      </c>
      <c r="C864" s="16" t="str">
        <f t="shared" si="2"/>
        <v>PASS</v>
      </c>
    </row>
    <row r="865">
      <c r="A865" s="15" t="s">
        <v>1000</v>
      </c>
      <c r="B865" s="15">
        <v>88.0</v>
      </c>
      <c r="C865" s="16" t="str">
        <f t="shared" si="2"/>
        <v>PASS</v>
      </c>
    </row>
    <row r="866">
      <c r="A866" s="15" t="s">
        <v>1001</v>
      </c>
      <c r="B866" s="15">
        <v>57.0</v>
      </c>
      <c r="C866" s="16" t="str">
        <f t="shared" si="2"/>
        <v>FAIL</v>
      </c>
    </row>
    <row r="867">
      <c r="A867" s="15" t="s">
        <v>1002</v>
      </c>
      <c r="B867" s="15">
        <v>70.0</v>
      </c>
      <c r="C867" s="16" t="str">
        <f t="shared" si="2"/>
        <v>PASS</v>
      </c>
    </row>
    <row r="868">
      <c r="A868" s="15" t="s">
        <v>1003</v>
      </c>
      <c r="B868" s="15">
        <v>70.0</v>
      </c>
      <c r="C868" s="16" t="str">
        <f t="shared" si="2"/>
        <v>PASS</v>
      </c>
    </row>
    <row r="869">
      <c r="A869" s="15" t="s">
        <v>1004</v>
      </c>
      <c r="B869" s="15">
        <v>77.0</v>
      </c>
      <c r="C869" s="16" t="str">
        <f t="shared" si="2"/>
        <v>PASS</v>
      </c>
    </row>
    <row r="870">
      <c r="A870" s="15" t="s">
        <v>1005</v>
      </c>
      <c r="B870" s="15">
        <v>38.0</v>
      </c>
      <c r="C870" s="16" t="str">
        <f t="shared" si="2"/>
        <v>FAIL</v>
      </c>
    </row>
    <row r="871">
      <c r="A871" s="15" t="s">
        <v>1006</v>
      </c>
      <c r="B871" s="15">
        <v>70.0</v>
      </c>
      <c r="C871" s="16" t="str">
        <f t="shared" si="2"/>
        <v>PASS</v>
      </c>
    </row>
    <row r="872">
      <c r="A872" s="15" t="s">
        <v>1007</v>
      </c>
      <c r="B872" s="15">
        <v>39.0</v>
      </c>
      <c r="C872" s="16" t="str">
        <f t="shared" si="2"/>
        <v>FAIL</v>
      </c>
    </row>
    <row r="873">
      <c r="A873" s="15" t="s">
        <v>1008</v>
      </c>
      <c r="B873" s="15">
        <v>39.0</v>
      </c>
      <c r="C873" s="16" t="str">
        <f t="shared" si="2"/>
        <v>FAIL</v>
      </c>
    </row>
    <row r="874">
      <c r="A874" s="15" t="s">
        <v>1009</v>
      </c>
      <c r="B874" s="15">
        <v>61.0</v>
      </c>
      <c r="C874" s="16" t="str">
        <f t="shared" si="2"/>
        <v>FAIL</v>
      </c>
    </row>
    <row r="875">
      <c r="A875" s="15" t="s">
        <v>1010</v>
      </c>
      <c r="B875" s="15">
        <v>74.0</v>
      </c>
      <c r="C875" s="16" t="str">
        <f t="shared" si="2"/>
        <v>PASS</v>
      </c>
    </row>
    <row r="876">
      <c r="A876" s="15" t="s">
        <v>1011</v>
      </c>
      <c r="B876" s="15">
        <v>38.0</v>
      </c>
      <c r="C876" s="16" t="str">
        <f t="shared" si="2"/>
        <v>FAIL</v>
      </c>
    </row>
    <row r="877">
      <c r="A877" s="15" t="s">
        <v>1012</v>
      </c>
      <c r="B877" s="15">
        <v>67.0</v>
      </c>
      <c r="C877" s="16" t="str">
        <f t="shared" si="2"/>
        <v>FAIL</v>
      </c>
    </row>
    <row r="878">
      <c r="A878" s="15" t="s">
        <v>1013</v>
      </c>
      <c r="B878" s="15">
        <v>73.0</v>
      </c>
      <c r="C878" s="16" t="str">
        <f t="shared" si="2"/>
        <v>PASS</v>
      </c>
    </row>
    <row r="879">
      <c r="A879" s="15" t="s">
        <v>1014</v>
      </c>
      <c r="B879" s="15">
        <v>15.0</v>
      </c>
      <c r="C879" s="16" t="str">
        <f t="shared" si="2"/>
        <v>FAIL</v>
      </c>
    </row>
    <row r="880">
      <c r="A880" s="15" t="s">
        <v>1015</v>
      </c>
      <c r="B880" s="15">
        <v>70.0</v>
      </c>
      <c r="C880" s="16" t="str">
        <f t="shared" si="2"/>
        <v>PASS</v>
      </c>
    </row>
    <row r="881">
      <c r="A881" s="15" t="s">
        <v>1016</v>
      </c>
      <c r="B881" s="15">
        <v>70.0</v>
      </c>
      <c r="C881" s="16" t="str">
        <f t="shared" si="2"/>
        <v>PASS</v>
      </c>
    </row>
    <row r="882">
      <c r="A882" s="15" t="s">
        <v>1017</v>
      </c>
      <c r="B882" s="15">
        <v>75.0</v>
      </c>
      <c r="C882" s="16" t="str">
        <f t="shared" si="2"/>
        <v>PASS</v>
      </c>
    </row>
    <row r="883">
      <c r="A883" s="15" t="s">
        <v>1018</v>
      </c>
      <c r="B883" s="15">
        <v>76.0</v>
      </c>
      <c r="C883" s="16" t="str">
        <f t="shared" si="2"/>
        <v>PASS</v>
      </c>
    </row>
    <row r="884">
      <c r="A884" s="15" t="s">
        <v>1019</v>
      </c>
      <c r="B884" s="15">
        <v>75.0</v>
      </c>
      <c r="C884" s="16" t="str">
        <f t="shared" si="2"/>
        <v>PASS</v>
      </c>
    </row>
    <row r="885">
      <c r="A885" s="15" t="s">
        <v>1020</v>
      </c>
      <c r="B885" s="15">
        <v>72.0</v>
      </c>
      <c r="C885" s="16" t="str">
        <f t="shared" si="2"/>
        <v>PASS</v>
      </c>
    </row>
    <row r="886">
      <c r="A886" s="15" t="s">
        <v>1021</v>
      </c>
      <c r="B886" s="15">
        <v>47.0</v>
      </c>
      <c r="C886" s="16" t="str">
        <f t="shared" si="2"/>
        <v>FAIL</v>
      </c>
    </row>
    <row r="887">
      <c r="A887" s="15" t="s">
        <v>1022</v>
      </c>
      <c r="B887" s="15">
        <v>70.0</v>
      </c>
      <c r="C887" s="16" t="str">
        <f t="shared" si="2"/>
        <v>PASS</v>
      </c>
    </row>
    <row r="888">
      <c r="A888" s="15" t="s">
        <v>1023</v>
      </c>
      <c r="B888" s="15">
        <v>73.0</v>
      </c>
      <c r="C888" s="16" t="str">
        <f t="shared" si="2"/>
        <v>PASS</v>
      </c>
    </row>
    <row r="889">
      <c r="A889" s="15" t="s">
        <v>1024</v>
      </c>
      <c r="B889" s="15">
        <v>70.0</v>
      </c>
      <c r="C889" s="16" t="str">
        <f t="shared" si="2"/>
        <v>PASS</v>
      </c>
    </row>
    <row r="890">
      <c r="A890" s="15" t="s">
        <v>1025</v>
      </c>
      <c r="B890" s="15">
        <v>76.0</v>
      </c>
      <c r="C890" s="16" t="str">
        <f t="shared" si="2"/>
        <v>PASS</v>
      </c>
    </row>
    <row r="891">
      <c r="A891" s="15" t="s">
        <v>1026</v>
      </c>
      <c r="B891" s="15">
        <v>70.0</v>
      </c>
      <c r="C891" s="16" t="str">
        <f t="shared" si="2"/>
        <v>PASS</v>
      </c>
    </row>
    <row r="892">
      <c r="A892" s="15" t="s">
        <v>1027</v>
      </c>
      <c r="B892" s="15">
        <v>70.0</v>
      </c>
      <c r="C892" s="16" t="str">
        <f t="shared" si="2"/>
        <v>PASS</v>
      </c>
    </row>
    <row r="893">
      <c r="A893" s="15" t="s">
        <v>1028</v>
      </c>
      <c r="B893" s="15">
        <v>50.5</v>
      </c>
      <c r="C893" s="16" t="str">
        <f t="shared" si="2"/>
        <v>FAIL</v>
      </c>
    </row>
    <row r="894">
      <c r="A894" s="15" t="s">
        <v>1029</v>
      </c>
      <c r="B894" s="15">
        <v>82.0</v>
      </c>
      <c r="C894" s="16" t="str">
        <f t="shared" si="2"/>
        <v>PASS</v>
      </c>
    </row>
    <row r="895">
      <c r="A895" s="15" t="s">
        <v>1030</v>
      </c>
      <c r="B895" s="15">
        <v>79.0</v>
      </c>
      <c r="C895" s="16" t="str">
        <f t="shared" si="2"/>
        <v>PASS</v>
      </c>
    </row>
    <row r="896">
      <c r="A896" s="15" t="s">
        <v>1031</v>
      </c>
      <c r="B896" s="15">
        <v>72.0</v>
      </c>
      <c r="C896" s="16" t="str">
        <f t="shared" si="2"/>
        <v>PASS</v>
      </c>
    </row>
    <row r="897">
      <c r="A897" s="15" t="s">
        <v>1032</v>
      </c>
      <c r="B897" s="15">
        <v>70.0</v>
      </c>
      <c r="C897" s="16" t="str">
        <f t="shared" si="2"/>
        <v>PASS</v>
      </c>
    </row>
    <row r="898">
      <c r="A898" s="15" t="s">
        <v>1033</v>
      </c>
      <c r="B898" s="15">
        <v>73.0</v>
      </c>
      <c r="C898" s="16" t="str">
        <f t="shared" si="2"/>
        <v>PASS</v>
      </c>
    </row>
    <row r="899">
      <c r="A899" s="15" t="s">
        <v>1034</v>
      </c>
      <c r="B899" s="15">
        <v>30.0</v>
      </c>
      <c r="C899" s="16" t="str">
        <f t="shared" si="2"/>
        <v>FAIL</v>
      </c>
    </row>
    <row r="900">
      <c r="A900" s="15" t="s">
        <v>1035</v>
      </c>
      <c r="B900" s="15">
        <v>33.0</v>
      </c>
      <c r="C900" s="16" t="str">
        <f t="shared" si="2"/>
        <v>FAIL</v>
      </c>
    </row>
    <row r="901">
      <c r="A901" s="15" t="s">
        <v>1036</v>
      </c>
      <c r="B901" s="15">
        <v>85.0</v>
      </c>
      <c r="C901" s="16" t="str">
        <f t="shared" si="2"/>
        <v>PASS</v>
      </c>
    </row>
    <row r="902">
      <c r="A902" s="15" t="s">
        <v>1037</v>
      </c>
      <c r="B902" s="15">
        <v>53.0</v>
      </c>
      <c r="C902" s="16" t="str">
        <f t="shared" si="2"/>
        <v>FAIL</v>
      </c>
    </row>
    <row r="903">
      <c r="A903" s="15" t="s">
        <v>1038</v>
      </c>
      <c r="B903" s="15">
        <v>22.0</v>
      </c>
      <c r="C903" s="16" t="str">
        <f t="shared" si="2"/>
        <v>FAIL</v>
      </c>
    </row>
    <row r="904">
      <c r="A904" s="15" t="s">
        <v>1039</v>
      </c>
      <c r="B904" s="15">
        <v>70.0</v>
      </c>
      <c r="C904" s="16" t="str">
        <f t="shared" si="2"/>
        <v>PASS</v>
      </c>
    </row>
    <row r="905">
      <c r="A905" s="15" t="s">
        <v>1040</v>
      </c>
      <c r="B905" s="15">
        <v>73.0</v>
      </c>
      <c r="C905" s="16" t="str">
        <f t="shared" si="2"/>
        <v>PASS</v>
      </c>
    </row>
    <row r="906">
      <c r="A906" s="15" t="s">
        <v>1041</v>
      </c>
      <c r="B906" s="15">
        <v>70.0</v>
      </c>
      <c r="C906" s="16" t="str">
        <f t="shared" si="2"/>
        <v>PASS</v>
      </c>
    </row>
    <row r="907">
      <c r="A907" s="15" t="s">
        <v>1042</v>
      </c>
      <c r="B907" s="15">
        <v>50.0</v>
      </c>
      <c r="C907" s="16" t="str">
        <f t="shared" si="2"/>
        <v>FAIL</v>
      </c>
    </row>
    <row r="908">
      <c r="A908" s="15" t="s">
        <v>1043</v>
      </c>
      <c r="B908" s="15">
        <v>62.0</v>
      </c>
      <c r="C908" s="16" t="str">
        <f t="shared" si="2"/>
        <v>FAIL</v>
      </c>
    </row>
    <row r="909">
      <c r="A909" s="15" t="s">
        <v>1044</v>
      </c>
      <c r="B909" s="15">
        <v>55.0</v>
      </c>
      <c r="C909" s="16" t="str">
        <f t="shared" si="2"/>
        <v>FAIL</v>
      </c>
    </row>
    <row r="910">
      <c r="A910" s="15" t="s">
        <v>1045</v>
      </c>
      <c r="B910" s="15">
        <v>70.0</v>
      </c>
      <c r="C910" s="16" t="str">
        <f t="shared" si="2"/>
        <v>PASS</v>
      </c>
    </row>
    <row r="911">
      <c r="A911" s="15" t="s">
        <v>1046</v>
      </c>
      <c r="B911" s="15">
        <v>79.0</v>
      </c>
      <c r="C911" s="16" t="str">
        <f t="shared" si="2"/>
        <v>PASS</v>
      </c>
    </row>
    <row r="912">
      <c r="A912" s="15" t="s">
        <v>1047</v>
      </c>
      <c r="B912" s="15">
        <v>72.0</v>
      </c>
      <c r="C912" s="16" t="str">
        <f t="shared" si="2"/>
        <v>PASS</v>
      </c>
    </row>
    <row r="913">
      <c r="A913" s="15" t="s">
        <v>1048</v>
      </c>
      <c r="B913" s="15">
        <v>85.0</v>
      </c>
      <c r="C913" s="16" t="str">
        <f t="shared" si="2"/>
        <v>PASS</v>
      </c>
    </row>
    <row r="914">
      <c r="A914" s="15" t="s">
        <v>1049</v>
      </c>
      <c r="B914" s="15">
        <v>79.0</v>
      </c>
      <c r="C914" s="16" t="str">
        <f t="shared" si="2"/>
        <v>PASS</v>
      </c>
    </row>
    <row r="915">
      <c r="A915" s="15" t="s">
        <v>1050</v>
      </c>
      <c r="B915" s="15">
        <v>53.0</v>
      </c>
      <c r="C915" s="16" t="str">
        <f t="shared" si="2"/>
        <v>FAIL</v>
      </c>
    </row>
    <row r="916">
      <c r="A916" s="15" t="s">
        <v>1051</v>
      </c>
      <c r="B916" s="15">
        <v>78.0</v>
      </c>
      <c r="C916" s="16" t="str">
        <f t="shared" si="2"/>
        <v>PASS</v>
      </c>
    </row>
    <row r="917">
      <c r="A917" s="15" t="s">
        <v>1052</v>
      </c>
      <c r="B917" s="15">
        <v>70.0</v>
      </c>
      <c r="C917" s="16" t="str">
        <f t="shared" si="2"/>
        <v>PASS</v>
      </c>
    </row>
    <row r="918">
      <c r="A918" s="15" t="s">
        <v>1053</v>
      </c>
      <c r="B918" s="15">
        <v>70.0</v>
      </c>
      <c r="C918" s="16" t="str">
        <f t="shared" si="2"/>
        <v>PASS</v>
      </c>
    </row>
    <row r="919">
      <c r="A919" s="15" t="s">
        <v>1054</v>
      </c>
      <c r="B919" s="15">
        <v>70.0</v>
      </c>
      <c r="C919" s="16" t="str">
        <f t="shared" si="2"/>
        <v>PASS</v>
      </c>
    </row>
    <row r="920">
      <c r="A920" s="15" t="s">
        <v>1055</v>
      </c>
      <c r="B920" s="15">
        <v>78.0</v>
      </c>
      <c r="C920" s="16" t="str">
        <f t="shared" si="2"/>
        <v>PASS</v>
      </c>
    </row>
    <row r="921">
      <c r="A921" s="15" t="s">
        <v>1056</v>
      </c>
      <c r="B921" s="15">
        <v>22.0</v>
      </c>
      <c r="C921" s="16" t="str">
        <f t="shared" si="2"/>
        <v>FAIL</v>
      </c>
    </row>
    <row r="922">
      <c r="A922" s="15" t="s">
        <v>1057</v>
      </c>
      <c r="B922" s="15">
        <v>72.0</v>
      </c>
      <c r="C922" s="16" t="str">
        <f t="shared" si="2"/>
        <v>PASS</v>
      </c>
    </row>
    <row r="923">
      <c r="A923" s="15" t="s">
        <v>1058</v>
      </c>
      <c r="B923" s="15">
        <v>44.0</v>
      </c>
      <c r="C923" s="16" t="str">
        <f t="shared" si="2"/>
        <v>FAIL</v>
      </c>
    </row>
    <row r="924">
      <c r="A924" s="15" t="s">
        <v>1059</v>
      </c>
      <c r="B924" s="15">
        <v>77.0</v>
      </c>
      <c r="C924" s="16" t="str">
        <f t="shared" si="2"/>
        <v>PASS</v>
      </c>
    </row>
    <row r="925">
      <c r="A925" s="15" t="s">
        <v>1060</v>
      </c>
      <c r="B925" s="15">
        <v>74.0</v>
      </c>
      <c r="C925" s="16" t="str">
        <f t="shared" si="2"/>
        <v>PASS</v>
      </c>
    </row>
    <row r="926">
      <c r="A926" s="15" t="s">
        <v>1061</v>
      </c>
      <c r="B926" s="15">
        <v>78.0</v>
      </c>
      <c r="C926" s="16" t="str">
        <f t="shared" si="2"/>
        <v>PASS</v>
      </c>
    </row>
    <row r="927">
      <c r="A927" s="15" t="s">
        <v>1062</v>
      </c>
      <c r="B927" s="15">
        <v>3.0</v>
      </c>
      <c r="C927" s="16" t="str">
        <f t="shared" si="2"/>
        <v>FAIL</v>
      </c>
    </row>
    <row r="928">
      <c r="A928" s="15" t="s">
        <v>1063</v>
      </c>
      <c r="B928" s="15">
        <v>70.0</v>
      </c>
      <c r="C928" s="16" t="str">
        <f t="shared" si="2"/>
        <v>PASS</v>
      </c>
    </row>
    <row r="929">
      <c r="A929" s="15" t="s">
        <v>1064</v>
      </c>
      <c r="B929" s="15">
        <v>28.0</v>
      </c>
      <c r="C929" s="16" t="str">
        <f t="shared" si="2"/>
        <v>FAIL</v>
      </c>
    </row>
    <row r="930">
      <c r="A930" s="15" t="s">
        <v>1065</v>
      </c>
      <c r="B930" s="15">
        <v>70.0</v>
      </c>
      <c r="C930" s="16" t="str">
        <f t="shared" si="2"/>
        <v>PASS</v>
      </c>
    </row>
    <row r="931">
      <c r="A931" s="15" t="s">
        <v>1066</v>
      </c>
      <c r="B931" s="15">
        <v>70.0</v>
      </c>
      <c r="C931" s="16" t="str">
        <f t="shared" si="2"/>
        <v>PASS</v>
      </c>
    </row>
    <row r="932">
      <c r="A932" s="15" t="s">
        <v>1067</v>
      </c>
      <c r="B932" s="15">
        <v>75.0</v>
      </c>
      <c r="C932" s="16" t="str">
        <f t="shared" si="2"/>
        <v>PASS</v>
      </c>
    </row>
    <row r="933">
      <c r="A933" s="15" t="s">
        <v>1068</v>
      </c>
      <c r="B933" s="15">
        <v>83.0</v>
      </c>
      <c r="C933" s="16" t="str">
        <f t="shared" si="2"/>
        <v>PASS</v>
      </c>
    </row>
    <row r="934">
      <c r="A934" s="15" t="s">
        <v>1069</v>
      </c>
      <c r="B934" s="15">
        <v>75.0</v>
      </c>
      <c r="C934" s="16" t="str">
        <f t="shared" si="2"/>
        <v>PASS</v>
      </c>
    </row>
    <row r="935">
      <c r="A935" s="15" t="s">
        <v>1070</v>
      </c>
      <c r="B935" s="15">
        <v>72.0</v>
      </c>
      <c r="C935" s="16" t="str">
        <f t="shared" si="2"/>
        <v>PASS</v>
      </c>
    </row>
    <row r="936">
      <c r="A936" s="15" t="s">
        <v>1071</v>
      </c>
      <c r="B936" s="15">
        <v>70.0</v>
      </c>
      <c r="C936" s="16" t="str">
        <f t="shared" si="2"/>
        <v>PASS</v>
      </c>
    </row>
    <row r="937">
      <c r="A937" s="15" t="s">
        <v>1072</v>
      </c>
      <c r="B937" s="15">
        <v>31.0</v>
      </c>
      <c r="C937" s="16" t="str">
        <f t="shared" si="2"/>
        <v>FAIL</v>
      </c>
    </row>
    <row r="938">
      <c r="A938" s="15" t="s">
        <v>1073</v>
      </c>
      <c r="B938" s="15">
        <v>48.0</v>
      </c>
      <c r="C938" s="16" t="str">
        <f t="shared" si="2"/>
        <v>FAIL</v>
      </c>
    </row>
    <row r="939">
      <c r="A939" s="15" t="s">
        <v>1074</v>
      </c>
      <c r="B939" s="15">
        <v>70.0</v>
      </c>
      <c r="C939" s="16" t="str">
        <f t="shared" si="2"/>
        <v>PASS</v>
      </c>
    </row>
    <row r="940">
      <c r="A940" s="15" t="s">
        <v>1075</v>
      </c>
      <c r="B940" s="15">
        <v>56.0</v>
      </c>
      <c r="C940" s="16" t="str">
        <f t="shared" si="2"/>
        <v>FAIL</v>
      </c>
    </row>
    <row r="941">
      <c r="A941" s="15" t="s">
        <v>1076</v>
      </c>
      <c r="B941" s="15">
        <v>77.0</v>
      </c>
      <c r="C941" s="16" t="str">
        <f t="shared" si="2"/>
        <v>PASS</v>
      </c>
    </row>
    <row r="942">
      <c r="A942" s="15" t="s">
        <v>1077</v>
      </c>
      <c r="B942" s="15">
        <v>67.0</v>
      </c>
      <c r="C942" s="16" t="str">
        <f t="shared" si="2"/>
        <v>FAIL</v>
      </c>
    </row>
    <row r="943">
      <c r="A943" s="15" t="s">
        <v>1078</v>
      </c>
      <c r="B943" s="15">
        <v>61.0</v>
      </c>
      <c r="C943" s="16" t="str">
        <f t="shared" si="2"/>
        <v>FAIL</v>
      </c>
    </row>
    <row r="944">
      <c r="A944" s="15" t="s">
        <v>1079</v>
      </c>
      <c r="B944" s="15">
        <v>70.0</v>
      </c>
      <c r="C944" s="16" t="str">
        <f t="shared" si="2"/>
        <v>PASS</v>
      </c>
    </row>
    <row r="945">
      <c r="A945" s="15" t="s">
        <v>1080</v>
      </c>
      <c r="B945" s="15">
        <v>60.0</v>
      </c>
      <c r="C945" s="16" t="str">
        <f t="shared" si="2"/>
        <v>FAIL</v>
      </c>
    </row>
    <row r="946">
      <c r="A946" s="15" t="s">
        <v>1081</v>
      </c>
      <c r="B946" s="15">
        <v>70.0</v>
      </c>
      <c r="C946" s="16" t="str">
        <f t="shared" si="2"/>
        <v>PASS</v>
      </c>
    </row>
    <row r="947">
      <c r="A947" s="15" t="s">
        <v>1082</v>
      </c>
      <c r="B947" s="15">
        <v>70.0</v>
      </c>
      <c r="C947" s="16" t="str">
        <f t="shared" si="2"/>
        <v>PASS</v>
      </c>
    </row>
    <row r="948">
      <c r="A948" s="15" t="s">
        <v>1083</v>
      </c>
      <c r="B948" s="15">
        <v>70.0</v>
      </c>
      <c r="C948" s="16" t="str">
        <f t="shared" si="2"/>
        <v>PASS</v>
      </c>
    </row>
    <row r="949">
      <c r="A949" s="15" t="s">
        <v>1084</v>
      </c>
      <c r="B949" s="15">
        <v>67.0</v>
      </c>
      <c r="C949" s="16" t="str">
        <f t="shared" si="2"/>
        <v>FAIL</v>
      </c>
    </row>
    <row r="950">
      <c r="A950" s="15" t="s">
        <v>1085</v>
      </c>
      <c r="B950" s="15">
        <v>70.0</v>
      </c>
      <c r="C950" s="16" t="str">
        <f t="shared" si="2"/>
        <v>PASS</v>
      </c>
    </row>
    <row r="951">
      <c r="A951" s="15" t="s">
        <v>1086</v>
      </c>
      <c r="B951" s="15">
        <v>70.0</v>
      </c>
      <c r="C951" s="16" t="str">
        <f t="shared" si="2"/>
        <v>PASS</v>
      </c>
    </row>
    <row r="952">
      <c r="A952" s="15" t="s">
        <v>1087</v>
      </c>
      <c r="B952" s="15">
        <v>70.0</v>
      </c>
      <c r="C952" s="16" t="str">
        <f t="shared" si="2"/>
        <v>PASS</v>
      </c>
    </row>
    <row r="953">
      <c r="A953" s="15" t="s">
        <v>1088</v>
      </c>
      <c r="B953" s="15">
        <v>0.0</v>
      </c>
      <c r="C953" s="16" t="str">
        <f t="shared" si="2"/>
        <v>FAIL</v>
      </c>
    </row>
    <row r="954">
      <c r="A954" s="15" t="s">
        <v>1089</v>
      </c>
      <c r="B954" s="15">
        <v>70.0</v>
      </c>
      <c r="C954" s="16" t="str">
        <f t="shared" si="2"/>
        <v>PASS</v>
      </c>
    </row>
    <row r="955">
      <c r="A955" s="15" t="s">
        <v>1090</v>
      </c>
      <c r="B955" s="15">
        <v>70.0</v>
      </c>
      <c r="C955" s="16" t="str">
        <f t="shared" si="2"/>
        <v>PASS</v>
      </c>
    </row>
    <row r="956">
      <c r="A956" s="15" t="s">
        <v>1091</v>
      </c>
      <c r="B956" s="15">
        <v>70.0</v>
      </c>
      <c r="C956" s="16" t="str">
        <f t="shared" si="2"/>
        <v>PASS</v>
      </c>
    </row>
    <row r="957">
      <c r="A957" s="15" t="s">
        <v>1092</v>
      </c>
      <c r="B957" s="15">
        <v>46.0</v>
      </c>
      <c r="C957" s="16" t="str">
        <f t="shared" si="2"/>
        <v>FAIL</v>
      </c>
    </row>
    <row r="958">
      <c r="A958" s="15" t="s">
        <v>1093</v>
      </c>
      <c r="B958" s="15">
        <v>43.0</v>
      </c>
      <c r="C958" s="16" t="str">
        <f t="shared" si="2"/>
        <v>FAIL</v>
      </c>
    </row>
    <row r="959">
      <c r="A959" s="15" t="s">
        <v>1094</v>
      </c>
      <c r="B959" s="15">
        <v>70.0</v>
      </c>
      <c r="C959" s="16" t="str">
        <f t="shared" si="2"/>
        <v>PASS</v>
      </c>
    </row>
    <row r="960">
      <c r="A960" s="15" t="s">
        <v>1095</v>
      </c>
      <c r="B960" s="15">
        <v>3.0</v>
      </c>
      <c r="C960" s="16" t="str">
        <f t="shared" si="2"/>
        <v>FAIL</v>
      </c>
    </row>
    <row r="961">
      <c r="A961" s="15" t="s">
        <v>1096</v>
      </c>
      <c r="B961" s="15">
        <v>70.0</v>
      </c>
      <c r="C961" s="16" t="str">
        <f t="shared" si="2"/>
        <v>PASS</v>
      </c>
    </row>
    <row r="962">
      <c r="A962" s="15" t="s">
        <v>1097</v>
      </c>
      <c r="B962" s="15">
        <v>70.0</v>
      </c>
      <c r="C962" s="16" t="str">
        <f t="shared" si="2"/>
        <v>PASS</v>
      </c>
    </row>
    <row r="963">
      <c r="A963" s="15" t="s">
        <v>1098</v>
      </c>
      <c r="B963" s="15">
        <v>70.0</v>
      </c>
      <c r="C963" s="16" t="str">
        <f t="shared" si="2"/>
        <v>PASS</v>
      </c>
    </row>
    <row r="964">
      <c r="A964" s="15" t="s">
        <v>1099</v>
      </c>
      <c r="B964" s="15">
        <v>75.0</v>
      </c>
      <c r="C964" s="16" t="str">
        <f t="shared" si="2"/>
        <v>PASS</v>
      </c>
    </row>
    <row r="965">
      <c r="A965" s="15" t="s">
        <v>1100</v>
      </c>
      <c r="B965" s="15">
        <v>46.0</v>
      </c>
      <c r="C965" s="16" t="str">
        <f t="shared" si="2"/>
        <v>FAIL</v>
      </c>
    </row>
    <row r="966">
      <c r="A966" s="15" t="s">
        <v>1101</v>
      </c>
      <c r="B966" s="15">
        <v>81.0</v>
      </c>
      <c r="C966" s="16" t="str">
        <f t="shared" si="2"/>
        <v>PASS</v>
      </c>
    </row>
    <row r="967">
      <c r="A967" s="15" t="s">
        <v>1102</v>
      </c>
      <c r="B967" s="15">
        <v>71.0</v>
      </c>
      <c r="C967" s="16" t="str">
        <f t="shared" si="2"/>
        <v>PASS</v>
      </c>
    </row>
    <row r="968">
      <c r="A968" s="15" t="s">
        <v>1103</v>
      </c>
      <c r="B968" s="15">
        <v>64.0</v>
      </c>
      <c r="C968" s="16" t="str">
        <f t="shared" si="2"/>
        <v>FAIL</v>
      </c>
    </row>
    <row r="969">
      <c r="A969" s="15" t="s">
        <v>1104</v>
      </c>
      <c r="B969" s="15">
        <v>70.0</v>
      </c>
      <c r="C969" s="16" t="str">
        <f t="shared" si="2"/>
        <v>PASS</v>
      </c>
    </row>
    <row r="970">
      <c r="A970" s="15" t="s">
        <v>1105</v>
      </c>
      <c r="B970" s="15">
        <v>38.0</v>
      </c>
      <c r="C970" s="16" t="str">
        <f t="shared" si="2"/>
        <v>FAIL</v>
      </c>
    </row>
    <row r="971">
      <c r="A971" s="15" t="s">
        <v>1106</v>
      </c>
      <c r="B971" s="15">
        <v>70.0</v>
      </c>
      <c r="C971" s="16" t="str">
        <f t="shared" si="2"/>
        <v>PASS</v>
      </c>
    </row>
    <row r="972">
      <c r="A972" s="15" t="s">
        <v>1107</v>
      </c>
      <c r="B972" s="15">
        <v>70.0</v>
      </c>
      <c r="C972" s="16" t="str">
        <f t="shared" si="2"/>
        <v>PASS</v>
      </c>
    </row>
    <row r="973">
      <c r="A973" s="15" t="s">
        <v>1108</v>
      </c>
      <c r="B973" s="15">
        <v>51.0</v>
      </c>
      <c r="C973" s="16" t="str">
        <f t="shared" si="2"/>
        <v>FAIL</v>
      </c>
    </row>
    <row r="974">
      <c r="A974" s="15" t="s">
        <v>1109</v>
      </c>
      <c r="B974" s="15">
        <v>71.0</v>
      </c>
      <c r="C974" s="16" t="str">
        <f t="shared" si="2"/>
        <v>PASS</v>
      </c>
    </row>
    <row r="975">
      <c r="A975" s="15" t="s">
        <v>1110</v>
      </c>
      <c r="B975" s="15">
        <v>77.0</v>
      </c>
      <c r="C975" s="16" t="str">
        <f t="shared" si="2"/>
        <v>PASS</v>
      </c>
    </row>
    <row r="976">
      <c r="A976" s="15" t="s">
        <v>1111</v>
      </c>
      <c r="B976" s="15">
        <v>70.0</v>
      </c>
      <c r="C976" s="16" t="str">
        <f t="shared" si="2"/>
        <v>PASS</v>
      </c>
    </row>
    <row r="977">
      <c r="A977" s="15" t="s">
        <v>1112</v>
      </c>
      <c r="B977" s="15">
        <v>87.0</v>
      </c>
      <c r="C977" s="16" t="str">
        <f t="shared" si="2"/>
        <v>PASS</v>
      </c>
    </row>
    <row r="978">
      <c r="A978" s="15" t="s">
        <v>1113</v>
      </c>
      <c r="B978" s="15">
        <v>59.0</v>
      </c>
      <c r="C978" s="16" t="str">
        <f t="shared" si="2"/>
        <v>FAIL</v>
      </c>
    </row>
    <row r="979">
      <c r="A979" s="15" t="s">
        <v>1114</v>
      </c>
      <c r="B979" s="15">
        <v>70.0</v>
      </c>
      <c r="C979" s="16" t="str">
        <f t="shared" si="2"/>
        <v>PASS</v>
      </c>
    </row>
    <row r="980">
      <c r="A980" s="15" t="s">
        <v>1115</v>
      </c>
      <c r="B980" s="15">
        <v>72.0</v>
      </c>
      <c r="C980" s="16" t="str">
        <f t="shared" si="2"/>
        <v>PASS</v>
      </c>
    </row>
    <row r="981">
      <c r="A981" s="15" t="s">
        <v>1116</v>
      </c>
      <c r="B981" s="15">
        <v>70.0</v>
      </c>
      <c r="C981" s="16" t="str">
        <f t="shared" si="2"/>
        <v>PASS</v>
      </c>
    </row>
    <row r="982">
      <c r="A982" s="15" t="s">
        <v>1117</v>
      </c>
      <c r="B982" s="15">
        <v>70.0</v>
      </c>
      <c r="C982" s="16" t="str">
        <f t="shared" si="2"/>
        <v>PASS</v>
      </c>
    </row>
    <row r="983">
      <c r="A983" s="15" t="s">
        <v>1118</v>
      </c>
      <c r="B983" s="15">
        <v>76.0</v>
      </c>
      <c r="C983" s="16" t="str">
        <f t="shared" si="2"/>
        <v>PASS</v>
      </c>
    </row>
    <row r="984">
      <c r="A984" s="15" t="s">
        <v>1119</v>
      </c>
      <c r="B984" s="15">
        <v>75.0</v>
      </c>
      <c r="C984" s="16" t="str">
        <f t="shared" si="2"/>
        <v>PASS</v>
      </c>
    </row>
    <row r="985">
      <c r="A985" s="15" t="s">
        <v>1120</v>
      </c>
      <c r="B985" s="15">
        <v>70.0</v>
      </c>
      <c r="C985" s="16" t="str">
        <f t="shared" si="2"/>
        <v>PASS</v>
      </c>
    </row>
    <row r="986">
      <c r="A986" s="15" t="s">
        <v>1121</v>
      </c>
      <c r="B986" s="15">
        <v>72.0</v>
      </c>
      <c r="C986" s="16" t="str">
        <f t="shared" si="2"/>
        <v>PASS</v>
      </c>
    </row>
    <row r="987">
      <c r="A987" s="15" t="s">
        <v>1122</v>
      </c>
      <c r="B987" s="15">
        <v>70.0</v>
      </c>
      <c r="C987" s="16" t="str">
        <f t="shared" si="2"/>
        <v>PASS</v>
      </c>
    </row>
    <row r="988">
      <c r="A988" s="15" t="s">
        <v>1123</v>
      </c>
      <c r="B988" s="15">
        <v>70.0</v>
      </c>
      <c r="C988" s="16" t="str">
        <f t="shared" si="2"/>
        <v>PASS</v>
      </c>
    </row>
    <row r="989">
      <c r="A989" s="15" t="s">
        <v>1124</v>
      </c>
      <c r="B989" s="15">
        <v>70.0</v>
      </c>
      <c r="C989" s="16" t="str">
        <f t="shared" si="2"/>
        <v>PASS</v>
      </c>
    </row>
    <row r="990">
      <c r="A990" s="15" t="s">
        <v>1125</v>
      </c>
      <c r="B990" s="15">
        <v>46.0</v>
      </c>
      <c r="C990" s="16" t="str">
        <f t="shared" si="2"/>
        <v>FAIL</v>
      </c>
    </row>
    <row r="991">
      <c r="A991" s="15" t="s">
        <v>1126</v>
      </c>
      <c r="B991" s="15">
        <v>70.0</v>
      </c>
      <c r="C991" s="16" t="str">
        <f t="shared" si="2"/>
        <v>PASS</v>
      </c>
    </row>
    <row r="992">
      <c r="A992" s="15" t="s">
        <v>1127</v>
      </c>
      <c r="B992" s="15">
        <v>70.0</v>
      </c>
      <c r="C992" s="16" t="str">
        <f t="shared" si="2"/>
        <v>PASS</v>
      </c>
    </row>
    <row r="993">
      <c r="A993" s="15" t="s">
        <v>1128</v>
      </c>
      <c r="B993" s="15">
        <v>70.0</v>
      </c>
      <c r="C993" s="16" t="str">
        <f t="shared" si="2"/>
        <v>PASS</v>
      </c>
    </row>
    <row r="994">
      <c r="A994" s="15" t="s">
        <v>1129</v>
      </c>
      <c r="B994" s="15">
        <v>70.0</v>
      </c>
      <c r="C994" s="16" t="str">
        <f t="shared" si="2"/>
        <v>PASS</v>
      </c>
    </row>
    <row r="995">
      <c r="A995" s="15" t="s">
        <v>1130</v>
      </c>
      <c r="B995" s="15">
        <v>74.0</v>
      </c>
      <c r="C995" s="16" t="str">
        <f t="shared" si="2"/>
        <v>PASS</v>
      </c>
    </row>
    <row r="996">
      <c r="A996" s="15" t="s">
        <v>1131</v>
      </c>
      <c r="B996" s="15">
        <v>71.0</v>
      </c>
      <c r="C996" s="16" t="str">
        <f t="shared" si="2"/>
        <v>PASS</v>
      </c>
    </row>
    <row r="997">
      <c r="A997" s="15" t="s">
        <v>1132</v>
      </c>
      <c r="B997" s="15">
        <v>70.0</v>
      </c>
      <c r="C997" s="16" t="str">
        <f t="shared" si="2"/>
        <v>PASS</v>
      </c>
    </row>
    <row r="998">
      <c r="A998" s="15" t="s">
        <v>1133</v>
      </c>
      <c r="B998" s="15">
        <v>70.0</v>
      </c>
      <c r="C998" s="16" t="str">
        <f t="shared" si="2"/>
        <v>PASS</v>
      </c>
    </row>
    <row r="999">
      <c r="A999" s="15" t="s">
        <v>1134</v>
      </c>
      <c r="B999" s="15">
        <v>48.0</v>
      </c>
      <c r="C999" s="16" t="str">
        <f t="shared" si="2"/>
        <v>FAIL</v>
      </c>
    </row>
    <row r="1000">
      <c r="A1000" s="15" t="s">
        <v>1135</v>
      </c>
      <c r="B1000" s="15">
        <v>74.0</v>
      </c>
      <c r="C1000" s="16" t="str">
        <f t="shared" si="2"/>
        <v>PASS</v>
      </c>
    </row>
    <row r="1001">
      <c r="A1001" s="18" t="s">
        <v>1136</v>
      </c>
      <c r="B1001" s="18">
        <v>70.0</v>
      </c>
      <c r="C1001" s="19" t="str">
        <f t="shared" si="2"/>
        <v>PASS</v>
      </c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>
      <c r="A1002" s="15" t="s">
        <v>1137</v>
      </c>
      <c r="B1002" s="15">
        <v>70.0</v>
      </c>
      <c r="C1002" s="16" t="str">
        <f t="shared" si="2"/>
        <v>PASS</v>
      </c>
    </row>
    <row r="1003">
      <c r="A1003" s="15" t="s">
        <v>1138</v>
      </c>
      <c r="B1003" s="15">
        <v>70.0</v>
      </c>
      <c r="C1003" s="16" t="str">
        <f t="shared" si="2"/>
        <v>PASS</v>
      </c>
    </row>
    <row r="1004">
      <c r="A1004" s="15" t="s">
        <v>1139</v>
      </c>
      <c r="B1004" s="15">
        <v>70.0</v>
      </c>
      <c r="C1004" s="16" t="str">
        <f t="shared" si="2"/>
        <v>PASS</v>
      </c>
    </row>
    <row r="1005">
      <c r="A1005" s="15" t="s">
        <v>1140</v>
      </c>
      <c r="B1005" s="15">
        <v>0.0</v>
      </c>
      <c r="C1005" s="16" t="str">
        <f t="shared" si="2"/>
        <v>FAIL</v>
      </c>
    </row>
    <row r="1006">
      <c r="A1006" s="15" t="s">
        <v>1141</v>
      </c>
      <c r="B1006" s="15">
        <v>80.0</v>
      </c>
      <c r="C1006" s="16" t="str">
        <f t="shared" si="2"/>
        <v>PASS</v>
      </c>
    </row>
    <row r="1007">
      <c r="A1007" s="15" t="s">
        <v>1142</v>
      </c>
      <c r="B1007" s="15">
        <v>71.0</v>
      </c>
      <c r="C1007" s="16" t="str">
        <f t="shared" si="2"/>
        <v>PASS</v>
      </c>
    </row>
    <row r="1008">
      <c r="A1008" s="15" t="s">
        <v>1143</v>
      </c>
      <c r="B1008" s="15">
        <v>79.0</v>
      </c>
      <c r="C1008" s="16" t="str">
        <f t="shared" si="2"/>
        <v>PASS</v>
      </c>
    </row>
    <row r="1009">
      <c r="A1009" s="15" t="s">
        <v>1144</v>
      </c>
      <c r="B1009" s="15">
        <v>65.0</v>
      </c>
      <c r="C1009" s="16" t="str">
        <f t="shared" si="2"/>
        <v>FAIL</v>
      </c>
    </row>
    <row r="1010">
      <c r="A1010" s="15" t="s">
        <v>1145</v>
      </c>
      <c r="B1010" s="15">
        <v>80.0</v>
      </c>
      <c r="C1010" s="16" t="str">
        <f t="shared" si="2"/>
        <v>PASS</v>
      </c>
    </row>
    <row r="1011">
      <c r="A1011" s="15" t="s">
        <v>1146</v>
      </c>
      <c r="B1011" s="15">
        <v>63.0</v>
      </c>
      <c r="C1011" s="16" t="str">
        <f t="shared" si="2"/>
        <v>FAIL</v>
      </c>
    </row>
    <row r="1012">
      <c r="A1012" s="15" t="s">
        <v>1147</v>
      </c>
      <c r="B1012" s="15">
        <v>70.0</v>
      </c>
      <c r="C1012" s="16" t="str">
        <f t="shared" si="2"/>
        <v>PASS</v>
      </c>
    </row>
    <row r="1013">
      <c r="A1013" s="15" t="s">
        <v>1148</v>
      </c>
      <c r="B1013" s="15">
        <v>57.0</v>
      </c>
      <c r="C1013" s="16" t="str">
        <f t="shared" si="2"/>
        <v>FAIL</v>
      </c>
    </row>
    <row r="1014">
      <c r="A1014" s="15" t="s">
        <v>1149</v>
      </c>
      <c r="B1014" s="15">
        <v>70.0</v>
      </c>
      <c r="C1014" s="16" t="str">
        <f t="shared" si="2"/>
        <v>PASS</v>
      </c>
    </row>
    <row r="1015">
      <c r="A1015" s="15" t="s">
        <v>1150</v>
      </c>
      <c r="B1015" s="15">
        <v>77.0</v>
      </c>
      <c r="C1015" s="16" t="str">
        <f t="shared" si="2"/>
        <v>PASS</v>
      </c>
    </row>
    <row r="1016">
      <c r="A1016" s="15" t="s">
        <v>1151</v>
      </c>
      <c r="B1016" s="15">
        <v>70.0</v>
      </c>
      <c r="C1016" s="16" t="str">
        <f t="shared" si="2"/>
        <v>PASS</v>
      </c>
    </row>
    <row r="1017">
      <c r="A1017" s="15" t="s">
        <v>1152</v>
      </c>
      <c r="B1017" s="15">
        <v>70.0</v>
      </c>
      <c r="C1017" s="16" t="str">
        <f t="shared" si="2"/>
        <v>PASS</v>
      </c>
    </row>
    <row r="1018">
      <c r="A1018" s="15" t="s">
        <v>1153</v>
      </c>
      <c r="B1018" s="15">
        <v>70.0</v>
      </c>
      <c r="C1018" s="16" t="str">
        <f t="shared" si="2"/>
        <v>PASS</v>
      </c>
    </row>
    <row r="1019">
      <c r="A1019" s="15" t="s">
        <v>1154</v>
      </c>
      <c r="B1019" s="15">
        <v>0.0</v>
      </c>
      <c r="C1019" s="16" t="str">
        <f t="shared" si="2"/>
        <v>FAIL</v>
      </c>
    </row>
    <row r="1020">
      <c r="A1020" s="15" t="s">
        <v>1155</v>
      </c>
      <c r="B1020" s="15">
        <v>71.0</v>
      </c>
      <c r="C1020" s="16" t="str">
        <f t="shared" si="2"/>
        <v>PASS</v>
      </c>
    </row>
    <row r="1021">
      <c r="A1021" s="18" t="s">
        <v>1156</v>
      </c>
      <c r="B1021" s="18">
        <v>70.0</v>
      </c>
      <c r="C1021" s="19" t="str">
        <f t="shared" si="2"/>
        <v>PASS</v>
      </c>
      <c r="D1021" s="19"/>
      <c r="E1021" s="19"/>
      <c r="F1021" s="19"/>
      <c r="G1021" s="19"/>
      <c r="H1021" s="19"/>
      <c r="I1021" s="19"/>
      <c r="J1021" s="19"/>
      <c r="K1021" s="19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</row>
    <row r="1022">
      <c r="A1022" s="15" t="s">
        <v>1157</v>
      </c>
      <c r="B1022" s="15">
        <v>70.0</v>
      </c>
      <c r="C1022" s="16" t="str">
        <f t="shared" si="2"/>
        <v>PASS</v>
      </c>
    </row>
    <row r="1023">
      <c r="A1023" s="15" t="s">
        <v>1158</v>
      </c>
      <c r="B1023" s="15">
        <v>52.0</v>
      </c>
      <c r="C1023" s="16" t="str">
        <f t="shared" si="2"/>
        <v>FAIL</v>
      </c>
    </row>
    <row r="1024">
      <c r="A1024" s="15" t="s">
        <v>1159</v>
      </c>
      <c r="B1024" s="15">
        <v>71.0</v>
      </c>
      <c r="C1024" s="16" t="str">
        <f t="shared" si="2"/>
        <v>PASS</v>
      </c>
    </row>
    <row r="1025">
      <c r="A1025" s="15" t="s">
        <v>1160</v>
      </c>
      <c r="B1025" s="15">
        <v>48.0</v>
      </c>
      <c r="C1025" s="16" t="str">
        <f t="shared" si="2"/>
        <v>FAIL</v>
      </c>
    </row>
    <row r="1026">
      <c r="A1026" s="15" t="s">
        <v>1161</v>
      </c>
      <c r="B1026" s="15">
        <v>70.0</v>
      </c>
      <c r="C1026" s="16" t="str">
        <f t="shared" si="2"/>
        <v>PASS</v>
      </c>
    </row>
    <row r="1027">
      <c r="A1027" s="15" t="s">
        <v>1162</v>
      </c>
      <c r="B1027" s="15">
        <v>70.0</v>
      </c>
      <c r="C1027" s="16" t="str">
        <f t="shared" si="2"/>
        <v>PASS</v>
      </c>
    </row>
    <row r="1028">
      <c r="A1028" s="15" t="s">
        <v>1163</v>
      </c>
      <c r="B1028" s="15">
        <v>0.0</v>
      </c>
      <c r="C1028" s="16" t="str">
        <f t="shared" si="2"/>
        <v>FAIL</v>
      </c>
    </row>
    <row r="1029">
      <c r="A1029" s="15" t="s">
        <v>1164</v>
      </c>
      <c r="B1029" s="15">
        <v>70.0</v>
      </c>
      <c r="C1029" s="16" t="str">
        <f t="shared" si="2"/>
        <v>PASS</v>
      </c>
    </row>
    <row r="1030">
      <c r="A1030" s="15" t="s">
        <v>1165</v>
      </c>
      <c r="B1030" s="15">
        <v>70.0</v>
      </c>
      <c r="C1030" s="16" t="str">
        <f t="shared" si="2"/>
        <v>PASS</v>
      </c>
    </row>
    <row r="1031">
      <c r="A1031" s="15" t="s">
        <v>1166</v>
      </c>
      <c r="B1031" s="15">
        <v>13.0</v>
      </c>
      <c r="C1031" s="16" t="str">
        <f t="shared" si="2"/>
        <v>FAIL</v>
      </c>
    </row>
    <row r="1032">
      <c r="A1032" s="15" t="s">
        <v>1167</v>
      </c>
      <c r="B1032" s="15">
        <v>88.0</v>
      </c>
      <c r="C1032" s="16" t="str">
        <f t="shared" si="2"/>
        <v>PASS</v>
      </c>
    </row>
    <row r="1033">
      <c r="A1033" s="15" t="s">
        <v>1168</v>
      </c>
      <c r="B1033" s="15">
        <v>70.0</v>
      </c>
      <c r="C1033" s="16" t="str">
        <f t="shared" si="2"/>
        <v>PASS</v>
      </c>
    </row>
    <row r="1034">
      <c r="A1034" s="15" t="s">
        <v>1169</v>
      </c>
      <c r="B1034" s="15">
        <v>77.0</v>
      </c>
      <c r="C1034" s="16" t="str">
        <f t="shared" si="2"/>
        <v>PASS</v>
      </c>
    </row>
    <row r="1035">
      <c r="A1035" s="15" t="s">
        <v>1170</v>
      </c>
      <c r="B1035" s="15">
        <v>70.0</v>
      </c>
      <c r="C1035" s="16" t="str">
        <f t="shared" si="2"/>
        <v>PASS</v>
      </c>
    </row>
    <row r="1036">
      <c r="A1036" s="15" t="s">
        <v>1171</v>
      </c>
      <c r="B1036" s="15">
        <v>86.0</v>
      </c>
      <c r="C1036" s="16" t="str">
        <f t="shared" si="2"/>
        <v>PASS</v>
      </c>
    </row>
    <row r="1037">
      <c r="A1037" s="15" t="s">
        <v>1172</v>
      </c>
      <c r="B1037" s="15">
        <v>16.0</v>
      </c>
      <c r="C1037" s="16" t="str">
        <f t="shared" si="2"/>
        <v>FAIL</v>
      </c>
    </row>
    <row r="1038">
      <c r="A1038" s="15" t="s">
        <v>1173</v>
      </c>
      <c r="B1038" s="15">
        <v>70.0</v>
      </c>
      <c r="C1038" s="16" t="str">
        <f t="shared" si="2"/>
        <v>PASS</v>
      </c>
    </row>
    <row r="1039">
      <c r="A1039" s="15" t="s">
        <v>1174</v>
      </c>
      <c r="B1039" s="15">
        <v>72.0</v>
      </c>
      <c r="C1039" s="16" t="str">
        <f t="shared" si="2"/>
        <v>PASS</v>
      </c>
    </row>
    <row r="1040">
      <c r="A1040" s="15" t="s">
        <v>1175</v>
      </c>
      <c r="B1040" s="15">
        <v>70.0</v>
      </c>
      <c r="C1040" s="16" t="str">
        <f t="shared" si="2"/>
        <v>PASS</v>
      </c>
    </row>
    <row r="1041">
      <c r="A1041" s="15" t="s">
        <v>1176</v>
      </c>
      <c r="B1041" s="15">
        <v>86.0</v>
      </c>
      <c r="C1041" s="16" t="str">
        <f t="shared" si="2"/>
        <v>PASS</v>
      </c>
    </row>
    <row r="1042">
      <c r="A1042" s="15" t="s">
        <v>1177</v>
      </c>
      <c r="B1042" s="15">
        <v>70.0</v>
      </c>
      <c r="C1042" s="16" t="str">
        <f t="shared" si="2"/>
        <v>PASS</v>
      </c>
    </row>
    <row r="1043">
      <c r="A1043" s="15" t="s">
        <v>1178</v>
      </c>
      <c r="B1043" s="15">
        <v>70.0</v>
      </c>
      <c r="C1043" s="16" t="str">
        <f t="shared" si="2"/>
        <v>PASS</v>
      </c>
    </row>
    <row r="1044">
      <c r="A1044" s="15" t="s">
        <v>1179</v>
      </c>
      <c r="B1044" s="15">
        <v>70.0</v>
      </c>
      <c r="C1044" s="16" t="str">
        <f t="shared" si="2"/>
        <v>PASS</v>
      </c>
    </row>
    <row r="1045">
      <c r="A1045" s="15" t="s">
        <v>1180</v>
      </c>
      <c r="B1045" s="15">
        <v>70.0</v>
      </c>
      <c r="C1045" s="16" t="str">
        <f t="shared" si="2"/>
        <v>PASS</v>
      </c>
    </row>
    <row r="1046">
      <c r="A1046" s="15" t="s">
        <v>1181</v>
      </c>
      <c r="B1046" s="15">
        <v>83.0</v>
      </c>
      <c r="C1046" s="16" t="str">
        <f t="shared" si="2"/>
        <v>PASS</v>
      </c>
    </row>
    <row r="1047">
      <c r="A1047" s="15" t="s">
        <v>1182</v>
      </c>
      <c r="B1047" s="15">
        <v>26.0</v>
      </c>
      <c r="C1047" s="16" t="str">
        <f t="shared" si="2"/>
        <v>FAIL</v>
      </c>
    </row>
    <row r="1048">
      <c r="A1048" s="15" t="s">
        <v>1183</v>
      </c>
      <c r="B1048" s="15">
        <v>80.0</v>
      </c>
      <c r="C1048" s="16" t="str">
        <f t="shared" si="2"/>
        <v>PASS</v>
      </c>
    </row>
    <row r="1049">
      <c r="A1049" s="15" t="s">
        <v>1184</v>
      </c>
      <c r="B1049" s="15">
        <v>83.0</v>
      </c>
      <c r="C1049" s="16" t="str">
        <f t="shared" si="2"/>
        <v>PASS</v>
      </c>
    </row>
    <row r="1050">
      <c r="A1050" s="15" t="s">
        <v>1185</v>
      </c>
      <c r="B1050" s="15">
        <v>71.0</v>
      </c>
      <c r="C1050" s="16" t="str">
        <f t="shared" si="2"/>
        <v>PASS</v>
      </c>
    </row>
    <row r="1051">
      <c r="A1051" s="15" t="s">
        <v>1186</v>
      </c>
      <c r="B1051" s="15">
        <v>70.0</v>
      </c>
      <c r="C1051" s="16" t="str">
        <f t="shared" si="2"/>
        <v>PASS</v>
      </c>
    </row>
    <row r="1052">
      <c r="A1052" s="15" t="s">
        <v>1187</v>
      </c>
      <c r="B1052" s="15">
        <v>70.0</v>
      </c>
      <c r="C1052" s="16" t="str">
        <f t="shared" si="2"/>
        <v>PASS</v>
      </c>
    </row>
    <row r="1053">
      <c r="A1053" s="15" t="s">
        <v>1188</v>
      </c>
      <c r="B1053" s="15">
        <v>70.0</v>
      </c>
      <c r="C1053" s="16" t="str">
        <f t="shared" si="2"/>
        <v>PASS</v>
      </c>
    </row>
    <row r="1054">
      <c r="A1054" s="15" t="s">
        <v>1189</v>
      </c>
      <c r="B1054" s="15">
        <v>70.0</v>
      </c>
      <c r="C1054" s="16" t="str">
        <f t="shared" si="2"/>
        <v>PASS</v>
      </c>
    </row>
    <row r="1055">
      <c r="A1055" s="15" t="s">
        <v>1190</v>
      </c>
      <c r="B1055" s="15">
        <v>72.0</v>
      </c>
      <c r="C1055" s="16" t="str">
        <f t="shared" si="2"/>
        <v>PASS</v>
      </c>
    </row>
    <row r="1056">
      <c r="A1056" s="15" t="s">
        <v>1191</v>
      </c>
      <c r="B1056" s="15">
        <v>70.0</v>
      </c>
      <c r="C1056" s="16" t="str">
        <f t="shared" si="2"/>
        <v>PASS</v>
      </c>
    </row>
    <row r="1057">
      <c r="A1057" s="15" t="s">
        <v>1192</v>
      </c>
      <c r="B1057" s="15">
        <v>73.0</v>
      </c>
      <c r="C1057" s="16" t="str">
        <f t="shared" si="2"/>
        <v>PASS</v>
      </c>
    </row>
    <row r="1058">
      <c r="A1058" s="15" t="s">
        <v>1193</v>
      </c>
      <c r="B1058" s="15">
        <v>70.0</v>
      </c>
      <c r="C1058" s="16" t="str">
        <f t="shared" si="2"/>
        <v>PASS</v>
      </c>
    </row>
    <row r="1059">
      <c r="A1059" s="15" t="s">
        <v>1194</v>
      </c>
      <c r="B1059" s="15">
        <v>70.0</v>
      </c>
      <c r="C1059" s="16" t="str">
        <f t="shared" si="2"/>
        <v>PASS</v>
      </c>
    </row>
    <row r="1060">
      <c r="A1060" s="15" t="s">
        <v>1195</v>
      </c>
      <c r="B1060" s="15">
        <v>74.0</v>
      </c>
      <c r="C1060" s="16" t="str">
        <f t="shared" si="2"/>
        <v>PASS</v>
      </c>
    </row>
    <row r="1061">
      <c r="A1061" s="15" t="s">
        <v>1196</v>
      </c>
      <c r="B1061" s="15">
        <v>84.0</v>
      </c>
      <c r="C1061" s="16" t="str">
        <f t="shared" si="2"/>
        <v>PASS</v>
      </c>
    </row>
    <row r="1062">
      <c r="A1062" s="15" t="s">
        <v>1197</v>
      </c>
      <c r="B1062" s="15">
        <v>70.0</v>
      </c>
      <c r="C1062" s="16" t="str">
        <f t="shared" si="2"/>
        <v>PASS</v>
      </c>
    </row>
    <row r="1063">
      <c r="A1063" s="15" t="s">
        <v>1198</v>
      </c>
      <c r="B1063" s="15">
        <v>70.0</v>
      </c>
      <c r="C1063" s="16" t="str">
        <f t="shared" si="2"/>
        <v>PASS</v>
      </c>
    </row>
    <row r="1064">
      <c r="A1064" s="15" t="s">
        <v>1199</v>
      </c>
      <c r="B1064" s="15">
        <v>70.0</v>
      </c>
      <c r="C1064" s="16" t="str">
        <f t="shared" si="2"/>
        <v>PASS</v>
      </c>
    </row>
    <row r="1065">
      <c r="A1065" s="15" t="s">
        <v>1200</v>
      </c>
      <c r="B1065" s="15">
        <v>50.0</v>
      </c>
      <c r="C1065" s="16" t="str">
        <f t="shared" si="2"/>
        <v>FAIL</v>
      </c>
    </row>
    <row r="1066">
      <c r="A1066" s="15" t="s">
        <v>1201</v>
      </c>
      <c r="B1066" s="15">
        <v>80.0</v>
      </c>
      <c r="C1066" s="16" t="str">
        <f t="shared" si="2"/>
        <v>PASS</v>
      </c>
    </row>
    <row r="1067">
      <c r="A1067" s="15" t="s">
        <v>1202</v>
      </c>
      <c r="B1067" s="15">
        <v>71.0</v>
      </c>
      <c r="C1067" s="16" t="str">
        <f t="shared" si="2"/>
        <v>PASS</v>
      </c>
    </row>
    <row r="1068">
      <c r="A1068" s="15" t="s">
        <v>1203</v>
      </c>
      <c r="B1068" s="15">
        <v>86.0</v>
      </c>
      <c r="C1068" s="16" t="str">
        <f t="shared" si="2"/>
        <v>PASS</v>
      </c>
    </row>
    <row r="1069">
      <c r="A1069" s="15" t="s">
        <v>1204</v>
      </c>
      <c r="B1069" s="15">
        <v>71.0</v>
      </c>
      <c r="C1069" s="16" t="str">
        <f t="shared" si="2"/>
        <v>PASS</v>
      </c>
    </row>
    <row r="1070">
      <c r="A1070" s="15" t="s">
        <v>1205</v>
      </c>
      <c r="B1070" s="15">
        <v>72.0</v>
      </c>
      <c r="C1070" s="16" t="str">
        <f t="shared" si="2"/>
        <v>PASS</v>
      </c>
    </row>
    <row r="1071">
      <c r="A1071" s="15" t="s">
        <v>1206</v>
      </c>
      <c r="B1071" s="15">
        <v>70.0</v>
      </c>
      <c r="C1071" s="16" t="str">
        <f t="shared" si="2"/>
        <v>PASS</v>
      </c>
    </row>
    <row r="1072">
      <c r="A1072" s="18" t="s">
        <v>1207</v>
      </c>
      <c r="B1072" s="18">
        <v>70.0</v>
      </c>
      <c r="C1072" s="19" t="str">
        <f t="shared" si="2"/>
        <v>PASS</v>
      </c>
      <c r="D1072" s="19"/>
      <c r="E1072" s="19"/>
      <c r="F1072" s="19"/>
      <c r="G1072" s="19"/>
      <c r="H1072" s="19"/>
      <c r="I1072" s="19"/>
      <c r="J1072" s="19"/>
      <c r="K1072" s="19"/>
      <c r="L1072" s="19"/>
      <c r="M1072" s="19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</row>
    <row r="1073">
      <c r="A1073" s="15" t="s">
        <v>1208</v>
      </c>
      <c r="B1073" s="15">
        <v>51.0</v>
      </c>
      <c r="C1073" s="16" t="str">
        <f t="shared" si="2"/>
        <v>FAIL</v>
      </c>
    </row>
    <row r="1074">
      <c r="A1074" s="15" t="s">
        <v>1209</v>
      </c>
      <c r="B1074" s="15">
        <v>71.0</v>
      </c>
      <c r="C1074" s="16" t="str">
        <f t="shared" si="2"/>
        <v>PASS</v>
      </c>
    </row>
    <row r="1075">
      <c r="A1075" s="15" t="s">
        <v>1210</v>
      </c>
      <c r="B1075" s="15">
        <v>70.0</v>
      </c>
      <c r="C1075" s="16" t="str">
        <f t="shared" si="2"/>
        <v>PASS</v>
      </c>
    </row>
    <row r="1076">
      <c r="A1076" s="15" t="s">
        <v>1211</v>
      </c>
      <c r="B1076" s="15">
        <v>70.0</v>
      </c>
      <c r="C1076" s="16" t="str">
        <f t="shared" si="2"/>
        <v>PASS</v>
      </c>
    </row>
    <row r="1077">
      <c r="A1077" s="15" t="s">
        <v>1212</v>
      </c>
      <c r="B1077" s="15">
        <v>70.0</v>
      </c>
      <c r="C1077" s="16" t="str">
        <f t="shared" si="2"/>
        <v>PASS</v>
      </c>
    </row>
    <row r="1078">
      <c r="A1078" s="15" t="s">
        <v>1213</v>
      </c>
      <c r="B1078" s="15">
        <v>28.0</v>
      </c>
      <c r="C1078" s="16" t="str">
        <f t="shared" si="2"/>
        <v>FAIL</v>
      </c>
    </row>
    <row r="1079">
      <c r="A1079" s="15" t="s">
        <v>1214</v>
      </c>
      <c r="B1079" s="15">
        <v>70.0</v>
      </c>
      <c r="C1079" s="16" t="str">
        <f t="shared" si="2"/>
        <v>PASS</v>
      </c>
    </row>
    <row r="1080">
      <c r="A1080" s="15" t="s">
        <v>1215</v>
      </c>
      <c r="B1080" s="15">
        <v>77.0</v>
      </c>
      <c r="C1080" s="16" t="str">
        <f t="shared" si="2"/>
        <v>PASS</v>
      </c>
    </row>
    <row r="1081">
      <c r="A1081" s="15" t="s">
        <v>1216</v>
      </c>
      <c r="B1081" s="15">
        <v>70.0</v>
      </c>
      <c r="C1081" s="16" t="str">
        <f t="shared" si="2"/>
        <v>PASS</v>
      </c>
    </row>
    <row r="1082">
      <c r="A1082" s="15" t="s">
        <v>1217</v>
      </c>
      <c r="B1082" s="15">
        <v>0.0</v>
      </c>
      <c r="C1082" s="16" t="str">
        <f t="shared" si="2"/>
        <v>FAIL</v>
      </c>
    </row>
    <row r="1083">
      <c r="A1083" s="15" t="s">
        <v>1218</v>
      </c>
      <c r="B1083" s="15">
        <v>70.0</v>
      </c>
      <c r="C1083" s="16" t="str">
        <f t="shared" si="2"/>
        <v>PASS</v>
      </c>
    </row>
    <row r="1084">
      <c r="A1084" s="15" t="s">
        <v>1219</v>
      </c>
      <c r="B1084" s="15">
        <v>70.0</v>
      </c>
      <c r="C1084" s="16" t="str">
        <f t="shared" si="2"/>
        <v>PASS</v>
      </c>
    </row>
    <row r="1085">
      <c r="A1085" s="15" t="s">
        <v>1220</v>
      </c>
      <c r="B1085" s="15">
        <v>70.0</v>
      </c>
      <c r="C1085" s="16" t="str">
        <f t="shared" si="2"/>
        <v>PASS</v>
      </c>
    </row>
    <row r="1086">
      <c r="A1086" s="15" t="s">
        <v>1221</v>
      </c>
      <c r="B1086" s="15">
        <v>70.0</v>
      </c>
      <c r="C1086" s="16" t="str">
        <f t="shared" si="2"/>
        <v>PASS</v>
      </c>
    </row>
    <row r="1087">
      <c r="A1087" s="15" t="s">
        <v>1222</v>
      </c>
      <c r="B1087" s="15">
        <v>70.0</v>
      </c>
      <c r="C1087" s="16" t="str">
        <f t="shared" si="2"/>
        <v>PASS</v>
      </c>
    </row>
    <row r="1088">
      <c r="A1088" s="15" t="s">
        <v>1223</v>
      </c>
      <c r="B1088" s="15">
        <v>57.0</v>
      </c>
      <c r="C1088" s="16" t="str">
        <f t="shared" si="2"/>
        <v>FAIL</v>
      </c>
    </row>
    <row r="1089">
      <c r="A1089" s="15" t="s">
        <v>1224</v>
      </c>
      <c r="B1089" s="15">
        <v>70.0</v>
      </c>
      <c r="C1089" s="16" t="str">
        <f t="shared" si="2"/>
        <v>PASS</v>
      </c>
    </row>
    <row r="1090">
      <c r="A1090" s="15" t="s">
        <v>1225</v>
      </c>
      <c r="B1090" s="15">
        <v>70.0</v>
      </c>
      <c r="C1090" s="16" t="str">
        <f t="shared" si="2"/>
        <v>PASS</v>
      </c>
    </row>
    <row r="1091">
      <c r="A1091" s="15" t="s">
        <v>1226</v>
      </c>
      <c r="B1091" s="15">
        <v>70.0</v>
      </c>
      <c r="C1091" s="16" t="str">
        <f t="shared" si="2"/>
        <v>PASS</v>
      </c>
    </row>
    <row r="1092">
      <c r="A1092" s="15" t="s">
        <v>1227</v>
      </c>
      <c r="B1092" s="15">
        <v>0.0</v>
      </c>
      <c r="C1092" s="16" t="str">
        <f t="shared" si="2"/>
        <v>FAIL</v>
      </c>
    </row>
    <row r="1093">
      <c r="A1093" s="15" t="s">
        <v>1228</v>
      </c>
      <c r="B1093" s="15">
        <v>70.0</v>
      </c>
      <c r="C1093" s="16" t="str">
        <f t="shared" si="2"/>
        <v>PASS</v>
      </c>
    </row>
    <row r="1094">
      <c r="A1094" s="15" t="s">
        <v>1229</v>
      </c>
      <c r="B1094" s="15">
        <v>70.0</v>
      </c>
      <c r="C1094" s="16" t="str">
        <f t="shared" si="2"/>
        <v>PASS</v>
      </c>
    </row>
    <row r="1095">
      <c r="A1095" s="15" t="s">
        <v>1230</v>
      </c>
      <c r="B1095" s="15">
        <v>79.0</v>
      </c>
      <c r="C1095" s="16" t="str">
        <f t="shared" si="2"/>
        <v>PASS</v>
      </c>
    </row>
    <row r="1096">
      <c r="A1096" s="15" t="s">
        <v>1231</v>
      </c>
      <c r="B1096" s="15">
        <v>70.0</v>
      </c>
      <c r="C1096" s="16" t="str">
        <f t="shared" si="2"/>
        <v>PASS</v>
      </c>
    </row>
    <row r="1097">
      <c r="A1097" s="15" t="s">
        <v>1232</v>
      </c>
      <c r="B1097" s="15">
        <v>76.0</v>
      </c>
      <c r="C1097" s="16" t="str">
        <f t="shared" si="2"/>
        <v>PASS</v>
      </c>
    </row>
    <row r="1098">
      <c r="A1098" s="15" t="s">
        <v>1233</v>
      </c>
      <c r="B1098" s="15">
        <v>70.0</v>
      </c>
      <c r="C1098" s="16" t="str">
        <f t="shared" si="2"/>
        <v>PASS</v>
      </c>
    </row>
    <row r="1099">
      <c r="A1099" s="15" t="s">
        <v>1234</v>
      </c>
      <c r="B1099" s="15">
        <v>70.0</v>
      </c>
      <c r="C1099" s="16" t="str">
        <f t="shared" si="2"/>
        <v>PASS</v>
      </c>
    </row>
    <row r="1100">
      <c r="A1100" s="15" t="s">
        <v>1235</v>
      </c>
      <c r="B1100" s="15">
        <v>56.0</v>
      </c>
      <c r="C1100" s="16" t="str">
        <f t="shared" si="2"/>
        <v>FAIL</v>
      </c>
    </row>
    <row r="1101">
      <c r="A1101" s="15" t="s">
        <v>1236</v>
      </c>
      <c r="B1101" s="15">
        <v>70.0</v>
      </c>
      <c r="C1101" s="16" t="str">
        <f t="shared" si="2"/>
        <v>PASS</v>
      </c>
    </row>
    <row r="1102">
      <c r="A1102" s="15" t="s">
        <v>1237</v>
      </c>
      <c r="B1102" s="15">
        <v>70.0</v>
      </c>
      <c r="C1102" s="16" t="str">
        <f t="shared" si="2"/>
        <v>PASS</v>
      </c>
    </row>
    <row r="1103">
      <c r="A1103" s="15" t="s">
        <v>1238</v>
      </c>
      <c r="B1103" s="15">
        <v>70.0</v>
      </c>
      <c r="C1103" s="16" t="str">
        <f t="shared" si="2"/>
        <v>PASS</v>
      </c>
    </row>
    <row r="1104">
      <c r="A1104" s="15" t="s">
        <v>1239</v>
      </c>
      <c r="B1104" s="15">
        <v>70.0</v>
      </c>
      <c r="C1104" s="16" t="str">
        <f t="shared" si="2"/>
        <v>PASS</v>
      </c>
    </row>
    <row r="1105">
      <c r="A1105" s="15" t="s">
        <v>1240</v>
      </c>
      <c r="B1105" s="15">
        <v>0.0</v>
      </c>
      <c r="C1105" s="16" t="str">
        <f t="shared" si="2"/>
        <v>FAIL</v>
      </c>
    </row>
    <row r="1106">
      <c r="A1106" s="15" t="s">
        <v>1241</v>
      </c>
      <c r="B1106" s="15">
        <v>74.0</v>
      </c>
      <c r="C1106" s="16" t="str">
        <f t="shared" si="2"/>
        <v>PASS</v>
      </c>
    </row>
    <row r="1107">
      <c r="A1107" s="15" t="s">
        <v>1242</v>
      </c>
      <c r="B1107" s="15">
        <v>74.0</v>
      </c>
      <c r="C1107" s="16" t="str">
        <f t="shared" si="2"/>
        <v>PASS</v>
      </c>
    </row>
    <row r="1108">
      <c r="A1108" s="15" t="s">
        <v>1243</v>
      </c>
      <c r="B1108" s="15">
        <v>70.0</v>
      </c>
      <c r="C1108" s="16" t="str">
        <f t="shared" si="2"/>
        <v>PASS</v>
      </c>
    </row>
    <row r="1109">
      <c r="A1109" s="15" t="s">
        <v>1244</v>
      </c>
      <c r="B1109" s="15">
        <v>70.0</v>
      </c>
      <c r="C1109" s="16" t="str">
        <f t="shared" si="2"/>
        <v>PASS</v>
      </c>
    </row>
    <row r="1110">
      <c r="A1110" s="15" t="s">
        <v>1245</v>
      </c>
      <c r="B1110" s="15">
        <v>78.0</v>
      </c>
      <c r="C1110" s="16" t="str">
        <f t="shared" si="2"/>
        <v>PASS</v>
      </c>
    </row>
    <row r="1111">
      <c r="A1111" s="15" t="s">
        <v>1246</v>
      </c>
      <c r="B1111" s="15">
        <v>83.0</v>
      </c>
      <c r="C1111" s="16" t="str">
        <f t="shared" si="2"/>
        <v>PASS</v>
      </c>
    </row>
    <row r="1112">
      <c r="A1112" s="15" t="s">
        <v>1247</v>
      </c>
      <c r="B1112" s="15">
        <v>70.0</v>
      </c>
      <c r="C1112" s="16" t="str">
        <f t="shared" si="2"/>
        <v>PASS</v>
      </c>
    </row>
    <row r="1113">
      <c r="A1113" s="15" t="s">
        <v>1248</v>
      </c>
      <c r="B1113" s="15">
        <v>70.0</v>
      </c>
      <c r="C1113" s="16" t="str">
        <f t="shared" si="2"/>
        <v>PASS</v>
      </c>
    </row>
    <row r="1114">
      <c r="A1114" s="15" t="s">
        <v>1249</v>
      </c>
      <c r="B1114" s="15">
        <v>70.0</v>
      </c>
      <c r="C1114" s="16" t="str">
        <f t="shared" si="2"/>
        <v>PASS</v>
      </c>
    </row>
    <row r="1115">
      <c r="A1115" s="15" t="s">
        <v>1250</v>
      </c>
      <c r="B1115" s="15">
        <v>70.0</v>
      </c>
      <c r="C1115" s="16" t="str">
        <f t="shared" si="2"/>
        <v>PASS</v>
      </c>
    </row>
    <row r="1116">
      <c r="A1116" s="15" t="s">
        <v>1251</v>
      </c>
      <c r="B1116" s="15">
        <v>59.0</v>
      </c>
      <c r="C1116" s="16" t="str">
        <f t="shared" si="2"/>
        <v>FAIL</v>
      </c>
    </row>
    <row r="1117">
      <c r="A1117" s="15" t="s">
        <v>1252</v>
      </c>
      <c r="B1117" s="15">
        <v>77.0</v>
      </c>
      <c r="C1117" s="16" t="str">
        <f t="shared" si="2"/>
        <v>PASS</v>
      </c>
    </row>
    <row r="1118">
      <c r="A1118" s="15" t="s">
        <v>1253</v>
      </c>
      <c r="B1118" s="15">
        <v>70.0</v>
      </c>
      <c r="C1118" s="16" t="str">
        <f t="shared" si="2"/>
        <v>PASS</v>
      </c>
    </row>
    <row r="1119">
      <c r="A1119" s="15" t="s">
        <v>1254</v>
      </c>
      <c r="B1119" s="15">
        <v>71.0</v>
      </c>
      <c r="C1119" s="16" t="str">
        <f t="shared" si="2"/>
        <v>PASS</v>
      </c>
    </row>
    <row r="1120">
      <c r="A1120" s="15" t="s">
        <v>1255</v>
      </c>
      <c r="B1120" s="15">
        <v>71.0</v>
      </c>
      <c r="C1120" s="16" t="str">
        <f t="shared" si="2"/>
        <v>PASS</v>
      </c>
    </row>
    <row r="1121">
      <c r="A1121" s="18" t="s">
        <v>1256</v>
      </c>
      <c r="B1121" s="18">
        <v>70.0</v>
      </c>
      <c r="C1121" s="19" t="str">
        <f t="shared" si="2"/>
        <v>PASS</v>
      </c>
      <c r="D1121" s="19"/>
      <c r="E1121" s="19"/>
      <c r="F1121" s="19"/>
      <c r="G1121" s="19"/>
      <c r="H1121" s="19"/>
      <c r="I1121" s="19"/>
      <c r="J1121" s="19"/>
      <c r="K1121" s="19"/>
      <c r="L1121" s="19"/>
      <c r="M1121" s="19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</row>
    <row r="1122">
      <c r="A1122" s="15" t="s">
        <v>1257</v>
      </c>
      <c r="B1122" s="15">
        <v>71.0</v>
      </c>
      <c r="C1122" s="16" t="str">
        <f t="shared" si="2"/>
        <v>PASS</v>
      </c>
    </row>
    <row r="1123">
      <c r="A1123" s="15" t="s">
        <v>1258</v>
      </c>
      <c r="B1123" s="15">
        <v>73.0</v>
      </c>
      <c r="C1123" s="16" t="str">
        <f t="shared" si="2"/>
        <v>PASS</v>
      </c>
    </row>
    <row r="1124">
      <c r="A1124" s="15" t="s">
        <v>1259</v>
      </c>
      <c r="B1124" s="15">
        <v>74.5</v>
      </c>
      <c r="C1124" s="16" t="str">
        <f t="shared" si="2"/>
        <v>PASS</v>
      </c>
    </row>
    <row r="1125">
      <c r="A1125" s="15" t="s">
        <v>1260</v>
      </c>
      <c r="B1125" s="15">
        <v>70.0</v>
      </c>
      <c r="C1125" s="16" t="str">
        <f t="shared" si="2"/>
        <v>PASS</v>
      </c>
    </row>
    <row r="1126">
      <c r="A1126" s="15" t="s">
        <v>1261</v>
      </c>
      <c r="B1126" s="15">
        <v>70.0</v>
      </c>
      <c r="C1126" s="16" t="str">
        <f t="shared" si="2"/>
        <v>PASS</v>
      </c>
    </row>
    <row r="1127">
      <c r="A1127" s="15" t="s">
        <v>1262</v>
      </c>
      <c r="B1127" s="15">
        <v>17.0</v>
      </c>
      <c r="C1127" s="16" t="str">
        <f t="shared" si="2"/>
        <v>FAIL</v>
      </c>
    </row>
    <row r="1128">
      <c r="A1128" s="15" t="s">
        <v>1263</v>
      </c>
      <c r="B1128" s="15">
        <v>70.0</v>
      </c>
      <c r="C1128" s="16" t="str">
        <f t="shared" si="2"/>
        <v>PASS</v>
      </c>
    </row>
    <row r="1129">
      <c r="A1129" s="15" t="s">
        <v>1264</v>
      </c>
      <c r="B1129" s="15">
        <v>70.0</v>
      </c>
      <c r="C1129" s="16" t="str">
        <f t="shared" si="2"/>
        <v>PASS</v>
      </c>
    </row>
    <row r="1130">
      <c r="A1130" s="15" t="s">
        <v>1265</v>
      </c>
      <c r="B1130" s="15">
        <v>77.0</v>
      </c>
      <c r="C1130" s="16" t="str">
        <f t="shared" si="2"/>
        <v>PASS</v>
      </c>
    </row>
    <row r="1131">
      <c r="A1131" s="15" t="s">
        <v>1266</v>
      </c>
      <c r="B1131" s="15">
        <v>70.0</v>
      </c>
      <c r="C1131" s="16" t="str">
        <f t="shared" si="2"/>
        <v>PASS</v>
      </c>
    </row>
    <row r="1132">
      <c r="A1132" s="15" t="s">
        <v>1267</v>
      </c>
      <c r="B1132" s="15">
        <v>70.0</v>
      </c>
      <c r="C1132" s="16" t="str">
        <f t="shared" si="2"/>
        <v>PASS</v>
      </c>
    </row>
    <row r="1133">
      <c r="A1133" s="15" t="s">
        <v>1268</v>
      </c>
      <c r="B1133" s="15">
        <v>70.0</v>
      </c>
      <c r="C1133" s="16" t="str">
        <f t="shared" si="2"/>
        <v>PASS</v>
      </c>
    </row>
    <row r="1134">
      <c r="A1134" s="15" t="s">
        <v>1269</v>
      </c>
      <c r="B1134" s="15">
        <v>72.0</v>
      </c>
      <c r="C1134" s="16" t="str">
        <f t="shared" si="2"/>
        <v>PASS</v>
      </c>
    </row>
    <row r="1135">
      <c r="A1135" s="15" t="s">
        <v>1270</v>
      </c>
      <c r="B1135" s="15">
        <v>64.0</v>
      </c>
      <c r="C1135" s="16" t="str">
        <f t="shared" si="2"/>
        <v>FAIL</v>
      </c>
    </row>
    <row r="1136">
      <c r="A1136" s="15" t="s">
        <v>1271</v>
      </c>
      <c r="B1136" s="15">
        <v>70.0</v>
      </c>
      <c r="C1136" s="16" t="str">
        <f t="shared" si="2"/>
        <v>PASS</v>
      </c>
    </row>
    <row r="1137">
      <c r="A1137" s="15" t="s">
        <v>1272</v>
      </c>
      <c r="B1137" s="15">
        <v>70.0</v>
      </c>
      <c r="C1137" s="16" t="str">
        <f t="shared" si="2"/>
        <v>PASS</v>
      </c>
    </row>
    <row r="1138">
      <c r="A1138" s="15" t="s">
        <v>1273</v>
      </c>
      <c r="B1138" s="15">
        <v>36.0</v>
      </c>
      <c r="C1138" s="16" t="str">
        <f t="shared" si="2"/>
        <v>FAIL</v>
      </c>
    </row>
    <row r="1139">
      <c r="A1139" s="15" t="s">
        <v>1274</v>
      </c>
      <c r="B1139" s="15">
        <v>72.0</v>
      </c>
      <c r="C1139" s="16" t="str">
        <f t="shared" si="2"/>
        <v>PASS</v>
      </c>
    </row>
    <row r="1140">
      <c r="A1140" s="15" t="s">
        <v>1275</v>
      </c>
      <c r="B1140" s="15">
        <v>79.0</v>
      </c>
      <c r="C1140" s="16" t="str">
        <f t="shared" si="2"/>
        <v>PASS</v>
      </c>
    </row>
    <row r="1141">
      <c r="A1141" s="15" t="s">
        <v>1276</v>
      </c>
      <c r="B1141" s="15">
        <v>13.0</v>
      </c>
      <c r="C1141" s="16" t="str">
        <f t="shared" si="2"/>
        <v>FAIL</v>
      </c>
    </row>
    <row r="1142">
      <c r="A1142" s="15" t="s">
        <v>1277</v>
      </c>
      <c r="B1142" s="15">
        <v>61.0</v>
      </c>
      <c r="C1142" s="16" t="str">
        <f t="shared" si="2"/>
        <v>FAIL</v>
      </c>
    </row>
    <row r="1143">
      <c r="A1143" s="15" t="s">
        <v>1278</v>
      </c>
      <c r="B1143" s="15">
        <v>71.0</v>
      </c>
      <c r="C1143" s="16" t="str">
        <f t="shared" si="2"/>
        <v>PASS</v>
      </c>
    </row>
    <row r="1144">
      <c r="A1144" s="15" t="s">
        <v>1279</v>
      </c>
      <c r="B1144" s="15">
        <v>68.0</v>
      </c>
      <c r="C1144" s="16" t="str">
        <f t="shared" si="2"/>
        <v>FAIL</v>
      </c>
    </row>
    <row r="1145">
      <c r="A1145" s="15" t="s">
        <v>1280</v>
      </c>
      <c r="B1145" s="15">
        <v>81.0</v>
      </c>
      <c r="C1145" s="16" t="str">
        <f t="shared" si="2"/>
        <v>PASS</v>
      </c>
    </row>
    <row r="1146">
      <c r="A1146" s="15" t="s">
        <v>1281</v>
      </c>
      <c r="B1146" s="15">
        <v>76.0</v>
      </c>
      <c r="C1146" s="16" t="str">
        <f t="shared" si="2"/>
        <v>PASS</v>
      </c>
    </row>
    <row r="1147">
      <c r="A1147" s="15" t="s">
        <v>1282</v>
      </c>
      <c r="B1147" s="15">
        <v>70.0</v>
      </c>
      <c r="C1147" s="16" t="str">
        <f t="shared" si="2"/>
        <v>PASS</v>
      </c>
    </row>
    <row r="1148">
      <c r="A1148" s="15" t="s">
        <v>1283</v>
      </c>
      <c r="B1148" s="15">
        <v>70.0</v>
      </c>
      <c r="C1148" s="16" t="str">
        <f t="shared" si="2"/>
        <v>PASS</v>
      </c>
    </row>
    <row r="1149">
      <c r="A1149" s="15" t="s">
        <v>1284</v>
      </c>
      <c r="B1149" s="15">
        <v>86.0</v>
      </c>
      <c r="C1149" s="16" t="str">
        <f t="shared" si="2"/>
        <v>PASS</v>
      </c>
    </row>
    <row r="1150">
      <c r="A1150" s="15" t="s">
        <v>1285</v>
      </c>
      <c r="B1150" s="15">
        <v>70.0</v>
      </c>
      <c r="C1150" s="16" t="str">
        <f t="shared" si="2"/>
        <v>PASS</v>
      </c>
    </row>
    <row r="1151">
      <c r="A1151" s="15" t="s">
        <v>1286</v>
      </c>
      <c r="B1151" s="15">
        <v>70.0</v>
      </c>
      <c r="C1151" s="16" t="str">
        <f t="shared" si="2"/>
        <v>PASS</v>
      </c>
    </row>
    <row r="1152">
      <c r="A1152" s="15" t="s">
        <v>1287</v>
      </c>
      <c r="B1152" s="15">
        <v>78.0</v>
      </c>
      <c r="C1152" s="16" t="str">
        <f t="shared" si="2"/>
        <v>PASS</v>
      </c>
    </row>
    <row r="1153">
      <c r="A1153" s="15" t="s">
        <v>1288</v>
      </c>
      <c r="B1153" s="15">
        <v>68.0</v>
      </c>
      <c r="C1153" s="16" t="str">
        <f t="shared" si="2"/>
        <v>FAIL</v>
      </c>
    </row>
    <row r="1154">
      <c r="A1154" s="15" t="s">
        <v>1289</v>
      </c>
      <c r="B1154" s="15">
        <v>80.0</v>
      </c>
      <c r="C1154" s="16" t="str">
        <f t="shared" si="2"/>
        <v>PASS</v>
      </c>
    </row>
    <row r="1155">
      <c r="A1155" s="15" t="s">
        <v>1290</v>
      </c>
      <c r="B1155" s="15">
        <v>87.0</v>
      </c>
      <c r="C1155" s="16" t="str">
        <f t="shared" si="2"/>
        <v>PASS</v>
      </c>
    </row>
    <row r="1156">
      <c r="A1156" s="15" t="s">
        <v>1291</v>
      </c>
      <c r="B1156" s="15">
        <v>69.0</v>
      </c>
      <c r="C1156" s="16" t="str">
        <f t="shared" si="2"/>
        <v>FAIL</v>
      </c>
    </row>
    <row r="1157">
      <c r="A1157" s="15" t="s">
        <v>1292</v>
      </c>
      <c r="B1157" s="15">
        <v>87.0</v>
      </c>
      <c r="C1157" s="16" t="str">
        <f t="shared" si="2"/>
        <v>PASS</v>
      </c>
    </row>
    <row r="1158">
      <c r="A1158" s="15" t="s">
        <v>1293</v>
      </c>
      <c r="B1158" s="15">
        <v>70.0</v>
      </c>
      <c r="C1158" s="16" t="str">
        <f t="shared" si="2"/>
        <v>PASS</v>
      </c>
    </row>
    <row r="1159">
      <c r="A1159" s="15" t="s">
        <v>1294</v>
      </c>
      <c r="B1159" s="15">
        <v>79.0</v>
      </c>
      <c r="C1159" s="16" t="str">
        <f t="shared" si="2"/>
        <v>PASS</v>
      </c>
    </row>
    <row r="1160">
      <c r="A1160" s="15" t="s">
        <v>1295</v>
      </c>
      <c r="B1160" s="15">
        <v>70.0</v>
      </c>
      <c r="C1160" s="16" t="str">
        <f t="shared" si="2"/>
        <v>PASS</v>
      </c>
    </row>
    <row r="1161">
      <c r="A1161" s="15" t="s">
        <v>1296</v>
      </c>
      <c r="B1161" s="15">
        <v>70.0</v>
      </c>
      <c r="C1161" s="16" t="str">
        <f t="shared" si="2"/>
        <v>PASS</v>
      </c>
    </row>
    <row r="1162">
      <c r="A1162" s="15" t="s">
        <v>1297</v>
      </c>
      <c r="B1162" s="15">
        <v>76.0</v>
      </c>
      <c r="C1162" s="16" t="str">
        <f t="shared" si="2"/>
        <v>PASS</v>
      </c>
    </row>
    <row r="1163">
      <c r="A1163" s="15" t="s">
        <v>1298</v>
      </c>
      <c r="B1163" s="15">
        <v>70.0</v>
      </c>
      <c r="C1163" s="16" t="str">
        <f t="shared" si="2"/>
        <v>PASS</v>
      </c>
    </row>
    <row r="1164">
      <c r="A1164" s="15" t="s">
        <v>1299</v>
      </c>
      <c r="B1164" s="15">
        <v>84.0</v>
      </c>
      <c r="C1164" s="16" t="str">
        <f t="shared" si="2"/>
        <v>PASS</v>
      </c>
    </row>
    <row r="1165">
      <c r="A1165" s="15" t="s">
        <v>1300</v>
      </c>
      <c r="B1165" s="15">
        <v>70.0</v>
      </c>
      <c r="C1165" s="16" t="str">
        <f t="shared" si="2"/>
        <v>PASS</v>
      </c>
    </row>
    <row r="1166">
      <c r="A1166" s="15" t="s">
        <v>1301</v>
      </c>
      <c r="B1166" s="15">
        <v>0.0</v>
      </c>
      <c r="C1166" s="16" t="str">
        <f t="shared" si="2"/>
        <v>FAIL</v>
      </c>
    </row>
    <row r="1167">
      <c r="A1167" s="15" t="s">
        <v>1302</v>
      </c>
      <c r="B1167" s="15">
        <v>37.0</v>
      </c>
      <c r="C1167" s="16" t="str">
        <f t="shared" si="2"/>
        <v>FAIL</v>
      </c>
    </row>
    <row r="1168">
      <c r="A1168" s="15" t="s">
        <v>1303</v>
      </c>
      <c r="B1168" s="15">
        <v>71.0</v>
      </c>
      <c r="C1168" s="16" t="str">
        <f t="shared" si="2"/>
        <v>PASS</v>
      </c>
    </row>
    <row r="1169">
      <c r="A1169" s="15" t="s">
        <v>1304</v>
      </c>
      <c r="B1169" s="15">
        <v>70.0</v>
      </c>
      <c r="C1169" s="16" t="str">
        <f t="shared" si="2"/>
        <v>PASS</v>
      </c>
    </row>
    <row r="1170">
      <c r="A1170" s="15" t="s">
        <v>1305</v>
      </c>
      <c r="B1170" s="15">
        <v>49.0</v>
      </c>
      <c r="C1170" s="16" t="str">
        <f t="shared" si="2"/>
        <v>FAIL</v>
      </c>
    </row>
    <row r="1171">
      <c r="A1171" s="15" t="s">
        <v>1306</v>
      </c>
      <c r="B1171" s="15">
        <v>80.0</v>
      </c>
      <c r="C1171" s="16" t="str">
        <f t="shared" si="2"/>
        <v>PASS</v>
      </c>
    </row>
    <row r="1172">
      <c r="A1172" s="15" t="s">
        <v>1307</v>
      </c>
      <c r="B1172" s="15">
        <v>71.0</v>
      </c>
      <c r="C1172" s="16" t="str">
        <f t="shared" si="2"/>
        <v>PASS</v>
      </c>
    </row>
    <row r="1173">
      <c r="A1173" s="15" t="s">
        <v>1308</v>
      </c>
      <c r="B1173" s="15">
        <v>75.0</v>
      </c>
      <c r="C1173" s="16" t="str">
        <f t="shared" si="2"/>
        <v>PASS</v>
      </c>
    </row>
    <row r="1174">
      <c r="A1174" s="15" t="s">
        <v>1309</v>
      </c>
      <c r="B1174" s="15">
        <v>86.0</v>
      </c>
      <c r="C1174" s="16" t="str">
        <f t="shared" si="2"/>
        <v>PASS</v>
      </c>
    </row>
    <row r="1175">
      <c r="A1175" s="15" t="s">
        <v>1310</v>
      </c>
      <c r="B1175" s="15">
        <v>70.0</v>
      </c>
      <c r="C1175" s="16" t="str">
        <f t="shared" si="2"/>
        <v>PASS</v>
      </c>
    </row>
    <row r="1176">
      <c r="A1176" s="15" t="s">
        <v>1311</v>
      </c>
      <c r="B1176" s="15">
        <v>70.0</v>
      </c>
      <c r="C1176" s="16" t="str">
        <f t="shared" si="2"/>
        <v>PASS</v>
      </c>
    </row>
    <row r="1177">
      <c r="A1177" s="15" t="s">
        <v>1312</v>
      </c>
      <c r="B1177" s="15">
        <v>77.0</v>
      </c>
      <c r="C1177" s="16" t="str">
        <f t="shared" si="2"/>
        <v>PASS</v>
      </c>
    </row>
    <row r="1178">
      <c r="A1178" s="15" t="s">
        <v>1313</v>
      </c>
      <c r="B1178" s="15">
        <v>65.0</v>
      </c>
      <c r="C1178" s="16" t="str">
        <f t="shared" si="2"/>
        <v>FAIL</v>
      </c>
    </row>
    <row r="1179">
      <c r="A1179" s="15" t="s">
        <v>1314</v>
      </c>
      <c r="B1179" s="15">
        <v>70.0</v>
      </c>
      <c r="C1179" s="16" t="str">
        <f t="shared" si="2"/>
        <v>PASS</v>
      </c>
    </row>
    <row r="1180">
      <c r="A1180" s="15" t="s">
        <v>1315</v>
      </c>
      <c r="B1180" s="15">
        <v>70.0</v>
      </c>
      <c r="C1180" s="16" t="str">
        <f t="shared" si="2"/>
        <v>PASS</v>
      </c>
    </row>
    <row r="1181">
      <c r="A1181" s="15" t="s">
        <v>1316</v>
      </c>
      <c r="B1181" s="15">
        <v>0.0</v>
      </c>
      <c r="C1181" s="16" t="str">
        <f t="shared" si="2"/>
        <v>FAIL</v>
      </c>
    </row>
    <row r="1182">
      <c r="A1182" s="15" t="s">
        <v>1317</v>
      </c>
      <c r="B1182" s="15">
        <v>58.0</v>
      </c>
      <c r="C1182" s="16" t="str">
        <f t="shared" si="2"/>
        <v>FAIL</v>
      </c>
    </row>
    <row r="1183">
      <c r="A1183" s="15" t="s">
        <v>1318</v>
      </c>
      <c r="B1183" s="15">
        <v>30.0</v>
      </c>
      <c r="C1183" s="16" t="str">
        <f t="shared" si="2"/>
        <v>FAIL</v>
      </c>
    </row>
    <row r="1184">
      <c r="A1184" s="15" t="s">
        <v>1319</v>
      </c>
      <c r="B1184" s="15">
        <v>91.0</v>
      </c>
      <c r="C1184" s="16" t="str">
        <f t="shared" si="2"/>
        <v>PASS</v>
      </c>
    </row>
    <row r="1185">
      <c r="A1185" s="15" t="s">
        <v>1320</v>
      </c>
      <c r="B1185" s="15">
        <v>73.0</v>
      </c>
      <c r="C1185" s="16" t="str">
        <f t="shared" si="2"/>
        <v>PASS</v>
      </c>
    </row>
    <row r="1186">
      <c r="A1186" s="15" t="s">
        <v>1321</v>
      </c>
      <c r="B1186" s="15">
        <v>73.0</v>
      </c>
      <c r="C1186" s="16" t="str">
        <f t="shared" si="2"/>
        <v>PASS</v>
      </c>
    </row>
    <row r="1187">
      <c r="A1187" s="15" t="s">
        <v>1322</v>
      </c>
      <c r="B1187" s="15">
        <v>60.0</v>
      </c>
      <c r="C1187" s="16" t="str">
        <f t="shared" si="2"/>
        <v>FAIL</v>
      </c>
    </row>
    <row r="1188">
      <c r="A1188" s="15" t="s">
        <v>1323</v>
      </c>
      <c r="B1188" s="15">
        <v>80.0</v>
      </c>
      <c r="C1188" s="16" t="str">
        <f t="shared" si="2"/>
        <v>PASS</v>
      </c>
    </row>
    <row r="1189">
      <c r="A1189" s="15" t="s">
        <v>1324</v>
      </c>
      <c r="B1189" s="15">
        <v>85.0</v>
      </c>
      <c r="C1189" s="16" t="str">
        <f t="shared" si="2"/>
        <v>PASS</v>
      </c>
    </row>
    <row r="1190">
      <c r="A1190" s="15" t="s">
        <v>1325</v>
      </c>
      <c r="B1190" s="15">
        <v>70.0</v>
      </c>
      <c r="C1190" s="16" t="str">
        <f t="shared" si="2"/>
        <v>PASS</v>
      </c>
    </row>
    <row r="1191">
      <c r="A1191" s="15" t="s">
        <v>1326</v>
      </c>
      <c r="B1191" s="15">
        <v>81.0</v>
      </c>
      <c r="C1191" s="16" t="str">
        <f t="shared" si="2"/>
        <v>PASS</v>
      </c>
    </row>
    <row r="1192">
      <c r="A1192" s="15" t="s">
        <v>1327</v>
      </c>
      <c r="B1192" s="15">
        <v>70.0</v>
      </c>
      <c r="C1192" s="16" t="str">
        <f t="shared" si="2"/>
        <v>PASS</v>
      </c>
    </row>
    <row r="1193">
      <c r="A1193" s="15" t="s">
        <v>1328</v>
      </c>
      <c r="B1193" s="15">
        <v>50.0</v>
      </c>
      <c r="C1193" s="16" t="str">
        <f t="shared" si="2"/>
        <v>FAIL</v>
      </c>
    </row>
    <row r="1194">
      <c r="A1194" s="15" t="s">
        <v>1329</v>
      </c>
      <c r="B1194" s="15">
        <v>70.0</v>
      </c>
      <c r="C1194" s="16" t="str">
        <f t="shared" si="2"/>
        <v>PASS</v>
      </c>
    </row>
    <row r="1195">
      <c r="A1195" s="15" t="s">
        <v>1330</v>
      </c>
      <c r="B1195" s="15">
        <v>84.0</v>
      </c>
      <c r="C1195" s="16" t="str">
        <f t="shared" si="2"/>
        <v>PASS</v>
      </c>
    </row>
    <row r="1196">
      <c r="A1196" s="15" t="s">
        <v>1331</v>
      </c>
      <c r="B1196" s="15">
        <v>79.0</v>
      </c>
      <c r="C1196" s="16" t="str">
        <f t="shared" si="2"/>
        <v>PASS</v>
      </c>
    </row>
    <row r="1197">
      <c r="A1197" s="15" t="s">
        <v>519</v>
      </c>
      <c r="B1197" s="15">
        <v>81.0</v>
      </c>
      <c r="C1197" s="16" t="str">
        <f t="shared" si="2"/>
        <v>PASS</v>
      </c>
    </row>
    <row r="1198">
      <c r="A1198" s="15" t="s">
        <v>1332</v>
      </c>
      <c r="B1198" s="15">
        <v>39.0</v>
      </c>
      <c r="C1198" s="16" t="str">
        <f t="shared" si="2"/>
        <v>FAIL</v>
      </c>
    </row>
    <row r="1199">
      <c r="A1199" s="15" t="s">
        <v>1333</v>
      </c>
      <c r="B1199" s="15">
        <v>70.0</v>
      </c>
      <c r="C1199" s="16" t="str">
        <f t="shared" si="2"/>
        <v>PASS</v>
      </c>
    </row>
    <row r="1200">
      <c r="A1200" s="15" t="s">
        <v>1334</v>
      </c>
      <c r="B1200" s="15">
        <v>48.0</v>
      </c>
      <c r="C1200" s="16" t="str">
        <f t="shared" si="2"/>
        <v>FAIL</v>
      </c>
    </row>
    <row r="1201">
      <c r="A1201" s="15" t="s">
        <v>1335</v>
      </c>
      <c r="B1201" s="15">
        <v>58.0</v>
      </c>
      <c r="C1201" s="16" t="str">
        <f t="shared" si="2"/>
        <v>FAIL</v>
      </c>
    </row>
    <row r="1202">
      <c r="A1202" s="15" t="s">
        <v>1336</v>
      </c>
      <c r="B1202" s="15">
        <v>27.0</v>
      </c>
      <c r="C1202" s="16" t="str">
        <f t="shared" si="2"/>
        <v>FAIL</v>
      </c>
    </row>
    <row r="1203">
      <c r="A1203" s="15" t="s">
        <v>1337</v>
      </c>
      <c r="B1203" s="15">
        <v>36.0</v>
      </c>
      <c r="C1203" s="16" t="str">
        <f t="shared" si="2"/>
        <v>FAIL</v>
      </c>
    </row>
    <row r="1204">
      <c r="A1204" s="15"/>
      <c r="B1204" s="15"/>
    </row>
    <row r="1205">
      <c r="A1205" s="15"/>
      <c r="B1205" s="15"/>
    </row>
    <row r="1206">
      <c r="A1206" s="15"/>
      <c r="B1206" s="15"/>
    </row>
    <row r="1207">
      <c r="A1207" s="15"/>
      <c r="B1207" s="15"/>
    </row>
    <row r="1208">
      <c r="A1208" s="15"/>
      <c r="B1208" s="15"/>
    </row>
    <row r="1209">
      <c r="A1209" s="15"/>
      <c r="B1209" s="15"/>
    </row>
    <row r="1210">
      <c r="A1210" s="15"/>
      <c r="B1210" s="15"/>
    </row>
    <row r="1211">
      <c r="A1211" s="15"/>
      <c r="B1211" s="15"/>
    </row>
    <row r="1212">
      <c r="A1212" s="15"/>
      <c r="B1212" s="15"/>
    </row>
    <row r="1213">
      <c r="A1213" s="15"/>
      <c r="B1213" s="15"/>
    </row>
    <row r="1214">
      <c r="A1214" s="15"/>
      <c r="B1214" s="15"/>
    </row>
    <row r="1215">
      <c r="A1215" s="15"/>
      <c r="B1215" s="15"/>
    </row>
    <row r="1216">
      <c r="A1216" s="15"/>
      <c r="B1216" s="15"/>
    </row>
    <row r="1217">
      <c r="A1217" s="15"/>
      <c r="B1217" s="15"/>
    </row>
    <row r="1218">
      <c r="A1218" s="15"/>
      <c r="B1218" s="15"/>
    </row>
    <row r="1219">
      <c r="A1219" s="15"/>
      <c r="B1219" s="15"/>
    </row>
    <row r="1220">
      <c r="A1220" s="15"/>
      <c r="B1220" s="15"/>
    </row>
    <row r="1221">
      <c r="A1221" s="15"/>
      <c r="B1221" s="15"/>
    </row>
    <row r="1222">
      <c r="A1222" s="15"/>
      <c r="B1222" s="15"/>
    </row>
    <row r="1223">
      <c r="A1223" s="15"/>
      <c r="B1223" s="15"/>
    </row>
    <row r="1224">
      <c r="A1224" s="15"/>
      <c r="B1224" s="15"/>
    </row>
    <row r="1225">
      <c r="A1225" s="15"/>
      <c r="B1225" s="15"/>
    </row>
    <row r="1226">
      <c r="A1226" s="15"/>
      <c r="B1226" s="15"/>
    </row>
    <row r="1227">
      <c r="A1227" s="15"/>
      <c r="B1227" s="15"/>
    </row>
    <row r="1228">
      <c r="A1228" s="15"/>
      <c r="B1228" s="15"/>
    </row>
    <row r="1229">
      <c r="A1229" s="15"/>
      <c r="B1229" s="15"/>
    </row>
    <row r="1230">
      <c r="A1230" s="15"/>
      <c r="B1230" s="15"/>
    </row>
    <row r="1231">
      <c r="A1231" s="15"/>
      <c r="B1231" s="15"/>
    </row>
    <row r="1232">
      <c r="A1232" s="15"/>
      <c r="B1232" s="15"/>
    </row>
    <row r="1233">
      <c r="A1233" s="15"/>
      <c r="B1233" s="15"/>
    </row>
    <row r="1234">
      <c r="A1234" s="15"/>
      <c r="B1234" s="15"/>
    </row>
    <row r="1235">
      <c r="A1235" s="15"/>
      <c r="B1235" s="15"/>
    </row>
    <row r="1236">
      <c r="A1236" s="15"/>
      <c r="B1236" s="15"/>
    </row>
    <row r="1237">
      <c r="A1237" s="15"/>
      <c r="B1237" s="15"/>
    </row>
    <row r="1238">
      <c r="A1238" s="15"/>
      <c r="B1238" s="15"/>
    </row>
    <row r="1239">
      <c r="A1239" s="15"/>
      <c r="B1239" s="15"/>
    </row>
    <row r="1240">
      <c r="A1240" s="15"/>
      <c r="B1240" s="15"/>
    </row>
    <row r="1241">
      <c r="A1241" s="15"/>
      <c r="B1241" s="15"/>
    </row>
    <row r="1242">
      <c r="A1242" s="15"/>
      <c r="B1242" s="15"/>
    </row>
    <row r="1243">
      <c r="A1243" s="15"/>
      <c r="B1243" s="15"/>
    </row>
    <row r="1244">
      <c r="A1244" s="15"/>
      <c r="B1244" s="15"/>
    </row>
    <row r="1245">
      <c r="A1245" s="15"/>
      <c r="B1245" s="15"/>
    </row>
    <row r="1246">
      <c r="A1246" s="15"/>
      <c r="B1246" s="15"/>
    </row>
    <row r="1247">
      <c r="A1247" s="15"/>
      <c r="B1247" s="15"/>
    </row>
    <row r="1248">
      <c r="A1248" s="15"/>
      <c r="B1248" s="15"/>
    </row>
    <row r="1249">
      <c r="A1249" s="15"/>
      <c r="B1249" s="15"/>
    </row>
    <row r="1250">
      <c r="A1250" s="15"/>
      <c r="B1250" s="15"/>
    </row>
    <row r="1251">
      <c r="A1251" s="15"/>
      <c r="B1251" s="15"/>
    </row>
    <row r="1252">
      <c r="A1252" s="15"/>
      <c r="B1252" s="15"/>
    </row>
    <row r="1253">
      <c r="A1253" s="15"/>
      <c r="B1253" s="15"/>
    </row>
    <row r="1254">
      <c r="A1254" s="15"/>
      <c r="B1254" s="15"/>
    </row>
    <row r="1255">
      <c r="A1255" s="15"/>
      <c r="B1255" s="15"/>
    </row>
    <row r="1256">
      <c r="A1256" s="15"/>
      <c r="B1256" s="15"/>
    </row>
    <row r="1257">
      <c r="A1257" s="15"/>
      <c r="B1257" s="15"/>
    </row>
    <row r="1258">
      <c r="A1258" s="15"/>
      <c r="B1258" s="15"/>
    </row>
    <row r="1259">
      <c r="A1259" s="15"/>
      <c r="B1259" s="15"/>
    </row>
    <row r="1260">
      <c r="A1260" s="15"/>
      <c r="B1260" s="15"/>
    </row>
    <row r="1261">
      <c r="A1261" s="15"/>
      <c r="B1261" s="15"/>
    </row>
    <row r="1262">
      <c r="A1262" s="15"/>
      <c r="B1262" s="15"/>
    </row>
    <row r="1263">
      <c r="A1263" s="15"/>
      <c r="B1263" s="15"/>
    </row>
    <row r="1264">
      <c r="A1264" s="15"/>
      <c r="B1264" s="15"/>
    </row>
    <row r="1265">
      <c r="A1265" s="15"/>
      <c r="B1265" s="15"/>
    </row>
    <row r="1266">
      <c r="A1266" s="15"/>
      <c r="B1266" s="15"/>
    </row>
    <row r="1267">
      <c r="A1267" s="15"/>
      <c r="B1267" s="15"/>
    </row>
    <row r="1268">
      <c r="A1268" s="15"/>
      <c r="B1268" s="15"/>
    </row>
    <row r="1269">
      <c r="A1269" s="15"/>
      <c r="B1269" s="15"/>
    </row>
    <row r="1270">
      <c r="A1270" s="15"/>
      <c r="B1270" s="15"/>
    </row>
    <row r="1271">
      <c r="A1271" s="15"/>
      <c r="B1271" s="15"/>
    </row>
    <row r="1272">
      <c r="A1272" s="15"/>
      <c r="B1272" s="15"/>
    </row>
    <row r="1273">
      <c r="A1273" s="15"/>
      <c r="B1273" s="15"/>
    </row>
    <row r="1274">
      <c r="A1274" s="15"/>
      <c r="B1274" s="15"/>
    </row>
    <row r="1275">
      <c r="A1275" s="15"/>
      <c r="B1275" s="15"/>
    </row>
    <row r="1276">
      <c r="A1276" s="15"/>
      <c r="B1276" s="15"/>
    </row>
    <row r="1277">
      <c r="A1277" s="15"/>
      <c r="B1277" s="15"/>
    </row>
    <row r="1278">
      <c r="A1278" s="15"/>
      <c r="B1278" s="15"/>
    </row>
    <row r="1279">
      <c r="A1279" s="15"/>
      <c r="B1279" s="15"/>
    </row>
    <row r="1280">
      <c r="A1280" s="15"/>
      <c r="B1280" s="15"/>
    </row>
    <row r="1281">
      <c r="A1281" s="15"/>
      <c r="B1281" s="15"/>
    </row>
    <row r="1282">
      <c r="A1282" s="15"/>
      <c r="B1282" s="15"/>
    </row>
    <row r="1283">
      <c r="A1283" s="15"/>
      <c r="B1283" s="15"/>
    </row>
    <row r="1284">
      <c r="A1284" s="15"/>
      <c r="B1284" s="15"/>
    </row>
    <row r="1285">
      <c r="A1285" s="15"/>
      <c r="B1285" s="15"/>
    </row>
    <row r="1286">
      <c r="A1286" s="15"/>
      <c r="B1286" s="15"/>
    </row>
    <row r="1287">
      <c r="A1287" s="15"/>
      <c r="B1287" s="15"/>
    </row>
    <row r="1288">
      <c r="A1288" s="15"/>
      <c r="B1288" s="15"/>
    </row>
    <row r="1289">
      <c r="A1289" s="15"/>
      <c r="B1289" s="15"/>
    </row>
    <row r="1290">
      <c r="A1290" s="15"/>
      <c r="B1290" s="15"/>
    </row>
    <row r="1291">
      <c r="A1291" s="15"/>
      <c r="B1291" s="15"/>
    </row>
    <row r="1292">
      <c r="A1292" s="15"/>
      <c r="B1292" s="15"/>
    </row>
    <row r="1293">
      <c r="A1293" s="15"/>
      <c r="B1293" s="15"/>
    </row>
    <row r="1294">
      <c r="A1294" s="15"/>
      <c r="B1294" s="15"/>
    </row>
    <row r="1295">
      <c r="A1295" s="15"/>
      <c r="B1295" s="15"/>
    </row>
    <row r="1296">
      <c r="A1296" s="15"/>
      <c r="B1296" s="15"/>
    </row>
    <row r="1297">
      <c r="A1297" s="15"/>
      <c r="B1297" s="15"/>
    </row>
    <row r="1298">
      <c r="A1298" s="15"/>
      <c r="B1298" s="15"/>
    </row>
    <row r="1299">
      <c r="A1299" s="15"/>
      <c r="B1299" s="15"/>
    </row>
    <row r="1300">
      <c r="A1300" s="15"/>
      <c r="B1300" s="15"/>
    </row>
    <row r="1301">
      <c r="A1301" s="15"/>
      <c r="B1301" s="15"/>
    </row>
    <row r="1302">
      <c r="A1302" s="15"/>
      <c r="B1302" s="15"/>
    </row>
    <row r="1303">
      <c r="A1303" s="15"/>
      <c r="B1303" s="15"/>
    </row>
    <row r="1304">
      <c r="A1304" s="15"/>
      <c r="B1304" s="15"/>
    </row>
    <row r="1305">
      <c r="A1305" s="15"/>
      <c r="B1305" s="15"/>
    </row>
    <row r="1306">
      <c r="A1306" s="15"/>
      <c r="B1306" s="15"/>
    </row>
    <row r="1307">
      <c r="A1307" s="15"/>
      <c r="B1307" s="15"/>
    </row>
    <row r="1308">
      <c r="A1308" s="15"/>
      <c r="B1308" s="15"/>
    </row>
    <row r="1309">
      <c r="A1309" s="15"/>
      <c r="B1309" s="15"/>
    </row>
    <row r="1310">
      <c r="A1310" s="15"/>
      <c r="B1310" s="15"/>
    </row>
    <row r="1311">
      <c r="A1311" s="15"/>
      <c r="B1311" s="15"/>
    </row>
    <row r="1312">
      <c r="A1312" s="15"/>
      <c r="B1312" s="15"/>
    </row>
    <row r="1313">
      <c r="A1313" s="15"/>
      <c r="B1313" s="15"/>
    </row>
    <row r="1314">
      <c r="A1314" s="15"/>
      <c r="B1314" s="15"/>
    </row>
    <row r="1315">
      <c r="A1315" s="15"/>
      <c r="B1315" s="15"/>
    </row>
    <row r="1316">
      <c r="A1316" s="15"/>
      <c r="B1316" s="15"/>
    </row>
    <row r="1317">
      <c r="A1317" s="15"/>
      <c r="B1317" s="15"/>
    </row>
    <row r="1318">
      <c r="A1318" s="15"/>
      <c r="B1318" s="15"/>
    </row>
    <row r="1319">
      <c r="A1319" s="15"/>
      <c r="B1319" s="15"/>
    </row>
    <row r="1320">
      <c r="A1320" s="15"/>
      <c r="B1320" s="15"/>
    </row>
    <row r="1321">
      <c r="A1321" s="15"/>
      <c r="B1321" s="15"/>
    </row>
    <row r="1322">
      <c r="A1322" s="15"/>
      <c r="B1322" s="15"/>
    </row>
    <row r="1323">
      <c r="A1323" s="15"/>
      <c r="B1323" s="15"/>
    </row>
    <row r="1324">
      <c r="A1324" s="15"/>
      <c r="B1324" s="15"/>
    </row>
    <row r="1325">
      <c r="A1325" s="15"/>
      <c r="B1325" s="15"/>
    </row>
    <row r="1326">
      <c r="A1326" s="15"/>
      <c r="B1326" s="15"/>
    </row>
    <row r="1327">
      <c r="A1327" s="15"/>
      <c r="B1327" s="15"/>
    </row>
    <row r="1328">
      <c r="A1328" s="15"/>
      <c r="B1328" s="15"/>
    </row>
    <row r="1329">
      <c r="A1329" s="15"/>
      <c r="B1329" s="15"/>
    </row>
    <row r="1330">
      <c r="A1330" s="15"/>
      <c r="B1330" s="15"/>
    </row>
    <row r="1331">
      <c r="A1331" s="15"/>
      <c r="B1331" s="15"/>
    </row>
    <row r="1332">
      <c r="A1332" s="15"/>
      <c r="B1332" s="15"/>
    </row>
    <row r="1333">
      <c r="A1333" s="15"/>
      <c r="B1333" s="15"/>
    </row>
    <row r="1334">
      <c r="A1334" s="15"/>
      <c r="B1334" s="15"/>
    </row>
    <row r="1335">
      <c r="A1335" s="15"/>
      <c r="B1335" s="15"/>
    </row>
    <row r="1336">
      <c r="A1336" s="15"/>
      <c r="B1336" s="15"/>
    </row>
    <row r="1337">
      <c r="A1337" s="15"/>
      <c r="B1337" s="15"/>
    </row>
    <row r="1338">
      <c r="A1338" s="15"/>
      <c r="B1338" s="15"/>
    </row>
    <row r="1339">
      <c r="A1339" s="15"/>
      <c r="B1339" s="15"/>
    </row>
    <row r="1340">
      <c r="A1340" s="15"/>
      <c r="B1340" s="15"/>
    </row>
    <row r="1341">
      <c r="A1341" s="15"/>
      <c r="B1341" s="15"/>
    </row>
    <row r="1342">
      <c r="A1342" s="15"/>
      <c r="B1342" s="15"/>
    </row>
    <row r="1343">
      <c r="A1343" s="15"/>
      <c r="B1343" s="15"/>
    </row>
    <row r="1344">
      <c r="A1344" s="15"/>
      <c r="B1344" s="15"/>
    </row>
    <row r="1345">
      <c r="A1345" s="15"/>
      <c r="B1345" s="15"/>
    </row>
    <row r="1346">
      <c r="A1346" s="15"/>
      <c r="B1346" s="15"/>
    </row>
    <row r="1347">
      <c r="A1347" s="15"/>
      <c r="B1347" s="15"/>
    </row>
    <row r="1348">
      <c r="A1348" s="15"/>
      <c r="B1348" s="15"/>
    </row>
    <row r="1349">
      <c r="A1349" s="15"/>
      <c r="B1349" s="15"/>
    </row>
    <row r="1350">
      <c r="A1350" s="15"/>
      <c r="B1350" s="15"/>
    </row>
    <row r="1351">
      <c r="A1351" s="15"/>
      <c r="B1351" s="15"/>
    </row>
    <row r="1352">
      <c r="A1352" s="15"/>
      <c r="B1352" s="15"/>
    </row>
    <row r="1353">
      <c r="A1353" s="15"/>
      <c r="B1353" s="15"/>
    </row>
    <row r="1354">
      <c r="A1354" s="15"/>
      <c r="B1354" s="15"/>
    </row>
    <row r="1355">
      <c r="A1355" s="15"/>
      <c r="B1355" s="15"/>
    </row>
    <row r="1356">
      <c r="A1356" s="15"/>
      <c r="B1356" s="15"/>
    </row>
    <row r="1357">
      <c r="A1357" s="15"/>
      <c r="B1357" s="15"/>
    </row>
    <row r="1358">
      <c r="A1358" s="15"/>
      <c r="B1358" s="15"/>
    </row>
    <row r="1359">
      <c r="A1359" s="15"/>
      <c r="B1359" s="15"/>
    </row>
    <row r="1360">
      <c r="A1360" s="15"/>
      <c r="B1360" s="15"/>
    </row>
    <row r="1361">
      <c r="A1361" s="15"/>
      <c r="B1361" s="15"/>
    </row>
    <row r="1362">
      <c r="A1362" s="15"/>
      <c r="B1362" s="15"/>
    </row>
    <row r="1363">
      <c r="A1363" s="15"/>
      <c r="B1363" s="15"/>
    </row>
    <row r="1364">
      <c r="A1364" s="15"/>
      <c r="B1364" s="15"/>
    </row>
    <row r="1365">
      <c r="A1365" s="15"/>
      <c r="B1365" s="15"/>
    </row>
    <row r="1366">
      <c r="A1366" s="15"/>
      <c r="B1366" s="15"/>
    </row>
    <row r="1367">
      <c r="A1367" s="15"/>
      <c r="B1367" s="15"/>
    </row>
    <row r="1368">
      <c r="A1368" s="15"/>
      <c r="B1368" s="15"/>
    </row>
    <row r="1369">
      <c r="A1369" s="15"/>
      <c r="B1369" s="15"/>
    </row>
    <row r="1370">
      <c r="A1370" s="15"/>
      <c r="B1370" s="15"/>
    </row>
    <row r="1371">
      <c r="A1371" s="15"/>
      <c r="B1371" s="15"/>
    </row>
    <row r="1372">
      <c r="A1372" s="15"/>
      <c r="B1372" s="15"/>
    </row>
    <row r="1373">
      <c r="A1373" s="15"/>
      <c r="B1373" s="15"/>
    </row>
    <row r="1374">
      <c r="A1374" s="15"/>
      <c r="B1374" s="15"/>
    </row>
    <row r="1375">
      <c r="A1375" s="15"/>
      <c r="B1375" s="15"/>
    </row>
    <row r="1376">
      <c r="A1376" s="15"/>
      <c r="B1376" s="15"/>
    </row>
    <row r="1377">
      <c r="A1377" s="15"/>
      <c r="B1377" s="15"/>
    </row>
    <row r="1378">
      <c r="A1378" s="15"/>
      <c r="B1378" s="15"/>
    </row>
    <row r="1379">
      <c r="A1379" s="15"/>
      <c r="B1379" s="15"/>
    </row>
    <row r="1380">
      <c r="A1380" s="15"/>
      <c r="B1380" s="15"/>
    </row>
    <row r="1381">
      <c r="A1381" s="15"/>
      <c r="B1381" s="15"/>
    </row>
    <row r="1382">
      <c r="A1382" s="15"/>
      <c r="B1382" s="15"/>
    </row>
    <row r="1383">
      <c r="A1383" s="15"/>
      <c r="B1383" s="15"/>
    </row>
    <row r="1384">
      <c r="A1384" s="15"/>
      <c r="B1384" s="15"/>
    </row>
    <row r="1385">
      <c r="A1385" s="15"/>
      <c r="B1385" s="15"/>
    </row>
    <row r="1386">
      <c r="A1386" s="15"/>
      <c r="B1386" s="15"/>
    </row>
    <row r="1387">
      <c r="A1387" s="15"/>
      <c r="B1387" s="15"/>
    </row>
    <row r="1388">
      <c r="A1388" s="15"/>
      <c r="B1388" s="15"/>
    </row>
    <row r="1389">
      <c r="A1389" s="15"/>
      <c r="B1389" s="15"/>
    </row>
    <row r="1390">
      <c r="A1390" s="15"/>
      <c r="B1390" s="15"/>
    </row>
    <row r="1391">
      <c r="A1391" s="15"/>
      <c r="B1391" s="15"/>
    </row>
    <row r="1392">
      <c r="A1392" s="15"/>
      <c r="B1392" s="15"/>
    </row>
    <row r="1393">
      <c r="A1393" s="15"/>
      <c r="B1393" s="15"/>
    </row>
    <row r="1394">
      <c r="A1394" s="15"/>
      <c r="B1394" s="15"/>
    </row>
    <row r="1395">
      <c r="A1395" s="15"/>
      <c r="B1395" s="15"/>
    </row>
    <row r="1396">
      <c r="A1396" s="15"/>
      <c r="B1396" s="15"/>
    </row>
    <row r="1397">
      <c r="A1397" s="15"/>
      <c r="B1397" s="15"/>
    </row>
    <row r="1398">
      <c r="A1398" s="15"/>
      <c r="B1398" s="15"/>
    </row>
    <row r="1399">
      <c r="A1399" s="15"/>
      <c r="B1399" s="15"/>
    </row>
    <row r="1400">
      <c r="A1400" s="15"/>
      <c r="B1400" s="15"/>
    </row>
    <row r="1401">
      <c r="A1401" s="15"/>
      <c r="B1401" s="15"/>
    </row>
    <row r="1402">
      <c r="A1402" s="15"/>
      <c r="B1402" s="15"/>
    </row>
    <row r="1403">
      <c r="A1403" s="15"/>
      <c r="B1403" s="15"/>
    </row>
    <row r="1404">
      <c r="A1404" s="15"/>
      <c r="B1404" s="15"/>
    </row>
    <row r="1405">
      <c r="A1405" s="15"/>
      <c r="B1405" s="15"/>
    </row>
    <row r="1406">
      <c r="A1406" s="15"/>
      <c r="B1406" s="15"/>
    </row>
    <row r="1407">
      <c r="A1407" s="15"/>
      <c r="B1407" s="15"/>
    </row>
    <row r="1408">
      <c r="A1408" s="15"/>
      <c r="B1408" s="15"/>
    </row>
    <row r="1409">
      <c r="A1409" s="15"/>
      <c r="B1409" s="15"/>
    </row>
    <row r="1410">
      <c r="A1410" s="15"/>
      <c r="B1410" s="15"/>
    </row>
    <row r="1411">
      <c r="A1411" s="15"/>
      <c r="B1411" s="15"/>
    </row>
    <row r="1412">
      <c r="A1412" s="15"/>
      <c r="B1412" s="15"/>
    </row>
    <row r="1413">
      <c r="A1413" s="15"/>
      <c r="B1413" s="15"/>
    </row>
    <row r="1414">
      <c r="A1414" s="15"/>
      <c r="B1414" s="15"/>
    </row>
    <row r="1415">
      <c r="A1415" s="15"/>
      <c r="B1415" s="15"/>
    </row>
    <row r="1416">
      <c r="A1416" s="15"/>
      <c r="B1416" s="15"/>
    </row>
    <row r="1417">
      <c r="A1417" s="15"/>
      <c r="B1417" s="15"/>
    </row>
    <row r="1418">
      <c r="A1418" s="15"/>
      <c r="B1418" s="15"/>
    </row>
    <row r="1419">
      <c r="A1419" s="15"/>
      <c r="B1419" s="15"/>
    </row>
    <row r="1420">
      <c r="A1420" s="15"/>
      <c r="B1420" s="15"/>
    </row>
    <row r="1421">
      <c r="A1421" s="15"/>
      <c r="B1421" s="15"/>
    </row>
    <row r="1422">
      <c r="A1422" s="15"/>
      <c r="B1422" s="15"/>
    </row>
    <row r="1423">
      <c r="A1423" s="15"/>
      <c r="B1423" s="15"/>
    </row>
    <row r="1424">
      <c r="A1424" s="15"/>
      <c r="B1424" s="15"/>
    </row>
    <row r="1425">
      <c r="A1425" s="15"/>
      <c r="B1425" s="15"/>
    </row>
    <row r="1426">
      <c r="A1426" s="15"/>
      <c r="B1426" s="15"/>
    </row>
    <row r="1427">
      <c r="A1427" s="15"/>
      <c r="B1427" s="15"/>
    </row>
    <row r="1428">
      <c r="A1428" s="15"/>
      <c r="B1428" s="15"/>
    </row>
    <row r="1429">
      <c r="A1429" s="15"/>
      <c r="B1429" s="15"/>
    </row>
    <row r="1430">
      <c r="A1430" s="15"/>
      <c r="B1430" s="15"/>
    </row>
    <row r="1431">
      <c r="A1431" s="15"/>
      <c r="B1431" s="15"/>
    </row>
    <row r="1432">
      <c r="A1432" s="15"/>
      <c r="B1432" s="15"/>
    </row>
    <row r="1433">
      <c r="A1433" s="15"/>
      <c r="B1433" s="15"/>
    </row>
    <row r="1434">
      <c r="A1434" s="15"/>
      <c r="B1434" s="15"/>
    </row>
    <row r="1435">
      <c r="A1435" s="15"/>
      <c r="B1435" s="15"/>
    </row>
    <row r="1436">
      <c r="A1436" s="15"/>
      <c r="B1436" s="15"/>
    </row>
    <row r="1437">
      <c r="A1437" s="15"/>
      <c r="B1437" s="15"/>
    </row>
    <row r="1438">
      <c r="A1438" s="15"/>
      <c r="B1438" s="15"/>
    </row>
    <row r="1439">
      <c r="A1439" s="15"/>
      <c r="B1439" s="15"/>
    </row>
    <row r="1440">
      <c r="A1440" s="15"/>
      <c r="B1440" s="15"/>
    </row>
    <row r="1441">
      <c r="A1441" s="15"/>
      <c r="B1441" s="15"/>
    </row>
    <row r="1442">
      <c r="A1442" s="15"/>
      <c r="B1442" s="15"/>
    </row>
    <row r="1443">
      <c r="A1443" s="15"/>
      <c r="B1443" s="15"/>
    </row>
    <row r="1444">
      <c r="A1444" s="15"/>
      <c r="B1444" s="15"/>
    </row>
    <row r="1445">
      <c r="A1445" s="15"/>
      <c r="B1445" s="15"/>
    </row>
    <row r="1446">
      <c r="A1446" s="15"/>
      <c r="B1446" s="15"/>
    </row>
    <row r="1447">
      <c r="A1447" s="15"/>
      <c r="B1447" s="15"/>
    </row>
    <row r="1448">
      <c r="A1448" s="15"/>
      <c r="B1448" s="15"/>
    </row>
    <row r="1449">
      <c r="A1449" s="15"/>
      <c r="B1449" s="15"/>
    </row>
    <row r="1450">
      <c r="A1450" s="15"/>
      <c r="B1450" s="15"/>
    </row>
    <row r="1451">
      <c r="A1451" s="15"/>
      <c r="B1451" s="15"/>
    </row>
    <row r="1452">
      <c r="A1452" s="15"/>
      <c r="B1452" s="15"/>
    </row>
    <row r="1453">
      <c r="A1453" s="15"/>
      <c r="B1453" s="15"/>
    </row>
    <row r="1454">
      <c r="A1454" s="15"/>
      <c r="B1454" s="15"/>
    </row>
    <row r="1455">
      <c r="A1455" s="15"/>
      <c r="B1455" s="15"/>
    </row>
    <row r="1456">
      <c r="A1456" s="15"/>
      <c r="B1456" s="15"/>
    </row>
    <row r="1457">
      <c r="A1457" s="15"/>
      <c r="B1457" s="15"/>
    </row>
    <row r="1458">
      <c r="A1458" s="15"/>
      <c r="B1458" s="15"/>
    </row>
    <row r="1459">
      <c r="A1459" s="15"/>
      <c r="B1459" s="15"/>
    </row>
    <row r="1460">
      <c r="A1460" s="15"/>
      <c r="B1460" s="15"/>
    </row>
    <row r="1461">
      <c r="A1461" s="15"/>
      <c r="B1461" s="15"/>
    </row>
    <row r="1462">
      <c r="A1462" s="15"/>
      <c r="B1462" s="15"/>
    </row>
    <row r="1463">
      <c r="A1463" s="15"/>
      <c r="B1463" s="15"/>
    </row>
    <row r="1464">
      <c r="A1464" s="15"/>
      <c r="B1464" s="15"/>
    </row>
    <row r="1465">
      <c r="A1465" s="15"/>
      <c r="B1465" s="15"/>
    </row>
    <row r="1466">
      <c r="A1466" s="15"/>
      <c r="B1466" s="15"/>
    </row>
    <row r="1467">
      <c r="A1467" s="15"/>
      <c r="B1467" s="15"/>
    </row>
    <row r="1468">
      <c r="A1468" s="15"/>
      <c r="B1468" s="15"/>
    </row>
    <row r="1469">
      <c r="A1469" s="15"/>
      <c r="B1469" s="15"/>
    </row>
    <row r="1470">
      <c r="A1470" s="15"/>
      <c r="B1470" s="15"/>
    </row>
    <row r="1471">
      <c r="A1471" s="15"/>
      <c r="B1471" s="15"/>
    </row>
    <row r="1472">
      <c r="A1472" s="15"/>
      <c r="B1472" s="15"/>
    </row>
    <row r="1473">
      <c r="A1473" s="15"/>
      <c r="B1473" s="15"/>
    </row>
    <row r="1474">
      <c r="A1474" s="15"/>
      <c r="B1474" s="15"/>
    </row>
    <row r="1475">
      <c r="A1475" s="15"/>
      <c r="B1475" s="15"/>
    </row>
    <row r="1476">
      <c r="A1476" s="15"/>
      <c r="B1476" s="15"/>
    </row>
    <row r="1477">
      <c r="A1477" s="15"/>
      <c r="B1477" s="15"/>
    </row>
    <row r="1478">
      <c r="A1478" s="15"/>
      <c r="B1478" s="15"/>
    </row>
    <row r="1479">
      <c r="A1479" s="15"/>
      <c r="B1479" s="15"/>
    </row>
    <row r="1480">
      <c r="A1480" s="15"/>
      <c r="B1480" s="15"/>
    </row>
    <row r="1481">
      <c r="A1481" s="15"/>
      <c r="B1481" s="15"/>
    </row>
    <row r="1482">
      <c r="A1482" s="15"/>
      <c r="B1482" s="15"/>
    </row>
    <row r="1483">
      <c r="A1483" s="15"/>
      <c r="B1483" s="15"/>
    </row>
    <row r="1484">
      <c r="A1484" s="15"/>
      <c r="B1484" s="15"/>
    </row>
    <row r="1485">
      <c r="A1485" s="15"/>
      <c r="B1485" s="15"/>
    </row>
    <row r="1486">
      <c r="A1486" s="15"/>
      <c r="B1486" s="15"/>
    </row>
    <row r="1487">
      <c r="A1487" s="15"/>
      <c r="B1487" s="15"/>
    </row>
    <row r="1488">
      <c r="A1488" s="15"/>
      <c r="B1488" s="15"/>
    </row>
    <row r="1489">
      <c r="A1489" s="15"/>
      <c r="B1489" s="15"/>
    </row>
    <row r="1490">
      <c r="A1490" s="15"/>
      <c r="B1490" s="15"/>
    </row>
    <row r="1491">
      <c r="A1491" s="15"/>
      <c r="B1491" s="15"/>
    </row>
    <row r="1492">
      <c r="A1492" s="15"/>
      <c r="B1492" s="15"/>
    </row>
    <row r="1493">
      <c r="A1493" s="15"/>
      <c r="B1493" s="15"/>
    </row>
    <row r="1494">
      <c r="A1494" s="15"/>
      <c r="B1494" s="15"/>
    </row>
    <row r="1495">
      <c r="A1495" s="15"/>
      <c r="B1495" s="15"/>
    </row>
    <row r="1496">
      <c r="A1496" s="15"/>
      <c r="B1496" s="15"/>
    </row>
    <row r="1497">
      <c r="A1497" s="15"/>
      <c r="B1497" s="15"/>
    </row>
    <row r="1498">
      <c r="A1498" s="15"/>
      <c r="B1498" s="15"/>
    </row>
    <row r="1499">
      <c r="A1499" s="15"/>
      <c r="B1499" s="15"/>
    </row>
    <row r="1500">
      <c r="A1500" s="15"/>
      <c r="B1500" s="15"/>
    </row>
    <row r="1501">
      <c r="A1501" s="15"/>
      <c r="B1501" s="15"/>
    </row>
    <row r="1502">
      <c r="A1502" s="15"/>
      <c r="B1502" s="15"/>
    </row>
    <row r="1503">
      <c r="A1503" s="15"/>
      <c r="B1503" s="15"/>
    </row>
    <row r="1504">
      <c r="A1504" s="15"/>
      <c r="B1504" s="15"/>
    </row>
    <row r="1505">
      <c r="A1505" s="15"/>
      <c r="B1505" s="15"/>
    </row>
    <row r="1506">
      <c r="A1506" s="15"/>
      <c r="B1506" s="15"/>
    </row>
    <row r="1507">
      <c r="A1507" s="15"/>
      <c r="B1507" s="15"/>
    </row>
    <row r="1508">
      <c r="A1508" s="15"/>
      <c r="B1508" s="15"/>
    </row>
    <row r="1509">
      <c r="A1509" s="15"/>
      <c r="B1509" s="15"/>
    </row>
    <row r="1510">
      <c r="A1510" s="15"/>
      <c r="B1510" s="15"/>
    </row>
    <row r="1511">
      <c r="A1511" s="15"/>
      <c r="B1511" s="15"/>
    </row>
    <row r="1512">
      <c r="A1512" s="15"/>
      <c r="B1512" s="15"/>
    </row>
    <row r="1513">
      <c r="A1513" s="15"/>
      <c r="B1513" s="15"/>
    </row>
    <row r="1514">
      <c r="A1514" s="15"/>
      <c r="B1514" s="15"/>
    </row>
    <row r="1515">
      <c r="A1515" s="15"/>
      <c r="B1515" s="15"/>
    </row>
    <row r="1516">
      <c r="A1516" s="15"/>
      <c r="B1516" s="15"/>
    </row>
    <row r="1517">
      <c r="A1517" s="15"/>
      <c r="B1517" s="15"/>
    </row>
    <row r="1518">
      <c r="A1518" s="15"/>
      <c r="B1518" s="15"/>
    </row>
    <row r="1519">
      <c r="A1519" s="15"/>
      <c r="B1519" s="15"/>
    </row>
    <row r="1520">
      <c r="A1520" s="15"/>
      <c r="B1520" s="15"/>
    </row>
    <row r="1521">
      <c r="A1521" s="15"/>
      <c r="B1521" s="15"/>
    </row>
    <row r="1522">
      <c r="A1522" s="15"/>
      <c r="B1522" s="15"/>
    </row>
    <row r="1523">
      <c r="A1523" s="15"/>
      <c r="B1523" s="15"/>
    </row>
    <row r="1524">
      <c r="A1524" s="15"/>
      <c r="B1524" s="15"/>
    </row>
    <row r="1525">
      <c r="A1525" s="15"/>
      <c r="B1525" s="15"/>
    </row>
    <row r="1526">
      <c r="A1526" s="15"/>
      <c r="B1526" s="15"/>
    </row>
    <row r="1527">
      <c r="A1527" s="15"/>
      <c r="B1527" s="15"/>
    </row>
    <row r="1528">
      <c r="A1528" s="15"/>
      <c r="B1528" s="15"/>
    </row>
    <row r="1529">
      <c r="A1529" s="15"/>
      <c r="B1529" s="15"/>
    </row>
    <row r="1530">
      <c r="A1530" s="15"/>
      <c r="B1530" s="15"/>
    </row>
    <row r="1531">
      <c r="A1531" s="15"/>
      <c r="B1531" s="15"/>
    </row>
    <row r="1532">
      <c r="A1532" s="15"/>
      <c r="B1532" s="15"/>
    </row>
    <row r="1533">
      <c r="A1533" s="15"/>
      <c r="B1533" s="15"/>
    </row>
    <row r="1534">
      <c r="A1534" s="15"/>
      <c r="B1534" s="15"/>
    </row>
    <row r="1535">
      <c r="A1535" s="15"/>
      <c r="B1535" s="15"/>
    </row>
    <row r="1536">
      <c r="A1536" s="15"/>
      <c r="B1536" s="15"/>
    </row>
    <row r="1537">
      <c r="A1537" s="15"/>
      <c r="B1537" s="15"/>
    </row>
    <row r="1538">
      <c r="A1538" s="15"/>
      <c r="B1538" s="15"/>
    </row>
    <row r="1539">
      <c r="A1539" s="15"/>
      <c r="B1539" s="15"/>
    </row>
    <row r="1540">
      <c r="A1540" s="15"/>
      <c r="B1540" s="15"/>
    </row>
    <row r="1541">
      <c r="A1541" s="15"/>
      <c r="B1541" s="15"/>
    </row>
    <row r="1542">
      <c r="A1542" s="15"/>
      <c r="B1542" s="15"/>
    </row>
    <row r="1543">
      <c r="A1543" s="15"/>
      <c r="B1543" s="15"/>
    </row>
    <row r="1544">
      <c r="A1544" s="15"/>
      <c r="B1544" s="15"/>
    </row>
    <row r="1545">
      <c r="A1545" s="15"/>
      <c r="B1545" s="15"/>
    </row>
    <row r="1546">
      <c r="A1546" s="15"/>
      <c r="B1546" s="15"/>
    </row>
    <row r="1547">
      <c r="A1547" s="15"/>
      <c r="B1547" s="15"/>
    </row>
    <row r="1548">
      <c r="A1548" s="15"/>
      <c r="B1548" s="15"/>
    </row>
    <row r="1549">
      <c r="A1549" s="15"/>
      <c r="B1549" s="15"/>
    </row>
    <row r="1550">
      <c r="A1550" s="15"/>
      <c r="B1550" s="15"/>
    </row>
    <row r="1551">
      <c r="A1551" s="15"/>
      <c r="B1551" s="15"/>
    </row>
    <row r="1552">
      <c r="A1552" s="15"/>
      <c r="B1552" s="15"/>
    </row>
    <row r="1553">
      <c r="A1553" s="15"/>
      <c r="B1553" s="15"/>
    </row>
    <row r="1554">
      <c r="A1554" s="15"/>
      <c r="B1554" s="15"/>
    </row>
    <row r="1555">
      <c r="A1555" s="15"/>
      <c r="B1555" s="15"/>
    </row>
    <row r="1556">
      <c r="A1556" s="15"/>
      <c r="B1556" s="15"/>
    </row>
    <row r="1557">
      <c r="A1557" s="15"/>
      <c r="B1557" s="15"/>
    </row>
    <row r="1558">
      <c r="A1558" s="15"/>
      <c r="B1558" s="15"/>
    </row>
    <row r="1559">
      <c r="A1559" s="15"/>
      <c r="B1559" s="15"/>
    </row>
    <row r="1560">
      <c r="A1560" s="15"/>
      <c r="B1560" s="15"/>
    </row>
    <row r="1561">
      <c r="A1561" s="15"/>
      <c r="B1561" s="15"/>
    </row>
    <row r="1562">
      <c r="A1562" s="15"/>
      <c r="B1562" s="15"/>
    </row>
    <row r="1563">
      <c r="A1563" s="15"/>
      <c r="B1563" s="15"/>
    </row>
    <row r="1564">
      <c r="A1564" s="15"/>
      <c r="B1564" s="15"/>
    </row>
    <row r="1565">
      <c r="A1565" s="15"/>
      <c r="B1565" s="15"/>
    </row>
    <row r="1566">
      <c r="A1566" s="15"/>
      <c r="B1566" s="15"/>
    </row>
    <row r="1567">
      <c r="A1567" s="15"/>
      <c r="B1567" s="15"/>
    </row>
    <row r="1568">
      <c r="A1568" s="15"/>
      <c r="B1568" s="15"/>
    </row>
    <row r="1569">
      <c r="A1569" s="15"/>
      <c r="B1569" s="15"/>
    </row>
    <row r="1570">
      <c r="A1570" s="15"/>
      <c r="B1570" s="15"/>
    </row>
    <row r="1571">
      <c r="A1571" s="15"/>
      <c r="B1571" s="15"/>
    </row>
    <row r="1572">
      <c r="A1572" s="15"/>
      <c r="B1572" s="15"/>
    </row>
    <row r="1573">
      <c r="A1573" s="15"/>
      <c r="B1573" s="15"/>
    </row>
    <row r="1574">
      <c r="A1574" s="15"/>
      <c r="B1574" s="15"/>
    </row>
    <row r="1575">
      <c r="A1575" s="15"/>
      <c r="B1575" s="15"/>
    </row>
    <row r="1576">
      <c r="A1576" s="15"/>
      <c r="B1576" s="15"/>
    </row>
    <row r="1577">
      <c r="A1577" s="15"/>
      <c r="B1577" s="15"/>
    </row>
    <row r="1578">
      <c r="A1578" s="15"/>
      <c r="B1578" s="15"/>
    </row>
    <row r="1579">
      <c r="A1579" s="15"/>
      <c r="B1579" s="15"/>
    </row>
    <row r="1580">
      <c r="A1580" s="15"/>
      <c r="B1580" s="15"/>
    </row>
    <row r="1581">
      <c r="A1581" s="15"/>
      <c r="B1581" s="15"/>
    </row>
    <row r="1582">
      <c r="A1582" s="15"/>
      <c r="B1582" s="15"/>
    </row>
    <row r="1583">
      <c r="A1583" s="15"/>
      <c r="B1583" s="15"/>
    </row>
    <row r="1584">
      <c r="A1584" s="15"/>
      <c r="B1584" s="15"/>
    </row>
    <row r="1585">
      <c r="A1585" s="15"/>
      <c r="B1585" s="15"/>
    </row>
    <row r="1586">
      <c r="A1586" s="15"/>
      <c r="B1586" s="15"/>
    </row>
    <row r="1587">
      <c r="A1587" s="15"/>
      <c r="B1587" s="15"/>
    </row>
    <row r="1588">
      <c r="A1588" s="15"/>
      <c r="B1588" s="15"/>
    </row>
    <row r="1589">
      <c r="A1589" s="15"/>
      <c r="B1589" s="15"/>
    </row>
    <row r="1590">
      <c r="A1590" s="15"/>
      <c r="B1590" s="15"/>
    </row>
    <row r="1591">
      <c r="A1591" s="15"/>
      <c r="B1591" s="15"/>
    </row>
    <row r="1592">
      <c r="A1592" s="15"/>
      <c r="B1592" s="15"/>
    </row>
    <row r="1593">
      <c r="A1593" s="15"/>
      <c r="B1593" s="15"/>
    </row>
    <row r="1594">
      <c r="A1594" s="15"/>
      <c r="B1594" s="15"/>
    </row>
    <row r="1595">
      <c r="A1595" s="15"/>
      <c r="B1595" s="15"/>
    </row>
    <row r="1596">
      <c r="A1596" s="15"/>
      <c r="B1596" s="15"/>
    </row>
    <row r="1597">
      <c r="A1597" s="15"/>
      <c r="B1597" s="15"/>
    </row>
    <row r="1598">
      <c r="A1598" s="15"/>
      <c r="B1598" s="15"/>
    </row>
    <row r="1599">
      <c r="A1599" s="15"/>
      <c r="B1599" s="15"/>
    </row>
    <row r="1600">
      <c r="A1600" s="15"/>
      <c r="B1600" s="15"/>
    </row>
    <row r="1601">
      <c r="A1601" s="15"/>
      <c r="B1601" s="15"/>
    </row>
    <row r="1602">
      <c r="A1602" s="15"/>
      <c r="B1602" s="15"/>
    </row>
    <row r="1603">
      <c r="A1603" s="15"/>
      <c r="B1603" s="15"/>
    </row>
    <row r="1604">
      <c r="A1604" s="15"/>
      <c r="B1604" s="15"/>
    </row>
    <row r="1605">
      <c r="A1605" s="15"/>
      <c r="B1605" s="15"/>
    </row>
    <row r="1606">
      <c r="A1606" s="15"/>
      <c r="B1606" s="15"/>
    </row>
    <row r="1607">
      <c r="A1607" s="15"/>
      <c r="B1607" s="15"/>
    </row>
    <row r="1608">
      <c r="A1608" s="15"/>
      <c r="B1608" s="15"/>
    </row>
    <row r="1609">
      <c r="A1609" s="15"/>
      <c r="B1609" s="15"/>
    </row>
    <row r="1610">
      <c r="A1610" s="15"/>
      <c r="B1610" s="15"/>
    </row>
    <row r="1611">
      <c r="A1611" s="15"/>
      <c r="B1611" s="15"/>
    </row>
    <row r="1612">
      <c r="A1612" s="15"/>
      <c r="B1612" s="15"/>
    </row>
    <row r="1613">
      <c r="A1613" s="15"/>
      <c r="B1613" s="15"/>
    </row>
    <row r="1614">
      <c r="A1614" s="15"/>
      <c r="B1614" s="15"/>
    </row>
    <row r="1615">
      <c r="A1615" s="15"/>
      <c r="B1615" s="15"/>
    </row>
    <row r="1616">
      <c r="A1616" s="15"/>
      <c r="B1616" s="15"/>
    </row>
    <row r="1617">
      <c r="A1617" s="15"/>
      <c r="B1617" s="15"/>
    </row>
    <row r="1618">
      <c r="A1618" s="15"/>
      <c r="B1618" s="15"/>
    </row>
    <row r="1619">
      <c r="A1619" s="15"/>
      <c r="B1619" s="15"/>
    </row>
    <row r="1620">
      <c r="A1620" s="15"/>
      <c r="B1620" s="15"/>
    </row>
    <row r="1621">
      <c r="A1621" s="15"/>
      <c r="B1621" s="15"/>
    </row>
    <row r="1622">
      <c r="A1622" s="15"/>
      <c r="B1622" s="15"/>
    </row>
    <row r="1623">
      <c r="A1623" s="15"/>
      <c r="B1623" s="15"/>
    </row>
    <row r="1624">
      <c r="A1624" s="15"/>
      <c r="B1624" s="15"/>
    </row>
    <row r="1625">
      <c r="A1625" s="15"/>
      <c r="B1625" s="15"/>
    </row>
    <row r="1626">
      <c r="A1626" s="15"/>
      <c r="B1626" s="15"/>
    </row>
    <row r="1627">
      <c r="A1627" s="15"/>
      <c r="B1627" s="15"/>
    </row>
    <row r="1628">
      <c r="A1628" s="15"/>
      <c r="B1628" s="15"/>
    </row>
    <row r="1629">
      <c r="A1629" s="15"/>
      <c r="B1629" s="15"/>
    </row>
    <row r="1630">
      <c r="A1630" s="15"/>
      <c r="B1630" s="15"/>
    </row>
    <row r="1631">
      <c r="A1631" s="15"/>
      <c r="B1631" s="15"/>
    </row>
    <row r="1632">
      <c r="A1632" s="15"/>
      <c r="B1632" s="15"/>
    </row>
    <row r="1633">
      <c r="A1633" s="15"/>
      <c r="B1633" s="15"/>
    </row>
    <row r="1634">
      <c r="A1634" s="15"/>
      <c r="B1634" s="15"/>
    </row>
    <row r="1635">
      <c r="A1635" s="15"/>
      <c r="B1635" s="15"/>
    </row>
    <row r="1636">
      <c r="A1636" s="15"/>
      <c r="B1636" s="15"/>
    </row>
    <row r="1637">
      <c r="A1637" s="15"/>
      <c r="B1637" s="15"/>
    </row>
    <row r="1638">
      <c r="A1638" s="15"/>
      <c r="B1638" s="15"/>
    </row>
    <row r="1639">
      <c r="A1639" s="15"/>
      <c r="B1639" s="15"/>
    </row>
    <row r="1640">
      <c r="A1640" s="15"/>
      <c r="B1640" s="15"/>
    </row>
    <row r="1641">
      <c r="A1641" s="15"/>
      <c r="B1641" s="15"/>
    </row>
    <row r="1642">
      <c r="A1642" s="15"/>
      <c r="B1642" s="15"/>
    </row>
    <row r="1643">
      <c r="A1643" s="15"/>
      <c r="B1643" s="15"/>
    </row>
    <row r="1644">
      <c r="A1644" s="15"/>
      <c r="B1644" s="15"/>
    </row>
    <row r="1645">
      <c r="A1645" s="15"/>
      <c r="B1645" s="15"/>
    </row>
    <row r="1646">
      <c r="A1646" s="15"/>
      <c r="B1646" s="15"/>
    </row>
    <row r="1647">
      <c r="A1647" s="15"/>
      <c r="B1647" s="15"/>
    </row>
    <row r="1648">
      <c r="A1648" s="15"/>
      <c r="B1648" s="15"/>
    </row>
    <row r="1649">
      <c r="A1649" s="15"/>
      <c r="B1649" s="15"/>
    </row>
    <row r="1650">
      <c r="A1650" s="15"/>
      <c r="B1650" s="15"/>
    </row>
    <row r="1651">
      <c r="A1651" s="15"/>
      <c r="B1651" s="15"/>
    </row>
    <row r="1652">
      <c r="A1652" s="15"/>
      <c r="B1652" s="15"/>
    </row>
    <row r="1653">
      <c r="A1653" s="15"/>
      <c r="B1653" s="15"/>
    </row>
    <row r="1654">
      <c r="A1654" s="15"/>
      <c r="B1654" s="15"/>
    </row>
    <row r="1655">
      <c r="A1655" s="15"/>
      <c r="B1655" s="15"/>
    </row>
    <row r="1656">
      <c r="A1656" s="15"/>
      <c r="B1656" s="15"/>
    </row>
    <row r="1657">
      <c r="A1657" s="15"/>
      <c r="B1657" s="15"/>
    </row>
    <row r="1658">
      <c r="A1658" s="15"/>
      <c r="B1658" s="15"/>
    </row>
    <row r="1659">
      <c r="A1659" s="15"/>
      <c r="B1659" s="15"/>
    </row>
    <row r="1660">
      <c r="A1660" s="15"/>
      <c r="B1660" s="15"/>
    </row>
    <row r="1661">
      <c r="A1661" s="15"/>
      <c r="B1661" s="15"/>
    </row>
    <row r="1662">
      <c r="A1662" s="15"/>
      <c r="B1662" s="15"/>
    </row>
    <row r="1663">
      <c r="A1663" s="15"/>
      <c r="B1663" s="15"/>
    </row>
    <row r="1664">
      <c r="A1664" s="15"/>
      <c r="B1664" s="15"/>
    </row>
    <row r="1665">
      <c r="A1665" s="15"/>
      <c r="B1665" s="15"/>
    </row>
    <row r="1666">
      <c r="A1666" s="15"/>
      <c r="B1666" s="15"/>
    </row>
    <row r="1667">
      <c r="A1667" s="15"/>
      <c r="B1667" s="15"/>
    </row>
    <row r="1668">
      <c r="A1668" s="15"/>
      <c r="B1668" s="15"/>
    </row>
    <row r="1669">
      <c r="A1669" s="15"/>
      <c r="B1669" s="15"/>
    </row>
    <row r="1670">
      <c r="A1670" s="15"/>
      <c r="B1670" s="15"/>
    </row>
    <row r="1671">
      <c r="A1671" s="15"/>
      <c r="B1671" s="15"/>
    </row>
    <row r="1672">
      <c r="A1672" s="15"/>
      <c r="B1672" s="15"/>
    </row>
    <row r="1673">
      <c r="A1673" s="15"/>
      <c r="B1673" s="15"/>
    </row>
    <row r="1674">
      <c r="A1674" s="15"/>
      <c r="B1674" s="15"/>
    </row>
    <row r="1675">
      <c r="A1675" s="15"/>
      <c r="B1675" s="15"/>
    </row>
    <row r="1676">
      <c r="A1676" s="15"/>
      <c r="B1676" s="15"/>
    </row>
    <row r="1677">
      <c r="A1677" s="15"/>
      <c r="B1677" s="15"/>
    </row>
    <row r="1678">
      <c r="A1678" s="15"/>
      <c r="B1678" s="15"/>
    </row>
    <row r="1679">
      <c r="A1679" s="15"/>
      <c r="B1679" s="15"/>
    </row>
    <row r="1680">
      <c r="A1680" s="15"/>
      <c r="B1680" s="15"/>
    </row>
    <row r="1681">
      <c r="A1681" s="15"/>
      <c r="B1681" s="15"/>
    </row>
    <row r="1682">
      <c r="A1682" s="15"/>
      <c r="B1682" s="15"/>
    </row>
    <row r="1683">
      <c r="A1683" s="15"/>
      <c r="B1683" s="15"/>
    </row>
    <row r="1684">
      <c r="A1684" s="15"/>
      <c r="B1684" s="15"/>
    </row>
    <row r="1685">
      <c r="A1685" s="15"/>
      <c r="B1685" s="15"/>
    </row>
    <row r="1686">
      <c r="A1686" s="15"/>
      <c r="B1686" s="15"/>
    </row>
    <row r="1687">
      <c r="A1687" s="15"/>
      <c r="B1687" s="15"/>
    </row>
    <row r="1688">
      <c r="A1688" s="15"/>
      <c r="B1688" s="15"/>
    </row>
    <row r="1689">
      <c r="A1689" s="15"/>
      <c r="B1689" s="15"/>
    </row>
    <row r="1690">
      <c r="A1690" s="15"/>
      <c r="B1690" s="15"/>
    </row>
    <row r="1691">
      <c r="A1691" s="15"/>
      <c r="B1691" s="15"/>
    </row>
    <row r="1692">
      <c r="A1692" s="15"/>
      <c r="B1692" s="15"/>
    </row>
    <row r="1693">
      <c r="A1693" s="15"/>
      <c r="B1693" s="15"/>
    </row>
    <row r="1694">
      <c r="A1694" s="15"/>
      <c r="B1694" s="15"/>
    </row>
    <row r="1695">
      <c r="A1695" s="15"/>
      <c r="B1695" s="15"/>
    </row>
    <row r="1696">
      <c r="A1696" s="15"/>
      <c r="B1696" s="15"/>
    </row>
    <row r="1697">
      <c r="A1697" s="15"/>
      <c r="B1697" s="15"/>
    </row>
    <row r="1698">
      <c r="A1698" s="15"/>
      <c r="B1698" s="15"/>
    </row>
    <row r="1699">
      <c r="A1699" s="15"/>
      <c r="B1699" s="15"/>
    </row>
    <row r="1700">
      <c r="A1700" s="15"/>
      <c r="B1700" s="15"/>
    </row>
    <row r="1701">
      <c r="A1701" s="15"/>
      <c r="B1701" s="15"/>
    </row>
    <row r="1702">
      <c r="A1702" s="15"/>
      <c r="B1702" s="15"/>
    </row>
    <row r="1703">
      <c r="A1703" s="15"/>
      <c r="B1703" s="15"/>
    </row>
    <row r="1704">
      <c r="A1704" s="15"/>
      <c r="B1704" s="15"/>
    </row>
    <row r="1705">
      <c r="A1705" s="15"/>
      <c r="B1705" s="15"/>
    </row>
    <row r="1706">
      <c r="A1706" s="15"/>
      <c r="B1706" s="15"/>
    </row>
    <row r="1707">
      <c r="A1707" s="15"/>
      <c r="B1707" s="15"/>
    </row>
    <row r="1708">
      <c r="A1708" s="15"/>
      <c r="B1708" s="15"/>
    </row>
    <row r="1709">
      <c r="A1709" s="15"/>
      <c r="B1709" s="15"/>
    </row>
    <row r="1710">
      <c r="A1710" s="15"/>
      <c r="B1710" s="15"/>
    </row>
    <row r="1711">
      <c r="A1711" s="15"/>
      <c r="B1711" s="15"/>
    </row>
    <row r="1712">
      <c r="A1712" s="15"/>
      <c r="B1712" s="15"/>
    </row>
    <row r="1713">
      <c r="A1713" s="15"/>
      <c r="B1713" s="15"/>
    </row>
    <row r="1714">
      <c r="A1714" s="15"/>
      <c r="B1714" s="15"/>
    </row>
    <row r="1715">
      <c r="A1715" s="15"/>
      <c r="B1715" s="15"/>
    </row>
    <row r="1716">
      <c r="A1716" s="15"/>
      <c r="B1716" s="15"/>
    </row>
    <row r="1717">
      <c r="A1717" s="15"/>
      <c r="B1717" s="15"/>
    </row>
    <row r="1718">
      <c r="A1718" s="15"/>
      <c r="B1718" s="15"/>
    </row>
    <row r="1719">
      <c r="A1719" s="15"/>
      <c r="B1719" s="15"/>
    </row>
    <row r="1720">
      <c r="A1720" s="15"/>
      <c r="B1720" s="15"/>
    </row>
    <row r="1721">
      <c r="A1721" s="15"/>
      <c r="B1721" s="15"/>
    </row>
    <row r="1722">
      <c r="A1722" s="15"/>
      <c r="B1722" s="15"/>
    </row>
    <row r="1723">
      <c r="A1723" s="15"/>
      <c r="B1723" s="15"/>
    </row>
    <row r="1724">
      <c r="A1724" s="15"/>
      <c r="B1724" s="15"/>
    </row>
    <row r="1725">
      <c r="A1725" s="15"/>
      <c r="B1725" s="15"/>
    </row>
    <row r="1726">
      <c r="A1726" s="15"/>
      <c r="B1726" s="15"/>
    </row>
    <row r="1727">
      <c r="A1727" s="15"/>
      <c r="B1727" s="15"/>
    </row>
    <row r="1728">
      <c r="A1728" s="15"/>
      <c r="B1728" s="15"/>
    </row>
    <row r="1729">
      <c r="A1729" s="15"/>
      <c r="B1729" s="15"/>
    </row>
    <row r="1730">
      <c r="A1730" s="15"/>
      <c r="B1730" s="15"/>
    </row>
    <row r="1731">
      <c r="A1731" s="15"/>
      <c r="B1731" s="15"/>
    </row>
    <row r="1732">
      <c r="A1732" s="15"/>
      <c r="B1732" s="15"/>
    </row>
    <row r="1733">
      <c r="A1733" s="15"/>
      <c r="B1733" s="15"/>
    </row>
    <row r="1734">
      <c r="A1734" s="15"/>
      <c r="B1734" s="15"/>
    </row>
    <row r="1735">
      <c r="A1735" s="15"/>
      <c r="B1735" s="15"/>
    </row>
    <row r="1736">
      <c r="A1736" s="15"/>
      <c r="B1736" s="15"/>
    </row>
    <row r="1737">
      <c r="A1737" s="15"/>
      <c r="B1737" s="15"/>
    </row>
    <row r="1738">
      <c r="A1738" s="15"/>
      <c r="B1738" s="15"/>
    </row>
    <row r="1739">
      <c r="A1739" s="15"/>
      <c r="B1739" s="15"/>
    </row>
    <row r="1740">
      <c r="A1740" s="15"/>
      <c r="B1740" s="15"/>
    </row>
    <row r="1741">
      <c r="A1741" s="15"/>
      <c r="B1741" s="15"/>
    </row>
    <row r="1742">
      <c r="A1742" s="15"/>
      <c r="B1742" s="15"/>
    </row>
    <row r="1743">
      <c r="A1743" s="15"/>
      <c r="B1743" s="15"/>
    </row>
    <row r="1744">
      <c r="A1744" s="15"/>
      <c r="B1744" s="15"/>
    </row>
    <row r="1745">
      <c r="A1745" s="15"/>
      <c r="B1745" s="15"/>
    </row>
    <row r="1746">
      <c r="A1746" s="15"/>
      <c r="B1746" s="15"/>
    </row>
    <row r="1747">
      <c r="A1747" s="15"/>
      <c r="B1747" s="15"/>
    </row>
    <row r="1748">
      <c r="A1748" s="15"/>
      <c r="B1748" s="15"/>
    </row>
    <row r="1749">
      <c r="A1749" s="15"/>
      <c r="B1749" s="15"/>
    </row>
    <row r="1750">
      <c r="A1750" s="15"/>
      <c r="B1750" s="15"/>
    </row>
    <row r="1751">
      <c r="A1751" s="15"/>
      <c r="B1751" s="15"/>
    </row>
    <row r="1752">
      <c r="A1752" s="15"/>
      <c r="B1752" s="15"/>
    </row>
    <row r="1753">
      <c r="A1753" s="15"/>
      <c r="B1753" s="15"/>
    </row>
    <row r="1754">
      <c r="A1754" s="15"/>
      <c r="B1754" s="15"/>
    </row>
    <row r="1755">
      <c r="A1755" s="15"/>
      <c r="B1755" s="15"/>
    </row>
    <row r="1756">
      <c r="A1756" s="15"/>
      <c r="B1756" s="15"/>
    </row>
    <row r="1757">
      <c r="A1757" s="15"/>
      <c r="B1757" s="15"/>
    </row>
    <row r="1758">
      <c r="A1758" s="15"/>
      <c r="B1758" s="15"/>
    </row>
    <row r="1759">
      <c r="A1759" s="15"/>
      <c r="B1759" s="15"/>
    </row>
    <row r="1760">
      <c r="A1760" s="15"/>
      <c r="B1760" s="15"/>
    </row>
    <row r="1761">
      <c r="A1761" s="15"/>
      <c r="B1761" s="15"/>
    </row>
    <row r="1762">
      <c r="A1762" s="15"/>
      <c r="B1762" s="15"/>
    </row>
    <row r="1763">
      <c r="A1763" s="15"/>
      <c r="B1763" s="15"/>
    </row>
    <row r="1764">
      <c r="A1764" s="15"/>
      <c r="B1764" s="15"/>
    </row>
    <row r="1765">
      <c r="A1765" s="15"/>
      <c r="B1765" s="15"/>
    </row>
    <row r="1766">
      <c r="A1766" s="15"/>
      <c r="B1766" s="15"/>
    </row>
    <row r="1767">
      <c r="A1767" s="15"/>
      <c r="B1767" s="15"/>
    </row>
    <row r="1768">
      <c r="A1768" s="15"/>
      <c r="B1768" s="15"/>
    </row>
    <row r="1769">
      <c r="A1769" s="15"/>
      <c r="B1769" s="15"/>
    </row>
    <row r="1770">
      <c r="A1770" s="15"/>
      <c r="B1770" s="15"/>
    </row>
    <row r="1771">
      <c r="A1771" s="15"/>
      <c r="B1771" s="15"/>
    </row>
    <row r="1772">
      <c r="A1772" s="15"/>
      <c r="B1772" s="15"/>
    </row>
    <row r="1773">
      <c r="A1773" s="15"/>
      <c r="B1773" s="15"/>
    </row>
    <row r="1774">
      <c r="A1774" s="15"/>
      <c r="B1774" s="15"/>
    </row>
    <row r="1775">
      <c r="A1775" s="15"/>
      <c r="B1775" s="15"/>
    </row>
    <row r="1776">
      <c r="A1776" s="15"/>
      <c r="B1776" s="15"/>
    </row>
    <row r="1777">
      <c r="A1777" s="15"/>
      <c r="B1777" s="15"/>
    </row>
    <row r="1778">
      <c r="A1778" s="15"/>
      <c r="B1778" s="15"/>
    </row>
    <row r="1779">
      <c r="A1779" s="15"/>
      <c r="B1779" s="15"/>
    </row>
    <row r="1780">
      <c r="A1780" s="15"/>
      <c r="B1780" s="15"/>
    </row>
    <row r="1781">
      <c r="A1781" s="15"/>
      <c r="B1781" s="15"/>
    </row>
    <row r="1782">
      <c r="A1782" s="15"/>
      <c r="B1782" s="15"/>
    </row>
    <row r="1783">
      <c r="A1783" s="15"/>
      <c r="B1783" s="15"/>
    </row>
    <row r="1784">
      <c r="A1784" s="15"/>
      <c r="B1784" s="15"/>
    </row>
    <row r="1785">
      <c r="A1785" s="15"/>
      <c r="B1785" s="15"/>
    </row>
    <row r="1786">
      <c r="A1786" s="15"/>
      <c r="B1786" s="15"/>
    </row>
    <row r="1787">
      <c r="A1787" s="15"/>
      <c r="B1787" s="15"/>
    </row>
    <row r="1788">
      <c r="A1788" s="15"/>
      <c r="B1788" s="15"/>
    </row>
    <row r="1789">
      <c r="A1789" s="15"/>
      <c r="B1789" s="15"/>
    </row>
    <row r="1790">
      <c r="A1790" s="15"/>
      <c r="B1790" s="15"/>
    </row>
    <row r="1791">
      <c r="A1791" s="15"/>
      <c r="B1791" s="15"/>
    </row>
    <row r="1792">
      <c r="A1792" s="15"/>
      <c r="B1792" s="15"/>
    </row>
    <row r="1793">
      <c r="A1793" s="15"/>
      <c r="B1793" s="15"/>
    </row>
    <row r="1794">
      <c r="A1794" s="15"/>
      <c r="B1794" s="15"/>
    </row>
    <row r="1795">
      <c r="A1795" s="15"/>
      <c r="B1795" s="15"/>
    </row>
    <row r="1796">
      <c r="A1796" s="15"/>
      <c r="B1796" s="15"/>
    </row>
    <row r="1797">
      <c r="A1797" s="15"/>
      <c r="B1797" s="15"/>
    </row>
    <row r="1798">
      <c r="A1798" s="15"/>
      <c r="B1798" s="15"/>
    </row>
    <row r="1799">
      <c r="A1799" s="15"/>
      <c r="B1799" s="15"/>
    </row>
    <row r="1800">
      <c r="A1800" s="15"/>
      <c r="B1800" s="15"/>
    </row>
    <row r="1801">
      <c r="A1801" s="15"/>
      <c r="B1801" s="15"/>
    </row>
    <row r="1802">
      <c r="A1802" s="15"/>
      <c r="B1802" s="15"/>
    </row>
    <row r="1803">
      <c r="A1803" s="15"/>
      <c r="B1803" s="15"/>
    </row>
    <row r="1804">
      <c r="A1804" s="15"/>
      <c r="B1804" s="15"/>
    </row>
    <row r="1805">
      <c r="A1805" s="15"/>
      <c r="B1805" s="15"/>
    </row>
    <row r="1806">
      <c r="A1806" s="15"/>
      <c r="B1806" s="15"/>
    </row>
    <row r="1807">
      <c r="A1807" s="15"/>
      <c r="B1807" s="15"/>
    </row>
    <row r="1808">
      <c r="A1808" s="15"/>
      <c r="B1808" s="15"/>
    </row>
    <row r="1809">
      <c r="A1809" s="15"/>
      <c r="B1809" s="15"/>
    </row>
    <row r="1810">
      <c r="A1810" s="15"/>
      <c r="B1810" s="15"/>
    </row>
    <row r="1811">
      <c r="A1811" s="15"/>
      <c r="B1811" s="15"/>
    </row>
    <row r="1812">
      <c r="A1812" s="15"/>
      <c r="B1812" s="15"/>
    </row>
    <row r="1813">
      <c r="A1813" s="15"/>
      <c r="B1813" s="15"/>
    </row>
    <row r="1814">
      <c r="A1814" s="15"/>
      <c r="B1814" s="15"/>
    </row>
    <row r="1815">
      <c r="A1815" s="15"/>
      <c r="B1815" s="15"/>
    </row>
    <row r="1816">
      <c r="A1816" s="15"/>
      <c r="B1816" s="15"/>
    </row>
    <row r="1817">
      <c r="A1817" s="15"/>
      <c r="B1817" s="15"/>
    </row>
    <row r="1818">
      <c r="A1818" s="15"/>
      <c r="B1818" s="15"/>
    </row>
    <row r="1819">
      <c r="A1819" s="15"/>
      <c r="B1819" s="15"/>
    </row>
    <row r="1820">
      <c r="A1820" s="15"/>
      <c r="B1820" s="15"/>
    </row>
    <row r="1821">
      <c r="A1821" s="15"/>
      <c r="B1821" s="15"/>
    </row>
    <row r="1822">
      <c r="A1822" s="15"/>
      <c r="B1822" s="15"/>
    </row>
    <row r="1823">
      <c r="A1823" s="15"/>
      <c r="B1823" s="15"/>
    </row>
    <row r="1824">
      <c r="A1824" s="15"/>
      <c r="B1824" s="15"/>
    </row>
    <row r="1825">
      <c r="A1825" s="15"/>
      <c r="B1825" s="15"/>
    </row>
    <row r="1826">
      <c r="A1826" s="15"/>
      <c r="B1826" s="15"/>
    </row>
    <row r="1827">
      <c r="A1827" s="15"/>
      <c r="B1827" s="15"/>
    </row>
    <row r="1828">
      <c r="A1828" s="15"/>
      <c r="B1828" s="15"/>
    </row>
    <row r="1829">
      <c r="A1829" s="15"/>
      <c r="B1829" s="15"/>
    </row>
    <row r="1830">
      <c r="A1830" s="15"/>
      <c r="B1830" s="15"/>
    </row>
    <row r="1831">
      <c r="A1831" s="15"/>
      <c r="B1831" s="15"/>
    </row>
    <row r="1832">
      <c r="A1832" s="15"/>
      <c r="B1832" s="15"/>
    </row>
    <row r="1833">
      <c r="A1833" s="15"/>
      <c r="B1833" s="15"/>
    </row>
    <row r="1834">
      <c r="A1834" s="15"/>
      <c r="B1834" s="15"/>
    </row>
    <row r="1835">
      <c r="A1835" s="15"/>
      <c r="B1835" s="15"/>
    </row>
    <row r="1836">
      <c r="A1836" s="15"/>
      <c r="B1836" s="15"/>
    </row>
    <row r="1837">
      <c r="A1837" s="15"/>
      <c r="B1837" s="15"/>
    </row>
    <row r="1838">
      <c r="A1838" s="15"/>
      <c r="B1838" s="15"/>
    </row>
    <row r="1839">
      <c r="A1839" s="15"/>
      <c r="B1839" s="15"/>
    </row>
    <row r="1840">
      <c r="A1840" s="15"/>
      <c r="B1840" s="15"/>
    </row>
    <row r="1841">
      <c r="A1841" s="15"/>
      <c r="B1841" s="15"/>
    </row>
    <row r="1842">
      <c r="A1842" s="15"/>
      <c r="B1842" s="15"/>
    </row>
    <row r="1843">
      <c r="A1843" s="15"/>
      <c r="B1843" s="15"/>
    </row>
    <row r="1844">
      <c r="A1844" s="15"/>
      <c r="B1844" s="15"/>
    </row>
    <row r="1845">
      <c r="A1845" s="15"/>
      <c r="B1845" s="15"/>
    </row>
    <row r="1846">
      <c r="A1846" s="15"/>
      <c r="B1846" s="15"/>
    </row>
    <row r="1847">
      <c r="A1847" s="15"/>
      <c r="B1847" s="15"/>
    </row>
    <row r="1848">
      <c r="A1848" s="15"/>
      <c r="B1848" s="15"/>
    </row>
    <row r="1849">
      <c r="A1849" s="15"/>
      <c r="B1849" s="15"/>
    </row>
    <row r="1850">
      <c r="A1850" s="15"/>
      <c r="B1850" s="15"/>
    </row>
    <row r="1851">
      <c r="A1851" s="15"/>
      <c r="B1851" s="15"/>
    </row>
    <row r="1852">
      <c r="A1852" s="15"/>
      <c r="B1852" s="15"/>
    </row>
    <row r="1853">
      <c r="A1853" s="15"/>
      <c r="B1853" s="15"/>
    </row>
    <row r="1854">
      <c r="A1854" s="15"/>
      <c r="B1854" s="15"/>
    </row>
    <row r="1855">
      <c r="A1855" s="15"/>
      <c r="B1855" s="15"/>
    </row>
    <row r="1856">
      <c r="A1856" s="15"/>
      <c r="B1856" s="15"/>
    </row>
    <row r="1857">
      <c r="A1857" s="15"/>
      <c r="B1857" s="15"/>
    </row>
    <row r="1858">
      <c r="A1858" s="15"/>
      <c r="B1858" s="15"/>
    </row>
    <row r="1859">
      <c r="A1859" s="15"/>
      <c r="B1859" s="15"/>
    </row>
    <row r="1860">
      <c r="A1860" s="15"/>
      <c r="B1860" s="15"/>
    </row>
    <row r="1861">
      <c r="A1861" s="15"/>
      <c r="B1861" s="15"/>
    </row>
    <row r="1862">
      <c r="A1862" s="15"/>
      <c r="B1862" s="15"/>
    </row>
    <row r="1863">
      <c r="A1863" s="15"/>
      <c r="B1863" s="15"/>
    </row>
    <row r="1864">
      <c r="A1864" s="15"/>
      <c r="B1864" s="15"/>
    </row>
    <row r="1865">
      <c r="A1865" s="15"/>
      <c r="B1865" s="15"/>
    </row>
    <row r="1866">
      <c r="A1866" s="15"/>
      <c r="B1866" s="15"/>
    </row>
    <row r="1867">
      <c r="A1867" s="15"/>
      <c r="B1867" s="15"/>
    </row>
    <row r="1868">
      <c r="A1868" s="15"/>
      <c r="B1868" s="15"/>
    </row>
    <row r="1869">
      <c r="A1869" s="15"/>
      <c r="B1869" s="15"/>
    </row>
    <row r="1870">
      <c r="A1870" s="15"/>
      <c r="B1870" s="15"/>
    </row>
    <row r="1871">
      <c r="A1871" s="15"/>
      <c r="B1871" s="15"/>
    </row>
    <row r="1872">
      <c r="A1872" s="15"/>
      <c r="B1872" s="15"/>
    </row>
    <row r="1873">
      <c r="A1873" s="15"/>
      <c r="B1873" s="15"/>
    </row>
    <row r="1874">
      <c r="A1874" s="15"/>
      <c r="B1874" s="15"/>
    </row>
    <row r="1875">
      <c r="A1875" s="15"/>
      <c r="B1875" s="15"/>
    </row>
    <row r="1876">
      <c r="A1876" s="15"/>
      <c r="B1876" s="15"/>
    </row>
    <row r="1877">
      <c r="A1877" s="15"/>
      <c r="B1877" s="15"/>
    </row>
    <row r="1878">
      <c r="A1878" s="15"/>
      <c r="B1878" s="15"/>
    </row>
    <row r="1879">
      <c r="A1879" s="15"/>
      <c r="B1879" s="15"/>
    </row>
    <row r="1880">
      <c r="A1880" s="15"/>
      <c r="B1880" s="15"/>
    </row>
    <row r="1881">
      <c r="A1881" s="15"/>
      <c r="B1881" s="15"/>
    </row>
    <row r="1882">
      <c r="A1882" s="15"/>
      <c r="B1882" s="15"/>
    </row>
    <row r="1883">
      <c r="A1883" s="15"/>
      <c r="B1883" s="15"/>
    </row>
    <row r="1884">
      <c r="A1884" s="15"/>
      <c r="B1884" s="15"/>
    </row>
    <row r="1885">
      <c r="A1885" s="15"/>
      <c r="B1885" s="15"/>
    </row>
    <row r="1886">
      <c r="A1886" s="15"/>
      <c r="B1886" s="15"/>
    </row>
    <row r="1887">
      <c r="A1887" s="15"/>
      <c r="B1887" s="15"/>
    </row>
    <row r="1888">
      <c r="A1888" s="15"/>
      <c r="B1888" s="15"/>
    </row>
    <row r="1889">
      <c r="A1889" s="15"/>
      <c r="B1889" s="15"/>
    </row>
    <row r="1890">
      <c r="A1890" s="15"/>
      <c r="B1890" s="15"/>
    </row>
    <row r="1891">
      <c r="A1891" s="15"/>
      <c r="B1891" s="15"/>
    </row>
    <row r="1892">
      <c r="A1892" s="15"/>
      <c r="B1892" s="15"/>
    </row>
    <row r="1893">
      <c r="A1893" s="15"/>
      <c r="B1893" s="15"/>
    </row>
    <row r="1894">
      <c r="A1894" s="15"/>
      <c r="B1894" s="15"/>
    </row>
    <row r="1895">
      <c r="A1895" s="15"/>
      <c r="B1895" s="15"/>
    </row>
    <row r="1896">
      <c r="A1896" s="15"/>
      <c r="B1896" s="15"/>
    </row>
    <row r="1897">
      <c r="A1897" s="15"/>
      <c r="B1897" s="15"/>
    </row>
    <row r="1898">
      <c r="A1898" s="15"/>
      <c r="B1898" s="15"/>
    </row>
    <row r="1899">
      <c r="A1899" s="15"/>
      <c r="B1899" s="15"/>
    </row>
    <row r="1900">
      <c r="A1900" s="15"/>
      <c r="B1900" s="15"/>
    </row>
    <row r="1901">
      <c r="A1901" s="15"/>
      <c r="B1901" s="15"/>
    </row>
    <row r="1902">
      <c r="A1902" s="15"/>
      <c r="B1902" s="15"/>
    </row>
    <row r="1903">
      <c r="A1903" s="15"/>
      <c r="B1903" s="15"/>
    </row>
    <row r="1904">
      <c r="A1904" s="15"/>
      <c r="B1904" s="15"/>
    </row>
    <row r="1905">
      <c r="A1905" s="15"/>
      <c r="B1905" s="15"/>
    </row>
    <row r="1906">
      <c r="A1906" s="15"/>
      <c r="B1906" s="15"/>
    </row>
    <row r="1907">
      <c r="A1907" s="15"/>
      <c r="B1907" s="15"/>
    </row>
    <row r="1908">
      <c r="A1908" s="15"/>
      <c r="B1908" s="15"/>
    </row>
    <row r="1909">
      <c r="A1909" s="15"/>
      <c r="B1909" s="15"/>
    </row>
    <row r="1910">
      <c r="A1910" s="15"/>
      <c r="B1910" s="15"/>
    </row>
    <row r="1911">
      <c r="A1911" s="15"/>
      <c r="B1911" s="15"/>
    </row>
    <row r="1912">
      <c r="A1912" s="15"/>
      <c r="B1912" s="15"/>
    </row>
    <row r="1913">
      <c r="A1913" s="15"/>
      <c r="B1913" s="15"/>
    </row>
    <row r="1914">
      <c r="A1914" s="15"/>
      <c r="B1914" s="15"/>
    </row>
    <row r="1915">
      <c r="A1915" s="15"/>
      <c r="B1915" s="15"/>
    </row>
    <row r="1916">
      <c r="A1916" s="15"/>
      <c r="B1916" s="15"/>
    </row>
    <row r="1917">
      <c r="A1917" s="15"/>
      <c r="B1917" s="15"/>
    </row>
    <row r="1918">
      <c r="A1918" s="15"/>
      <c r="B1918" s="15"/>
    </row>
    <row r="1919">
      <c r="A1919" s="15"/>
      <c r="B1919" s="15"/>
    </row>
    <row r="1920">
      <c r="A1920" s="15"/>
      <c r="B1920" s="15"/>
    </row>
    <row r="1921">
      <c r="A1921" s="15"/>
      <c r="B1921" s="15"/>
    </row>
    <row r="1922">
      <c r="A1922" s="15"/>
      <c r="B1922" s="15"/>
    </row>
    <row r="1923">
      <c r="A1923" s="15"/>
      <c r="B1923" s="15"/>
    </row>
    <row r="1924">
      <c r="A1924" s="15"/>
      <c r="B1924" s="15"/>
    </row>
    <row r="1925">
      <c r="A1925" s="15"/>
      <c r="B1925" s="15"/>
    </row>
    <row r="1926">
      <c r="A1926" s="15"/>
      <c r="B1926" s="15"/>
    </row>
    <row r="1927">
      <c r="A1927" s="15"/>
      <c r="B1927" s="15"/>
    </row>
    <row r="1928">
      <c r="A1928" s="15"/>
      <c r="B1928" s="15"/>
    </row>
    <row r="1929">
      <c r="A1929" s="15"/>
      <c r="B1929" s="15"/>
    </row>
    <row r="1930">
      <c r="A1930" s="15"/>
      <c r="B1930" s="15"/>
    </row>
    <row r="1931">
      <c r="A1931" s="15"/>
      <c r="B1931" s="15"/>
    </row>
    <row r="1932">
      <c r="A1932" s="15"/>
      <c r="B1932" s="15"/>
    </row>
    <row r="1933">
      <c r="A1933" s="15"/>
      <c r="B1933" s="15"/>
    </row>
    <row r="1934">
      <c r="A1934" s="15"/>
      <c r="B1934" s="15"/>
    </row>
    <row r="1935">
      <c r="A1935" s="15"/>
      <c r="B1935" s="15"/>
    </row>
    <row r="1936">
      <c r="A1936" s="15"/>
      <c r="B1936" s="15"/>
    </row>
    <row r="1937">
      <c r="A1937" s="15"/>
      <c r="B1937" s="15"/>
    </row>
    <row r="1938">
      <c r="A1938" s="15"/>
      <c r="B1938" s="15"/>
    </row>
    <row r="1939">
      <c r="A1939" s="15"/>
      <c r="B1939" s="15"/>
    </row>
    <row r="1940">
      <c r="A1940" s="15"/>
      <c r="B1940" s="15"/>
    </row>
    <row r="1941">
      <c r="A1941" s="15"/>
      <c r="B1941" s="15"/>
    </row>
    <row r="1942">
      <c r="A1942" s="15"/>
      <c r="B1942" s="15"/>
    </row>
    <row r="1943">
      <c r="A1943" s="15"/>
      <c r="B1943" s="15"/>
    </row>
    <row r="1944">
      <c r="A1944" s="15"/>
      <c r="B1944" s="15"/>
    </row>
    <row r="1945">
      <c r="A1945" s="15"/>
      <c r="B1945" s="15"/>
    </row>
    <row r="1946">
      <c r="A1946" s="15"/>
      <c r="B1946" s="15"/>
    </row>
    <row r="1947">
      <c r="A1947" s="15"/>
      <c r="B1947" s="15"/>
    </row>
    <row r="1948">
      <c r="A1948" s="15"/>
      <c r="B1948" s="15"/>
    </row>
    <row r="1949">
      <c r="A1949" s="15"/>
      <c r="B1949" s="15"/>
    </row>
    <row r="1950">
      <c r="A1950" s="15"/>
      <c r="B1950" s="15"/>
    </row>
    <row r="1951">
      <c r="A1951" s="15"/>
      <c r="B1951" s="15"/>
    </row>
    <row r="1952">
      <c r="A1952" s="15"/>
      <c r="B1952" s="15"/>
    </row>
    <row r="1953">
      <c r="A1953" s="15"/>
      <c r="B1953" s="15"/>
    </row>
    <row r="1954">
      <c r="A1954" s="15"/>
      <c r="B1954" s="15"/>
    </row>
    <row r="1955">
      <c r="A1955" s="15"/>
      <c r="B1955" s="15"/>
    </row>
    <row r="1956">
      <c r="A1956" s="15"/>
      <c r="B1956" s="15"/>
    </row>
    <row r="1957">
      <c r="A1957" s="15"/>
      <c r="B1957" s="15"/>
    </row>
    <row r="1958">
      <c r="A1958" s="15"/>
      <c r="B1958" s="15"/>
    </row>
    <row r="1959">
      <c r="A1959" s="15"/>
      <c r="B1959" s="15"/>
    </row>
    <row r="1960">
      <c r="A1960" s="15"/>
      <c r="B1960" s="15"/>
    </row>
    <row r="1961">
      <c r="A1961" s="15"/>
      <c r="B1961" s="15"/>
    </row>
    <row r="1962">
      <c r="A1962" s="15"/>
      <c r="B1962" s="15"/>
    </row>
    <row r="1963">
      <c r="A1963" s="15"/>
      <c r="B1963" s="15"/>
    </row>
    <row r="1964">
      <c r="A1964" s="15"/>
      <c r="B1964" s="15"/>
    </row>
    <row r="1965">
      <c r="A1965" s="15"/>
      <c r="B1965" s="15"/>
    </row>
    <row r="1966">
      <c r="A1966" s="15"/>
      <c r="B1966" s="15"/>
    </row>
    <row r="1967">
      <c r="A1967" s="15"/>
      <c r="B1967" s="15"/>
    </row>
    <row r="1968">
      <c r="A1968" s="15"/>
      <c r="B1968" s="15"/>
    </row>
    <row r="1969">
      <c r="A1969" s="15"/>
      <c r="B1969" s="15"/>
    </row>
    <row r="1970">
      <c r="A1970" s="15"/>
      <c r="B1970" s="15"/>
    </row>
    <row r="1971">
      <c r="A1971" s="15"/>
      <c r="B1971" s="15"/>
    </row>
    <row r="1972">
      <c r="A1972" s="15"/>
      <c r="B1972" s="15"/>
    </row>
    <row r="1973">
      <c r="A1973" s="15"/>
      <c r="B1973" s="15"/>
    </row>
    <row r="1974">
      <c r="A1974" s="15"/>
      <c r="B1974" s="15"/>
    </row>
    <row r="1975">
      <c r="A1975" s="15"/>
      <c r="B1975" s="15"/>
    </row>
    <row r="1976">
      <c r="A1976" s="15"/>
      <c r="B1976" s="15"/>
    </row>
    <row r="1977">
      <c r="A1977" s="15"/>
      <c r="B1977" s="15"/>
    </row>
    <row r="1978">
      <c r="A1978" s="15"/>
      <c r="B1978" s="15"/>
    </row>
    <row r="1979">
      <c r="A1979" s="15"/>
      <c r="B1979" s="15"/>
    </row>
    <row r="1980">
      <c r="A1980" s="15"/>
      <c r="B1980" s="15"/>
    </row>
    <row r="1981">
      <c r="A1981" s="15"/>
      <c r="B1981" s="15"/>
    </row>
    <row r="1982">
      <c r="A1982" s="15"/>
      <c r="B1982" s="15"/>
    </row>
    <row r="1983">
      <c r="A1983" s="15"/>
      <c r="B1983" s="15"/>
    </row>
    <row r="1984">
      <c r="A1984" s="15"/>
      <c r="B1984" s="15"/>
    </row>
    <row r="1985">
      <c r="A1985" s="15"/>
      <c r="B1985" s="15"/>
    </row>
    <row r="1986">
      <c r="A1986" s="15"/>
      <c r="B1986" s="15"/>
    </row>
    <row r="1987">
      <c r="A1987" s="15"/>
      <c r="B1987" s="15"/>
    </row>
    <row r="1988">
      <c r="A1988" s="15"/>
      <c r="B1988" s="15"/>
    </row>
    <row r="1989">
      <c r="A1989" s="15"/>
      <c r="B1989" s="15"/>
    </row>
    <row r="1990">
      <c r="A1990" s="15"/>
      <c r="B1990" s="15"/>
    </row>
    <row r="1991">
      <c r="A1991" s="15"/>
      <c r="B1991" s="15"/>
    </row>
    <row r="1992">
      <c r="A1992" s="15"/>
      <c r="B1992" s="15"/>
    </row>
    <row r="1993">
      <c r="A1993" s="15"/>
      <c r="B1993" s="15"/>
    </row>
    <row r="1994">
      <c r="A1994" s="15"/>
      <c r="B1994" s="15"/>
    </row>
    <row r="1995">
      <c r="A1995" s="15"/>
      <c r="B1995" s="15"/>
    </row>
    <row r="1996">
      <c r="A1996" s="15"/>
      <c r="B1996" s="15"/>
    </row>
    <row r="1997">
      <c r="A1997" s="15"/>
      <c r="B1997" s="15"/>
    </row>
    <row r="1998">
      <c r="A1998" s="15"/>
      <c r="B1998" s="15"/>
    </row>
    <row r="1999">
      <c r="A1999" s="15"/>
      <c r="B1999" s="15"/>
    </row>
    <row r="2000">
      <c r="A2000" s="15"/>
      <c r="B2000" s="15"/>
    </row>
    <row r="2001">
      <c r="A2001" s="15"/>
      <c r="B2001" s="15"/>
    </row>
    <row r="2002">
      <c r="A2002" s="15"/>
      <c r="B2002" s="15"/>
    </row>
    <row r="2003">
      <c r="A2003" s="15"/>
      <c r="B2003" s="15"/>
    </row>
    <row r="2004">
      <c r="A2004" s="15"/>
      <c r="B2004" s="15"/>
    </row>
    <row r="2005">
      <c r="A2005" s="15"/>
      <c r="B2005" s="15"/>
    </row>
    <row r="2006">
      <c r="A2006" s="15"/>
      <c r="B2006" s="15"/>
    </row>
    <row r="2007">
      <c r="A2007" s="15"/>
      <c r="B2007" s="15"/>
    </row>
    <row r="2008">
      <c r="A2008" s="15"/>
      <c r="B2008" s="15"/>
    </row>
    <row r="2009">
      <c r="A2009" s="15"/>
      <c r="B2009" s="15"/>
    </row>
    <row r="2010">
      <c r="A2010" s="15"/>
      <c r="B2010" s="15"/>
    </row>
    <row r="2011">
      <c r="A2011" s="15"/>
      <c r="B2011" s="15"/>
    </row>
    <row r="2012">
      <c r="A2012" s="15"/>
      <c r="B2012" s="15"/>
    </row>
    <row r="2013">
      <c r="A2013" s="15"/>
      <c r="B2013" s="15"/>
    </row>
    <row r="2014">
      <c r="A2014" s="15"/>
      <c r="B2014" s="15"/>
    </row>
    <row r="2015">
      <c r="A2015" s="15"/>
      <c r="B2015" s="15"/>
    </row>
    <row r="2016">
      <c r="A2016" s="15"/>
      <c r="B2016" s="15"/>
    </row>
    <row r="2017">
      <c r="A2017" s="15"/>
      <c r="B2017" s="15"/>
    </row>
    <row r="2018">
      <c r="A2018" s="15"/>
      <c r="B2018" s="15"/>
    </row>
    <row r="2019">
      <c r="A2019" s="15"/>
      <c r="B2019" s="15"/>
    </row>
    <row r="2020">
      <c r="A2020" s="15"/>
      <c r="B2020" s="15"/>
    </row>
    <row r="2021">
      <c r="A2021" s="15"/>
      <c r="B2021" s="15"/>
    </row>
    <row r="2022">
      <c r="A2022" s="15"/>
      <c r="B2022" s="15"/>
    </row>
    <row r="2023">
      <c r="A2023" s="15"/>
      <c r="B2023" s="15"/>
    </row>
    <row r="2024">
      <c r="A2024" s="15"/>
      <c r="B2024" s="15"/>
    </row>
    <row r="2025">
      <c r="A2025" s="15"/>
      <c r="B2025" s="15"/>
    </row>
    <row r="2026">
      <c r="A2026" s="15"/>
      <c r="B2026" s="15"/>
    </row>
    <row r="2027">
      <c r="A2027" s="15"/>
      <c r="B2027" s="15"/>
    </row>
    <row r="2028">
      <c r="A2028" s="15"/>
      <c r="B2028" s="15"/>
    </row>
    <row r="2029">
      <c r="A2029" s="15"/>
      <c r="B2029" s="15"/>
    </row>
    <row r="2030">
      <c r="A2030" s="15"/>
      <c r="B2030" s="15"/>
    </row>
    <row r="2031">
      <c r="A2031" s="15"/>
      <c r="B2031" s="15"/>
    </row>
    <row r="2032">
      <c r="A2032" s="15"/>
      <c r="B2032" s="15"/>
    </row>
    <row r="2033">
      <c r="A2033" s="15"/>
      <c r="B2033" s="15"/>
    </row>
    <row r="2034">
      <c r="A2034" s="15"/>
      <c r="B2034" s="15"/>
    </row>
    <row r="2035">
      <c r="A2035" s="15"/>
      <c r="B2035" s="15"/>
    </row>
    <row r="2036">
      <c r="A2036" s="15"/>
      <c r="B2036" s="15"/>
    </row>
    <row r="2037">
      <c r="A2037" s="15"/>
      <c r="B2037" s="15"/>
    </row>
    <row r="2038">
      <c r="A2038" s="15"/>
      <c r="B2038" s="15"/>
    </row>
    <row r="2039">
      <c r="A2039" s="15"/>
      <c r="B2039" s="15"/>
    </row>
    <row r="2040">
      <c r="A2040" s="15"/>
      <c r="B2040" s="15"/>
    </row>
    <row r="2041">
      <c r="A2041" s="15"/>
      <c r="B2041" s="15"/>
    </row>
    <row r="2042">
      <c r="A2042" s="15"/>
      <c r="B2042" s="15"/>
    </row>
    <row r="2043">
      <c r="A2043" s="15"/>
      <c r="B2043" s="15"/>
    </row>
    <row r="2044">
      <c r="A2044" s="15"/>
      <c r="B2044" s="15"/>
    </row>
    <row r="2045">
      <c r="A2045" s="15"/>
      <c r="B2045" s="15"/>
    </row>
    <row r="2046">
      <c r="A2046" s="15"/>
      <c r="B2046" s="15"/>
    </row>
    <row r="2047">
      <c r="A2047" s="15"/>
      <c r="B2047" s="15"/>
    </row>
    <row r="2048">
      <c r="A2048" s="15"/>
      <c r="B2048" s="15"/>
    </row>
    <row r="2049">
      <c r="A2049" s="15"/>
      <c r="B2049" s="15"/>
    </row>
    <row r="2050">
      <c r="A2050" s="15"/>
      <c r="B2050" s="15"/>
    </row>
    <row r="2051">
      <c r="A2051" s="15"/>
      <c r="B2051" s="15"/>
    </row>
    <row r="2052">
      <c r="A2052" s="15"/>
      <c r="B2052" s="15"/>
    </row>
    <row r="2053">
      <c r="A2053" s="15"/>
      <c r="B2053" s="15"/>
    </row>
    <row r="2054">
      <c r="A2054" s="15"/>
      <c r="B2054" s="15"/>
    </row>
    <row r="2055">
      <c r="A2055" s="15"/>
      <c r="B2055" s="15"/>
    </row>
    <row r="2056">
      <c r="A2056" s="15"/>
      <c r="B2056" s="15"/>
    </row>
    <row r="2057">
      <c r="A2057" s="15"/>
      <c r="B2057" s="15"/>
    </row>
    <row r="2058">
      <c r="A2058" s="15"/>
      <c r="B2058" s="15"/>
    </row>
    <row r="2059">
      <c r="A2059" s="15"/>
      <c r="B2059" s="15"/>
    </row>
    <row r="2060">
      <c r="A2060" s="15"/>
      <c r="B2060" s="1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138</v>
      </c>
      <c r="B1" s="16">
        <v>71.0</v>
      </c>
    </row>
    <row r="2">
      <c r="A2" s="15" t="s">
        <v>139</v>
      </c>
      <c r="B2" s="16">
        <v>73.0</v>
      </c>
    </row>
    <row r="3">
      <c r="A3" s="15" t="s">
        <v>140</v>
      </c>
      <c r="B3" s="15">
        <v>70.0</v>
      </c>
      <c r="C3" s="20"/>
    </row>
    <row r="4">
      <c r="A4" s="15" t="s">
        <v>141</v>
      </c>
      <c r="B4" s="15">
        <v>70.0</v>
      </c>
      <c r="C4" s="20"/>
    </row>
    <row r="5">
      <c r="A5" s="15" t="s">
        <v>142</v>
      </c>
      <c r="B5" s="15">
        <v>70.0</v>
      </c>
      <c r="C5" s="20"/>
    </row>
    <row r="6">
      <c r="A6" s="15" t="s">
        <v>143</v>
      </c>
      <c r="B6" s="15">
        <v>70.0</v>
      </c>
      <c r="C6" s="20"/>
    </row>
    <row r="7">
      <c r="A7" s="15" t="s">
        <v>145</v>
      </c>
      <c r="B7" s="15">
        <v>70.0</v>
      </c>
      <c r="C7" s="20"/>
    </row>
    <row r="8">
      <c r="A8" s="15" t="s">
        <v>146</v>
      </c>
      <c r="B8" s="16">
        <v>70.0</v>
      </c>
    </row>
    <row r="9">
      <c r="A9" s="15" t="s">
        <v>147</v>
      </c>
      <c r="B9" s="15">
        <v>70.0</v>
      </c>
      <c r="C9" s="20"/>
    </row>
    <row r="10">
      <c r="A10" s="15" t="s">
        <v>148</v>
      </c>
      <c r="B10" s="16">
        <v>80.0</v>
      </c>
    </row>
    <row r="11">
      <c r="A11" s="15" t="s">
        <v>149</v>
      </c>
      <c r="B11" s="15">
        <v>70.0</v>
      </c>
    </row>
    <row r="12">
      <c r="A12" s="15" t="s">
        <v>150</v>
      </c>
      <c r="B12" s="15">
        <v>70.0</v>
      </c>
    </row>
    <row r="13">
      <c r="A13" s="15" t="s">
        <v>151</v>
      </c>
      <c r="B13" s="16">
        <v>6.0</v>
      </c>
    </row>
    <row r="14">
      <c r="A14" s="15" t="s">
        <v>152</v>
      </c>
      <c r="B14" s="15">
        <v>70.0</v>
      </c>
    </row>
    <row r="15">
      <c r="A15" s="15" t="s">
        <v>153</v>
      </c>
      <c r="B15" s="16">
        <v>78.0</v>
      </c>
    </row>
    <row r="16">
      <c r="A16" s="15" t="s">
        <v>154</v>
      </c>
      <c r="B16" s="16">
        <v>6.0</v>
      </c>
    </row>
    <row r="17">
      <c r="A17" s="15" t="s">
        <v>155</v>
      </c>
      <c r="B17" s="15">
        <v>70.0</v>
      </c>
    </row>
    <row r="18">
      <c r="A18" s="15" t="s">
        <v>156</v>
      </c>
      <c r="B18" s="16">
        <v>72.0</v>
      </c>
    </row>
    <row r="19">
      <c r="A19" s="15" t="s">
        <v>157</v>
      </c>
      <c r="B19" s="16">
        <v>37.0</v>
      </c>
    </row>
    <row r="20">
      <c r="A20" s="15" t="s">
        <v>158</v>
      </c>
      <c r="B20" s="15">
        <v>70.0</v>
      </c>
    </row>
    <row r="21">
      <c r="A21" s="15" t="s">
        <v>159</v>
      </c>
      <c r="B21" s="16">
        <v>77.0</v>
      </c>
    </row>
    <row r="22">
      <c r="A22" s="15" t="s">
        <v>160</v>
      </c>
      <c r="B22" s="15">
        <v>70.0</v>
      </c>
    </row>
    <row r="23">
      <c r="A23" s="15" t="s">
        <v>161</v>
      </c>
      <c r="B23" s="16">
        <v>75.0</v>
      </c>
    </row>
    <row r="24">
      <c r="A24" s="15" t="s">
        <v>162</v>
      </c>
      <c r="B24" s="16">
        <v>75.0</v>
      </c>
    </row>
    <row r="25">
      <c r="A25" s="15" t="s">
        <v>163</v>
      </c>
      <c r="B25" s="16">
        <v>24.0</v>
      </c>
    </row>
    <row r="26">
      <c r="A26" s="15" t="s">
        <v>164</v>
      </c>
      <c r="B26" s="16">
        <v>73.0</v>
      </c>
    </row>
    <row r="27">
      <c r="A27" s="15" t="s">
        <v>165</v>
      </c>
      <c r="B27" s="15">
        <v>70.0</v>
      </c>
    </row>
    <row r="28">
      <c r="A28" s="15" t="s">
        <v>166</v>
      </c>
      <c r="B28" s="15">
        <v>70.0</v>
      </c>
    </row>
    <row r="29">
      <c r="A29" s="15" t="s">
        <v>167</v>
      </c>
      <c r="B29" s="15">
        <v>70.0</v>
      </c>
    </row>
    <row r="30">
      <c r="A30" s="15" t="s">
        <v>168</v>
      </c>
      <c r="B30" s="15">
        <v>70.0</v>
      </c>
    </row>
    <row r="31">
      <c r="A31" s="15" t="s">
        <v>169</v>
      </c>
      <c r="B31" s="16">
        <v>78.0</v>
      </c>
    </row>
    <row r="32">
      <c r="A32" s="15" t="s">
        <v>170</v>
      </c>
      <c r="B32" s="16">
        <v>82.0</v>
      </c>
    </row>
    <row r="33">
      <c r="A33" s="15" t="s">
        <v>171</v>
      </c>
      <c r="B33" s="16">
        <v>78.0</v>
      </c>
    </row>
    <row r="34">
      <c r="A34" s="15" t="s">
        <v>172</v>
      </c>
      <c r="B34" s="15">
        <v>70.0</v>
      </c>
    </row>
    <row r="35">
      <c r="A35" s="15" t="s">
        <v>173</v>
      </c>
      <c r="B35" s="16">
        <v>70.0</v>
      </c>
    </row>
    <row r="36">
      <c r="A36" s="15" t="s">
        <v>174</v>
      </c>
      <c r="B36" s="16">
        <v>70.0</v>
      </c>
    </row>
    <row r="37">
      <c r="A37" s="15" t="s">
        <v>175</v>
      </c>
      <c r="B37" s="16">
        <v>79.0</v>
      </c>
    </row>
    <row r="38">
      <c r="A38" s="15" t="s">
        <v>176</v>
      </c>
      <c r="B38" s="16">
        <v>0.0</v>
      </c>
    </row>
    <row r="39">
      <c r="A39" s="15" t="s">
        <v>177</v>
      </c>
      <c r="B39" s="16">
        <v>6.0</v>
      </c>
    </row>
    <row r="40">
      <c r="A40" s="15" t="s">
        <v>178</v>
      </c>
      <c r="B40" s="16">
        <v>40.0</v>
      </c>
    </row>
    <row r="41">
      <c r="A41" s="15" t="s">
        <v>179</v>
      </c>
      <c r="B41" s="16">
        <v>81.0</v>
      </c>
    </row>
    <row r="42">
      <c r="A42" s="15" t="s">
        <v>180</v>
      </c>
      <c r="B42" s="16">
        <v>76.0</v>
      </c>
    </row>
    <row r="43">
      <c r="A43" s="15" t="s">
        <v>181</v>
      </c>
      <c r="B43" s="16">
        <v>88.0</v>
      </c>
    </row>
    <row r="44">
      <c r="A44" s="15" t="s">
        <v>182</v>
      </c>
      <c r="B44" s="15">
        <v>70.0</v>
      </c>
    </row>
    <row r="45">
      <c r="A45" s="15" t="s">
        <v>183</v>
      </c>
      <c r="B45" s="16">
        <v>70.0</v>
      </c>
    </row>
    <row r="46">
      <c r="A46" s="15" t="s">
        <v>184</v>
      </c>
      <c r="B46" s="16">
        <v>79.0</v>
      </c>
    </row>
    <row r="47">
      <c r="A47" s="15" t="s">
        <v>185</v>
      </c>
      <c r="B47" s="15">
        <v>70.0</v>
      </c>
    </row>
    <row r="48">
      <c r="A48" s="15" t="s">
        <v>186</v>
      </c>
      <c r="B48" s="15">
        <v>70.0</v>
      </c>
    </row>
    <row r="49">
      <c r="A49" s="15" t="s">
        <v>187</v>
      </c>
      <c r="B49" s="15">
        <v>70.0</v>
      </c>
    </row>
    <row r="50">
      <c r="A50" s="15" t="s">
        <v>188</v>
      </c>
      <c r="B50" s="15">
        <v>70.0</v>
      </c>
    </row>
    <row r="51">
      <c r="A51" s="15" t="s">
        <v>189</v>
      </c>
      <c r="B51" s="15">
        <v>70.0</v>
      </c>
    </row>
    <row r="52">
      <c r="A52" s="15" t="s">
        <v>190</v>
      </c>
      <c r="B52" s="16">
        <v>29.0</v>
      </c>
    </row>
    <row r="53">
      <c r="A53" s="15" t="s">
        <v>191</v>
      </c>
      <c r="B53" s="16">
        <v>90.0</v>
      </c>
    </row>
    <row r="54">
      <c r="A54" s="15" t="s">
        <v>192</v>
      </c>
      <c r="B54" s="16">
        <v>72.0</v>
      </c>
    </row>
    <row r="55">
      <c r="A55" s="15" t="s">
        <v>193</v>
      </c>
      <c r="B55" s="16">
        <v>80.0</v>
      </c>
    </row>
    <row r="56">
      <c r="A56" s="15" t="s">
        <v>194</v>
      </c>
      <c r="B56" s="16">
        <v>70.0</v>
      </c>
    </row>
    <row r="57">
      <c r="A57" s="15" t="s">
        <v>195</v>
      </c>
      <c r="B57" s="16">
        <v>72.0</v>
      </c>
    </row>
    <row r="58">
      <c r="A58" s="15" t="s">
        <v>196</v>
      </c>
      <c r="B58" s="16">
        <v>49.0</v>
      </c>
    </row>
    <row r="59">
      <c r="A59" s="15" t="s">
        <v>197</v>
      </c>
      <c r="B59" s="16">
        <v>79.0</v>
      </c>
    </row>
    <row r="60">
      <c r="A60" s="15" t="s">
        <v>198</v>
      </c>
      <c r="B60" s="15">
        <v>70.0</v>
      </c>
    </row>
    <row r="61">
      <c r="A61" s="15" t="s">
        <v>199</v>
      </c>
      <c r="B61" s="16">
        <v>83.0</v>
      </c>
    </row>
    <row r="62">
      <c r="A62" s="15" t="s">
        <v>200</v>
      </c>
      <c r="B62" s="16">
        <v>0.0</v>
      </c>
    </row>
    <row r="63">
      <c r="A63" s="15" t="s">
        <v>201</v>
      </c>
      <c r="B63" s="15">
        <v>70.0</v>
      </c>
    </row>
    <row r="64">
      <c r="A64" s="15" t="s">
        <v>202</v>
      </c>
      <c r="B64" s="15">
        <v>70.0</v>
      </c>
    </row>
    <row r="65">
      <c r="A65" s="15" t="s">
        <v>203</v>
      </c>
      <c r="B65" s="16">
        <v>80.0</v>
      </c>
    </row>
    <row r="66">
      <c r="A66" s="15" t="s">
        <v>204</v>
      </c>
      <c r="B66" s="15">
        <v>70.0</v>
      </c>
    </row>
    <row r="67">
      <c r="A67" s="15" t="s">
        <v>205</v>
      </c>
      <c r="B67" s="15">
        <v>70.0</v>
      </c>
    </row>
    <row r="68">
      <c r="A68" s="15" t="s">
        <v>206</v>
      </c>
      <c r="B68" s="16">
        <v>74.0</v>
      </c>
    </row>
    <row r="69">
      <c r="A69" s="15" t="s">
        <v>207</v>
      </c>
      <c r="B69" s="16">
        <v>42.0</v>
      </c>
    </row>
    <row r="70">
      <c r="A70" s="15" t="s">
        <v>208</v>
      </c>
      <c r="B70" s="15">
        <v>70.0</v>
      </c>
    </row>
    <row r="71">
      <c r="A71" s="15" t="s">
        <v>209</v>
      </c>
      <c r="B71" s="15">
        <v>70.0</v>
      </c>
    </row>
    <row r="72">
      <c r="A72" s="15" t="s">
        <v>210</v>
      </c>
      <c r="B72" s="15">
        <v>70.0</v>
      </c>
    </row>
    <row r="73">
      <c r="A73" s="15" t="s">
        <v>211</v>
      </c>
      <c r="B73" s="16">
        <v>70.0</v>
      </c>
    </row>
    <row r="74">
      <c r="A74" s="15" t="s">
        <v>212</v>
      </c>
      <c r="B74" s="16">
        <v>70.0</v>
      </c>
    </row>
    <row r="75">
      <c r="A75" s="15" t="s">
        <v>213</v>
      </c>
      <c r="B75" s="16">
        <v>72.0</v>
      </c>
    </row>
    <row r="76">
      <c r="A76" s="15" t="s">
        <v>214</v>
      </c>
      <c r="B76" s="16">
        <v>19.0</v>
      </c>
    </row>
    <row r="77">
      <c r="A77" s="15" t="s">
        <v>215</v>
      </c>
      <c r="B77" s="16">
        <v>80.0</v>
      </c>
    </row>
    <row r="78">
      <c r="A78" s="15" t="s">
        <v>216</v>
      </c>
      <c r="B78" s="16">
        <v>79.0</v>
      </c>
    </row>
    <row r="79">
      <c r="A79" s="15" t="s">
        <v>217</v>
      </c>
      <c r="B79" s="15">
        <v>70.0</v>
      </c>
    </row>
    <row r="80">
      <c r="A80" s="15" t="s">
        <v>218</v>
      </c>
      <c r="B80" s="15">
        <v>70.0</v>
      </c>
    </row>
    <row r="81">
      <c r="A81" s="15" t="s">
        <v>219</v>
      </c>
      <c r="B81" s="15">
        <v>70.0</v>
      </c>
    </row>
    <row r="82">
      <c r="A82" s="15" t="s">
        <v>220</v>
      </c>
      <c r="B82" s="16">
        <v>74.0</v>
      </c>
    </row>
    <row r="83">
      <c r="A83" s="15" t="s">
        <v>221</v>
      </c>
      <c r="B83" s="16">
        <v>65.0</v>
      </c>
    </row>
    <row r="84">
      <c r="A84" s="15" t="s">
        <v>222</v>
      </c>
      <c r="B84" s="16">
        <v>79.0</v>
      </c>
    </row>
    <row r="85">
      <c r="A85" s="15" t="s">
        <v>223</v>
      </c>
      <c r="B85" s="16">
        <v>58.0</v>
      </c>
    </row>
    <row r="86">
      <c r="A86" s="15" t="s">
        <v>224</v>
      </c>
      <c r="B86" s="16">
        <v>55.0</v>
      </c>
    </row>
    <row r="87">
      <c r="A87" s="15" t="s">
        <v>225</v>
      </c>
      <c r="B87" s="16">
        <v>40.0</v>
      </c>
    </row>
    <row r="88">
      <c r="A88" s="15" t="s">
        <v>226</v>
      </c>
      <c r="B88" s="16">
        <v>86.0</v>
      </c>
    </row>
    <row r="89">
      <c r="A89" s="15" t="s">
        <v>227</v>
      </c>
      <c r="B89" s="16">
        <v>70.0</v>
      </c>
    </row>
    <row r="90">
      <c r="A90" s="15" t="s">
        <v>228</v>
      </c>
      <c r="B90" s="16">
        <v>80.0</v>
      </c>
    </row>
    <row r="91">
      <c r="A91" s="15" t="s">
        <v>229</v>
      </c>
      <c r="B91" s="15">
        <v>70.0</v>
      </c>
    </row>
    <row r="92">
      <c r="A92" s="15" t="s">
        <v>230</v>
      </c>
      <c r="B92" s="16">
        <v>79.0</v>
      </c>
    </row>
    <row r="93">
      <c r="A93" s="15" t="s">
        <v>231</v>
      </c>
      <c r="B93" s="15">
        <v>70.0</v>
      </c>
    </row>
    <row r="94">
      <c r="A94" s="15" t="s">
        <v>232</v>
      </c>
      <c r="B94" s="16">
        <v>70.0</v>
      </c>
    </row>
    <row r="95">
      <c r="A95" s="15" t="s">
        <v>233</v>
      </c>
      <c r="B95" s="15">
        <v>70.0</v>
      </c>
    </row>
    <row r="96">
      <c r="A96" s="15" t="s">
        <v>234</v>
      </c>
      <c r="B96" s="16">
        <v>0.0</v>
      </c>
    </row>
    <row r="97">
      <c r="A97" s="15" t="s">
        <v>235</v>
      </c>
      <c r="B97" s="16">
        <v>63.0</v>
      </c>
    </row>
    <row r="98">
      <c r="A98" s="15" t="s">
        <v>236</v>
      </c>
      <c r="B98" s="16">
        <v>91.0</v>
      </c>
    </row>
    <row r="99">
      <c r="A99" s="15" t="s">
        <v>237</v>
      </c>
      <c r="B99" s="16">
        <v>79.0</v>
      </c>
    </row>
    <row r="100">
      <c r="A100" s="15" t="s">
        <v>238</v>
      </c>
      <c r="B100" s="16">
        <v>72.0</v>
      </c>
    </row>
    <row r="101">
      <c r="A101" s="15" t="s">
        <v>239</v>
      </c>
      <c r="B101" s="15">
        <v>70.0</v>
      </c>
    </row>
    <row r="102">
      <c r="A102" s="15" t="s">
        <v>240</v>
      </c>
      <c r="B102" s="16">
        <v>4.0</v>
      </c>
    </row>
    <row r="103">
      <c r="A103" s="15" t="s">
        <v>241</v>
      </c>
      <c r="B103" s="16">
        <v>74.0</v>
      </c>
    </row>
    <row r="104">
      <c r="A104" s="15" t="s">
        <v>242</v>
      </c>
      <c r="B104" s="15">
        <v>70.0</v>
      </c>
    </row>
    <row r="105">
      <c r="A105" s="15" t="s">
        <v>243</v>
      </c>
      <c r="B105" s="16">
        <v>73.0</v>
      </c>
    </row>
    <row r="106">
      <c r="A106" s="15" t="s">
        <v>244</v>
      </c>
      <c r="B106" s="15">
        <v>70.0</v>
      </c>
    </row>
    <row r="107">
      <c r="A107" s="15" t="s">
        <v>245</v>
      </c>
      <c r="B107" s="15">
        <v>70.0</v>
      </c>
    </row>
    <row r="108">
      <c r="A108" s="15" t="s">
        <v>246</v>
      </c>
      <c r="B108" s="16">
        <v>80.0</v>
      </c>
    </row>
    <row r="109">
      <c r="A109" s="15" t="s">
        <v>247</v>
      </c>
      <c r="B109" s="16">
        <v>86.0</v>
      </c>
    </row>
    <row r="110">
      <c r="A110" s="15" t="s">
        <v>248</v>
      </c>
      <c r="B110" s="16">
        <v>80.0</v>
      </c>
    </row>
    <row r="111">
      <c r="A111" s="15" t="s">
        <v>249</v>
      </c>
      <c r="B111" s="16">
        <v>72.0</v>
      </c>
    </row>
    <row r="112">
      <c r="A112" s="15" t="s">
        <v>250</v>
      </c>
      <c r="B112" s="16">
        <v>81.0</v>
      </c>
    </row>
    <row r="113">
      <c r="A113" s="15" t="s">
        <v>251</v>
      </c>
      <c r="B113" s="16">
        <v>81.0</v>
      </c>
    </row>
    <row r="114">
      <c r="A114" s="15" t="s">
        <v>252</v>
      </c>
      <c r="B114" s="16">
        <v>79.0</v>
      </c>
    </row>
    <row r="115">
      <c r="A115" s="15" t="s">
        <v>254</v>
      </c>
      <c r="B115" s="16">
        <v>79.0</v>
      </c>
    </row>
    <row r="116">
      <c r="A116" s="15" t="s">
        <v>255</v>
      </c>
      <c r="B116" s="16">
        <v>72.0</v>
      </c>
    </row>
    <row r="117">
      <c r="A117" s="15" t="s">
        <v>256</v>
      </c>
      <c r="B117" s="15">
        <v>70.0</v>
      </c>
    </row>
    <row r="118">
      <c r="A118" s="15" t="s">
        <v>257</v>
      </c>
      <c r="B118" s="15">
        <v>70.0</v>
      </c>
    </row>
    <row r="119">
      <c r="A119" s="15" t="s">
        <v>258</v>
      </c>
      <c r="B119" s="16">
        <v>87.0</v>
      </c>
    </row>
    <row r="120">
      <c r="A120" s="15" t="s">
        <v>259</v>
      </c>
      <c r="B120" s="16">
        <v>70.0</v>
      </c>
    </row>
    <row r="121">
      <c r="A121" s="15" t="s">
        <v>260</v>
      </c>
      <c r="B121" s="15">
        <v>70.0</v>
      </c>
    </row>
    <row r="122">
      <c r="A122" s="15" t="s">
        <v>261</v>
      </c>
      <c r="B122" s="15">
        <v>70.0</v>
      </c>
    </row>
    <row r="123">
      <c r="A123" s="15" t="s">
        <v>262</v>
      </c>
      <c r="B123" s="16">
        <v>73.0</v>
      </c>
    </row>
    <row r="124">
      <c r="A124" s="15" t="s">
        <v>263</v>
      </c>
      <c r="B124" s="16">
        <v>78.0</v>
      </c>
    </row>
    <row r="125">
      <c r="A125" s="15" t="s">
        <v>264</v>
      </c>
      <c r="B125" s="15">
        <v>70.0</v>
      </c>
    </row>
    <row r="126">
      <c r="A126" s="15" t="s">
        <v>265</v>
      </c>
      <c r="B126" s="16">
        <v>70.0</v>
      </c>
    </row>
    <row r="127">
      <c r="A127" s="15" t="s">
        <v>266</v>
      </c>
      <c r="B127" s="15">
        <v>70.0</v>
      </c>
    </row>
    <row r="128">
      <c r="A128" s="15" t="s">
        <v>267</v>
      </c>
      <c r="B128" s="16">
        <v>78.0</v>
      </c>
    </row>
    <row r="129">
      <c r="A129" s="15" t="s">
        <v>268</v>
      </c>
      <c r="B129" s="15">
        <v>70.0</v>
      </c>
    </row>
    <row r="130">
      <c r="A130" s="15" t="s">
        <v>269</v>
      </c>
      <c r="B130" s="16">
        <v>90.0</v>
      </c>
    </row>
    <row r="131">
      <c r="A131" s="15" t="s">
        <v>270</v>
      </c>
      <c r="B131" s="16">
        <v>83.0</v>
      </c>
    </row>
    <row r="132">
      <c r="A132" s="15" t="s">
        <v>271</v>
      </c>
      <c r="B132" s="15">
        <v>70.0</v>
      </c>
    </row>
    <row r="133">
      <c r="A133" s="15" t="s">
        <v>272</v>
      </c>
      <c r="B133" s="15">
        <v>70.0</v>
      </c>
    </row>
    <row r="134">
      <c r="A134" s="15" t="s">
        <v>273</v>
      </c>
      <c r="B134" s="16">
        <v>75.0</v>
      </c>
    </row>
    <row r="135">
      <c r="A135" s="15" t="s">
        <v>274</v>
      </c>
      <c r="B135" s="15">
        <v>70.0</v>
      </c>
    </row>
    <row r="136">
      <c r="A136" s="15" t="s">
        <v>275</v>
      </c>
      <c r="B136" s="16">
        <v>83.0</v>
      </c>
    </row>
    <row r="137">
      <c r="A137" s="15" t="s">
        <v>276</v>
      </c>
      <c r="B137" s="15">
        <v>70.0</v>
      </c>
    </row>
    <row r="138">
      <c r="A138" s="15" t="s">
        <v>277</v>
      </c>
      <c r="B138" s="15">
        <v>70.0</v>
      </c>
    </row>
    <row r="139">
      <c r="A139" s="15" t="s">
        <v>278</v>
      </c>
      <c r="B139" s="16">
        <v>79.0</v>
      </c>
    </row>
    <row r="140">
      <c r="A140" s="15" t="s">
        <v>279</v>
      </c>
      <c r="B140" s="16">
        <v>70.0</v>
      </c>
    </row>
    <row r="141">
      <c r="A141" s="15" t="s">
        <v>280</v>
      </c>
      <c r="B141" s="16">
        <v>70.0</v>
      </c>
    </row>
    <row r="142">
      <c r="A142" s="15" t="s">
        <v>281</v>
      </c>
      <c r="B142" s="16">
        <v>70.0</v>
      </c>
    </row>
    <row r="143">
      <c r="A143" s="15" t="s">
        <v>282</v>
      </c>
      <c r="B143" s="16">
        <v>80.0</v>
      </c>
    </row>
    <row r="144">
      <c r="A144" s="15" t="s">
        <v>283</v>
      </c>
      <c r="B144" s="16">
        <v>6.0</v>
      </c>
    </row>
    <row r="145">
      <c r="A145" s="15" t="s">
        <v>284</v>
      </c>
      <c r="B145" s="16">
        <v>0.0</v>
      </c>
    </row>
    <row r="146">
      <c r="A146" s="15" t="s">
        <v>285</v>
      </c>
      <c r="B146" s="15">
        <v>70.0</v>
      </c>
    </row>
    <row r="147">
      <c r="A147" s="15" t="s">
        <v>286</v>
      </c>
      <c r="B147" s="15">
        <v>70.0</v>
      </c>
    </row>
    <row r="148">
      <c r="A148" s="15" t="s">
        <v>287</v>
      </c>
      <c r="B148" s="15">
        <v>70.0</v>
      </c>
    </row>
    <row r="149">
      <c r="A149" s="15" t="s">
        <v>288</v>
      </c>
      <c r="B149" s="15">
        <v>70.0</v>
      </c>
    </row>
    <row r="150">
      <c r="A150" s="15" t="s">
        <v>289</v>
      </c>
      <c r="B150" s="16">
        <v>0.0</v>
      </c>
    </row>
    <row r="151">
      <c r="A151" s="15" t="s">
        <v>290</v>
      </c>
      <c r="B151" s="15">
        <v>70.0</v>
      </c>
    </row>
    <row r="152">
      <c r="A152" s="15" t="s">
        <v>291</v>
      </c>
      <c r="B152" s="15">
        <v>70.0</v>
      </c>
    </row>
    <row r="153">
      <c r="A153" s="15" t="s">
        <v>292</v>
      </c>
      <c r="B153" s="16">
        <v>86.0</v>
      </c>
    </row>
    <row r="154">
      <c r="A154" s="15" t="s">
        <v>293</v>
      </c>
      <c r="B154" s="16">
        <v>76.0</v>
      </c>
    </row>
    <row r="155">
      <c r="A155" s="15" t="s">
        <v>294</v>
      </c>
      <c r="B155" s="15">
        <v>70.0</v>
      </c>
    </row>
    <row r="156">
      <c r="A156" s="15" t="s">
        <v>295</v>
      </c>
      <c r="B156" s="15">
        <v>70.0</v>
      </c>
    </row>
    <row r="157">
      <c r="A157" s="15" t="s">
        <v>296</v>
      </c>
      <c r="B157" s="16">
        <v>74.0</v>
      </c>
    </row>
    <row r="158">
      <c r="A158" s="15" t="s">
        <v>297</v>
      </c>
      <c r="B158" s="16">
        <v>70.0</v>
      </c>
    </row>
    <row r="159">
      <c r="A159" s="15" t="s">
        <v>298</v>
      </c>
      <c r="B159" s="16">
        <v>83.0</v>
      </c>
    </row>
    <row r="160">
      <c r="A160" s="15" t="s">
        <v>299</v>
      </c>
      <c r="B160" s="15">
        <v>70.0</v>
      </c>
    </row>
    <row r="161">
      <c r="A161" s="15" t="s">
        <v>300</v>
      </c>
      <c r="B161" s="16">
        <v>74.0</v>
      </c>
    </row>
    <row r="162">
      <c r="A162" s="15" t="s">
        <v>301</v>
      </c>
      <c r="B162" s="15">
        <v>70.0</v>
      </c>
    </row>
    <row r="163">
      <c r="A163" s="15" t="s">
        <v>302</v>
      </c>
      <c r="B163" s="16">
        <v>0.0</v>
      </c>
    </row>
    <row r="164">
      <c r="A164" s="15" t="s">
        <v>303</v>
      </c>
      <c r="B164" s="16">
        <v>86.0</v>
      </c>
    </row>
    <row r="165">
      <c r="A165" s="15" t="s">
        <v>304</v>
      </c>
      <c r="B165" s="15">
        <v>70.0</v>
      </c>
    </row>
    <row r="166">
      <c r="A166" s="15" t="s">
        <v>305</v>
      </c>
      <c r="B166" s="16">
        <v>86.0</v>
      </c>
    </row>
    <row r="167">
      <c r="A167" s="15" t="s">
        <v>306</v>
      </c>
      <c r="B167" s="16">
        <v>70.0</v>
      </c>
    </row>
    <row r="168">
      <c r="A168" s="15" t="s">
        <v>307</v>
      </c>
      <c r="B168" s="16">
        <v>51.0</v>
      </c>
    </row>
    <row r="169">
      <c r="A169" s="15" t="s">
        <v>308</v>
      </c>
      <c r="B169" s="16">
        <v>46.0</v>
      </c>
    </row>
    <row r="170">
      <c r="A170" s="15" t="s">
        <v>309</v>
      </c>
      <c r="B170" s="16">
        <v>71.0</v>
      </c>
    </row>
    <row r="171">
      <c r="A171" s="15" t="s">
        <v>310</v>
      </c>
      <c r="B171" s="16">
        <v>70.0</v>
      </c>
    </row>
    <row r="172">
      <c r="A172" s="15" t="s">
        <v>311</v>
      </c>
      <c r="B172" s="16">
        <v>23.0</v>
      </c>
    </row>
    <row r="173">
      <c r="A173" s="15" t="s">
        <v>312</v>
      </c>
      <c r="B173" s="16">
        <v>26.0</v>
      </c>
    </row>
    <row r="174">
      <c r="A174" s="15" t="s">
        <v>313</v>
      </c>
      <c r="B174" s="15">
        <v>70.0</v>
      </c>
    </row>
    <row r="175">
      <c r="A175" s="15" t="s">
        <v>314</v>
      </c>
      <c r="B175" s="15">
        <v>70.0</v>
      </c>
    </row>
    <row r="176">
      <c r="A176" s="15" t="s">
        <v>315</v>
      </c>
      <c r="B176" s="16">
        <v>82.0</v>
      </c>
    </row>
    <row r="177">
      <c r="A177" s="15" t="s">
        <v>316</v>
      </c>
      <c r="B177" s="16">
        <v>77.0</v>
      </c>
    </row>
    <row r="178">
      <c r="A178" s="15" t="s">
        <v>317</v>
      </c>
      <c r="B178" s="16">
        <v>80.0</v>
      </c>
    </row>
    <row r="179">
      <c r="A179" s="15" t="s">
        <v>318</v>
      </c>
      <c r="B179" s="16">
        <v>84.0</v>
      </c>
    </row>
    <row r="180">
      <c r="A180" s="15" t="s">
        <v>319</v>
      </c>
      <c r="B180" s="16">
        <v>70.0</v>
      </c>
    </row>
    <row r="181">
      <c r="A181" s="15" t="s">
        <v>320</v>
      </c>
      <c r="B181" s="16">
        <v>70.0</v>
      </c>
    </row>
    <row r="182">
      <c r="A182" s="15" t="s">
        <v>321</v>
      </c>
      <c r="B182" s="16">
        <v>79.0</v>
      </c>
    </row>
    <row r="183">
      <c r="A183" s="15" t="s">
        <v>322</v>
      </c>
      <c r="B183" s="16">
        <v>80.0</v>
      </c>
    </row>
    <row r="184">
      <c r="A184" s="15" t="s">
        <v>323</v>
      </c>
      <c r="B184" s="16">
        <v>70.0</v>
      </c>
    </row>
    <row r="185">
      <c r="A185" s="15" t="s">
        <v>324</v>
      </c>
      <c r="B185" s="16">
        <v>75.0</v>
      </c>
    </row>
    <row r="186">
      <c r="A186" s="15" t="s">
        <v>325</v>
      </c>
      <c r="B186" s="16">
        <v>77.0</v>
      </c>
    </row>
    <row r="187">
      <c r="A187" s="15" t="s">
        <v>326</v>
      </c>
      <c r="B187" s="16">
        <v>75.0</v>
      </c>
    </row>
    <row r="188">
      <c r="A188" s="15" t="s">
        <v>327</v>
      </c>
      <c r="B188" s="16">
        <v>71.0</v>
      </c>
    </row>
    <row r="189">
      <c r="A189" s="15" t="s">
        <v>328</v>
      </c>
      <c r="B189" s="16">
        <v>78.0</v>
      </c>
    </row>
    <row r="190">
      <c r="A190" s="15" t="s">
        <v>329</v>
      </c>
      <c r="B190" s="16">
        <v>82.0</v>
      </c>
    </row>
    <row r="191">
      <c r="A191" s="15" t="s">
        <v>330</v>
      </c>
      <c r="B191" s="16">
        <v>58.0</v>
      </c>
    </row>
    <row r="192">
      <c r="A192" s="15" t="s">
        <v>331</v>
      </c>
      <c r="B192" s="16">
        <v>6.0</v>
      </c>
    </row>
    <row r="193">
      <c r="A193" s="15" t="s">
        <v>332</v>
      </c>
      <c r="B193" s="16">
        <v>39.0</v>
      </c>
    </row>
    <row r="194">
      <c r="A194" s="15" t="s">
        <v>333</v>
      </c>
      <c r="B194" s="16">
        <v>6.0</v>
      </c>
    </row>
    <row r="195">
      <c r="A195" s="15" t="s">
        <v>334</v>
      </c>
      <c r="B195" s="16">
        <v>82.0</v>
      </c>
    </row>
    <row r="196">
      <c r="A196" s="15" t="s">
        <v>335</v>
      </c>
      <c r="B196" s="15">
        <v>70.0</v>
      </c>
    </row>
    <row r="197">
      <c r="A197" s="15" t="s">
        <v>336</v>
      </c>
      <c r="B197" s="16">
        <v>71.0</v>
      </c>
    </row>
    <row r="198">
      <c r="A198" s="15" t="s">
        <v>337</v>
      </c>
      <c r="B198" s="16">
        <v>70.0</v>
      </c>
    </row>
    <row r="199">
      <c r="A199" s="15" t="s">
        <v>338</v>
      </c>
      <c r="B199" s="16">
        <v>79.0</v>
      </c>
    </row>
    <row r="200">
      <c r="A200" s="15" t="s">
        <v>339</v>
      </c>
      <c r="B200" s="16">
        <v>8.0</v>
      </c>
    </row>
    <row r="201">
      <c r="A201" s="15" t="s">
        <v>340</v>
      </c>
      <c r="B201" s="16">
        <v>80.0</v>
      </c>
    </row>
    <row r="202">
      <c r="A202" s="15" t="s">
        <v>341</v>
      </c>
      <c r="B202" s="16">
        <v>16.0</v>
      </c>
    </row>
    <row r="203">
      <c r="A203" s="15" t="s">
        <v>342</v>
      </c>
      <c r="B203" s="16">
        <v>34.0</v>
      </c>
    </row>
    <row r="204">
      <c r="A204" s="15" t="s">
        <v>343</v>
      </c>
      <c r="B204" s="16">
        <v>81.0</v>
      </c>
    </row>
    <row r="205">
      <c r="A205" s="15" t="s">
        <v>344</v>
      </c>
      <c r="B205" s="16">
        <v>80.0</v>
      </c>
    </row>
    <row r="206">
      <c r="A206" s="15" t="s">
        <v>345</v>
      </c>
      <c r="B206" s="16">
        <v>78.0</v>
      </c>
    </row>
    <row r="207">
      <c r="A207" s="15" t="s">
        <v>346</v>
      </c>
      <c r="B207" s="16">
        <v>57.0</v>
      </c>
    </row>
    <row r="208">
      <c r="A208" s="15" t="s">
        <v>347</v>
      </c>
      <c r="B208" s="16">
        <v>70.0</v>
      </c>
    </row>
    <row r="209">
      <c r="A209" s="15" t="s">
        <v>348</v>
      </c>
      <c r="B209" s="15">
        <v>70.0</v>
      </c>
    </row>
    <row r="210">
      <c r="A210" s="15" t="s">
        <v>349</v>
      </c>
      <c r="B210" s="16">
        <v>14.0</v>
      </c>
    </row>
    <row r="211">
      <c r="A211" s="15" t="s">
        <v>350</v>
      </c>
      <c r="B211" s="15">
        <v>70.0</v>
      </c>
    </row>
    <row r="212">
      <c r="A212" s="15" t="s">
        <v>351</v>
      </c>
      <c r="B212" s="16">
        <v>41.0</v>
      </c>
    </row>
    <row r="213">
      <c r="A213" s="15" t="s">
        <v>352</v>
      </c>
      <c r="B213" s="16">
        <v>6.0</v>
      </c>
    </row>
    <row r="214">
      <c r="A214" s="15" t="s">
        <v>353</v>
      </c>
      <c r="B214" s="15">
        <v>70.0</v>
      </c>
    </row>
    <row r="215">
      <c r="A215" s="15" t="s">
        <v>354</v>
      </c>
      <c r="B215" s="16">
        <v>14.0</v>
      </c>
    </row>
    <row r="216">
      <c r="A216" s="15" t="s">
        <v>355</v>
      </c>
      <c r="B216" s="16">
        <v>70.0</v>
      </c>
    </row>
    <row r="217">
      <c r="A217" s="15" t="s">
        <v>356</v>
      </c>
      <c r="B217" s="16">
        <v>44.0</v>
      </c>
    </row>
    <row r="218">
      <c r="A218" s="15" t="s">
        <v>357</v>
      </c>
      <c r="B218" s="16">
        <v>71.0</v>
      </c>
    </row>
    <row r="219">
      <c r="A219" s="15" t="s">
        <v>358</v>
      </c>
      <c r="B219" s="15">
        <v>70.0</v>
      </c>
    </row>
    <row r="220">
      <c r="A220" s="15" t="s">
        <v>359</v>
      </c>
      <c r="B220" s="16">
        <v>79.0</v>
      </c>
    </row>
    <row r="221">
      <c r="A221" s="15" t="s">
        <v>360</v>
      </c>
      <c r="B221" s="16">
        <v>41.0</v>
      </c>
    </row>
    <row r="222">
      <c r="A222" s="15" t="s">
        <v>361</v>
      </c>
      <c r="B222" s="15">
        <v>70.0</v>
      </c>
    </row>
    <row r="223">
      <c r="A223" s="15" t="s">
        <v>362</v>
      </c>
      <c r="B223" s="15">
        <v>70.0</v>
      </c>
    </row>
    <row r="224">
      <c r="A224" s="15" t="s">
        <v>363</v>
      </c>
      <c r="B224" s="16">
        <v>17.0</v>
      </c>
    </row>
    <row r="225">
      <c r="A225" s="15" t="s">
        <v>364</v>
      </c>
      <c r="B225" s="16">
        <v>70.0</v>
      </c>
    </row>
    <row r="226">
      <c r="A226" s="15" t="s">
        <v>365</v>
      </c>
      <c r="B226" s="15">
        <v>70.0</v>
      </c>
    </row>
    <row r="227">
      <c r="A227" s="15" t="s">
        <v>366</v>
      </c>
      <c r="B227" s="16">
        <v>73.0</v>
      </c>
    </row>
    <row r="228">
      <c r="A228" s="15" t="s">
        <v>367</v>
      </c>
      <c r="B228" s="16">
        <v>70.0</v>
      </c>
    </row>
    <row r="229">
      <c r="A229" s="15" t="s">
        <v>368</v>
      </c>
      <c r="B229" s="16">
        <v>75.0</v>
      </c>
    </row>
    <row r="230">
      <c r="A230" s="15" t="s">
        <v>369</v>
      </c>
      <c r="B230" s="16">
        <v>30.0</v>
      </c>
    </row>
    <row r="231">
      <c r="A231" s="15" t="s">
        <v>370</v>
      </c>
      <c r="B231" s="16">
        <v>70.0</v>
      </c>
    </row>
    <row r="232">
      <c r="A232" s="15" t="s">
        <v>371</v>
      </c>
      <c r="B232" s="15">
        <v>70.0</v>
      </c>
    </row>
    <row r="233">
      <c r="A233" s="15" t="s">
        <v>372</v>
      </c>
      <c r="B233" s="16">
        <v>51.0</v>
      </c>
    </row>
    <row r="234">
      <c r="A234" s="15" t="s">
        <v>373</v>
      </c>
      <c r="B234" s="15">
        <v>70.0</v>
      </c>
    </row>
    <row r="235">
      <c r="A235" s="15" t="s">
        <v>374</v>
      </c>
      <c r="B235" s="16">
        <v>6.0</v>
      </c>
    </row>
    <row r="236">
      <c r="A236" s="15" t="s">
        <v>375</v>
      </c>
      <c r="B236" s="16">
        <v>70.0</v>
      </c>
    </row>
    <row r="237">
      <c r="A237" s="15" t="s">
        <v>376</v>
      </c>
      <c r="B237" s="16">
        <v>48.0</v>
      </c>
    </row>
    <row r="238">
      <c r="A238" s="15" t="s">
        <v>377</v>
      </c>
      <c r="B238" s="16">
        <v>74.0</v>
      </c>
    </row>
    <row r="239">
      <c r="A239" s="15" t="s">
        <v>378</v>
      </c>
      <c r="B239" s="16">
        <v>50.0</v>
      </c>
    </row>
    <row r="240">
      <c r="A240" s="15" t="s">
        <v>379</v>
      </c>
      <c r="B240" s="16">
        <v>8.0</v>
      </c>
    </row>
    <row r="241">
      <c r="A241" s="15" t="s">
        <v>380</v>
      </c>
      <c r="B241" s="16">
        <v>17.0</v>
      </c>
    </row>
    <row r="242">
      <c r="A242" s="15" t="s">
        <v>381</v>
      </c>
      <c r="B242" s="15">
        <v>70.0</v>
      </c>
    </row>
    <row r="243">
      <c r="A243" s="15" t="s">
        <v>382</v>
      </c>
      <c r="B243" s="16">
        <v>70.0</v>
      </c>
    </row>
    <row r="244">
      <c r="A244" s="15" t="s">
        <v>383</v>
      </c>
      <c r="B244" s="15">
        <v>70.0</v>
      </c>
    </row>
    <row r="245">
      <c r="A245" s="15" t="s">
        <v>384</v>
      </c>
      <c r="B245" s="16">
        <v>40.0</v>
      </c>
    </row>
    <row r="246">
      <c r="A246" s="15" t="s">
        <v>385</v>
      </c>
      <c r="B246" s="15">
        <v>70.0</v>
      </c>
    </row>
    <row r="247">
      <c r="A247" s="15" t="s">
        <v>386</v>
      </c>
      <c r="B247" s="15">
        <v>70.0</v>
      </c>
    </row>
    <row r="248">
      <c r="A248" s="15" t="s">
        <v>387</v>
      </c>
      <c r="B248" s="15">
        <v>70.0</v>
      </c>
    </row>
    <row r="249">
      <c r="A249" s="15" t="s">
        <v>388</v>
      </c>
      <c r="B249" s="16">
        <v>0.0</v>
      </c>
    </row>
    <row r="250">
      <c r="A250" s="15" t="s">
        <v>389</v>
      </c>
      <c r="B250" s="15">
        <v>70.0</v>
      </c>
    </row>
    <row r="251">
      <c r="A251" s="15" t="s">
        <v>390</v>
      </c>
      <c r="B251" s="16">
        <v>76.0</v>
      </c>
    </row>
    <row r="252">
      <c r="A252" s="15" t="s">
        <v>391</v>
      </c>
      <c r="B252" s="16">
        <v>89.0</v>
      </c>
    </row>
    <row r="253">
      <c r="A253" s="15" t="s">
        <v>392</v>
      </c>
      <c r="B253" s="15">
        <v>70.0</v>
      </c>
    </row>
    <row r="254">
      <c r="A254" s="15" t="s">
        <v>393</v>
      </c>
      <c r="B254" s="16">
        <v>83.0</v>
      </c>
    </row>
    <row r="255">
      <c r="A255" s="15" t="s">
        <v>394</v>
      </c>
      <c r="B255" s="15">
        <v>70.0</v>
      </c>
    </row>
    <row r="256">
      <c r="A256" s="15" t="s">
        <v>395</v>
      </c>
      <c r="B256" s="16">
        <v>52.0</v>
      </c>
    </row>
    <row r="257">
      <c r="A257" s="15" t="s">
        <v>396</v>
      </c>
      <c r="B257" s="16">
        <v>83.0</v>
      </c>
    </row>
    <row r="258">
      <c r="A258" s="15" t="s">
        <v>397</v>
      </c>
      <c r="B258" s="16">
        <v>81.0</v>
      </c>
    </row>
    <row r="259">
      <c r="A259" s="15" t="s">
        <v>398</v>
      </c>
      <c r="B259" s="15">
        <v>70.0</v>
      </c>
    </row>
    <row r="260">
      <c r="A260" s="15" t="s">
        <v>399</v>
      </c>
      <c r="B260" s="16">
        <v>82.0</v>
      </c>
    </row>
    <row r="261">
      <c r="A261" s="15" t="s">
        <v>400</v>
      </c>
      <c r="B261" s="15">
        <v>70.0</v>
      </c>
    </row>
    <row r="262">
      <c r="A262" s="15" t="s">
        <v>401</v>
      </c>
      <c r="B262" s="15">
        <v>70.0</v>
      </c>
    </row>
    <row r="263">
      <c r="A263" s="15" t="s">
        <v>402</v>
      </c>
      <c r="B263" s="15">
        <v>70.0</v>
      </c>
    </row>
    <row r="264">
      <c r="A264" s="15" t="s">
        <v>403</v>
      </c>
      <c r="B264" s="16">
        <v>6.0</v>
      </c>
    </row>
    <row r="265">
      <c r="A265" s="15" t="s">
        <v>404</v>
      </c>
      <c r="B265" s="15">
        <v>70.0</v>
      </c>
    </row>
    <row r="266">
      <c r="A266" s="15" t="s">
        <v>405</v>
      </c>
      <c r="B266" s="16">
        <v>88.0</v>
      </c>
    </row>
    <row r="267">
      <c r="A267" s="15" t="s">
        <v>406</v>
      </c>
      <c r="B267" s="16">
        <v>71.0</v>
      </c>
    </row>
    <row r="268">
      <c r="A268" s="15" t="s">
        <v>407</v>
      </c>
      <c r="B268" s="16">
        <v>77.0</v>
      </c>
    </row>
    <row r="269">
      <c r="A269" s="15" t="s">
        <v>408</v>
      </c>
      <c r="B269" s="16">
        <v>73.0</v>
      </c>
    </row>
    <row r="270">
      <c r="A270" s="15" t="s">
        <v>409</v>
      </c>
      <c r="B270" s="16">
        <v>87.0</v>
      </c>
    </row>
    <row r="271">
      <c r="A271" s="15" t="s">
        <v>410</v>
      </c>
      <c r="B271" s="16">
        <v>19.0</v>
      </c>
    </row>
    <row r="272">
      <c r="A272" s="15" t="s">
        <v>411</v>
      </c>
      <c r="B272" s="16">
        <v>29.0</v>
      </c>
    </row>
    <row r="273">
      <c r="A273" s="15" t="s">
        <v>412</v>
      </c>
      <c r="B273" s="16">
        <v>80.0</v>
      </c>
    </row>
    <row r="274">
      <c r="A274" s="15" t="s">
        <v>413</v>
      </c>
      <c r="B274" s="15">
        <v>70.0</v>
      </c>
    </row>
    <row r="275">
      <c r="A275" s="15" t="s">
        <v>414</v>
      </c>
      <c r="B275" s="15">
        <v>71.0</v>
      </c>
    </row>
    <row r="276">
      <c r="A276" s="15" t="s">
        <v>415</v>
      </c>
      <c r="B276" s="15">
        <v>70.0</v>
      </c>
    </row>
    <row r="277">
      <c r="A277" s="15" t="s">
        <v>416</v>
      </c>
      <c r="B277" s="16">
        <v>51.0</v>
      </c>
    </row>
    <row r="278">
      <c r="A278" s="15" t="s">
        <v>417</v>
      </c>
      <c r="B278" s="16">
        <v>37.0</v>
      </c>
    </row>
    <row r="279">
      <c r="A279" s="15" t="s">
        <v>418</v>
      </c>
      <c r="B279" s="15">
        <v>70.0</v>
      </c>
    </row>
    <row r="280">
      <c r="A280" s="15" t="s">
        <v>419</v>
      </c>
      <c r="B280" s="16">
        <v>48.0</v>
      </c>
    </row>
    <row r="281">
      <c r="A281" s="15" t="s">
        <v>420</v>
      </c>
      <c r="B281" s="16">
        <v>76.0</v>
      </c>
    </row>
    <row r="282">
      <c r="A282" s="15" t="s">
        <v>421</v>
      </c>
      <c r="B282" s="15">
        <v>70.0</v>
      </c>
    </row>
    <row r="283">
      <c r="A283" s="15" t="s">
        <v>422</v>
      </c>
      <c r="B283" s="16">
        <v>74.0</v>
      </c>
    </row>
    <row r="284">
      <c r="A284" s="15" t="s">
        <v>423</v>
      </c>
      <c r="B284" s="15">
        <v>70.0</v>
      </c>
    </row>
    <row r="285">
      <c r="A285" s="15" t="s">
        <v>424</v>
      </c>
      <c r="B285" s="16">
        <v>76.0</v>
      </c>
    </row>
    <row r="286">
      <c r="A286" s="15" t="s">
        <v>425</v>
      </c>
      <c r="B286" s="16">
        <v>79.0</v>
      </c>
    </row>
    <row r="287">
      <c r="A287" s="15" t="s">
        <v>426</v>
      </c>
      <c r="B287" s="16">
        <v>72.0</v>
      </c>
    </row>
    <row r="288">
      <c r="A288" s="15" t="s">
        <v>427</v>
      </c>
      <c r="B288" s="15">
        <v>70.0</v>
      </c>
    </row>
    <row r="289">
      <c r="A289" s="15" t="s">
        <v>428</v>
      </c>
      <c r="B289" s="15">
        <v>70.0</v>
      </c>
    </row>
    <row r="290">
      <c r="A290" s="15" t="s">
        <v>429</v>
      </c>
      <c r="B290" s="15">
        <v>70.0</v>
      </c>
    </row>
    <row r="291">
      <c r="A291" s="15" t="s">
        <v>430</v>
      </c>
      <c r="B291" s="15">
        <v>70.0</v>
      </c>
    </row>
    <row r="292">
      <c r="A292" s="15" t="s">
        <v>431</v>
      </c>
      <c r="B292" s="15">
        <v>70.0</v>
      </c>
    </row>
    <row r="293">
      <c r="A293" s="15" t="s">
        <v>432</v>
      </c>
      <c r="B293" s="16">
        <v>72.0</v>
      </c>
    </row>
    <row r="294">
      <c r="A294" s="15" t="s">
        <v>433</v>
      </c>
      <c r="B294" s="16">
        <v>72.0</v>
      </c>
    </row>
    <row r="295">
      <c r="A295" s="15" t="s">
        <v>434</v>
      </c>
      <c r="B295" s="16">
        <v>20.0</v>
      </c>
    </row>
    <row r="296">
      <c r="A296" s="15" t="s">
        <v>435</v>
      </c>
      <c r="B296" s="15">
        <v>70.0</v>
      </c>
    </row>
    <row r="297">
      <c r="A297" s="15" t="s">
        <v>436</v>
      </c>
      <c r="B297" s="16">
        <v>14.0</v>
      </c>
    </row>
    <row r="298">
      <c r="A298" s="15" t="s">
        <v>437</v>
      </c>
      <c r="B298" s="16">
        <v>77.0</v>
      </c>
    </row>
    <row r="299">
      <c r="A299" s="15" t="s">
        <v>438</v>
      </c>
      <c r="B299" s="15">
        <v>70.0</v>
      </c>
    </row>
    <row r="300">
      <c r="A300" s="15" t="s">
        <v>439</v>
      </c>
      <c r="B300" s="16">
        <v>84.0</v>
      </c>
    </row>
    <row r="301">
      <c r="A301" s="15" t="s">
        <v>440</v>
      </c>
      <c r="B301" s="15">
        <v>70.0</v>
      </c>
    </row>
    <row r="302">
      <c r="A302" s="15" t="s">
        <v>441</v>
      </c>
      <c r="B302" s="16">
        <v>75.0</v>
      </c>
    </row>
    <row r="303">
      <c r="A303" s="15" t="s">
        <v>442</v>
      </c>
      <c r="B303" s="15">
        <v>70.0</v>
      </c>
    </row>
    <row r="304">
      <c r="A304" s="15" t="s">
        <v>443</v>
      </c>
      <c r="B304" s="16">
        <v>14.0</v>
      </c>
    </row>
    <row r="305">
      <c r="A305" s="15" t="s">
        <v>444</v>
      </c>
      <c r="B305" s="16">
        <v>70.0</v>
      </c>
    </row>
    <row r="306">
      <c r="A306" s="15" t="s">
        <v>445</v>
      </c>
      <c r="B306" s="15">
        <v>70.0</v>
      </c>
    </row>
    <row r="307">
      <c r="A307" s="15" t="s">
        <v>446</v>
      </c>
      <c r="B307" s="15">
        <v>70.0</v>
      </c>
    </row>
    <row r="308">
      <c r="A308" s="15" t="s">
        <v>447</v>
      </c>
      <c r="B308" s="16">
        <v>81.0</v>
      </c>
    </row>
    <row r="309">
      <c r="A309" s="15" t="s">
        <v>448</v>
      </c>
      <c r="B309" s="15">
        <v>70.0</v>
      </c>
    </row>
    <row r="310">
      <c r="A310" s="15" t="s">
        <v>449</v>
      </c>
      <c r="B310" s="16">
        <v>71.0</v>
      </c>
    </row>
    <row r="311">
      <c r="A311" s="15" t="s">
        <v>450</v>
      </c>
      <c r="B311" s="15">
        <v>70.0</v>
      </c>
    </row>
    <row r="312">
      <c r="A312" s="15" t="s">
        <v>451</v>
      </c>
      <c r="B312" s="15">
        <v>70.0</v>
      </c>
    </row>
    <row r="313">
      <c r="A313" s="15" t="s">
        <v>452</v>
      </c>
      <c r="B313" s="15">
        <v>70.0</v>
      </c>
    </row>
    <row r="314">
      <c r="A314" s="15" t="s">
        <v>453</v>
      </c>
      <c r="B314" s="16">
        <v>76.0</v>
      </c>
    </row>
    <row r="315">
      <c r="A315" s="15" t="s">
        <v>454</v>
      </c>
      <c r="B315" s="16">
        <v>72.0</v>
      </c>
    </row>
    <row r="316">
      <c r="A316" s="15" t="s">
        <v>455</v>
      </c>
      <c r="B316" s="15">
        <v>70.0</v>
      </c>
    </row>
    <row r="317">
      <c r="A317" s="15" t="s">
        <v>456</v>
      </c>
      <c r="B317" s="15">
        <v>70.0</v>
      </c>
    </row>
    <row r="318">
      <c r="A318" s="15" t="s">
        <v>457</v>
      </c>
      <c r="B318" s="16">
        <v>81.0</v>
      </c>
    </row>
    <row r="319">
      <c r="A319" s="15" t="s">
        <v>458</v>
      </c>
      <c r="B319" s="15">
        <v>70.0</v>
      </c>
    </row>
    <row r="320">
      <c r="A320" s="15" t="s">
        <v>459</v>
      </c>
      <c r="B320" s="16">
        <v>82.0</v>
      </c>
    </row>
    <row r="321">
      <c r="A321" s="15" t="s">
        <v>460</v>
      </c>
      <c r="B321" s="15">
        <v>70.0</v>
      </c>
    </row>
    <row r="322">
      <c r="A322" s="15" t="s">
        <v>461</v>
      </c>
      <c r="B322" s="15">
        <v>70.0</v>
      </c>
    </row>
    <row r="323">
      <c r="A323" s="15" t="s">
        <v>462</v>
      </c>
      <c r="B323" s="15">
        <v>70.0</v>
      </c>
    </row>
    <row r="324">
      <c r="A324" s="15" t="s">
        <v>463</v>
      </c>
      <c r="B324" s="15">
        <v>70.0</v>
      </c>
    </row>
    <row r="325">
      <c r="A325" s="15" t="s">
        <v>464</v>
      </c>
      <c r="B325" s="15">
        <v>70.0</v>
      </c>
    </row>
    <row r="326">
      <c r="A326" s="15" t="s">
        <v>465</v>
      </c>
      <c r="B326" s="15">
        <v>70.0</v>
      </c>
    </row>
    <row r="327">
      <c r="A327" s="15" t="s">
        <v>466</v>
      </c>
      <c r="B327" s="15">
        <v>70.0</v>
      </c>
    </row>
    <row r="328">
      <c r="A328" s="15" t="s">
        <v>467</v>
      </c>
      <c r="B328" s="15">
        <v>70.0</v>
      </c>
    </row>
    <row r="329">
      <c r="A329" s="15" t="s">
        <v>468</v>
      </c>
      <c r="B329" s="16">
        <v>76.0</v>
      </c>
    </row>
    <row r="330">
      <c r="A330" s="15" t="s">
        <v>469</v>
      </c>
      <c r="B330" s="15">
        <v>70.0</v>
      </c>
    </row>
    <row r="331">
      <c r="A331" s="15" t="s">
        <v>470</v>
      </c>
      <c r="B331" s="16">
        <v>70.0</v>
      </c>
    </row>
    <row r="332">
      <c r="A332" s="15" t="s">
        <v>471</v>
      </c>
      <c r="B332" s="16">
        <v>32.0</v>
      </c>
    </row>
    <row r="333">
      <c r="A333" s="15" t="s">
        <v>472</v>
      </c>
      <c r="B333" s="16">
        <v>78.0</v>
      </c>
    </row>
    <row r="334">
      <c r="A334" s="15" t="s">
        <v>473</v>
      </c>
      <c r="B334" s="16">
        <v>72.0</v>
      </c>
    </row>
    <row r="335">
      <c r="A335" s="15" t="s">
        <v>474</v>
      </c>
      <c r="B335" s="16">
        <v>55.0</v>
      </c>
    </row>
    <row r="336">
      <c r="A336" s="15" t="s">
        <v>475</v>
      </c>
      <c r="B336" s="16">
        <v>0.0</v>
      </c>
    </row>
    <row r="337">
      <c r="A337" s="15" t="s">
        <v>476</v>
      </c>
      <c r="B337" s="16">
        <v>82.0</v>
      </c>
    </row>
    <row r="338">
      <c r="A338" s="15" t="s">
        <v>477</v>
      </c>
      <c r="B338" s="16">
        <v>70.0</v>
      </c>
    </row>
    <row r="339">
      <c r="A339" s="15" t="s">
        <v>478</v>
      </c>
      <c r="B339" s="15">
        <v>70.0</v>
      </c>
    </row>
    <row r="340">
      <c r="A340" s="15" t="s">
        <v>479</v>
      </c>
      <c r="B340" s="15">
        <v>70.0</v>
      </c>
    </row>
    <row r="341">
      <c r="A341" s="15" t="s">
        <v>480</v>
      </c>
      <c r="B341" s="16">
        <v>85.0</v>
      </c>
    </row>
    <row r="342">
      <c r="A342" s="15" t="s">
        <v>481</v>
      </c>
      <c r="B342" s="16">
        <v>80.0</v>
      </c>
    </row>
    <row r="343">
      <c r="A343" s="15" t="s">
        <v>482</v>
      </c>
      <c r="B343" s="15">
        <v>70.0</v>
      </c>
    </row>
    <row r="344">
      <c r="A344" s="15" t="s">
        <v>483</v>
      </c>
      <c r="B344" s="15">
        <v>70.0</v>
      </c>
    </row>
    <row r="345">
      <c r="A345" s="15" t="s">
        <v>484</v>
      </c>
      <c r="B345" s="15">
        <v>70.0</v>
      </c>
    </row>
    <row r="346">
      <c r="A346" s="15" t="s">
        <v>485</v>
      </c>
      <c r="B346" s="16">
        <v>80.0</v>
      </c>
    </row>
    <row r="347">
      <c r="A347" s="15" t="s">
        <v>486</v>
      </c>
      <c r="B347" s="15">
        <v>70.0</v>
      </c>
    </row>
    <row r="348">
      <c r="A348" s="15" t="s">
        <v>487</v>
      </c>
      <c r="B348" s="16">
        <v>32.0</v>
      </c>
    </row>
    <row r="349">
      <c r="A349" s="15" t="s">
        <v>488</v>
      </c>
      <c r="B349" s="15">
        <v>70.0</v>
      </c>
    </row>
    <row r="350">
      <c r="A350" s="15" t="s">
        <v>489</v>
      </c>
      <c r="B350" s="16">
        <v>84.0</v>
      </c>
    </row>
    <row r="351">
      <c r="A351" s="15" t="s">
        <v>490</v>
      </c>
      <c r="B351" s="15">
        <v>70.0</v>
      </c>
    </row>
    <row r="352">
      <c r="A352" s="15" t="s">
        <v>491</v>
      </c>
      <c r="B352" s="16">
        <v>0.0</v>
      </c>
    </row>
    <row r="353">
      <c r="A353" s="15" t="s">
        <v>492</v>
      </c>
      <c r="B353" s="16">
        <v>29.0</v>
      </c>
    </row>
    <row r="354">
      <c r="A354" s="15" t="s">
        <v>493</v>
      </c>
      <c r="B354" s="16">
        <v>6.0</v>
      </c>
    </row>
    <row r="355">
      <c r="A355" s="15" t="s">
        <v>494</v>
      </c>
      <c r="B355" s="16">
        <v>0.0</v>
      </c>
    </row>
    <row r="356">
      <c r="A356" s="15" t="s">
        <v>495</v>
      </c>
      <c r="B356" s="15">
        <v>70.0</v>
      </c>
    </row>
    <row r="357">
      <c r="A357" s="15" t="s">
        <v>496</v>
      </c>
      <c r="B357" s="15">
        <v>70.0</v>
      </c>
    </row>
    <row r="358">
      <c r="A358" s="15" t="s">
        <v>497</v>
      </c>
      <c r="B358" s="15">
        <v>70.0</v>
      </c>
    </row>
    <row r="359">
      <c r="A359" s="15" t="s">
        <v>498</v>
      </c>
      <c r="B359" s="15">
        <v>70.0</v>
      </c>
    </row>
    <row r="360">
      <c r="A360" s="15" t="s">
        <v>499</v>
      </c>
      <c r="B360" s="16">
        <v>20.0</v>
      </c>
    </row>
    <row r="361">
      <c r="A361" s="15" t="s">
        <v>500</v>
      </c>
      <c r="B361" s="16">
        <v>76.0</v>
      </c>
    </row>
    <row r="362">
      <c r="A362" s="15" t="s">
        <v>501</v>
      </c>
      <c r="B362" s="15">
        <v>70.0</v>
      </c>
    </row>
    <row r="363">
      <c r="A363" s="15" t="s">
        <v>502</v>
      </c>
      <c r="B363" s="15">
        <v>70.0</v>
      </c>
    </row>
    <row r="364">
      <c r="A364" s="15" t="s">
        <v>503</v>
      </c>
      <c r="B364" s="16">
        <v>71.0</v>
      </c>
    </row>
    <row r="365">
      <c r="A365" s="15" t="s">
        <v>504</v>
      </c>
      <c r="B365" s="15">
        <v>70.0</v>
      </c>
    </row>
    <row r="366">
      <c r="A366" s="15" t="s">
        <v>505</v>
      </c>
      <c r="B366" s="15">
        <v>70.0</v>
      </c>
    </row>
    <row r="367">
      <c r="A367" s="15" t="s">
        <v>506</v>
      </c>
      <c r="B367" s="15">
        <v>70.0</v>
      </c>
    </row>
    <row r="368">
      <c r="A368" s="15" t="s">
        <v>507</v>
      </c>
      <c r="B368" s="15">
        <v>70.0</v>
      </c>
    </row>
    <row r="369">
      <c r="A369" s="15" t="s">
        <v>508</v>
      </c>
      <c r="B369" s="16">
        <v>71.0</v>
      </c>
    </row>
    <row r="370">
      <c r="A370" s="15" t="s">
        <v>509</v>
      </c>
      <c r="B370" s="16">
        <v>0.0</v>
      </c>
    </row>
    <row r="371">
      <c r="A371" s="15" t="s">
        <v>510</v>
      </c>
      <c r="B371" s="15">
        <v>70.0</v>
      </c>
    </row>
    <row r="372">
      <c r="A372" s="15" t="s">
        <v>511</v>
      </c>
      <c r="B372" s="16">
        <v>70.0</v>
      </c>
    </row>
    <row r="373">
      <c r="A373" s="15" t="s">
        <v>512</v>
      </c>
      <c r="B373" s="16">
        <v>78.0</v>
      </c>
    </row>
    <row r="374">
      <c r="A374" s="15" t="s">
        <v>513</v>
      </c>
      <c r="B374" s="15">
        <v>70.0</v>
      </c>
    </row>
    <row r="375">
      <c r="A375" s="15" t="s">
        <v>514</v>
      </c>
      <c r="B375" s="16">
        <v>77.0</v>
      </c>
    </row>
    <row r="376">
      <c r="A376" s="15" t="s">
        <v>515</v>
      </c>
      <c r="B376" s="15">
        <v>70.0</v>
      </c>
    </row>
    <row r="377">
      <c r="A377" s="15" t="s">
        <v>516</v>
      </c>
      <c r="B377" s="15">
        <v>70.0</v>
      </c>
    </row>
    <row r="378">
      <c r="A378" s="15" t="s">
        <v>517</v>
      </c>
      <c r="B378" s="16">
        <v>8.0</v>
      </c>
    </row>
    <row r="379">
      <c r="A379" s="15" t="s">
        <v>518</v>
      </c>
      <c r="B379" s="15">
        <v>70.0</v>
      </c>
    </row>
    <row r="380">
      <c r="A380" s="15" t="s">
        <v>519</v>
      </c>
      <c r="B380" s="16">
        <v>0.0</v>
      </c>
    </row>
    <row r="381">
      <c r="A381" s="15" t="s">
        <v>520</v>
      </c>
      <c r="B381" s="16">
        <v>22.0</v>
      </c>
    </row>
    <row r="382">
      <c r="A382" s="15" t="s">
        <v>521</v>
      </c>
      <c r="B382" s="16">
        <v>71.0</v>
      </c>
    </row>
    <row r="383">
      <c r="A383" s="15" t="s">
        <v>522</v>
      </c>
      <c r="B383" s="15">
        <v>70.0</v>
      </c>
    </row>
    <row r="384">
      <c r="A384" s="15" t="s">
        <v>523</v>
      </c>
      <c r="B384" s="16">
        <v>72.0</v>
      </c>
    </row>
    <row r="385">
      <c r="A385" s="15" t="s">
        <v>524</v>
      </c>
      <c r="B385" s="16">
        <v>70.0</v>
      </c>
    </row>
    <row r="386">
      <c r="A386" s="15" t="s">
        <v>525</v>
      </c>
      <c r="B386" s="16">
        <v>74.0</v>
      </c>
    </row>
    <row r="387">
      <c r="A387" s="15" t="s">
        <v>526</v>
      </c>
      <c r="B387" s="16">
        <v>8.0</v>
      </c>
    </row>
    <row r="388">
      <c r="A388" s="15" t="s">
        <v>527</v>
      </c>
      <c r="B388" s="15">
        <v>70.0</v>
      </c>
    </row>
    <row r="389">
      <c r="A389" s="15" t="s">
        <v>528</v>
      </c>
      <c r="B389" s="16">
        <v>8.0</v>
      </c>
    </row>
    <row r="390">
      <c r="A390" s="15" t="s">
        <v>529</v>
      </c>
      <c r="B390" s="15">
        <v>70.0</v>
      </c>
    </row>
    <row r="391">
      <c r="A391" s="15" t="s">
        <v>530</v>
      </c>
      <c r="B391" s="15">
        <v>70.0</v>
      </c>
    </row>
    <row r="392">
      <c r="A392" s="15" t="s">
        <v>531</v>
      </c>
      <c r="B392" s="15">
        <v>70.0</v>
      </c>
    </row>
    <row r="393">
      <c r="A393" s="15" t="s">
        <v>532</v>
      </c>
      <c r="B393" s="15">
        <v>70.0</v>
      </c>
    </row>
    <row r="394">
      <c r="A394" s="15" t="s">
        <v>533</v>
      </c>
      <c r="B394" s="15">
        <v>70.0</v>
      </c>
    </row>
    <row r="395">
      <c r="A395" s="15" t="s">
        <v>534</v>
      </c>
      <c r="B395" s="15">
        <v>70.0</v>
      </c>
    </row>
    <row r="396">
      <c r="A396" s="15" t="s">
        <v>535</v>
      </c>
      <c r="B396" s="15">
        <v>70.0</v>
      </c>
    </row>
    <row r="397">
      <c r="A397" s="15" t="s">
        <v>536</v>
      </c>
      <c r="B397" s="15">
        <v>70.0</v>
      </c>
    </row>
    <row r="398">
      <c r="A398" s="15" t="s">
        <v>537</v>
      </c>
      <c r="B398" s="16">
        <v>22.0</v>
      </c>
    </row>
    <row r="399">
      <c r="A399" s="15" t="s">
        <v>538</v>
      </c>
      <c r="B399" s="16">
        <v>70.0</v>
      </c>
    </row>
    <row r="400">
      <c r="A400" s="15" t="s">
        <v>539</v>
      </c>
      <c r="B400" s="15">
        <v>70.0</v>
      </c>
    </row>
    <row r="401">
      <c r="A401" s="15" t="s">
        <v>540</v>
      </c>
      <c r="B401" s="15">
        <v>70.0</v>
      </c>
    </row>
    <row r="402">
      <c r="A402" s="15" t="s">
        <v>541</v>
      </c>
      <c r="B402" s="15">
        <v>70.0</v>
      </c>
    </row>
    <row r="403">
      <c r="A403" s="15" t="s">
        <v>542</v>
      </c>
      <c r="B403" s="15">
        <v>70.0</v>
      </c>
    </row>
    <row r="404">
      <c r="A404" s="15" t="s">
        <v>543</v>
      </c>
      <c r="B404" s="15">
        <v>70.0</v>
      </c>
    </row>
    <row r="405">
      <c r="A405" s="15" t="s">
        <v>544</v>
      </c>
      <c r="B405" s="15">
        <v>70.0</v>
      </c>
    </row>
    <row r="406">
      <c r="A406" s="15" t="s">
        <v>545</v>
      </c>
      <c r="B406" s="16">
        <v>77.0</v>
      </c>
    </row>
    <row r="407">
      <c r="A407" s="15" t="s">
        <v>546</v>
      </c>
      <c r="B407" s="15">
        <v>70.0</v>
      </c>
    </row>
    <row r="408">
      <c r="A408" s="15" t="s">
        <v>547</v>
      </c>
      <c r="B408" s="15">
        <v>70.0</v>
      </c>
    </row>
    <row r="409">
      <c r="A409" s="15" t="s">
        <v>548</v>
      </c>
      <c r="B409" s="16">
        <v>88.0</v>
      </c>
    </row>
    <row r="410">
      <c r="A410" s="15" t="s">
        <v>549</v>
      </c>
      <c r="B410" s="16">
        <v>70.0</v>
      </c>
    </row>
    <row r="411">
      <c r="A411" s="15" t="s">
        <v>550</v>
      </c>
      <c r="B411" s="16">
        <v>73.0</v>
      </c>
    </row>
    <row r="412">
      <c r="A412" s="15" t="s">
        <v>551</v>
      </c>
      <c r="B412" s="15">
        <v>70.0</v>
      </c>
    </row>
    <row r="413">
      <c r="A413" s="15" t="s">
        <v>552</v>
      </c>
      <c r="B413" s="15">
        <v>70.0</v>
      </c>
    </row>
    <row r="414">
      <c r="A414" s="15" t="s">
        <v>553</v>
      </c>
      <c r="B414" s="16">
        <v>73.0</v>
      </c>
    </row>
    <row r="415">
      <c r="A415" s="15" t="s">
        <v>554</v>
      </c>
      <c r="B415" s="16">
        <v>78.0</v>
      </c>
    </row>
    <row r="416">
      <c r="A416" s="15" t="s">
        <v>555</v>
      </c>
      <c r="B416" s="16">
        <v>81.0</v>
      </c>
    </row>
    <row r="417">
      <c r="A417" s="15" t="s">
        <v>556</v>
      </c>
      <c r="B417" s="15">
        <v>70.0</v>
      </c>
    </row>
    <row r="418">
      <c r="A418" s="15" t="s">
        <v>557</v>
      </c>
      <c r="B418" s="16">
        <v>0.0</v>
      </c>
    </row>
    <row r="419">
      <c r="A419" s="15" t="s">
        <v>558</v>
      </c>
      <c r="B419" s="16">
        <v>41.0</v>
      </c>
    </row>
    <row r="420">
      <c r="A420" s="15" t="s">
        <v>559</v>
      </c>
      <c r="B420" s="15">
        <v>70.0</v>
      </c>
    </row>
    <row r="421">
      <c r="A421" s="15" t="s">
        <v>560</v>
      </c>
      <c r="B421" s="16">
        <v>75.0</v>
      </c>
    </row>
    <row r="422">
      <c r="A422" s="15" t="s">
        <v>561</v>
      </c>
      <c r="B422" s="15">
        <v>70.0</v>
      </c>
    </row>
    <row r="423">
      <c r="A423" s="15" t="s">
        <v>562</v>
      </c>
      <c r="B423" s="16">
        <v>0.0</v>
      </c>
    </row>
    <row r="424">
      <c r="A424" s="15" t="s">
        <v>563</v>
      </c>
      <c r="B424" s="15">
        <v>70.0</v>
      </c>
    </row>
    <row r="425">
      <c r="A425" s="15" t="s">
        <v>564</v>
      </c>
      <c r="B425" s="16">
        <v>12.0</v>
      </c>
    </row>
    <row r="426">
      <c r="A426" s="15" t="s">
        <v>565</v>
      </c>
      <c r="B426" s="15">
        <v>70.0</v>
      </c>
    </row>
    <row r="427">
      <c r="A427" s="15" t="s">
        <v>566</v>
      </c>
      <c r="B427" s="15">
        <v>70.0</v>
      </c>
    </row>
    <row r="428">
      <c r="A428" s="15" t="s">
        <v>567</v>
      </c>
      <c r="B428" s="16">
        <v>48.0</v>
      </c>
    </row>
    <row r="429">
      <c r="A429" s="15" t="s">
        <v>568</v>
      </c>
      <c r="B429" s="15">
        <v>70.0</v>
      </c>
    </row>
    <row r="430">
      <c r="A430" s="15" t="s">
        <v>569</v>
      </c>
      <c r="B430" s="15">
        <v>70.0</v>
      </c>
    </row>
    <row r="431">
      <c r="A431" s="15" t="s">
        <v>570</v>
      </c>
      <c r="B431" s="16">
        <v>70.0</v>
      </c>
    </row>
    <row r="432">
      <c r="A432" s="15" t="s">
        <v>571</v>
      </c>
      <c r="B432" s="16">
        <v>0.0</v>
      </c>
    </row>
    <row r="433">
      <c r="A433" s="15" t="s">
        <v>572</v>
      </c>
      <c r="B433" s="15">
        <v>70.0</v>
      </c>
    </row>
    <row r="434">
      <c r="A434" s="15" t="s">
        <v>573</v>
      </c>
      <c r="B434" s="15">
        <v>70.0</v>
      </c>
    </row>
    <row r="435">
      <c r="A435" s="15" t="s">
        <v>574</v>
      </c>
      <c r="B435" s="15">
        <v>70.0</v>
      </c>
    </row>
    <row r="436">
      <c r="A436" s="15" t="s">
        <v>575</v>
      </c>
      <c r="B436" s="15">
        <v>70.0</v>
      </c>
    </row>
    <row r="437">
      <c r="A437" s="15" t="s">
        <v>576</v>
      </c>
      <c r="B437" s="15">
        <v>70.0</v>
      </c>
    </row>
    <row r="438">
      <c r="A438" s="15" t="s">
        <v>577</v>
      </c>
      <c r="B438" s="15">
        <v>70.0</v>
      </c>
    </row>
    <row r="439">
      <c r="A439" s="15" t="s">
        <v>578</v>
      </c>
      <c r="B439" s="15">
        <v>70.0</v>
      </c>
    </row>
    <row r="440">
      <c r="A440" s="15" t="s">
        <v>579</v>
      </c>
      <c r="B440" s="15">
        <v>70.0</v>
      </c>
    </row>
    <row r="441">
      <c r="A441" s="15" t="s">
        <v>580</v>
      </c>
      <c r="B441" s="16">
        <v>17.0</v>
      </c>
    </row>
    <row r="442">
      <c r="A442" s="15" t="s">
        <v>581</v>
      </c>
      <c r="B442" s="15">
        <v>70.0</v>
      </c>
    </row>
    <row r="443">
      <c r="A443" s="15" t="s">
        <v>582</v>
      </c>
      <c r="B443" s="16">
        <v>4.0</v>
      </c>
    </row>
    <row r="444">
      <c r="A444" s="15" t="s">
        <v>583</v>
      </c>
      <c r="B444" s="15">
        <v>70.0</v>
      </c>
    </row>
    <row r="445">
      <c r="A445" s="15" t="s">
        <v>584</v>
      </c>
      <c r="B445" s="15">
        <v>70.0</v>
      </c>
    </row>
    <row r="446">
      <c r="A446" s="15" t="s">
        <v>585</v>
      </c>
      <c r="B446" s="16">
        <v>70.0</v>
      </c>
    </row>
    <row r="447">
      <c r="A447" s="15" t="s">
        <v>586</v>
      </c>
      <c r="B447" s="16">
        <v>0.0</v>
      </c>
    </row>
    <row r="448">
      <c r="A448" s="15" t="s">
        <v>587</v>
      </c>
      <c r="B448" s="15">
        <v>70.0</v>
      </c>
    </row>
    <row r="449">
      <c r="A449" s="15" t="s">
        <v>588</v>
      </c>
      <c r="B449" s="15">
        <v>70.0</v>
      </c>
    </row>
    <row r="450">
      <c r="A450" s="15" t="s">
        <v>589</v>
      </c>
      <c r="B450" s="15">
        <v>70.0</v>
      </c>
    </row>
    <row r="451">
      <c r="A451" s="15" t="s">
        <v>590</v>
      </c>
      <c r="B451" s="15">
        <v>70.0</v>
      </c>
    </row>
    <row r="452">
      <c r="A452" s="15" t="s">
        <v>591</v>
      </c>
      <c r="B452" s="16">
        <v>77.0</v>
      </c>
    </row>
    <row r="453">
      <c r="A453" s="15" t="s">
        <v>592</v>
      </c>
      <c r="B453" s="15">
        <v>70.0</v>
      </c>
    </row>
    <row r="454">
      <c r="A454" s="15" t="s">
        <v>593</v>
      </c>
      <c r="B454" s="16">
        <v>79.0</v>
      </c>
    </row>
    <row r="455">
      <c r="A455" s="15" t="s">
        <v>594</v>
      </c>
      <c r="B455" s="16">
        <v>0.0</v>
      </c>
    </row>
    <row r="456">
      <c r="A456" s="15" t="s">
        <v>595</v>
      </c>
      <c r="B456" s="15">
        <v>70.0</v>
      </c>
    </row>
    <row r="457">
      <c r="A457" s="15" t="s">
        <v>596</v>
      </c>
      <c r="B457" s="15">
        <v>70.0</v>
      </c>
    </row>
    <row r="458">
      <c r="A458" s="15" t="s">
        <v>597</v>
      </c>
      <c r="B458" s="15">
        <v>70.0</v>
      </c>
    </row>
    <row r="459">
      <c r="A459" s="15" t="s">
        <v>598</v>
      </c>
      <c r="B459" s="15">
        <v>70.0</v>
      </c>
    </row>
    <row r="460">
      <c r="A460" s="15" t="s">
        <v>599</v>
      </c>
      <c r="B460" s="15">
        <v>70.0</v>
      </c>
    </row>
    <row r="461">
      <c r="A461" s="15" t="s">
        <v>600</v>
      </c>
      <c r="B461" s="15">
        <v>70.0</v>
      </c>
    </row>
    <row r="462">
      <c r="A462" s="15" t="s">
        <v>601</v>
      </c>
      <c r="B462" s="15">
        <v>70.0</v>
      </c>
    </row>
    <row r="463">
      <c r="A463" s="15" t="s">
        <v>602</v>
      </c>
      <c r="B463" s="16">
        <v>76.0</v>
      </c>
    </row>
    <row r="464">
      <c r="A464" s="15" t="s">
        <v>603</v>
      </c>
      <c r="B464" s="15">
        <v>70.0</v>
      </c>
    </row>
    <row r="465">
      <c r="A465" s="15" t="s">
        <v>604</v>
      </c>
      <c r="B465" s="15">
        <v>70.0</v>
      </c>
    </row>
    <row r="466">
      <c r="A466" s="15" t="s">
        <v>605</v>
      </c>
      <c r="B466" s="15">
        <v>70.0</v>
      </c>
    </row>
    <row r="467">
      <c r="A467" s="15" t="s">
        <v>606</v>
      </c>
      <c r="B467" s="15">
        <v>70.0</v>
      </c>
    </row>
    <row r="468">
      <c r="A468" s="15" t="s">
        <v>607</v>
      </c>
      <c r="B468" s="15">
        <v>70.0</v>
      </c>
    </row>
    <row r="469">
      <c r="A469" s="15" t="s">
        <v>608</v>
      </c>
      <c r="B469" s="15">
        <v>70.0</v>
      </c>
    </row>
    <row r="470">
      <c r="A470" s="15" t="s">
        <v>609</v>
      </c>
      <c r="B470" s="16">
        <v>26.0</v>
      </c>
    </row>
    <row r="471">
      <c r="A471" s="15" t="s">
        <v>610</v>
      </c>
      <c r="B471" s="16">
        <v>25.0</v>
      </c>
    </row>
    <row r="472">
      <c r="A472" s="15" t="s">
        <v>611</v>
      </c>
      <c r="B472" s="16">
        <v>70.0</v>
      </c>
    </row>
    <row r="473">
      <c r="A473" s="15" t="s">
        <v>612</v>
      </c>
      <c r="B473" s="15">
        <v>70.0</v>
      </c>
    </row>
    <row r="474">
      <c r="A474" s="15" t="s">
        <v>613</v>
      </c>
      <c r="B474" s="15">
        <v>70.0</v>
      </c>
    </row>
    <row r="475">
      <c r="A475" s="15" t="s">
        <v>614</v>
      </c>
      <c r="B475" s="15">
        <v>70.0</v>
      </c>
    </row>
    <row r="476">
      <c r="A476" s="15" t="s">
        <v>615</v>
      </c>
      <c r="B476" s="15">
        <v>70.0</v>
      </c>
    </row>
    <row r="477">
      <c r="A477" s="15" t="s">
        <v>616</v>
      </c>
      <c r="B477" s="15">
        <v>70.0</v>
      </c>
    </row>
    <row r="478">
      <c r="A478" s="15" t="s">
        <v>617</v>
      </c>
      <c r="B478" s="15">
        <v>70.0</v>
      </c>
    </row>
    <row r="479">
      <c r="A479" s="15" t="s">
        <v>618</v>
      </c>
      <c r="B479" s="16">
        <v>0.0</v>
      </c>
    </row>
    <row r="480">
      <c r="A480" s="15" t="s">
        <v>619</v>
      </c>
      <c r="B480" s="15">
        <v>70.0</v>
      </c>
    </row>
    <row r="481">
      <c r="A481" s="15" t="s">
        <v>620</v>
      </c>
      <c r="B481" s="15">
        <v>70.0</v>
      </c>
    </row>
    <row r="482">
      <c r="A482" s="15" t="s">
        <v>621</v>
      </c>
      <c r="B482" s="16">
        <v>0.0</v>
      </c>
    </row>
    <row r="483">
      <c r="A483" s="15" t="s">
        <v>622</v>
      </c>
      <c r="B483" s="15">
        <v>70.0</v>
      </c>
    </row>
    <row r="484">
      <c r="A484" s="15" t="s">
        <v>623</v>
      </c>
      <c r="B484" s="15">
        <v>70.0</v>
      </c>
    </row>
    <row r="485">
      <c r="A485" s="15" t="s">
        <v>624</v>
      </c>
      <c r="B485" s="15">
        <v>70.0</v>
      </c>
    </row>
    <row r="486">
      <c r="A486" s="15" t="s">
        <v>625</v>
      </c>
      <c r="B486" s="15">
        <v>70.0</v>
      </c>
    </row>
    <row r="487">
      <c r="A487" s="15" t="s">
        <v>626</v>
      </c>
      <c r="B487" s="15">
        <v>70.0</v>
      </c>
    </row>
    <row r="488">
      <c r="A488" s="15" t="s">
        <v>627</v>
      </c>
      <c r="B488" s="16">
        <v>6.0</v>
      </c>
    </row>
    <row r="489">
      <c r="A489" s="15" t="s">
        <v>628</v>
      </c>
      <c r="B489" s="15">
        <v>70.0</v>
      </c>
    </row>
    <row r="490">
      <c r="A490" s="15" t="s">
        <v>629</v>
      </c>
      <c r="B490" s="16">
        <v>70.0</v>
      </c>
    </row>
    <row r="491">
      <c r="A491" s="15" t="s">
        <v>630</v>
      </c>
      <c r="B491" s="15">
        <v>70.0</v>
      </c>
    </row>
    <row r="492">
      <c r="A492" s="15" t="s">
        <v>631</v>
      </c>
      <c r="B492" s="16">
        <v>72.0</v>
      </c>
    </row>
    <row r="493">
      <c r="A493" s="15" t="s">
        <v>632</v>
      </c>
      <c r="B493" s="16">
        <v>0.0</v>
      </c>
    </row>
    <row r="494">
      <c r="A494" s="15" t="s">
        <v>633</v>
      </c>
      <c r="B494" s="16">
        <v>51.0</v>
      </c>
    </row>
    <row r="495">
      <c r="A495" s="15" t="s">
        <v>634</v>
      </c>
      <c r="B495" s="15">
        <v>70.0</v>
      </c>
    </row>
    <row r="496">
      <c r="A496" s="15" t="s">
        <v>635</v>
      </c>
      <c r="B496" s="15">
        <v>70.0</v>
      </c>
    </row>
    <row r="497">
      <c r="A497" s="15" t="s">
        <v>636</v>
      </c>
      <c r="B497" s="15">
        <v>70.0</v>
      </c>
    </row>
    <row r="498">
      <c r="A498" s="15" t="s">
        <v>637</v>
      </c>
      <c r="B498" s="15">
        <v>70.0</v>
      </c>
    </row>
    <row r="499">
      <c r="A499" s="15" t="s">
        <v>638</v>
      </c>
      <c r="B499" s="16">
        <v>70.0</v>
      </c>
    </row>
    <row r="500">
      <c r="A500" s="15" t="s">
        <v>639</v>
      </c>
      <c r="B500" s="15">
        <v>70.0</v>
      </c>
    </row>
    <row r="501">
      <c r="A501" s="15" t="s">
        <v>640</v>
      </c>
      <c r="B501" s="15">
        <v>70.0</v>
      </c>
    </row>
    <row r="502">
      <c r="A502" s="15" t="s">
        <v>641</v>
      </c>
      <c r="B502" s="15">
        <v>70.0</v>
      </c>
    </row>
    <row r="503">
      <c r="A503" s="15" t="s">
        <v>642</v>
      </c>
      <c r="B503" s="15">
        <v>70.0</v>
      </c>
    </row>
    <row r="504">
      <c r="A504" s="15" t="s">
        <v>643</v>
      </c>
      <c r="B504" s="15">
        <v>70.0</v>
      </c>
    </row>
    <row r="505">
      <c r="A505" s="15" t="s">
        <v>644</v>
      </c>
      <c r="B505" s="15">
        <v>70.0</v>
      </c>
    </row>
    <row r="506">
      <c r="A506" s="15" t="s">
        <v>645</v>
      </c>
      <c r="B506" s="16">
        <v>81.0</v>
      </c>
    </row>
    <row r="507">
      <c r="A507" s="15" t="s">
        <v>646</v>
      </c>
      <c r="B507" s="16">
        <v>79.0</v>
      </c>
    </row>
    <row r="508">
      <c r="A508" s="15" t="s">
        <v>647</v>
      </c>
      <c r="B508" s="16">
        <v>15.0</v>
      </c>
    </row>
    <row r="509">
      <c r="A509" s="15" t="s">
        <v>648</v>
      </c>
      <c r="B509" s="16">
        <v>82.0</v>
      </c>
    </row>
    <row r="510">
      <c r="A510" s="15" t="s">
        <v>649</v>
      </c>
      <c r="B510" s="15">
        <v>70.0</v>
      </c>
    </row>
    <row r="511">
      <c r="A511" s="15" t="s">
        <v>650</v>
      </c>
      <c r="B511" s="15">
        <v>70.0</v>
      </c>
    </row>
    <row r="512">
      <c r="A512" s="15" t="s">
        <v>651</v>
      </c>
      <c r="B512" s="15">
        <v>70.0</v>
      </c>
    </row>
    <row r="513">
      <c r="A513" s="15" t="s">
        <v>652</v>
      </c>
      <c r="B513" s="15">
        <v>70.0</v>
      </c>
    </row>
    <row r="514">
      <c r="A514" s="15" t="s">
        <v>653</v>
      </c>
      <c r="B514" s="15">
        <v>70.0</v>
      </c>
    </row>
    <row r="515">
      <c r="A515" s="15" t="s">
        <v>654</v>
      </c>
      <c r="B515" s="16">
        <v>53.0</v>
      </c>
    </row>
    <row r="516">
      <c r="A516" s="15" t="s">
        <v>655</v>
      </c>
      <c r="B516" s="15">
        <v>70.0</v>
      </c>
    </row>
    <row r="517">
      <c r="A517" s="15" t="s">
        <v>654</v>
      </c>
      <c r="B517" s="16">
        <v>53.0</v>
      </c>
    </row>
    <row r="518">
      <c r="A518" s="15" t="s">
        <v>1338</v>
      </c>
      <c r="B518" s="16">
        <v>0.0</v>
      </c>
    </row>
    <row r="519">
      <c r="A519" s="15" t="s">
        <v>657</v>
      </c>
      <c r="B519" s="15">
        <v>70.0</v>
      </c>
    </row>
    <row r="520">
      <c r="A520" s="15" t="s">
        <v>658</v>
      </c>
      <c r="B520" s="15">
        <v>70.0</v>
      </c>
    </row>
    <row r="521">
      <c r="A521" s="15" t="s">
        <v>659</v>
      </c>
      <c r="B521" s="16">
        <v>10.0</v>
      </c>
    </row>
    <row r="522">
      <c r="A522" s="15" t="s">
        <v>660</v>
      </c>
      <c r="B522" s="16">
        <v>75.0</v>
      </c>
    </row>
    <row r="523">
      <c r="A523" s="15" t="s">
        <v>661</v>
      </c>
      <c r="B523" s="16">
        <v>75.0</v>
      </c>
    </row>
    <row r="524">
      <c r="A524" s="15" t="s">
        <v>662</v>
      </c>
      <c r="B524" s="16">
        <v>70.0</v>
      </c>
    </row>
    <row r="525">
      <c r="A525" s="15" t="s">
        <v>663</v>
      </c>
      <c r="B525" s="15">
        <v>70.0</v>
      </c>
    </row>
    <row r="526">
      <c r="A526" s="15" t="s">
        <v>664</v>
      </c>
      <c r="B526" s="15">
        <v>70.0</v>
      </c>
    </row>
    <row r="527">
      <c r="A527" s="15" t="s">
        <v>665</v>
      </c>
      <c r="B527" s="15">
        <v>70.0</v>
      </c>
    </row>
    <row r="528">
      <c r="A528" s="15" t="s">
        <v>666</v>
      </c>
      <c r="B528" s="15">
        <v>70.0</v>
      </c>
    </row>
    <row r="529">
      <c r="A529" s="15" t="s">
        <v>667</v>
      </c>
      <c r="B529" s="15">
        <v>70.0</v>
      </c>
    </row>
    <row r="530">
      <c r="A530" s="15" t="s">
        <v>668</v>
      </c>
      <c r="B530" s="16">
        <v>73.0</v>
      </c>
    </row>
    <row r="531">
      <c r="A531" s="15" t="s">
        <v>669</v>
      </c>
      <c r="B531" s="16">
        <v>73.0</v>
      </c>
    </row>
    <row r="532">
      <c r="A532" s="15" t="s">
        <v>670</v>
      </c>
      <c r="B532" s="15">
        <v>70.0</v>
      </c>
    </row>
    <row r="533">
      <c r="A533" s="15" t="s">
        <v>671</v>
      </c>
      <c r="B533" s="16">
        <v>75.0</v>
      </c>
    </row>
    <row r="534">
      <c r="A534" s="15" t="s">
        <v>672</v>
      </c>
      <c r="B534" s="16">
        <v>73.0</v>
      </c>
    </row>
    <row r="535">
      <c r="A535" s="15" t="s">
        <v>673</v>
      </c>
      <c r="B535" s="16">
        <v>72.0</v>
      </c>
    </row>
    <row r="536">
      <c r="A536" s="15" t="s">
        <v>674</v>
      </c>
      <c r="B536" s="16">
        <v>74.0</v>
      </c>
    </row>
    <row r="537">
      <c r="A537" s="15" t="s">
        <v>675</v>
      </c>
      <c r="B537" s="16">
        <v>77.0</v>
      </c>
    </row>
    <row r="538">
      <c r="A538" s="15" t="s">
        <v>676</v>
      </c>
      <c r="B538" s="16">
        <v>70.0</v>
      </c>
    </row>
    <row r="539">
      <c r="A539" s="15" t="s">
        <v>677</v>
      </c>
      <c r="B539" s="16">
        <v>72.0</v>
      </c>
    </row>
    <row r="540">
      <c r="A540" s="15" t="s">
        <v>678</v>
      </c>
      <c r="B540" s="16">
        <v>10.0</v>
      </c>
    </row>
    <row r="541">
      <c r="A541" s="15" t="s">
        <v>679</v>
      </c>
      <c r="B541" s="16">
        <v>71.0</v>
      </c>
    </row>
    <row r="542">
      <c r="A542" s="15" t="s">
        <v>680</v>
      </c>
      <c r="B542" s="15">
        <v>70.0</v>
      </c>
    </row>
    <row r="543">
      <c r="A543" s="15" t="s">
        <v>681</v>
      </c>
      <c r="B543" s="15">
        <v>70.0</v>
      </c>
    </row>
    <row r="544">
      <c r="A544" s="15" t="s">
        <v>682</v>
      </c>
      <c r="B544" s="15">
        <v>70.0</v>
      </c>
    </row>
    <row r="545">
      <c r="A545" s="15" t="s">
        <v>683</v>
      </c>
      <c r="B545" s="15">
        <v>70.0</v>
      </c>
    </row>
    <row r="546">
      <c r="A546" s="15" t="s">
        <v>684</v>
      </c>
      <c r="B546" s="15">
        <v>70.0</v>
      </c>
    </row>
    <row r="547">
      <c r="A547" s="15" t="s">
        <v>685</v>
      </c>
      <c r="B547" s="15">
        <v>70.0</v>
      </c>
    </row>
    <row r="548">
      <c r="A548" s="15" t="s">
        <v>686</v>
      </c>
      <c r="B548" s="16">
        <v>70.0</v>
      </c>
    </row>
    <row r="549">
      <c r="A549" s="15" t="s">
        <v>687</v>
      </c>
      <c r="B549" s="15">
        <v>70.0</v>
      </c>
    </row>
    <row r="550">
      <c r="A550" s="15" t="s">
        <v>688</v>
      </c>
      <c r="B550" s="15">
        <v>70.0</v>
      </c>
    </row>
    <row r="551">
      <c r="A551" s="15" t="s">
        <v>689</v>
      </c>
      <c r="B551" s="16">
        <v>73.0</v>
      </c>
    </row>
    <row r="552">
      <c r="A552" s="15" t="s">
        <v>690</v>
      </c>
      <c r="B552" s="15">
        <v>70.0</v>
      </c>
    </row>
    <row r="553">
      <c r="A553" s="15" t="s">
        <v>691</v>
      </c>
      <c r="B553" s="16">
        <v>30.0</v>
      </c>
    </row>
    <row r="554">
      <c r="A554" s="15" t="s">
        <v>692</v>
      </c>
      <c r="B554" s="15">
        <v>70.0</v>
      </c>
    </row>
    <row r="555">
      <c r="A555" s="15" t="s">
        <v>693</v>
      </c>
      <c r="B555" s="15">
        <v>70.0</v>
      </c>
    </row>
    <row r="556">
      <c r="A556" s="15" t="s">
        <v>694</v>
      </c>
      <c r="B556" s="15">
        <v>70.0</v>
      </c>
    </row>
    <row r="557">
      <c r="A557" s="15" t="s">
        <v>695</v>
      </c>
      <c r="B557" s="16">
        <v>81.0</v>
      </c>
    </row>
    <row r="558">
      <c r="A558" s="15" t="s">
        <v>696</v>
      </c>
      <c r="B558" s="15">
        <v>70.0</v>
      </c>
    </row>
    <row r="559">
      <c r="A559" s="15" t="s">
        <v>697</v>
      </c>
      <c r="B559" s="15">
        <v>70.0</v>
      </c>
    </row>
    <row r="560">
      <c r="A560" s="15" t="s">
        <v>698</v>
      </c>
      <c r="B560" s="15">
        <v>70.0</v>
      </c>
    </row>
    <row r="561">
      <c r="A561" s="15" t="s">
        <v>699</v>
      </c>
      <c r="B561" s="16">
        <v>74.0</v>
      </c>
    </row>
    <row r="562">
      <c r="A562" s="15" t="s">
        <v>700</v>
      </c>
      <c r="B562" s="16">
        <v>75.0</v>
      </c>
    </row>
    <row r="563">
      <c r="A563" s="15" t="s">
        <v>701</v>
      </c>
      <c r="B563" s="16">
        <v>74.0</v>
      </c>
    </row>
    <row r="564">
      <c r="A564" s="15" t="s">
        <v>702</v>
      </c>
      <c r="B564" s="16">
        <v>0.0</v>
      </c>
    </row>
    <row r="565">
      <c r="A565" s="15" t="s">
        <v>703</v>
      </c>
      <c r="B565" s="15">
        <v>70.0</v>
      </c>
    </row>
    <row r="566">
      <c r="A566" s="15" t="s">
        <v>704</v>
      </c>
      <c r="B566" s="15">
        <v>70.0</v>
      </c>
    </row>
    <row r="567">
      <c r="A567" s="15" t="s">
        <v>705</v>
      </c>
      <c r="B567" s="15">
        <v>70.0</v>
      </c>
    </row>
    <row r="568">
      <c r="A568" s="15" t="s">
        <v>706</v>
      </c>
      <c r="B568" s="15">
        <v>70.0</v>
      </c>
    </row>
    <row r="569">
      <c r="A569" s="15" t="s">
        <v>707</v>
      </c>
      <c r="B569" s="15">
        <v>70.0</v>
      </c>
    </row>
    <row r="570">
      <c r="A570" s="15" t="s">
        <v>708</v>
      </c>
      <c r="B570" s="15">
        <v>70.0</v>
      </c>
    </row>
    <row r="571">
      <c r="A571" s="15" t="s">
        <v>709</v>
      </c>
      <c r="B571" s="16">
        <v>73.0</v>
      </c>
    </row>
    <row r="572">
      <c r="A572" s="15" t="s">
        <v>710</v>
      </c>
      <c r="B572" s="15">
        <v>70.0</v>
      </c>
    </row>
    <row r="573">
      <c r="A573" s="15" t="s">
        <v>711</v>
      </c>
      <c r="B573" s="16">
        <v>12.0</v>
      </c>
    </row>
    <row r="574">
      <c r="A574" s="15" t="s">
        <v>712</v>
      </c>
      <c r="B574" s="16">
        <v>70.0</v>
      </c>
    </row>
    <row r="575">
      <c r="A575" s="15" t="s">
        <v>713</v>
      </c>
      <c r="B575" s="15">
        <v>70.0</v>
      </c>
    </row>
    <row r="576">
      <c r="A576" s="15" t="s">
        <v>714</v>
      </c>
      <c r="B576" s="16">
        <v>84.0</v>
      </c>
    </row>
    <row r="577">
      <c r="A577" s="15" t="s">
        <v>715</v>
      </c>
      <c r="B577" s="16">
        <v>78.0</v>
      </c>
    </row>
    <row r="578">
      <c r="A578" s="15" t="s">
        <v>716</v>
      </c>
      <c r="B578" s="16">
        <v>71.0</v>
      </c>
    </row>
    <row r="579">
      <c r="A579" s="15" t="s">
        <v>717</v>
      </c>
      <c r="B579" s="16">
        <v>57.0</v>
      </c>
    </row>
    <row r="580">
      <c r="A580" s="15" t="s">
        <v>718</v>
      </c>
      <c r="B580" s="15">
        <v>70.0</v>
      </c>
    </row>
    <row r="581">
      <c r="A581" s="15" t="s">
        <v>719</v>
      </c>
      <c r="B581" s="16">
        <v>70.0</v>
      </c>
    </row>
    <row r="582">
      <c r="A582" s="15" t="s">
        <v>720</v>
      </c>
      <c r="B582" s="15">
        <v>70.0</v>
      </c>
    </row>
    <row r="583">
      <c r="A583" s="15" t="s">
        <v>721</v>
      </c>
      <c r="B583" s="15">
        <v>70.0</v>
      </c>
    </row>
    <row r="584">
      <c r="A584" s="15" t="s">
        <v>722</v>
      </c>
      <c r="B584" s="16">
        <v>73.0</v>
      </c>
    </row>
    <row r="585">
      <c r="A585" s="15" t="s">
        <v>723</v>
      </c>
      <c r="B585" s="16">
        <v>10.0</v>
      </c>
    </row>
    <row r="586">
      <c r="A586" s="15" t="s">
        <v>724</v>
      </c>
      <c r="B586" s="16">
        <v>79.0</v>
      </c>
    </row>
    <row r="587">
      <c r="A587" s="15" t="s">
        <v>725</v>
      </c>
      <c r="B587" s="16">
        <v>0.0</v>
      </c>
    </row>
    <row r="588">
      <c r="A588" s="15" t="s">
        <v>726</v>
      </c>
      <c r="B588" s="16">
        <v>72.0</v>
      </c>
    </row>
    <row r="589">
      <c r="A589" s="15" t="s">
        <v>727</v>
      </c>
      <c r="B589" s="15">
        <v>70.0</v>
      </c>
    </row>
    <row r="590">
      <c r="A590" s="15" t="s">
        <v>728</v>
      </c>
      <c r="B590" s="15">
        <v>70.0</v>
      </c>
    </row>
    <row r="591">
      <c r="A591" s="15" t="s">
        <v>729</v>
      </c>
      <c r="B591" s="15">
        <v>70.0</v>
      </c>
    </row>
    <row r="592">
      <c r="A592" s="15" t="s">
        <v>730</v>
      </c>
      <c r="B592" s="16">
        <v>73.0</v>
      </c>
    </row>
    <row r="593">
      <c r="A593" s="15" t="s">
        <v>731</v>
      </c>
      <c r="B593" s="16">
        <v>76.0</v>
      </c>
    </row>
    <row r="594">
      <c r="A594" s="15" t="s">
        <v>732</v>
      </c>
      <c r="B594" s="16">
        <v>4.0</v>
      </c>
    </row>
    <row r="595">
      <c r="A595" s="15" t="s">
        <v>733</v>
      </c>
      <c r="B595" s="15">
        <v>70.0</v>
      </c>
    </row>
    <row r="596">
      <c r="A596" s="15" t="s">
        <v>734</v>
      </c>
      <c r="B596" s="15">
        <v>70.0</v>
      </c>
    </row>
    <row r="597">
      <c r="A597" s="15" t="s">
        <v>735</v>
      </c>
      <c r="B597" s="16">
        <v>79.0</v>
      </c>
    </row>
    <row r="598">
      <c r="A598" s="15" t="s">
        <v>736</v>
      </c>
      <c r="B598" s="16">
        <v>83.0</v>
      </c>
    </row>
    <row r="599">
      <c r="A599" s="15" t="s">
        <v>737</v>
      </c>
      <c r="B599" s="16">
        <v>87.0</v>
      </c>
    </row>
    <row r="600">
      <c r="A600" s="15" t="s">
        <v>738</v>
      </c>
      <c r="B600" s="15">
        <v>70.0</v>
      </c>
    </row>
    <row r="601">
      <c r="A601" s="15" t="s">
        <v>739</v>
      </c>
      <c r="B601" s="15">
        <v>70.0</v>
      </c>
    </row>
    <row r="602">
      <c r="A602" s="15" t="s">
        <v>740</v>
      </c>
      <c r="B602" s="15">
        <v>70.0</v>
      </c>
    </row>
    <row r="603">
      <c r="A603" s="15" t="s">
        <v>741</v>
      </c>
      <c r="B603" s="16">
        <v>90.0</v>
      </c>
    </row>
    <row r="604">
      <c r="A604" s="15" t="s">
        <v>742</v>
      </c>
      <c r="B604" s="16">
        <v>20.0</v>
      </c>
    </row>
    <row r="605">
      <c r="A605" s="15" t="s">
        <v>743</v>
      </c>
      <c r="B605" s="16">
        <v>82.0</v>
      </c>
    </row>
    <row r="606">
      <c r="A606" s="15" t="s">
        <v>744</v>
      </c>
      <c r="B606" s="15">
        <v>70.0</v>
      </c>
    </row>
    <row r="607">
      <c r="A607" s="15" t="s">
        <v>745</v>
      </c>
      <c r="B607" s="16">
        <v>87.0</v>
      </c>
    </row>
    <row r="608">
      <c r="A608" s="15" t="s">
        <v>746</v>
      </c>
      <c r="B608" s="16">
        <v>80.0</v>
      </c>
    </row>
    <row r="609">
      <c r="A609" s="15" t="s">
        <v>747</v>
      </c>
      <c r="B609" s="16">
        <v>74.0</v>
      </c>
    </row>
    <row r="610">
      <c r="A610" s="15" t="s">
        <v>748</v>
      </c>
      <c r="B610" s="16">
        <v>70.0</v>
      </c>
    </row>
    <row r="611">
      <c r="A611" s="15" t="s">
        <v>749</v>
      </c>
      <c r="B611" s="16">
        <v>72.0</v>
      </c>
    </row>
    <row r="612">
      <c r="A612" s="15" t="s">
        <v>750</v>
      </c>
      <c r="B612" s="16">
        <v>86.0</v>
      </c>
    </row>
    <row r="613">
      <c r="A613" s="15" t="s">
        <v>751</v>
      </c>
      <c r="B613" s="16">
        <v>83.0</v>
      </c>
    </row>
    <row r="614">
      <c r="A614" s="15" t="s">
        <v>752</v>
      </c>
      <c r="B614" s="16">
        <v>72.0</v>
      </c>
    </row>
    <row r="615">
      <c r="A615" s="15" t="s">
        <v>753</v>
      </c>
      <c r="B615" s="15">
        <v>70.0</v>
      </c>
    </row>
    <row r="616">
      <c r="A616" s="15" t="s">
        <v>754</v>
      </c>
      <c r="B616" s="16">
        <v>73.0</v>
      </c>
    </row>
    <row r="617">
      <c r="A617" s="15" t="s">
        <v>755</v>
      </c>
      <c r="B617" s="16">
        <v>72.0</v>
      </c>
    </row>
    <row r="618">
      <c r="A618" s="15" t="s">
        <v>756</v>
      </c>
      <c r="B618" s="15">
        <v>70.0</v>
      </c>
    </row>
    <row r="619">
      <c r="A619" s="15" t="s">
        <v>757</v>
      </c>
      <c r="B619" s="15">
        <v>70.0</v>
      </c>
    </row>
    <row r="620">
      <c r="A620" s="15" t="s">
        <v>758</v>
      </c>
      <c r="B620" s="16">
        <v>2.0</v>
      </c>
    </row>
    <row r="621">
      <c r="A621" s="15" t="s">
        <v>759</v>
      </c>
      <c r="B621" s="15">
        <v>70.0</v>
      </c>
    </row>
    <row r="622">
      <c r="A622" s="15" t="s">
        <v>760</v>
      </c>
      <c r="B622" s="15">
        <v>70.0</v>
      </c>
    </row>
    <row r="623">
      <c r="A623" s="15" t="s">
        <v>761</v>
      </c>
      <c r="B623" s="15">
        <v>70.0</v>
      </c>
    </row>
    <row r="624">
      <c r="A624" s="15" t="s">
        <v>762</v>
      </c>
      <c r="B624" s="15">
        <v>70.0</v>
      </c>
    </row>
    <row r="625">
      <c r="A625" s="15" t="s">
        <v>763</v>
      </c>
      <c r="B625" s="16">
        <v>74.0</v>
      </c>
    </row>
    <row r="626">
      <c r="A626" s="15" t="s">
        <v>764</v>
      </c>
      <c r="B626" s="16">
        <v>73.0</v>
      </c>
    </row>
    <row r="627">
      <c r="A627" s="15" t="s">
        <v>765</v>
      </c>
      <c r="B627" s="16">
        <v>86.0</v>
      </c>
    </row>
    <row r="628">
      <c r="A628" s="15" t="s">
        <v>766</v>
      </c>
      <c r="B628" s="15">
        <v>70.0</v>
      </c>
    </row>
    <row r="629">
      <c r="A629" s="15" t="s">
        <v>767</v>
      </c>
      <c r="B629" s="16">
        <v>70.0</v>
      </c>
    </row>
    <row r="630">
      <c r="A630" s="15" t="s">
        <v>768</v>
      </c>
      <c r="B630" s="15">
        <v>70.0</v>
      </c>
    </row>
    <row r="631">
      <c r="A631" s="15" t="s">
        <v>769</v>
      </c>
      <c r="B631" s="16">
        <v>78.0</v>
      </c>
    </row>
    <row r="632">
      <c r="A632" s="15" t="s">
        <v>770</v>
      </c>
      <c r="B632" s="16">
        <v>70.0</v>
      </c>
    </row>
    <row r="633">
      <c r="A633" s="15" t="s">
        <v>771</v>
      </c>
      <c r="B633" s="16">
        <v>74.0</v>
      </c>
    </row>
    <row r="634">
      <c r="A634" s="15" t="s">
        <v>772</v>
      </c>
      <c r="B634" s="16">
        <v>0.0</v>
      </c>
    </row>
    <row r="635">
      <c r="A635" s="15" t="s">
        <v>773</v>
      </c>
      <c r="B635" s="16">
        <v>73.0</v>
      </c>
    </row>
    <row r="636">
      <c r="A636" s="15" t="s">
        <v>774</v>
      </c>
      <c r="B636" s="16">
        <v>80.0</v>
      </c>
    </row>
    <row r="637">
      <c r="A637" s="15" t="s">
        <v>775</v>
      </c>
      <c r="B637" s="15">
        <v>70.0</v>
      </c>
    </row>
    <row r="638">
      <c r="A638" s="15" t="s">
        <v>776</v>
      </c>
      <c r="B638" s="16">
        <v>75.0</v>
      </c>
    </row>
    <row r="639">
      <c r="A639" s="15" t="s">
        <v>777</v>
      </c>
      <c r="B639" s="15">
        <v>70.0</v>
      </c>
    </row>
    <row r="640">
      <c r="A640" s="15" t="s">
        <v>778</v>
      </c>
      <c r="B640" s="16">
        <v>70.0</v>
      </c>
    </row>
    <row r="641">
      <c r="A641" s="15" t="s">
        <v>779</v>
      </c>
      <c r="B641" s="16">
        <v>79.0</v>
      </c>
    </row>
    <row r="642">
      <c r="A642" s="15" t="s">
        <v>780</v>
      </c>
      <c r="B642" s="15">
        <v>70.0</v>
      </c>
    </row>
    <row r="643">
      <c r="A643" s="15" t="s">
        <v>781</v>
      </c>
      <c r="B643" s="16">
        <v>78.0</v>
      </c>
    </row>
    <row r="644">
      <c r="A644" s="15" t="s">
        <v>782</v>
      </c>
      <c r="B644" s="16">
        <v>76.0</v>
      </c>
    </row>
    <row r="645">
      <c r="A645" s="15" t="s">
        <v>783</v>
      </c>
      <c r="B645" s="16">
        <v>73.0</v>
      </c>
    </row>
    <row r="646">
      <c r="A646" s="15" t="s">
        <v>784</v>
      </c>
      <c r="B646" s="16">
        <v>70.0</v>
      </c>
    </row>
    <row r="647">
      <c r="A647" s="15" t="s">
        <v>785</v>
      </c>
      <c r="B647" s="15">
        <v>70.0</v>
      </c>
    </row>
    <row r="648">
      <c r="A648" s="15" t="s">
        <v>786</v>
      </c>
      <c r="B648" s="15">
        <v>70.0</v>
      </c>
    </row>
    <row r="649">
      <c r="A649" s="15" t="s">
        <v>787</v>
      </c>
      <c r="B649" s="16">
        <v>77.0</v>
      </c>
    </row>
    <row r="650">
      <c r="A650" s="15" t="s">
        <v>788</v>
      </c>
      <c r="B650" s="16">
        <v>84.0</v>
      </c>
    </row>
    <row r="651">
      <c r="A651" s="15" t="s">
        <v>789</v>
      </c>
      <c r="B651" s="15">
        <v>70.0</v>
      </c>
    </row>
    <row r="652">
      <c r="A652" s="15" t="s">
        <v>790</v>
      </c>
      <c r="B652" s="16">
        <v>72.0</v>
      </c>
    </row>
    <row r="653">
      <c r="A653" s="15" t="s">
        <v>791</v>
      </c>
      <c r="B653" s="15">
        <v>70.0</v>
      </c>
    </row>
    <row r="654">
      <c r="A654" s="15" t="s">
        <v>792</v>
      </c>
      <c r="B654" s="16">
        <v>71.0</v>
      </c>
    </row>
    <row r="655">
      <c r="A655" s="15" t="s">
        <v>793</v>
      </c>
      <c r="B655" s="16">
        <v>79.0</v>
      </c>
    </row>
    <row r="656">
      <c r="A656" s="15" t="s">
        <v>794</v>
      </c>
      <c r="B656" s="16">
        <v>70.0</v>
      </c>
    </row>
    <row r="657">
      <c r="A657" s="15" t="s">
        <v>795</v>
      </c>
      <c r="B657" s="15">
        <v>70.0</v>
      </c>
    </row>
    <row r="658">
      <c r="A658" s="15" t="s">
        <v>796</v>
      </c>
      <c r="B658" s="15">
        <v>70.0</v>
      </c>
    </row>
    <row r="659">
      <c r="A659" s="15" t="s">
        <v>797</v>
      </c>
      <c r="B659" s="16">
        <v>79.0</v>
      </c>
    </row>
    <row r="660">
      <c r="A660" s="15" t="s">
        <v>798</v>
      </c>
      <c r="B660" s="16">
        <v>79.0</v>
      </c>
    </row>
    <row r="661">
      <c r="A661" s="15" t="s">
        <v>799</v>
      </c>
      <c r="B661" s="16">
        <v>70.0</v>
      </c>
    </row>
    <row r="662">
      <c r="A662" s="15" t="s">
        <v>800</v>
      </c>
      <c r="B662" s="15">
        <v>70.0</v>
      </c>
    </row>
    <row r="663">
      <c r="A663" s="15" t="s">
        <v>801</v>
      </c>
      <c r="B663" s="16">
        <v>70.0</v>
      </c>
    </row>
    <row r="664">
      <c r="A664" s="15" t="s">
        <v>802</v>
      </c>
      <c r="B664" s="15">
        <v>70.0</v>
      </c>
    </row>
    <row r="665">
      <c r="A665" s="15" t="s">
        <v>803</v>
      </c>
      <c r="B665" s="15">
        <v>70.0</v>
      </c>
    </row>
    <row r="666">
      <c r="A666" s="15" t="s">
        <v>804</v>
      </c>
      <c r="B666" s="15">
        <v>70.0</v>
      </c>
    </row>
    <row r="667">
      <c r="A667" s="15" t="s">
        <v>805</v>
      </c>
      <c r="B667" s="16">
        <v>78.0</v>
      </c>
    </row>
    <row r="668">
      <c r="A668" s="15" t="s">
        <v>806</v>
      </c>
      <c r="B668" s="16">
        <v>82.0</v>
      </c>
    </row>
    <row r="669">
      <c r="A669" s="15" t="s">
        <v>807</v>
      </c>
      <c r="B669" s="15">
        <v>70.0</v>
      </c>
    </row>
    <row r="670">
      <c r="A670" s="15" t="s">
        <v>808</v>
      </c>
      <c r="B670" s="16">
        <v>0.0</v>
      </c>
    </row>
    <row r="671">
      <c r="A671" s="15" t="s">
        <v>809</v>
      </c>
      <c r="B671" s="15">
        <v>70.0</v>
      </c>
    </row>
    <row r="672">
      <c r="A672" s="15" t="s">
        <v>810</v>
      </c>
      <c r="B672" s="15">
        <v>70.0</v>
      </c>
    </row>
    <row r="673">
      <c r="A673" s="15" t="s">
        <v>811</v>
      </c>
      <c r="B673" s="16">
        <v>73.0</v>
      </c>
    </row>
    <row r="674">
      <c r="A674" s="15" t="s">
        <v>812</v>
      </c>
      <c r="B674" s="16">
        <v>83.0</v>
      </c>
    </row>
    <row r="675">
      <c r="A675" s="15" t="s">
        <v>813</v>
      </c>
      <c r="B675" s="16">
        <v>82.0</v>
      </c>
    </row>
    <row r="676">
      <c r="A676" s="15" t="s">
        <v>814</v>
      </c>
      <c r="B676" s="16">
        <v>22.0</v>
      </c>
    </row>
    <row r="677">
      <c r="A677" s="15" t="s">
        <v>815</v>
      </c>
      <c r="B677" s="16">
        <v>0.0</v>
      </c>
    </row>
    <row r="678">
      <c r="A678" s="15" t="s">
        <v>816</v>
      </c>
      <c r="B678" s="15">
        <v>70.0</v>
      </c>
    </row>
    <row r="679">
      <c r="A679" s="15" t="s">
        <v>817</v>
      </c>
      <c r="B679" s="15">
        <v>70.0</v>
      </c>
    </row>
    <row r="680">
      <c r="A680" s="15" t="s">
        <v>818</v>
      </c>
      <c r="B680" s="16">
        <v>79.0</v>
      </c>
    </row>
    <row r="681">
      <c r="A681" s="15" t="s">
        <v>819</v>
      </c>
      <c r="B681" s="15">
        <v>70.0</v>
      </c>
    </row>
    <row r="682">
      <c r="A682" s="15" t="s">
        <v>820</v>
      </c>
      <c r="B682" s="16">
        <v>80.0</v>
      </c>
    </row>
    <row r="683">
      <c r="A683" s="15" t="s">
        <v>821</v>
      </c>
      <c r="B683" s="16">
        <v>78.0</v>
      </c>
    </row>
    <row r="684">
      <c r="A684" s="15" t="s">
        <v>822</v>
      </c>
      <c r="B684" s="16">
        <v>76.0</v>
      </c>
    </row>
    <row r="685">
      <c r="A685" s="15" t="s">
        <v>823</v>
      </c>
      <c r="B685" s="15">
        <v>70.0</v>
      </c>
    </row>
    <row r="686">
      <c r="A686" s="15" t="s">
        <v>824</v>
      </c>
      <c r="B686" s="15">
        <v>70.0</v>
      </c>
    </row>
    <row r="687">
      <c r="A687" s="15" t="s">
        <v>825</v>
      </c>
      <c r="B687" s="16">
        <v>12.0</v>
      </c>
    </row>
    <row r="688">
      <c r="A688" s="15" t="s">
        <v>826</v>
      </c>
      <c r="B688" s="16">
        <v>75.0</v>
      </c>
    </row>
    <row r="689">
      <c r="A689" s="15" t="s">
        <v>827</v>
      </c>
      <c r="B689" s="16">
        <v>70.0</v>
      </c>
    </row>
    <row r="690">
      <c r="A690" s="15" t="s">
        <v>828</v>
      </c>
      <c r="B690" s="16">
        <v>70.0</v>
      </c>
    </row>
    <row r="691">
      <c r="A691" s="15" t="s">
        <v>829</v>
      </c>
      <c r="B691" s="16">
        <v>76.0</v>
      </c>
    </row>
    <row r="692">
      <c r="A692" s="15" t="s">
        <v>830</v>
      </c>
      <c r="B692" s="16">
        <v>71.0</v>
      </c>
    </row>
    <row r="693">
      <c r="A693" s="15" t="s">
        <v>831</v>
      </c>
      <c r="B693" s="16">
        <v>85.0</v>
      </c>
    </row>
    <row r="694">
      <c r="A694" s="15" t="s">
        <v>832</v>
      </c>
      <c r="B694" s="16">
        <v>70.0</v>
      </c>
    </row>
    <row r="695">
      <c r="A695" s="15" t="s">
        <v>833</v>
      </c>
      <c r="B695" s="15">
        <v>70.0</v>
      </c>
    </row>
    <row r="696">
      <c r="A696" s="15" t="s">
        <v>834</v>
      </c>
      <c r="B696" s="15">
        <v>70.0</v>
      </c>
    </row>
    <row r="697">
      <c r="A697" s="15" t="s">
        <v>835</v>
      </c>
      <c r="B697" s="15">
        <v>70.0</v>
      </c>
    </row>
    <row r="698">
      <c r="A698" s="15" t="s">
        <v>836</v>
      </c>
      <c r="B698" s="16">
        <v>4.0</v>
      </c>
    </row>
    <row r="699">
      <c r="A699" s="15" t="s">
        <v>837</v>
      </c>
      <c r="B699" s="16">
        <v>45.0</v>
      </c>
    </row>
    <row r="700">
      <c r="A700" s="15" t="s">
        <v>838</v>
      </c>
      <c r="B700" s="16">
        <v>70.0</v>
      </c>
    </row>
    <row r="701">
      <c r="A701" s="15" t="s">
        <v>839</v>
      </c>
      <c r="B701" s="16">
        <v>79.0</v>
      </c>
    </row>
    <row r="702">
      <c r="A702" s="15" t="s">
        <v>840</v>
      </c>
      <c r="B702" s="16">
        <v>70.0</v>
      </c>
    </row>
    <row r="703">
      <c r="A703" s="15" t="s">
        <v>841</v>
      </c>
      <c r="B703" s="15">
        <v>70.0</v>
      </c>
    </row>
    <row r="704">
      <c r="A704" s="15" t="s">
        <v>842</v>
      </c>
      <c r="B704" s="16">
        <v>70.0</v>
      </c>
    </row>
    <row r="705">
      <c r="A705" s="15" t="s">
        <v>843</v>
      </c>
      <c r="B705" s="15">
        <v>70.0</v>
      </c>
    </row>
    <row r="706">
      <c r="A706" s="15" t="s">
        <v>844</v>
      </c>
      <c r="B706" s="15">
        <v>70.0</v>
      </c>
    </row>
    <row r="707">
      <c r="A707" s="15" t="s">
        <v>845</v>
      </c>
      <c r="B707" s="15">
        <v>70.0</v>
      </c>
    </row>
    <row r="708">
      <c r="A708" s="15" t="s">
        <v>846</v>
      </c>
      <c r="B708" s="15">
        <v>70.0</v>
      </c>
    </row>
    <row r="709">
      <c r="A709" s="15" t="s">
        <v>847</v>
      </c>
      <c r="B709" s="15">
        <v>70.0</v>
      </c>
    </row>
    <row r="710">
      <c r="A710" s="15" t="s">
        <v>848</v>
      </c>
      <c r="B710" s="16">
        <v>78.0</v>
      </c>
    </row>
    <row r="711">
      <c r="A711" s="15" t="s">
        <v>849</v>
      </c>
      <c r="B711" s="16">
        <v>33.0</v>
      </c>
    </row>
    <row r="712">
      <c r="A712" s="15" t="s">
        <v>850</v>
      </c>
      <c r="B712" s="16">
        <v>74.0</v>
      </c>
    </row>
    <row r="713">
      <c r="A713" s="15" t="s">
        <v>851</v>
      </c>
      <c r="B713" s="15">
        <v>70.0</v>
      </c>
    </row>
    <row r="714">
      <c r="A714" s="15" t="s">
        <v>852</v>
      </c>
      <c r="B714" s="16">
        <v>0.0</v>
      </c>
    </row>
    <row r="715">
      <c r="A715" s="15" t="s">
        <v>853</v>
      </c>
      <c r="B715" s="16">
        <v>75.0</v>
      </c>
    </row>
    <row r="716">
      <c r="A716" s="15" t="s">
        <v>854</v>
      </c>
      <c r="B716" s="16">
        <v>83.0</v>
      </c>
    </row>
    <row r="717">
      <c r="A717" s="15" t="s">
        <v>855</v>
      </c>
      <c r="B717" s="16">
        <v>43.0</v>
      </c>
    </row>
    <row r="718">
      <c r="A718" s="15" t="s">
        <v>856</v>
      </c>
      <c r="B718" s="16">
        <v>0.0</v>
      </c>
    </row>
    <row r="719">
      <c r="A719" s="15" t="s">
        <v>857</v>
      </c>
      <c r="B719" s="15">
        <v>70.0</v>
      </c>
    </row>
    <row r="720">
      <c r="A720" s="15" t="s">
        <v>858</v>
      </c>
      <c r="B720" s="15">
        <v>70.0</v>
      </c>
    </row>
    <row r="721">
      <c r="A721" s="15" t="s">
        <v>859</v>
      </c>
      <c r="B721" s="15">
        <v>70.0</v>
      </c>
    </row>
    <row r="722">
      <c r="A722" s="15" t="s">
        <v>860</v>
      </c>
      <c r="B722" s="16">
        <v>86.0</v>
      </c>
    </row>
    <row r="723">
      <c r="A723" s="15" t="s">
        <v>1339</v>
      </c>
      <c r="B723" s="16">
        <v>81.0</v>
      </c>
    </row>
    <row r="724">
      <c r="A724" s="15" t="s">
        <v>1249</v>
      </c>
      <c r="B724" s="15">
        <v>70.0</v>
      </c>
    </row>
    <row r="725">
      <c r="A725" s="15" t="s">
        <v>863</v>
      </c>
      <c r="B725" s="16">
        <v>47.0</v>
      </c>
    </row>
    <row r="726">
      <c r="A726" s="15" t="s">
        <v>861</v>
      </c>
      <c r="B726" s="15">
        <v>70.0</v>
      </c>
    </row>
    <row r="727">
      <c r="A727" s="15" t="s">
        <v>1340</v>
      </c>
      <c r="B727" s="15">
        <v>70.0</v>
      </c>
    </row>
    <row r="728">
      <c r="A728" s="15" t="s">
        <v>864</v>
      </c>
      <c r="B728" s="16">
        <v>78.0</v>
      </c>
    </row>
    <row r="729">
      <c r="A729" s="15" t="s">
        <v>865</v>
      </c>
      <c r="B729" s="15">
        <v>70.0</v>
      </c>
    </row>
    <row r="730">
      <c r="A730" s="15" t="s">
        <v>866</v>
      </c>
      <c r="B730" s="16">
        <v>72.0</v>
      </c>
    </row>
    <row r="731">
      <c r="A731" s="15" t="s">
        <v>867</v>
      </c>
      <c r="B731" s="15">
        <v>70.0</v>
      </c>
    </row>
    <row r="732">
      <c r="A732" s="15" t="s">
        <v>868</v>
      </c>
      <c r="B732" s="16">
        <v>0.0</v>
      </c>
    </row>
    <row r="733">
      <c r="A733" s="15" t="s">
        <v>869</v>
      </c>
      <c r="B733" s="15">
        <v>70.0</v>
      </c>
    </row>
    <row r="734">
      <c r="A734" s="15" t="s">
        <v>870</v>
      </c>
      <c r="B734" s="15">
        <v>70.0</v>
      </c>
    </row>
    <row r="735">
      <c r="A735" s="15" t="s">
        <v>871</v>
      </c>
      <c r="B735" s="16">
        <v>47.0</v>
      </c>
    </row>
    <row r="736">
      <c r="A736" s="15" t="s">
        <v>872</v>
      </c>
      <c r="B736" s="16">
        <v>72.0</v>
      </c>
    </row>
    <row r="737">
      <c r="A737" s="15" t="s">
        <v>873</v>
      </c>
      <c r="B737" s="16">
        <v>55.0</v>
      </c>
    </row>
    <row r="738">
      <c r="A738" s="15" t="s">
        <v>1341</v>
      </c>
      <c r="B738" s="15">
        <v>70.0</v>
      </c>
    </row>
    <row r="739">
      <c r="A739" s="15" t="s">
        <v>1342</v>
      </c>
      <c r="B739" s="16">
        <v>0.0</v>
      </c>
    </row>
    <row r="740">
      <c r="A740" s="15" t="s">
        <v>876</v>
      </c>
      <c r="B740" s="15">
        <v>70.0</v>
      </c>
    </row>
    <row r="741">
      <c r="A741" s="15" t="s">
        <v>877</v>
      </c>
      <c r="B741" s="15">
        <v>70.0</v>
      </c>
    </row>
    <row r="742">
      <c r="A742" s="15" t="s">
        <v>878</v>
      </c>
      <c r="B742" s="15">
        <v>70.0</v>
      </c>
    </row>
    <row r="743">
      <c r="A743" s="15" t="s">
        <v>879</v>
      </c>
      <c r="B743" s="16">
        <v>47.0</v>
      </c>
    </row>
    <row r="744">
      <c r="A744" s="15" t="s">
        <v>880</v>
      </c>
      <c r="B744" s="15">
        <v>70.0</v>
      </c>
    </row>
    <row r="745">
      <c r="A745" s="15" t="s">
        <v>881</v>
      </c>
      <c r="B745" s="15">
        <v>70.0</v>
      </c>
    </row>
    <row r="746">
      <c r="A746" s="15" t="s">
        <v>882</v>
      </c>
      <c r="B746" s="16">
        <v>76.0</v>
      </c>
    </row>
    <row r="747">
      <c r="A747" s="15" t="s">
        <v>883</v>
      </c>
      <c r="B747" s="15">
        <v>70.0</v>
      </c>
    </row>
    <row r="748">
      <c r="A748" s="15" t="s">
        <v>884</v>
      </c>
      <c r="B748" s="15">
        <v>70.0</v>
      </c>
    </row>
    <row r="749">
      <c r="A749" s="15" t="s">
        <v>885</v>
      </c>
      <c r="B749" s="16">
        <v>70.0</v>
      </c>
    </row>
    <row r="750">
      <c r="A750" s="15" t="s">
        <v>886</v>
      </c>
      <c r="B750" s="15">
        <v>70.0</v>
      </c>
    </row>
    <row r="751">
      <c r="A751" s="15" t="s">
        <v>887</v>
      </c>
      <c r="B751" s="16">
        <v>70.0</v>
      </c>
    </row>
    <row r="752">
      <c r="A752" s="15" t="s">
        <v>888</v>
      </c>
      <c r="B752" s="15">
        <v>70.0</v>
      </c>
    </row>
    <row r="753">
      <c r="A753" s="15" t="s">
        <v>889</v>
      </c>
      <c r="B753" s="16">
        <v>34.0</v>
      </c>
    </row>
    <row r="754">
      <c r="A754" s="15" t="s">
        <v>890</v>
      </c>
      <c r="B754" s="15">
        <v>70.0</v>
      </c>
    </row>
    <row r="755">
      <c r="A755" s="15" t="s">
        <v>891</v>
      </c>
      <c r="B755" s="15">
        <v>70.0</v>
      </c>
    </row>
    <row r="756">
      <c r="A756" s="15" t="s">
        <v>892</v>
      </c>
      <c r="B756" s="16">
        <v>14.0</v>
      </c>
    </row>
    <row r="757">
      <c r="A757" s="15" t="s">
        <v>893</v>
      </c>
      <c r="B757" s="15">
        <v>70.0</v>
      </c>
    </row>
    <row r="758">
      <c r="A758" s="15" t="s">
        <v>894</v>
      </c>
      <c r="B758" s="15">
        <v>70.0</v>
      </c>
    </row>
    <row r="759">
      <c r="A759" s="15" t="s">
        <v>895</v>
      </c>
      <c r="B759" s="15">
        <v>70.0</v>
      </c>
    </row>
    <row r="760">
      <c r="A760" s="15" t="s">
        <v>896</v>
      </c>
      <c r="B760" s="16">
        <v>6.0</v>
      </c>
    </row>
    <row r="761">
      <c r="A761" s="15" t="s">
        <v>897</v>
      </c>
      <c r="B761" s="15">
        <v>70.0</v>
      </c>
    </row>
    <row r="762">
      <c r="A762" s="15" t="s">
        <v>898</v>
      </c>
      <c r="B762" s="16">
        <v>39.0</v>
      </c>
    </row>
    <row r="763">
      <c r="A763" s="15" t="s">
        <v>899</v>
      </c>
      <c r="B763" s="15">
        <v>70.0</v>
      </c>
    </row>
    <row r="764">
      <c r="A764" s="15" t="s">
        <v>900</v>
      </c>
      <c r="B764" s="15">
        <v>70.0</v>
      </c>
    </row>
    <row r="765">
      <c r="A765" s="15" t="s">
        <v>901</v>
      </c>
      <c r="B765" s="15">
        <v>70.0</v>
      </c>
    </row>
    <row r="766">
      <c r="A766" s="15" t="s">
        <v>902</v>
      </c>
      <c r="B766" s="16">
        <v>82.0</v>
      </c>
    </row>
    <row r="767">
      <c r="A767" s="15" t="s">
        <v>903</v>
      </c>
      <c r="B767" s="16">
        <v>4.0</v>
      </c>
    </row>
    <row r="768">
      <c r="A768" s="15" t="s">
        <v>904</v>
      </c>
      <c r="B768" s="16">
        <v>2.0</v>
      </c>
    </row>
    <row r="769">
      <c r="A769" s="15" t="s">
        <v>905</v>
      </c>
      <c r="B769" s="16">
        <v>70.0</v>
      </c>
    </row>
    <row r="770">
      <c r="A770" s="15" t="s">
        <v>906</v>
      </c>
      <c r="B770" s="16">
        <v>71.0</v>
      </c>
    </row>
    <row r="771">
      <c r="A771" s="15" t="s">
        <v>907</v>
      </c>
      <c r="B771" s="16">
        <v>70.0</v>
      </c>
    </row>
    <row r="772">
      <c r="A772" s="15" t="s">
        <v>908</v>
      </c>
      <c r="B772" s="16">
        <v>36.0</v>
      </c>
    </row>
    <row r="773">
      <c r="A773" s="15" t="s">
        <v>909</v>
      </c>
      <c r="B773" s="15">
        <v>70.0</v>
      </c>
    </row>
    <row r="774">
      <c r="A774" s="15" t="s">
        <v>910</v>
      </c>
      <c r="B774" s="15">
        <v>70.0</v>
      </c>
    </row>
    <row r="775">
      <c r="A775" s="15" t="s">
        <v>911</v>
      </c>
      <c r="B775" s="16">
        <v>51.0</v>
      </c>
    </row>
    <row r="776">
      <c r="A776" s="15" t="s">
        <v>912</v>
      </c>
      <c r="B776" s="15">
        <v>70.0</v>
      </c>
    </row>
    <row r="777">
      <c r="A777" s="15" t="s">
        <v>913</v>
      </c>
      <c r="B777" s="16">
        <v>44.0</v>
      </c>
    </row>
    <row r="778">
      <c r="A778" s="15" t="s">
        <v>914</v>
      </c>
      <c r="B778" s="16">
        <v>70.0</v>
      </c>
    </row>
    <row r="779">
      <c r="A779" s="15" t="s">
        <v>915</v>
      </c>
      <c r="B779" s="16">
        <v>72.0</v>
      </c>
    </row>
    <row r="780">
      <c r="A780" s="15" t="s">
        <v>916</v>
      </c>
      <c r="B780" s="15">
        <v>70.0</v>
      </c>
    </row>
    <row r="781">
      <c r="A781" s="15" t="s">
        <v>917</v>
      </c>
      <c r="B781" s="15">
        <v>70.0</v>
      </c>
    </row>
    <row r="782">
      <c r="A782" s="15" t="s">
        <v>918</v>
      </c>
      <c r="B782" s="15">
        <v>70.0</v>
      </c>
    </row>
    <row r="783">
      <c r="A783" s="15" t="s">
        <v>919</v>
      </c>
      <c r="B783" s="16">
        <v>74.0</v>
      </c>
    </row>
    <row r="784">
      <c r="A784" s="15" t="s">
        <v>920</v>
      </c>
      <c r="B784" s="16">
        <v>75.0</v>
      </c>
    </row>
    <row r="785">
      <c r="A785" s="15" t="s">
        <v>921</v>
      </c>
      <c r="B785" s="16">
        <v>70.0</v>
      </c>
    </row>
    <row r="786">
      <c r="A786" s="15" t="s">
        <v>922</v>
      </c>
      <c r="B786" s="15">
        <v>70.0</v>
      </c>
    </row>
    <row r="787">
      <c r="A787" s="15" t="s">
        <v>923</v>
      </c>
      <c r="B787" s="16">
        <v>70.0</v>
      </c>
    </row>
    <row r="788">
      <c r="A788" s="15" t="s">
        <v>924</v>
      </c>
      <c r="B788" s="15">
        <v>70.0</v>
      </c>
    </row>
    <row r="789">
      <c r="A789" s="15" t="s">
        <v>925</v>
      </c>
      <c r="B789" s="16">
        <v>74.0</v>
      </c>
    </row>
    <row r="790">
      <c r="A790" s="15" t="s">
        <v>926</v>
      </c>
      <c r="B790" s="15">
        <v>70.0</v>
      </c>
    </row>
    <row r="791">
      <c r="A791" s="15" t="s">
        <v>927</v>
      </c>
      <c r="B791" s="15">
        <v>70.0</v>
      </c>
    </row>
    <row r="792">
      <c r="A792" s="15" t="s">
        <v>928</v>
      </c>
      <c r="B792" s="16">
        <v>70.0</v>
      </c>
    </row>
    <row r="793">
      <c r="A793" s="15" t="s">
        <v>929</v>
      </c>
      <c r="B793" s="15">
        <v>70.0</v>
      </c>
    </row>
    <row r="794">
      <c r="A794" s="15" t="s">
        <v>930</v>
      </c>
      <c r="B794" s="15">
        <v>70.0</v>
      </c>
    </row>
    <row r="795">
      <c r="A795" s="15" t="s">
        <v>931</v>
      </c>
      <c r="B795" s="15">
        <v>70.0</v>
      </c>
    </row>
    <row r="796">
      <c r="A796" s="15" t="s">
        <v>932</v>
      </c>
      <c r="B796" s="15">
        <v>70.0</v>
      </c>
    </row>
    <row r="797">
      <c r="A797" s="15" t="s">
        <v>933</v>
      </c>
      <c r="B797" s="15">
        <v>70.0</v>
      </c>
    </row>
    <row r="798">
      <c r="A798" s="15" t="s">
        <v>934</v>
      </c>
      <c r="B798" s="16">
        <v>4.0</v>
      </c>
    </row>
    <row r="799">
      <c r="A799" s="15" t="s">
        <v>935</v>
      </c>
      <c r="B799" s="16">
        <v>16.0</v>
      </c>
    </row>
    <row r="800">
      <c r="A800" s="15" t="s">
        <v>936</v>
      </c>
      <c r="B800" s="15">
        <v>70.0</v>
      </c>
    </row>
    <row r="801">
      <c r="A801" s="15" t="s">
        <v>937</v>
      </c>
      <c r="B801" s="15">
        <v>70.0</v>
      </c>
    </row>
    <row r="802">
      <c r="A802" s="15" t="s">
        <v>938</v>
      </c>
      <c r="B802" s="15">
        <v>70.0</v>
      </c>
    </row>
    <row r="803">
      <c r="A803" s="15" t="s">
        <v>939</v>
      </c>
      <c r="B803" s="15">
        <v>70.0</v>
      </c>
    </row>
    <row r="804">
      <c r="A804" s="15" t="s">
        <v>940</v>
      </c>
      <c r="B804" s="15">
        <v>70.0</v>
      </c>
    </row>
    <row r="805">
      <c r="A805" s="15" t="s">
        <v>941</v>
      </c>
      <c r="B805" s="15">
        <v>70.0</v>
      </c>
    </row>
    <row r="806">
      <c r="A806" s="15" t="s">
        <v>942</v>
      </c>
      <c r="B806" s="15">
        <v>70.0</v>
      </c>
    </row>
    <row r="807">
      <c r="A807" s="15" t="s">
        <v>943</v>
      </c>
      <c r="B807" s="15">
        <v>70.0</v>
      </c>
    </row>
    <row r="808">
      <c r="A808" s="15" t="s">
        <v>944</v>
      </c>
      <c r="B808" s="15">
        <v>70.0</v>
      </c>
    </row>
    <row r="809">
      <c r="A809" s="15" t="s">
        <v>945</v>
      </c>
      <c r="B809" s="15">
        <v>70.0</v>
      </c>
    </row>
    <row r="810">
      <c r="A810" s="15" t="s">
        <v>946</v>
      </c>
      <c r="B810" s="16">
        <v>0.0</v>
      </c>
    </row>
    <row r="811">
      <c r="A811" s="15" t="s">
        <v>947</v>
      </c>
      <c r="B811" s="15">
        <v>70.0</v>
      </c>
    </row>
    <row r="812">
      <c r="A812" s="15" t="s">
        <v>948</v>
      </c>
      <c r="B812" s="15">
        <v>70.0</v>
      </c>
    </row>
    <row r="813">
      <c r="A813" s="15" t="s">
        <v>949</v>
      </c>
      <c r="B813" s="16">
        <v>83.0</v>
      </c>
    </row>
    <row r="814">
      <c r="A814" s="15" t="s">
        <v>950</v>
      </c>
      <c r="B814" s="16">
        <v>70.0</v>
      </c>
    </row>
    <row r="815">
      <c r="A815" s="15" t="s">
        <v>951</v>
      </c>
      <c r="B815" s="16">
        <v>56.0</v>
      </c>
    </row>
    <row r="816">
      <c r="A816" s="15" t="s">
        <v>952</v>
      </c>
      <c r="B816" s="15">
        <v>70.0</v>
      </c>
    </row>
    <row r="817">
      <c r="A817" s="15" t="s">
        <v>953</v>
      </c>
      <c r="B817" s="16">
        <v>70.0</v>
      </c>
    </row>
    <row r="818">
      <c r="A818" s="15" t="s">
        <v>954</v>
      </c>
      <c r="B818" s="16">
        <v>77.0</v>
      </c>
    </row>
    <row r="819">
      <c r="A819" s="15" t="s">
        <v>955</v>
      </c>
      <c r="B819" s="15">
        <v>70.0</v>
      </c>
    </row>
    <row r="820">
      <c r="A820" s="15" t="s">
        <v>956</v>
      </c>
      <c r="B820" s="16">
        <v>80.0</v>
      </c>
    </row>
    <row r="821">
      <c r="A821" s="15" t="s">
        <v>957</v>
      </c>
      <c r="B821" s="15">
        <v>70.0</v>
      </c>
    </row>
    <row r="822">
      <c r="A822" s="15" t="s">
        <v>958</v>
      </c>
      <c r="B822" s="16">
        <v>0.0</v>
      </c>
    </row>
    <row r="823">
      <c r="A823" s="15" t="s">
        <v>959</v>
      </c>
      <c r="B823" s="15">
        <v>70.0</v>
      </c>
    </row>
    <row r="824">
      <c r="A824" s="15" t="s">
        <v>960</v>
      </c>
      <c r="B824" s="16">
        <v>21.0</v>
      </c>
    </row>
    <row r="825">
      <c r="A825" s="15" t="s">
        <v>961</v>
      </c>
      <c r="B825" s="16">
        <v>70.0</v>
      </c>
    </row>
    <row r="826">
      <c r="A826" s="15" t="s">
        <v>962</v>
      </c>
      <c r="B826" s="16">
        <v>83.0</v>
      </c>
    </row>
    <row r="827">
      <c r="A827" s="15" t="s">
        <v>963</v>
      </c>
      <c r="B827" s="16">
        <v>84.0</v>
      </c>
    </row>
    <row r="828">
      <c r="A828" s="15" t="s">
        <v>964</v>
      </c>
      <c r="B828" s="15">
        <v>70.0</v>
      </c>
    </row>
    <row r="829">
      <c r="A829" s="15" t="s">
        <v>965</v>
      </c>
      <c r="B829" s="16">
        <v>72.0</v>
      </c>
    </row>
    <row r="830">
      <c r="A830" s="15" t="s">
        <v>966</v>
      </c>
      <c r="B830" s="16">
        <v>72.0</v>
      </c>
    </row>
    <row r="831">
      <c r="A831" s="15" t="s">
        <v>967</v>
      </c>
      <c r="B831" s="16">
        <v>82.0</v>
      </c>
    </row>
    <row r="832">
      <c r="A832" s="15" t="s">
        <v>968</v>
      </c>
      <c r="B832" s="16">
        <v>74.0</v>
      </c>
    </row>
    <row r="833">
      <c r="A833" s="15" t="s">
        <v>969</v>
      </c>
      <c r="B833" s="15">
        <v>70.0</v>
      </c>
    </row>
    <row r="834">
      <c r="A834" s="15" t="s">
        <v>970</v>
      </c>
      <c r="B834" s="16">
        <v>79.0</v>
      </c>
    </row>
    <row r="835">
      <c r="A835" s="15" t="s">
        <v>971</v>
      </c>
      <c r="B835" s="15">
        <v>70.0</v>
      </c>
    </row>
    <row r="836">
      <c r="A836" s="15" t="s">
        <v>972</v>
      </c>
      <c r="B836" s="15">
        <v>70.0</v>
      </c>
    </row>
    <row r="837">
      <c r="A837" s="15" t="s">
        <v>973</v>
      </c>
      <c r="B837" s="16">
        <v>15.0</v>
      </c>
    </row>
    <row r="838">
      <c r="A838" s="15" t="s">
        <v>974</v>
      </c>
      <c r="B838" s="16">
        <v>60.0</v>
      </c>
    </row>
    <row r="839">
      <c r="A839" s="15" t="s">
        <v>975</v>
      </c>
      <c r="B839" s="16">
        <v>75.0</v>
      </c>
    </row>
    <row r="840">
      <c r="A840" s="15" t="s">
        <v>976</v>
      </c>
      <c r="B840" s="15">
        <v>70.0</v>
      </c>
    </row>
    <row r="841">
      <c r="A841" s="15" t="s">
        <v>977</v>
      </c>
      <c r="B841" s="16">
        <v>73.0</v>
      </c>
    </row>
    <row r="842">
      <c r="A842" s="15" t="s">
        <v>978</v>
      </c>
      <c r="B842" s="16">
        <v>82.0</v>
      </c>
    </row>
    <row r="843">
      <c r="A843" s="15" t="s">
        <v>979</v>
      </c>
      <c r="B843" s="15">
        <v>70.0</v>
      </c>
    </row>
    <row r="844">
      <c r="A844" s="15" t="s">
        <v>980</v>
      </c>
      <c r="B844" s="16">
        <v>21.0</v>
      </c>
    </row>
    <row r="845">
      <c r="A845" s="15" t="s">
        <v>981</v>
      </c>
      <c r="B845" s="15">
        <v>70.0</v>
      </c>
    </row>
    <row r="846">
      <c r="A846" s="15" t="s">
        <v>982</v>
      </c>
      <c r="B846" s="16">
        <v>70.0</v>
      </c>
    </row>
    <row r="847">
      <c r="A847" s="15" t="s">
        <v>983</v>
      </c>
      <c r="B847" s="15">
        <v>70.0</v>
      </c>
    </row>
    <row r="848">
      <c r="A848" s="15" t="s">
        <v>984</v>
      </c>
      <c r="B848" s="16">
        <v>73.0</v>
      </c>
    </row>
    <row r="849">
      <c r="A849" s="15" t="s">
        <v>985</v>
      </c>
      <c r="B849" s="16">
        <v>71.0</v>
      </c>
    </row>
    <row r="850">
      <c r="A850" s="15" t="s">
        <v>986</v>
      </c>
      <c r="B850" s="16">
        <v>4.0</v>
      </c>
    </row>
    <row r="851">
      <c r="A851" s="15" t="s">
        <v>987</v>
      </c>
      <c r="B851" s="16">
        <v>55.0</v>
      </c>
    </row>
    <row r="852">
      <c r="A852" s="15" t="s">
        <v>988</v>
      </c>
      <c r="B852" s="16">
        <v>51.0</v>
      </c>
    </row>
    <row r="853">
      <c r="A853" s="15" t="s">
        <v>989</v>
      </c>
      <c r="B853" s="16">
        <v>75.0</v>
      </c>
    </row>
    <row r="854">
      <c r="A854" s="15" t="s">
        <v>990</v>
      </c>
      <c r="B854" s="16">
        <v>84.0</v>
      </c>
    </row>
    <row r="855">
      <c r="A855" s="15" t="s">
        <v>991</v>
      </c>
      <c r="B855" s="16">
        <v>84.0</v>
      </c>
    </row>
    <row r="856">
      <c r="A856" s="15" t="s">
        <v>992</v>
      </c>
      <c r="B856" s="16">
        <v>21.0</v>
      </c>
    </row>
    <row r="857">
      <c r="A857" s="15" t="s">
        <v>993</v>
      </c>
      <c r="B857" s="16">
        <v>71.0</v>
      </c>
    </row>
    <row r="858">
      <c r="A858" s="15" t="s">
        <v>994</v>
      </c>
      <c r="B858" s="15">
        <v>70.0</v>
      </c>
    </row>
    <row r="859">
      <c r="A859" s="15" t="s">
        <v>995</v>
      </c>
      <c r="B859" s="16">
        <v>49.0</v>
      </c>
    </row>
    <row r="860">
      <c r="A860" s="15" t="s">
        <v>996</v>
      </c>
      <c r="B860" s="16">
        <v>71.0</v>
      </c>
    </row>
    <row r="861">
      <c r="A861" s="15" t="s">
        <v>997</v>
      </c>
      <c r="B861" s="15">
        <v>70.0</v>
      </c>
    </row>
    <row r="862">
      <c r="A862" s="15" t="s">
        <v>998</v>
      </c>
      <c r="B862" s="16">
        <v>47.0</v>
      </c>
    </row>
    <row r="863">
      <c r="A863" s="15" t="s">
        <v>999</v>
      </c>
      <c r="B863" s="16">
        <v>83.0</v>
      </c>
    </row>
    <row r="864">
      <c r="A864" s="15" t="s">
        <v>1000</v>
      </c>
      <c r="B864" s="16">
        <v>77.0</v>
      </c>
    </row>
    <row r="865">
      <c r="A865" s="15" t="s">
        <v>1001</v>
      </c>
      <c r="B865" s="15">
        <v>70.0</v>
      </c>
    </row>
    <row r="866">
      <c r="A866" s="15" t="s">
        <v>1002</v>
      </c>
      <c r="B866" s="15">
        <v>70.0</v>
      </c>
    </row>
    <row r="867">
      <c r="A867" s="15" t="s">
        <v>1003</v>
      </c>
      <c r="B867" s="16">
        <v>78.0</v>
      </c>
    </row>
    <row r="868">
      <c r="A868" s="15" t="s">
        <v>1004</v>
      </c>
      <c r="B868" s="16">
        <v>78.0</v>
      </c>
    </row>
    <row r="869">
      <c r="A869" s="15" t="s">
        <v>1005</v>
      </c>
      <c r="B869" s="15">
        <v>70.0</v>
      </c>
    </row>
    <row r="870">
      <c r="A870" s="15" t="s">
        <v>1006</v>
      </c>
      <c r="B870" s="15">
        <v>70.0</v>
      </c>
    </row>
    <row r="871">
      <c r="A871" s="15" t="s">
        <v>1007</v>
      </c>
      <c r="B871" s="15">
        <v>70.0</v>
      </c>
    </row>
    <row r="872">
      <c r="A872" s="15" t="s">
        <v>1008</v>
      </c>
      <c r="B872" s="15">
        <v>70.0</v>
      </c>
    </row>
    <row r="873">
      <c r="A873" s="15" t="s">
        <v>1009</v>
      </c>
      <c r="B873" s="15">
        <v>70.0</v>
      </c>
    </row>
    <row r="874">
      <c r="A874" s="15" t="s">
        <v>1010</v>
      </c>
      <c r="B874" s="16">
        <v>70.0</v>
      </c>
    </row>
    <row r="875">
      <c r="A875" s="15" t="s">
        <v>1011</v>
      </c>
      <c r="B875" s="15">
        <v>70.0</v>
      </c>
    </row>
    <row r="876">
      <c r="A876" s="15" t="s">
        <v>1012</v>
      </c>
      <c r="B876" s="15">
        <v>70.0</v>
      </c>
    </row>
    <row r="877">
      <c r="A877" s="15" t="s">
        <v>1013</v>
      </c>
      <c r="B877" s="15">
        <v>70.0</v>
      </c>
    </row>
    <row r="878">
      <c r="A878" s="15" t="s">
        <v>1014</v>
      </c>
      <c r="B878" s="15">
        <v>70.0</v>
      </c>
    </row>
    <row r="879">
      <c r="A879" s="15" t="s">
        <v>1015</v>
      </c>
      <c r="B879" s="15">
        <v>70.0</v>
      </c>
    </row>
    <row r="880">
      <c r="A880" s="15" t="s">
        <v>1016</v>
      </c>
      <c r="B880" s="16">
        <v>70.0</v>
      </c>
    </row>
    <row r="881">
      <c r="A881" s="15" t="s">
        <v>1017</v>
      </c>
      <c r="B881" s="16">
        <v>77.0</v>
      </c>
    </row>
    <row r="882">
      <c r="A882" s="15" t="s">
        <v>1018</v>
      </c>
      <c r="B882" s="16">
        <v>81.0</v>
      </c>
    </row>
    <row r="883">
      <c r="A883" s="15" t="s">
        <v>1019</v>
      </c>
      <c r="B883" s="16">
        <v>74.0</v>
      </c>
    </row>
    <row r="884">
      <c r="A884" s="15" t="s">
        <v>1020</v>
      </c>
      <c r="B884" s="16">
        <v>38.0</v>
      </c>
    </row>
    <row r="885">
      <c r="A885" s="15" t="s">
        <v>1021</v>
      </c>
      <c r="B885" s="15">
        <v>70.0</v>
      </c>
    </row>
    <row r="886">
      <c r="A886" s="15" t="s">
        <v>1022</v>
      </c>
      <c r="B886" s="15">
        <v>70.0</v>
      </c>
    </row>
    <row r="887">
      <c r="A887" s="15" t="s">
        <v>1023</v>
      </c>
      <c r="B887" s="15">
        <v>70.0</v>
      </c>
    </row>
    <row r="888">
      <c r="A888" s="15" t="s">
        <v>1024</v>
      </c>
      <c r="B888" s="16">
        <v>58.0</v>
      </c>
    </row>
    <row r="889">
      <c r="A889" s="15" t="s">
        <v>1025</v>
      </c>
      <c r="B889" s="16">
        <v>77.0</v>
      </c>
    </row>
    <row r="890">
      <c r="A890" s="15" t="s">
        <v>1026</v>
      </c>
      <c r="B890" s="15">
        <v>70.0</v>
      </c>
    </row>
    <row r="891">
      <c r="A891" s="15" t="s">
        <v>1027</v>
      </c>
      <c r="B891" s="16">
        <v>84.0</v>
      </c>
    </row>
    <row r="892">
      <c r="A892" s="15" t="s">
        <v>1343</v>
      </c>
      <c r="B892" s="16">
        <v>74.0</v>
      </c>
    </row>
    <row r="893">
      <c r="A893" s="15" t="s">
        <v>1029</v>
      </c>
      <c r="B893" s="15">
        <v>70.0</v>
      </c>
    </row>
    <row r="894">
      <c r="A894" s="15" t="s">
        <v>1030</v>
      </c>
      <c r="B894" s="15">
        <v>70.0</v>
      </c>
    </row>
    <row r="895">
      <c r="A895" s="15" t="s">
        <v>1031</v>
      </c>
      <c r="B895" s="16">
        <v>59.0</v>
      </c>
    </row>
    <row r="896">
      <c r="A896" s="15" t="s">
        <v>1032</v>
      </c>
      <c r="B896" s="16">
        <v>41.0</v>
      </c>
    </row>
    <row r="897">
      <c r="A897" s="15" t="s">
        <v>1033</v>
      </c>
      <c r="B897" s="16">
        <v>55.0</v>
      </c>
    </row>
    <row r="898">
      <c r="A898" s="15" t="s">
        <v>1034</v>
      </c>
      <c r="B898" s="16">
        <v>54.0</v>
      </c>
    </row>
    <row r="899">
      <c r="A899" s="15" t="s">
        <v>1344</v>
      </c>
      <c r="B899" s="16">
        <v>63.0</v>
      </c>
    </row>
    <row r="900">
      <c r="A900" s="15" t="s">
        <v>1036</v>
      </c>
      <c r="B900" s="16">
        <v>52.0</v>
      </c>
    </row>
    <row r="901">
      <c r="A901" s="15" t="s">
        <v>1037</v>
      </c>
      <c r="B901" s="16">
        <v>36.0</v>
      </c>
    </row>
    <row r="902">
      <c r="A902" s="15" t="s">
        <v>1038</v>
      </c>
      <c r="B902" s="16">
        <v>14.0</v>
      </c>
    </row>
    <row r="903">
      <c r="A903" s="15" t="s">
        <v>1039</v>
      </c>
      <c r="B903" s="15">
        <v>70.0</v>
      </c>
    </row>
    <row r="904">
      <c r="A904" s="15" t="s">
        <v>1040</v>
      </c>
      <c r="B904" s="16">
        <v>77.0</v>
      </c>
    </row>
    <row r="905">
      <c r="A905" s="15" t="s">
        <v>1041</v>
      </c>
      <c r="B905" s="16">
        <v>76.0</v>
      </c>
    </row>
    <row r="906">
      <c r="A906" s="15" t="s">
        <v>1042</v>
      </c>
      <c r="B906" s="15">
        <v>70.0</v>
      </c>
    </row>
    <row r="907">
      <c r="A907" s="15" t="s">
        <v>1043</v>
      </c>
      <c r="B907" s="16">
        <v>70.0</v>
      </c>
    </row>
    <row r="908">
      <c r="A908" s="15" t="s">
        <v>1044</v>
      </c>
      <c r="B908" s="15">
        <v>70.0</v>
      </c>
    </row>
    <row r="909">
      <c r="A909" s="15" t="s">
        <v>1045</v>
      </c>
      <c r="B909" s="15">
        <v>70.0</v>
      </c>
    </row>
    <row r="910">
      <c r="A910" s="15" t="s">
        <v>1046</v>
      </c>
      <c r="B910" s="16">
        <v>75.0</v>
      </c>
    </row>
    <row r="911">
      <c r="A911" s="15" t="s">
        <v>1047</v>
      </c>
      <c r="B911" s="15">
        <v>70.0</v>
      </c>
    </row>
    <row r="912">
      <c r="A912" s="15" t="s">
        <v>1048</v>
      </c>
      <c r="B912" s="16">
        <v>6.0</v>
      </c>
    </row>
    <row r="913">
      <c r="A913" s="15" t="s">
        <v>1049</v>
      </c>
      <c r="B913" s="15">
        <v>70.0</v>
      </c>
    </row>
    <row r="914">
      <c r="A914" s="15" t="s">
        <v>1050</v>
      </c>
      <c r="B914" s="16">
        <v>42.0</v>
      </c>
    </row>
    <row r="915">
      <c r="A915" s="15" t="s">
        <v>1051</v>
      </c>
      <c r="B915" s="15">
        <v>70.0</v>
      </c>
    </row>
    <row r="916">
      <c r="A916" s="15" t="s">
        <v>1052</v>
      </c>
      <c r="B916" s="15">
        <v>70.0</v>
      </c>
    </row>
    <row r="917">
      <c r="A917" s="15" t="s">
        <v>1053</v>
      </c>
      <c r="B917" s="15">
        <v>70.0</v>
      </c>
    </row>
    <row r="918">
      <c r="A918" s="15" t="s">
        <v>1054</v>
      </c>
      <c r="B918" s="15">
        <v>70.0</v>
      </c>
    </row>
    <row r="919">
      <c r="A919" s="15" t="s">
        <v>1055</v>
      </c>
      <c r="B919" s="15">
        <v>70.0</v>
      </c>
    </row>
    <row r="920">
      <c r="A920" s="15" t="s">
        <v>1056</v>
      </c>
      <c r="B920" s="16">
        <v>22.0</v>
      </c>
    </row>
    <row r="921">
      <c r="A921" s="15" t="s">
        <v>1057</v>
      </c>
      <c r="B921" s="15">
        <v>70.0</v>
      </c>
    </row>
    <row r="922">
      <c r="A922" s="15" t="s">
        <v>1058</v>
      </c>
      <c r="B922" s="15">
        <v>70.0</v>
      </c>
    </row>
    <row r="923">
      <c r="A923" s="15" t="s">
        <v>1059</v>
      </c>
      <c r="B923" s="16">
        <v>19.0</v>
      </c>
    </row>
    <row r="924">
      <c r="A924" s="15" t="s">
        <v>1060</v>
      </c>
      <c r="B924" s="16">
        <v>70.0</v>
      </c>
    </row>
    <row r="925">
      <c r="A925" s="15" t="s">
        <v>1061</v>
      </c>
      <c r="B925" s="15">
        <v>70.0</v>
      </c>
    </row>
    <row r="926">
      <c r="A926" s="15" t="s">
        <v>1062</v>
      </c>
      <c r="B926" s="16">
        <v>0.0</v>
      </c>
    </row>
    <row r="927">
      <c r="A927" s="15" t="s">
        <v>1063</v>
      </c>
      <c r="B927" s="15">
        <v>70.0</v>
      </c>
    </row>
    <row r="928">
      <c r="A928" s="15" t="s">
        <v>1064</v>
      </c>
      <c r="B928" s="16">
        <v>17.0</v>
      </c>
    </row>
    <row r="929">
      <c r="A929" s="15" t="s">
        <v>1065</v>
      </c>
      <c r="B929" s="16">
        <v>55.0</v>
      </c>
    </row>
    <row r="930">
      <c r="A930" s="15" t="s">
        <v>1066</v>
      </c>
      <c r="B930" s="15">
        <v>70.0</v>
      </c>
    </row>
    <row r="931">
      <c r="A931" s="15" t="s">
        <v>1067</v>
      </c>
      <c r="B931" s="16">
        <v>78.0</v>
      </c>
    </row>
    <row r="932">
      <c r="A932" s="15" t="s">
        <v>1068</v>
      </c>
      <c r="B932" s="16">
        <v>73.0</v>
      </c>
    </row>
    <row r="933">
      <c r="A933" s="15" t="s">
        <v>1069</v>
      </c>
      <c r="B933" s="15">
        <v>70.0</v>
      </c>
    </row>
    <row r="934">
      <c r="A934" s="15" t="s">
        <v>1070</v>
      </c>
      <c r="B934" s="15">
        <v>70.0</v>
      </c>
    </row>
    <row r="935">
      <c r="A935" s="15" t="s">
        <v>1071</v>
      </c>
      <c r="B935" s="15">
        <v>70.0</v>
      </c>
    </row>
    <row r="936">
      <c r="A936" s="15" t="s">
        <v>1072</v>
      </c>
      <c r="B936" s="16">
        <v>41.0</v>
      </c>
    </row>
    <row r="937">
      <c r="A937" s="15" t="s">
        <v>1073</v>
      </c>
      <c r="B937" s="15">
        <v>70.0</v>
      </c>
    </row>
    <row r="938">
      <c r="A938" s="15" t="s">
        <v>1074</v>
      </c>
      <c r="B938" s="15">
        <v>70.0</v>
      </c>
    </row>
    <row r="939">
      <c r="A939" s="15" t="s">
        <v>1075</v>
      </c>
      <c r="B939" s="16">
        <v>2.0</v>
      </c>
    </row>
    <row r="940">
      <c r="A940" s="15" t="s">
        <v>1076</v>
      </c>
      <c r="B940" s="16">
        <v>72.0</v>
      </c>
    </row>
    <row r="941">
      <c r="A941" s="15" t="s">
        <v>1077</v>
      </c>
      <c r="B941" s="16">
        <v>24.0</v>
      </c>
    </row>
    <row r="942">
      <c r="A942" s="15" t="s">
        <v>1078</v>
      </c>
      <c r="B942" s="16">
        <v>44.0</v>
      </c>
    </row>
    <row r="943">
      <c r="A943" s="15" t="s">
        <v>1079</v>
      </c>
      <c r="B943" s="15">
        <v>70.0</v>
      </c>
    </row>
    <row r="944">
      <c r="A944" s="15" t="s">
        <v>1080</v>
      </c>
      <c r="B944" s="16">
        <v>32.0</v>
      </c>
    </row>
    <row r="945">
      <c r="A945" s="15" t="s">
        <v>1081</v>
      </c>
      <c r="B945" s="15">
        <v>70.0</v>
      </c>
    </row>
    <row r="946">
      <c r="A946" s="15" t="s">
        <v>1082</v>
      </c>
      <c r="B946" s="15">
        <v>70.0</v>
      </c>
    </row>
    <row r="947">
      <c r="A947" s="15" t="s">
        <v>1083</v>
      </c>
      <c r="B947" s="16">
        <v>74.0</v>
      </c>
    </row>
    <row r="948">
      <c r="A948" s="15" t="s">
        <v>1084</v>
      </c>
      <c r="B948" s="16">
        <v>71.0</v>
      </c>
    </row>
    <row r="949">
      <c r="A949" s="15" t="s">
        <v>1085</v>
      </c>
      <c r="B949" s="16">
        <v>40.0</v>
      </c>
    </row>
    <row r="950">
      <c r="A950" s="15" t="s">
        <v>1086</v>
      </c>
      <c r="B950" s="16">
        <v>71.0</v>
      </c>
    </row>
    <row r="951">
      <c r="A951" s="15" t="s">
        <v>1087</v>
      </c>
      <c r="B951" s="15">
        <v>70.0</v>
      </c>
    </row>
    <row r="952">
      <c r="A952" s="15" t="s">
        <v>1088</v>
      </c>
      <c r="B952" s="16">
        <v>0.0</v>
      </c>
    </row>
    <row r="953">
      <c r="A953" s="15" t="s">
        <v>1089</v>
      </c>
      <c r="B953" s="16">
        <v>70.0</v>
      </c>
    </row>
    <row r="954">
      <c r="A954" s="15" t="s">
        <v>1090</v>
      </c>
      <c r="B954" s="15">
        <v>70.0</v>
      </c>
    </row>
    <row r="955">
      <c r="A955" s="15" t="s">
        <v>1091</v>
      </c>
      <c r="B955" s="15">
        <v>70.0</v>
      </c>
    </row>
    <row r="956">
      <c r="A956" s="15" t="s">
        <v>1092</v>
      </c>
      <c r="B956" s="16">
        <v>42.0</v>
      </c>
    </row>
    <row r="957">
      <c r="A957" s="15" t="s">
        <v>1093</v>
      </c>
      <c r="B957" s="15">
        <v>70.0</v>
      </c>
    </row>
    <row r="958">
      <c r="A958" s="15" t="s">
        <v>1094</v>
      </c>
      <c r="B958" s="15">
        <v>70.0</v>
      </c>
    </row>
    <row r="959">
      <c r="A959" s="15" t="s">
        <v>1095</v>
      </c>
      <c r="B959" s="16">
        <v>11.0</v>
      </c>
    </row>
    <row r="960">
      <c r="A960" s="15" t="s">
        <v>1096</v>
      </c>
      <c r="B960" s="15">
        <v>70.0</v>
      </c>
    </row>
    <row r="961">
      <c r="A961" s="15" t="s">
        <v>1097</v>
      </c>
      <c r="B961" s="16">
        <v>77.0</v>
      </c>
    </row>
    <row r="962">
      <c r="A962" s="15" t="s">
        <v>1098</v>
      </c>
      <c r="B962" s="16">
        <v>77.0</v>
      </c>
    </row>
    <row r="963">
      <c r="A963" s="15" t="s">
        <v>1099</v>
      </c>
      <c r="B963" s="16">
        <v>70.0</v>
      </c>
    </row>
    <row r="964">
      <c r="A964" s="15" t="s">
        <v>1100</v>
      </c>
      <c r="B964" s="15">
        <v>70.0</v>
      </c>
    </row>
    <row r="965">
      <c r="A965" s="15" t="s">
        <v>1101</v>
      </c>
      <c r="B965" s="15">
        <v>70.0</v>
      </c>
    </row>
    <row r="966">
      <c r="A966" s="15" t="s">
        <v>1102</v>
      </c>
      <c r="B966" s="16">
        <v>76.0</v>
      </c>
    </row>
    <row r="967">
      <c r="A967" s="15" t="s">
        <v>1103</v>
      </c>
      <c r="B967" s="16">
        <v>18.0</v>
      </c>
    </row>
    <row r="968">
      <c r="A968" s="15" t="s">
        <v>1104</v>
      </c>
      <c r="B968" s="15">
        <v>70.0</v>
      </c>
    </row>
    <row r="969">
      <c r="A969" s="15" t="s">
        <v>1105</v>
      </c>
      <c r="B969" s="16">
        <v>44.0</v>
      </c>
    </row>
    <row r="970">
      <c r="A970" s="15" t="s">
        <v>1106</v>
      </c>
      <c r="B970" s="15">
        <v>70.0</v>
      </c>
    </row>
    <row r="971">
      <c r="A971" s="15" t="s">
        <v>1107</v>
      </c>
      <c r="B971" s="16">
        <v>81.0</v>
      </c>
    </row>
    <row r="972">
      <c r="A972" s="15" t="s">
        <v>1108</v>
      </c>
      <c r="B972" s="16">
        <v>6.0</v>
      </c>
    </row>
    <row r="973">
      <c r="A973" s="15" t="s">
        <v>1109</v>
      </c>
      <c r="B973" s="15">
        <v>70.0</v>
      </c>
    </row>
    <row r="974">
      <c r="A974" s="15" t="s">
        <v>1110</v>
      </c>
      <c r="B974" s="15">
        <v>70.0</v>
      </c>
    </row>
    <row r="975">
      <c r="A975" s="15" t="s">
        <v>1111</v>
      </c>
      <c r="B975" s="15">
        <v>70.0</v>
      </c>
    </row>
    <row r="976">
      <c r="A976" s="15" t="s">
        <v>1112</v>
      </c>
      <c r="B976" s="15">
        <v>70.0</v>
      </c>
    </row>
    <row r="977">
      <c r="A977" s="15" t="s">
        <v>1113</v>
      </c>
      <c r="B977" s="15">
        <v>70.0</v>
      </c>
    </row>
    <row r="978">
      <c r="A978" s="15" t="s">
        <v>1114</v>
      </c>
      <c r="B978" s="15">
        <v>70.0</v>
      </c>
    </row>
    <row r="979">
      <c r="A979" s="15" t="s">
        <v>1115</v>
      </c>
      <c r="B979" s="15">
        <v>70.0</v>
      </c>
    </row>
    <row r="980">
      <c r="A980" s="15" t="s">
        <v>1116</v>
      </c>
      <c r="B980" s="15">
        <v>70.0</v>
      </c>
    </row>
    <row r="981">
      <c r="A981" s="15" t="s">
        <v>1117</v>
      </c>
      <c r="B981" s="15">
        <v>70.0</v>
      </c>
    </row>
    <row r="982">
      <c r="A982" s="15" t="s">
        <v>1118</v>
      </c>
      <c r="B982" s="16">
        <v>77.0</v>
      </c>
    </row>
    <row r="983">
      <c r="A983" s="15" t="s">
        <v>1119</v>
      </c>
      <c r="B983" s="15">
        <v>70.0</v>
      </c>
    </row>
    <row r="984">
      <c r="A984" s="15" t="s">
        <v>1120</v>
      </c>
      <c r="B984" s="16">
        <v>70.0</v>
      </c>
    </row>
    <row r="985">
      <c r="A985" s="15" t="s">
        <v>1121</v>
      </c>
      <c r="B985" s="15">
        <v>70.0</v>
      </c>
    </row>
    <row r="986">
      <c r="A986" s="15" t="s">
        <v>1122</v>
      </c>
      <c r="B986" s="15">
        <v>70.0</v>
      </c>
    </row>
    <row r="987">
      <c r="A987" s="15" t="s">
        <v>1123</v>
      </c>
      <c r="B987" s="15">
        <v>70.0</v>
      </c>
    </row>
    <row r="988">
      <c r="A988" s="15" t="s">
        <v>1124</v>
      </c>
      <c r="B988" s="15">
        <v>70.0</v>
      </c>
    </row>
    <row r="989">
      <c r="A989" s="15" t="s">
        <v>1125</v>
      </c>
      <c r="B989" s="16">
        <v>43.0</v>
      </c>
    </row>
    <row r="990">
      <c r="A990" s="15" t="s">
        <v>1126</v>
      </c>
      <c r="B990" s="15">
        <v>70.0</v>
      </c>
    </row>
    <row r="991">
      <c r="A991" s="15" t="s">
        <v>1127</v>
      </c>
      <c r="B991" s="15">
        <v>70.0</v>
      </c>
    </row>
    <row r="992">
      <c r="A992" s="15" t="s">
        <v>1128</v>
      </c>
      <c r="B992" s="15">
        <v>70.0</v>
      </c>
    </row>
    <row r="993">
      <c r="A993" s="15" t="s">
        <v>1129</v>
      </c>
      <c r="B993" s="15">
        <v>70.0</v>
      </c>
    </row>
    <row r="994">
      <c r="A994" s="15" t="s">
        <v>1130</v>
      </c>
      <c r="B994" s="15">
        <v>70.0</v>
      </c>
    </row>
    <row r="995">
      <c r="A995" s="15" t="s">
        <v>1131</v>
      </c>
      <c r="B995" s="15">
        <v>70.0</v>
      </c>
    </row>
    <row r="996">
      <c r="A996" s="15" t="s">
        <v>1132</v>
      </c>
      <c r="B996" s="15">
        <v>70.0</v>
      </c>
    </row>
    <row r="997">
      <c r="A997" s="15" t="s">
        <v>1133</v>
      </c>
      <c r="B997" s="15">
        <v>70.0</v>
      </c>
    </row>
    <row r="998">
      <c r="A998" s="15" t="s">
        <v>1134</v>
      </c>
      <c r="B998" s="15">
        <v>70.0</v>
      </c>
    </row>
    <row r="999">
      <c r="A999" s="15" t="s">
        <v>1135</v>
      </c>
      <c r="B999" s="15">
        <v>70.0</v>
      </c>
    </row>
    <row r="1000">
      <c r="A1000" s="15" t="s">
        <v>1136</v>
      </c>
      <c r="B1000" s="16">
        <v>48.0</v>
      </c>
    </row>
    <row r="1001">
      <c r="A1001" s="15" t="s">
        <v>1137</v>
      </c>
      <c r="B1001" s="15">
        <v>70.0</v>
      </c>
    </row>
    <row r="1002">
      <c r="A1002" s="15" t="s">
        <v>1138</v>
      </c>
      <c r="B1002" s="16">
        <v>72.0</v>
      </c>
    </row>
    <row r="1003">
      <c r="A1003" s="15" t="s">
        <v>1139</v>
      </c>
      <c r="B1003" s="15">
        <v>70.0</v>
      </c>
    </row>
    <row r="1004">
      <c r="A1004" s="15" t="s">
        <v>1140</v>
      </c>
      <c r="B1004" s="16">
        <v>0.0</v>
      </c>
    </row>
    <row r="1005">
      <c r="A1005" s="15" t="s">
        <v>1141</v>
      </c>
      <c r="B1005" s="16">
        <v>70.0</v>
      </c>
    </row>
    <row r="1006">
      <c r="A1006" s="15" t="s">
        <v>1142</v>
      </c>
      <c r="B1006" s="16">
        <v>72.0</v>
      </c>
    </row>
    <row r="1007">
      <c r="A1007" s="15" t="s">
        <v>1143</v>
      </c>
      <c r="B1007" s="15">
        <v>70.0</v>
      </c>
    </row>
    <row r="1008">
      <c r="A1008" s="15" t="s">
        <v>1144</v>
      </c>
      <c r="B1008" s="15">
        <v>70.0</v>
      </c>
    </row>
    <row r="1009">
      <c r="A1009" s="15" t="s">
        <v>1145</v>
      </c>
      <c r="B1009" s="16">
        <v>70.0</v>
      </c>
    </row>
    <row r="1010">
      <c r="A1010" s="15" t="s">
        <v>1146</v>
      </c>
      <c r="B1010" s="16">
        <v>70.0</v>
      </c>
    </row>
    <row r="1011">
      <c r="A1011" s="15" t="s">
        <v>1147</v>
      </c>
      <c r="B1011" s="15">
        <v>70.0</v>
      </c>
    </row>
    <row r="1012">
      <c r="A1012" s="15" t="s">
        <v>1148</v>
      </c>
      <c r="B1012" s="15">
        <v>70.0</v>
      </c>
    </row>
    <row r="1013">
      <c r="A1013" s="15" t="s">
        <v>1149</v>
      </c>
      <c r="B1013" s="15">
        <v>70.0</v>
      </c>
    </row>
    <row r="1014">
      <c r="A1014" s="15" t="s">
        <v>1150</v>
      </c>
      <c r="B1014" s="15">
        <v>70.0</v>
      </c>
    </row>
    <row r="1015">
      <c r="A1015" s="15" t="s">
        <v>1151</v>
      </c>
      <c r="B1015" s="15">
        <v>70.0</v>
      </c>
    </row>
    <row r="1016">
      <c r="A1016" s="15" t="s">
        <v>1152</v>
      </c>
      <c r="B1016" s="15">
        <v>70.0</v>
      </c>
    </row>
    <row r="1017">
      <c r="A1017" s="15" t="s">
        <v>1153</v>
      </c>
      <c r="B1017" s="16">
        <v>74.0</v>
      </c>
    </row>
    <row r="1018">
      <c r="A1018" s="15" t="s">
        <v>1154</v>
      </c>
      <c r="B1018" s="16">
        <v>0.0</v>
      </c>
    </row>
    <row r="1019">
      <c r="A1019" s="15" t="s">
        <v>1155</v>
      </c>
      <c r="B1019" s="15">
        <v>70.0</v>
      </c>
    </row>
    <row r="1020">
      <c r="A1020" s="15" t="s">
        <v>1156</v>
      </c>
      <c r="B1020" s="15">
        <v>70.0</v>
      </c>
    </row>
    <row r="1021">
      <c r="A1021" s="15" t="s">
        <v>1157</v>
      </c>
      <c r="B1021" s="16">
        <v>70.0</v>
      </c>
    </row>
    <row r="1022">
      <c r="A1022" s="15" t="s">
        <v>1158</v>
      </c>
      <c r="B1022" s="15">
        <v>70.0</v>
      </c>
    </row>
    <row r="1023">
      <c r="A1023" s="15" t="s">
        <v>1159</v>
      </c>
      <c r="B1023" s="16">
        <v>70.0</v>
      </c>
    </row>
    <row r="1024">
      <c r="A1024" s="15" t="s">
        <v>1160</v>
      </c>
      <c r="B1024" s="16">
        <v>34.0</v>
      </c>
    </row>
    <row r="1025">
      <c r="A1025" s="15" t="s">
        <v>1161</v>
      </c>
      <c r="B1025" s="15">
        <v>70.0</v>
      </c>
    </row>
    <row r="1026">
      <c r="A1026" s="15" t="s">
        <v>1162</v>
      </c>
      <c r="B1026" s="15">
        <v>70.0</v>
      </c>
    </row>
    <row r="1027">
      <c r="A1027" s="15" t="s">
        <v>1163</v>
      </c>
      <c r="B1027" s="16">
        <v>0.0</v>
      </c>
    </row>
    <row r="1028">
      <c r="A1028" s="15" t="s">
        <v>1164</v>
      </c>
      <c r="B1028" s="15">
        <v>70.0</v>
      </c>
    </row>
    <row r="1029">
      <c r="A1029" s="15" t="s">
        <v>1165</v>
      </c>
      <c r="B1029" s="15">
        <v>70.0</v>
      </c>
    </row>
    <row r="1030">
      <c r="A1030" s="15" t="s">
        <v>1166</v>
      </c>
      <c r="B1030" s="16">
        <v>6.0</v>
      </c>
    </row>
    <row r="1031">
      <c r="A1031" s="15" t="s">
        <v>1167</v>
      </c>
      <c r="B1031" s="15">
        <v>70.0</v>
      </c>
    </row>
    <row r="1032">
      <c r="A1032" s="15" t="s">
        <v>1168</v>
      </c>
      <c r="B1032" s="16">
        <v>70.0</v>
      </c>
    </row>
    <row r="1033">
      <c r="A1033" s="15" t="s">
        <v>1169</v>
      </c>
      <c r="B1033" s="15">
        <v>70.0</v>
      </c>
    </row>
    <row r="1034">
      <c r="A1034" s="15" t="s">
        <v>1170</v>
      </c>
      <c r="B1034" s="15">
        <v>70.0</v>
      </c>
    </row>
    <row r="1035">
      <c r="A1035" s="15" t="s">
        <v>1171</v>
      </c>
      <c r="B1035" s="16">
        <v>79.0</v>
      </c>
    </row>
    <row r="1036">
      <c r="A1036" s="15" t="s">
        <v>1172</v>
      </c>
      <c r="B1036" s="16">
        <v>6.0</v>
      </c>
    </row>
    <row r="1037">
      <c r="A1037" s="15" t="s">
        <v>1173</v>
      </c>
      <c r="B1037" s="15">
        <v>70.0</v>
      </c>
    </row>
    <row r="1038">
      <c r="A1038" s="15" t="s">
        <v>1174</v>
      </c>
      <c r="B1038" s="16">
        <v>71.0</v>
      </c>
    </row>
    <row r="1039">
      <c r="A1039" s="15" t="s">
        <v>1175</v>
      </c>
      <c r="B1039" s="15">
        <v>70.0</v>
      </c>
    </row>
    <row r="1040">
      <c r="A1040" s="15" t="s">
        <v>1176</v>
      </c>
      <c r="B1040" s="16">
        <v>70.0</v>
      </c>
    </row>
    <row r="1041">
      <c r="A1041" s="15" t="s">
        <v>1177</v>
      </c>
      <c r="B1041" s="15">
        <v>70.0</v>
      </c>
    </row>
    <row r="1042">
      <c r="A1042" s="15" t="s">
        <v>1178</v>
      </c>
      <c r="B1042" s="15">
        <v>70.0</v>
      </c>
    </row>
    <row r="1043">
      <c r="A1043" s="15" t="s">
        <v>1179</v>
      </c>
      <c r="B1043" s="15">
        <v>70.0</v>
      </c>
    </row>
    <row r="1044">
      <c r="A1044" s="15" t="s">
        <v>1180</v>
      </c>
      <c r="B1044" s="15">
        <v>70.0</v>
      </c>
    </row>
    <row r="1045">
      <c r="A1045" s="15" t="s">
        <v>1181</v>
      </c>
      <c r="B1045" s="16">
        <v>70.0</v>
      </c>
    </row>
    <row r="1046">
      <c r="A1046" s="15" t="s">
        <v>1182</v>
      </c>
      <c r="B1046" s="16">
        <v>70.0</v>
      </c>
    </row>
    <row r="1047">
      <c r="A1047" s="15" t="s">
        <v>1183</v>
      </c>
      <c r="B1047" s="16">
        <v>74.0</v>
      </c>
    </row>
    <row r="1048">
      <c r="A1048" s="15" t="s">
        <v>1184</v>
      </c>
      <c r="B1048" s="16">
        <v>70.0</v>
      </c>
    </row>
    <row r="1049">
      <c r="A1049" s="15" t="s">
        <v>1185</v>
      </c>
      <c r="B1049" s="16">
        <v>43.0</v>
      </c>
    </row>
    <row r="1050">
      <c r="A1050" s="15" t="s">
        <v>1186</v>
      </c>
      <c r="B1050" s="15">
        <v>70.0</v>
      </c>
    </row>
    <row r="1051">
      <c r="A1051" s="15" t="s">
        <v>1187</v>
      </c>
      <c r="B1051" s="15">
        <v>70.0</v>
      </c>
    </row>
    <row r="1052">
      <c r="A1052" s="15" t="s">
        <v>1188</v>
      </c>
      <c r="B1052" s="15">
        <v>70.0</v>
      </c>
    </row>
    <row r="1053">
      <c r="A1053" s="15" t="s">
        <v>1189</v>
      </c>
      <c r="B1053" s="16">
        <v>52.0</v>
      </c>
    </row>
    <row r="1054">
      <c r="A1054" s="15" t="s">
        <v>1190</v>
      </c>
      <c r="B1054" s="15">
        <v>70.0</v>
      </c>
    </row>
    <row r="1055">
      <c r="A1055" s="15" t="s">
        <v>1191</v>
      </c>
      <c r="B1055" s="15">
        <v>70.0</v>
      </c>
    </row>
    <row r="1056">
      <c r="A1056" s="15" t="s">
        <v>1192</v>
      </c>
      <c r="B1056" s="15">
        <v>70.0</v>
      </c>
    </row>
    <row r="1057">
      <c r="A1057" s="15" t="s">
        <v>1193</v>
      </c>
      <c r="B1057" s="16">
        <v>76.0</v>
      </c>
    </row>
    <row r="1058">
      <c r="A1058" s="15" t="s">
        <v>1194</v>
      </c>
      <c r="B1058" s="15">
        <v>70.0</v>
      </c>
    </row>
    <row r="1059">
      <c r="A1059" s="15" t="s">
        <v>1195</v>
      </c>
      <c r="B1059" s="15">
        <v>70.0</v>
      </c>
    </row>
    <row r="1060">
      <c r="A1060" s="15" t="s">
        <v>1269</v>
      </c>
      <c r="B1060" s="15">
        <v>70.0</v>
      </c>
    </row>
    <row r="1061">
      <c r="A1061" s="15" t="s">
        <v>1270</v>
      </c>
      <c r="B1061" s="15">
        <v>70.0</v>
      </c>
    </row>
    <row r="1062">
      <c r="A1062" s="15" t="s">
        <v>1271</v>
      </c>
      <c r="B1062" s="16">
        <v>71.0</v>
      </c>
    </row>
    <row r="1063">
      <c r="A1063" s="15" t="s">
        <v>1272</v>
      </c>
      <c r="B1063" s="15">
        <v>70.0</v>
      </c>
    </row>
    <row r="1064">
      <c r="A1064" s="15" t="s">
        <v>1273</v>
      </c>
      <c r="B1064" s="16">
        <v>6.0</v>
      </c>
    </row>
    <row r="1065">
      <c r="A1065" s="15" t="s">
        <v>1274</v>
      </c>
      <c r="B1065" s="15">
        <v>70.0</v>
      </c>
    </row>
    <row r="1066">
      <c r="A1066" s="15" t="s">
        <v>1275</v>
      </c>
      <c r="B1066" s="16">
        <v>77.0</v>
      </c>
    </row>
    <row r="1067">
      <c r="A1067" s="15" t="s">
        <v>1276</v>
      </c>
      <c r="B1067" s="16">
        <v>13.0</v>
      </c>
    </row>
    <row r="1068">
      <c r="A1068" s="15" t="s">
        <v>1277</v>
      </c>
      <c r="B1068" s="15">
        <v>70.0</v>
      </c>
    </row>
    <row r="1069">
      <c r="A1069" s="15" t="s">
        <v>1278</v>
      </c>
      <c r="B1069" s="16">
        <v>76.0</v>
      </c>
    </row>
    <row r="1070">
      <c r="A1070" s="15" t="s">
        <v>1279</v>
      </c>
      <c r="B1070" s="15">
        <v>70.0</v>
      </c>
    </row>
    <row r="1071">
      <c r="A1071" s="15" t="s">
        <v>1280</v>
      </c>
      <c r="B1071" s="16">
        <v>83.0</v>
      </c>
    </row>
    <row r="1072">
      <c r="A1072" s="15" t="s">
        <v>1281</v>
      </c>
      <c r="B1072" s="15">
        <v>70.0</v>
      </c>
    </row>
    <row r="1073">
      <c r="A1073" s="15" t="s">
        <v>1282</v>
      </c>
      <c r="B1073" s="15">
        <v>70.0</v>
      </c>
    </row>
    <row r="1074">
      <c r="A1074" s="15" t="s">
        <v>1283</v>
      </c>
      <c r="B1074" s="15">
        <v>70.0</v>
      </c>
    </row>
    <row r="1075">
      <c r="A1075" s="15" t="s">
        <v>1284</v>
      </c>
      <c r="B1075" s="16">
        <v>75.0</v>
      </c>
    </row>
    <row r="1076">
      <c r="A1076" s="15" t="s">
        <v>1285</v>
      </c>
      <c r="B1076" s="16">
        <v>71.0</v>
      </c>
    </row>
    <row r="1077">
      <c r="A1077" s="15" t="s">
        <v>1286</v>
      </c>
      <c r="B1077" s="16">
        <v>82.0</v>
      </c>
    </row>
    <row r="1078">
      <c r="A1078" s="15" t="s">
        <v>1287</v>
      </c>
      <c r="B1078" s="15">
        <v>70.0</v>
      </c>
    </row>
    <row r="1079">
      <c r="A1079" s="15" t="s">
        <v>1288</v>
      </c>
      <c r="B1079" s="15">
        <v>70.0</v>
      </c>
    </row>
    <row r="1080">
      <c r="A1080" s="15" t="s">
        <v>1289</v>
      </c>
      <c r="B1080" s="15">
        <v>70.0</v>
      </c>
    </row>
    <row r="1081">
      <c r="A1081" s="15" t="s">
        <v>1290</v>
      </c>
      <c r="B1081" s="16">
        <v>78.0</v>
      </c>
    </row>
    <row r="1082">
      <c r="A1082" s="15" t="s">
        <v>1291</v>
      </c>
      <c r="B1082" s="16">
        <v>12.0</v>
      </c>
    </row>
    <row r="1083">
      <c r="A1083" s="15" t="s">
        <v>1292</v>
      </c>
      <c r="B1083" s="16">
        <v>87.0</v>
      </c>
    </row>
    <row r="1084">
      <c r="A1084" s="15" t="s">
        <v>1293</v>
      </c>
      <c r="B1084" s="16">
        <v>73.0</v>
      </c>
    </row>
    <row r="1085">
      <c r="A1085" s="15" t="s">
        <v>1294</v>
      </c>
      <c r="B1085" s="16">
        <v>71.0</v>
      </c>
    </row>
    <row r="1086">
      <c r="A1086" s="15" t="s">
        <v>1295</v>
      </c>
      <c r="B1086" s="15">
        <v>70.0</v>
      </c>
    </row>
    <row r="1087">
      <c r="A1087" s="15" t="s">
        <v>1296</v>
      </c>
      <c r="B1087" s="15">
        <v>70.0</v>
      </c>
    </row>
    <row r="1088">
      <c r="A1088" s="15" t="s">
        <v>1297</v>
      </c>
      <c r="B1088" s="16">
        <v>70.0</v>
      </c>
    </row>
    <row r="1089">
      <c r="A1089" s="15" t="s">
        <v>1298</v>
      </c>
      <c r="B1089" s="15">
        <v>70.0</v>
      </c>
    </row>
    <row r="1090">
      <c r="A1090" s="15" t="s">
        <v>1299</v>
      </c>
      <c r="B1090" s="16">
        <v>81.0</v>
      </c>
    </row>
    <row r="1091">
      <c r="A1091" s="15" t="s">
        <v>1300</v>
      </c>
      <c r="B1091" s="16">
        <v>81.0</v>
      </c>
    </row>
    <row r="1092">
      <c r="A1092" s="15" t="s">
        <v>1301</v>
      </c>
      <c r="B1092" s="16">
        <v>0.0</v>
      </c>
    </row>
    <row r="1093">
      <c r="A1093" s="15" t="s">
        <v>1302</v>
      </c>
      <c r="B1093" s="15">
        <v>70.0</v>
      </c>
    </row>
    <row r="1094">
      <c r="A1094" s="15" t="s">
        <v>1303</v>
      </c>
      <c r="B1094" s="15">
        <v>70.0</v>
      </c>
    </row>
    <row r="1095">
      <c r="A1095" s="15" t="s">
        <v>1304</v>
      </c>
      <c r="B1095" s="15">
        <v>70.0</v>
      </c>
    </row>
    <row r="1096">
      <c r="A1096" s="15" t="s">
        <v>1305</v>
      </c>
      <c r="B1096" s="15">
        <v>70.0</v>
      </c>
    </row>
    <row r="1097">
      <c r="A1097" s="15" t="s">
        <v>1306</v>
      </c>
      <c r="B1097" s="15">
        <v>70.0</v>
      </c>
    </row>
    <row r="1098">
      <c r="A1098" s="15" t="s">
        <v>1307</v>
      </c>
      <c r="B1098" s="15">
        <v>70.0</v>
      </c>
    </row>
    <row r="1099">
      <c r="A1099" s="15" t="s">
        <v>1308</v>
      </c>
      <c r="B1099" s="16">
        <v>70.0</v>
      </c>
    </row>
    <row r="1100">
      <c r="A1100" s="15" t="s">
        <v>1309</v>
      </c>
      <c r="B1100" s="16">
        <v>60.0</v>
      </c>
    </row>
    <row r="1101">
      <c r="A1101" s="15" t="s">
        <v>1310</v>
      </c>
      <c r="B1101" s="15">
        <v>70.0</v>
      </c>
    </row>
    <row r="1102">
      <c r="A1102" s="15" t="s">
        <v>1311</v>
      </c>
      <c r="B1102" s="15">
        <v>70.0</v>
      </c>
    </row>
    <row r="1103">
      <c r="A1103" s="15" t="s">
        <v>1312</v>
      </c>
      <c r="B1103" s="15">
        <v>70.0</v>
      </c>
    </row>
    <row r="1104">
      <c r="A1104" s="15" t="s">
        <v>1313</v>
      </c>
      <c r="B1104" s="16">
        <v>4.0</v>
      </c>
    </row>
    <row r="1105">
      <c r="A1105" s="15" t="s">
        <v>1314</v>
      </c>
      <c r="B1105" s="15">
        <v>70.0</v>
      </c>
    </row>
    <row r="1106">
      <c r="A1106" s="15" t="s">
        <v>1315</v>
      </c>
      <c r="B1106" s="15">
        <v>70.0</v>
      </c>
    </row>
    <row r="1107">
      <c r="A1107" s="15" t="s">
        <v>1316</v>
      </c>
      <c r="B1107" s="16">
        <v>0.0</v>
      </c>
    </row>
    <row r="1108">
      <c r="A1108" s="15" t="s">
        <v>1317</v>
      </c>
      <c r="B1108" s="15">
        <v>70.0</v>
      </c>
    </row>
    <row r="1109">
      <c r="A1109" s="15" t="s">
        <v>1318</v>
      </c>
      <c r="B1109" s="16">
        <v>4.0</v>
      </c>
    </row>
    <row r="1110">
      <c r="A1110" s="15" t="s">
        <v>1319</v>
      </c>
      <c r="B1110" s="16">
        <v>84.0</v>
      </c>
    </row>
    <row r="1111">
      <c r="A1111" s="15" t="s">
        <v>1320</v>
      </c>
      <c r="B1111" s="15">
        <v>70.0</v>
      </c>
    </row>
    <row r="1112">
      <c r="A1112" s="15" t="s">
        <v>1321</v>
      </c>
      <c r="B1112" s="15">
        <v>70.0</v>
      </c>
    </row>
    <row r="1113">
      <c r="A1113" s="15" t="s">
        <v>1322</v>
      </c>
      <c r="B1113" s="16">
        <v>10.0</v>
      </c>
    </row>
    <row r="1114">
      <c r="A1114" s="15" t="s">
        <v>1323</v>
      </c>
      <c r="B1114" s="16">
        <v>79.0</v>
      </c>
    </row>
    <row r="1115">
      <c r="A1115" s="15" t="s">
        <v>1324</v>
      </c>
      <c r="B1115" s="16">
        <v>73.0</v>
      </c>
    </row>
    <row r="1116">
      <c r="A1116" s="15" t="s">
        <v>1325</v>
      </c>
      <c r="B1116" s="15">
        <v>70.0</v>
      </c>
    </row>
    <row r="1117">
      <c r="A1117" s="15" t="s">
        <v>1326</v>
      </c>
      <c r="B1117" s="16">
        <v>74.0</v>
      </c>
    </row>
    <row r="1118">
      <c r="A1118" s="15" t="s">
        <v>1327</v>
      </c>
      <c r="B1118" s="15">
        <v>70.0</v>
      </c>
    </row>
    <row r="1119">
      <c r="A1119" s="15" t="s">
        <v>1328</v>
      </c>
      <c r="B1119" s="16">
        <v>4.0</v>
      </c>
    </row>
    <row r="1120">
      <c r="A1120" s="15" t="s">
        <v>1329</v>
      </c>
      <c r="B1120" s="15">
        <v>70.0</v>
      </c>
    </row>
    <row r="1121">
      <c r="A1121" s="15" t="s">
        <v>1330</v>
      </c>
      <c r="B1121" s="16">
        <v>75.0</v>
      </c>
    </row>
    <row r="1122">
      <c r="A1122" s="15" t="s">
        <v>1331</v>
      </c>
      <c r="B1122" s="15">
        <v>70.0</v>
      </c>
    </row>
    <row r="1123">
      <c r="A1123" s="15" t="s">
        <v>1345</v>
      </c>
      <c r="B1123" s="16">
        <v>72.0</v>
      </c>
    </row>
    <row r="1124">
      <c r="A1124" s="15" t="s">
        <v>1332</v>
      </c>
      <c r="B1124" s="16">
        <v>18.0</v>
      </c>
    </row>
    <row r="1125">
      <c r="A1125" s="15" t="s">
        <v>1333</v>
      </c>
      <c r="B1125" s="16">
        <v>60.0</v>
      </c>
    </row>
    <row r="1126">
      <c r="A1126" s="15" t="s">
        <v>1334</v>
      </c>
      <c r="B1126" s="16">
        <v>23.0</v>
      </c>
    </row>
    <row r="1127">
      <c r="A1127" s="15" t="s">
        <v>1335</v>
      </c>
      <c r="B1127" s="16">
        <v>62.0</v>
      </c>
    </row>
    <row r="1128">
      <c r="A1128" s="15" t="s">
        <v>1336</v>
      </c>
      <c r="B1128" s="16">
        <v>6.0</v>
      </c>
    </row>
    <row r="1129">
      <c r="A1129" s="15" t="s">
        <v>1337</v>
      </c>
      <c r="B1129" s="16">
        <v>34.0</v>
      </c>
    </row>
    <row r="1130">
      <c r="A1130" s="15" t="s">
        <v>1196</v>
      </c>
      <c r="B1130" s="16">
        <v>84.0</v>
      </c>
    </row>
    <row r="1131">
      <c r="A1131" s="15" t="s">
        <v>1197</v>
      </c>
      <c r="B1131" s="15">
        <v>70.0</v>
      </c>
    </row>
    <row r="1132">
      <c r="A1132" s="15" t="s">
        <v>1198</v>
      </c>
      <c r="B1132" s="16">
        <v>73.0</v>
      </c>
    </row>
    <row r="1133">
      <c r="A1133" s="15" t="s">
        <v>1199</v>
      </c>
      <c r="B1133" s="16">
        <v>81.0</v>
      </c>
    </row>
    <row r="1134">
      <c r="A1134" s="15" t="s">
        <v>1200</v>
      </c>
      <c r="B1134" s="16">
        <v>45.0</v>
      </c>
    </row>
    <row r="1135">
      <c r="A1135" s="15" t="s">
        <v>1201</v>
      </c>
      <c r="B1135" s="16">
        <v>61.0</v>
      </c>
    </row>
    <row r="1136">
      <c r="A1136" s="15" t="s">
        <v>1202</v>
      </c>
      <c r="B1136" s="16">
        <v>72.0</v>
      </c>
    </row>
    <row r="1137">
      <c r="A1137" s="15" t="s">
        <v>1203</v>
      </c>
      <c r="B1137" s="16">
        <v>83.0</v>
      </c>
    </row>
    <row r="1138">
      <c r="A1138" s="15" t="s">
        <v>1204</v>
      </c>
      <c r="B1138" s="16">
        <v>84.0</v>
      </c>
    </row>
    <row r="1139">
      <c r="A1139" s="15" t="s">
        <v>1205</v>
      </c>
      <c r="B1139" s="16">
        <v>78.0</v>
      </c>
    </row>
    <row r="1140">
      <c r="A1140" s="15" t="s">
        <v>1206</v>
      </c>
      <c r="B1140" s="15">
        <v>70.0</v>
      </c>
    </row>
    <row r="1141">
      <c r="A1141" s="15" t="s">
        <v>1207</v>
      </c>
      <c r="B1141" s="15">
        <v>70.0</v>
      </c>
    </row>
    <row r="1142">
      <c r="A1142" s="15" t="s">
        <v>1208</v>
      </c>
      <c r="B1142" s="16">
        <v>29.0</v>
      </c>
    </row>
    <row r="1143">
      <c r="A1143" s="15" t="s">
        <v>1209</v>
      </c>
      <c r="B1143" s="16">
        <v>78.0</v>
      </c>
    </row>
    <row r="1144">
      <c r="A1144" s="15" t="s">
        <v>1210</v>
      </c>
      <c r="B1144" s="15">
        <v>70.0</v>
      </c>
    </row>
    <row r="1145">
      <c r="A1145" s="15" t="s">
        <v>1211</v>
      </c>
      <c r="B1145" s="15">
        <v>70.0</v>
      </c>
    </row>
    <row r="1146">
      <c r="A1146" s="15" t="s">
        <v>1212</v>
      </c>
      <c r="B1146" s="16">
        <v>84.0</v>
      </c>
    </row>
    <row r="1147">
      <c r="A1147" s="15" t="s">
        <v>1213</v>
      </c>
      <c r="B1147" s="16">
        <v>4.0</v>
      </c>
    </row>
    <row r="1148">
      <c r="A1148" s="15" t="s">
        <v>1214</v>
      </c>
      <c r="B1148" s="16">
        <v>72.0</v>
      </c>
    </row>
    <row r="1149">
      <c r="A1149" s="15" t="s">
        <v>1215</v>
      </c>
      <c r="B1149" s="16">
        <v>79.0</v>
      </c>
    </row>
    <row r="1150">
      <c r="A1150" s="15" t="s">
        <v>1216</v>
      </c>
      <c r="B1150" s="15">
        <v>70.0</v>
      </c>
    </row>
    <row r="1151">
      <c r="A1151" s="15" t="s">
        <v>1217</v>
      </c>
      <c r="B1151" s="16">
        <v>0.0</v>
      </c>
    </row>
    <row r="1152">
      <c r="A1152" s="15" t="s">
        <v>1218</v>
      </c>
      <c r="B1152" s="15">
        <v>70.0</v>
      </c>
    </row>
    <row r="1153">
      <c r="A1153" s="15" t="s">
        <v>1219</v>
      </c>
      <c r="B1153" s="16">
        <v>70.0</v>
      </c>
    </row>
    <row r="1154">
      <c r="A1154" s="15" t="s">
        <v>1220</v>
      </c>
      <c r="B1154" s="16">
        <v>80.0</v>
      </c>
    </row>
    <row r="1155">
      <c r="A1155" s="15" t="s">
        <v>1221</v>
      </c>
      <c r="B1155" s="15">
        <v>70.0</v>
      </c>
    </row>
    <row r="1156">
      <c r="A1156" s="15" t="s">
        <v>1222</v>
      </c>
      <c r="B1156" s="16">
        <v>71.0</v>
      </c>
    </row>
    <row r="1157">
      <c r="A1157" s="15" t="s">
        <v>1223</v>
      </c>
      <c r="B1157" s="16">
        <v>70.0</v>
      </c>
    </row>
    <row r="1158">
      <c r="A1158" s="15" t="s">
        <v>1224</v>
      </c>
      <c r="B1158" s="15">
        <v>70.0</v>
      </c>
    </row>
    <row r="1159">
      <c r="A1159" s="15" t="s">
        <v>1225</v>
      </c>
      <c r="B1159" s="16">
        <v>83.0</v>
      </c>
    </row>
    <row r="1160">
      <c r="A1160" s="15" t="s">
        <v>1226</v>
      </c>
      <c r="B1160" s="15">
        <v>70.0</v>
      </c>
    </row>
    <row r="1161">
      <c r="A1161" s="15" t="s">
        <v>1227</v>
      </c>
      <c r="B1161" s="16">
        <v>0.0</v>
      </c>
    </row>
    <row r="1162">
      <c r="A1162" s="15" t="s">
        <v>1228</v>
      </c>
      <c r="B1162" s="16">
        <v>70.0</v>
      </c>
    </row>
    <row r="1163">
      <c r="A1163" s="15" t="s">
        <v>1229</v>
      </c>
      <c r="B1163" s="15">
        <v>70.0</v>
      </c>
    </row>
    <row r="1164">
      <c r="A1164" s="15" t="s">
        <v>1230</v>
      </c>
      <c r="B1164" s="16">
        <v>74.0</v>
      </c>
    </row>
    <row r="1165">
      <c r="A1165" s="15" t="s">
        <v>1231</v>
      </c>
      <c r="B1165" s="15">
        <v>70.0</v>
      </c>
    </row>
    <row r="1166">
      <c r="A1166" s="15" t="s">
        <v>1232</v>
      </c>
      <c r="B1166" s="16">
        <v>86.0</v>
      </c>
    </row>
    <row r="1167">
      <c r="A1167" s="15" t="s">
        <v>1233</v>
      </c>
      <c r="B1167" s="16">
        <v>77.0</v>
      </c>
    </row>
    <row r="1168">
      <c r="A1168" s="15" t="s">
        <v>1234</v>
      </c>
      <c r="B1168" s="15">
        <v>70.0</v>
      </c>
    </row>
    <row r="1169">
      <c r="A1169" s="15" t="s">
        <v>1235</v>
      </c>
      <c r="B1169" s="15">
        <v>70.0</v>
      </c>
    </row>
    <row r="1170">
      <c r="A1170" s="15" t="s">
        <v>1236</v>
      </c>
      <c r="B1170" s="15">
        <v>70.0</v>
      </c>
    </row>
    <row r="1171">
      <c r="A1171" s="15" t="s">
        <v>1237</v>
      </c>
      <c r="B1171" s="15">
        <v>70.0</v>
      </c>
    </row>
    <row r="1172">
      <c r="A1172" s="15" t="s">
        <v>1238</v>
      </c>
      <c r="B1172" s="16">
        <v>74.0</v>
      </c>
    </row>
    <row r="1173">
      <c r="A1173" s="15" t="s">
        <v>1239</v>
      </c>
      <c r="B1173" s="16">
        <v>81.0</v>
      </c>
    </row>
    <row r="1174">
      <c r="A1174" s="15" t="s">
        <v>1240</v>
      </c>
      <c r="B1174" s="16">
        <v>0.0</v>
      </c>
    </row>
    <row r="1175">
      <c r="A1175" s="15" t="s">
        <v>1241</v>
      </c>
      <c r="B1175" s="16">
        <v>86.0</v>
      </c>
    </row>
    <row r="1176">
      <c r="A1176" s="15" t="s">
        <v>1242</v>
      </c>
      <c r="B1176" s="16">
        <v>75.0</v>
      </c>
    </row>
    <row r="1177">
      <c r="A1177" s="15" t="s">
        <v>1243</v>
      </c>
      <c r="B1177" s="16">
        <v>70.0</v>
      </c>
    </row>
    <row r="1178">
      <c r="A1178" s="15" t="s">
        <v>1244</v>
      </c>
      <c r="B1178" s="15">
        <v>70.0</v>
      </c>
    </row>
    <row r="1179">
      <c r="A1179" s="15" t="s">
        <v>1245</v>
      </c>
      <c r="B1179" s="15">
        <v>70.0</v>
      </c>
    </row>
    <row r="1180">
      <c r="A1180" s="15" t="s">
        <v>1246</v>
      </c>
      <c r="B1180" s="16">
        <v>83.0</v>
      </c>
    </row>
    <row r="1181">
      <c r="A1181" s="15" t="s">
        <v>1247</v>
      </c>
      <c r="B1181" s="15">
        <v>70.0</v>
      </c>
    </row>
    <row r="1182">
      <c r="A1182" s="15" t="s">
        <v>1248</v>
      </c>
      <c r="B1182" s="15">
        <v>70.0</v>
      </c>
    </row>
    <row r="1183">
      <c r="A1183" s="15" t="s">
        <v>862</v>
      </c>
      <c r="B1183" s="16">
        <v>0.0</v>
      </c>
    </row>
    <row r="1184">
      <c r="A1184" s="15" t="s">
        <v>1250</v>
      </c>
      <c r="B1184" s="16">
        <v>74.0</v>
      </c>
    </row>
    <row r="1185">
      <c r="A1185" s="15" t="s">
        <v>1251</v>
      </c>
      <c r="B1185" s="16">
        <v>14.0</v>
      </c>
    </row>
    <row r="1186">
      <c r="A1186" s="15" t="s">
        <v>1252</v>
      </c>
      <c r="B1186" s="16">
        <v>75.0</v>
      </c>
    </row>
    <row r="1187">
      <c r="A1187" s="15" t="s">
        <v>1253</v>
      </c>
      <c r="B1187" s="16">
        <v>61.0</v>
      </c>
    </row>
    <row r="1188">
      <c r="A1188" s="15" t="s">
        <v>1254</v>
      </c>
      <c r="B1188" s="16">
        <v>80.0</v>
      </c>
    </row>
    <row r="1189">
      <c r="A1189" s="15" t="s">
        <v>1255</v>
      </c>
      <c r="B1189" s="16">
        <v>72.0</v>
      </c>
    </row>
    <row r="1190">
      <c r="A1190" s="15" t="s">
        <v>1256</v>
      </c>
      <c r="B1190" s="15">
        <v>70.0</v>
      </c>
    </row>
    <row r="1191">
      <c r="A1191" s="15" t="s">
        <v>1257</v>
      </c>
      <c r="B1191" s="16">
        <v>70.0</v>
      </c>
    </row>
    <row r="1192">
      <c r="A1192" s="15" t="s">
        <v>1258</v>
      </c>
      <c r="B1192" s="15">
        <v>70.0</v>
      </c>
    </row>
    <row r="1193">
      <c r="A1193" s="15" t="s">
        <v>1259</v>
      </c>
      <c r="B1193" s="15">
        <v>73.0</v>
      </c>
    </row>
    <row r="1194">
      <c r="A1194" s="15" t="s">
        <v>1260</v>
      </c>
      <c r="B1194" s="16">
        <v>73.0</v>
      </c>
    </row>
    <row r="1195">
      <c r="A1195" s="15" t="s">
        <v>1261</v>
      </c>
      <c r="B1195" s="15">
        <v>70.0</v>
      </c>
    </row>
    <row r="1196">
      <c r="A1196" s="15" t="s">
        <v>1262</v>
      </c>
      <c r="B1196" s="16">
        <v>8.0</v>
      </c>
    </row>
    <row r="1197">
      <c r="A1197" s="15" t="s">
        <v>1263</v>
      </c>
      <c r="B1197" s="15">
        <v>70.0</v>
      </c>
    </row>
    <row r="1198">
      <c r="A1198" s="15" t="s">
        <v>1264</v>
      </c>
      <c r="B1198" s="15">
        <v>70.0</v>
      </c>
    </row>
    <row r="1199">
      <c r="A1199" s="15" t="s">
        <v>1265</v>
      </c>
      <c r="B1199" s="16">
        <v>60.0</v>
      </c>
    </row>
    <row r="1200">
      <c r="A1200" s="15" t="s">
        <v>1266</v>
      </c>
      <c r="B1200" s="16">
        <v>71.0</v>
      </c>
    </row>
    <row r="1201">
      <c r="A1201" s="15" t="s">
        <v>1267</v>
      </c>
      <c r="B1201" s="16">
        <v>70.0</v>
      </c>
    </row>
    <row r="1202">
      <c r="A1202" s="15" t="s">
        <v>1268</v>
      </c>
      <c r="B1202" s="15">
        <v>70.0</v>
      </c>
    </row>
    <row r="1203">
      <c r="A1203" s="15"/>
    </row>
    <row r="1204">
      <c r="A1204" s="15"/>
    </row>
    <row r="1205">
      <c r="A1205" s="15"/>
    </row>
    <row r="1206">
      <c r="A1206" s="15"/>
    </row>
    <row r="1207">
      <c r="A1207" s="15"/>
    </row>
    <row r="1208">
      <c r="A1208" s="15"/>
    </row>
    <row r="1209">
      <c r="A1209" s="15"/>
    </row>
    <row r="1210">
      <c r="A1210" s="15"/>
    </row>
    <row r="1211">
      <c r="A1211" s="15"/>
    </row>
    <row r="1212">
      <c r="A1212" s="15"/>
    </row>
    <row r="1213">
      <c r="A1213" s="15"/>
    </row>
    <row r="1214">
      <c r="A1214" s="15"/>
    </row>
    <row r="1215">
      <c r="A1215" s="15"/>
    </row>
    <row r="1216">
      <c r="A1216" s="15"/>
    </row>
    <row r="1217">
      <c r="A1217" s="15"/>
    </row>
    <row r="1218">
      <c r="A1218" s="15"/>
    </row>
    <row r="1219">
      <c r="A1219" s="15"/>
    </row>
    <row r="1220">
      <c r="A1220" s="15"/>
    </row>
    <row r="1221">
      <c r="A1221" s="15"/>
    </row>
    <row r="1222">
      <c r="A1222" s="15"/>
    </row>
    <row r="1223">
      <c r="A1223" s="15"/>
    </row>
    <row r="1224">
      <c r="A1224" s="15"/>
    </row>
    <row r="1225">
      <c r="A1225" s="15"/>
    </row>
    <row r="1226">
      <c r="A1226" s="15"/>
    </row>
    <row r="1227">
      <c r="A1227" s="15"/>
    </row>
    <row r="1228">
      <c r="A1228" s="15"/>
    </row>
    <row r="1229">
      <c r="A1229" s="15"/>
    </row>
    <row r="1230">
      <c r="A1230" s="15"/>
    </row>
    <row r="1231">
      <c r="A1231" s="15"/>
    </row>
    <row r="1232">
      <c r="A1232" s="15"/>
    </row>
    <row r="1233">
      <c r="A1233" s="15"/>
    </row>
    <row r="1234">
      <c r="A1234" s="15"/>
    </row>
    <row r="1235">
      <c r="A1235" s="15"/>
    </row>
    <row r="1236">
      <c r="A1236" s="15"/>
    </row>
    <row r="1237">
      <c r="A1237" s="15"/>
    </row>
    <row r="1238">
      <c r="A1238" s="15"/>
    </row>
    <row r="1239">
      <c r="A1239" s="15"/>
    </row>
    <row r="1240">
      <c r="A1240" s="15"/>
    </row>
    <row r="1241">
      <c r="A1241" s="15"/>
    </row>
    <row r="1242">
      <c r="A1242" s="15"/>
    </row>
    <row r="1243">
      <c r="A1243" s="15"/>
    </row>
    <row r="1244">
      <c r="A1244" s="15"/>
    </row>
    <row r="1245">
      <c r="A1245" s="15"/>
    </row>
    <row r="1246">
      <c r="A1246" s="15"/>
    </row>
    <row r="1247">
      <c r="A1247" s="15"/>
    </row>
    <row r="1248">
      <c r="A1248" s="15"/>
    </row>
    <row r="1249">
      <c r="A1249" s="15"/>
    </row>
    <row r="1250">
      <c r="A1250" s="15"/>
    </row>
    <row r="1251">
      <c r="A1251" s="15"/>
    </row>
    <row r="1252">
      <c r="A1252" s="15"/>
    </row>
    <row r="1253">
      <c r="A1253" s="15"/>
    </row>
    <row r="1254">
      <c r="A1254" s="15"/>
    </row>
    <row r="1255">
      <c r="A1255" s="15"/>
    </row>
    <row r="1256">
      <c r="A1256" s="15"/>
    </row>
    <row r="1257">
      <c r="A1257" s="15"/>
    </row>
    <row r="1258">
      <c r="A1258" s="15"/>
    </row>
    <row r="1259">
      <c r="A1259" s="15"/>
    </row>
    <row r="1260">
      <c r="A1260" s="15"/>
    </row>
    <row r="1261">
      <c r="A1261" s="15"/>
    </row>
    <row r="1262">
      <c r="A1262" s="15"/>
    </row>
    <row r="1263">
      <c r="A1263" s="15"/>
    </row>
    <row r="1264">
      <c r="A1264" s="15"/>
    </row>
    <row r="1265">
      <c r="A1265" s="15"/>
    </row>
    <row r="1266">
      <c r="A1266" s="15"/>
    </row>
    <row r="1267">
      <c r="A1267" s="15"/>
    </row>
    <row r="1268">
      <c r="A1268" s="15"/>
    </row>
    <row r="1269">
      <c r="A1269" s="15"/>
    </row>
    <row r="1270">
      <c r="A1270" s="15"/>
    </row>
    <row r="1271">
      <c r="A1271" s="15"/>
    </row>
    <row r="1272">
      <c r="A1272" s="15"/>
    </row>
    <row r="1273">
      <c r="A1273" s="15"/>
    </row>
    <row r="1274">
      <c r="A1274" s="15"/>
    </row>
    <row r="1275">
      <c r="A1275" s="15"/>
    </row>
    <row r="1276">
      <c r="A1276" s="15"/>
    </row>
    <row r="1277">
      <c r="A1277" s="15"/>
    </row>
    <row r="1278">
      <c r="A1278" s="15"/>
    </row>
    <row r="1279">
      <c r="A1279" s="15"/>
    </row>
    <row r="1280">
      <c r="A1280" s="15"/>
    </row>
    <row r="1281">
      <c r="A1281" s="15"/>
    </row>
    <row r="1282">
      <c r="A1282" s="15"/>
    </row>
    <row r="1283">
      <c r="A1283" s="15"/>
    </row>
    <row r="1284">
      <c r="A1284" s="15"/>
    </row>
    <row r="1285">
      <c r="A1285" s="15"/>
    </row>
    <row r="1286">
      <c r="A1286" s="15"/>
    </row>
    <row r="1287">
      <c r="A1287" s="15"/>
    </row>
    <row r="1288">
      <c r="A1288" s="15"/>
    </row>
    <row r="1289">
      <c r="A1289" s="15"/>
    </row>
    <row r="1290">
      <c r="A1290" s="15"/>
    </row>
    <row r="1291">
      <c r="A1291" s="15"/>
    </row>
    <row r="1292">
      <c r="A1292" s="15"/>
    </row>
    <row r="1293">
      <c r="A1293" s="15"/>
    </row>
    <row r="1294">
      <c r="A1294" s="15"/>
    </row>
    <row r="1295">
      <c r="A1295" s="15"/>
    </row>
    <row r="1296">
      <c r="A1296" s="15"/>
    </row>
    <row r="1297">
      <c r="A1297" s="15"/>
    </row>
    <row r="1298">
      <c r="A1298" s="15"/>
    </row>
    <row r="1299">
      <c r="A1299" s="15"/>
    </row>
    <row r="1300">
      <c r="A1300" s="15"/>
    </row>
    <row r="1301">
      <c r="A1301" s="15"/>
    </row>
    <row r="1302">
      <c r="A1302" s="15"/>
    </row>
    <row r="1303">
      <c r="A1303" s="15"/>
    </row>
    <row r="1304">
      <c r="A1304" s="15"/>
    </row>
    <row r="1305">
      <c r="A1305" s="15"/>
    </row>
    <row r="1306">
      <c r="A1306" s="15"/>
    </row>
    <row r="1307">
      <c r="A1307" s="15"/>
    </row>
    <row r="1308">
      <c r="A1308" s="15"/>
    </row>
    <row r="1309">
      <c r="A1309" s="15"/>
    </row>
    <row r="1310">
      <c r="A1310" s="15"/>
    </row>
    <row r="1311">
      <c r="A1311" s="15"/>
    </row>
    <row r="1312">
      <c r="A1312" s="15"/>
    </row>
    <row r="1313">
      <c r="A1313" s="15"/>
    </row>
    <row r="1314">
      <c r="A1314" s="15"/>
    </row>
    <row r="1315">
      <c r="A1315" s="15"/>
    </row>
    <row r="1316">
      <c r="A1316" s="15"/>
    </row>
    <row r="1317">
      <c r="A1317" s="15"/>
    </row>
    <row r="1318">
      <c r="A1318" s="15"/>
    </row>
    <row r="1319">
      <c r="A1319" s="15"/>
    </row>
    <row r="1320">
      <c r="A1320" s="15"/>
    </row>
    <row r="1321">
      <c r="A1321" s="15"/>
    </row>
    <row r="1322">
      <c r="A1322" s="15"/>
    </row>
    <row r="1323">
      <c r="A1323" s="15"/>
    </row>
    <row r="1324">
      <c r="A1324" s="15"/>
    </row>
    <row r="1325">
      <c r="A1325" s="15"/>
    </row>
    <row r="1326">
      <c r="A1326" s="15"/>
    </row>
    <row r="1327">
      <c r="A1327" s="15"/>
    </row>
    <row r="1328">
      <c r="A1328" s="15"/>
    </row>
    <row r="1329">
      <c r="A1329" s="15"/>
    </row>
    <row r="1330">
      <c r="A1330" s="15"/>
    </row>
    <row r="1331">
      <c r="A1331" s="15"/>
    </row>
    <row r="1332">
      <c r="A1332" s="15"/>
    </row>
    <row r="1333">
      <c r="A1333" s="15"/>
    </row>
    <row r="1334">
      <c r="A1334" s="15"/>
    </row>
    <row r="1335">
      <c r="A1335" s="15"/>
    </row>
    <row r="1336">
      <c r="A1336" s="15"/>
    </row>
    <row r="1337">
      <c r="A1337" s="15"/>
    </row>
    <row r="1338">
      <c r="A1338" s="15"/>
    </row>
    <row r="1339">
      <c r="A1339" s="15"/>
    </row>
    <row r="1340">
      <c r="A1340" s="15"/>
    </row>
    <row r="1341">
      <c r="A1341" s="15"/>
    </row>
    <row r="1342">
      <c r="A1342" s="15"/>
    </row>
    <row r="1343">
      <c r="A1343" s="15"/>
    </row>
    <row r="1344">
      <c r="A1344" s="15"/>
    </row>
    <row r="1345">
      <c r="A1345" s="15"/>
    </row>
    <row r="1346">
      <c r="A1346" s="15"/>
    </row>
    <row r="1347">
      <c r="A1347" s="15"/>
    </row>
    <row r="1348">
      <c r="A1348" s="15"/>
    </row>
    <row r="1349">
      <c r="A1349" s="15"/>
    </row>
    <row r="1350">
      <c r="A1350" s="15"/>
    </row>
    <row r="1351">
      <c r="A1351" s="15"/>
    </row>
    <row r="1352">
      <c r="A1352" s="15"/>
    </row>
    <row r="1353">
      <c r="A1353" s="15"/>
    </row>
    <row r="1354">
      <c r="A1354" s="15"/>
    </row>
    <row r="1355">
      <c r="A1355" s="15"/>
    </row>
    <row r="1356">
      <c r="A1356" s="15"/>
    </row>
    <row r="1357">
      <c r="A1357" s="15"/>
    </row>
    <row r="1358">
      <c r="A1358" s="15"/>
    </row>
    <row r="1359">
      <c r="A1359" s="15"/>
    </row>
    <row r="1360">
      <c r="A1360" s="15"/>
    </row>
    <row r="1361">
      <c r="A1361" s="15"/>
    </row>
    <row r="1362">
      <c r="A1362" s="15"/>
    </row>
    <row r="1363">
      <c r="A1363" s="15"/>
    </row>
    <row r="1364">
      <c r="A1364" s="15"/>
    </row>
    <row r="1365">
      <c r="A1365" s="15"/>
    </row>
    <row r="1366">
      <c r="A1366" s="15"/>
    </row>
    <row r="1367">
      <c r="A1367" s="15"/>
    </row>
    <row r="1368">
      <c r="A1368" s="15"/>
    </row>
    <row r="1369">
      <c r="A1369" s="15"/>
    </row>
    <row r="1370">
      <c r="A1370" s="15"/>
    </row>
    <row r="1371">
      <c r="A1371" s="15"/>
    </row>
    <row r="1372">
      <c r="A1372" s="15"/>
    </row>
    <row r="1373">
      <c r="A1373" s="15"/>
    </row>
    <row r="1374">
      <c r="A1374" s="15"/>
    </row>
    <row r="1375">
      <c r="A1375" s="15"/>
    </row>
    <row r="1376">
      <c r="A1376" s="15"/>
    </row>
    <row r="1377">
      <c r="A1377" s="15"/>
    </row>
    <row r="1378">
      <c r="A1378" s="15"/>
    </row>
    <row r="1379">
      <c r="A1379" s="15"/>
    </row>
    <row r="1380">
      <c r="A1380" s="15"/>
    </row>
    <row r="1381">
      <c r="A1381" s="15"/>
    </row>
    <row r="1382">
      <c r="A1382" s="15"/>
    </row>
    <row r="1383">
      <c r="A1383" s="15"/>
    </row>
    <row r="1384">
      <c r="A1384" s="15"/>
    </row>
    <row r="1385">
      <c r="A1385" s="15"/>
    </row>
    <row r="1386">
      <c r="A1386" s="15"/>
    </row>
    <row r="1387">
      <c r="A1387" s="15"/>
    </row>
    <row r="1388">
      <c r="A1388" s="15"/>
    </row>
    <row r="1389">
      <c r="A1389" s="15"/>
    </row>
    <row r="1390">
      <c r="A1390" s="15"/>
    </row>
    <row r="1391">
      <c r="A1391" s="15"/>
    </row>
    <row r="1392">
      <c r="A1392" s="15"/>
    </row>
    <row r="1393">
      <c r="A1393" s="15"/>
    </row>
    <row r="1394">
      <c r="A1394" s="15"/>
    </row>
    <row r="1395">
      <c r="A1395" s="15"/>
    </row>
    <row r="1396">
      <c r="A1396" s="15"/>
    </row>
    <row r="1397">
      <c r="A1397" s="15"/>
    </row>
    <row r="1398">
      <c r="A1398" s="15"/>
    </row>
    <row r="1399">
      <c r="A1399" s="15"/>
    </row>
    <row r="1400">
      <c r="A1400" s="15"/>
    </row>
    <row r="1401">
      <c r="A1401" s="15"/>
    </row>
    <row r="1402">
      <c r="A1402" s="15"/>
    </row>
    <row r="1403">
      <c r="A1403" s="15"/>
    </row>
    <row r="1404">
      <c r="A1404" s="15"/>
    </row>
    <row r="1405">
      <c r="A1405" s="15"/>
    </row>
    <row r="1406">
      <c r="A1406" s="15"/>
    </row>
    <row r="1407">
      <c r="A1407" s="15"/>
    </row>
    <row r="1408">
      <c r="A1408" s="15"/>
    </row>
    <row r="1409">
      <c r="A1409" s="15"/>
    </row>
    <row r="1410">
      <c r="A1410" s="15"/>
    </row>
    <row r="1411">
      <c r="A1411" s="15"/>
    </row>
    <row r="1412">
      <c r="A1412" s="15"/>
    </row>
    <row r="1413">
      <c r="A1413" s="15"/>
    </row>
    <row r="1414">
      <c r="A1414" s="15"/>
    </row>
    <row r="1415">
      <c r="A1415" s="15"/>
    </row>
    <row r="1416">
      <c r="A1416" s="15"/>
    </row>
    <row r="1417">
      <c r="A1417" s="15"/>
    </row>
    <row r="1418">
      <c r="A1418" s="15"/>
    </row>
    <row r="1419">
      <c r="A1419" s="15"/>
    </row>
    <row r="1420">
      <c r="A1420" s="15"/>
    </row>
    <row r="1421">
      <c r="A1421" s="15"/>
    </row>
    <row r="1422">
      <c r="A1422" s="15"/>
    </row>
    <row r="1423">
      <c r="A1423" s="15"/>
    </row>
    <row r="1424">
      <c r="A1424" s="15"/>
    </row>
    <row r="1425">
      <c r="A1425" s="15"/>
    </row>
    <row r="1426">
      <c r="A1426" s="15"/>
    </row>
    <row r="1427">
      <c r="A1427" s="15"/>
    </row>
    <row r="1428">
      <c r="A1428" s="15"/>
    </row>
    <row r="1429">
      <c r="A1429" s="15"/>
    </row>
    <row r="1430">
      <c r="A1430" s="15"/>
    </row>
    <row r="1431">
      <c r="A1431" s="15"/>
    </row>
    <row r="1432">
      <c r="A1432" s="15"/>
    </row>
    <row r="1433">
      <c r="A1433" s="15"/>
    </row>
    <row r="1434">
      <c r="A1434" s="15"/>
    </row>
    <row r="1435">
      <c r="A1435" s="15"/>
    </row>
    <row r="1436">
      <c r="A1436" s="15"/>
    </row>
    <row r="1437">
      <c r="A1437" s="15"/>
    </row>
    <row r="1438">
      <c r="A1438" s="15"/>
    </row>
    <row r="1439">
      <c r="A1439" s="15"/>
    </row>
    <row r="1440">
      <c r="A1440" s="15"/>
    </row>
    <row r="1441">
      <c r="A1441" s="15"/>
    </row>
    <row r="1442">
      <c r="A1442" s="15"/>
    </row>
    <row r="1443">
      <c r="A1443" s="15"/>
    </row>
    <row r="1444">
      <c r="A1444" s="15"/>
    </row>
    <row r="1445">
      <c r="A1445" s="15"/>
    </row>
    <row r="1446">
      <c r="A1446" s="15"/>
    </row>
    <row r="1447">
      <c r="A1447" s="15"/>
    </row>
    <row r="1448">
      <c r="A1448" s="15"/>
    </row>
    <row r="1449">
      <c r="A1449" s="15"/>
    </row>
    <row r="1450">
      <c r="A1450" s="15"/>
    </row>
    <row r="1451">
      <c r="A1451" s="15"/>
    </row>
    <row r="1452">
      <c r="A1452" s="15"/>
    </row>
    <row r="1453">
      <c r="A1453" s="15"/>
    </row>
    <row r="1454">
      <c r="A1454" s="15"/>
    </row>
    <row r="1455">
      <c r="A1455" s="15"/>
    </row>
    <row r="1456">
      <c r="A1456" s="15"/>
    </row>
    <row r="1457">
      <c r="A1457" s="15"/>
    </row>
    <row r="1458">
      <c r="A1458" s="15"/>
    </row>
    <row r="1459">
      <c r="A1459" s="15"/>
    </row>
    <row r="1460">
      <c r="A1460" s="15"/>
    </row>
    <row r="1461">
      <c r="A1461" s="15"/>
    </row>
    <row r="1462">
      <c r="A1462" s="15"/>
    </row>
    <row r="1463">
      <c r="A1463" s="15"/>
    </row>
    <row r="1464">
      <c r="A1464" s="15"/>
    </row>
    <row r="1465">
      <c r="A1465" s="15"/>
    </row>
    <row r="1466">
      <c r="A1466" s="15"/>
    </row>
    <row r="1467">
      <c r="A1467" s="15"/>
    </row>
    <row r="1468">
      <c r="A1468" s="15"/>
    </row>
    <row r="1469">
      <c r="A1469" s="15"/>
    </row>
    <row r="1470">
      <c r="A1470" s="15"/>
    </row>
    <row r="1471">
      <c r="A1471" s="15"/>
    </row>
    <row r="1472">
      <c r="A1472" s="15"/>
    </row>
    <row r="1473">
      <c r="A1473" s="15"/>
    </row>
    <row r="1474">
      <c r="A1474" s="15"/>
    </row>
    <row r="1475">
      <c r="A1475" s="15"/>
    </row>
    <row r="1476">
      <c r="A1476" s="15"/>
    </row>
    <row r="1477">
      <c r="A1477" s="15"/>
    </row>
    <row r="1478">
      <c r="A1478" s="15"/>
    </row>
    <row r="1479">
      <c r="A1479" s="15"/>
    </row>
    <row r="1480">
      <c r="A1480" s="15"/>
    </row>
    <row r="1481">
      <c r="A1481" s="15"/>
    </row>
    <row r="1482">
      <c r="A1482" s="15"/>
    </row>
    <row r="1483">
      <c r="A1483" s="15"/>
    </row>
    <row r="1484">
      <c r="A1484" s="15"/>
    </row>
    <row r="1485">
      <c r="A1485" s="15"/>
    </row>
    <row r="1486">
      <c r="A1486" s="15"/>
    </row>
    <row r="1487">
      <c r="A1487" s="15"/>
    </row>
    <row r="1488">
      <c r="A1488" s="15"/>
    </row>
    <row r="1489">
      <c r="A1489" s="15"/>
    </row>
    <row r="1490">
      <c r="A1490" s="15"/>
    </row>
    <row r="1491">
      <c r="A1491" s="15"/>
    </row>
    <row r="1492">
      <c r="A1492" s="15"/>
    </row>
    <row r="1493">
      <c r="A1493" s="15"/>
    </row>
    <row r="1494">
      <c r="A1494" s="15"/>
    </row>
    <row r="1495">
      <c r="A1495" s="15"/>
    </row>
    <row r="1496">
      <c r="A1496" s="15"/>
    </row>
    <row r="1497">
      <c r="A1497" s="15"/>
    </row>
    <row r="1498">
      <c r="A1498" s="15"/>
    </row>
    <row r="1499">
      <c r="A1499" s="15"/>
    </row>
    <row r="1500">
      <c r="A1500" s="15"/>
    </row>
    <row r="1501">
      <c r="A1501" s="15"/>
    </row>
    <row r="1502">
      <c r="A1502" s="15"/>
    </row>
    <row r="1503">
      <c r="A1503" s="15"/>
    </row>
    <row r="1504">
      <c r="A1504" s="15"/>
    </row>
    <row r="1505">
      <c r="A1505" s="15"/>
    </row>
    <row r="1506">
      <c r="A1506" s="15"/>
    </row>
    <row r="1507">
      <c r="A1507" s="15"/>
    </row>
    <row r="1508">
      <c r="A1508" s="15"/>
    </row>
    <row r="1509">
      <c r="A1509" s="15"/>
    </row>
    <row r="1510">
      <c r="A1510" s="15"/>
    </row>
    <row r="1511">
      <c r="A1511" s="15"/>
    </row>
    <row r="1512">
      <c r="A1512" s="15"/>
    </row>
    <row r="1513">
      <c r="A1513" s="15"/>
    </row>
    <row r="1514">
      <c r="A1514" s="15"/>
    </row>
    <row r="1515">
      <c r="A1515" s="15"/>
    </row>
    <row r="1516">
      <c r="A1516" s="15"/>
    </row>
    <row r="1517">
      <c r="A1517" s="15"/>
    </row>
    <row r="1518">
      <c r="A1518" s="15"/>
    </row>
    <row r="1519">
      <c r="A1519" s="15"/>
    </row>
    <row r="1520">
      <c r="A1520" s="15"/>
    </row>
    <row r="1521">
      <c r="A1521" s="15"/>
    </row>
    <row r="1522">
      <c r="A1522" s="15"/>
    </row>
    <row r="1523">
      <c r="A1523" s="15"/>
    </row>
    <row r="1524">
      <c r="A1524" s="15"/>
    </row>
    <row r="1525">
      <c r="A1525" s="15"/>
    </row>
    <row r="1526">
      <c r="A1526" s="15"/>
    </row>
    <row r="1527">
      <c r="A1527" s="15"/>
    </row>
    <row r="1528">
      <c r="A1528" s="15"/>
    </row>
    <row r="1529">
      <c r="A1529" s="15"/>
    </row>
    <row r="1530">
      <c r="A1530" s="15"/>
    </row>
    <row r="1531">
      <c r="A1531" s="15"/>
    </row>
    <row r="1532">
      <c r="A1532" s="15"/>
    </row>
    <row r="1533">
      <c r="A1533" s="15"/>
    </row>
    <row r="1534">
      <c r="A1534" s="15"/>
    </row>
    <row r="1535">
      <c r="A1535" s="15"/>
    </row>
    <row r="1536">
      <c r="A1536" s="15"/>
    </row>
    <row r="1537">
      <c r="A1537" s="15"/>
    </row>
    <row r="1538">
      <c r="A1538" s="15"/>
    </row>
    <row r="1539">
      <c r="A1539" s="15"/>
    </row>
    <row r="1540">
      <c r="A1540" s="15"/>
    </row>
    <row r="1541">
      <c r="A1541" s="15"/>
    </row>
    <row r="1542">
      <c r="A1542" s="15"/>
    </row>
    <row r="1543">
      <c r="A1543" s="15"/>
    </row>
    <row r="1544">
      <c r="A1544" s="15"/>
    </row>
    <row r="1545">
      <c r="A1545" s="15"/>
    </row>
    <row r="1546">
      <c r="A1546" s="15"/>
    </row>
    <row r="1547">
      <c r="A1547" s="15"/>
    </row>
    <row r="1548">
      <c r="A1548" s="15"/>
    </row>
    <row r="1549">
      <c r="A1549" s="15"/>
    </row>
    <row r="1550">
      <c r="A1550" s="15"/>
    </row>
    <row r="1551">
      <c r="A1551" s="15"/>
    </row>
    <row r="1552">
      <c r="A1552" s="15"/>
    </row>
    <row r="1553">
      <c r="A1553" s="15"/>
    </row>
    <row r="1554">
      <c r="A1554" s="15"/>
    </row>
    <row r="1555">
      <c r="A1555" s="15"/>
    </row>
    <row r="1556">
      <c r="A1556" s="15"/>
    </row>
    <row r="1557">
      <c r="A1557" s="15"/>
    </row>
    <row r="1558">
      <c r="A1558" s="15"/>
    </row>
    <row r="1559">
      <c r="A1559" s="15"/>
    </row>
    <row r="1560">
      <c r="A1560" s="15"/>
    </row>
    <row r="1561">
      <c r="A1561" s="15"/>
    </row>
    <row r="1562">
      <c r="A1562" s="15"/>
    </row>
    <row r="1563">
      <c r="A1563" s="15"/>
    </row>
    <row r="1564">
      <c r="A1564" s="15"/>
    </row>
    <row r="1565">
      <c r="A1565" s="15"/>
    </row>
    <row r="1566">
      <c r="A1566" s="15"/>
    </row>
    <row r="1567">
      <c r="A1567" s="15"/>
    </row>
    <row r="1568">
      <c r="A1568" s="15"/>
    </row>
    <row r="1569">
      <c r="A1569" s="15"/>
    </row>
    <row r="1570">
      <c r="A1570" s="15"/>
    </row>
    <row r="1571">
      <c r="A1571" s="15"/>
    </row>
    <row r="1572">
      <c r="A1572" s="15"/>
    </row>
    <row r="1573">
      <c r="A1573" s="15"/>
    </row>
    <row r="1574">
      <c r="A1574" s="15"/>
    </row>
    <row r="1575">
      <c r="A1575" s="15"/>
    </row>
    <row r="1576">
      <c r="A1576" s="15"/>
    </row>
    <row r="1577">
      <c r="A1577" s="15"/>
    </row>
    <row r="1578">
      <c r="A1578" s="15"/>
    </row>
    <row r="1579">
      <c r="A1579" s="15"/>
    </row>
    <row r="1580">
      <c r="A1580" s="15"/>
    </row>
    <row r="1581">
      <c r="A1581" s="15"/>
    </row>
    <row r="1582">
      <c r="A1582" s="15"/>
    </row>
    <row r="1583">
      <c r="A1583" s="15"/>
    </row>
    <row r="1584">
      <c r="A1584" s="15"/>
    </row>
    <row r="1585">
      <c r="A1585" s="15"/>
    </row>
    <row r="1586">
      <c r="A1586" s="15"/>
    </row>
    <row r="1587">
      <c r="A1587" s="15"/>
    </row>
    <row r="1588">
      <c r="A1588" s="15"/>
    </row>
    <row r="1589">
      <c r="A1589" s="15"/>
    </row>
    <row r="1590">
      <c r="A1590" s="15"/>
    </row>
    <row r="1591">
      <c r="A1591" s="15"/>
    </row>
    <row r="1592">
      <c r="A1592" s="15"/>
    </row>
    <row r="1593">
      <c r="A1593" s="15"/>
    </row>
    <row r="1594">
      <c r="A1594" s="15"/>
    </row>
    <row r="1595">
      <c r="A1595" s="15"/>
    </row>
    <row r="1596">
      <c r="A1596" s="15"/>
    </row>
    <row r="1597">
      <c r="A1597" s="15"/>
    </row>
    <row r="1598">
      <c r="A1598" s="15"/>
    </row>
    <row r="1599">
      <c r="A1599" s="15"/>
    </row>
    <row r="1600">
      <c r="A1600" s="15"/>
    </row>
    <row r="1601">
      <c r="A1601" s="15"/>
    </row>
    <row r="1602">
      <c r="A1602" s="15"/>
    </row>
    <row r="1603">
      <c r="A1603" s="15"/>
    </row>
    <row r="1604">
      <c r="A1604" s="15"/>
    </row>
    <row r="1605">
      <c r="A1605" s="15"/>
    </row>
    <row r="1606">
      <c r="A1606" s="15"/>
    </row>
    <row r="1607">
      <c r="A1607" s="15"/>
    </row>
    <row r="1608">
      <c r="A1608" s="15"/>
    </row>
    <row r="1609">
      <c r="A1609" s="15"/>
    </row>
    <row r="1610">
      <c r="A1610" s="15"/>
    </row>
    <row r="1611">
      <c r="A1611" s="15"/>
    </row>
    <row r="1612">
      <c r="A1612" s="15"/>
    </row>
    <row r="1613">
      <c r="A1613" s="15"/>
    </row>
    <row r="1614">
      <c r="A1614" s="15"/>
    </row>
    <row r="1615">
      <c r="A1615" s="15"/>
    </row>
    <row r="1616">
      <c r="A1616" s="15"/>
    </row>
    <row r="1617">
      <c r="A1617" s="15"/>
    </row>
    <row r="1618">
      <c r="A1618" s="15"/>
    </row>
    <row r="1619">
      <c r="A1619" s="15"/>
    </row>
    <row r="1620">
      <c r="A1620" s="15"/>
    </row>
    <row r="1621">
      <c r="A1621" s="15"/>
    </row>
    <row r="1622">
      <c r="A1622" s="15"/>
    </row>
    <row r="1623">
      <c r="A1623" s="15"/>
    </row>
    <row r="1624">
      <c r="A1624" s="15"/>
    </row>
    <row r="1625">
      <c r="A1625" s="15"/>
    </row>
    <row r="1626">
      <c r="A1626" s="15"/>
    </row>
    <row r="1627">
      <c r="A1627" s="15"/>
    </row>
    <row r="1628">
      <c r="A1628" s="15"/>
    </row>
    <row r="1629">
      <c r="A1629" s="15"/>
    </row>
    <row r="1630">
      <c r="A1630" s="15"/>
    </row>
    <row r="1631">
      <c r="A1631" s="15"/>
    </row>
    <row r="1632">
      <c r="A1632" s="15"/>
    </row>
    <row r="1633">
      <c r="A1633" s="15"/>
    </row>
    <row r="1634">
      <c r="A1634" s="15"/>
    </row>
    <row r="1635">
      <c r="A1635" s="15"/>
    </row>
    <row r="1636">
      <c r="A1636" s="15"/>
    </row>
    <row r="1637">
      <c r="A1637" s="15"/>
    </row>
    <row r="1638">
      <c r="A1638" s="15"/>
    </row>
    <row r="1639">
      <c r="A1639" s="15"/>
    </row>
    <row r="1640">
      <c r="A1640" s="15"/>
    </row>
    <row r="1641">
      <c r="A1641" s="15"/>
    </row>
    <row r="1642">
      <c r="A1642" s="15"/>
    </row>
    <row r="1643">
      <c r="A1643" s="15"/>
    </row>
    <row r="1644">
      <c r="A1644" s="15"/>
    </row>
    <row r="1645">
      <c r="A1645" s="15"/>
    </row>
    <row r="1646">
      <c r="A1646" s="15"/>
    </row>
    <row r="1647">
      <c r="A1647" s="15"/>
    </row>
    <row r="1648">
      <c r="A1648" s="15"/>
    </row>
    <row r="1649">
      <c r="A1649" s="15"/>
    </row>
    <row r="1650">
      <c r="A1650" s="15"/>
    </row>
    <row r="1651">
      <c r="A1651" s="15"/>
    </row>
    <row r="1652">
      <c r="A1652" s="15"/>
    </row>
    <row r="1653">
      <c r="A1653" s="15"/>
    </row>
    <row r="1654">
      <c r="A1654" s="15"/>
    </row>
    <row r="1655">
      <c r="A1655" s="15"/>
    </row>
    <row r="1656">
      <c r="A1656" s="15"/>
    </row>
    <row r="1657">
      <c r="A1657" s="15"/>
    </row>
    <row r="1658">
      <c r="A1658" s="15"/>
    </row>
    <row r="1659">
      <c r="A1659" s="15"/>
    </row>
    <row r="1660">
      <c r="A1660" s="15"/>
    </row>
    <row r="1661">
      <c r="A1661" s="15"/>
    </row>
    <row r="1662">
      <c r="A1662" s="15"/>
    </row>
    <row r="1663">
      <c r="A1663" s="15"/>
    </row>
    <row r="1664">
      <c r="A1664" s="15"/>
    </row>
    <row r="1665">
      <c r="A1665" s="15"/>
    </row>
    <row r="1666">
      <c r="A1666" s="15"/>
    </row>
    <row r="1667">
      <c r="A1667" s="15"/>
    </row>
    <row r="1668">
      <c r="A1668" s="15"/>
    </row>
    <row r="1669">
      <c r="A1669" s="15"/>
    </row>
    <row r="1670">
      <c r="A1670" s="15"/>
    </row>
    <row r="1671">
      <c r="A1671" s="15"/>
    </row>
    <row r="1672">
      <c r="A1672" s="15"/>
    </row>
    <row r="1673">
      <c r="A1673" s="15"/>
    </row>
    <row r="1674">
      <c r="A1674" s="15"/>
    </row>
    <row r="1675">
      <c r="A1675" s="15"/>
    </row>
    <row r="1676">
      <c r="A1676" s="15"/>
    </row>
    <row r="1677">
      <c r="A1677" s="15"/>
    </row>
    <row r="1678">
      <c r="A1678" s="15"/>
    </row>
    <row r="1679">
      <c r="A1679" s="15"/>
    </row>
    <row r="1680">
      <c r="A1680" s="15"/>
    </row>
    <row r="1681">
      <c r="A1681" s="15"/>
    </row>
    <row r="1682">
      <c r="A1682" s="15"/>
    </row>
    <row r="1683">
      <c r="A1683" s="15"/>
    </row>
    <row r="1684">
      <c r="A1684" s="15"/>
    </row>
    <row r="1685">
      <c r="A1685" s="15"/>
    </row>
    <row r="1686">
      <c r="A1686" s="15"/>
    </row>
    <row r="1687">
      <c r="A1687" s="15"/>
    </row>
    <row r="1688">
      <c r="A1688" s="15"/>
    </row>
    <row r="1689">
      <c r="A1689" s="15"/>
    </row>
    <row r="1690">
      <c r="A1690" s="15"/>
    </row>
    <row r="1691">
      <c r="A1691" s="15"/>
    </row>
    <row r="1692">
      <c r="A1692" s="15"/>
    </row>
    <row r="1693">
      <c r="A1693" s="15"/>
    </row>
    <row r="1694">
      <c r="A1694" s="15"/>
    </row>
    <row r="1695">
      <c r="A1695" s="15"/>
    </row>
    <row r="1696">
      <c r="A1696" s="15"/>
    </row>
    <row r="1697">
      <c r="A1697" s="15"/>
    </row>
    <row r="1698">
      <c r="A1698" s="15"/>
    </row>
    <row r="1699">
      <c r="A1699" s="15"/>
    </row>
    <row r="1700">
      <c r="A1700" s="15"/>
    </row>
    <row r="1701">
      <c r="A1701" s="15"/>
    </row>
    <row r="1702">
      <c r="A1702" s="15"/>
    </row>
    <row r="1703">
      <c r="A1703" s="15"/>
    </row>
    <row r="1704">
      <c r="A1704" s="15"/>
    </row>
    <row r="1705">
      <c r="A1705" s="15"/>
    </row>
    <row r="1706">
      <c r="A1706" s="15"/>
    </row>
    <row r="1707">
      <c r="A1707" s="15"/>
    </row>
    <row r="1708">
      <c r="A1708" s="15"/>
    </row>
    <row r="1709">
      <c r="A1709" s="15"/>
    </row>
    <row r="1710">
      <c r="A1710" s="15"/>
    </row>
    <row r="1711">
      <c r="A1711" s="15"/>
    </row>
    <row r="1712">
      <c r="A1712" s="15"/>
    </row>
    <row r="1713">
      <c r="A1713" s="15"/>
    </row>
    <row r="1714">
      <c r="A1714" s="15"/>
    </row>
    <row r="1715">
      <c r="A1715" s="15"/>
    </row>
    <row r="1716">
      <c r="A1716" s="15"/>
    </row>
    <row r="1717">
      <c r="A1717" s="15"/>
    </row>
    <row r="1718">
      <c r="A1718" s="15"/>
    </row>
    <row r="1719">
      <c r="A1719" s="15"/>
    </row>
    <row r="1720">
      <c r="A1720" s="15"/>
    </row>
    <row r="1721">
      <c r="A1721" s="15"/>
    </row>
    <row r="1722">
      <c r="A1722" s="15"/>
    </row>
    <row r="1723">
      <c r="A1723" s="15"/>
    </row>
    <row r="1724">
      <c r="A1724" s="15"/>
    </row>
    <row r="1725">
      <c r="A1725" s="15"/>
    </row>
    <row r="1726">
      <c r="A1726" s="15"/>
    </row>
    <row r="1727">
      <c r="A1727" s="15"/>
    </row>
    <row r="1728">
      <c r="A1728" s="15"/>
    </row>
    <row r="1729">
      <c r="A1729" s="15"/>
    </row>
    <row r="1730">
      <c r="A1730" s="15"/>
    </row>
    <row r="1731">
      <c r="A1731" s="15"/>
    </row>
    <row r="1732">
      <c r="A1732" s="15"/>
    </row>
    <row r="1733">
      <c r="A1733" s="15"/>
    </row>
    <row r="1734">
      <c r="A1734" s="15"/>
    </row>
    <row r="1735">
      <c r="A1735" s="15"/>
    </row>
    <row r="1736">
      <c r="A1736" s="15"/>
    </row>
    <row r="1737">
      <c r="A1737" s="15"/>
    </row>
    <row r="1738">
      <c r="A1738" s="15"/>
    </row>
    <row r="1739">
      <c r="A1739" s="15"/>
    </row>
    <row r="1740">
      <c r="A1740" s="15"/>
    </row>
    <row r="1741">
      <c r="A1741" s="15"/>
    </row>
    <row r="1742">
      <c r="A1742" s="15"/>
    </row>
    <row r="1743">
      <c r="A1743" s="15"/>
    </row>
    <row r="1744">
      <c r="A1744" s="15"/>
    </row>
    <row r="1745">
      <c r="A1745" s="15"/>
    </row>
    <row r="1746">
      <c r="A1746" s="15"/>
    </row>
    <row r="1747">
      <c r="A1747" s="15"/>
    </row>
    <row r="1748">
      <c r="A1748" s="15"/>
    </row>
    <row r="1749">
      <c r="A1749" s="15"/>
    </row>
    <row r="1750">
      <c r="A1750" s="15"/>
    </row>
    <row r="1751">
      <c r="A1751" s="15"/>
    </row>
    <row r="1752">
      <c r="A1752" s="15"/>
    </row>
    <row r="1753">
      <c r="A1753" s="15"/>
    </row>
    <row r="1754">
      <c r="A1754" s="15"/>
    </row>
    <row r="1755">
      <c r="A1755" s="15"/>
    </row>
    <row r="1756">
      <c r="A1756" s="15"/>
    </row>
    <row r="1757">
      <c r="A1757" s="15"/>
    </row>
    <row r="1758">
      <c r="A1758" s="15"/>
    </row>
    <row r="1759">
      <c r="A1759" s="15"/>
    </row>
    <row r="1760">
      <c r="A1760" s="15"/>
    </row>
    <row r="1761">
      <c r="A1761" s="15"/>
    </row>
    <row r="1762">
      <c r="A1762" s="15"/>
    </row>
    <row r="1763">
      <c r="A1763" s="15"/>
    </row>
    <row r="1764">
      <c r="A1764" s="15"/>
    </row>
    <row r="1765">
      <c r="A1765" s="15"/>
    </row>
    <row r="1766">
      <c r="A1766" s="15"/>
    </row>
    <row r="1767">
      <c r="A1767" s="15"/>
    </row>
    <row r="1768">
      <c r="A1768" s="15"/>
    </row>
    <row r="1769">
      <c r="A1769" s="15"/>
    </row>
    <row r="1770">
      <c r="A1770" s="15"/>
    </row>
    <row r="1771">
      <c r="A1771" s="15"/>
    </row>
    <row r="1772">
      <c r="A1772" s="15"/>
    </row>
    <row r="1773">
      <c r="A1773" s="15"/>
    </row>
    <row r="1774">
      <c r="A1774" s="15"/>
    </row>
    <row r="1775">
      <c r="A1775" s="15"/>
    </row>
    <row r="1776">
      <c r="A1776" s="15"/>
    </row>
    <row r="1777">
      <c r="A1777" s="15"/>
    </row>
    <row r="1778">
      <c r="A1778" s="15"/>
    </row>
    <row r="1779">
      <c r="A1779" s="15"/>
    </row>
    <row r="1780">
      <c r="A1780" s="15"/>
    </row>
    <row r="1781">
      <c r="A1781" s="15"/>
    </row>
    <row r="1782">
      <c r="A1782" s="15"/>
    </row>
    <row r="1783">
      <c r="A1783" s="15"/>
    </row>
    <row r="1784">
      <c r="A1784" s="15"/>
    </row>
    <row r="1785">
      <c r="A1785" s="15"/>
    </row>
    <row r="1786">
      <c r="A1786" s="15"/>
    </row>
    <row r="1787">
      <c r="A1787" s="15"/>
    </row>
    <row r="1788">
      <c r="A1788" s="15"/>
    </row>
    <row r="1789">
      <c r="A1789" s="15"/>
    </row>
    <row r="1790">
      <c r="A1790" s="15"/>
    </row>
    <row r="1791">
      <c r="A1791" s="15"/>
    </row>
    <row r="1792">
      <c r="A1792" s="15"/>
    </row>
    <row r="1793">
      <c r="A1793" s="15"/>
    </row>
    <row r="1794">
      <c r="A1794" s="15"/>
    </row>
    <row r="1795">
      <c r="A1795" s="15"/>
    </row>
    <row r="1796">
      <c r="A1796" s="15"/>
    </row>
    <row r="1797">
      <c r="A1797" s="15"/>
    </row>
    <row r="1798">
      <c r="A1798" s="15"/>
    </row>
    <row r="1799">
      <c r="A1799" s="15"/>
    </row>
    <row r="1800">
      <c r="A1800" s="15"/>
    </row>
    <row r="1801">
      <c r="A1801" s="15"/>
    </row>
    <row r="1802">
      <c r="A1802" s="15"/>
    </row>
    <row r="1803">
      <c r="A1803" s="15"/>
    </row>
    <row r="1804">
      <c r="A1804" s="15"/>
    </row>
    <row r="1805">
      <c r="A1805" s="15"/>
    </row>
    <row r="1806">
      <c r="A1806" s="15"/>
    </row>
    <row r="1807">
      <c r="A1807" s="15"/>
    </row>
    <row r="1808">
      <c r="A1808" s="15"/>
    </row>
    <row r="1809">
      <c r="A1809" s="15"/>
    </row>
    <row r="1810">
      <c r="A1810" s="15"/>
    </row>
    <row r="1811">
      <c r="A1811" s="15"/>
    </row>
    <row r="1812">
      <c r="A1812" s="15"/>
    </row>
    <row r="1813">
      <c r="A1813" s="15"/>
    </row>
    <row r="1814">
      <c r="A1814" s="15"/>
    </row>
    <row r="1815">
      <c r="A1815" s="15"/>
    </row>
    <row r="1816">
      <c r="A1816" s="15"/>
    </row>
    <row r="1817">
      <c r="A1817" s="15"/>
    </row>
    <row r="1818">
      <c r="A1818" s="15"/>
    </row>
    <row r="1819">
      <c r="A1819" s="15"/>
    </row>
    <row r="1820">
      <c r="A1820" s="15"/>
    </row>
    <row r="1821">
      <c r="A1821" s="15"/>
    </row>
    <row r="1822">
      <c r="A1822" s="15"/>
    </row>
    <row r="1823">
      <c r="A1823" s="15"/>
    </row>
    <row r="1824">
      <c r="A1824" s="15"/>
    </row>
    <row r="1825">
      <c r="A1825" s="15"/>
    </row>
    <row r="1826">
      <c r="A1826" s="15"/>
    </row>
    <row r="1827">
      <c r="A1827" s="15"/>
    </row>
    <row r="1828">
      <c r="A1828" s="15"/>
    </row>
    <row r="1829">
      <c r="A1829" s="15"/>
    </row>
    <row r="1830">
      <c r="A1830" s="15"/>
    </row>
    <row r="1831">
      <c r="A1831" s="15"/>
    </row>
    <row r="1832">
      <c r="A1832" s="15"/>
    </row>
    <row r="1833">
      <c r="A1833" s="15"/>
    </row>
    <row r="1834">
      <c r="A1834" s="15"/>
    </row>
    <row r="1835">
      <c r="A1835" s="15"/>
    </row>
    <row r="1836">
      <c r="A1836" s="15"/>
    </row>
    <row r="1837">
      <c r="A1837" s="15"/>
    </row>
    <row r="1838">
      <c r="A1838" s="15"/>
    </row>
    <row r="1839">
      <c r="A1839" s="15"/>
    </row>
    <row r="1840">
      <c r="A1840" s="15"/>
    </row>
    <row r="1841">
      <c r="A1841" s="15"/>
    </row>
    <row r="1842">
      <c r="A1842" s="15"/>
    </row>
    <row r="1843">
      <c r="A1843" s="15"/>
    </row>
    <row r="1844">
      <c r="A1844" s="15"/>
    </row>
    <row r="1845">
      <c r="A1845" s="15"/>
    </row>
    <row r="1846">
      <c r="A1846" s="15"/>
    </row>
    <row r="1847">
      <c r="A1847" s="15"/>
    </row>
    <row r="1848">
      <c r="A1848" s="15"/>
    </row>
    <row r="1849">
      <c r="A1849" s="15"/>
    </row>
    <row r="1850">
      <c r="A1850" s="15"/>
    </row>
    <row r="1851">
      <c r="A1851" s="15"/>
    </row>
    <row r="1852">
      <c r="A1852" s="15"/>
    </row>
    <row r="1853">
      <c r="A1853" s="15"/>
    </row>
    <row r="1854">
      <c r="A1854" s="15"/>
    </row>
    <row r="1855">
      <c r="A1855" s="15"/>
    </row>
    <row r="1856">
      <c r="A1856" s="15"/>
    </row>
    <row r="1857">
      <c r="A1857" s="15"/>
    </row>
    <row r="1858">
      <c r="A1858" s="15"/>
    </row>
    <row r="1859">
      <c r="A1859" s="15"/>
    </row>
    <row r="1860">
      <c r="A1860" s="15"/>
    </row>
    <row r="1861">
      <c r="A1861" s="15"/>
    </row>
    <row r="1862">
      <c r="A1862" s="15"/>
    </row>
    <row r="1863">
      <c r="A1863" s="15"/>
    </row>
    <row r="1864">
      <c r="A1864" s="15"/>
    </row>
    <row r="1865">
      <c r="A1865" s="15"/>
    </row>
    <row r="1866">
      <c r="A1866" s="15"/>
    </row>
    <row r="1867">
      <c r="A1867" s="15"/>
    </row>
    <row r="1868">
      <c r="A1868" s="15"/>
    </row>
    <row r="1869">
      <c r="A1869" s="15"/>
    </row>
    <row r="1870">
      <c r="A1870" s="15"/>
    </row>
    <row r="1871">
      <c r="A1871" s="15"/>
    </row>
    <row r="1872">
      <c r="A1872" s="15"/>
    </row>
    <row r="1873">
      <c r="A1873" s="15"/>
    </row>
    <row r="1874">
      <c r="A1874" s="15"/>
    </row>
    <row r="1875">
      <c r="A1875" s="15"/>
    </row>
    <row r="1876">
      <c r="A1876" s="15"/>
    </row>
    <row r="1877">
      <c r="A1877" s="15"/>
    </row>
    <row r="1878">
      <c r="A1878" s="15"/>
    </row>
    <row r="1879">
      <c r="A1879" s="15"/>
    </row>
    <row r="1880">
      <c r="A1880" s="15"/>
    </row>
    <row r="1881">
      <c r="A1881" s="15"/>
    </row>
    <row r="1882">
      <c r="A1882" s="15"/>
    </row>
    <row r="1883">
      <c r="A1883" s="15"/>
    </row>
    <row r="1884">
      <c r="A1884" s="15"/>
    </row>
    <row r="1885">
      <c r="A1885" s="15"/>
    </row>
    <row r="1886">
      <c r="A1886" s="15"/>
    </row>
    <row r="1887">
      <c r="A1887" s="15"/>
    </row>
    <row r="1888">
      <c r="A1888" s="15"/>
    </row>
    <row r="1889">
      <c r="A1889" s="15"/>
    </row>
    <row r="1890">
      <c r="A1890" s="15"/>
    </row>
    <row r="1891">
      <c r="A1891" s="15"/>
    </row>
    <row r="1892">
      <c r="A1892" s="15"/>
    </row>
    <row r="1893">
      <c r="A1893" s="15"/>
    </row>
    <row r="1894">
      <c r="A1894" s="15"/>
    </row>
    <row r="1895">
      <c r="A1895" s="15"/>
    </row>
    <row r="1896">
      <c r="A1896" s="15"/>
    </row>
    <row r="1897">
      <c r="A1897" s="15"/>
    </row>
    <row r="1898">
      <c r="A1898" s="15"/>
    </row>
    <row r="1899">
      <c r="A1899" s="15"/>
    </row>
    <row r="1900">
      <c r="A1900" s="15"/>
    </row>
    <row r="1901">
      <c r="A1901" s="15"/>
    </row>
    <row r="1902">
      <c r="A1902" s="15"/>
    </row>
    <row r="1903">
      <c r="A1903" s="15"/>
    </row>
    <row r="1904">
      <c r="A1904" s="15"/>
    </row>
    <row r="1905">
      <c r="A1905" s="15"/>
    </row>
    <row r="1906">
      <c r="A1906" s="15"/>
    </row>
    <row r="1907">
      <c r="A1907" s="15"/>
    </row>
    <row r="1908">
      <c r="A1908" s="15"/>
    </row>
    <row r="1909">
      <c r="A1909" s="15"/>
    </row>
    <row r="1910">
      <c r="A1910" s="15"/>
    </row>
    <row r="1911">
      <c r="A1911" s="15"/>
    </row>
    <row r="1912">
      <c r="A1912" s="15"/>
    </row>
    <row r="1913">
      <c r="A1913" s="15"/>
    </row>
    <row r="1914">
      <c r="A1914" s="15"/>
    </row>
    <row r="1915">
      <c r="A1915" s="15"/>
    </row>
    <row r="1916">
      <c r="A1916" s="15"/>
    </row>
    <row r="1917">
      <c r="A1917" s="15"/>
    </row>
    <row r="1918">
      <c r="A1918" s="15"/>
    </row>
    <row r="1919">
      <c r="A1919" s="15"/>
    </row>
    <row r="1920">
      <c r="A1920" s="15"/>
    </row>
    <row r="1921">
      <c r="A1921" s="15"/>
    </row>
    <row r="1922">
      <c r="A1922" s="15"/>
    </row>
    <row r="1923">
      <c r="A1923" s="15"/>
    </row>
    <row r="1924">
      <c r="A1924" s="15"/>
    </row>
    <row r="1925">
      <c r="A1925" s="15"/>
    </row>
    <row r="1926">
      <c r="A1926" s="15"/>
    </row>
    <row r="1927">
      <c r="A1927" s="15"/>
    </row>
    <row r="1928">
      <c r="A1928" s="15"/>
    </row>
    <row r="1929">
      <c r="A1929" s="15"/>
    </row>
    <row r="1930">
      <c r="A1930" s="15"/>
    </row>
    <row r="1931">
      <c r="A1931" s="15"/>
    </row>
    <row r="1932">
      <c r="A1932" s="15"/>
    </row>
    <row r="1933">
      <c r="A1933" s="15"/>
    </row>
    <row r="1934">
      <c r="A1934" s="15"/>
    </row>
    <row r="1935">
      <c r="A1935" s="15"/>
    </row>
    <row r="1936">
      <c r="A1936" s="15"/>
    </row>
    <row r="1937">
      <c r="A1937" s="15"/>
    </row>
    <row r="1938">
      <c r="A1938" s="15"/>
    </row>
    <row r="1939">
      <c r="A1939" s="15"/>
    </row>
    <row r="1940">
      <c r="A1940" s="15"/>
    </row>
    <row r="1941">
      <c r="A1941" s="15"/>
    </row>
    <row r="1942">
      <c r="A1942" s="15"/>
    </row>
    <row r="1943">
      <c r="A1943" s="15"/>
    </row>
    <row r="1944">
      <c r="A1944" s="15"/>
    </row>
    <row r="1945">
      <c r="A1945" s="15"/>
    </row>
    <row r="1946">
      <c r="A1946" s="15"/>
    </row>
    <row r="1947">
      <c r="A1947" s="15"/>
    </row>
    <row r="1948">
      <c r="A1948" s="15"/>
    </row>
    <row r="1949">
      <c r="A1949" s="15"/>
    </row>
    <row r="1950">
      <c r="A1950" s="15"/>
    </row>
    <row r="1951">
      <c r="A1951" s="15"/>
    </row>
    <row r="1952">
      <c r="A1952" s="15"/>
    </row>
    <row r="1953">
      <c r="A1953" s="15"/>
    </row>
    <row r="1954">
      <c r="A1954" s="15"/>
    </row>
    <row r="1955">
      <c r="A1955" s="15"/>
    </row>
    <row r="1956">
      <c r="A1956" s="15"/>
    </row>
    <row r="1957">
      <c r="A1957" s="15"/>
    </row>
    <row r="1958">
      <c r="A1958" s="15"/>
    </row>
    <row r="1959">
      <c r="A1959" s="15"/>
    </row>
    <row r="1960">
      <c r="A1960" s="15"/>
    </row>
    <row r="1961">
      <c r="A1961" s="15"/>
    </row>
    <row r="1962">
      <c r="A1962" s="15"/>
    </row>
    <row r="1963">
      <c r="A1963" s="15"/>
    </row>
    <row r="1964">
      <c r="A1964" s="15"/>
    </row>
    <row r="1965">
      <c r="A1965" s="15"/>
    </row>
    <row r="1966">
      <c r="A1966" s="15"/>
    </row>
    <row r="1967">
      <c r="A1967" s="15"/>
    </row>
    <row r="1968">
      <c r="A1968" s="15"/>
    </row>
    <row r="1969">
      <c r="A1969" s="15"/>
    </row>
    <row r="1970">
      <c r="A1970" s="15"/>
    </row>
    <row r="1971">
      <c r="A1971" s="15"/>
    </row>
    <row r="1972">
      <c r="A1972" s="15"/>
    </row>
    <row r="1973">
      <c r="A1973" s="15"/>
    </row>
    <row r="1974">
      <c r="A1974" s="15"/>
    </row>
    <row r="1975">
      <c r="A1975" s="15"/>
    </row>
    <row r="1976">
      <c r="A1976" s="15"/>
    </row>
    <row r="1977">
      <c r="A1977" s="15"/>
    </row>
    <row r="1978">
      <c r="A1978" s="15"/>
    </row>
    <row r="1979">
      <c r="A1979" s="15"/>
    </row>
    <row r="1980">
      <c r="A1980" s="15"/>
    </row>
    <row r="1981">
      <c r="A1981" s="15"/>
    </row>
    <row r="1982">
      <c r="A1982" s="15"/>
    </row>
    <row r="1983">
      <c r="A1983" s="15"/>
    </row>
    <row r="1984">
      <c r="A1984" s="15"/>
    </row>
    <row r="1985">
      <c r="A1985" s="15"/>
    </row>
    <row r="1986">
      <c r="A1986" s="15"/>
    </row>
    <row r="1987">
      <c r="A1987" s="15"/>
    </row>
    <row r="1988">
      <c r="A1988" s="15"/>
    </row>
    <row r="1989">
      <c r="A1989" s="15"/>
    </row>
    <row r="1990">
      <c r="A1990" s="15"/>
    </row>
    <row r="1991">
      <c r="A1991" s="15"/>
    </row>
    <row r="1992">
      <c r="A1992" s="15"/>
    </row>
    <row r="1993">
      <c r="A1993" s="15"/>
    </row>
    <row r="1994">
      <c r="A1994" s="15"/>
    </row>
    <row r="1995">
      <c r="A1995" s="15"/>
    </row>
    <row r="1996">
      <c r="A1996" s="15"/>
    </row>
    <row r="1997">
      <c r="A1997" s="15"/>
    </row>
    <row r="1998">
      <c r="A1998" s="15"/>
    </row>
    <row r="1999">
      <c r="A1999" s="15"/>
    </row>
    <row r="2000">
      <c r="A2000" s="15"/>
    </row>
    <row r="2001">
      <c r="A2001" s="15"/>
    </row>
    <row r="2002">
      <c r="A2002" s="15"/>
    </row>
    <row r="2003">
      <c r="A2003" s="15"/>
    </row>
    <row r="2004">
      <c r="A2004" s="15"/>
    </row>
    <row r="2005">
      <c r="A2005" s="15"/>
    </row>
    <row r="2006">
      <c r="A2006" s="15"/>
    </row>
    <row r="2007">
      <c r="A2007" s="15"/>
    </row>
    <row r="2008">
      <c r="A2008" s="15"/>
    </row>
    <row r="2009">
      <c r="A2009" s="15"/>
    </row>
    <row r="2010">
      <c r="A2010" s="15"/>
    </row>
    <row r="2011">
      <c r="A2011" s="15"/>
    </row>
    <row r="2012">
      <c r="A2012" s="15"/>
    </row>
    <row r="2013">
      <c r="A2013" s="15"/>
    </row>
    <row r="2014">
      <c r="A2014" s="15"/>
    </row>
    <row r="2015">
      <c r="A2015" s="15"/>
    </row>
    <row r="2016">
      <c r="A2016" s="15"/>
    </row>
    <row r="2017">
      <c r="A2017" s="15"/>
    </row>
    <row r="2018">
      <c r="A2018" s="15"/>
    </row>
    <row r="2019">
      <c r="A2019" s="15"/>
    </row>
    <row r="2020">
      <c r="A2020" s="15"/>
    </row>
    <row r="2021">
      <c r="A2021" s="15"/>
    </row>
    <row r="2022">
      <c r="A2022" s="15"/>
    </row>
    <row r="2023">
      <c r="A2023" s="15"/>
    </row>
    <row r="2024">
      <c r="A2024" s="15"/>
    </row>
    <row r="2025">
      <c r="A2025" s="15"/>
    </row>
    <row r="2026">
      <c r="A2026" s="15"/>
    </row>
    <row r="2027">
      <c r="A2027" s="15"/>
    </row>
    <row r="2028">
      <c r="A2028" s="15"/>
    </row>
    <row r="2029">
      <c r="A2029" s="15"/>
    </row>
    <row r="2030">
      <c r="A2030" s="15"/>
    </row>
    <row r="2031">
      <c r="A2031" s="15"/>
    </row>
    <row r="2032">
      <c r="A2032" s="15"/>
    </row>
    <row r="2033">
      <c r="A2033" s="15"/>
    </row>
    <row r="2034">
      <c r="A2034" s="15"/>
    </row>
    <row r="2035">
      <c r="A2035" s="15"/>
    </row>
    <row r="2036">
      <c r="A2036" s="15"/>
    </row>
    <row r="2037">
      <c r="A2037" s="15"/>
    </row>
    <row r="2038">
      <c r="A2038" s="15"/>
    </row>
    <row r="2039">
      <c r="A2039" s="15"/>
    </row>
    <row r="2040">
      <c r="A2040" s="15"/>
    </row>
    <row r="2041">
      <c r="A2041" s="15"/>
    </row>
    <row r="2042">
      <c r="A2042" s="15"/>
    </row>
    <row r="2043">
      <c r="A2043" s="15"/>
    </row>
    <row r="2044">
      <c r="A2044" s="15"/>
    </row>
    <row r="2045">
      <c r="A2045" s="15"/>
    </row>
    <row r="2046">
      <c r="A2046" s="15"/>
    </row>
    <row r="2047">
      <c r="A2047" s="15"/>
    </row>
    <row r="2048">
      <c r="A2048" s="15"/>
    </row>
    <row r="2049">
      <c r="A2049" s="15"/>
    </row>
    <row r="2050">
      <c r="A2050" s="15"/>
    </row>
    <row r="2051">
      <c r="A2051" s="15"/>
    </row>
    <row r="2052">
      <c r="A2052" s="15"/>
    </row>
    <row r="2053">
      <c r="A2053" s="15"/>
    </row>
    <row r="2054">
      <c r="A2054" s="15"/>
    </row>
    <row r="2055">
      <c r="A2055" s="15"/>
    </row>
    <row r="2056">
      <c r="A2056" s="15"/>
    </row>
    <row r="2057">
      <c r="A2057" s="15"/>
    </row>
    <row r="2058">
      <c r="A2058" s="15"/>
    </row>
    <row r="2059">
      <c r="A2059" s="1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659</v>
      </c>
      <c r="B1" s="15">
        <v>0.0</v>
      </c>
      <c r="C1" s="21"/>
    </row>
    <row r="2">
      <c r="A2" s="15" t="s">
        <v>660</v>
      </c>
      <c r="B2" s="15">
        <v>93.0</v>
      </c>
      <c r="C2" s="21"/>
    </row>
    <row r="3">
      <c r="A3" s="15" t="s">
        <v>661</v>
      </c>
      <c r="B3" s="15">
        <v>80.0</v>
      </c>
      <c r="C3" s="21"/>
    </row>
    <row r="4">
      <c r="A4" s="15" t="s">
        <v>662</v>
      </c>
      <c r="B4" s="15">
        <v>80.0</v>
      </c>
      <c r="C4" s="21"/>
    </row>
    <row r="5">
      <c r="A5" s="15" t="s">
        <v>663</v>
      </c>
      <c r="B5" s="15">
        <v>50.0</v>
      </c>
      <c r="C5" s="21"/>
    </row>
    <row r="6">
      <c r="A6" s="15" t="s">
        <v>664</v>
      </c>
      <c r="B6" s="15">
        <v>82.0</v>
      </c>
      <c r="C6" s="21"/>
    </row>
    <row r="7">
      <c r="A7" s="15" t="s">
        <v>665</v>
      </c>
      <c r="B7" s="15">
        <v>50.0</v>
      </c>
      <c r="C7" s="21"/>
    </row>
    <row r="8">
      <c r="A8" s="15" t="s">
        <v>666</v>
      </c>
      <c r="B8" s="15">
        <v>80.0</v>
      </c>
      <c r="C8" s="21"/>
    </row>
    <row r="9">
      <c r="A9" s="15" t="s">
        <v>667</v>
      </c>
      <c r="B9" s="15">
        <v>81.0</v>
      </c>
      <c r="C9" s="21"/>
    </row>
    <row r="10">
      <c r="A10" s="15" t="s">
        <v>668</v>
      </c>
      <c r="B10" s="15">
        <v>91.0</v>
      </c>
      <c r="C10" s="21"/>
    </row>
    <row r="11">
      <c r="A11" s="15" t="s">
        <v>669</v>
      </c>
      <c r="B11" s="15">
        <v>79.0</v>
      </c>
      <c r="C11" s="21"/>
    </row>
    <row r="12">
      <c r="A12" s="15" t="s">
        <v>670</v>
      </c>
      <c r="B12" s="15">
        <v>79.0</v>
      </c>
      <c r="C12" s="21"/>
    </row>
    <row r="13">
      <c r="A13" s="15" t="s">
        <v>671</v>
      </c>
      <c r="B13" s="15">
        <v>77.0</v>
      </c>
      <c r="C13" s="21"/>
    </row>
    <row r="14">
      <c r="A14" s="15" t="s">
        <v>672</v>
      </c>
      <c r="B14" s="15">
        <v>80.0</v>
      </c>
      <c r="C14" s="21"/>
    </row>
    <row r="15">
      <c r="A15" s="15" t="s">
        <v>673</v>
      </c>
      <c r="B15" s="15">
        <v>80.0</v>
      </c>
      <c r="C15" s="21"/>
    </row>
    <row r="16">
      <c r="A16" s="15" t="s">
        <v>674</v>
      </c>
      <c r="B16" s="15">
        <v>93.0</v>
      </c>
      <c r="C16" s="21"/>
    </row>
    <row r="17">
      <c r="A17" s="15" t="s">
        <v>675</v>
      </c>
      <c r="B17" s="15">
        <v>80.0</v>
      </c>
      <c r="C17" s="21"/>
    </row>
    <row r="18">
      <c r="A18" s="15" t="s">
        <v>676</v>
      </c>
      <c r="B18" s="15">
        <v>91.0</v>
      </c>
      <c r="C18" s="21"/>
    </row>
    <row r="19">
      <c r="A19" s="15" t="s">
        <v>677</v>
      </c>
      <c r="B19" s="15">
        <v>77.0</v>
      </c>
      <c r="C19" s="21"/>
    </row>
    <row r="20">
      <c r="A20" s="15" t="s">
        <v>678</v>
      </c>
      <c r="B20" s="15">
        <v>0.0</v>
      </c>
      <c r="C20" s="21"/>
    </row>
    <row r="21">
      <c r="A21" s="15" t="s">
        <v>679</v>
      </c>
      <c r="B21" s="15">
        <v>77.0</v>
      </c>
      <c r="C21" s="21"/>
    </row>
    <row r="22">
      <c r="A22" s="15" t="s">
        <v>680</v>
      </c>
      <c r="B22" s="15">
        <v>79.0</v>
      </c>
      <c r="C22" s="21"/>
    </row>
    <row r="23">
      <c r="A23" s="15" t="s">
        <v>681</v>
      </c>
      <c r="B23" s="15">
        <v>50.0</v>
      </c>
      <c r="C23" s="21"/>
    </row>
    <row r="24">
      <c r="A24" s="15" t="s">
        <v>682</v>
      </c>
      <c r="B24" s="15">
        <v>50.0</v>
      </c>
      <c r="C24" s="21"/>
    </row>
    <row r="25">
      <c r="A25" s="15" t="s">
        <v>683</v>
      </c>
      <c r="B25" s="15">
        <v>50.0</v>
      </c>
      <c r="C25" s="21"/>
    </row>
    <row r="26">
      <c r="A26" s="15" t="s">
        <v>684</v>
      </c>
      <c r="B26" s="15">
        <v>80.0</v>
      </c>
      <c r="C26" s="21"/>
    </row>
    <row r="27">
      <c r="A27" s="15" t="s">
        <v>685</v>
      </c>
      <c r="B27" s="15">
        <v>77.0</v>
      </c>
      <c r="C27" s="21"/>
    </row>
    <row r="28">
      <c r="A28" s="15" t="s">
        <v>686</v>
      </c>
      <c r="B28" s="15">
        <v>77.0</v>
      </c>
      <c r="C28" s="21"/>
    </row>
    <row r="29">
      <c r="A29" s="15" t="s">
        <v>687</v>
      </c>
      <c r="B29" s="15">
        <v>90.0</v>
      </c>
      <c r="C29" s="21"/>
    </row>
    <row r="30">
      <c r="A30" s="15" t="s">
        <v>688</v>
      </c>
      <c r="B30" s="15">
        <v>50.0</v>
      </c>
      <c r="C30" s="21"/>
    </row>
    <row r="31">
      <c r="A31" s="15" t="s">
        <v>689</v>
      </c>
      <c r="B31" s="15">
        <v>91.0</v>
      </c>
      <c r="C31" s="21"/>
    </row>
    <row r="32">
      <c r="A32" s="15" t="s">
        <v>690</v>
      </c>
      <c r="B32" s="15">
        <v>50.0</v>
      </c>
      <c r="C32" s="21"/>
    </row>
    <row r="33">
      <c r="A33" s="15" t="s">
        <v>691</v>
      </c>
      <c r="B33" s="15">
        <v>0.0</v>
      </c>
      <c r="C33" s="21"/>
    </row>
    <row r="34">
      <c r="A34" s="15" t="s">
        <v>692</v>
      </c>
      <c r="B34" s="15">
        <v>50.0</v>
      </c>
      <c r="C34" s="21"/>
    </row>
    <row r="35">
      <c r="A35" s="15" t="s">
        <v>693</v>
      </c>
      <c r="B35" s="15">
        <v>84.0</v>
      </c>
      <c r="C35" s="21"/>
    </row>
    <row r="36">
      <c r="A36" s="15" t="s">
        <v>694</v>
      </c>
      <c r="B36" s="15">
        <v>50.0</v>
      </c>
      <c r="C36" s="22"/>
    </row>
    <row r="37">
      <c r="A37" s="15" t="s">
        <v>695</v>
      </c>
      <c r="B37" s="15">
        <v>78.0</v>
      </c>
      <c r="C37" s="21"/>
    </row>
    <row r="38">
      <c r="A38" s="15" t="s">
        <v>696</v>
      </c>
      <c r="B38" s="15">
        <v>77.0</v>
      </c>
      <c r="C38" s="21"/>
    </row>
    <row r="39">
      <c r="A39" s="15" t="s">
        <v>697</v>
      </c>
      <c r="B39" s="15">
        <v>77.0</v>
      </c>
      <c r="C39" s="21"/>
    </row>
    <row r="40">
      <c r="A40" s="15" t="s">
        <v>698</v>
      </c>
      <c r="B40" s="15">
        <v>78.0</v>
      </c>
      <c r="C40" s="21"/>
    </row>
    <row r="41">
      <c r="A41" s="15" t="s">
        <v>699</v>
      </c>
      <c r="B41" s="15">
        <v>77.0</v>
      </c>
      <c r="C41" s="21"/>
    </row>
    <row r="42">
      <c r="A42" s="15" t="s">
        <v>700</v>
      </c>
      <c r="B42" s="15">
        <v>81.0</v>
      </c>
      <c r="C42" s="21"/>
    </row>
    <row r="43">
      <c r="A43" s="15" t="s">
        <v>701</v>
      </c>
      <c r="B43" s="15">
        <v>86.0</v>
      </c>
      <c r="C43" s="22"/>
    </row>
    <row r="44">
      <c r="A44" s="15" t="s">
        <v>702</v>
      </c>
      <c r="B44" s="15">
        <v>90.0</v>
      </c>
      <c r="C44" s="21"/>
    </row>
    <row r="45">
      <c r="A45" s="15" t="s">
        <v>703</v>
      </c>
      <c r="B45" s="15">
        <v>82.0</v>
      </c>
      <c r="C45" s="21"/>
    </row>
    <row r="46">
      <c r="A46" s="15" t="s">
        <v>704</v>
      </c>
      <c r="B46" s="15">
        <v>78.0</v>
      </c>
      <c r="C46" s="21"/>
    </row>
    <row r="47">
      <c r="A47" s="15" t="s">
        <v>705</v>
      </c>
      <c r="B47" s="15">
        <v>0.0</v>
      </c>
      <c r="C47" s="21"/>
    </row>
    <row r="48">
      <c r="A48" s="15" t="s">
        <v>706</v>
      </c>
      <c r="B48" s="15">
        <v>86.0</v>
      </c>
      <c r="C48" s="21"/>
    </row>
    <row r="49">
      <c r="A49" s="15" t="s">
        <v>707</v>
      </c>
      <c r="B49" s="15">
        <v>78.0</v>
      </c>
      <c r="C49" s="21"/>
    </row>
    <row r="50">
      <c r="A50" s="15" t="s">
        <v>708</v>
      </c>
      <c r="B50" s="15">
        <v>81.0</v>
      </c>
      <c r="C50" s="21"/>
    </row>
    <row r="51">
      <c r="A51" s="15" t="s">
        <v>709</v>
      </c>
      <c r="B51" s="15">
        <v>80.0</v>
      </c>
      <c r="C51" s="21"/>
    </row>
    <row r="52">
      <c r="A52" s="15" t="s">
        <v>710</v>
      </c>
      <c r="B52" s="15">
        <v>50.0</v>
      </c>
      <c r="C52" s="21"/>
    </row>
    <row r="53">
      <c r="A53" s="15" t="s">
        <v>711</v>
      </c>
      <c r="B53" s="15">
        <v>84.0</v>
      </c>
      <c r="C53" s="21"/>
    </row>
    <row r="54">
      <c r="A54" s="15" t="s">
        <v>712</v>
      </c>
      <c r="B54" s="15">
        <v>50.0</v>
      </c>
      <c r="C54" s="21"/>
    </row>
    <row r="55">
      <c r="A55" s="15" t="s">
        <v>713</v>
      </c>
      <c r="B55" s="15">
        <v>77.0</v>
      </c>
      <c r="C55" s="21"/>
    </row>
    <row r="56">
      <c r="A56" s="15" t="s">
        <v>714</v>
      </c>
      <c r="B56" s="15">
        <v>82.0</v>
      </c>
      <c r="C56" s="21"/>
    </row>
    <row r="57">
      <c r="A57" s="15" t="s">
        <v>715</v>
      </c>
      <c r="B57" s="15">
        <v>86.0</v>
      </c>
      <c r="C57" s="21"/>
    </row>
    <row r="58">
      <c r="A58" s="15" t="s">
        <v>716</v>
      </c>
      <c r="B58" s="15">
        <v>77.0</v>
      </c>
      <c r="C58" s="21"/>
    </row>
    <row r="59">
      <c r="A59" s="15" t="s">
        <v>717</v>
      </c>
      <c r="B59" s="15">
        <v>0.0</v>
      </c>
      <c r="C59" s="21"/>
    </row>
    <row r="60">
      <c r="A60" s="15" t="s">
        <v>718</v>
      </c>
      <c r="B60" s="15">
        <v>50.0</v>
      </c>
      <c r="C60" s="21"/>
    </row>
    <row r="61">
      <c r="A61" s="15" t="s">
        <v>719</v>
      </c>
      <c r="B61" s="15">
        <v>50.0</v>
      </c>
      <c r="C61" s="21"/>
    </row>
    <row r="62">
      <c r="A62" s="15" t="s">
        <v>720</v>
      </c>
      <c r="B62" s="15">
        <v>50.0</v>
      </c>
      <c r="C62" s="21"/>
    </row>
    <row r="63">
      <c r="A63" s="15" t="s">
        <v>721</v>
      </c>
      <c r="B63" s="15">
        <v>78.0</v>
      </c>
      <c r="C63" s="21"/>
    </row>
    <row r="64">
      <c r="A64" s="15" t="s">
        <v>722</v>
      </c>
      <c r="B64" s="15">
        <v>86.0</v>
      </c>
      <c r="C64" s="21"/>
    </row>
    <row r="65">
      <c r="A65" s="15" t="s">
        <v>723</v>
      </c>
      <c r="B65" s="15">
        <v>77.0</v>
      </c>
      <c r="C65" s="21"/>
    </row>
    <row r="66">
      <c r="A66" s="15" t="s">
        <v>724</v>
      </c>
      <c r="B66" s="15">
        <v>50.0</v>
      </c>
      <c r="C66" s="21"/>
    </row>
    <row r="67">
      <c r="A67" s="15" t="s">
        <v>725</v>
      </c>
      <c r="B67" s="15">
        <v>0.0</v>
      </c>
      <c r="C67" s="21"/>
    </row>
    <row r="68">
      <c r="A68" s="15" t="s">
        <v>726</v>
      </c>
      <c r="B68" s="15">
        <v>50.0</v>
      </c>
      <c r="C68" s="21"/>
    </row>
    <row r="69">
      <c r="A69" s="15" t="s">
        <v>727</v>
      </c>
      <c r="B69" s="15">
        <v>50.0</v>
      </c>
      <c r="C69" s="21"/>
    </row>
    <row r="70">
      <c r="A70" s="15" t="s">
        <v>728</v>
      </c>
      <c r="B70" s="15">
        <v>79.0</v>
      </c>
      <c r="C70" s="21"/>
    </row>
    <row r="71">
      <c r="A71" s="15" t="s">
        <v>729</v>
      </c>
      <c r="B71" s="15">
        <v>50.0</v>
      </c>
      <c r="C71" s="21"/>
    </row>
    <row r="72">
      <c r="A72" s="15" t="s">
        <v>730</v>
      </c>
      <c r="B72" s="15">
        <v>50.0</v>
      </c>
      <c r="C72" s="21"/>
    </row>
    <row r="73">
      <c r="A73" s="15" t="s">
        <v>731</v>
      </c>
      <c r="B73" s="15">
        <v>77.0</v>
      </c>
      <c r="C73" s="21"/>
    </row>
    <row r="74">
      <c r="A74" s="15" t="s">
        <v>732</v>
      </c>
      <c r="B74" s="15">
        <v>79.0</v>
      </c>
      <c r="C74" s="21"/>
    </row>
    <row r="75">
      <c r="A75" s="15" t="s">
        <v>733</v>
      </c>
      <c r="B75" s="15">
        <v>0.0</v>
      </c>
      <c r="C75" s="21"/>
    </row>
    <row r="76">
      <c r="A76" s="15" t="s">
        <v>734</v>
      </c>
      <c r="B76" s="15">
        <v>50.0</v>
      </c>
      <c r="C76" s="22"/>
    </row>
    <row r="77">
      <c r="A77" s="15" t="s">
        <v>735</v>
      </c>
      <c r="B77" s="15">
        <v>84.0</v>
      </c>
      <c r="C77" s="21"/>
    </row>
    <row r="78">
      <c r="A78" s="15" t="s">
        <v>736</v>
      </c>
      <c r="B78" s="15">
        <v>79.0</v>
      </c>
      <c r="C78" s="21"/>
    </row>
    <row r="79">
      <c r="A79" s="15" t="s">
        <v>737</v>
      </c>
      <c r="B79" s="15">
        <v>87.0</v>
      </c>
      <c r="C79" s="21"/>
    </row>
    <row r="80">
      <c r="A80" s="15" t="s">
        <v>738</v>
      </c>
      <c r="B80" s="15">
        <v>91.0</v>
      </c>
      <c r="C80" s="21"/>
    </row>
    <row r="81">
      <c r="A81" s="15" t="s">
        <v>739</v>
      </c>
      <c r="B81" s="15">
        <v>50.0</v>
      </c>
      <c r="C81" s="21"/>
    </row>
    <row r="82">
      <c r="A82" s="15" t="s">
        <v>740</v>
      </c>
      <c r="B82" s="15">
        <v>50.0</v>
      </c>
      <c r="C82" s="21"/>
    </row>
    <row r="83">
      <c r="A83" s="15" t="s">
        <v>741</v>
      </c>
      <c r="B83" s="15">
        <v>81.0</v>
      </c>
      <c r="C83" s="21"/>
    </row>
    <row r="84">
      <c r="A84" s="15" t="s">
        <v>742</v>
      </c>
      <c r="B84" s="15">
        <v>81.0</v>
      </c>
      <c r="C84" s="21"/>
    </row>
    <row r="85">
      <c r="A85" s="15" t="s">
        <v>743</v>
      </c>
      <c r="B85" s="15">
        <v>79.0</v>
      </c>
      <c r="C85" s="21"/>
    </row>
    <row r="86">
      <c r="A86" s="15" t="s">
        <v>744</v>
      </c>
      <c r="B86" s="15">
        <v>78.0</v>
      </c>
      <c r="C86" s="21"/>
    </row>
    <row r="87">
      <c r="A87" s="15" t="s">
        <v>745</v>
      </c>
      <c r="B87" s="15">
        <v>87.0</v>
      </c>
      <c r="C87" s="21"/>
    </row>
    <row r="88">
      <c r="A88" s="15" t="s">
        <v>746</v>
      </c>
      <c r="B88" s="15">
        <v>50.0</v>
      </c>
      <c r="C88" s="21"/>
    </row>
    <row r="89">
      <c r="A89" s="15" t="s">
        <v>747</v>
      </c>
      <c r="B89" s="15">
        <v>68.0</v>
      </c>
      <c r="C89" s="22"/>
    </row>
    <row r="90">
      <c r="A90" s="15" t="s">
        <v>748</v>
      </c>
      <c r="B90" s="15">
        <v>86.0</v>
      </c>
      <c r="C90" s="21"/>
    </row>
    <row r="91">
      <c r="A91" s="15" t="s">
        <v>749</v>
      </c>
      <c r="B91" s="15">
        <v>81.0</v>
      </c>
      <c r="C91" s="21"/>
    </row>
    <row r="92">
      <c r="A92" s="15" t="s">
        <v>750</v>
      </c>
      <c r="B92" s="15">
        <v>86.0</v>
      </c>
      <c r="C92" s="21"/>
    </row>
    <row r="93">
      <c r="A93" s="15" t="s">
        <v>751</v>
      </c>
      <c r="B93" s="15">
        <v>90.0</v>
      </c>
      <c r="C93" s="21"/>
    </row>
    <row r="94">
      <c r="A94" s="15" t="s">
        <v>752</v>
      </c>
      <c r="B94" s="15">
        <v>81.0</v>
      </c>
      <c r="C94" s="21"/>
    </row>
    <row r="95">
      <c r="A95" s="15" t="s">
        <v>753</v>
      </c>
      <c r="B95" s="15">
        <v>50.0</v>
      </c>
      <c r="C95" s="21"/>
    </row>
    <row r="96">
      <c r="A96" s="15" t="s">
        <v>754</v>
      </c>
      <c r="B96" s="15">
        <v>84.0</v>
      </c>
      <c r="C96" s="21"/>
    </row>
    <row r="97">
      <c r="A97" s="15" t="s">
        <v>755</v>
      </c>
      <c r="B97" s="15">
        <v>0.0</v>
      </c>
      <c r="C97" s="22"/>
    </row>
    <row r="98">
      <c r="A98" s="15" t="s">
        <v>756</v>
      </c>
      <c r="B98" s="15">
        <v>0.0</v>
      </c>
      <c r="C98" s="21"/>
    </row>
    <row r="99">
      <c r="A99" s="15" t="s">
        <v>757</v>
      </c>
      <c r="B99" s="15">
        <v>50.0</v>
      </c>
      <c r="C99" s="21"/>
    </row>
    <row r="100">
      <c r="A100" s="15" t="s">
        <v>758</v>
      </c>
      <c r="B100" s="15">
        <v>0.0</v>
      </c>
      <c r="C100" s="21"/>
    </row>
    <row r="101">
      <c r="A101" s="15" t="s">
        <v>759</v>
      </c>
      <c r="B101" s="15">
        <v>90.0</v>
      </c>
      <c r="C101" s="21"/>
    </row>
    <row r="102">
      <c r="A102" s="15" t="s">
        <v>760</v>
      </c>
      <c r="B102" s="15">
        <v>0.0</v>
      </c>
      <c r="C102" s="22"/>
    </row>
    <row r="103">
      <c r="A103" s="15" t="s">
        <v>761</v>
      </c>
      <c r="B103" s="15">
        <v>80.0</v>
      </c>
      <c r="C103" s="21"/>
    </row>
    <row r="104">
      <c r="A104" s="15" t="s">
        <v>762</v>
      </c>
      <c r="B104" s="15">
        <v>0.0</v>
      </c>
      <c r="C104" s="21"/>
    </row>
    <row r="105">
      <c r="A105" s="15" t="s">
        <v>763</v>
      </c>
      <c r="B105" s="15">
        <v>84.0</v>
      </c>
      <c r="C105" s="21"/>
    </row>
    <row r="106">
      <c r="A106" s="15" t="s">
        <v>764</v>
      </c>
      <c r="B106" s="15">
        <v>50.0</v>
      </c>
      <c r="C106" s="21"/>
    </row>
    <row r="107">
      <c r="A107" s="15" t="s">
        <v>765</v>
      </c>
      <c r="B107" s="15">
        <v>50.0</v>
      </c>
      <c r="C107" s="21"/>
    </row>
    <row r="108">
      <c r="A108" s="15" t="s">
        <v>766</v>
      </c>
      <c r="B108" s="15">
        <v>81.0</v>
      </c>
      <c r="C108" s="21"/>
    </row>
    <row r="109">
      <c r="A109" s="15" t="s">
        <v>767</v>
      </c>
      <c r="B109" s="15">
        <v>81.0</v>
      </c>
      <c r="C109" s="22"/>
    </row>
    <row r="110">
      <c r="A110" s="15" t="s">
        <v>768</v>
      </c>
      <c r="B110" s="15">
        <v>90.0</v>
      </c>
      <c r="C110" s="21"/>
    </row>
    <row r="111">
      <c r="A111" s="15" t="s">
        <v>769</v>
      </c>
      <c r="B111" s="15">
        <v>90.0</v>
      </c>
      <c r="C111" s="21"/>
    </row>
    <row r="112">
      <c r="A112" s="15" t="s">
        <v>770</v>
      </c>
      <c r="B112" s="15">
        <v>50.0</v>
      </c>
      <c r="C112" s="21"/>
    </row>
    <row r="113">
      <c r="A113" s="15" t="s">
        <v>771</v>
      </c>
      <c r="B113" s="15">
        <v>87.0</v>
      </c>
      <c r="C113" s="21"/>
    </row>
    <row r="114">
      <c r="A114" s="15" t="s">
        <v>772</v>
      </c>
      <c r="B114" s="15">
        <v>82.0</v>
      </c>
      <c r="C114" s="21"/>
    </row>
    <row r="115">
      <c r="A115" s="15" t="s">
        <v>773</v>
      </c>
      <c r="B115" s="15">
        <v>50.0</v>
      </c>
      <c r="C115" s="22"/>
    </row>
    <row r="116">
      <c r="A116" s="15" t="s">
        <v>774</v>
      </c>
      <c r="B116" s="15">
        <v>80.0</v>
      </c>
      <c r="C116" s="21"/>
    </row>
    <row r="117">
      <c r="A117" s="15" t="s">
        <v>775</v>
      </c>
      <c r="B117" s="15">
        <v>81.0</v>
      </c>
      <c r="C117" s="21"/>
    </row>
    <row r="118">
      <c r="A118" s="15" t="s">
        <v>776</v>
      </c>
      <c r="B118" s="15">
        <v>81.0</v>
      </c>
      <c r="C118" s="21"/>
    </row>
    <row r="119">
      <c r="A119" s="15" t="s">
        <v>777</v>
      </c>
      <c r="B119" s="15">
        <v>86.0</v>
      </c>
      <c r="C119" s="21"/>
    </row>
    <row r="120">
      <c r="A120" s="15" t="s">
        <v>778</v>
      </c>
      <c r="B120" s="15">
        <v>77.0</v>
      </c>
      <c r="C120" s="21"/>
    </row>
    <row r="121">
      <c r="A121" s="15" t="s">
        <v>779</v>
      </c>
      <c r="B121" s="15">
        <v>81.0</v>
      </c>
      <c r="C121" s="21"/>
    </row>
    <row r="122">
      <c r="A122" s="15" t="s">
        <v>780</v>
      </c>
      <c r="B122" s="15">
        <v>79.0</v>
      </c>
      <c r="C122" s="21"/>
    </row>
    <row r="123">
      <c r="A123" s="15" t="s">
        <v>781</v>
      </c>
      <c r="B123" s="15">
        <v>81.0</v>
      </c>
      <c r="C123" s="21"/>
    </row>
    <row r="124">
      <c r="A124" s="15" t="s">
        <v>782</v>
      </c>
      <c r="B124" s="15">
        <v>82.0</v>
      </c>
      <c r="C124" s="21"/>
    </row>
    <row r="125">
      <c r="A125" s="15" t="s">
        <v>783</v>
      </c>
      <c r="B125" s="15">
        <v>50.0</v>
      </c>
      <c r="C125" s="21"/>
    </row>
    <row r="126">
      <c r="A126" s="15" t="s">
        <v>784</v>
      </c>
      <c r="B126" s="15">
        <v>68.0</v>
      </c>
      <c r="C126" s="22"/>
    </row>
    <row r="127">
      <c r="A127" s="15" t="s">
        <v>785</v>
      </c>
      <c r="B127" s="15">
        <v>50.0</v>
      </c>
      <c r="C127" s="21"/>
    </row>
    <row r="128">
      <c r="A128" s="15" t="s">
        <v>786</v>
      </c>
      <c r="B128" s="15">
        <v>79.0</v>
      </c>
      <c r="C128" s="21"/>
    </row>
    <row r="129">
      <c r="A129" s="15" t="s">
        <v>787</v>
      </c>
      <c r="B129" s="15">
        <v>77.0</v>
      </c>
      <c r="C129" s="21"/>
    </row>
    <row r="130">
      <c r="A130" s="15" t="s">
        <v>788</v>
      </c>
      <c r="B130" s="15">
        <v>50.0</v>
      </c>
      <c r="C130" s="21"/>
    </row>
    <row r="131">
      <c r="A131" s="15" t="s">
        <v>789</v>
      </c>
      <c r="B131" s="15">
        <v>0.0</v>
      </c>
      <c r="C131" s="21"/>
    </row>
    <row r="132">
      <c r="A132" s="15" t="s">
        <v>790</v>
      </c>
      <c r="B132" s="15">
        <v>80.0</v>
      </c>
      <c r="C132" s="21"/>
    </row>
    <row r="133">
      <c r="A133" s="15" t="s">
        <v>791</v>
      </c>
      <c r="B133" s="15">
        <v>81.0</v>
      </c>
      <c r="C133" s="21"/>
    </row>
    <row r="134">
      <c r="A134" s="15" t="s">
        <v>792</v>
      </c>
      <c r="B134" s="15">
        <v>82.0</v>
      </c>
      <c r="C134" s="21"/>
    </row>
    <row r="135">
      <c r="A135" s="15" t="s">
        <v>793</v>
      </c>
      <c r="B135" s="15">
        <v>86.0</v>
      </c>
      <c r="C135" s="21"/>
    </row>
    <row r="136">
      <c r="A136" s="15" t="s">
        <v>794</v>
      </c>
      <c r="B136" s="15">
        <v>86.0</v>
      </c>
      <c r="C136" s="22"/>
    </row>
    <row r="137">
      <c r="A137" s="15" t="s">
        <v>795</v>
      </c>
      <c r="B137" s="15">
        <v>50.0</v>
      </c>
      <c r="C137" s="21"/>
    </row>
    <row r="138">
      <c r="A138" s="15" t="s">
        <v>796</v>
      </c>
      <c r="B138" s="15">
        <v>50.0</v>
      </c>
      <c r="C138" s="21"/>
    </row>
    <row r="139">
      <c r="A139" s="15" t="s">
        <v>797</v>
      </c>
      <c r="B139" s="15">
        <v>50.0</v>
      </c>
      <c r="C139" s="22"/>
    </row>
    <row r="140">
      <c r="A140" s="15" t="s">
        <v>798</v>
      </c>
      <c r="B140" s="15">
        <v>81.0</v>
      </c>
      <c r="C140" s="22"/>
    </row>
    <row r="141">
      <c r="A141" s="15" t="s">
        <v>799</v>
      </c>
      <c r="B141" s="15">
        <v>68.0</v>
      </c>
      <c r="C141" s="22"/>
    </row>
    <row r="142">
      <c r="A142" s="15" t="s">
        <v>800</v>
      </c>
      <c r="B142" s="15">
        <v>0.0</v>
      </c>
      <c r="C142" s="22"/>
    </row>
    <row r="143">
      <c r="A143" s="15" t="s">
        <v>801</v>
      </c>
      <c r="B143" s="15">
        <v>81.0</v>
      </c>
      <c r="C143" s="22"/>
    </row>
    <row r="144">
      <c r="A144" s="15" t="s">
        <v>802</v>
      </c>
      <c r="B144" s="15">
        <v>86.0</v>
      </c>
      <c r="C144" s="22"/>
    </row>
    <row r="145">
      <c r="A145" s="15" t="s">
        <v>803</v>
      </c>
      <c r="B145" s="15">
        <v>50.0</v>
      </c>
      <c r="C145" s="22"/>
    </row>
    <row r="146">
      <c r="A146" s="15" t="s">
        <v>804</v>
      </c>
      <c r="B146" s="15">
        <v>50.0</v>
      </c>
      <c r="C146" s="22"/>
    </row>
    <row r="147">
      <c r="A147" s="15" t="s">
        <v>805</v>
      </c>
      <c r="B147" s="15">
        <v>82.0</v>
      </c>
      <c r="C147" s="22"/>
    </row>
    <row r="148">
      <c r="A148" s="15" t="s">
        <v>806</v>
      </c>
      <c r="B148" s="15">
        <v>50.0</v>
      </c>
      <c r="C148" s="22"/>
    </row>
    <row r="149">
      <c r="A149" s="15" t="s">
        <v>807</v>
      </c>
      <c r="B149" s="15">
        <v>78.0</v>
      </c>
      <c r="C149" s="21"/>
    </row>
    <row r="150">
      <c r="A150" s="15" t="s">
        <v>808</v>
      </c>
      <c r="B150" s="15">
        <v>0.0</v>
      </c>
      <c r="C150" s="22"/>
    </row>
    <row r="151">
      <c r="A151" s="15" t="s">
        <v>809</v>
      </c>
      <c r="B151" s="15">
        <v>0.0</v>
      </c>
      <c r="C151" s="22"/>
    </row>
    <row r="152">
      <c r="A152" s="15" t="s">
        <v>810</v>
      </c>
      <c r="B152" s="15">
        <v>0.0</v>
      </c>
      <c r="C152" s="22"/>
    </row>
    <row r="153">
      <c r="A153" s="15" t="s">
        <v>811</v>
      </c>
      <c r="B153" s="15">
        <v>82.0</v>
      </c>
      <c r="C153" s="22"/>
    </row>
    <row r="154">
      <c r="A154" s="15" t="s">
        <v>812</v>
      </c>
      <c r="B154" s="15">
        <v>68.0</v>
      </c>
      <c r="C154" s="22"/>
    </row>
    <row r="155">
      <c r="A155" s="15" t="s">
        <v>813</v>
      </c>
      <c r="B155" s="15">
        <v>81.0</v>
      </c>
      <c r="C155" s="22"/>
    </row>
    <row r="156">
      <c r="A156" s="15" t="s">
        <v>814</v>
      </c>
      <c r="B156" s="15">
        <v>0.0</v>
      </c>
      <c r="C156" s="22"/>
    </row>
    <row r="157">
      <c r="A157" s="15" t="s">
        <v>815</v>
      </c>
      <c r="B157" s="15">
        <v>0.0</v>
      </c>
      <c r="C157" s="22"/>
    </row>
    <row r="158">
      <c r="A158" s="15" t="s">
        <v>816</v>
      </c>
      <c r="B158" s="15">
        <v>50.0</v>
      </c>
      <c r="C158" s="22"/>
    </row>
    <row r="159">
      <c r="A159" s="15" t="s">
        <v>817</v>
      </c>
      <c r="B159" s="15">
        <v>50.0</v>
      </c>
      <c r="C159" s="22"/>
    </row>
    <row r="160">
      <c r="A160" s="15" t="s">
        <v>818</v>
      </c>
      <c r="B160" s="15">
        <v>74.0</v>
      </c>
      <c r="C160" s="22"/>
    </row>
    <row r="161">
      <c r="A161" s="15" t="s">
        <v>819</v>
      </c>
      <c r="B161" s="15">
        <v>81.0</v>
      </c>
      <c r="C161" s="22"/>
    </row>
    <row r="162">
      <c r="A162" s="15" t="s">
        <v>820</v>
      </c>
      <c r="B162" s="15">
        <v>68.0</v>
      </c>
      <c r="C162" s="22"/>
    </row>
    <row r="163">
      <c r="A163" s="15" t="s">
        <v>821</v>
      </c>
      <c r="B163" s="15">
        <v>87.0</v>
      </c>
      <c r="C163" s="21"/>
    </row>
    <row r="164">
      <c r="A164" s="15" t="s">
        <v>822</v>
      </c>
      <c r="B164" s="15">
        <v>50.0</v>
      </c>
      <c r="C164" s="22"/>
    </row>
    <row r="165">
      <c r="A165" s="15" t="s">
        <v>823</v>
      </c>
      <c r="B165" s="15">
        <v>68.0</v>
      </c>
      <c r="C165" s="22"/>
    </row>
    <row r="166">
      <c r="A166" s="15" t="s">
        <v>824</v>
      </c>
      <c r="B166" s="15">
        <v>50.0</v>
      </c>
      <c r="C166" s="22"/>
    </row>
    <row r="167">
      <c r="A167" s="15" t="s">
        <v>825</v>
      </c>
      <c r="B167" s="15">
        <v>0.0</v>
      </c>
      <c r="C167" s="22"/>
    </row>
    <row r="168">
      <c r="A168" s="15" t="s">
        <v>826</v>
      </c>
      <c r="B168" s="15">
        <v>78.0</v>
      </c>
      <c r="C168" s="21"/>
    </row>
    <row r="169">
      <c r="A169" s="15" t="s">
        <v>827</v>
      </c>
      <c r="B169" s="15">
        <v>81.0</v>
      </c>
      <c r="C169" s="22"/>
    </row>
    <row r="170">
      <c r="A170" s="15" t="s">
        <v>828</v>
      </c>
      <c r="B170" s="15">
        <v>68.0</v>
      </c>
      <c r="C170" s="22"/>
    </row>
    <row r="171">
      <c r="A171" s="15" t="s">
        <v>829</v>
      </c>
      <c r="B171" s="15">
        <v>84.0</v>
      </c>
      <c r="C171" s="21"/>
    </row>
    <row r="172">
      <c r="A172" s="15" t="s">
        <v>830</v>
      </c>
      <c r="B172" s="15">
        <v>50.0</v>
      </c>
      <c r="C172" s="22"/>
    </row>
    <row r="173">
      <c r="A173" s="15" t="s">
        <v>831</v>
      </c>
      <c r="B173" s="15">
        <v>86.0</v>
      </c>
      <c r="C173" s="22"/>
    </row>
    <row r="174">
      <c r="A174" s="15" t="s">
        <v>832</v>
      </c>
      <c r="B174" s="15">
        <v>86.0</v>
      </c>
      <c r="C174" s="22"/>
    </row>
    <row r="175">
      <c r="A175" s="15" t="s">
        <v>833</v>
      </c>
      <c r="B175" s="15">
        <v>50.0</v>
      </c>
      <c r="C175" s="22"/>
    </row>
    <row r="176">
      <c r="A176" s="15" t="s">
        <v>834</v>
      </c>
      <c r="B176" s="15">
        <v>86.0</v>
      </c>
      <c r="C176" s="22"/>
    </row>
    <row r="177">
      <c r="A177" s="15" t="s">
        <v>835</v>
      </c>
      <c r="B177" s="15">
        <v>68.0</v>
      </c>
      <c r="C177" s="22"/>
    </row>
    <row r="178">
      <c r="A178" s="15" t="s">
        <v>836</v>
      </c>
      <c r="B178" s="15">
        <v>0.0</v>
      </c>
      <c r="C178" s="22"/>
    </row>
    <row r="179">
      <c r="A179" s="15" t="s">
        <v>837</v>
      </c>
      <c r="B179" s="15">
        <v>0.0</v>
      </c>
      <c r="C179" s="22"/>
    </row>
    <row r="180">
      <c r="A180" s="15" t="s">
        <v>838</v>
      </c>
      <c r="B180" s="15">
        <v>58.0</v>
      </c>
      <c r="C180" s="22"/>
    </row>
    <row r="181">
      <c r="A181" s="15" t="s">
        <v>839</v>
      </c>
      <c r="B181" s="15">
        <v>83.0</v>
      </c>
      <c r="C181" s="22"/>
    </row>
    <row r="182">
      <c r="A182" s="15" t="s">
        <v>840</v>
      </c>
      <c r="B182" s="15">
        <v>50.0</v>
      </c>
      <c r="C182" s="22"/>
    </row>
    <row r="183">
      <c r="A183" s="15" t="s">
        <v>841</v>
      </c>
      <c r="B183" s="15">
        <v>50.0</v>
      </c>
      <c r="C183" s="22"/>
    </row>
    <row r="184">
      <c r="A184" s="15" t="s">
        <v>842</v>
      </c>
      <c r="B184" s="15">
        <v>68.0</v>
      </c>
      <c r="C184" s="22"/>
    </row>
    <row r="185">
      <c r="A185" s="15" t="s">
        <v>843</v>
      </c>
      <c r="B185" s="15">
        <v>68.0</v>
      </c>
      <c r="C185" s="22"/>
    </row>
    <row r="186">
      <c r="A186" s="15" t="s">
        <v>844</v>
      </c>
      <c r="B186" s="15">
        <v>81.0</v>
      </c>
      <c r="C186" s="22"/>
    </row>
    <row r="187">
      <c r="A187" s="15" t="s">
        <v>845</v>
      </c>
      <c r="B187" s="15">
        <v>68.0</v>
      </c>
      <c r="C187" s="22"/>
    </row>
    <row r="188">
      <c r="A188" s="15" t="s">
        <v>846</v>
      </c>
      <c r="B188" s="15">
        <v>50.0</v>
      </c>
      <c r="C188" s="22"/>
    </row>
    <row r="189">
      <c r="A189" s="15" t="s">
        <v>847</v>
      </c>
      <c r="B189" s="15">
        <v>73.0</v>
      </c>
      <c r="C189" s="22"/>
    </row>
    <row r="190">
      <c r="A190" s="15" t="s">
        <v>848</v>
      </c>
      <c r="B190" s="15">
        <v>86.0</v>
      </c>
      <c r="C190" s="22"/>
    </row>
    <row r="191">
      <c r="A191" s="15" t="s">
        <v>849</v>
      </c>
      <c r="B191" s="15">
        <v>81.0</v>
      </c>
      <c r="C191" s="22"/>
    </row>
    <row r="192">
      <c r="A192" s="15" t="s">
        <v>850</v>
      </c>
      <c r="B192" s="15">
        <v>68.0</v>
      </c>
      <c r="C192" s="22"/>
    </row>
    <row r="193">
      <c r="A193" s="15" t="s">
        <v>851</v>
      </c>
      <c r="B193" s="15">
        <v>73.0</v>
      </c>
      <c r="C193" s="22"/>
    </row>
    <row r="194">
      <c r="A194" s="15" t="s">
        <v>852</v>
      </c>
      <c r="B194" s="15">
        <v>0.0</v>
      </c>
      <c r="C194" s="22"/>
    </row>
    <row r="195">
      <c r="A195" s="15" t="s">
        <v>853</v>
      </c>
      <c r="B195" s="15">
        <v>73.0</v>
      </c>
      <c r="C195" s="22"/>
    </row>
    <row r="196">
      <c r="A196" s="15" t="s">
        <v>854</v>
      </c>
      <c r="B196" s="15">
        <v>73.0</v>
      </c>
      <c r="C196" s="22"/>
    </row>
    <row r="197">
      <c r="A197" s="15" t="s">
        <v>855</v>
      </c>
      <c r="B197" s="15">
        <v>82.0</v>
      </c>
      <c r="C197" s="21"/>
    </row>
    <row r="198">
      <c r="A198" s="15" t="s">
        <v>856</v>
      </c>
      <c r="B198" s="15">
        <v>0.0</v>
      </c>
      <c r="C198" s="22"/>
    </row>
    <row r="199">
      <c r="A199" s="15" t="s">
        <v>857</v>
      </c>
      <c r="B199" s="15">
        <v>50.0</v>
      </c>
      <c r="C199" s="22"/>
    </row>
    <row r="200">
      <c r="A200" s="15" t="s">
        <v>858</v>
      </c>
      <c r="B200" s="15">
        <v>68.0</v>
      </c>
      <c r="C200" s="22"/>
    </row>
    <row r="201">
      <c r="A201" s="15" t="s">
        <v>859</v>
      </c>
      <c r="B201" s="15">
        <v>50.0</v>
      </c>
      <c r="C201" s="21"/>
    </row>
    <row r="202">
      <c r="A202" s="15" t="s">
        <v>860</v>
      </c>
      <c r="B202" s="15">
        <v>81.0</v>
      </c>
      <c r="C202" s="22"/>
    </row>
    <row r="203">
      <c r="A203" s="15" t="s">
        <v>1339</v>
      </c>
      <c r="B203" s="15">
        <v>50.0</v>
      </c>
      <c r="C203" s="23"/>
    </row>
    <row r="204">
      <c r="A204" s="15" t="s">
        <v>1249</v>
      </c>
      <c r="B204" s="15">
        <v>78.0</v>
      </c>
      <c r="C204" s="23"/>
    </row>
    <row r="205">
      <c r="A205" s="15" t="s">
        <v>864</v>
      </c>
      <c r="B205" s="15">
        <v>70.0</v>
      </c>
      <c r="C205" s="21"/>
    </row>
    <row r="206">
      <c r="A206" s="15" t="s">
        <v>861</v>
      </c>
      <c r="B206" s="15">
        <v>75.0</v>
      </c>
      <c r="C206" s="24"/>
    </row>
    <row r="207">
      <c r="A207" s="15" t="s">
        <v>1340</v>
      </c>
      <c r="B207" s="15">
        <v>0.0</v>
      </c>
      <c r="C207" s="22"/>
    </row>
    <row r="208">
      <c r="A208" s="15" t="s">
        <v>866</v>
      </c>
      <c r="B208" s="15">
        <v>0.0</v>
      </c>
      <c r="C208" s="24"/>
    </row>
    <row r="209">
      <c r="A209" s="15" t="s">
        <v>871</v>
      </c>
      <c r="B209" s="15">
        <v>0.0</v>
      </c>
      <c r="C209" s="24"/>
    </row>
    <row r="210">
      <c r="A210" s="15" t="s">
        <v>867</v>
      </c>
      <c r="B210" s="15">
        <v>0.0</v>
      </c>
      <c r="C210" s="22"/>
    </row>
    <row r="211">
      <c r="A211" s="15" t="s">
        <v>872</v>
      </c>
      <c r="B211" s="15">
        <v>50.0</v>
      </c>
      <c r="C211" s="22"/>
    </row>
    <row r="212">
      <c r="A212" s="15" t="s">
        <v>869</v>
      </c>
      <c r="B212" s="15">
        <v>50.0</v>
      </c>
      <c r="C212" s="22"/>
    </row>
    <row r="213">
      <c r="A213" s="15" t="s">
        <v>1342</v>
      </c>
      <c r="B213" s="15">
        <v>0.0</v>
      </c>
      <c r="C213" s="22"/>
    </row>
    <row r="214">
      <c r="A214" s="15" t="s">
        <v>882</v>
      </c>
      <c r="B214" s="15">
        <v>50.0</v>
      </c>
      <c r="C214" s="22"/>
    </row>
    <row r="215">
      <c r="A215" s="15" t="s">
        <v>873</v>
      </c>
      <c r="B215" s="15">
        <v>0.0</v>
      </c>
      <c r="C215" s="22"/>
    </row>
    <row r="216">
      <c r="A216" s="15" t="s">
        <v>877</v>
      </c>
      <c r="B216" s="15">
        <v>50.0</v>
      </c>
      <c r="C216" s="22"/>
    </row>
    <row r="217">
      <c r="A217" s="15" t="s">
        <v>879</v>
      </c>
      <c r="B217" s="15">
        <v>0.0</v>
      </c>
      <c r="C217" s="22"/>
    </row>
    <row r="218">
      <c r="A218" s="15" t="s">
        <v>870</v>
      </c>
      <c r="B218" s="15">
        <v>50.0</v>
      </c>
      <c r="C218" s="22"/>
    </row>
    <row r="219">
      <c r="A219" s="15" t="s">
        <v>881</v>
      </c>
      <c r="B219" s="15">
        <v>50.0</v>
      </c>
      <c r="C219" s="22"/>
    </row>
    <row r="220">
      <c r="A220" s="15" t="s">
        <v>876</v>
      </c>
      <c r="B220" s="15">
        <v>0.0</v>
      </c>
      <c r="C220" s="22"/>
    </row>
    <row r="221">
      <c r="A221" s="15" t="s">
        <v>878</v>
      </c>
      <c r="B221" s="15">
        <v>50.0</v>
      </c>
      <c r="C221" s="22"/>
    </row>
    <row r="222">
      <c r="A222" s="15" t="s">
        <v>880</v>
      </c>
      <c r="B222" s="15">
        <v>50.0</v>
      </c>
      <c r="C222" s="22"/>
    </row>
    <row r="223">
      <c r="A223" s="15" t="s">
        <v>1341</v>
      </c>
      <c r="B223" s="15">
        <v>0.0</v>
      </c>
      <c r="C223" s="22"/>
    </row>
    <row r="224">
      <c r="A224" s="15" t="s">
        <v>865</v>
      </c>
      <c r="B224" s="15">
        <v>50.0</v>
      </c>
      <c r="C224" s="22"/>
    </row>
    <row r="225">
      <c r="A225" s="15" t="s">
        <v>1269</v>
      </c>
      <c r="B225" s="15">
        <v>81.0</v>
      </c>
    </row>
    <row r="226">
      <c r="A226" s="15" t="s">
        <v>1270</v>
      </c>
      <c r="B226" s="15">
        <v>50.0</v>
      </c>
    </row>
    <row r="227">
      <c r="A227" s="15" t="s">
        <v>1271</v>
      </c>
      <c r="B227" s="15">
        <v>83.0</v>
      </c>
    </row>
    <row r="228">
      <c r="A228" s="15" t="s">
        <v>1272</v>
      </c>
      <c r="B228" s="15">
        <v>77.0</v>
      </c>
    </row>
    <row r="229">
      <c r="A229" s="15" t="s">
        <v>1273</v>
      </c>
      <c r="B229" s="15">
        <v>80.0</v>
      </c>
    </row>
    <row r="230">
      <c r="A230" s="15" t="s">
        <v>1274</v>
      </c>
      <c r="B230" s="15">
        <v>81.0</v>
      </c>
    </row>
    <row r="231">
      <c r="A231" s="15" t="s">
        <v>1275</v>
      </c>
      <c r="B231" s="15">
        <v>82.0</v>
      </c>
    </row>
    <row r="232">
      <c r="A232" s="15" t="s">
        <v>1276</v>
      </c>
      <c r="B232" s="15">
        <v>80.0</v>
      </c>
    </row>
    <row r="233">
      <c r="A233" s="15" t="s">
        <v>1277</v>
      </c>
      <c r="B233" s="15">
        <v>80.0</v>
      </c>
    </row>
    <row r="234">
      <c r="A234" s="15" t="s">
        <v>1278</v>
      </c>
      <c r="B234" s="15">
        <v>80.0</v>
      </c>
    </row>
    <row r="235">
      <c r="A235" s="15" t="s">
        <v>1279</v>
      </c>
      <c r="B235" s="15">
        <v>50.0</v>
      </c>
    </row>
    <row r="236">
      <c r="A236" s="15" t="s">
        <v>1280</v>
      </c>
      <c r="B236" s="15">
        <v>82.0</v>
      </c>
    </row>
    <row r="237">
      <c r="A237" s="15" t="s">
        <v>1281</v>
      </c>
      <c r="B237" s="15">
        <v>50.0</v>
      </c>
    </row>
    <row r="238">
      <c r="A238" s="15" t="s">
        <v>1282</v>
      </c>
      <c r="B238" s="15">
        <v>83.0</v>
      </c>
    </row>
    <row r="239">
      <c r="A239" s="15" t="s">
        <v>1283</v>
      </c>
      <c r="B239" s="15">
        <v>73.0</v>
      </c>
    </row>
    <row r="240">
      <c r="A240" s="15" t="s">
        <v>1284</v>
      </c>
      <c r="B240" s="15">
        <v>80.0</v>
      </c>
    </row>
    <row r="241">
      <c r="A241" s="15" t="s">
        <v>1285</v>
      </c>
      <c r="B241" s="15">
        <v>80.0</v>
      </c>
    </row>
    <row r="242">
      <c r="A242" s="15" t="s">
        <v>1286</v>
      </c>
      <c r="B242" s="15">
        <v>76.0</v>
      </c>
    </row>
    <row r="243">
      <c r="A243" s="15" t="s">
        <v>1287</v>
      </c>
      <c r="B243" s="15">
        <v>83.0</v>
      </c>
    </row>
    <row r="244">
      <c r="A244" s="15" t="s">
        <v>1288</v>
      </c>
      <c r="B244" s="15">
        <v>73.0</v>
      </c>
    </row>
    <row r="245">
      <c r="A245" s="15" t="s">
        <v>1289</v>
      </c>
      <c r="B245" s="15">
        <v>50.0</v>
      </c>
    </row>
    <row r="246">
      <c r="A246" s="15" t="s">
        <v>1290</v>
      </c>
      <c r="B246" s="15">
        <v>76.0</v>
      </c>
    </row>
    <row r="247">
      <c r="A247" s="15" t="s">
        <v>1291</v>
      </c>
      <c r="B247" s="15">
        <v>81.0</v>
      </c>
    </row>
    <row r="248">
      <c r="A248" s="15" t="s">
        <v>1292</v>
      </c>
      <c r="B248" s="15">
        <v>83.0</v>
      </c>
    </row>
    <row r="249">
      <c r="A249" s="15" t="s">
        <v>1293</v>
      </c>
      <c r="B249" s="15">
        <v>83.0</v>
      </c>
    </row>
    <row r="250">
      <c r="A250" s="15" t="s">
        <v>1294</v>
      </c>
      <c r="B250" s="15">
        <v>82.0</v>
      </c>
    </row>
    <row r="251">
      <c r="A251" s="15" t="s">
        <v>1295</v>
      </c>
      <c r="B251" s="15">
        <v>50.0</v>
      </c>
    </row>
    <row r="252">
      <c r="A252" s="15" t="s">
        <v>1296</v>
      </c>
      <c r="B252" s="15">
        <v>77.0</v>
      </c>
    </row>
    <row r="253">
      <c r="A253" s="15" t="s">
        <v>1297</v>
      </c>
      <c r="B253" s="15">
        <v>73.0</v>
      </c>
    </row>
    <row r="254">
      <c r="A254" s="15" t="s">
        <v>1298</v>
      </c>
      <c r="B254" s="15">
        <v>0.0</v>
      </c>
    </row>
    <row r="255">
      <c r="A255" s="15" t="s">
        <v>1299</v>
      </c>
      <c r="B255" s="15">
        <v>77.0</v>
      </c>
    </row>
    <row r="256">
      <c r="A256" s="15" t="s">
        <v>1300</v>
      </c>
      <c r="B256" s="15">
        <v>79.0</v>
      </c>
    </row>
    <row r="257">
      <c r="A257" s="15" t="s">
        <v>1301</v>
      </c>
      <c r="B257" s="15">
        <v>0.0</v>
      </c>
    </row>
    <row r="258">
      <c r="A258" s="15" t="s">
        <v>1302</v>
      </c>
      <c r="B258" s="15">
        <v>84.0</v>
      </c>
    </row>
    <row r="259">
      <c r="A259" s="15" t="s">
        <v>1303</v>
      </c>
      <c r="B259" s="15">
        <v>81.0</v>
      </c>
    </row>
    <row r="260">
      <c r="A260" s="15" t="s">
        <v>1304</v>
      </c>
      <c r="B260" s="15">
        <v>73.0</v>
      </c>
    </row>
    <row r="261">
      <c r="A261" s="15" t="s">
        <v>1305</v>
      </c>
      <c r="B261" s="15">
        <v>50.0</v>
      </c>
    </row>
    <row r="262">
      <c r="A262" s="15" t="s">
        <v>1306</v>
      </c>
      <c r="B262" s="15">
        <v>82.0</v>
      </c>
    </row>
    <row r="263">
      <c r="A263" s="15" t="s">
        <v>1307</v>
      </c>
      <c r="B263" s="15">
        <v>82.0</v>
      </c>
    </row>
    <row r="264">
      <c r="A264" s="15" t="s">
        <v>1308</v>
      </c>
      <c r="B264" s="15">
        <v>80.0</v>
      </c>
    </row>
    <row r="265">
      <c r="A265" s="15" t="s">
        <v>1309</v>
      </c>
      <c r="B265" s="15">
        <v>84.0</v>
      </c>
    </row>
    <row r="266">
      <c r="A266" s="15" t="s">
        <v>1310</v>
      </c>
      <c r="B266" s="15">
        <v>78.0</v>
      </c>
    </row>
    <row r="267">
      <c r="A267" s="15" t="s">
        <v>1311</v>
      </c>
      <c r="B267" s="15">
        <v>83.0</v>
      </c>
    </row>
    <row r="268">
      <c r="A268" s="15" t="s">
        <v>1312</v>
      </c>
      <c r="B268" s="15">
        <v>80.0</v>
      </c>
    </row>
    <row r="269">
      <c r="A269" s="15" t="s">
        <v>1313</v>
      </c>
      <c r="B269" s="15">
        <v>0.0</v>
      </c>
    </row>
    <row r="270">
      <c r="A270" s="15" t="s">
        <v>1314</v>
      </c>
      <c r="B270" s="15">
        <v>50.0</v>
      </c>
    </row>
    <row r="271">
      <c r="A271" s="15" t="s">
        <v>1315</v>
      </c>
      <c r="B271" s="15">
        <v>78.0</v>
      </c>
    </row>
    <row r="272">
      <c r="A272" s="15" t="s">
        <v>1316</v>
      </c>
      <c r="B272" s="15">
        <v>83.0</v>
      </c>
    </row>
    <row r="273">
      <c r="A273" s="15" t="s">
        <v>1317</v>
      </c>
      <c r="B273" s="15">
        <v>83.0</v>
      </c>
    </row>
    <row r="274">
      <c r="A274" s="15" t="s">
        <v>1318</v>
      </c>
      <c r="B274" s="15">
        <v>0.0</v>
      </c>
    </row>
    <row r="275">
      <c r="A275" s="15" t="s">
        <v>1319</v>
      </c>
      <c r="B275" s="15">
        <v>78.0</v>
      </c>
    </row>
    <row r="276">
      <c r="A276" s="15" t="s">
        <v>1320</v>
      </c>
      <c r="B276" s="15">
        <v>50.0</v>
      </c>
    </row>
    <row r="277">
      <c r="A277" s="15" t="s">
        <v>1321</v>
      </c>
      <c r="B277" s="15">
        <v>81.0</v>
      </c>
    </row>
    <row r="278">
      <c r="A278" s="15" t="s">
        <v>1322</v>
      </c>
      <c r="B278" s="15">
        <v>81.0</v>
      </c>
    </row>
    <row r="279">
      <c r="A279" s="15" t="s">
        <v>1323</v>
      </c>
      <c r="B279" s="15">
        <v>78.0</v>
      </c>
    </row>
    <row r="280">
      <c r="A280" s="15" t="s">
        <v>1324</v>
      </c>
      <c r="B280" s="15">
        <v>81.0</v>
      </c>
    </row>
    <row r="281">
      <c r="A281" s="15" t="s">
        <v>1325</v>
      </c>
      <c r="B281" s="15">
        <v>77.0</v>
      </c>
    </row>
    <row r="282">
      <c r="A282" s="15" t="s">
        <v>1326</v>
      </c>
      <c r="B282" s="15">
        <v>80.0</v>
      </c>
    </row>
    <row r="283">
      <c r="A283" s="15" t="s">
        <v>1327</v>
      </c>
      <c r="B283" s="15">
        <v>83.0</v>
      </c>
    </row>
    <row r="284">
      <c r="A284" s="15" t="s">
        <v>1328</v>
      </c>
      <c r="B284" s="15">
        <v>50.0</v>
      </c>
    </row>
    <row r="285">
      <c r="A285" s="15" t="s">
        <v>1329</v>
      </c>
      <c r="B285" s="15">
        <v>79.0</v>
      </c>
    </row>
    <row r="286">
      <c r="A286" s="15" t="s">
        <v>1330</v>
      </c>
      <c r="B286" s="15">
        <v>80.0</v>
      </c>
    </row>
    <row r="287">
      <c r="A287" s="15" t="s">
        <v>1331</v>
      </c>
      <c r="B287" s="15">
        <v>50.0</v>
      </c>
    </row>
    <row r="288">
      <c r="A288" s="15" t="s">
        <v>1345</v>
      </c>
      <c r="B288" s="15">
        <v>78.0</v>
      </c>
    </row>
    <row r="289">
      <c r="A289" s="15" t="s">
        <v>1337</v>
      </c>
      <c r="B289" s="15">
        <v>0.0</v>
      </c>
    </row>
    <row r="290">
      <c r="A290" s="15" t="s">
        <v>1332</v>
      </c>
      <c r="B290" s="15">
        <v>50.0</v>
      </c>
    </row>
    <row r="291">
      <c r="A291" s="15" t="s">
        <v>1334</v>
      </c>
      <c r="B291" s="15">
        <v>50.0</v>
      </c>
    </row>
    <row r="292">
      <c r="A292" s="15" t="s">
        <v>1333</v>
      </c>
      <c r="B292" s="15">
        <v>50.0</v>
      </c>
    </row>
    <row r="293">
      <c r="A293" s="15" t="s">
        <v>1346</v>
      </c>
      <c r="B293" s="15">
        <v>50.0</v>
      </c>
    </row>
    <row r="294">
      <c r="A294" s="15" t="s">
        <v>1336</v>
      </c>
      <c r="B294" s="15">
        <v>0.0</v>
      </c>
    </row>
    <row r="295">
      <c r="A295" s="15" t="s">
        <v>1039</v>
      </c>
      <c r="B295" s="15">
        <v>80.0</v>
      </c>
    </row>
    <row r="296">
      <c r="A296" s="15" t="s">
        <v>1040</v>
      </c>
      <c r="B296" s="15">
        <v>80.0</v>
      </c>
    </row>
    <row r="297">
      <c r="A297" s="15" t="s">
        <v>1041</v>
      </c>
      <c r="B297" s="15">
        <v>80.0</v>
      </c>
    </row>
    <row r="298">
      <c r="A298" s="15" t="s">
        <v>1042</v>
      </c>
      <c r="B298" s="15">
        <v>50.0</v>
      </c>
    </row>
    <row r="299">
      <c r="A299" s="15" t="s">
        <v>1043</v>
      </c>
      <c r="B299" s="15">
        <v>79.0</v>
      </c>
    </row>
    <row r="300">
      <c r="A300" s="15" t="s">
        <v>1044</v>
      </c>
      <c r="B300" s="15">
        <v>0.0</v>
      </c>
    </row>
    <row r="301">
      <c r="A301" s="15" t="s">
        <v>1045</v>
      </c>
      <c r="B301" s="15">
        <v>80.0</v>
      </c>
    </row>
    <row r="302">
      <c r="A302" s="15" t="s">
        <v>1046</v>
      </c>
      <c r="B302" s="15">
        <v>50.0</v>
      </c>
    </row>
    <row r="303">
      <c r="A303" s="15" t="s">
        <v>1047</v>
      </c>
      <c r="B303" s="15">
        <v>75.0</v>
      </c>
    </row>
    <row r="304">
      <c r="A304" s="15" t="s">
        <v>1048</v>
      </c>
      <c r="B304" s="15">
        <v>80.0</v>
      </c>
    </row>
    <row r="305">
      <c r="A305" s="15" t="s">
        <v>1049</v>
      </c>
      <c r="B305" s="15">
        <v>83.0</v>
      </c>
    </row>
    <row r="306">
      <c r="A306" s="15" t="s">
        <v>1050</v>
      </c>
      <c r="B306" s="15">
        <v>0.0</v>
      </c>
    </row>
    <row r="307">
      <c r="A307" s="15" t="s">
        <v>1051</v>
      </c>
      <c r="B307" s="15">
        <v>50.0</v>
      </c>
    </row>
    <row r="308">
      <c r="A308" s="15" t="s">
        <v>1052</v>
      </c>
      <c r="B308" s="15">
        <v>75.0</v>
      </c>
    </row>
    <row r="309">
      <c r="A309" s="15" t="s">
        <v>1053</v>
      </c>
      <c r="B309" s="15">
        <v>74.0</v>
      </c>
    </row>
    <row r="310">
      <c r="A310" s="15" t="s">
        <v>1054</v>
      </c>
      <c r="B310" s="15">
        <v>77.0</v>
      </c>
    </row>
    <row r="311">
      <c r="A311" s="15" t="s">
        <v>1055</v>
      </c>
      <c r="B311" s="15">
        <v>80.0</v>
      </c>
    </row>
    <row r="312">
      <c r="A312" s="15" t="s">
        <v>1056</v>
      </c>
      <c r="B312" s="15">
        <v>0.0</v>
      </c>
    </row>
    <row r="313">
      <c r="A313" s="15" t="s">
        <v>1057</v>
      </c>
      <c r="B313" s="15">
        <v>81.0</v>
      </c>
    </row>
    <row r="314">
      <c r="A314" s="15" t="s">
        <v>1058</v>
      </c>
      <c r="B314" s="15">
        <v>50.0</v>
      </c>
    </row>
    <row r="315">
      <c r="A315" s="15" t="s">
        <v>1059</v>
      </c>
      <c r="B315" s="15">
        <v>77.0</v>
      </c>
    </row>
    <row r="316">
      <c r="A316" s="15" t="s">
        <v>1060</v>
      </c>
      <c r="B316" s="15">
        <v>50.0</v>
      </c>
    </row>
    <row r="317">
      <c r="A317" s="15" t="s">
        <v>1061</v>
      </c>
      <c r="B317" s="15">
        <v>50.0</v>
      </c>
    </row>
    <row r="318">
      <c r="A318" s="15" t="s">
        <v>1062</v>
      </c>
      <c r="B318" s="15">
        <v>77.0</v>
      </c>
    </row>
    <row r="319">
      <c r="A319" s="15" t="s">
        <v>1063</v>
      </c>
      <c r="B319" s="15">
        <v>81.0</v>
      </c>
    </row>
    <row r="320">
      <c r="A320" s="15" t="s">
        <v>1064</v>
      </c>
      <c r="B320" s="15">
        <v>80.0</v>
      </c>
    </row>
    <row r="321">
      <c r="A321" s="15" t="s">
        <v>1065</v>
      </c>
      <c r="B321" s="15">
        <v>81.0</v>
      </c>
    </row>
    <row r="322">
      <c r="A322" s="15" t="s">
        <v>1066</v>
      </c>
      <c r="B322" s="15">
        <v>50.0</v>
      </c>
    </row>
    <row r="323">
      <c r="A323" s="15" t="s">
        <v>1067</v>
      </c>
      <c r="B323" s="15">
        <v>77.0</v>
      </c>
    </row>
    <row r="324">
      <c r="A324" s="15" t="s">
        <v>1068</v>
      </c>
      <c r="B324" s="15">
        <v>50.0</v>
      </c>
    </row>
    <row r="325">
      <c r="A325" s="15" t="s">
        <v>1069</v>
      </c>
      <c r="B325" s="15">
        <v>50.0</v>
      </c>
    </row>
    <row r="326">
      <c r="A326" s="15" t="s">
        <v>1070</v>
      </c>
      <c r="B326" s="15">
        <v>70.0</v>
      </c>
    </row>
    <row r="327">
      <c r="A327" s="15" t="s">
        <v>1071</v>
      </c>
      <c r="B327" s="15">
        <v>50.0</v>
      </c>
    </row>
    <row r="328">
      <c r="A328" s="15" t="s">
        <v>1072</v>
      </c>
      <c r="B328" s="15">
        <v>83.0</v>
      </c>
    </row>
    <row r="329">
      <c r="A329" s="15" t="s">
        <v>1073</v>
      </c>
      <c r="B329" s="15">
        <v>0.0</v>
      </c>
    </row>
    <row r="330">
      <c r="A330" s="15" t="s">
        <v>1074</v>
      </c>
      <c r="B330" s="15">
        <v>74.0</v>
      </c>
    </row>
    <row r="331">
      <c r="A331" s="15" t="s">
        <v>1075</v>
      </c>
      <c r="B331" s="15">
        <v>77.0</v>
      </c>
    </row>
    <row r="332">
      <c r="A332" s="15" t="s">
        <v>1076</v>
      </c>
      <c r="B332" s="15">
        <v>50.0</v>
      </c>
    </row>
    <row r="333">
      <c r="A333" s="15" t="s">
        <v>1077</v>
      </c>
      <c r="B333" s="15">
        <v>0.0</v>
      </c>
    </row>
    <row r="334">
      <c r="A334" s="15" t="s">
        <v>1078</v>
      </c>
      <c r="B334" s="15">
        <v>0.0</v>
      </c>
    </row>
    <row r="335">
      <c r="A335" s="15" t="s">
        <v>1079</v>
      </c>
      <c r="B335" s="15">
        <v>70.0</v>
      </c>
    </row>
    <row r="336">
      <c r="A336" s="15" t="s">
        <v>1080</v>
      </c>
      <c r="B336" s="15">
        <v>82.0</v>
      </c>
    </row>
    <row r="337">
      <c r="A337" s="15" t="s">
        <v>1081</v>
      </c>
      <c r="B337" s="15">
        <v>82.0</v>
      </c>
    </row>
    <row r="338">
      <c r="A338" s="15" t="s">
        <v>1082</v>
      </c>
      <c r="B338" s="15">
        <v>74.0</v>
      </c>
    </row>
    <row r="339">
      <c r="A339" s="15" t="s">
        <v>1083</v>
      </c>
      <c r="B339" s="15">
        <v>76.0</v>
      </c>
    </row>
    <row r="340">
      <c r="A340" s="15" t="s">
        <v>1084</v>
      </c>
      <c r="B340" s="15">
        <v>50.0</v>
      </c>
    </row>
    <row r="341">
      <c r="A341" s="15" t="s">
        <v>1085</v>
      </c>
      <c r="B341" s="15">
        <v>82.0</v>
      </c>
    </row>
    <row r="342">
      <c r="A342" s="15" t="s">
        <v>1086</v>
      </c>
      <c r="B342" s="15">
        <v>81.0</v>
      </c>
    </row>
    <row r="343">
      <c r="A343" s="15" t="s">
        <v>1087</v>
      </c>
      <c r="B343" s="15">
        <v>80.0</v>
      </c>
    </row>
    <row r="344">
      <c r="A344" s="15" t="s">
        <v>1088</v>
      </c>
      <c r="B344" s="15">
        <v>50.0</v>
      </c>
    </row>
    <row r="345">
      <c r="A345" s="15" t="s">
        <v>1089</v>
      </c>
      <c r="B345" s="15">
        <v>80.0</v>
      </c>
    </row>
    <row r="346">
      <c r="A346" s="15" t="s">
        <v>1090</v>
      </c>
      <c r="B346" s="15">
        <v>81.0</v>
      </c>
    </row>
    <row r="347">
      <c r="A347" s="15" t="s">
        <v>1091</v>
      </c>
      <c r="B347" s="15">
        <v>50.0</v>
      </c>
    </row>
    <row r="348">
      <c r="A348" s="15" t="s">
        <v>1092</v>
      </c>
      <c r="B348" s="15">
        <v>77.0</v>
      </c>
    </row>
    <row r="349">
      <c r="A349" s="15" t="s">
        <v>1093</v>
      </c>
      <c r="B349" s="15">
        <v>0.0</v>
      </c>
    </row>
    <row r="350">
      <c r="A350" s="15" t="s">
        <v>1094</v>
      </c>
      <c r="B350" s="15">
        <v>80.0</v>
      </c>
    </row>
    <row r="351">
      <c r="A351" s="15" t="s">
        <v>1095</v>
      </c>
      <c r="B351" s="15">
        <v>77.0</v>
      </c>
    </row>
    <row r="352">
      <c r="A352" s="15" t="s">
        <v>1096</v>
      </c>
      <c r="B352" s="15">
        <v>80.0</v>
      </c>
    </row>
    <row r="353">
      <c r="A353" s="15" t="s">
        <v>1097</v>
      </c>
      <c r="B353" s="15">
        <v>75.0</v>
      </c>
    </row>
    <row r="354">
      <c r="A354" s="15" t="s">
        <v>1098</v>
      </c>
      <c r="B354" s="15">
        <v>83.0</v>
      </c>
    </row>
    <row r="355">
      <c r="A355" s="15" t="s">
        <v>1099</v>
      </c>
      <c r="B355" s="15">
        <v>84.0</v>
      </c>
    </row>
    <row r="356">
      <c r="A356" s="15" t="s">
        <v>1100</v>
      </c>
      <c r="B356" s="15">
        <v>77.0</v>
      </c>
    </row>
    <row r="357">
      <c r="A357" s="15" t="s">
        <v>1101</v>
      </c>
      <c r="B357" s="15">
        <v>83.0</v>
      </c>
    </row>
    <row r="358">
      <c r="A358" s="15" t="s">
        <v>1102</v>
      </c>
      <c r="B358" s="15">
        <v>75.0</v>
      </c>
    </row>
    <row r="359">
      <c r="A359" s="15" t="s">
        <v>1103</v>
      </c>
      <c r="B359" s="15">
        <v>77.0</v>
      </c>
    </row>
    <row r="360">
      <c r="A360" s="15" t="s">
        <v>1104</v>
      </c>
      <c r="B360" s="15">
        <v>80.0</v>
      </c>
    </row>
    <row r="361">
      <c r="A361" s="15" t="s">
        <v>1105</v>
      </c>
      <c r="B361" s="15">
        <v>0.0</v>
      </c>
    </row>
    <row r="362">
      <c r="A362" s="15" t="s">
        <v>1106</v>
      </c>
      <c r="B362" s="15">
        <v>50.0</v>
      </c>
    </row>
    <row r="363">
      <c r="A363" s="15" t="s">
        <v>1107</v>
      </c>
      <c r="B363" s="15">
        <v>79.0</v>
      </c>
    </row>
    <row r="364">
      <c r="A364" s="15" t="s">
        <v>1108</v>
      </c>
      <c r="B364" s="15">
        <v>75.0</v>
      </c>
    </row>
    <row r="365">
      <c r="A365" s="15" t="s">
        <v>1109</v>
      </c>
      <c r="B365" s="15">
        <v>75.0</v>
      </c>
    </row>
    <row r="366">
      <c r="A366" s="15" t="s">
        <v>1110</v>
      </c>
      <c r="B366" s="15">
        <v>82.0</v>
      </c>
    </row>
    <row r="367">
      <c r="A367" s="15" t="s">
        <v>1111</v>
      </c>
      <c r="B367" s="15">
        <v>79.0</v>
      </c>
    </row>
    <row r="368">
      <c r="A368" s="15" t="s">
        <v>1112</v>
      </c>
      <c r="B368" s="15">
        <v>84.0</v>
      </c>
    </row>
    <row r="369">
      <c r="A369" s="15" t="s">
        <v>1113</v>
      </c>
      <c r="B369" s="15">
        <v>77.0</v>
      </c>
    </row>
    <row r="370">
      <c r="A370" s="15" t="s">
        <v>1114</v>
      </c>
      <c r="B370" s="15">
        <v>50.0</v>
      </c>
    </row>
    <row r="371">
      <c r="A371" s="15" t="s">
        <v>1115</v>
      </c>
      <c r="B371" s="15">
        <v>82.0</v>
      </c>
    </row>
    <row r="372">
      <c r="A372" s="15" t="s">
        <v>1116</v>
      </c>
      <c r="B372" s="15">
        <v>81.0</v>
      </c>
    </row>
    <row r="373">
      <c r="A373" s="15" t="s">
        <v>1117</v>
      </c>
      <c r="B373" s="15">
        <v>79.0</v>
      </c>
    </row>
    <row r="374">
      <c r="A374" s="15" t="s">
        <v>1118</v>
      </c>
      <c r="B374" s="15">
        <v>79.0</v>
      </c>
    </row>
    <row r="375">
      <c r="A375" s="15" t="s">
        <v>1119</v>
      </c>
      <c r="B375" s="15">
        <v>75.0</v>
      </c>
    </row>
    <row r="376">
      <c r="A376" s="15" t="s">
        <v>1120</v>
      </c>
      <c r="B376" s="15">
        <v>81.0</v>
      </c>
    </row>
    <row r="377">
      <c r="A377" s="15" t="s">
        <v>1121</v>
      </c>
      <c r="B377" s="15">
        <v>79.0</v>
      </c>
    </row>
    <row r="378">
      <c r="A378" s="15" t="s">
        <v>1122</v>
      </c>
      <c r="B378" s="15">
        <v>76.0</v>
      </c>
    </row>
    <row r="379">
      <c r="A379" s="15" t="s">
        <v>1123</v>
      </c>
      <c r="B379" s="15">
        <v>70.0</v>
      </c>
    </row>
    <row r="380">
      <c r="A380" s="15" t="s">
        <v>1124</v>
      </c>
      <c r="B380" s="15">
        <v>75.0</v>
      </c>
    </row>
    <row r="381">
      <c r="A381" s="15" t="s">
        <v>1125</v>
      </c>
      <c r="B381" s="15">
        <v>76.0</v>
      </c>
    </row>
    <row r="382">
      <c r="A382" s="15" t="s">
        <v>1126</v>
      </c>
      <c r="B382" s="15">
        <v>50.0</v>
      </c>
    </row>
    <row r="383">
      <c r="A383" s="15" t="s">
        <v>1127</v>
      </c>
      <c r="B383" s="15">
        <v>50.0</v>
      </c>
    </row>
    <row r="384">
      <c r="A384" s="15" t="s">
        <v>1128</v>
      </c>
      <c r="B384" s="15">
        <v>0.0</v>
      </c>
    </row>
    <row r="385">
      <c r="A385" s="15" t="s">
        <v>1129</v>
      </c>
      <c r="B385" s="15">
        <v>50.0</v>
      </c>
    </row>
    <row r="386">
      <c r="A386" s="15" t="s">
        <v>1130</v>
      </c>
      <c r="B386" s="15">
        <v>50.0</v>
      </c>
    </row>
    <row r="387">
      <c r="A387" s="15" t="s">
        <v>1131</v>
      </c>
      <c r="B387" s="15">
        <v>77.0</v>
      </c>
    </row>
    <row r="388">
      <c r="A388" s="15" t="s">
        <v>1132</v>
      </c>
      <c r="B388" s="15">
        <v>84.0</v>
      </c>
    </row>
    <row r="389">
      <c r="A389" s="15" t="s">
        <v>1133</v>
      </c>
      <c r="B389" s="15">
        <v>50.0</v>
      </c>
    </row>
    <row r="390">
      <c r="A390" s="15" t="s">
        <v>1134</v>
      </c>
      <c r="B390" s="15">
        <v>77.0</v>
      </c>
    </row>
    <row r="391">
      <c r="A391" s="15" t="s">
        <v>1135</v>
      </c>
      <c r="B391" s="15">
        <v>79.0</v>
      </c>
    </row>
    <row r="392">
      <c r="A392" s="15" t="s">
        <v>1136</v>
      </c>
      <c r="B392" s="15">
        <v>50.0</v>
      </c>
    </row>
    <row r="393">
      <c r="A393" s="15" t="s">
        <v>1137</v>
      </c>
      <c r="B393" s="15">
        <v>84.0</v>
      </c>
    </row>
    <row r="394">
      <c r="A394" s="15" t="s">
        <v>1138</v>
      </c>
      <c r="B394" s="15">
        <v>80.0</v>
      </c>
    </row>
    <row r="395">
      <c r="A395" s="15" t="s">
        <v>1139</v>
      </c>
      <c r="B395" s="15">
        <v>81.0</v>
      </c>
    </row>
    <row r="396">
      <c r="A396" s="15" t="s">
        <v>1140</v>
      </c>
      <c r="B396" s="15">
        <v>77.0</v>
      </c>
    </row>
    <row r="397">
      <c r="A397" s="15" t="s">
        <v>1141</v>
      </c>
      <c r="B397" s="15">
        <v>81.0</v>
      </c>
    </row>
    <row r="398">
      <c r="A398" s="15" t="s">
        <v>1142</v>
      </c>
      <c r="B398" s="15">
        <v>85.0</v>
      </c>
    </row>
    <row r="399">
      <c r="A399" s="15" t="s">
        <v>1143</v>
      </c>
      <c r="B399" s="15">
        <v>80.0</v>
      </c>
    </row>
    <row r="400">
      <c r="A400" s="15" t="s">
        <v>1144</v>
      </c>
      <c r="B400" s="15">
        <v>82.0</v>
      </c>
    </row>
    <row r="401">
      <c r="A401" s="15" t="s">
        <v>1145</v>
      </c>
      <c r="B401" s="15">
        <v>82.0</v>
      </c>
    </row>
    <row r="402">
      <c r="A402" s="15" t="s">
        <v>1146</v>
      </c>
      <c r="B402" s="15">
        <v>79.0</v>
      </c>
    </row>
    <row r="403">
      <c r="A403" s="15" t="s">
        <v>1147</v>
      </c>
      <c r="B403" s="15">
        <v>50.0</v>
      </c>
    </row>
    <row r="404">
      <c r="A404" s="15" t="s">
        <v>1148</v>
      </c>
      <c r="B404" s="15">
        <v>80.0</v>
      </c>
    </row>
    <row r="405">
      <c r="A405" s="15" t="s">
        <v>1149</v>
      </c>
      <c r="B405" s="15">
        <v>82.0</v>
      </c>
    </row>
    <row r="406">
      <c r="A406" s="15" t="s">
        <v>1150</v>
      </c>
      <c r="B406" s="15">
        <v>79.0</v>
      </c>
    </row>
    <row r="407">
      <c r="A407" s="15" t="s">
        <v>1151</v>
      </c>
      <c r="B407" s="15">
        <v>75.0</v>
      </c>
    </row>
    <row r="408">
      <c r="A408" s="15" t="s">
        <v>1152</v>
      </c>
      <c r="B408" s="15">
        <v>82.0</v>
      </c>
    </row>
    <row r="409">
      <c r="A409" s="15" t="s">
        <v>1153</v>
      </c>
      <c r="B409" s="15">
        <v>75.0</v>
      </c>
    </row>
    <row r="410">
      <c r="A410" s="15" t="s">
        <v>1154</v>
      </c>
      <c r="B410" s="15">
        <v>74.0</v>
      </c>
    </row>
    <row r="411">
      <c r="A411" s="15" t="s">
        <v>1155</v>
      </c>
      <c r="B411" s="15">
        <v>70.0</v>
      </c>
    </row>
    <row r="412">
      <c r="A412" s="15" t="s">
        <v>1156</v>
      </c>
      <c r="B412" s="15">
        <v>82.0</v>
      </c>
    </row>
    <row r="413">
      <c r="A413" s="15" t="s">
        <v>1157</v>
      </c>
      <c r="B413" s="15">
        <v>79.0</v>
      </c>
    </row>
    <row r="414">
      <c r="A414" s="15" t="s">
        <v>1158</v>
      </c>
      <c r="B414" s="15">
        <v>74.0</v>
      </c>
    </row>
    <row r="415">
      <c r="A415" s="15" t="s">
        <v>1159</v>
      </c>
      <c r="B415" s="15">
        <v>85.0</v>
      </c>
    </row>
    <row r="416">
      <c r="A416" s="15" t="s">
        <v>1160</v>
      </c>
      <c r="B416" s="15">
        <v>79.0</v>
      </c>
    </row>
    <row r="417">
      <c r="A417" s="15" t="s">
        <v>1161</v>
      </c>
      <c r="B417" s="15">
        <v>84.0</v>
      </c>
    </row>
    <row r="418">
      <c r="A418" s="15" t="s">
        <v>1162</v>
      </c>
      <c r="B418" s="15">
        <v>50.0</v>
      </c>
    </row>
    <row r="419">
      <c r="A419" s="15" t="s">
        <v>1163</v>
      </c>
      <c r="B419" s="15">
        <v>0.0</v>
      </c>
    </row>
    <row r="420">
      <c r="A420" s="15" t="s">
        <v>1164</v>
      </c>
      <c r="B420" s="15">
        <v>79.0</v>
      </c>
    </row>
    <row r="421">
      <c r="A421" s="15" t="s">
        <v>1165</v>
      </c>
      <c r="B421" s="15">
        <v>84.0</v>
      </c>
    </row>
    <row r="422">
      <c r="A422" s="15" t="s">
        <v>1166</v>
      </c>
      <c r="B422" s="15">
        <v>75.0</v>
      </c>
    </row>
    <row r="423">
      <c r="A423" s="15" t="s">
        <v>1167</v>
      </c>
      <c r="B423" s="15">
        <v>82.0</v>
      </c>
    </row>
    <row r="424">
      <c r="A424" s="15" t="s">
        <v>1168</v>
      </c>
      <c r="B424" s="15">
        <v>82.0</v>
      </c>
    </row>
    <row r="425">
      <c r="A425" s="15" t="s">
        <v>1169</v>
      </c>
      <c r="B425" s="15">
        <v>77.0</v>
      </c>
    </row>
    <row r="426">
      <c r="A426" s="15" t="s">
        <v>1170</v>
      </c>
      <c r="B426" s="15">
        <v>85.0</v>
      </c>
    </row>
    <row r="427">
      <c r="A427" s="15" t="s">
        <v>1171</v>
      </c>
      <c r="B427" s="15">
        <v>84.0</v>
      </c>
    </row>
    <row r="428">
      <c r="A428" s="15" t="s">
        <v>1172</v>
      </c>
      <c r="B428" s="15">
        <v>0.0</v>
      </c>
    </row>
    <row r="429">
      <c r="A429" s="15" t="s">
        <v>1173</v>
      </c>
      <c r="B429" s="15">
        <v>77.0</v>
      </c>
    </row>
    <row r="430">
      <c r="A430" s="15" t="s">
        <v>1174</v>
      </c>
      <c r="B430" s="15">
        <v>85.0</v>
      </c>
    </row>
    <row r="431">
      <c r="A431" s="15" t="s">
        <v>1175</v>
      </c>
      <c r="B431" s="15">
        <v>50.0</v>
      </c>
    </row>
    <row r="432">
      <c r="A432" s="15" t="s">
        <v>1176</v>
      </c>
      <c r="B432" s="15">
        <v>50.0</v>
      </c>
    </row>
    <row r="433">
      <c r="A433" s="15" t="s">
        <v>1177</v>
      </c>
      <c r="B433" s="15">
        <v>75.0</v>
      </c>
    </row>
    <row r="434">
      <c r="A434" s="15" t="s">
        <v>1178</v>
      </c>
      <c r="B434" s="15">
        <v>50.0</v>
      </c>
    </row>
    <row r="435">
      <c r="A435" s="15" t="s">
        <v>1179</v>
      </c>
      <c r="B435" s="15">
        <v>50.0</v>
      </c>
    </row>
    <row r="436">
      <c r="A436" s="15" t="s">
        <v>1180</v>
      </c>
      <c r="B436" s="15">
        <v>85.0</v>
      </c>
    </row>
    <row r="437">
      <c r="A437" s="15" t="s">
        <v>1181</v>
      </c>
      <c r="B437" s="15">
        <v>82.0</v>
      </c>
    </row>
    <row r="438">
      <c r="A438" s="15" t="s">
        <v>1191</v>
      </c>
      <c r="B438" s="15">
        <v>50.0</v>
      </c>
    </row>
    <row r="439">
      <c r="A439" s="15" t="s">
        <v>1188</v>
      </c>
      <c r="B439" s="15">
        <v>50.0</v>
      </c>
    </row>
    <row r="440">
      <c r="A440" s="15" t="s">
        <v>1192</v>
      </c>
      <c r="B440" s="15">
        <v>50.0</v>
      </c>
    </row>
    <row r="441">
      <c r="A441" s="15" t="s">
        <v>1185</v>
      </c>
      <c r="B441" s="15">
        <v>0.0</v>
      </c>
    </row>
    <row r="442">
      <c r="A442" s="15" t="s">
        <v>1189</v>
      </c>
      <c r="B442" s="15">
        <v>50.0</v>
      </c>
    </row>
    <row r="443">
      <c r="A443" s="15" t="s">
        <v>1195</v>
      </c>
      <c r="B443" s="15">
        <v>50.0</v>
      </c>
    </row>
    <row r="444">
      <c r="A444" s="15" t="s">
        <v>1183</v>
      </c>
      <c r="B444" s="15">
        <v>50.0</v>
      </c>
    </row>
    <row r="445">
      <c r="A445" s="15" t="s">
        <v>1186</v>
      </c>
      <c r="B445" s="15">
        <v>50.0</v>
      </c>
    </row>
    <row r="446">
      <c r="A446" s="15" t="s">
        <v>1193</v>
      </c>
      <c r="B446" s="15">
        <v>50.0</v>
      </c>
    </row>
    <row r="447">
      <c r="A447" s="15" t="s">
        <v>1187</v>
      </c>
      <c r="B447" s="15">
        <v>50.0</v>
      </c>
    </row>
    <row r="448">
      <c r="A448" s="15" t="s">
        <v>1184</v>
      </c>
      <c r="B448" s="15">
        <v>50.0</v>
      </c>
    </row>
    <row r="449">
      <c r="A449" s="15" t="s">
        <v>1190</v>
      </c>
      <c r="B449" s="15">
        <v>0.0</v>
      </c>
    </row>
    <row r="450">
      <c r="A450" s="15" t="s">
        <v>1194</v>
      </c>
      <c r="B450" s="15">
        <v>50.0</v>
      </c>
    </row>
    <row r="451">
      <c r="A451" s="15" t="s">
        <v>1182</v>
      </c>
      <c r="B451" s="15">
        <v>0.0</v>
      </c>
    </row>
    <row r="452">
      <c r="A452" s="15" t="s">
        <v>883</v>
      </c>
      <c r="B452" s="15">
        <v>81.0</v>
      </c>
    </row>
    <row r="453">
      <c r="A453" s="15" t="s">
        <v>884</v>
      </c>
      <c r="B453" s="15">
        <v>85.0</v>
      </c>
    </row>
    <row r="454">
      <c r="A454" s="15" t="s">
        <v>885</v>
      </c>
      <c r="B454" s="15">
        <v>82.0</v>
      </c>
    </row>
    <row r="455">
      <c r="A455" s="15" t="s">
        <v>886</v>
      </c>
      <c r="B455" s="15">
        <v>83.0</v>
      </c>
    </row>
    <row r="456">
      <c r="A456" s="15" t="s">
        <v>887</v>
      </c>
      <c r="B456" s="15">
        <v>81.0</v>
      </c>
    </row>
    <row r="457">
      <c r="A457" s="15" t="s">
        <v>888</v>
      </c>
      <c r="B457" s="15">
        <v>90.0</v>
      </c>
    </row>
    <row r="458">
      <c r="A458" s="15" t="s">
        <v>889</v>
      </c>
      <c r="B458" s="15">
        <v>0.0</v>
      </c>
    </row>
    <row r="459">
      <c r="A459" s="15" t="s">
        <v>890</v>
      </c>
      <c r="B459" s="15">
        <v>90.0</v>
      </c>
    </row>
    <row r="460">
      <c r="A460" s="15" t="s">
        <v>891</v>
      </c>
      <c r="B460" s="15">
        <v>80.0</v>
      </c>
    </row>
    <row r="461">
      <c r="A461" s="15" t="s">
        <v>892</v>
      </c>
      <c r="B461" s="15">
        <v>0.0</v>
      </c>
    </row>
    <row r="462">
      <c r="A462" s="15" t="s">
        <v>893</v>
      </c>
      <c r="B462" s="15">
        <v>87.0</v>
      </c>
    </row>
    <row r="463">
      <c r="A463" s="15" t="s">
        <v>894</v>
      </c>
      <c r="B463" s="15">
        <v>80.0</v>
      </c>
    </row>
    <row r="464">
      <c r="A464" s="15" t="s">
        <v>895</v>
      </c>
      <c r="B464" s="15">
        <v>83.0</v>
      </c>
    </row>
    <row r="465">
      <c r="A465" s="15" t="s">
        <v>896</v>
      </c>
      <c r="B465" s="15">
        <v>0.0</v>
      </c>
    </row>
    <row r="466">
      <c r="A466" s="15" t="s">
        <v>897</v>
      </c>
      <c r="B466" s="15">
        <v>0.0</v>
      </c>
    </row>
    <row r="467">
      <c r="A467" s="15" t="s">
        <v>898</v>
      </c>
      <c r="B467" s="15">
        <v>85.0</v>
      </c>
    </row>
    <row r="468">
      <c r="A468" s="15" t="s">
        <v>899</v>
      </c>
      <c r="B468" s="15">
        <v>84.0</v>
      </c>
    </row>
    <row r="469">
      <c r="A469" s="15" t="s">
        <v>900</v>
      </c>
      <c r="B469" s="15">
        <v>90.0</v>
      </c>
    </row>
    <row r="470">
      <c r="A470" s="15" t="s">
        <v>901</v>
      </c>
      <c r="B470" s="15">
        <v>77.0</v>
      </c>
    </row>
    <row r="471">
      <c r="A471" s="15" t="s">
        <v>902</v>
      </c>
      <c r="B471" s="15">
        <v>77.0</v>
      </c>
    </row>
    <row r="472">
      <c r="A472" s="15" t="s">
        <v>903</v>
      </c>
      <c r="B472" s="15">
        <v>80.0</v>
      </c>
    </row>
    <row r="473">
      <c r="A473" s="15" t="s">
        <v>904</v>
      </c>
      <c r="B473" s="15">
        <v>77.0</v>
      </c>
    </row>
    <row r="474">
      <c r="A474" s="15" t="s">
        <v>905</v>
      </c>
      <c r="B474" s="15">
        <v>50.0</v>
      </c>
    </row>
    <row r="475">
      <c r="A475" s="15" t="s">
        <v>906</v>
      </c>
      <c r="B475" s="15">
        <v>87.0</v>
      </c>
    </row>
    <row r="476">
      <c r="A476" s="15" t="s">
        <v>907</v>
      </c>
      <c r="B476" s="15">
        <v>87.0</v>
      </c>
    </row>
    <row r="477">
      <c r="A477" s="15" t="s">
        <v>908</v>
      </c>
      <c r="B477" s="15">
        <v>0.0</v>
      </c>
    </row>
    <row r="478">
      <c r="A478" s="15" t="s">
        <v>909</v>
      </c>
      <c r="B478" s="15">
        <v>87.0</v>
      </c>
    </row>
    <row r="479">
      <c r="A479" s="15" t="s">
        <v>910</v>
      </c>
      <c r="B479" s="15">
        <v>83.0</v>
      </c>
    </row>
    <row r="480">
      <c r="A480" s="15" t="s">
        <v>911</v>
      </c>
      <c r="B480" s="15">
        <v>50.0</v>
      </c>
    </row>
    <row r="481">
      <c r="A481" s="15" t="s">
        <v>912</v>
      </c>
      <c r="B481" s="15">
        <v>50.0</v>
      </c>
    </row>
    <row r="482">
      <c r="A482" s="15" t="s">
        <v>913</v>
      </c>
      <c r="B482" s="15">
        <v>0.0</v>
      </c>
    </row>
    <row r="483">
      <c r="A483" s="15" t="s">
        <v>914</v>
      </c>
      <c r="B483" s="15">
        <v>77.0</v>
      </c>
    </row>
    <row r="484">
      <c r="A484" s="15" t="s">
        <v>915</v>
      </c>
      <c r="B484" s="15">
        <v>81.0</v>
      </c>
    </row>
    <row r="485">
      <c r="A485" s="15" t="s">
        <v>916</v>
      </c>
      <c r="B485" s="15">
        <v>50.0</v>
      </c>
    </row>
    <row r="486">
      <c r="A486" s="15" t="s">
        <v>917</v>
      </c>
      <c r="B486" s="15">
        <v>77.0</v>
      </c>
    </row>
    <row r="487">
      <c r="A487" s="15" t="s">
        <v>918</v>
      </c>
      <c r="B487" s="15">
        <v>77.0</v>
      </c>
    </row>
    <row r="488">
      <c r="A488" s="15" t="s">
        <v>919</v>
      </c>
      <c r="B488" s="15">
        <v>82.0</v>
      </c>
    </row>
    <row r="489">
      <c r="A489" s="15" t="s">
        <v>920</v>
      </c>
      <c r="B489" s="15">
        <v>84.0</v>
      </c>
    </row>
    <row r="490">
      <c r="A490" s="15" t="s">
        <v>921</v>
      </c>
      <c r="B490" s="15">
        <v>87.0</v>
      </c>
    </row>
    <row r="491">
      <c r="A491" s="15" t="s">
        <v>922</v>
      </c>
      <c r="B491" s="15">
        <v>82.0</v>
      </c>
    </row>
    <row r="492">
      <c r="A492" s="15" t="s">
        <v>923</v>
      </c>
      <c r="B492" s="15">
        <v>84.0</v>
      </c>
    </row>
    <row r="493">
      <c r="A493" s="15" t="s">
        <v>924</v>
      </c>
      <c r="B493" s="15">
        <v>77.0</v>
      </c>
    </row>
    <row r="494">
      <c r="A494" s="15" t="s">
        <v>925</v>
      </c>
      <c r="B494" s="15">
        <v>85.0</v>
      </c>
    </row>
    <row r="495">
      <c r="A495" s="15" t="s">
        <v>926</v>
      </c>
      <c r="B495" s="15">
        <v>85.0</v>
      </c>
    </row>
    <row r="496">
      <c r="A496" s="15" t="s">
        <v>927</v>
      </c>
      <c r="B496" s="15">
        <v>82.0</v>
      </c>
    </row>
    <row r="497">
      <c r="A497" s="15" t="s">
        <v>928</v>
      </c>
      <c r="B497" s="15">
        <v>73.0</v>
      </c>
    </row>
    <row r="498">
      <c r="A498" s="15" t="s">
        <v>929</v>
      </c>
      <c r="B498" s="15">
        <v>0.0</v>
      </c>
    </row>
    <row r="499">
      <c r="A499" s="15" t="s">
        <v>930</v>
      </c>
      <c r="B499" s="15">
        <v>77.0</v>
      </c>
    </row>
    <row r="500">
      <c r="A500" s="15" t="s">
        <v>931</v>
      </c>
      <c r="B500" s="15">
        <v>87.0</v>
      </c>
    </row>
    <row r="501">
      <c r="A501" s="15" t="s">
        <v>932</v>
      </c>
      <c r="B501" s="15">
        <v>50.0</v>
      </c>
    </row>
    <row r="502">
      <c r="A502" s="15" t="s">
        <v>933</v>
      </c>
      <c r="B502" s="15">
        <v>81.0</v>
      </c>
    </row>
    <row r="503">
      <c r="A503" s="15" t="s">
        <v>934</v>
      </c>
      <c r="B503" s="15">
        <v>0.0</v>
      </c>
    </row>
    <row r="504">
      <c r="A504" s="15" t="s">
        <v>935</v>
      </c>
      <c r="B504" s="15">
        <v>0.0</v>
      </c>
    </row>
    <row r="505">
      <c r="A505" s="15" t="s">
        <v>936</v>
      </c>
      <c r="B505" s="15">
        <v>77.0</v>
      </c>
    </row>
    <row r="506">
      <c r="A506" s="15" t="s">
        <v>937</v>
      </c>
      <c r="B506" s="15">
        <v>90.0</v>
      </c>
    </row>
    <row r="507">
      <c r="A507" s="15" t="s">
        <v>938</v>
      </c>
      <c r="B507" s="15">
        <v>81.0</v>
      </c>
    </row>
    <row r="508">
      <c r="A508" s="15" t="s">
        <v>939</v>
      </c>
      <c r="B508" s="15">
        <v>79.0</v>
      </c>
    </row>
    <row r="509">
      <c r="A509" s="15" t="s">
        <v>940</v>
      </c>
      <c r="B509" s="15">
        <v>87.0</v>
      </c>
    </row>
    <row r="510">
      <c r="A510" s="15" t="s">
        <v>941</v>
      </c>
      <c r="B510" s="15">
        <v>80.0</v>
      </c>
    </row>
    <row r="511">
      <c r="A511" s="15" t="s">
        <v>942</v>
      </c>
      <c r="B511" s="15">
        <v>81.0</v>
      </c>
    </row>
    <row r="512">
      <c r="A512" s="15" t="s">
        <v>943</v>
      </c>
      <c r="B512" s="15">
        <v>81.0</v>
      </c>
    </row>
    <row r="513">
      <c r="A513" s="15" t="s">
        <v>944</v>
      </c>
      <c r="B513" s="15">
        <v>82.0</v>
      </c>
    </row>
    <row r="514">
      <c r="A514" s="15" t="s">
        <v>945</v>
      </c>
      <c r="B514" s="15">
        <v>82.0</v>
      </c>
    </row>
    <row r="515">
      <c r="A515" s="15" t="s">
        <v>946</v>
      </c>
      <c r="B515" s="15">
        <v>83.0</v>
      </c>
    </row>
    <row r="516">
      <c r="A516" s="15" t="s">
        <v>947</v>
      </c>
      <c r="B516" s="15">
        <v>50.0</v>
      </c>
    </row>
    <row r="517">
      <c r="A517" s="15" t="s">
        <v>948</v>
      </c>
      <c r="B517" s="15">
        <v>79.0</v>
      </c>
    </row>
    <row r="518">
      <c r="A518" s="15" t="s">
        <v>949</v>
      </c>
      <c r="B518" s="15">
        <v>80.0</v>
      </c>
    </row>
    <row r="519">
      <c r="A519" s="15" t="s">
        <v>950</v>
      </c>
      <c r="B519" s="15">
        <v>75.0</v>
      </c>
    </row>
    <row r="520">
      <c r="A520" s="15" t="s">
        <v>951</v>
      </c>
      <c r="B520" s="15">
        <v>73.0</v>
      </c>
    </row>
    <row r="521">
      <c r="A521" s="15" t="s">
        <v>952</v>
      </c>
      <c r="B521" s="15">
        <v>50.0</v>
      </c>
    </row>
    <row r="522">
      <c r="A522" s="15" t="s">
        <v>953</v>
      </c>
      <c r="B522" s="15">
        <v>80.0</v>
      </c>
    </row>
    <row r="523">
      <c r="A523" s="15" t="s">
        <v>954</v>
      </c>
      <c r="B523" s="15">
        <v>85.0</v>
      </c>
    </row>
    <row r="524">
      <c r="A524" s="15" t="s">
        <v>955</v>
      </c>
      <c r="B524" s="15">
        <v>50.0</v>
      </c>
    </row>
    <row r="525">
      <c r="A525" s="15" t="s">
        <v>956</v>
      </c>
      <c r="B525" s="15">
        <v>86.0</v>
      </c>
    </row>
    <row r="526">
      <c r="A526" s="15" t="s">
        <v>957</v>
      </c>
      <c r="B526" s="15">
        <v>50.0</v>
      </c>
    </row>
    <row r="527">
      <c r="A527" s="15" t="s">
        <v>958</v>
      </c>
      <c r="B527" s="15">
        <v>80.0</v>
      </c>
    </row>
    <row r="528">
      <c r="A528" s="15" t="s">
        <v>959</v>
      </c>
      <c r="B528" s="15">
        <v>80.0</v>
      </c>
    </row>
    <row r="529">
      <c r="A529" s="15" t="s">
        <v>960</v>
      </c>
      <c r="B529" s="15">
        <v>0.0</v>
      </c>
    </row>
    <row r="530">
      <c r="A530" s="15" t="s">
        <v>961</v>
      </c>
      <c r="B530" s="15">
        <v>84.0</v>
      </c>
    </row>
    <row r="531">
      <c r="A531" s="15" t="s">
        <v>962</v>
      </c>
      <c r="B531" s="15">
        <v>50.0</v>
      </c>
    </row>
    <row r="532">
      <c r="A532" s="15" t="s">
        <v>963</v>
      </c>
      <c r="B532" s="15">
        <v>75.0</v>
      </c>
    </row>
    <row r="533">
      <c r="A533" s="15" t="s">
        <v>964</v>
      </c>
      <c r="B533" s="15">
        <v>80.0</v>
      </c>
    </row>
    <row r="534">
      <c r="A534" s="15" t="s">
        <v>965</v>
      </c>
      <c r="B534" s="15">
        <v>80.0</v>
      </c>
    </row>
    <row r="535">
      <c r="A535" s="15" t="s">
        <v>966</v>
      </c>
      <c r="B535" s="15">
        <v>75.0</v>
      </c>
    </row>
    <row r="536">
      <c r="A536" s="15" t="s">
        <v>967</v>
      </c>
      <c r="B536" s="15">
        <v>75.0</v>
      </c>
    </row>
    <row r="537">
      <c r="A537" s="15" t="s">
        <v>968</v>
      </c>
      <c r="B537" s="15">
        <v>84.0</v>
      </c>
    </row>
    <row r="538">
      <c r="A538" s="15" t="s">
        <v>969</v>
      </c>
      <c r="B538" s="15">
        <v>73.0</v>
      </c>
    </row>
    <row r="539">
      <c r="A539" s="15" t="s">
        <v>970</v>
      </c>
      <c r="B539" s="15">
        <v>80.0</v>
      </c>
    </row>
    <row r="540">
      <c r="A540" s="15" t="s">
        <v>971</v>
      </c>
      <c r="B540" s="15">
        <v>80.0</v>
      </c>
    </row>
    <row r="541">
      <c r="A541" s="15" t="s">
        <v>972</v>
      </c>
      <c r="B541" s="15">
        <v>80.0</v>
      </c>
    </row>
    <row r="542">
      <c r="A542" s="15" t="s">
        <v>973</v>
      </c>
      <c r="B542" s="15">
        <v>0.0</v>
      </c>
    </row>
    <row r="543">
      <c r="A543" s="15" t="s">
        <v>974</v>
      </c>
      <c r="B543" s="15">
        <v>0.0</v>
      </c>
    </row>
    <row r="544">
      <c r="A544" s="15" t="s">
        <v>975</v>
      </c>
      <c r="B544" s="15">
        <v>75.0</v>
      </c>
    </row>
    <row r="545">
      <c r="A545" s="15" t="s">
        <v>976</v>
      </c>
      <c r="B545" s="15">
        <v>50.0</v>
      </c>
    </row>
    <row r="546">
      <c r="A546" s="15" t="s">
        <v>977</v>
      </c>
      <c r="B546" s="15">
        <v>75.0</v>
      </c>
    </row>
    <row r="547">
      <c r="A547" s="15" t="s">
        <v>978</v>
      </c>
      <c r="B547" s="15">
        <v>81.0</v>
      </c>
    </row>
    <row r="548">
      <c r="A548" s="15" t="s">
        <v>979</v>
      </c>
      <c r="B548" s="15">
        <v>50.0</v>
      </c>
    </row>
    <row r="549">
      <c r="A549" s="15" t="s">
        <v>980</v>
      </c>
      <c r="B549" s="15">
        <v>50.0</v>
      </c>
    </row>
    <row r="550">
      <c r="A550" s="15" t="s">
        <v>981</v>
      </c>
      <c r="B550" s="15">
        <v>50.0</v>
      </c>
    </row>
    <row r="551">
      <c r="A551" s="15" t="s">
        <v>982</v>
      </c>
      <c r="B551" s="15">
        <v>75.0</v>
      </c>
    </row>
    <row r="552">
      <c r="A552" s="15" t="s">
        <v>983</v>
      </c>
      <c r="B552" s="15">
        <v>75.0</v>
      </c>
    </row>
    <row r="553">
      <c r="A553" s="15" t="s">
        <v>984</v>
      </c>
      <c r="B553" s="15">
        <v>50.0</v>
      </c>
    </row>
    <row r="554">
      <c r="A554" s="15" t="s">
        <v>985</v>
      </c>
      <c r="B554" s="15">
        <v>0.0</v>
      </c>
    </row>
    <row r="555">
      <c r="A555" s="15" t="s">
        <v>986</v>
      </c>
      <c r="B555" s="15">
        <v>0.0</v>
      </c>
    </row>
    <row r="556">
      <c r="A556" s="15" t="s">
        <v>987</v>
      </c>
      <c r="B556" s="15">
        <v>0.0</v>
      </c>
    </row>
    <row r="557">
      <c r="A557" s="15" t="s">
        <v>988</v>
      </c>
      <c r="B557" s="15">
        <v>73.0</v>
      </c>
    </row>
    <row r="558">
      <c r="A558" s="15" t="s">
        <v>989</v>
      </c>
      <c r="B558" s="15">
        <v>85.0</v>
      </c>
    </row>
    <row r="559">
      <c r="A559" s="15" t="s">
        <v>990</v>
      </c>
      <c r="B559" s="15">
        <v>85.0</v>
      </c>
    </row>
    <row r="560">
      <c r="A560" s="15" t="s">
        <v>991</v>
      </c>
      <c r="B560" s="15">
        <v>73.0</v>
      </c>
    </row>
    <row r="561">
      <c r="A561" s="15" t="s">
        <v>992</v>
      </c>
      <c r="B561" s="15">
        <v>85.0</v>
      </c>
    </row>
    <row r="562">
      <c r="A562" s="15" t="s">
        <v>993</v>
      </c>
      <c r="B562" s="15">
        <v>73.0</v>
      </c>
    </row>
    <row r="563">
      <c r="A563" s="15" t="s">
        <v>994</v>
      </c>
      <c r="B563" s="15">
        <v>80.0</v>
      </c>
    </row>
    <row r="564">
      <c r="A564" s="15" t="s">
        <v>995</v>
      </c>
      <c r="B564" s="15">
        <v>0.0</v>
      </c>
    </row>
    <row r="565">
      <c r="A565" s="15" t="s">
        <v>996</v>
      </c>
      <c r="B565" s="15">
        <v>75.0</v>
      </c>
    </row>
    <row r="566">
      <c r="A566" s="15" t="s">
        <v>997</v>
      </c>
      <c r="B566" s="15">
        <v>50.0</v>
      </c>
    </row>
    <row r="567">
      <c r="A567" s="15" t="s">
        <v>998</v>
      </c>
      <c r="B567" s="15">
        <v>86.0</v>
      </c>
    </row>
    <row r="568">
      <c r="A568" s="15" t="s">
        <v>999</v>
      </c>
      <c r="B568" s="15">
        <v>73.0</v>
      </c>
    </row>
    <row r="569">
      <c r="A569" s="15" t="s">
        <v>1000</v>
      </c>
      <c r="B569" s="15">
        <v>73.0</v>
      </c>
    </row>
    <row r="570">
      <c r="A570" s="15" t="s">
        <v>1001</v>
      </c>
      <c r="B570" s="15">
        <v>80.0</v>
      </c>
    </row>
    <row r="571">
      <c r="A571" s="15" t="s">
        <v>1002</v>
      </c>
      <c r="B571" s="15">
        <v>50.0</v>
      </c>
    </row>
    <row r="572">
      <c r="A572" s="15" t="s">
        <v>1003</v>
      </c>
      <c r="B572" s="15">
        <v>80.0</v>
      </c>
    </row>
    <row r="573">
      <c r="A573" s="15" t="s">
        <v>1004</v>
      </c>
      <c r="B573" s="15">
        <v>80.0</v>
      </c>
    </row>
    <row r="574">
      <c r="A574" s="15" t="s">
        <v>1005</v>
      </c>
      <c r="B574" s="15">
        <v>0.0</v>
      </c>
    </row>
    <row r="575">
      <c r="A575" s="15" t="s">
        <v>1006</v>
      </c>
      <c r="B575" s="15">
        <v>75.0</v>
      </c>
    </row>
    <row r="576">
      <c r="A576" s="15" t="s">
        <v>1007</v>
      </c>
      <c r="B576" s="15">
        <v>77.0</v>
      </c>
    </row>
    <row r="577">
      <c r="A577" s="15" t="s">
        <v>1008</v>
      </c>
      <c r="B577" s="15">
        <v>0.0</v>
      </c>
    </row>
    <row r="578">
      <c r="A578" s="15" t="s">
        <v>1009</v>
      </c>
      <c r="B578" s="15">
        <v>83.0</v>
      </c>
    </row>
    <row r="579">
      <c r="A579" s="15" t="s">
        <v>1010</v>
      </c>
      <c r="B579" s="15">
        <v>73.0</v>
      </c>
    </row>
    <row r="580">
      <c r="A580" s="15" t="s">
        <v>1011</v>
      </c>
      <c r="B580" s="15">
        <v>75.0</v>
      </c>
    </row>
    <row r="581">
      <c r="A581" s="15" t="s">
        <v>1012</v>
      </c>
      <c r="B581" s="15">
        <v>73.0</v>
      </c>
    </row>
    <row r="582">
      <c r="A582" s="15" t="s">
        <v>1013</v>
      </c>
      <c r="B582" s="15">
        <v>50.0</v>
      </c>
    </row>
    <row r="583">
      <c r="A583" s="15" t="s">
        <v>1014</v>
      </c>
      <c r="B583" s="15">
        <v>50.0</v>
      </c>
    </row>
    <row r="584">
      <c r="A584" s="15" t="s">
        <v>1015</v>
      </c>
      <c r="B584" s="15">
        <v>75.0</v>
      </c>
    </row>
    <row r="585">
      <c r="A585" s="15" t="s">
        <v>1016</v>
      </c>
      <c r="B585" s="15">
        <v>73.0</v>
      </c>
    </row>
    <row r="586">
      <c r="A586" s="15" t="s">
        <v>1017</v>
      </c>
      <c r="B586" s="15">
        <v>80.0</v>
      </c>
    </row>
    <row r="587">
      <c r="A587" s="15" t="s">
        <v>1018</v>
      </c>
      <c r="B587" s="15">
        <v>75.0</v>
      </c>
    </row>
    <row r="588">
      <c r="A588" s="15" t="s">
        <v>1019</v>
      </c>
      <c r="B588" s="15">
        <v>80.0</v>
      </c>
    </row>
    <row r="589">
      <c r="A589" s="15" t="s">
        <v>1020</v>
      </c>
      <c r="B589" s="15">
        <v>80.0</v>
      </c>
    </row>
    <row r="590">
      <c r="A590" s="15" t="s">
        <v>1021</v>
      </c>
      <c r="B590" s="15">
        <v>73.0</v>
      </c>
    </row>
    <row r="591">
      <c r="A591" s="15" t="s">
        <v>1022</v>
      </c>
      <c r="B591" s="15">
        <v>85.0</v>
      </c>
    </row>
    <row r="592">
      <c r="A592" s="15" t="s">
        <v>1023</v>
      </c>
      <c r="B592" s="15">
        <v>73.0</v>
      </c>
    </row>
    <row r="593">
      <c r="A593" s="15" t="s">
        <v>1024</v>
      </c>
      <c r="B593" s="15">
        <v>0.0</v>
      </c>
    </row>
    <row r="594">
      <c r="A594" s="15" t="s">
        <v>1025</v>
      </c>
      <c r="B594" s="15">
        <v>0.0</v>
      </c>
    </row>
    <row r="595">
      <c r="A595" s="15" t="s">
        <v>1347</v>
      </c>
      <c r="B595" s="15">
        <v>0.0</v>
      </c>
    </row>
    <row r="596">
      <c r="A596" s="15" t="s">
        <v>1027</v>
      </c>
      <c r="B596" s="15">
        <v>0.0</v>
      </c>
    </row>
    <row r="597">
      <c r="A597" s="15" t="s">
        <v>1343</v>
      </c>
      <c r="B597" s="15">
        <v>75.0</v>
      </c>
    </row>
    <row r="598">
      <c r="A598" s="15" t="s">
        <v>1029</v>
      </c>
      <c r="B598" s="15">
        <v>50.0</v>
      </c>
    </row>
    <row r="599">
      <c r="A599" s="15" t="s">
        <v>1031</v>
      </c>
      <c r="B599" s="15">
        <v>0.0</v>
      </c>
    </row>
    <row r="600">
      <c r="A600" s="15" t="s">
        <v>1030</v>
      </c>
      <c r="B600" s="15">
        <v>75.0</v>
      </c>
    </row>
    <row r="601">
      <c r="A601" s="15" t="s">
        <v>1032</v>
      </c>
      <c r="B601" s="15">
        <v>0.0</v>
      </c>
    </row>
    <row r="602">
      <c r="A602" s="15" t="s">
        <v>1033</v>
      </c>
      <c r="B602" s="15">
        <v>0.0</v>
      </c>
    </row>
    <row r="603">
      <c r="A603" s="15" t="s">
        <v>1034</v>
      </c>
      <c r="B603" s="15">
        <v>0.0</v>
      </c>
    </row>
    <row r="604">
      <c r="A604" s="15" t="s">
        <v>1344</v>
      </c>
      <c r="B604" s="15">
        <v>0.0</v>
      </c>
    </row>
    <row r="605">
      <c r="A605" s="15" t="s">
        <v>1036</v>
      </c>
      <c r="B605" s="15">
        <v>0.0</v>
      </c>
    </row>
    <row r="606">
      <c r="A606" s="15" t="s">
        <v>1038</v>
      </c>
      <c r="B606" s="15">
        <v>0.0</v>
      </c>
    </row>
    <row r="607">
      <c r="A607" s="15" t="s">
        <v>1037</v>
      </c>
      <c r="B607" s="15">
        <v>0.0</v>
      </c>
    </row>
    <row r="608">
      <c r="A608" s="15" t="s">
        <v>379</v>
      </c>
      <c r="B608" s="15">
        <v>0.0</v>
      </c>
    </row>
    <row r="609">
      <c r="A609" s="15" t="s">
        <v>1348</v>
      </c>
      <c r="B609" s="15">
        <v>0.0</v>
      </c>
    </row>
    <row r="610">
      <c r="A610" s="15" t="s">
        <v>378</v>
      </c>
      <c r="B610" s="15">
        <v>0.0</v>
      </c>
    </row>
    <row r="611">
      <c r="A611" s="15" t="s">
        <v>380</v>
      </c>
      <c r="B611" s="15">
        <v>0.0</v>
      </c>
    </row>
    <row r="612">
      <c r="A612" s="15" t="s">
        <v>138</v>
      </c>
      <c r="B612" s="15">
        <v>50.0</v>
      </c>
    </row>
    <row r="613">
      <c r="A613" s="15" t="s">
        <v>139</v>
      </c>
      <c r="B613" s="15">
        <v>75.0</v>
      </c>
    </row>
    <row r="614">
      <c r="A614" s="15" t="s">
        <v>140</v>
      </c>
      <c r="B614" s="15">
        <v>72.0</v>
      </c>
    </row>
    <row r="615">
      <c r="A615" s="15" t="s">
        <v>141</v>
      </c>
      <c r="B615" s="15">
        <v>50.0</v>
      </c>
    </row>
    <row r="616">
      <c r="A616" s="15" t="s">
        <v>142</v>
      </c>
      <c r="B616" s="15">
        <v>82.0</v>
      </c>
    </row>
    <row r="617">
      <c r="A617" s="15" t="s">
        <v>143</v>
      </c>
      <c r="B617" s="15">
        <v>75.0</v>
      </c>
    </row>
    <row r="618">
      <c r="A618" s="15" t="s">
        <v>145</v>
      </c>
      <c r="B618" s="15">
        <v>0.0</v>
      </c>
    </row>
    <row r="619">
      <c r="A619" s="15" t="s">
        <v>146</v>
      </c>
      <c r="B619" s="15">
        <v>87.0</v>
      </c>
    </row>
    <row r="620">
      <c r="A620" s="15" t="s">
        <v>147</v>
      </c>
      <c r="B620" s="15">
        <v>50.0</v>
      </c>
    </row>
    <row r="621">
      <c r="A621" s="15" t="s">
        <v>148</v>
      </c>
      <c r="B621" s="15">
        <v>50.0</v>
      </c>
    </row>
    <row r="622">
      <c r="A622" s="15" t="s">
        <v>149</v>
      </c>
      <c r="B622" s="15">
        <v>50.0</v>
      </c>
    </row>
    <row r="623">
      <c r="A623" s="15" t="s">
        <v>150</v>
      </c>
      <c r="B623" s="15">
        <v>72.0</v>
      </c>
    </row>
    <row r="624">
      <c r="A624" s="15" t="s">
        <v>151</v>
      </c>
      <c r="B624" s="15">
        <v>0.0</v>
      </c>
    </row>
    <row r="625">
      <c r="A625" s="15" t="s">
        <v>152</v>
      </c>
      <c r="B625" s="15">
        <v>81.0</v>
      </c>
    </row>
    <row r="626">
      <c r="A626" s="15" t="s">
        <v>153</v>
      </c>
      <c r="B626" s="15">
        <v>77.0</v>
      </c>
    </row>
    <row r="627">
      <c r="A627" s="15" t="s">
        <v>154</v>
      </c>
      <c r="B627" s="15">
        <v>0.0</v>
      </c>
    </row>
    <row r="628">
      <c r="A628" s="15" t="s">
        <v>155</v>
      </c>
      <c r="B628" s="15">
        <v>0.0</v>
      </c>
    </row>
    <row r="629">
      <c r="A629" s="15" t="s">
        <v>156</v>
      </c>
      <c r="B629" s="15">
        <v>78.0</v>
      </c>
    </row>
    <row r="630">
      <c r="A630" s="15" t="s">
        <v>157</v>
      </c>
      <c r="B630" s="15">
        <v>0.0</v>
      </c>
    </row>
    <row r="631">
      <c r="A631" s="15" t="s">
        <v>158</v>
      </c>
      <c r="B631" s="15">
        <v>87.0</v>
      </c>
    </row>
    <row r="632">
      <c r="A632" s="15" t="s">
        <v>159</v>
      </c>
      <c r="B632" s="15">
        <v>77.0</v>
      </c>
    </row>
    <row r="633">
      <c r="A633" s="15" t="s">
        <v>160</v>
      </c>
      <c r="B633" s="15">
        <v>50.0</v>
      </c>
    </row>
    <row r="634">
      <c r="A634" s="15" t="s">
        <v>161</v>
      </c>
      <c r="B634" s="15">
        <v>75.0</v>
      </c>
    </row>
    <row r="635">
      <c r="A635" s="15" t="s">
        <v>162</v>
      </c>
      <c r="B635" s="15">
        <v>77.0</v>
      </c>
    </row>
    <row r="636">
      <c r="A636" s="15" t="s">
        <v>163</v>
      </c>
      <c r="B636" s="15">
        <v>0.0</v>
      </c>
    </row>
    <row r="637">
      <c r="A637" s="15" t="s">
        <v>164</v>
      </c>
      <c r="B637" s="15">
        <v>78.0</v>
      </c>
    </row>
    <row r="638">
      <c r="A638" s="15" t="s">
        <v>165</v>
      </c>
      <c r="B638" s="15">
        <v>83.0</v>
      </c>
    </row>
    <row r="639">
      <c r="A639" s="15" t="s">
        <v>166</v>
      </c>
      <c r="B639" s="15">
        <v>50.0</v>
      </c>
    </row>
    <row r="640">
      <c r="A640" s="15" t="s">
        <v>167</v>
      </c>
      <c r="B640" s="15">
        <v>0.0</v>
      </c>
    </row>
    <row r="641">
      <c r="A641" s="15" t="s">
        <v>168</v>
      </c>
      <c r="B641" s="15">
        <v>50.0</v>
      </c>
    </row>
    <row r="642">
      <c r="A642" s="15" t="s">
        <v>169</v>
      </c>
      <c r="B642" s="15">
        <v>76.0</v>
      </c>
    </row>
    <row r="643">
      <c r="A643" s="15" t="s">
        <v>170</v>
      </c>
      <c r="B643" s="15">
        <v>74.0</v>
      </c>
    </row>
    <row r="644">
      <c r="A644" s="15" t="s">
        <v>171</v>
      </c>
      <c r="B644" s="15">
        <v>87.0</v>
      </c>
    </row>
    <row r="645">
      <c r="A645" s="15" t="s">
        <v>172</v>
      </c>
      <c r="B645" s="15">
        <v>50.0</v>
      </c>
    </row>
    <row r="646">
      <c r="A646" s="15" t="s">
        <v>173</v>
      </c>
      <c r="B646" s="15">
        <v>76.0</v>
      </c>
    </row>
    <row r="647">
      <c r="A647" s="15" t="s">
        <v>174</v>
      </c>
      <c r="B647" s="15">
        <v>82.0</v>
      </c>
    </row>
    <row r="648">
      <c r="A648" s="15" t="s">
        <v>175</v>
      </c>
      <c r="B648" s="15">
        <v>77.0</v>
      </c>
    </row>
    <row r="649">
      <c r="A649" s="15" t="s">
        <v>176</v>
      </c>
      <c r="B649" s="15">
        <v>0.0</v>
      </c>
    </row>
    <row r="650">
      <c r="A650" s="15" t="s">
        <v>177</v>
      </c>
      <c r="B650" s="15">
        <v>0.0</v>
      </c>
    </row>
    <row r="651">
      <c r="A651" s="15" t="s">
        <v>178</v>
      </c>
      <c r="B651" s="15">
        <v>0.0</v>
      </c>
    </row>
    <row r="652">
      <c r="A652" s="15" t="s">
        <v>179</v>
      </c>
      <c r="B652" s="15">
        <v>76.0</v>
      </c>
    </row>
    <row r="653">
      <c r="A653" s="15" t="s">
        <v>180</v>
      </c>
      <c r="B653" s="15">
        <v>50.0</v>
      </c>
    </row>
    <row r="654">
      <c r="A654" s="15" t="s">
        <v>181</v>
      </c>
      <c r="B654" s="15">
        <v>87.0</v>
      </c>
    </row>
    <row r="655">
      <c r="A655" s="15" t="s">
        <v>182</v>
      </c>
      <c r="B655" s="15">
        <v>72.0</v>
      </c>
    </row>
    <row r="656">
      <c r="A656" s="15" t="s">
        <v>183</v>
      </c>
      <c r="B656" s="15">
        <v>76.0</v>
      </c>
    </row>
    <row r="657">
      <c r="A657" s="15" t="s">
        <v>184</v>
      </c>
      <c r="B657" s="15">
        <v>74.0</v>
      </c>
    </row>
    <row r="658">
      <c r="A658" s="15" t="s">
        <v>185</v>
      </c>
      <c r="B658" s="15">
        <v>0.0</v>
      </c>
    </row>
    <row r="659">
      <c r="A659" s="15" t="s">
        <v>186</v>
      </c>
      <c r="B659" s="15">
        <v>83.0</v>
      </c>
    </row>
    <row r="660">
      <c r="A660" s="15" t="s">
        <v>187</v>
      </c>
      <c r="B660" s="15">
        <v>72.0</v>
      </c>
    </row>
    <row r="661">
      <c r="A661" s="15" t="s">
        <v>188</v>
      </c>
      <c r="B661" s="15">
        <v>50.0</v>
      </c>
    </row>
    <row r="662">
      <c r="A662" s="15" t="s">
        <v>189</v>
      </c>
      <c r="B662" s="15">
        <v>81.0</v>
      </c>
    </row>
    <row r="663">
      <c r="A663" s="15" t="s">
        <v>190</v>
      </c>
      <c r="B663" s="15">
        <v>74.0</v>
      </c>
    </row>
    <row r="664">
      <c r="A664" s="15" t="s">
        <v>191</v>
      </c>
      <c r="B664" s="15">
        <v>88.0</v>
      </c>
    </row>
    <row r="665">
      <c r="A665" s="15" t="s">
        <v>192</v>
      </c>
      <c r="B665" s="15">
        <v>73.0</v>
      </c>
    </row>
    <row r="666">
      <c r="A666" s="15" t="s">
        <v>193</v>
      </c>
      <c r="B666" s="15">
        <v>78.0</v>
      </c>
    </row>
    <row r="667">
      <c r="A667" s="15" t="s">
        <v>194</v>
      </c>
      <c r="B667" s="15">
        <v>82.0</v>
      </c>
    </row>
    <row r="668">
      <c r="A668" s="15" t="s">
        <v>195</v>
      </c>
      <c r="B668" s="15">
        <v>50.0</v>
      </c>
    </row>
    <row r="669">
      <c r="A669" s="15" t="s">
        <v>196</v>
      </c>
      <c r="B669" s="15">
        <v>74.0</v>
      </c>
    </row>
    <row r="670">
      <c r="A670" s="15" t="s">
        <v>197</v>
      </c>
      <c r="B670" s="15">
        <v>87.0</v>
      </c>
    </row>
    <row r="671">
      <c r="A671" s="15" t="s">
        <v>198</v>
      </c>
      <c r="B671" s="15">
        <v>50.0</v>
      </c>
    </row>
    <row r="672">
      <c r="A672" s="15" t="s">
        <v>199</v>
      </c>
      <c r="B672" s="15">
        <v>87.0</v>
      </c>
    </row>
    <row r="673">
      <c r="A673" s="15" t="s">
        <v>200</v>
      </c>
      <c r="B673" s="15">
        <v>0.0</v>
      </c>
    </row>
    <row r="674">
      <c r="A674" s="15" t="s">
        <v>201</v>
      </c>
      <c r="B674" s="15">
        <v>82.0</v>
      </c>
    </row>
    <row r="675">
      <c r="A675" s="15" t="s">
        <v>202</v>
      </c>
      <c r="B675" s="15">
        <v>76.0</v>
      </c>
    </row>
    <row r="676">
      <c r="A676" s="15" t="s">
        <v>203</v>
      </c>
      <c r="B676" s="15">
        <v>77.0</v>
      </c>
    </row>
    <row r="677">
      <c r="A677" s="15" t="s">
        <v>204</v>
      </c>
      <c r="B677" s="15">
        <v>50.0</v>
      </c>
    </row>
    <row r="678">
      <c r="A678" s="15" t="s">
        <v>205</v>
      </c>
      <c r="B678" s="15">
        <v>50.0</v>
      </c>
    </row>
    <row r="679">
      <c r="A679" s="15" t="s">
        <v>206</v>
      </c>
      <c r="B679" s="15">
        <v>82.0</v>
      </c>
    </row>
    <row r="680">
      <c r="A680" s="15" t="s">
        <v>207</v>
      </c>
      <c r="B680" s="15">
        <v>0.0</v>
      </c>
    </row>
    <row r="681">
      <c r="A681" s="15" t="s">
        <v>208</v>
      </c>
      <c r="B681" s="15">
        <v>0.0</v>
      </c>
    </row>
    <row r="682">
      <c r="A682" s="15" t="s">
        <v>209</v>
      </c>
      <c r="B682" s="15">
        <v>72.0</v>
      </c>
    </row>
    <row r="683">
      <c r="A683" s="15" t="s">
        <v>210</v>
      </c>
      <c r="B683" s="15">
        <v>0.0</v>
      </c>
    </row>
    <row r="684">
      <c r="A684" s="15" t="s">
        <v>211</v>
      </c>
      <c r="B684" s="15">
        <v>74.0</v>
      </c>
    </row>
    <row r="685">
      <c r="A685" s="15" t="s">
        <v>212</v>
      </c>
      <c r="B685" s="15">
        <v>0.0</v>
      </c>
    </row>
    <row r="686">
      <c r="A686" s="15" t="s">
        <v>213</v>
      </c>
      <c r="B686" s="15">
        <v>0.0</v>
      </c>
    </row>
    <row r="687">
      <c r="A687" s="15" t="s">
        <v>214</v>
      </c>
      <c r="B687" s="15">
        <v>0.0</v>
      </c>
    </row>
    <row r="688">
      <c r="A688" s="15" t="s">
        <v>215</v>
      </c>
      <c r="B688" s="15">
        <v>70.0</v>
      </c>
    </row>
    <row r="689">
      <c r="A689" s="15" t="s">
        <v>216</v>
      </c>
      <c r="B689" s="15">
        <v>76.0</v>
      </c>
    </row>
    <row r="690">
      <c r="A690" s="15" t="s">
        <v>217</v>
      </c>
      <c r="B690" s="15">
        <v>50.0</v>
      </c>
    </row>
    <row r="691">
      <c r="A691" s="15" t="s">
        <v>218</v>
      </c>
      <c r="B691" s="15">
        <v>50.0</v>
      </c>
    </row>
    <row r="692">
      <c r="A692" s="15" t="s">
        <v>219</v>
      </c>
      <c r="B692" s="15">
        <v>77.0</v>
      </c>
    </row>
    <row r="693">
      <c r="A693" s="15" t="s">
        <v>220</v>
      </c>
      <c r="B693" s="15">
        <v>71.0</v>
      </c>
    </row>
    <row r="694">
      <c r="A694" s="15" t="s">
        <v>221</v>
      </c>
      <c r="B694" s="15">
        <v>82.0</v>
      </c>
    </row>
    <row r="695">
      <c r="A695" s="15" t="s">
        <v>222</v>
      </c>
      <c r="B695" s="15">
        <v>72.0</v>
      </c>
    </row>
    <row r="696">
      <c r="A696" s="15" t="s">
        <v>223</v>
      </c>
      <c r="B696" s="15">
        <v>0.0</v>
      </c>
    </row>
    <row r="697">
      <c r="A697" s="15" t="s">
        <v>224</v>
      </c>
      <c r="B697" s="15">
        <v>70.0</v>
      </c>
    </row>
    <row r="698">
      <c r="A698" s="15" t="s">
        <v>225</v>
      </c>
      <c r="B698" s="15">
        <v>82.0</v>
      </c>
    </row>
    <row r="699">
      <c r="A699" s="15" t="s">
        <v>226</v>
      </c>
      <c r="B699" s="15">
        <v>80.0</v>
      </c>
    </row>
    <row r="700">
      <c r="A700" s="15" t="s">
        <v>227</v>
      </c>
      <c r="B700" s="15">
        <v>72.0</v>
      </c>
    </row>
    <row r="701">
      <c r="A701" s="15" t="s">
        <v>228</v>
      </c>
      <c r="B701" s="15">
        <v>84.0</v>
      </c>
    </row>
    <row r="702">
      <c r="A702" s="15" t="s">
        <v>229</v>
      </c>
      <c r="B702" s="15">
        <v>50.0</v>
      </c>
    </row>
    <row r="703">
      <c r="A703" s="15" t="s">
        <v>230</v>
      </c>
      <c r="B703" s="15">
        <v>82.0</v>
      </c>
    </row>
    <row r="704">
      <c r="A704" s="15" t="s">
        <v>231</v>
      </c>
      <c r="B704" s="15">
        <v>78.0</v>
      </c>
    </row>
    <row r="705">
      <c r="A705" s="15" t="s">
        <v>232</v>
      </c>
      <c r="B705" s="15">
        <v>72.0</v>
      </c>
    </row>
    <row r="706">
      <c r="A706" s="15" t="s">
        <v>233</v>
      </c>
      <c r="B706" s="15">
        <v>64.0</v>
      </c>
    </row>
    <row r="707">
      <c r="A707" s="15" t="s">
        <v>234</v>
      </c>
      <c r="B707" s="15">
        <v>0.0</v>
      </c>
    </row>
    <row r="708">
      <c r="A708" s="15" t="s">
        <v>235</v>
      </c>
      <c r="B708" s="15">
        <v>64.0</v>
      </c>
    </row>
    <row r="709">
      <c r="A709" s="15" t="s">
        <v>236</v>
      </c>
      <c r="B709" s="15">
        <v>86.0</v>
      </c>
    </row>
    <row r="710">
      <c r="A710" s="15" t="s">
        <v>237</v>
      </c>
      <c r="B710" s="15">
        <v>84.0</v>
      </c>
    </row>
    <row r="711">
      <c r="A711" s="15" t="s">
        <v>238</v>
      </c>
      <c r="B711" s="15">
        <v>73.0</v>
      </c>
    </row>
    <row r="712">
      <c r="A712" s="15" t="s">
        <v>239</v>
      </c>
      <c r="B712" s="15">
        <v>70.0</v>
      </c>
    </row>
    <row r="713">
      <c r="A713" s="15" t="s">
        <v>240</v>
      </c>
      <c r="B713" s="15">
        <v>0.0</v>
      </c>
    </row>
    <row r="714">
      <c r="A714" s="15" t="s">
        <v>241</v>
      </c>
      <c r="B714" s="15">
        <v>84.0</v>
      </c>
    </row>
    <row r="715">
      <c r="A715" s="15" t="s">
        <v>242</v>
      </c>
      <c r="B715" s="15">
        <v>0.0</v>
      </c>
    </row>
    <row r="716">
      <c r="A716" s="15" t="s">
        <v>243</v>
      </c>
      <c r="B716" s="15">
        <v>78.0</v>
      </c>
    </row>
    <row r="717">
      <c r="A717" s="15" t="s">
        <v>244</v>
      </c>
      <c r="B717" s="15">
        <v>80.0</v>
      </c>
    </row>
    <row r="718">
      <c r="A718" s="15" t="s">
        <v>245</v>
      </c>
      <c r="B718" s="15">
        <v>50.0</v>
      </c>
    </row>
    <row r="719">
      <c r="A719" s="15" t="s">
        <v>246</v>
      </c>
      <c r="B719" s="15">
        <v>80.0</v>
      </c>
    </row>
    <row r="720">
      <c r="A720" s="15" t="s">
        <v>247</v>
      </c>
      <c r="B720" s="15">
        <v>70.0</v>
      </c>
    </row>
    <row r="721">
      <c r="A721" s="15" t="s">
        <v>248</v>
      </c>
      <c r="B721" s="15">
        <v>71.0</v>
      </c>
    </row>
    <row r="722">
      <c r="A722" s="15" t="s">
        <v>249</v>
      </c>
      <c r="B722" s="15">
        <v>77.0</v>
      </c>
    </row>
    <row r="723">
      <c r="A723" s="15" t="s">
        <v>250</v>
      </c>
      <c r="B723" s="15">
        <v>86.0</v>
      </c>
    </row>
    <row r="724">
      <c r="A724" s="15" t="s">
        <v>251</v>
      </c>
      <c r="B724" s="15">
        <v>84.0</v>
      </c>
    </row>
    <row r="725">
      <c r="A725" s="15" t="s">
        <v>252</v>
      </c>
      <c r="B725" s="15">
        <v>64.0</v>
      </c>
    </row>
    <row r="726">
      <c r="A726" s="15" t="s">
        <v>254</v>
      </c>
      <c r="B726" s="15">
        <v>72.0</v>
      </c>
    </row>
    <row r="727">
      <c r="A727" s="15" t="s">
        <v>255</v>
      </c>
      <c r="B727" s="15">
        <v>72.0</v>
      </c>
    </row>
    <row r="728">
      <c r="A728" s="15" t="s">
        <v>256</v>
      </c>
      <c r="B728" s="15">
        <v>72.0</v>
      </c>
    </row>
    <row r="729">
      <c r="A729" s="15" t="s">
        <v>257</v>
      </c>
      <c r="B729" s="15">
        <v>50.0</v>
      </c>
    </row>
    <row r="730">
      <c r="A730" s="15" t="s">
        <v>258</v>
      </c>
      <c r="B730" s="15">
        <v>80.0</v>
      </c>
    </row>
    <row r="731">
      <c r="A731" s="15" t="s">
        <v>259</v>
      </c>
      <c r="B731" s="15">
        <v>82.0</v>
      </c>
    </row>
    <row r="732">
      <c r="A732" s="15" t="s">
        <v>260</v>
      </c>
      <c r="B732" s="15">
        <v>72.0</v>
      </c>
    </row>
    <row r="733">
      <c r="A733" s="15" t="s">
        <v>261</v>
      </c>
      <c r="B733" s="15">
        <v>50.0</v>
      </c>
    </row>
    <row r="734">
      <c r="A734" s="15" t="s">
        <v>262</v>
      </c>
      <c r="B734" s="15">
        <v>50.0</v>
      </c>
    </row>
    <row r="735">
      <c r="A735" s="15" t="s">
        <v>263</v>
      </c>
      <c r="B735" s="15">
        <v>80.0</v>
      </c>
    </row>
    <row r="736">
      <c r="A736" s="15" t="s">
        <v>264</v>
      </c>
      <c r="B736" s="15">
        <v>50.0</v>
      </c>
    </row>
    <row r="737">
      <c r="A737" s="15" t="s">
        <v>265</v>
      </c>
      <c r="B737" s="15">
        <v>73.0</v>
      </c>
    </row>
    <row r="738">
      <c r="A738" s="15" t="s">
        <v>266</v>
      </c>
      <c r="B738" s="15">
        <v>50.0</v>
      </c>
    </row>
    <row r="739">
      <c r="A739" s="15" t="s">
        <v>267</v>
      </c>
      <c r="B739" s="15">
        <v>50.0</v>
      </c>
    </row>
    <row r="740">
      <c r="A740" s="15" t="s">
        <v>268</v>
      </c>
      <c r="B740" s="15">
        <v>50.0</v>
      </c>
    </row>
    <row r="741">
      <c r="A741" s="15" t="s">
        <v>269</v>
      </c>
      <c r="B741" s="15">
        <v>50.0</v>
      </c>
    </row>
    <row r="742">
      <c r="A742" s="15" t="s">
        <v>270</v>
      </c>
      <c r="B742" s="15">
        <v>73.0</v>
      </c>
    </row>
    <row r="743">
      <c r="A743" s="15" t="s">
        <v>271</v>
      </c>
      <c r="B743" s="15">
        <v>78.0</v>
      </c>
    </row>
    <row r="744">
      <c r="A744" s="15" t="s">
        <v>272</v>
      </c>
      <c r="B744" s="15">
        <v>81.0</v>
      </c>
    </row>
    <row r="745">
      <c r="A745" s="15" t="s">
        <v>273</v>
      </c>
      <c r="B745" s="15">
        <v>76.0</v>
      </c>
    </row>
    <row r="746">
      <c r="A746" s="15" t="s">
        <v>274</v>
      </c>
      <c r="B746" s="15">
        <v>50.0</v>
      </c>
    </row>
    <row r="747">
      <c r="A747" s="15" t="s">
        <v>275</v>
      </c>
      <c r="B747" s="15">
        <v>64.0</v>
      </c>
    </row>
    <row r="748">
      <c r="A748" s="15" t="s">
        <v>276</v>
      </c>
      <c r="B748" s="15">
        <v>64.0</v>
      </c>
    </row>
    <row r="749">
      <c r="A749" s="15" t="s">
        <v>277</v>
      </c>
      <c r="B749" s="15">
        <v>50.0</v>
      </c>
    </row>
    <row r="750">
      <c r="A750" s="15" t="s">
        <v>278</v>
      </c>
      <c r="B750" s="15">
        <v>79.0</v>
      </c>
    </row>
    <row r="751">
      <c r="A751" s="15" t="s">
        <v>279</v>
      </c>
      <c r="B751" s="15">
        <v>84.0</v>
      </c>
    </row>
    <row r="752">
      <c r="A752" s="15" t="s">
        <v>280</v>
      </c>
      <c r="B752" s="15">
        <v>0.0</v>
      </c>
    </row>
    <row r="753">
      <c r="A753" s="15" t="s">
        <v>281</v>
      </c>
      <c r="B753" s="15">
        <v>80.0</v>
      </c>
    </row>
    <row r="754">
      <c r="A754" s="15" t="s">
        <v>282</v>
      </c>
      <c r="B754" s="15">
        <v>50.0</v>
      </c>
    </row>
    <row r="755">
      <c r="A755" s="15" t="s">
        <v>283</v>
      </c>
      <c r="B755" s="15">
        <v>0.0</v>
      </c>
    </row>
    <row r="756">
      <c r="A756" s="15" t="s">
        <v>284</v>
      </c>
      <c r="B756" s="15">
        <v>0.0</v>
      </c>
    </row>
    <row r="757">
      <c r="A757" s="15" t="s">
        <v>285</v>
      </c>
      <c r="B757" s="15">
        <v>0.0</v>
      </c>
    </row>
    <row r="758">
      <c r="A758" s="15" t="s">
        <v>286</v>
      </c>
      <c r="B758" s="15">
        <v>77.0</v>
      </c>
    </row>
    <row r="759">
      <c r="A759" s="15" t="s">
        <v>287</v>
      </c>
      <c r="B759" s="15">
        <v>77.0</v>
      </c>
    </row>
    <row r="760">
      <c r="A760" s="15" t="s">
        <v>288</v>
      </c>
      <c r="B760" s="15">
        <v>0.0</v>
      </c>
    </row>
    <row r="761">
      <c r="A761" s="15" t="s">
        <v>289</v>
      </c>
      <c r="B761" s="15">
        <v>0.0</v>
      </c>
    </row>
    <row r="762">
      <c r="A762" s="15" t="s">
        <v>290</v>
      </c>
      <c r="B762" s="15">
        <v>77.0</v>
      </c>
    </row>
    <row r="763">
      <c r="A763" s="15" t="s">
        <v>291</v>
      </c>
      <c r="B763" s="15">
        <v>72.0</v>
      </c>
    </row>
    <row r="764">
      <c r="A764" s="15" t="s">
        <v>292</v>
      </c>
      <c r="B764" s="15">
        <v>81.0</v>
      </c>
    </row>
    <row r="765">
      <c r="A765" s="15" t="s">
        <v>293</v>
      </c>
      <c r="B765" s="15">
        <v>78.0</v>
      </c>
    </row>
    <row r="766">
      <c r="A766" s="15" t="s">
        <v>294</v>
      </c>
      <c r="B766" s="15">
        <v>80.0</v>
      </c>
    </row>
    <row r="767">
      <c r="A767" s="15" t="s">
        <v>295</v>
      </c>
      <c r="B767" s="15">
        <v>72.0</v>
      </c>
    </row>
    <row r="768">
      <c r="A768" s="15" t="s">
        <v>296</v>
      </c>
      <c r="B768" s="15">
        <v>71.0</v>
      </c>
    </row>
    <row r="769">
      <c r="A769" s="15" t="s">
        <v>297</v>
      </c>
      <c r="B769" s="15">
        <v>0.0</v>
      </c>
    </row>
    <row r="770">
      <c r="A770" s="15" t="s">
        <v>298</v>
      </c>
      <c r="B770" s="15">
        <v>81.0</v>
      </c>
    </row>
    <row r="771">
      <c r="A771" s="15" t="s">
        <v>299</v>
      </c>
      <c r="B771" s="15">
        <v>50.0</v>
      </c>
    </row>
    <row r="772">
      <c r="A772" s="15" t="s">
        <v>300</v>
      </c>
      <c r="B772" s="15">
        <v>76.0</v>
      </c>
    </row>
    <row r="773">
      <c r="A773" s="15" t="s">
        <v>301</v>
      </c>
      <c r="B773" s="15">
        <v>75.0</v>
      </c>
    </row>
    <row r="774">
      <c r="A774" s="15" t="s">
        <v>302</v>
      </c>
      <c r="B774" s="15">
        <v>0.0</v>
      </c>
    </row>
    <row r="775">
      <c r="A775" s="15" t="s">
        <v>303</v>
      </c>
      <c r="B775" s="15">
        <v>72.0</v>
      </c>
    </row>
    <row r="776">
      <c r="A776" s="15" t="s">
        <v>304</v>
      </c>
      <c r="B776" s="15">
        <v>50.0</v>
      </c>
    </row>
    <row r="777">
      <c r="A777" s="15" t="s">
        <v>305</v>
      </c>
      <c r="B777" s="15">
        <v>71.0</v>
      </c>
    </row>
    <row r="778">
      <c r="A778" s="15" t="s">
        <v>306</v>
      </c>
      <c r="B778" s="15">
        <v>72.0</v>
      </c>
    </row>
    <row r="779">
      <c r="A779" s="15" t="s">
        <v>307</v>
      </c>
      <c r="B779" s="15">
        <v>0.0</v>
      </c>
    </row>
    <row r="780">
      <c r="A780" s="15" t="s">
        <v>308</v>
      </c>
      <c r="B780" s="15">
        <v>50.0</v>
      </c>
    </row>
    <row r="781">
      <c r="A781" s="15" t="s">
        <v>309</v>
      </c>
      <c r="B781" s="15">
        <v>50.0</v>
      </c>
    </row>
    <row r="782">
      <c r="A782" s="15" t="s">
        <v>310</v>
      </c>
      <c r="B782" s="15">
        <v>72.0</v>
      </c>
    </row>
    <row r="783">
      <c r="A783" s="15" t="s">
        <v>311</v>
      </c>
      <c r="B783" s="15">
        <v>81.0</v>
      </c>
    </row>
    <row r="784">
      <c r="A784" s="15" t="s">
        <v>312</v>
      </c>
      <c r="B784" s="15">
        <v>0.0</v>
      </c>
    </row>
    <row r="785">
      <c r="A785" s="15" t="s">
        <v>313</v>
      </c>
      <c r="B785" s="15">
        <v>50.0</v>
      </c>
    </row>
    <row r="786">
      <c r="A786" s="15" t="s">
        <v>314</v>
      </c>
      <c r="B786" s="15">
        <v>71.0</v>
      </c>
    </row>
    <row r="787">
      <c r="A787" s="15" t="s">
        <v>315</v>
      </c>
      <c r="B787" s="15">
        <v>79.0</v>
      </c>
    </row>
    <row r="788">
      <c r="A788" s="15" t="s">
        <v>316</v>
      </c>
      <c r="B788" s="15">
        <v>72.0</v>
      </c>
    </row>
    <row r="789">
      <c r="A789" s="15" t="s">
        <v>317</v>
      </c>
      <c r="B789" s="15">
        <v>78.0</v>
      </c>
    </row>
    <row r="790">
      <c r="A790" s="15" t="s">
        <v>318</v>
      </c>
      <c r="B790" s="15">
        <v>73.0</v>
      </c>
    </row>
    <row r="791">
      <c r="A791" s="15" t="s">
        <v>319</v>
      </c>
      <c r="B791" s="15">
        <v>78.0</v>
      </c>
    </row>
    <row r="792">
      <c r="A792" s="15" t="s">
        <v>320</v>
      </c>
      <c r="B792" s="15">
        <v>80.0</v>
      </c>
    </row>
    <row r="793">
      <c r="A793" s="15" t="s">
        <v>321</v>
      </c>
      <c r="B793" s="15">
        <v>77.0</v>
      </c>
    </row>
    <row r="794">
      <c r="A794" s="15" t="s">
        <v>322</v>
      </c>
      <c r="B794" s="15">
        <v>50.0</v>
      </c>
    </row>
    <row r="795">
      <c r="A795" s="15" t="s">
        <v>323</v>
      </c>
      <c r="B795" s="15">
        <v>77.0</v>
      </c>
    </row>
    <row r="796">
      <c r="A796" s="15" t="s">
        <v>324</v>
      </c>
      <c r="B796" s="15">
        <v>81.0</v>
      </c>
    </row>
    <row r="797">
      <c r="A797" s="15" t="s">
        <v>325</v>
      </c>
      <c r="B797" s="15">
        <v>75.0</v>
      </c>
    </row>
    <row r="798">
      <c r="A798" s="15" t="s">
        <v>326</v>
      </c>
      <c r="B798" s="15">
        <v>71.0</v>
      </c>
    </row>
    <row r="799">
      <c r="A799" s="15" t="s">
        <v>327</v>
      </c>
      <c r="B799" s="15">
        <v>70.0</v>
      </c>
    </row>
    <row r="800">
      <c r="A800" s="15" t="s">
        <v>328</v>
      </c>
      <c r="B800" s="15">
        <v>78.0</v>
      </c>
    </row>
    <row r="801">
      <c r="A801" s="15" t="s">
        <v>329</v>
      </c>
      <c r="B801" s="15">
        <v>78.0</v>
      </c>
    </row>
    <row r="802">
      <c r="A802" s="15" t="s">
        <v>330</v>
      </c>
      <c r="B802" s="15">
        <v>0.0</v>
      </c>
    </row>
    <row r="803">
      <c r="A803" s="15" t="s">
        <v>331</v>
      </c>
      <c r="B803" s="15">
        <v>0.0</v>
      </c>
    </row>
    <row r="804">
      <c r="A804" s="15" t="s">
        <v>332</v>
      </c>
      <c r="B804" s="15">
        <v>0.0</v>
      </c>
    </row>
    <row r="805">
      <c r="A805" s="15" t="s">
        <v>333</v>
      </c>
      <c r="B805" s="15">
        <v>0.0</v>
      </c>
    </row>
    <row r="806">
      <c r="A806" s="15" t="s">
        <v>334</v>
      </c>
      <c r="B806" s="15">
        <v>50.0</v>
      </c>
    </row>
    <row r="807">
      <c r="A807" s="15" t="s">
        <v>335</v>
      </c>
      <c r="B807" s="15">
        <v>77.0</v>
      </c>
    </row>
    <row r="808">
      <c r="A808" s="15" t="s">
        <v>336</v>
      </c>
      <c r="B808" s="15">
        <v>79.0</v>
      </c>
    </row>
    <row r="809">
      <c r="A809" s="15" t="s">
        <v>337</v>
      </c>
      <c r="B809" s="15">
        <v>84.0</v>
      </c>
    </row>
    <row r="810">
      <c r="A810" s="15" t="s">
        <v>338</v>
      </c>
      <c r="B810" s="15">
        <v>78.0</v>
      </c>
    </row>
    <row r="811">
      <c r="A811" s="15" t="s">
        <v>339</v>
      </c>
      <c r="B811" s="15">
        <v>78.0</v>
      </c>
    </row>
    <row r="812">
      <c r="A812" s="15" t="s">
        <v>340</v>
      </c>
      <c r="B812" s="15">
        <v>71.0</v>
      </c>
    </row>
    <row r="813">
      <c r="A813" s="15" t="s">
        <v>341</v>
      </c>
      <c r="B813" s="15">
        <v>0.0</v>
      </c>
    </row>
    <row r="814">
      <c r="A814" s="15" t="s">
        <v>342</v>
      </c>
      <c r="B814" s="15">
        <v>78.0</v>
      </c>
    </row>
    <row r="815">
      <c r="A815" s="15" t="s">
        <v>343</v>
      </c>
      <c r="B815" s="15">
        <v>77.0</v>
      </c>
    </row>
    <row r="816">
      <c r="A816" s="15" t="s">
        <v>344</v>
      </c>
      <c r="B816" s="15">
        <v>72.0</v>
      </c>
    </row>
    <row r="817">
      <c r="A817" s="15" t="s">
        <v>345</v>
      </c>
      <c r="B817" s="15">
        <v>77.0</v>
      </c>
    </row>
    <row r="818">
      <c r="A818" s="15" t="s">
        <v>346</v>
      </c>
      <c r="B818" s="15">
        <v>0.0</v>
      </c>
    </row>
    <row r="819">
      <c r="A819" s="15" t="s">
        <v>347</v>
      </c>
      <c r="B819" s="15">
        <v>72.0</v>
      </c>
    </row>
    <row r="820">
      <c r="A820" s="15" t="s">
        <v>348</v>
      </c>
      <c r="B820" s="15">
        <v>50.0</v>
      </c>
    </row>
    <row r="821">
      <c r="A821" s="15" t="s">
        <v>349</v>
      </c>
      <c r="B821" s="15">
        <v>0.0</v>
      </c>
    </row>
    <row r="822">
      <c r="A822" s="15" t="s">
        <v>350</v>
      </c>
      <c r="B822" s="15">
        <v>72.0</v>
      </c>
    </row>
    <row r="823">
      <c r="A823" s="15" t="s">
        <v>351</v>
      </c>
      <c r="B823" s="15">
        <v>0.0</v>
      </c>
    </row>
    <row r="824">
      <c r="A824" s="15" t="s">
        <v>352</v>
      </c>
      <c r="B824" s="15">
        <v>0.0</v>
      </c>
    </row>
    <row r="825">
      <c r="A825" s="15" t="s">
        <v>353</v>
      </c>
      <c r="B825" s="15">
        <v>50.0</v>
      </c>
    </row>
    <row r="826">
      <c r="A826" s="15" t="s">
        <v>354</v>
      </c>
      <c r="B826" s="15">
        <v>80.0</v>
      </c>
    </row>
    <row r="827">
      <c r="A827" s="15" t="s">
        <v>355</v>
      </c>
      <c r="B827" s="15">
        <v>70.0</v>
      </c>
    </row>
    <row r="828">
      <c r="A828" s="15" t="s">
        <v>356</v>
      </c>
      <c r="B828" s="15">
        <v>0.0</v>
      </c>
    </row>
    <row r="829">
      <c r="A829" s="15" t="s">
        <v>357</v>
      </c>
      <c r="B829" s="15">
        <v>72.0</v>
      </c>
    </row>
    <row r="830">
      <c r="A830" s="15" t="s">
        <v>358</v>
      </c>
      <c r="B830" s="15">
        <v>50.0</v>
      </c>
    </row>
    <row r="831">
      <c r="A831" s="15" t="s">
        <v>359</v>
      </c>
      <c r="B831" s="15">
        <v>80.0</v>
      </c>
    </row>
    <row r="832">
      <c r="A832" s="15" t="s">
        <v>363</v>
      </c>
      <c r="B832" s="15">
        <v>50.0</v>
      </c>
    </row>
    <row r="833">
      <c r="A833" s="15" t="s">
        <v>370</v>
      </c>
      <c r="B833" s="15">
        <v>50.0</v>
      </c>
    </row>
    <row r="834">
      <c r="A834" s="15" t="s">
        <v>364</v>
      </c>
      <c r="B834" s="15">
        <v>0.0</v>
      </c>
    </row>
    <row r="835">
      <c r="A835" s="15" t="s">
        <v>366</v>
      </c>
      <c r="B835" s="15">
        <v>50.0</v>
      </c>
    </row>
    <row r="836">
      <c r="A836" s="15" t="s">
        <v>368</v>
      </c>
      <c r="B836" s="15">
        <v>50.0</v>
      </c>
    </row>
    <row r="837">
      <c r="A837" s="15" t="s">
        <v>365</v>
      </c>
      <c r="B837" s="15">
        <v>50.0</v>
      </c>
    </row>
    <row r="838">
      <c r="A838" s="15" t="s">
        <v>374</v>
      </c>
      <c r="B838" s="15">
        <v>0.0</v>
      </c>
    </row>
    <row r="839">
      <c r="A839" s="15" t="s">
        <v>376</v>
      </c>
      <c r="B839" s="15">
        <v>0.0</v>
      </c>
    </row>
    <row r="840">
      <c r="A840" s="15" t="s">
        <v>361</v>
      </c>
      <c r="B840" s="15">
        <v>50.0</v>
      </c>
    </row>
    <row r="841">
      <c r="A841" s="15" t="s">
        <v>367</v>
      </c>
      <c r="B841" s="15">
        <v>50.0</v>
      </c>
    </row>
    <row r="842">
      <c r="A842" s="15" t="s">
        <v>372</v>
      </c>
      <c r="B842" s="15">
        <v>0.0</v>
      </c>
    </row>
    <row r="843">
      <c r="A843" s="15" t="s">
        <v>377</v>
      </c>
      <c r="B843" s="15">
        <v>0.0</v>
      </c>
    </row>
    <row r="844">
      <c r="A844" s="15" t="s">
        <v>373</v>
      </c>
      <c r="B844" s="15">
        <v>50.0</v>
      </c>
    </row>
    <row r="845">
      <c r="A845" s="15" t="s">
        <v>362</v>
      </c>
      <c r="B845" s="15">
        <v>50.0</v>
      </c>
    </row>
    <row r="846">
      <c r="A846" s="15" t="s">
        <v>371</v>
      </c>
      <c r="B846" s="15">
        <v>50.0</v>
      </c>
    </row>
    <row r="847">
      <c r="A847" s="15" t="s">
        <v>375</v>
      </c>
      <c r="B847" s="15">
        <v>50.0</v>
      </c>
    </row>
    <row r="848">
      <c r="A848" s="15" t="s">
        <v>360</v>
      </c>
      <c r="B848" s="15">
        <v>0.0</v>
      </c>
    </row>
    <row r="849">
      <c r="A849" s="15" t="s">
        <v>369</v>
      </c>
      <c r="B849" s="15">
        <v>0.0</v>
      </c>
    </row>
    <row r="850">
      <c r="A850" s="15" t="s">
        <v>1196</v>
      </c>
      <c r="B850" s="15">
        <v>73.0</v>
      </c>
    </row>
    <row r="851">
      <c r="A851" s="15" t="s">
        <v>1197</v>
      </c>
      <c r="B851" s="15">
        <v>50.0</v>
      </c>
    </row>
    <row r="852">
      <c r="A852" s="15" t="s">
        <v>1198</v>
      </c>
      <c r="B852" s="15">
        <v>50.0</v>
      </c>
    </row>
    <row r="853">
      <c r="A853" s="15" t="s">
        <v>1199</v>
      </c>
      <c r="B853" s="15">
        <v>87.0</v>
      </c>
    </row>
    <row r="854">
      <c r="A854" s="15" t="s">
        <v>1200</v>
      </c>
      <c r="B854" s="15">
        <v>0.0</v>
      </c>
    </row>
    <row r="855">
      <c r="A855" s="15" t="s">
        <v>1201</v>
      </c>
      <c r="B855" s="15">
        <v>74.0</v>
      </c>
    </row>
    <row r="856">
      <c r="A856" s="15" t="s">
        <v>1202</v>
      </c>
      <c r="B856" s="15">
        <v>73.0</v>
      </c>
    </row>
    <row r="857">
      <c r="A857" s="15" t="s">
        <v>1203</v>
      </c>
      <c r="B857" s="15">
        <v>70.0</v>
      </c>
    </row>
    <row r="858">
      <c r="A858" s="15" t="s">
        <v>1204</v>
      </c>
      <c r="B858" s="15">
        <v>73.0</v>
      </c>
    </row>
    <row r="859">
      <c r="A859" s="15" t="s">
        <v>1205</v>
      </c>
      <c r="B859" s="15">
        <v>70.0</v>
      </c>
    </row>
    <row r="860">
      <c r="A860" s="15" t="s">
        <v>1206</v>
      </c>
      <c r="B860" s="15">
        <v>50.0</v>
      </c>
    </row>
    <row r="861">
      <c r="A861" s="15" t="s">
        <v>1207</v>
      </c>
      <c r="B861" s="15">
        <v>0.0</v>
      </c>
    </row>
    <row r="862">
      <c r="A862" s="15" t="s">
        <v>1208</v>
      </c>
      <c r="B862" s="15">
        <v>0.0</v>
      </c>
    </row>
    <row r="863">
      <c r="A863" s="15" t="s">
        <v>1209</v>
      </c>
      <c r="B863" s="15">
        <v>50.0</v>
      </c>
    </row>
    <row r="864">
      <c r="A864" s="15" t="s">
        <v>1210</v>
      </c>
      <c r="B864" s="15">
        <v>50.0</v>
      </c>
    </row>
    <row r="865">
      <c r="A865" s="15" t="s">
        <v>1211</v>
      </c>
      <c r="B865" s="15">
        <v>70.0</v>
      </c>
    </row>
    <row r="866">
      <c r="A866" s="15" t="s">
        <v>1212</v>
      </c>
      <c r="B866" s="15">
        <v>73.0</v>
      </c>
    </row>
    <row r="867">
      <c r="A867" s="15" t="s">
        <v>1213</v>
      </c>
      <c r="B867" s="15">
        <v>0.0</v>
      </c>
    </row>
    <row r="868">
      <c r="A868" s="15" t="s">
        <v>1214</v>
      </c>
      <c r="B868" s="15">
        <v>73.0</v>
      </c>
    </row>
    <row r="869">
      <c r="A869" s="15" t="s">
        <v>1215</v>
      </c>
      <c r="B869" s="15">
        <v>73.0</v>
      </c>
    </row>
    <row r="870">
      <c r="A870" s="15" t="s">
        <v>1216</v>
      </c>
      <c r="B870" s="15">
        <v>50.0</v>
      </c>
    </row>
    <row r="871">
      <c r="A871" s="15" t="s">
        <v>1217</v>
      </c>
      <c r="B871" s="15">
        <v>78.0</v>
      </c>
    </row>
    <row r="872">
      <c r="A872" s="15" t="s">
        <v>1218</v>
      </c>
      <c r="B872" s="15">
        <v>70.0</v>
      </c>
    </row>
    <row r="873">
      <c r="A873" s="15" t="s">
        <v>1219</v>
      </c>
      <c r="B873" s="15">
        <v>0.0</v>
      </c>
    </row>
    <row r="874">
      <c r="A874" s="15" t="s">
        <v>1220</v>
      </c>
      <c r="B874" s="15">
        <v>70.0</v>
      </c>
    </row>
    <row r="875">
      <c r="A875" s="15" t="s">
        <v>1221</v>
      </c>
      <c r="B875" s="15">
        <v>50.0</v>
      </c>
    </row>
    <row r="876">
      <c r="A876" s="15" t="s">
        <v>1222</v>
      </c>
      <c r="B876" s="15">
        <v>87.0</v>
      </c>
    </row>
    <row r="877">
      <c r="A877" s="15" t="s">
        <v>1223</v>
      </c>
      <c r="B877" s="15">
        <v>77.0</v>
      </c>
    </row>
    <row r="878">
      <c r="A878" s="15" t="s">
        <v>1224</v>
      </c>
      <c r="B878" s="15">
        <v>50.0</v>
      </c>
    </row>
    <row r="879">
      <c r="A879" s="15" t="s">
        <v>1225</v>
      </c>
      <c r="B879" s="15">
        <v>78.0</v>
      </c>
    </row>
    <row r="880">
      <c r="A880" s="15" t="s">
        <v>1226</v>
      </c>
      <c r="B880" s="15">
        <v>50.0</v>
      </c>
    </row>
    <row r="881">
      <c r="A881" s="15" t="s">
        <v>1227</v>
      </c>
      <c r="B881" s="15">
        <v>0.0</v>
      </c>
    </row>
    <row r="882">
      <c r="A882" s="15" t="s">
        <v>1228</v>
      </c>
      <c r="B882" s="15">
        <v>78.0</v>
      </c>
    </row>
    <row r="883">
      <c r="A883" s="15" t="s">
        <v>1229</v>
      </c>
      <c r="B883" s="15">
        <v>50.0</v>
      </c>
    </row>
    <row r="884">
      <c r="A884" s="15" t="s">
        <v>1230</v>
      </c>
      <c r="B884" s="15">
        <v>73.0</v>
      </c>
    </row>
    <row r="885">
      <c r="A885" s="15" t="s">
        <v>1231</v>
      </c>
      <c r="B885" s="15">
        <v>50.0</v>
      </c>
    </row>
    <row r="886">
      <c r="A886" s="15" t="s">
        <v>1232</v>
      </c>
      <c r="B886" s="15">
        <v>73.0</v>
      </c>
    </row>
    <row r="887">
      <c r="A887" s="15" t="s">
        <v>1233</v>
      </c>
      <c r="B887" s="15">
        <v>0.0</v>
      </c>
    </row>
    <row r="888">
      <c r="A888" s="15" t="s">
        <v>1234</v>
      </c>
      <c r="B888" s="15">
        <v>70.0</v>
      </c>
    </row>
    <row r="889">
      <c r="A889" s="15" t="s">
        <v>1235</v>
      </c>
      <c r="B889" s="15">
        <v>70.0</v>
      </c>
    </row>
    <row r="890">
      <c r="A890" s="15" t="s">
        <v>1236</v>
      </c>
      <c r="B890" s="15">
        <v>77.0</v>
      </c>
    </row>
    <row r="891">
      <c r="A891" s="15" t="s">
        <v>1237</v>
      </c>
      <c r="B891" s="15">
        <v>77.0</v>
      </c>
    </row>
    <row r="892">
      <c r="A892" s="15" t="s">
        <v>1238</v>
      </c>
      <c r="B892" s="15">
        <v>73.0</v>
      </c>
    </row>
    <row r="893">
      <c r="A893" s="15" t="s">
        <v>1239</v>
      </c>
      <c r="B893" s="15">
        <v>50.0</v>
      </c>
    </row>
    <row r="894">
      <c r="A894" s="15" t="s">
        <v>1240</v>
      </c>
      <c r="B894" s="15">
        <v>0.0</v>
      </c>
    </row>
    <row r="895">
      <c r="A895" s="15" t="s">
        <v>1241</v>
      </c>
      <c r="B895" s="15">
        <v>78.0</v>
      </c>
    </row>
    <row r="896">
      <c r="A896" s="15" t="s">
        <v>1242</v>
      </c>
      <c r="B896" s="15">
        <v>73.0</v>
      </c>
    </row>
    <row r="897">
      <c r="A897" s="15" t="s">
        <v>1243</v>
      </c>
      <c r="B897" s="15">
        <v>50.0</v>
      </c>
    </row>
    <row r="898">
      <c r="A898" s="15" t="s">
        <v>1244</v>
      </c>
      <c r="B898" s="15">
        <v>73.0</v>
      </c>
    </row>
    <row r="899">
      <c r="A899" s="15" t="s">
        <v>1245</v>
      </c>
      <c r="B899" s="15">
        <v>73.0</v>
      </c>
    </row>
    <row r="900">
      <c r="A900" s="15" t="s">
        <v>1246</v>
      </c>
      <c r="B900" s="15">
        <v>74.0</v>
      </c>
    </row>
    <row r="901">
      <c r="A901" s="15" t="s">
        <v>1247</v>
      </c>
      <c r="B901" s="15">
        <v>50.0</v>
      </c>
    </row>
    <row r="902">
      <c r="A902" s="15" t="s">
        <v>1248</v>
      </c>
      <c r="B902" s="15">
        <v>50.0</v>
      </c>
    </row>
    <row r="903">
      <c r="A903" s="15" t="s">
        <v>862</v>
      </c>
      <c r="B903" s="15">
        <v>78.0</v>
      </c>
    </row>
    <row r="904">
      <c r="A904" s="15" t="s">
        <v>1250</v>
      </c>
      <c r="B904" s="15">
        <v>50.0</v>
      </c>
    </row>
    <row r="905">
      <c r="A905" s="15" t="s">
        <v>1251</v>
      </c>
      <c r="B905" s="15">
        <v>0.0</v>
      </c>
    </row>
    <row r="906">
      <c r="A906" s="15" t="s">
        <v>1252</v>
      </c>
      <c r="B906" s="15">
        <v>87.0</v>
      </c>
    </row>
    <row r="907">
      <c r="A907" s="15" t="s">
        <v>1253</v>
      </c>
      <c r="B907" s="15">
        <v>0.0</v>
      </c>
    </row>
    <row r="908">
      <c r="A908" s="15" t="s">
        <v>1254</v>
      </c>
      <c r="B908" s="15">
        <v>50.0</v>
      </c>
    </row>
    <row r="909">
      <c r="A909" s="15" t="s">
        <v>1255</v>
      </c>
      <c r="B909" s="15">
        <v>87.0</v>
      </c>
    </row>
    <row r="910">
      <c r="A910" s="15" t="s">
        <v>1256</v>
      </c>
      <c r="B910" s="15">
        <v>77.0</v>
      </c>
    </row>
    <row r="911">
      <c r="A911" s="15" t="s">
        <v>1257</v>
      </c>
      <c r="B911" s="15">
        <v>73.0</v>
      </c>
    </row>
    <row r="912">
      <c r="A912" s="15" t="s">
        <v>1258</v>
      </c>
      <c r="B912" s="15">
        <v>73.0</v>
      </c>
    </row>
    <row r="913">
      <c r="A913" s="15" t="s">
        <v>1259</v>
      </c>
      <c r="B913" s="15">
        <v>84.0</v>
      </c>
    </row>
    <row r="914">
      <c r="A914" s="15" t="s">
        <v>1260</v>
      </c>
      <c r="B914" s="15">
        <v>75.0</v>
      </c>
    </row>
    <row r="915">
      <c r="A915" s="15" t="s">
        <v>1261</v>
      </c>
      <c r="B915" s="15">
        <v>50.0</v>
      </c>
    </row>
    <row r="916">
      <c r="A916" s="15" t="s">
        <v>1268</v>
      </c>
      <c r="B916" s="15">
        <v>0.0</v>
      </c>
    </row>
    <row r="917">
      <c r="A917" s="15" t="s">
        <v>1264</v>
      </c>
      <c r="B917" s="15">
        <v>50.0</v>
      </c>
    </row>
    <row r="918">
      <c r="A918" s="15" t="s">
        <v>1265</v>
      </c>
      <c r="B918" s="15">
        <v>0.0</v>
      </c>
    </row>
    <row r="919">
      <c r="A919" s="15" t="s">
        <v>1263</v>
      </c>
      <c r="B919" s="15">
        <v>50.0</v>
      </c>
    </row>
    <row r="920">
      <c r="A920" s="15" t="s">
        <v>1266</v>
      </c>
      <c r="B920" s="15">
        <v>50.0</v>
      </c>
    </row>
    <row r="921">
      <c r="A921" s="15" t="s">
        <v>1267</v>
      </c>
      <c r="B921" s="15">
        <v>0.0</v>
      </c>
    </row>
    <row r="922">
      <c r="A922" s="15" t="s">
        <v>636</v>
      </c>
      <c r="B922" s="15">
        <v>80.0</v>
      </c>
    </row>
    <row r="923">
      <c r="A923" s="15" t="s">
        <v>1349</v>
      </c>
      <c r="B923" s="15">
        <v>0.0</v>
      </c>
    </row>
    <row r="924">
      <c r="A924" s="15" t="s">
        <v>1026</v>
      </c>
      <c r="B924" s="15">
        <v>70.0</v>
      </c>
    </row>
    <row r="925">
      <c r="A925" s="15" t="s">
        <v>1259</v>
      </c>
      <c r="B925" s="15">
        <v>84.0</v>
      </c>
    </row>
    <row r="926">
      <c r="A926" s="15" t="s">
        <v>381</v>
      </c>
      <c r="B926" s="15">
        <v>75.0</v>
      </c>
    </row>
    <row r="927">
      <c r="A927" s="15" t="s">
        <v>382</v>
      </c>
      <c r="B927" s="15">
        <v>76.0</v>
      </c>
    </row>
    <row r="928">
      <c r="A928" s="15" t="s">
        <v>383</v>
      </c>
      <c r="B928" s="15">
        <v>70.0</v>
      </c>
    </row>
    <row r="929">
      <c r="A929" s="15" t="s">
        <v>384</v>
      </c>
      <c r="B929" s="15">
        <v>0.0</v>
      </c>
    </row>
    <row r="930">
      <c r="A930" s="15" t="s">
        <v>385</v>
      </c>
      <c r="B930" s="15">
        <v>0.0</v>
      </c>
    </row>
    <row r="931">
      <c r="A931" s="15" t="s">
        <v>386</v>
      </c>
      <c r="B931" s="15">
        <v>0.0</v>
      </c>
    </row>
    <row r="932">
      <c r="A932" s="15" t="s">
        <v>387</v>
      </c>
      <c r="B932" s="15">
        <v>0.0</v>
      </c>
    </row>
    <row r="933">
      <c r="A933" s="15" t="s">
        <v>388</v>
      </c>
      <c r="B933" s="15">
        <v>70.0</v>
      </c>
    </row>
    <row r="934">
      <c r="A934" s="15" t="s">
        <v>389</v>
      </c>
      <c r="B934" s="15">
        <v>0.0</v>
      </c>
    </row>
    <row r="935">
      <c r="A935" s="15" t="s">
        <v>390</v>
      </c>
      <c r="B935" s="15">
        <v>75.0</v>
      </c>
    </row>
    <row r="936">
      <c r="A936" s="15" t="s">
        <v>391</v>
      </c>
      <c r="B936" s="15">
        <v>75.0</v>
      </c>
    </row>
    <row r="937">
      <c r="A937" s="15" t="s">
        <v>392</v>
      </c>
      <c r="B937" s="15">
        <v>76.0</v>
      </c>
    </row>
    <row r="938">
      <c r="A938" s="15" t="s">
        <v>393</v>
      </c>
      <c r="B938" s="15">
        <v>75.0</v>
      </c>
    </row>
    <row r="939">
      <c r="A939" s="15" t="s">
        <v>394</v>
      </c>
      <c r="B939" s="15">
        <v>76.0</v>
      </c>
    </row>
    <row r="940">
      <c r="A940" s="15" t="s">
        <v>395</v>
      </c>
      <c r="B940" s="15">
        <v>70.0</v>
      </c>
    </row>
    <row r="941">
      <c r="A941" s="15" t="s">
        <v>396</v>
      </c>
      <c r="B941" s="15">
        <v>79.0</v>
      </c>
    </row>
    <row r="942">
      <c r="A942" s="15" t="s">
        <v>397</v>
      </c>
      <c r="B942" s="15">
        <v>79.0</v>
      </c>
    </row>
    <row r="943">
      <c r="A943" s="15" t="s">
        <v>398</v>
      </c>
      <c r="B943" s="15">
        <v>70.0</v>
      </c>
    </row>
    <row r="944">
      <c r="A944" s="15" t="s">
        <v>399</v>
      </c>
      <c r="B944" s="15">
        <v>78.0</v>
      </c>
    </row>
    <row r="945">
      <c r="A945" s="15" t="s">
        <v>400</v>
      </c>
      <c r="B945" s="15">
        <v>70.0</v>
      </c>
    </row>
    <row r="946">
      <c r="A946" s="15" t="s">
        <v>401</v>
      </c>
      <c r="B946" s="15">
        <v>70.0</v>
      </c>
    </row>
    <row r="947">
      <c r="A947" s="15" t="s">
        <v>402</v>
      </c>
      <c r="B947" s="15">
        <v>75.0</v>
      </c>
    </row>
    <row r="948">
      <c r="A948" s="15" t="s">
        <v>403</v>
      </c>
      <c r="B948" s="15">
        <v>0.0</v>
      </c>
    </row>
    <row r="949">
      <c r="A949" s="15" t="s">
        <v>404</v>
      </c>
      <c r="B949" s="15">
        <v>0.0</v>
      </c>
    </row>
    <row r="950">
      <c r="A950" s="15" t="s">
        <v>405</v>
      </c>
      <c r="B950" s="15">
        <v>75.0</v>
      </c>
    </row>
    <row r="951">
      <c r="A951" s="15" t="s">
        <v>406</v>
      </c>
      <c r="B951" s="15">
        <v>78.0</v>
      </c>
    </row>
    <row r="952">
      <c r="A952" s="15" t="s">
        <v>407</v>
      </c>
      <c r="B952" s="15">
        <v>95.0</v>
      </c>
    </row>
    <row r="953">
      <c r="A953" s="15" t="s">
        <v>408</v>
      </c>
      <c r="B953" s="15">
        <v>79.0</v>
      </c>
    </row>
    <row r="954">
      <c r="A954" s="15" t="s">
        <v>409</v>
      </c>
      <c r="B954" s="15">
        <v>78.0</v>
      </c>
    </row>
    <row r="955">
      <c r="A955" s="15" t="s">
        <v>410</v>
      </c>
      <c r="B955" s="15">
        <v>0.0</v>
      </c>
    </row>
    <row r="956">
      <c r="A956" s="15" t="s">
        <v>411</v>
      </c>
      <c r="B956" s="15">
        <v>75.0</v>
      </c>
    </row>
    <row r="957">
      <c r="A957" s="15" t="s">
        <v>412</v>
      </c>
      <c r="B957" s="15">
        <v>75.0</v>
      </c>
    </row>
    <row r="958">
      <c r="A958" s="15" t="s">
        <v>413</v>
      </c>
      <c r="B958" s="15">
        <v>50.0</v>
      </c>
    </row>
    <row r="959">
      <c r="A959" s="15" t="s">
        <v>414</v>
      </c>
      <c r="B959" s="15">
        <v>76.0</v>
      </c>
    </row>
    <row r="960">
      <c r="A960" s="15" t="s">
        <v>415</v>
      </c>
      <c r="B960" s="15">
        <v>70.0</v>
      </c>
    </row>
    <row r="961">
      <c r="A961" s="15" t="s">
        <v>416</v>
      </c>
      <c r="B961" s="15">
        <v>80.0</v>
      </c>
    </row>
    <row r="962">
      <c r="A962" s="15" t="s">
        <v>417</v>
      </c>
      <c r="B962" s="15">
        <v>0.0</v>
      </c>
    </row>
    <row r="963">
      <c r="A963" s="15" t="s">
        <v>418</v>
      </c>
      <c r="B963" s="15">
        <v>0.0</v>
      </c>
    </row>
    <row r="964">
      <c r="A964" s="15" t="s">
        <v>419</v>
      </c>
      <c r="B964" s="15">
        <v>50.0</v>
      </c>
    </row>
    <row r="965">
      <c r="A965" s="15" t="s">
        <v>420</v>
      </c>
      <c r="B965" s="15">
        <v>76.0</v>
      </c>
    </row>
    <row r="966">
      <c r="A966" s="15" t="s">
        <v>421</v>
      </c>
      <c r="B966" s="15">
        <v>50.0</v>
      </c>
    </row>
    <row r="967">
      <c r="A967" s="15" t="s">
        <v>422</v>
      </c>
      <c r="B967" s="15">
        <v>75.0</v>
      </c>
    </row>
    <row r="968">
      <c r="A968" s="15" t="s">
        <v>423</v>
      </c>
      <c r="B968" s="15">
        <v>70.0</v>
      </c>
    </row>
    <row r="969">
      <c r="A969" s="15" t="s">
        <v>424</v>
      </c>
      <c r="B969" s="15">
        <v>72.0</v>
      </c>
    </row>
    <row r="970">
      <c r="A970" s="15" t="s">
        <v>425</v>
      </c>
      <c r="B970" s="15">
        <v>79.0</v>
      </c>
    </row>
    <row r="971">
      <c r="A971" s="15" t="s">
        <v>426</v>
      </c>
      <c r="B971" s="15">
        <v>76.0</v>
      </c>
    </row>
    <row r="972">
      <c r="A972" s="15" t="s">
        <v>427</v>
      </c>
      <c r="B972" s="15">
        <v>95.0</v>
      </c>
    </row>
    <row r="973">
      <c r="A973" s="15" t="s">
        <v>428</v>
      </c>
      <c r="B973" s="15">
        <v>73.0</v>
      </c>
    </row>
    <row r="974">
      <c r="A974" s="15" t="s">
        <v>429</v>
      </c>
      <c r="B974" s="15">
        <v>70.0</v>
      </c>
    </row>
    <row r="975">
      <c r="A975" s="15" t="s">
        <v>430</v>
      </c>
      <c r="B975" s="15">
        <v>78.0</v>
      </c>
    </row>
    <row r="976">
      <c r="A976" s="15" t="s">
        <v>431</v>
      </c>
      <c r="B976" s="15">
        <v>50.0</v>
      </c>
    </row>
    <row r="977">
      <c r="A977" s="15" t="s">
        <v>432</v>
      </c>
      <c r="B977" s="15">
        <v>50.0</v>
      </c>
    </row>
    <row r="978">
      <c r="A978" s="15" t="s">
        <v>433</v>
      </c>
      <c r="B978" s="15">
        <v>70.0</v>
      </c>
    </row>
    <row r="979">
      <c r="A979" s="15" t="s">
        <v>434</v>
      </c>
      <c r="B979" s="15">
        <v>0.0</v>
      </c>
    </row>
    <row r="980">
      <c r="A980" s="15" t="s">
        <v>435</v>
      </c>
      <c r="B980" s="15">
        <v>0.0</v>
      </c>
    </row>
    <row r="981">
      <c r="A981" s="15" t="s">
        <v>436</v>
      </c>
      <c r="B981" s="15">
        <v>0.0</v>
      </c>
    </row>
    <row r="982">
      <c r="A982" s="15" t="s">
        <v>437</v>
      </c>
      <c r="B982" s="15">
        <v>79.0</v>
      </c>
    </row>
    <row r="983">
      <c r="A983" s="15" t="s">
        <v>438</v>
      </c>
      <c r="B983" s="15">
        <v>50.0</v>
      </c>
    </row>
    <row r="984">
      <c r="A984" s="15" t="s">
        <v>439</v>
      </c>
      <c r="B984" s="15">
        <v>50.0</v>
      </c>
    </row>
    <row r="985">
      <c r="A985" s="15" t="s">
        <v>440</v>
      </c>
      <c r="B985" s="15">
        <v>73.0</v>
      </c>
    </row>
    <row r="986">
      <c r="A986" s="15" t="s">
        <v>441</v>
      </c>
      <c r="B986" s="15">
        <v>79.0</v>
      </c>
    </row>
    <row r="987">
      <c r="A987" s="15" t="s">
        <v>442</v>
      </c>
      <c r="B987" s="15">
        <v>0.0</v>
      </c>
    </row>
    <row r="988">
      <c r="A988" s="15" t="s">
        <v>443</v>
      </c>
      <c r="B988" s="15">
        <v>0.0</v>
      </c>
    </row>
    <row r="989">
      <c r="A989" s="15" t="s">
        <v>444</v>
      </c>
      <c r="B989" s="15">
        <v>79.0</v>
      </c>
    </row>
    <row r="990">
      <c r="A990" s="15" t="s">
        <v>445</v>
      </c>
      <c r="B990" s="15">
        <v>0.0</v>
      </c>
    </row>
    <row r="991">
      <c r="A991" s="15" t="s">
        <v>446</v>
      </c>
      <c r="B991" s="15">
        <v>50.0</v>
      </c>
    </row>
    <row r="992">
      <c r="A992" s="15" t="s">
        <v>447</v>
      </c>
      <c r="B992" s="15">
        <v>95.0</v>
      </c>
    </row>
    <row r="993">
      <c r="A993" s="15" t="s">
        <v>448</v>
      </c>
      <c r="B993" s="15">
        <v>76.0</v>
      </c>
    </row>
    <row r="994">
      <c r="A994" s="15" t="s">
        <v>449</v>
      </c>
      <c r="B994" s="15">
        <v>79.0</v>
      </c>
    </row>
    <row r="995">
      <c r="A995" s="15" t="s">
        <v>450</v>
      </c>
      <c r="B995" s="15">
        <v>50.0</v>
      </c>
    </row>
    <row r="996">
      <c r="A996" s="15" t="s">
        <v>451</v>
      </c>
      <c r="B996" s="15">
        <v>0.0</v>
      </c>
    </row>
    <row r="997">
      <c r="A997" s="15" t="s">
        <v>452</v>
      </c>
      <c r="B997" s="15">
        <v>70.0</v>
      </c>
    </row>
    <row r="998">
      <c r="A998" s="15" t="s">
        <v>453</v>
      </c>
      <c r="B998" s="15">
        <v>90.0</v>
      </c>
    </row>
    <row r="999">
      <c r="A999" s="15" t="s">
        <v>454</v>
      </c>
      <c r="B999" s="15">
        <v>90.0</v>
      </c>
    </row>
    <row r="1000">
      <c r="A1000" s="15" t="s">
        <v>455</v>
      </c>
      <c r="B1000" s="15">
        <v>80.0</v>
      </c>
    </row>
    <row r="1001">
      <c r="A1001" s="15" t="s">
        <v>456</v>
      </c>
      <c r="B1001" s="15">
        <v>50.0</v>
      </c>
    </row>
    <row r="1002">
      <c r="A1002" s="15" t="s">
        <v>457</v>
      </c>
      <c r="B1002" s="15">
        <v>95.0</v>
      </c>
    </row>
    <row r="1003">
      <c r="A1003" s="15" t="s">
        <v>458</v>
      </c>
      <c r="B1003" s="15">
        <v>50.0</v>
      </c>
    </row>
    <row r="1004">
      <c r="A1004" s="15" t="s">
        <v>459</v>
      </c>
      <c r="B1004" s="15">
        <v>71.0</v>
      </c>
    </row>
    <row r="1005">
      <c r="A1005" s="15" t="s">
        <v>460</v>
      </c>
      <c r="B1005" s="15">
        <v>73.0</v>
      </c>
    </row>
    <row r="1006">
      <c r="A1006" s="15" t="s">
        <v>461</v>
      </c>
      <c r="B1006" s="15">
        <v>0.0</v>
      </c>
    </row>
    <row r="1007">
      <c r="A1007" s="15" t="s">
        <v>462</v>
      </c>
      <c r="B1007" s="15">
        <v>73.0</v>
      </c>
    </row>
    <row r="1008">
      <c r="A1008" s="15" t="s">
        <v>463</v>
      </c>
      <c r="B1008" s="15">
        <v>72.0</v>
      </c>
    </row>
    <row r="1009">
      <c r="A1009" s="15" t="s">
        <v>464</v>
      </c>
      <c r="B1009" s="15">
        <v>0.0</v>
      </c>
    </row>
    <row r="1010">
      <c r="A1010" s="15" t="s">
        <v>465</v>
      </c>
      <c r="B1010" s="15">
        <v>90.0</v>
      </c>
    </row>
    <row r="1011">
      <c r="A1011" s="15" t="s">
        <v>466</v>
      </c>
      <c r="B1011" s="15">
        <v>76.0</v>
      </c>
    </row>
    <row r="1012">
      <c r="A1012" s="15" t="s">
        <v>467</v>
      </c>
      <c r="B1012" s="15">
        <v>72.0</v>
      </c>
    </row>
    <row r="1013">
      <c r="A1013" s="15" t="s">
        <v>468</v>
      </c>
      <c r="B1013" s="15">
        <v>50.0</v>
      </c>
    </row>
    <row r="1014">
      <c r="A1014" s="15" t="s">
        <v>469</v>
      </c>
      <c r="B1014" s="15">
        <v>90.0</v>
      </c>
    </row>
    <row r="1015">
      <c r="A1015" s="15" t="s">
        <v>470</v>
      </c>
      <c r="B1015" s="15">
        <v>75.0</v>
      </c>
    </row>
    <row r="1016">
      <c r="A1016" s="15" t="s">
        <v>471</v>
      </c>
      <c r="B1016" s="15">
        <v>0.0</v>
      </c>
    </row>
    <row r="1017">
      <c r="A1017" s="15" t="s">
        <v>472</v>
      </c>
      <c r="B1017" s="15">
        <v>0.0</v>
      </c>
    </row>
    <row r="1018">
      <c r="A1018" s="15" t="s">
        <v>473</v>
      </c>
      <c r="B1018" s="15">
        <v>95.0</v>
      </c>
    </row>
    <row r="1019">
      <c r="A1019" s="15" t="s">
        <v>474</v>
      </c>
      <c r="B1019" s="15">
        <v>0.0</v>
      </c>
    </row>
    <row r="1020">
      <c r="A1020" s="15" t="s">
        <v>475</v>
      </c>
      <c r="B1020" s="15">
        <v>75.0</v>
      </c>
    </row>
    <row r="1021">
      <c r="A1021" s="15" t="s">
        <v>476</v>
      </c>
      <c r="B1021" s="15">
        <v>70.0</v>
      </c>
    </row>
    <row r="1022">
      <c r="A1022" s="15" t="s">
        <v>477</v>
      </c>
      <c r="B1022" s="15">
        <v>75.0</v>
      </c>
    </row>
    <row r="1023">
      <c r="A1023" s="15" t="s">
        <v>478</v>
      </c>
      <c r="B1023" s="15">
        <v>79.0</v>
      </c>
    </row>
    <row r="1024">
      <c r="A1024" s="15" t="s">
        <v>479</v>
      </c>
      <c r="B1024" s="15">
        <v>71.0</v>
      </c>
    </row>
    <row r="1025">
      <c r="A1025" s="15" t="s">
        <v>480</v>
      </c>
      <c r="B1025" s="15">
        <v>71.0</v>
      </c>
    </row>
    <row r="1026">
      <c r="A1026" s="15" t="s">
        <v>481</v>
      </c>
      <c r="B1026" s="15">
        <v>70.0</v>
      </c>
    </row>
    <row r="1027">
      <c r="A1027" s="15" t="s">
        <v>482</v>
      </c>
      <c r="B1027" s="15">
        <v>70.0</v>
      </c>
    </row>
    <row r="1028">
      <c r="A1028" s="15" t="s">
        <v>483</v>
      </c>
      <c r="B1028" s="15">
        <v>71.0</v>
      </c>
    </row>
    <row r="1029">
      <c r="A1029" s="15" t="s">
        <v>484</v>
      </c>
      <c r="B1029" s="15">
        <v>72.0</v>
      </c>
    </row>
    <row r="1030">
      <c r="A1030" s="15" t="s">
        <v>485</v>
      </c>
      <c r="B1030" s="15">
        <v>71.0</v>
      </c>
    </row>
    <row r="1031">
      <c r="A1031" s="15" t="s">
        <v>486</v>
      </c>
      <c r="B1031" s="15">
        <v>75.0</v>
      </c>
    </row>
    <row r="1032">
      <c r="A1032" s="15" t="s">
        <v>487</v>
      </c>
      <c r="B1032" s="15">
        <v>50.0</v>
      </c>
    </row>
    <row r="1033">
      <c r="A1033" s="15" t="s">
        <v>488</v>
      </c>
      <c r="B1033" s="15">
        <v>78.0</v>
      </c>
    </row>
    <row r="1034">
      <c r="A1034" s="15" t="s">
        <v>489</v>
      </c>
      <c r="B1034" s="15">
        <v>73.0</v>
      </c>
    </row>
    <row r="1035">
      <c r="A1035" s="15" t="s">
        <v>490</v>
      </c>
      <c r="B1035" s="15">
        <v>50.0</v>
      </c>
    </row>
    <row r="1036">
      <c r="A1036" s="15" t="s">
        <v>491</v>
      </c>
      <c r="B1036" s="15">
        <v>79.0</v>
      </c>
    </row>
    <row r="1037">
      <c r="A1037" s="15" t="s">
        <v>492</v>
      </c>
      <c r="B1037" s="15">
        <v>73.0</v>
      </c>
    </row>
    <row r="1038">
      <c r="A1038" s="15" t="s">
        <v>493</v>
      </c>
      <c r="B1038" s="15">
        <v>72.0</v>
      </c>
    </row>
    <row r="1039">
      <c r="A1039" s="15" t="s">
        <v>495</v>
      </c>
      <c r="B1039" s="15">
        <v>72.0</v>
      </c>
    </row>
    <row r="1040">
      <c r="A1040" s="15" t="s">
        <v>494</v>
      </c>
      <c r="B1040" s="15">
        <v>0.0</v>
      </c>
    </row>
    <row r="1041">
      <c r="A1041" s="15" t="s">
        <v>496</v>
      </c>
      <c r="B1041" s="15">
        <v>79.0</v>
      </c>
    </row>
    <row r="1042">
      <c r="A1042" s="15" t="s">
        <v>497</v>
      </c>
      <c r="B1042" s="15">
        <v>0.0</v>
      </c>
    </row>
    <row r="1043">
      <c r="A1043" s="15" t="s">
        <v>498</v>
      </c>
      <c r="B1043" s="15">
        <v>0.0</v>
      </c>
    </row>
    <row r="1044">
      <c r="A1044" s="15" t="s">
        <v>499</v>
      </c>
      <c r="B1044" s="15">
        <v>79.0</v>
      </c>
    </row>
    <row r="1045">
      <c r="A1045" s="15" t="s">
        <v>500</v>
      </c>
      <c r="B1045" s="15">
        <v>75.0</v>
      </c>
    </row>
    <row r="1046">
      <c r="A1046" s="15" t="s">
        <v>501</v>
      </c>
      <c r="B1046" s="15">
        <v>0.0</v>
      </c>
    </row>
    <row r="1047">
      <c r="A1047" s="15" t="s">
        <v>502</v>
      </c>
      <c r="B1047" s="15">
        <v>0.0</v>
      </c>
    </row>
    <row r="1048">
      <c r="A1048" s="15" t="s">
        <v>503</v>
      </c>
      <c r="B1048" s="15">
        <v>80.0</v>
      </c>
    </row>
    <row r="1049">
      <c r="A1049" s="15" t="s">
        <v>504</v>
      </c>
      <c r="B1049" s="15">
        <v>50.0</v>
      </c>
    </row>
    <row r="1050">
      <c r="A1050" s="15" t="s">
        <v>505</v>
      </c>
      <c r="B1050" s="15">
        <v>75.0</v>
      </c>
    </row>
    <row r="1051">
      <c r="A1051" s="15" t="s">
        <v>506</v>
      </c>
      <c r="B1051" s="15">
        <v>70.0</v>
      </c>
    </row>
    <row r="1052">
      <c r="A1052" s="15" t="s">
        <v>507</v>
      </c>
      <c r="B1052" s="15">
        <v>76.0</v>
      </c>
    </row>
    <row r="1053">
      <c r="A1053" s="15" t="s">
        <v>508</v>
      </c>
      <c r="B1053" s="15">
        <v>70.0</v>
      </c>
    </row>
    <row r="1054">
      <c r="A1054" s="15" t="s">
        <v>509</v>
      </c>
      <c r="B1054" s="15">
        <v>0.0</v>
      </c>
    </row>
    <row r="1055">
      <c r="A1055" s="15" t="s">
        <v>510</v>
      </c>
      <c r="B1055" s="15">
        <v>77.0</v>
      </c>
    </row>
    <row r="1056">
      <c r="A1056" s="15" t="s">
        <v>511</v>
      </c>
      <c r="B1056" s="15">
        <v>80.0</v>
      </c>
    </row>
    <row r="1057">
      <c r="A1057" s="15" t="s">
        <v>512</v>
      </c>
      <c r="B1057" s="15">
        <v>80.0</v>
      </c>
    </row>
    <row r="1058">
      <c r="A1058" s="15" t="s">
        <v>514</v>
      </c>
      <c r="B1058" s="15">
        <v>80.0</v>
      </c>
    </row>
    <row r="1059">
      <c r="A1059" s="15" t="s">
        <v>513</v>
      </c>
      <c r="B1059" s="15">
        <v>70.0</v>
      </c>
    </row>
    <row r="1060">
      <c r="A1060" s="15" t="s">
        <v>515</v>
      </c>
      <c r="B1060" s="15">
        <v>73.0</v>
      </c>
    </row>
    <row r="1061">
      <c r="A1061" s="15" t="s">
        <v>516</v>
      </c>
      <c r="B1061" s="15">
        <v>76.0</v>
      </c>
    </row>
    <row r="1062">
      <c r="A1062" s="15" t="s">
        <v>517</v>
      </c>
      <c r="B1062" s="15">
        <v>78.0</v>
      </c>
    </row>
    <row r="1063">
      <c r="A1063" s="15" t="s">
        <v>518</v>
      </c>
      <c r="B1063" s="15">
        <v>50.0</v>
      </c>
    </row>
    <row r="1064">
      <c r="A1064" s="15" t="s">
        <v>519</v>
      </c>
      <c r="B1064" s="15">
        <v>78.0</v>
      </c>
    </row>
    <row r="1065">
      <c r="A1065" s="15" t="s">
        <v>520</v>
      </c>
      <c r="B1065" s="15">
        <v>0.0</v>
      </c>
    </row>
    <row r="1066">
      <c r="A1066" s="15" t="s">
        <v>521</v>
      </c>
      <c r="B1066" s="15">
        <v>75.0</v>
      </c>
    </row>
    <row r="1067">
      <c r="A1067" s="15" t="s">
        <v>522</v>
      </c>
      <c r="B1067" s="15">
        <v>50.0</v>
      </c>
    </row>
    <row r="1068">
      <c r="A1068" s="15" t="s">
        <v>523</v>
      </c>
      <c r="B1068" s="15">
        <v>76.0</v>
      </c>
    </row>
    <row r="1069">
      <c r="A1069" s="15" t="s">
        <v>524</v>
      </c>
      <c r="B1069" s="15">
        <v>80.0</v>
      </c>
    </row>
    <row r="1070">
      <c r="A1070" s="15" t="s">
        <v>525</v>
      </c>
      <c r="B1070" s="15">
        <v>78.0</v>
      </c>
    </row>
    <row r="1071">
      <c r="A1071" s="15" t="s">
        <v>526</v>
      </c>
      <c r="B1071" s="15">
        <v>0.0</v>
      </c>
    </row>
    <row r="1072">
      <c r="A1072" s="15" t="s">
        <v>527</v>
      </c>
      <c r="B1072" s="15">
        <v>77.0</v>
      </c>
    </row>
    <row r="1073">
      <c r="A1073" s="15" t="s">
        <v>528</v>
      </c>
      <c r="B1073" s="15">
        <v>0.0</v>
      </c>
    </row>
    <row r="1074">
      <c r="A1074" s="15" t="s">
        <v>529</v>
      </c>
      <c r="B1074" s="15">
        <v>78.0</v>
      </c>
    </row>
    <row r="1075">
      <c r="A1075" s="15" t="s">
        <v>530</v>
      </c>
      <c r="B1075" s="15">
        <v>70.0</v>
      </c>
    </row>
    <row r="1076">
      <c r="A1076" s="15" t="s">
        <v>531</v>
      </c>
      <c r="B1076" s="15">
        <v>75.0</v>
      </c>
    </row>
    <row r="1077">
      <c r="A1077" s="15" t="s">
        <v>532</v>
      </c>
      <c r="B1077" s="15">
        <v>80.0</v>
      </c>
    </row>
    <row r="1078">
      <c r="A1078" s="15" t="s">
        <v>533</v>
      </c>
      <c r="B1078" s="15">
        <v>73.0</v>
      </c>
    </row>
    <row r="1079">
      <c r="A1079" s="15" t="s">
        <v>534</v>
      </c>
      <c r="B1079" s="15">
        <v>75.0</v>
      </c>
    </row>
    <row r="1080">
      <c r="A1080" s="15" t="s">
        <v>535</v>
      </c>
      <c r="B1080" s="15">
        <v>50.0</v>
      </c>
    </row>
    <row r="1081">
      <c r="A1081" s="15" t="s">
        <v>536</v>
      </c>
      <c r="B1081" s="15">
        <v>79.0</v>
      </c>
    </row>
    <row r="1082">
      <c r="A1082" s="15" t="s">
        <v>537</v>
      </c>
      <c r="B1082" s="15">
        <v>70.0</v>
      </c>
    </row>
    <row r="1083">
      <c r="A1083" s="15" t="s">
        <v>538</v>
      </c>
      <c r="B1083" s="15">
        <v>75.0</v>
      </c>
    </row>
    <row r="1084">
      <c r="A1084" s="15" t="s">
        <v>539</v>
      </c>
      <c r="B1084" s="15">
        <v>78.0</v>
      </c>
    </row>
    <row r="1085">
      <c r="A1085" s="15" t="s">
        <v>540</v>
      </c>
      <c r="B1085" s="15">
        <v>78.0</v>
      </c>
    </row>
    <row r="1086">
      <c r="A1086" s="15" t="s">
        <v>541</v>
      </c>
      <c r="B1086" s="15">
        <v>70.0</v>
      </c>
    </row>
    <row r="1087">
      <c r="A1087" s="15" t="s">
        <v>542</v>
      </c>
      <c r="B1087" s="15">
        <v>70.0</v>
      </c>
    </row>
    <row r="1088">
      <c r="A1088" s="15" t="s">
        <v>543</v>
      </c>
      <c r="B1088" s="15">
        <v>78.0</v>
      </c>
    </row>
    <row r="1089">
      <c r="A1089" s="15" t="s">
        <v>544</v>
      </c>
      <c r="B1089" s="15">
        <v>75.0</v>
      </c>
    </row>
    <row r="1090">
      <c r="A1090" s="15" t="s">
        <v>545</v>
      </c>
      <c r="B1090" s="15">
        <v>73.0</v>
      </c>
    </row>
    <row r="1091">
      <c r="A1091" s="15" t="s">
        <v>546</v>
      </c>
      <c r="B1091" s="15">
        <v>73.0</v>
      </c>
    </row>
    <row r="1092">
      <c r="A1092" s="15" t="s">
        <v>547</v>
      </c>
      <c r="B1092" s="15">
        <v>70.0</v>
      </c>
    </row>
    <row r="1093">
      <c r="A1093" s="15" t="s">
        <v>548</v>
      </c>
      <c r="B1093" s="15">
        <v>73.0</v>
      </c>
    </row>
    <row r="1094">
      <c r="A1094" s="15" t="s">
        <v>549</v>
      </c>
      <c r="B1094" s="15">
        <v>78.0</v>
      </c>
    </row>
    <row r="1095">
      <c r="A1095" s="15" t="s">
        <v>550</v>
      </c>
      <c r="B1095" s="15">
        <v>78.0</v>
      </c>
    </row>
    <row r="1096">
      <c r="A1096" s="15" t="s">
        <v>551</v>
      </c>
      <c r="B1096" s="15">
        <v>75.0</v>
      </c>
    </row>
    <row r="1097">
      <c r="A1097" s="15" t="s">
        <v>552</v>
      </c>
      <c r="B1097" s="15">
        <v>75.0</v>
      </c>
    </row>
    <row r="1098">
      <c r="A1098" s="15" t="s">
        <v>553</v>
      </c>
      <c r="B1098" s="15">
        <v>73.0</v>
      </c>
    </row>
    <row r="1099">
      <c r="A1099" s="15" t="s">
        <v>554</v>
      </c>
      <c r="B1099" s="15">
        <v>77.0</v>
      </c>
    </row>
    <row r="1100">
      <c r="A1100" s="15" t="s">
        <v>555</v>
      </c>
      <c r="B1100" s="15">
        <v>78.0</v>
      </c>
    </row>
    <row r="1101">
      <c r="A1101" s="15" t="s">
        <v>556</v>
      </c>
      <c r="B1101" s="15">
        <v>70.0</v>
      </c>
    </row>
    <row r="1102">
      <c r="A1102" s="15" t="s">
        <v>558</v>
      </c>
      <c r="B1102" s="15">
        <v>0.0</v>
      </c>
    </row>
    <row r="1103">
      <c r="A1103" s="15" t="s">
        <v>559</v>
      </c>
      <c r="B1103" s="15">
        <v>70.0</v>
      </c>
    </row>
    <row r="1104">
      <c r="A1104" s="15" t="s">
        <v>560</v>
      </c>
      <c r="B1104" s="15">
        <v>73.0</v>
      </c>
    </row>
    <row r="1105">
      <c r="A1105" s="15" t="s">
        <v>561</v>
      </c>
      <c r="B1105" s="15">
        <v>95.0</v>
      </c>
    </row>
    <row r="1106">
      <c r="A1106" s="15" t="s">
        <v>562</v>
      </c>
      <c r="B1106" s="15">
        <v>0.0</v>
      </c>
    </row>
    <row r="1107">
      <c r="A1107" s="15" t="s">
        <v>563</v>
      </c>
      <c r="B1107" s="15">
        <v>78.0</v>
      </c>
    </row>
    <row r="1108">
      <c r="A1108" s="15" t="s">
        <v>564</v>
      </c>
      <c r="B1108" s="15">
        <v>73.0</v>
      </c>
    </row>
    <row r="1109">
      <c r="A1109" s="15" t="s">
        <v>565</v>
      </c>
      <c r="B1109" s="15">
        <v>70.0</v>
      </c>
    </row>
    <row r="1110">
      <c r="A1110" s="15" t="s">
        <v>566</v>
      </c>
      <c r="B1110" s="15">
        <v>73.0</v>
      </c>
    </row>
    <row r="1111">
      <c r="A1111" s="15" t="s">
        <v>567</v>
      </c>
      <c r="B1111" s="15">
        <v>0.0</v>
      </c>
    </row>
    <row r="1112">
      <c r="A1112" s="15" t="s">
        <v>568</v>
      </c>
      <c r="B1112" s="15">
        <v>77.0</v>
      </c>
    </row>
    <row r="1113">
      <c r="A1113" s="15" t="s">
        <v>569</v>
      </c>
      <c r="B1113" s="15">
        <v>50.0</v>
      </c>
    </row>
    <row r="1114">
      <c r="A1114" s="15" t="s">
        <v>570</v>
      </c>
      <c r="B1114" s="15">
        <v>75.0</v>
      </c>
    </row>
    <row r="1115">
      <c r="A1115" s="15" t="s">
        <v>571</v>
      </c>
      <c r="B1115" s="15">
        <v>0.0</v>
      </c>
    </row>
    <row r="1116">
      <c r="A1116" s="15" t="s">
        <v>572</v>
      </c>
      <c r="B1116" s="15">
        <v>77.0</v>
      </c>
    </row>
    <row r="1117">
      <c r="A1117" s="15" t="s">
        <v>573</v>
      </c>
      <c r="B1117" s="15">
        <v>78.0</v>
      </c>
    </row>
    <row r="1118">
      <c r="A1118" s="15" t="s">
        <v>574</v>
      </c>
      <c r="B1118" s="15">
        <v>75.0</v>
      </c>
    </row>
    <row r="1119">
      <c r="A1119" s="15" t="s">
        <v>575</v>
      </c>
      <c r="B1119" s="15">
        <v>50.0</v>
      </c>
    </row>
    <row r="1120">
      <c r="A1120" s="15" t="s">
        <v>576</v>
      </c>
      <c r="B1120" s="15">
        <v>75.0</v>
      </c>
    </row>
    <row r="1121">
      <c r="A1121" s="15" t="s">
        <v>577</v>
      </c>
      <c r="B1121" s="15">
        <v>70.0</v>
      </c>
    </row>
    <row r="1122">
      <c r="A1122" s="15" t="s">
        <v>578</v>
      </c>
      <c r="B1122" s="15">
        <v>0.0</v>
      </c>
    </row>
    <row r="1123">
      <c r="A1123" s="15" t="s">
        <v>579</v>
      </c>
      <c r="B1123" s="15">
        <v>83.0</v>
      </c>
    </row>
    <row r="1124">
      <c r="A1124" s="15" t="s">
        <v>580</v>
      </c>
      <c r="B1124" s="15">
        <v>0.0</v>
      </c>
    </row>
    <row r="1125">
      <c r="A1125" s="15" t="s">
        <v>581</v>
      </c>
      <c r="B1125" s="15">
        <v>84.0</v>
      </c>
    </row>
    <row r="1126">
      <c r="A1126" s="15" t="s">
        <v>582</v>
      </c>
      <c r="B1126" s="15">
        <v>79.0</v>
      </c>
    </row>
    <row r="1127">
      <c r="A1127" s="15" t="s">
        <v>583</v>
      </c>
      <c r="B1127" s="15">
        <v>0.0</v>
      </c>
    </row>
    <row r="1128">
      <c r="A1128" s="15" t="s">
        <v>584</v>
      </c>
      <c r="B1128" s="15">
        <v>84.0</v>
      </c>
    </row>
    <row r="1129">
      <c r="A1129" s="15" t="s">
        <v>585</v>
      </c>
      <c r="B1129" s="15">
        <v>70.0</v>
      </c>
    </row>
    <row r="1130">
      <c r="A1130" s="15" t="s">
        <v>587</v>
      </c>
      <c r="B1130" s="15">
        <v>75.0</v>
      </c>
    </row>
    <row r="1131">
      <c r="A1131" s="15" t="s">
        <v>588</v>
      </c>
      <c r="B1131" s="15">
        <v>70.0</v>
      </c>
    </row>
    <row r="1132">
      <c r="A1132" s="15" t="s">
        <v>589</v>
      </c>
      <c r="B1132" s="15">
        <v>70.0</v>
      </c>
    </row>
    <row r="1133">
      <c r="A1133" s="15" t="s">
        <v>590</v>
      </c>
      <c r="B1133" s="15">
        <v>70.0</v>
      </c>
    </row>
    <row r="1134">
      <c r="A1134" s="15" t="s">
        <v>591</v>
      </c>
      <c r="B1134" s="15">
        <v>78.0</v>
      </c>
    </row>
    <row r="1135">
      <c r="A1135" s="15" t="s">
        <v>592</v>
      </c>
      <c r="B1135" s="15">
        <v>77.0</v>
      </c>
    </row>
    <row r="1136">
      <c r="A1136" s="15" t="s">
        <v>593</v>
      </c>
      <c r="B1136" s="15">
        <v>75.0</v>
      </c>
    </row>
    <row r="1137">
      <c r="A1137" s="15" t="s">
        <v>595</v>
      </c>
      <c r="B1137" s="15">
        <v>75.0</v>
      </c>
    </row>
    <row r="1138">
      <c r="A1138" s="15" t="s">
        <v>596</v>
      </c>
      <c r="B1138" s="15">
        <v>70.0</v>
      </c>
    </row>
    <row r="1139">
      <c r="A1139" s="15" t="s">
        <v>597</v>
      </c>
      <c r="B1139" s="15">
        <v>50.0</v>
      </c>
    </row>
    <row r="1140">
      <c r="A1140" s="15" t="s">
        <v>598</v>
      </c>
      <c r="B1140" s="15">
        <v>70.0</v>
      </c>
    </row>
    <row r="1141">
      <c r="A1141" s="15" t="s">
        <v>599</v>
      </c>
      <c r="B1141" s="15">
        <v>50.0</v>
      </c>
    </row>
    <row r="1142">
      <c r="A1142" s="15" t="s">
        <v>600</v>
      </c>
      <c r="B1142" s="15">
        <v>83.0</v>
      </c>
    </row>
    <row r="1143">
      <c r="A1143" s="15" t="s">
        <v>601</v>
      </c>
      <c r="B1143" s="15">
        <v>83.0</v>
      </c>
    </row>
    <row r="1144">
      <c r="A1144" s="15" t="s">
        <v>602</v>
      </c>
      <c r="B1144" s="15">
        <v>84.0</v>
      </c>
    </row>
    <row r="1145">
      <c r="A1145" s="15" t="s">
        <v>603</v>
      </c>
      <c r="B1145" s="15">
        <v>70.0</v>
      </c>
    </row>
    <row r="1146">
      <c r="A1146" s="15" t="s">
        <v>604</v>
      </c>
      <c r="B1146" s="15">
        <v>70.0</v>
      </c>
    </row>
    <row r="1147">
      <c r="A1147" s="15" t="s">
        <v>605</v>
      </c>
      <c r="B1147" s="15">
        <v>73.0</v>
      </c>
    </row>
    <row r="1148">
      <c r="A1148" s="15" t="s">
        <v>606</v>
      </c>
      <c r="B1148" s="15">
        <v>70.0</v>
      </c>
    </row>
    <row r="1149">
      <c r="A1149" s="15" t="s">
        <v>607</v>
      </c>
      <c r="B1149" s="15">
        <v>50.0</v>
      </c>
    </row>
    <row r="1150">
      <c r="A1150" s="15" t="s">
        <v>608</v>
      </c>
      <c r="B1150" s="15">
        <v>0.0</v>
      </c>
    </row>
    <row r="1151">
      <c r="A1151" s="15" t="s">
        <v>609</v>
      </c>
      <c r="B1151" s="15">
        <v>0.0</v>
      </c>
    </row>
    <row r="1152">
      <c r="A1152" s="15" t="s">
        <v>610</v>
      </c>
      <c r="B1152" s="15">
        <v>0.0</v>
      </c>
    </row>
    <row r="1153">
      <c r="A1153" s="15" t="s">
        <v>611</v>
      </c>
      <c r="B1153" s="15">
        <v>75.0</v>
      </c>
    </row>
    <row r="1154">
      <c r="A1154" s="15" t="s">
        <v>612</v>
      </c>
      <c r="B1154" s="15">
        <v>78.0</v>
      </c>
    </row>
    <row r="1155">
      <c r="A1155" s="15" t="s">
        <v>613</v>
      </c>
      <c r="B1155" s="15">
        <v>75.0</v>
      </c>
    </row>
    <row r="1156">
      <c r="A1156" s="15" t="s">
        <v>614</v>
      </c>
      <c r="B1156" s="15">
        <v>78.0</v>
      </c>
    </row>
    <row r="1157">
      <c r="A1157" s="15" t="s">
        <v>615</v>
      </c>
      <c r="B1157" s="15">
        <v>75.0</v>
      </c>
    </row>
    <row r="1158">
      <c r="A1158" s="15" t="s">
        <v>616</v>
      </c>
      <c r="B1158" s="15">
        <v>75.0</v>
      </c>
    </row>
    <row r="1159">
      <c r="A1159" s="15" t="s">
        <v>617</v>
      </c>
      <c r="B1159" s="15">
        <v>75.0</v>
      </c>
    </row>
    <row r="1160">
      <c r="A1160" s="15" t="s">
        <v>618</v>
      </c>
      <c r="B1160" s="15">
        <v>0.0</v>
      </c>
    </row>
    <row r="1161">
      <c r="A1161" s="15" t="s">
        <v>619</v>
      </c>
      <c r="B1161" s="15">
        <v>0.0</v>
      </c>
    </row>
    <row r="1162">
      <c r="A1162" s="15" t="s">
        <v>620</v>
      </c>
      <c r="B1162" s="15">
        <v>75.0</v>
      </c>
    </row>
    <row r="1163">
      <c r="A1163" s="15" t="s">
        <v>621</v>
      </c>
      <c r="B1163" s="15">
        <v>0.0</v>
      </c>
    </row>
    <row r="1164">
      <c r="A1164" s="15" t="s">
        <v>622</v>
      </c>
      <c r="B1164" s="15">
        <v>75.0</v>
      </c>
    </row>
    <row r="1165">
      <c r="A1165" s="15" t="s">
        <v>623</v>
      </c>
      <c r="B1165" s="15">
        <v>83.0</v>
      </c>
    </row>
    <row r="1166">
      <c r="A1166" s="15" t="s">
        <v>624</v>
      </c>
      <c r="B1166" s="15">
        <v>70.0</v>
      </c>
    </row>
    <row r="1167">
      <c r="A1167" s="15" t="s">
        <v>625</v>
      </c>
      <c r="B1167" s="15">
        <v>50.0</v>
      </c>
    </row>
    <row r="1168">
      <c r="A1168" s="15" t="s">
        <v>626</v>
      </c>
      <c r="B1168" s="15">
        <v>0.0</v>
      </c>
    </row>
    <row r="1169">
      <c r="A1169" s="15" t="s">
        <v>627</v>
      </c>
      <c r="B1169" s="15">
        <v>0.0</v>
      </c>
    </row>
    <row r="1170">
      <c r="A1170" s="15" t="s">
        <v>628</v>
      </c>
      <c r="B1170" s="15">
        <v>50.0</v>
      </c>
    </row>
    <row r="1171">
      <c r="A1171" s="15" t="s">
        <v>629</v>
      </c>
      <c r="B1171" s="15">
        <v>75.0</v>
      </c>
    </row>
    <row r="1172">
      <c r="A1172" s="15" t="s">
        <v>630</v>
      </c>
      <c r="B1172" s="15">
        <v>75.0</v>
      </c>
    </row>
    <row r="1173">
      <c r="A1173" s="15" t="s">
        <v>631</v>
      </c>
      <c r="B1173" s="15">
        <v>50.0</v>
      </c>
    </row>
    <row r="1174">
      <c r="A1174" s="15" t="s">
        <v>632</v>
      </c>
      <c r="B1174" s="15">
        <v>0.0</v>
      </c>
    </row>
    <row r="1175">
      <c r="A1175" s="15" t="s">
        <v>633</v>
      </c>
      <c r="B1175" s="15">
        <v>0.0</v>
      </c>
    </row>
    <row r="1176">
      <c r="A1176" s="15" t="s">
        <v>634</v>
      </c>
      <c r="B1176" s="15">
        <v>70.0</v>
      </c>
    </row>
    <row r="1177">
      <c r="A1177" s="15" t="s">
        <v>635</v>
      </c>
      <c r="B1177" s="15">
        <v>50.0</v>
      </c>
    </row>
    <row r="1178">
      <c r="A1178" s="15" t="s">
        <v>1350</v>
      </c>
      <c r="B1178" s="15">
        <v>0.0</v>
      </c>
    </row>
    <row r="1179">
      <c r="A1179" s="15" t="s">
        <v>647</v>
      </c>
      <c r="B1179" s="15">
        <v>0.0</v>
      </c>
    </row>
    <row r="1180">
      <c r="A1180" s="15" t="s">
        <v>637</v>
      </c>
      <c r="B1180" s="15">
        <v>0.0</v>
      </c>
    </row>
    <row r="1181">
      <c r="A1181" s="15" t="s">
        <v>642</v>
      </c>
      <c r="B1181" s="15">
        <v>50.0</v>
      </c>
    </row>
    <row r="1182">
      <c r="A1182" s="15" t="s">
        <v>638</v>
      </c>
      <c r="B1182" s="15">
        <v>0.0</v>
      </c>
    </row>
    <row r="1183">
      <c r="A1183" s="15" t="s">
        <v>639</v>
      </c>
      <c r="B1183" s="15">
        <v>0.0</v>
      </c>
    </row>
    <row r="1184">
      <c r="A1184" s="15" t="s">
        <v>645</v>
      </c>
      <c r="B1184" s="15">
        <v>50.0</v>
      </c>
    </row>
    <row r="1185">
      <c r="A1185" s="15" t="s">
        <v>648</v>
      </c>
      <c r="B1185" s="15">
        <v>50.0</v>
      </c>
    </row>
    <row r="1186">
      <c r="A1186" s="15" t="s">
        <v>644</v>
      </c>
      <c r="B1186" s="15">
        <v>0.0</v>
      </c>
    </row>
    <row r="1187">
      <c r="A1187" s="15" t="s">
        <v>640</v>
      </c>
      <c r="B1187" s="15">
        <v>0.0</v>
      </c>
    </row>
    <row r="1188">
      <c r="A1188" s="15" t="s">
        <v>646</v>
      </c>
      <c r="B1188" s="15">
        <v>50.0</v>
      </c>
    </row>
    <row r="1189">
      <c r="A1189" s="15" t="s">
        <v>641</v>
      </c>
      <c r="B1189" s="15">
        <v>0.0</v>
      </c>
    </row>
    <row r="1190">
      <c r="A1190" s="15" t="s">
        <v>652</v>
      </c>
      <c r="B1190" s="15">
        <v>0.0</v>
      </c>
    </row>
    <row r="1191">
      <c r="A1191" s="15" t="s">
        <v>649</v>
      </c>
      <c r="B1191" s="15">
        <v>50.0</v>
      </c>
    </row>
    <row r="1192">
      <c r="A1192" s="15" t="s">
        <v>650</v>
      </c>
      <c r="B1192" s="15">
        <v>50.0</v>
      </c>
    </row>
    <row r="1193">
      <c r="A1193" s="15" t="s">
        <v>653</v>
      </c>
      <c r="B1193" s="15">
        <v>0.0</v>
      </c>
    </row>
    <row r="1194">
      <c r="A1194" s="15" t="s">
        <v>1351</v>
      </c>
      <c r="B1194" s="15">
        <v>0.0</v>
      </c>
    </row>
    <row r="1195">
      <c r="A1195" s="15" t="s">
        <v>651</v>
      </c>
      <c r="B1195" s="15">
        <v>50.0</v>
      </c>
    </row>
    <row r="1196">
      <c r="A1196" s="15" t="s">
        <v>658</v>
      </c>
      <c r="B1196" s="15">
        <v>0.0</v>
      </c>
    </row>
    <row r="1197">
      <c r="A1197" s="15" t="s">
        <v>657</v>
      </c>
      <c r="B1197" s="15">
        <v>0.0</v>
      </c>
    </row>
    <row r="1198">
      <c r="A1198" s="15" t="s">
        <v>1352</v>
      </c>
      <c r="B1198" s="15">
        <v>0.0</v>
      </c>
    </row>
    <row r="1199">
      <c r="A1199" s="15" t="s">
        <v>1338</v>
      </c>
      <c r="B1199" s="15">
        <v>0.0</v>
      </c>
    </row>
    <row r="1200">
      <c r="A1200" s="15" t="s">
        <v>654</v>
      </c>
      <c r="B1200" s="15">
        <v>0.0</v>
      </c>
    </row>
    <row r="1201">
      <c r="A1201" s="15" t="s">
        <v>654</v>
      </c>
      <c r="B1201" s="15">
        <v>0.0</v>
      </c>
    </row>
    <row r="1202">
      <c r="A1202" s="15" t="s">
        <v>655</v>
      </c>
      <c r="B1202" s="15">
        <v>0.0</v>
      </c>
    </row>
    <row r="1203">
      <c r="A1203" s="15" t="s">
        <v>643</v>
      </c>
      <c r="B1203" s="15">
        <v>50.0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138</v>
      </c>
      <c r="B1" s="26">
        <v>50.0</v>
      </c>
    </row>
    <row r="2">
      <c r="A2" s="25" t="s">
        <v>139</v>
      </c>
      <c r="B2" s="27">
        <v>50.0</v>
      </c>
    </row>
    <row r="3">
      <c r="A3" s="25" t="s">
        <v>140</v>
      </c>
      <c r="B3" s="27">
        <v>63.0</v>
      </c>
    </row>
    <row r="4">
      <c r="A4" s="25" t="s">
        <v>141</v>
      </c>
      <c r="B4" s="27">
        <v>63.0</v>
      </c>
    </row>
    <row r="5">
      <c r="A5" s="25" t="s">
        <v>142</v>
      </c>
      <c r="B5" s="27">
        <v>63.0</v>
      </c>
    </row>
    <row r="6">
      <c r="A6" s="25" t="s">
        <v>143</v>
      </c>
      <c r="B6" s="27">
        <v>62.0</v>
      </c>
    </row>
    <row r="7">
      <c r="A7" s="25" t="s">
        <v>145</v>
      </c>
      <c r="B7" s="27">
        <v>50.0</v>
      </c>
    </row>
    <row r="8">
      <c r="A8" s="25" t="s">
        <v>146</v>
      </c>
      <c r="B8" s="27">
        <v>63.0</v>
      </c>
    </row>
    <row r="9">
      <c r="A9" s="25" t="s">
        <v>147</v>
      </c>
      <c r="B9" s="27">
        <v>50.0</v>
      </c>
    </row>
    <row r="10">
      <c r="A10" s="25" t="s">
        <v>148</v>
      </c>
      <c r="B10" s="27">
        <v>68.0</v>
      </c>
    </row>
    <row r="11">
      <c r="A11" s="25" t="s">
        <v>149</v>
      </c>
      <c r="B11" s="27">
        <v>50.0</v>
      </c>
    </row>
    <row r="12">
      <c r="A12" s="25" t="s">
        <v>150</v>
      </c>
      <c r="B12" s="27">
        <v>50.0</v>
      </c>
    </row>
    <row r="13">
      <c r="A13" s="25" t="s">
        <v>151</v>
      </c>
      <c r="B13" s="27">
        <v>0.0</v>
      </c>
    </row>
    <row r="14">
      <c r="A14" s="25" t="s">
        <v>152</v>
      </c>
      <c r="B14" s="27">
        <v>50.0</v>
      </c>
    </row>
    <row r="15">
      <c r="A15" s="25" t="s">
        <v>153</v>
      </c>
      <c r="B15" s="27">
        <v>65.0</v>
      </c>
    </row>
    <row r="16">
      <c r="A16" s="25" t="s">
        <v>154</v>
      </c>
      <c r="B16" s="27">
        <v>0.0</v>
      </c>
    </row>
    <row r="17">
      <c r="A17" s="25" t="s">
        <v>155</v>
      </c>
      <c r="B17" s="27">
        <v>63.0</v>
      </c>
    </row>
    <row r="18">
      <c r="A18" s="25" t="s">
        <v>156</v>
      </c>
      <c r="B18" s="27">
        <v>73.0</v>
      </c>
    </row>
    <row r="19">
      <c r="A19" s="25" t="s">
        <v>157</v>
      </c>
      <c r="B19" s="27">
        <v>0.0</v>
      </c>
    </row>
    <row r="20">
      <c r="A20" s="25" t="s">
        <v>158</v>
      </c>
      <c r="B20" s="27">
        <v>66.0</v>
      </c>
    </row>
    <row r="21">
      <c r="A21" s="25" t="s">
        <v>159</v>
      </c>
      <c r="B21" s="27">
        <v>73.0</v>
      </c>
    </row>
    <row r="22">
      <c r="A22" s="25" t="s">
        <v>160</v>
      </c>
      <c r="B22" s="27">
        <v>0.0</v>
      </c>
    </row>
    <row r="23">
      <c r="A23" s="25" t="s">
        <v>161</v>
      </c>
      <c r="B23" s="27">
        <v>62.0</v>
      </c>
    </row>
    <row r="24">
      <c r="A24" s="25" t="s">
        <v>162</v>
      </c>
      <c r="B24" s="27">
        <v>62.0</v>
      </c>
    </row>
    <row r="25">
      <c r="A25" s="25" t="s">
        <v>163</v>
      </c>
      <c r="B25" s="27">
        <v>0.0</v>
      </c>
    </row>
    <row r="26">
      <c r="A26" s="25" t="s">
        <v>164</v>
      </c>
      <c r="B26" s="27">
        <v>66.0</v>
      </c>
    </row>
    <row r="27">
      <c r="A27" s="25" t="s">
        <v>165</v>
      </c>
      <c r="B27" s="27">
        <v>65.0</v>
      </c>
    </row>
    <row r="28">
      <c r="A28" s="25" t="s">
        <v>166</v>
      </c>
      <c r="B28" s="27">
        <v>0.0</v>
      </c>
    </row>
    <row r="29">
      <c r="A29" s="25" t="s">
        <v>167</v>
      </c>
      <c r="B29" s="27">
        <v>0.0</v>
      </c>
    </row>
    <row r="30">
      <c r="A30" s="25" t="s">
        <v>168</v>
      </c>
      <c r="B30" s="27">
        <v>68.0</v>
      </c>
    </row>
    <row r="31">
      <c r="A31" s="25" t="s">
        <v>169</v>
      </c>
      <c r="B31" s="27">
        <v>73.0</v>
      </c>
    </row>
    <row r="32">
      <c r="A32" s="25" t="s">
        <v>170</v>
      </c>
      <c r="B32" s="27">
        <v>90.0</v>
      </c>
    </row>
    <row r="33">
      <c r="A33" s="25" t="s">
        <v>171</v>
      </c>
      <c r="B33" s="27">
        <v>90.0</v>
      </c>
    </row>
    <row r="34">
      <c r="A34" s="25" t="s">
        <v>172</v>
      </c>
      <c r="B34" s="27">
        <v>65.0</v>
      </c>
    </row>
    <row r="35">
      <c r="A35" s="25" t="s">
        <v>173</v>
      </c>
      <c r="B35" s="27">
        <v>66.0</v>
      </c>
    </row>
    <row r="36">
      <c r="A36" s="25" t="s">
        <v>174</v>
      </c>
      <c r="B36" s="27">
        <v>63.0</v>
      </c>
    </row>
    <row r="37">
      <c r="A37" s="25" t="s">
        <v>175</v>
      </c>
      <c r="B37" s="27">
        <v>65.0</v>
      </c>
    </row>
    <row r="38">
      <c r="A38" s="28" t="s">
        <v>176</v>
      </c>
      <c r="B38" s="29" t="e">
        <v>#N/A</v>
      </c>
    </row>
    <row r="39">
      <c r="A39" s="25" t="s">
        <v>177</v>
      </c>
      <c r="B39" s="27">
        <v>0.0</v>
      </c>
    </row>
    <row r="40">
      <c r="A40" s="25" t="s">
        <v>178</v>
      </c>
      <c r="B40" s="27">
        <v>50.0</v>
      </c>
    </row>
    <row r="41">
      <c r="A41" s="25" t="s">
        <v>179</v>
      </c>
      <c r="B41" s="27">
        <v>90.0</v>
      </c>
    </row>
    <row r="42">
      <c r="A42" s="25" t="s">
        <v>180</v>
      </c>
      <c r="B42" s="27">
        <v>65.0</v>
      </c>
    </row>
    <row r="43">
      <c r="A43" s="25" t="s">
        <v>181</v>
      </c>
      <c r="B43" s="27">
        <v>90.0</v>
      </c>
    </row>
    <row r="44">
      <c r="A44" s="25" t="s">
        <v>182</v>
      </c>
      <c r="B44" s="27">
        <v>50.0</v>
      </c>
    </row>
    <row r="45">
      <c r="A45" s="25" t="s">
        <v>183</v>
      </c>
      <c r="B45" s="27">
        <v>73.0</v>
      </c>
    </row>
    <row r="46">
      <c r="A46" s="25" t="s">
        <v>184</v>
      </c>
      <c r="B46" s="27">
        <v>66.0</v>
      </c>
    </row>
    <row r="47">
      <c r="A47" s="25" t="s">
        <v>185</v>
      </c>
      <c r="B47" s="27">
        <v>0.0</v>
      </c>
    </row>
    <row r="48">
      <c r="A48" s="25" t="s">
        <v>186</v>
      </c>
      <c r="B48" s="27">
        <v>73.0</v>
      </c>
    </row>
    <row r="49">
      <c r="A49" s="25" t="s">
        <v>187</v>
      </c>
      <c r="B49" s="27">
        <v>50.0</v>
      </c>
    </row>
    <row r="50">
      <c r="A50" s="25" t="s">
        <v>188</v>
      </c>
      <c r="B50" s="27">
        <v>50.0</v>
      </c>
    </row>
    <row r="51">
      <c r="A51" s="25" t="s">
        <v>189</v>
      </c>
      <c r="B51" s="27">
        <v>65.0</v>
      </c>
    </row>
    <row r="52">
      <c r="A52" s="25" t="s">
        <v>190</v>
      </c>
      <c r="B52" s="27">
        <v>0.0</v>
      </c>
    </row>
    <row r="53">
      <c r="A53" s="25" t="s">
        <v>191</v>
      </c>
      <c r="B53" s="27">
        <v>90.0</v>
      </c>
    </row>
    <row r="54">
      <c r="A54" s="25" t="s">
        <v>192</v>
      </c>
      <c r="B54" s="27">
        <v>73.0</v>
      </c>
    </row>
    <row r="55">
      <c r="A55" s="25" t="s">
        <v>193</v>
      </c>
      <c r="B55" s="27">
        <v>62.0</v>
      </c>
    </row>
    <row r="56">
      <c r="A56" s="25" t="s">
        <v>194</v>
      </c>
      <c r="B56" s="27">
        <v>66.0</v>
      </c>
    </row>
    <row r="57">
      <c r="A57" s="25" t="s">
        <v>195</v>
      </c>
      <c r="B57" s="27">
        <v>66.0</v>
      </c>
    </row>
    <row r="58">
      <c r="A58" s="25" t="s">
        <v>196</v>
      </c>
      <c r="B58" s="27">
        <v>63.0</v>
      </c>
    </row>
    <row r="59">
      <c r="A59" s="25" t="s">
        <v>197</v>
      </c>
      <c r="B59" s="27">
        <v>66.0</v>
      </c>
    </row>
    <row r="60">
      <c r="A60" s="25" t="s">
        <v>198</v>
      </c>
      <c r="B60" s="27">
        <v>65.0</v>
      </c>
    </row>
    <row r="61">
      <c r="A61" s="25" t="s">
        <v>199</v>
      </c>
      <c r="B61" s="27">
        <v>90.0</v>
      </c>
    </row>
    <row r="62">
      <c r="A62" s="28" t="s">
        <v>200</v>
      </c>
      <c r="B62" s="29" t="e">
        <v>#N/A</v>
      </c>
    </row>
    <row r="63">
      <c r="A63" s="25" t="s">
        <v>201</v>
      </c>
      <c r="B63" s="27">
        <v>65.0</v>
      </c>
    </row>
    <row r="64">
      <c r="A64" s="25" t="s">
        <v>202</v>
      </c>
      <c r="B64" s="27">
        <v>73.0</v>
      </c>
    </row>
    <row r="65">
      <c r="A65" s="25" t="s">
        <v>203</v>
      </c>
      <c r="B65" s="27">
        <v>65.0</v>
      </c>
    </row>
    <row r="66">
      <c r="A66" s="25" t="s">
        <v>204</v>
      </c>
      <c r="B66" s="27">
        <v>63.0</v>
      </c>
    </row>
    <row r="67">
      <c r="A67" s="25" t="s">
        <v>205</v>
      </c>
      <c r="B67" s="27">
        <v>65.0</v>
      </c>
    </row>
    <row r="68">
      <c r="A68" s="25" t="s">
        <v>206</v>
      </c>
      <c r="B68" s="27">
        <v>90.0</v>
      </c>
    </row>
    <row r="69">
      <c r="A69" s="25" t="s">
        <v>207</v>
      </c>
      <c r="B69" s="27">
        <v>0.0</v>
      </c>
    </row>
    <row r="70">
      <c r="A70" s="25" t="s">
        <v>208</v>
      </c>
      <c r="B70" s="27">
        <v>63.0</v>
      </c>
    </row>
    <row r="71">
      <c r="A71" s="25" t="s">
        <v>209</v>
      </c>
      <c r="B71" s="27">
        <v>65.0</v>
      </c>
    </row>
    <row r="72">
      <c r="A72" s="25" t="s">
        <v>210</v>
      </c>
      <c r="B72" s="27">
        <v>50.0</v>
      </c>
    </row>
    <row r="73">
      <c r="A73" s="25" t="s">
        <v>211</v>
      </c>
      <c r="B73" s="27">
        <v>66.0</v>
      </c>
    </row>
    <row r="74">
      <c r="A74" s="25" t="s">
        <v>212</v>
      </c>
      <c r="B74" s="27">
        <v>65.0</v>
      </c>
    </row>
    <row r="75">
      <c r="A75" s="25" t="s">
        <v>213</v>
      </c>
      <c r="B75" s="27">
        <v>73.0</v>
      </c>
    </row>
    <row r="76">
      <c r="A76" s="25" t="s">
        <v>214</v>
      </c>
      <c r="B76" s="27">
        <v>0.0</v>
      </c>
    </row>
    <row r="77">
      <c r="A77" s="25" t="s">
        <v>215</v>
      </c>
      <c r="B77" s="27">
        <v>75.0</v>
      </c>
    </row>
    <row r="78">
      <c r="A78" s="25" t="s">
        <v>216</v>
      </c>
      <c r="B78" s="27">
        <v>65.0</v>
      </c>
    </row>
    <row r="79">
      <c r="A79" s="25" t="s">
        <v>217</v>
      </c>
      <c r="B79" s="27">
        <v>50.0</v>
      </c>
    </row>
    <row r="80">
      <c r="A80" s="25" t="s">
        <v>218</v>
      </c>
      <c r="B80" s="27">
        <v>65.0</v>
      </c>
    </row>
    <row r="81">
      <c r="A81" s="25" t="s">
        <v>219</v>
      </c>
      <c r="B81" s="27">
        <v>75.0</v>
      </c>
    </row>
    <row r="82">
      <c r="A82" s="25" t="s">
        <v>220</v>
      </c>
      <c r="B82" s="27">
        <v>62.0</v>
      </c>
    </row>
    <row r="83">
      <c r="A83" s="25" t="s">
        <v>221</v>
      </c>
      <c r="B83" s="27">
        <v>66.0</v>
      </c>
    </row>
    <row r="84">
      <c r="A84" s="25" t="s">
        <v>222</v>
      </c>
      <c r="B84" s="27">
        <v>69.0</v>
      </c>
    </row>
    <row r="85">
      <c r="A85" s="25" t="s">
        <v>223</v>
      </c>
      <c r="B85" s="27">
        <v>65.0</v>
      </c>
    </row>
    <row r="86">
      <c r="A86" s="25" t="s">
        <v>224</v>
      </c>
      <c r="B86" s="27">
        <v>0.0</v>
      </c>
    </row>
    <row r="87">
      <c r="A87" s="25" t="s">
        <v>225</v>
      </c>
      <c r="B87" s="27">
        <v>0.0</v>
      </c>
    </row>
    <row r="88">
      <c r="A88" s="25" t="s">
        <v>226</v>
      </c>
      <c r="B88" s="27">
        <v>90.0</v>
      </c>
    </row>
    <row r="89">
      <c r="A89" s="25" t="s">
        <v>227</v>
      </c>
      <c r="B89" s="27">
        <v>62.0</v>
      </c>
    </row>
    <row r="90">
      <c r="A90" s="25" t="s">
        <v>228</v>
      </c>
      <c r="B90" s="27">
        <v>66.0</v>
      </c>
    </row>
    <row r="91">
      <c r="A91" s="25" t="s">
        <v>229</v>
      </c>
      <c r="B91" s="27">
        <v>65.0</v>
      </c>
    </row>
    <row r="92">
      <c r="A92" s="25" t="s">
        <v>230</v>
      </c>
      <c r="B92" s="27">
        <v>72.0</v>
      </c>
    </row>
    <row r="93">
      <c r="A93" s="25" t="s">
        <v>231</v>
      </c>
      <c r="B93" s="27">
        <v>65.0</v>
      </c>
    </row>
    <row r="94">
      <c r="A94" s="25" t="s">
        <v>232</v>
      </c>
      <c r="B94" s="27">
        <v>50.0</v>
      </c>
    </row>
    <row r="95">
      <c r="A95" s="25" t="s">
        <v>233</v>
      </c>
      <c r="B95" s="27">
        <v>0.0</v>
      </c>
    </row>
    <row r="96">
      <c r="A96" s="28" t="s">
        <v>234</v>
      </c>
      <c r="B96" s="29" t="e">
        <v>#N/A</v>
      </c>
    </row>
    <row r="97">
      <c r="A97" s="25" t="s">
        <v>235</v>
      </c>
      <c r="B97" s="27">
        <v>62.0</v>
      </c>
    </row>
    <row r="98">
      <c r="A98" s="25" t="s">
        <v>236</v>
      </c>
      <c r="B98" s="27">
        <v>66.0</v>
      </c>
    </row>
    <row r="99">
      <c r="A99" s="25" t="s">
        <v>237</v>
      </c>
      <c r="B99" s="27">
        <v>90.0</v>
      </c>
    </row>
    <row r="100">
      <c r="A100" s="25" t="s">
        <v>238</v>
      </c>
      <c r="B100" s="27">
        <v>66.0</v>
      </c>
    </row>
    <row r="101">
      <c r="A101" s="25" t="s">
        <v>239</v>
      </c>
      <c r="B101" s="27">
        <v>0.0</v>
      </c>
    </row>
    <row r="102">
      <c r="A102" s="25" t="s">
        <v>240</v>
      </c>
      <c r="B102" s="27">
        <v>0.0</v>
      </c>
    </row>
    <row r="103">
      <c r="A103" s="25" t="s">
        <v>241</v>
      </c>
      <c r="B103" s="27">
        <v>90.0</v>
      </c>
    </row>
    <row r="104">
      <c r="A104" s="25" t="s">
        <v>242</v>
      </c>
      <c r="B104" s="27">
        <v>0.0</v>
      </c>
    </row>
    <row r="105">
      <c r="A105" s="25" t="s">
        <v>243</v>
      </c>
      <c r="B105" s="27">
        <v>72.0</v>
      </c>
    </row>
    <row r="106">
      <c r="A106" s="25" t="s">
        <v>244</v>
      </c>
      <c r="B106" s="27">
        <v>65.0</v>
      </c>
    </row>
    <row r="107">
      <c r="A107" s="25" t="s">
        <v>245</v>
      </c>
      <c r="B107" s="27">
        <v>0.0</v>
      </c>
    </row>
    <row r="108">
      <c r="A108" s="25" t="s">
        <v>246</v>
      </c>
      <c r="B108" s="27">
        <v>63.0</v>
      </c>
    </row>
    <row r="109">
      <c r="A109" s="25" t="s">
        <v>247</v>
      </c>
      <c r="B109" s="27">
        <v>75.0</v>
      </c>
    </row>
    <row r="110">
      <c r="A110" s="25" t="s">
        <v>248</v>
      </c>
      <c r="B110" s="27">
        <v>62.0</v>
      </c>
    </row>
    <row r="111">
      <c r="A111" s="25" t="s">
        <v>249</v>
      </c>
      <c r="B111" s="27">
        <v>71.0</v>
      </c>
    </row>
    <row r="112">
      <c r="A112" s="25" t="s">
        <v>250</v>
      </c>
      <c r="B112" s="27">
        <v>66.0</v>
      </c>
    </row>
    <row r="113">
      <c r="A113" s="25" t="s">
        <v>251</v>
      </c>
      <c r="B113" s="27">
        <v>66.0</v>
      </c>
    </row>
    <row r="114">
      <c r="A114" s="25" t="s">
        <v>252</v>
      </c>
      <c r="B114" s="27">
        <v>71.0</v>
      </c>
    </row>
    <row r="115">
      <c r="A115" s="25" t="s">
        <v>254</v>
      </c>
      <c r="B115" s="27">
        <v>90.0</v>
      </c>
    </row>
    <row r="116">
      <c r="A116" s="25" t="s">
        <v>255</v>
      </c>
      <c r="B116" s="27">
        <v>66.0</v>
      </c>
    </row>
    <row r="117">
      <c r="A117" s="25" t="s">
        <v>256</v>
      </c>
      <c r="B117" s="27">
        <v>50.0</v>
      </c>
    </row>
    <row r="118">
      <c r="A118" s="25" t="s">
        <v>257</v>
      </c>
      <c r="B118" s="27">
        <v>72.0</v>
      </c>
    </row>
    <row r="119">
      <c r="A119" s="25" t="s">
        <v>258</v>
      </c>
      <c r="B119" s="27">
        <v>90.0</v>
      </c>
    </row>
    <row r="120">
      <c r="A120" s="25" t="s">
        <v>259</v>
      </c>
      <c r="B120" s="27">
        <v>72.0</v>
      </c>
    </row>
    <row r="121">
      <c r="A121" s="25" t="s">
        <v>260</v>
      </c>
      <c r="B121" s="27">
        <v>0.0</v>
      </c>
    </row>
    <row r="122">
      <c r="A122" s="25" t="s">
        <v>261</v>
      </c>
      <c r="B122" s="27">
        <v>63.0</v>
      </c>
    </row>
    <row r="123">
      <c r="A123" s="25" t="s">
        <v>262</v>
      </c>
      <c r="B123" s="27">
        <v>63.0</v>
      </c>
    </row>
    <row r="124">
      <c r="A124" s="25" t="s">
        <v>263</v>
      </c>
      <c r="B124" s="27">
        <v>84.0</v>
      </c>
    </row>
    <row r="125">
      <c r="A125" s="25" t="s">
        <v>264</v>
      </c>
      <c r="B125" s="27">
        <v>0.0</v>
      </c>
    </row>
    <row r="126">
      <c r="A126" s="25" t="s">
        <v>265</v>
      </c>
      <c r="B126" s="27">
        <v>66.0</v>
      </c>
    </row>
    <row r="127">
      <c r="A127" s="25" t="s">
        <v>266</v>
      </c>
      <c r="B127" s="27">
        <v>63.0</v>
      </c>
    </row>
    <row r="128">
      <c r="A128" s="25" t="s">
        <v>267</v>
      </c>
      <c r="B128" s="27">
        <v>62.0</v>
      </c>
    </row>
    <row r="129">
      <c r="A129" s="25" t="s">
        <v>268</v>
      </c>
      <c r="B129" s="27">
        <v>50.0</v>
      </c>
    </row>
    <row r="130">
      <c r="A130" s="25" t="s">
        <v>269</v>
      </c>
      <c r="B130" s="27">
        <v>90.0</v>
      </c>
    </row>
    <row r="131">
      <c r="A131" s="25" t="s">
        <v>270</v>
      </c>
      <c r="B131" s="27">
        <v>65.0</v>
      </c>
    </row>
    <row r="132">
      <c r="A132" s="25" t="s">
        <v>271</v>
      </c>
      <c r="B132" s="27">
        <v>63.0</v>
      </c>
    </row>
    <row r="133">
      <c r="A133" s="25" t="s">
        <v>272</v>
      </c>
      <c r="B133" s="27">
        <v>65.0</v>
      </c>
    </row>
    <row r="134">
      <c r="A134" s="25" t="s">
        <v>273</v>
      </c>
      <c r="B134" s="27">
        <v>72.0</v>
      </c>
    </row>
    <row r="135">
      <c r="A135" s="25" t="s">
        <v>274</v>
      </c>
      <c r="B135" s="27">
        <v>65.0</v>
      </c>
    </row>
    <row r="136">
      <c r="A136" s="25" t="s">
        <v>275</v>
      </c>
      <c r="B136" s="27">
        <v>71.0</v>
      </c>
    </row>
    <row r="137">
      <c r="A137" s="25" t="s">
        <v>276</v>
      </c>
      <c r="B137" s="27">
        <v>50.0</v>
      </c>
    </row>
    <row r="138">
      <c r="A138" s="25" t="s">
        <v>277</v>
      </c>
      <c r="B138" s="27">
        <v>69.0</v>
      </c>
    </row>
    <row r="139">
      <c r="A139" s="25" t="s">
        <v>278</v>
      </c>
      <c r="B139" s="27">
        <v>90.0</v>
      </c>
    </row>
    <row r="140">
      <c r="A140" s="25" t="s">
        <v>279</v>
      </c>
      <c r="B140" s="27">
        <v>63.0</v>
      </c>
    </row>
    <row r="141">
      <c r="A141" s="25" t="s">
        <v>280</v>
      </c>
      <c r="B141" s="27">
        <v>71.0</v>
      </c>
    </row>
    <row r="142">
      <c r="A142" s="25" t="s">
        <v>281</v>
      </c>
      <c r="B142" s="27">
        <v>63.0</v>
      </c>
    </row>
    <row r="143">
      <c r="A143" s="25" t="s">
        <v>282</v>
      </c>
      <c r="B143" s="27">
        <v>62.0</v>
      </c>
    </row>
    <row r="144">
      <c r="A144" s="25" t="s">
        <v>283</v>
      </c>
      <c r="B144" s="27">
        <v>0.0</v>
      </c>
    </row>
    <row r="145">
      <c r="A145" s="28" t="s">
        <v>284</v>
      </c>
      <c r="B145" s="29" t="e">
        <v>#N/A</v>
      </c>
    </row>
    <row r="146">
      <c r="A146" s="25" t="s">
        <v>285</v>
      </c>
      <c r="B146" s="27">
        <v>50.0</v>
      </c>
    </row>
    <row r="147">
      <c r="A147" s="25" t="s">
        <v>286</v>
      </c>
      <c r="B147" s="27">
        <v>50.0</v>
      </c>
    </row>
    <row r="148">
      <c r="A148" s="25" t="s">
        <v>287</v>
      </c>
      <c r="B148" s="27">
        <v>50.0</v>
      </c>
    </row>
    <row r="149">
      <c r="A149" s="25" t="s">
        <v>288</v>
      </c>
      <c r="B149" s="27">
        <v>50.0</v>
      </c>
    </row>
    <row r="150">
      <c r="A150" s="28" t="s">
        <v>289</v>
      </c>
      <c r="B150" s="29" t="e">
        <v>#N/A</v>
      </c>
    </row>
    <row r="151">
      <c r="A151" s="25" t="s">
        <v>290</v>
      </c>
      <c r="B151" s="27">
        <v>50.0</v>
      </c>
    </row>
    <row r="152">
      <c r="A152" s="25" t="s">
        <v>291</v>
      </c>
      <c r="B152" s="27">
        <v>50.0</v>
      </c>
    </row>
    <row r="153">
      <c r="A153" s="25" t="s">
        <v>292</v>
      </c>
      <c r="B153" s="27">
        <v>61.0</v>
      </c>
    </row>
    <row r="154">
      <c r="A154" s="25" t="s">
        <v>293</v>
      </c>
      <c r="B154" s="27">
        <v>50.0</v>
      </c>
    </row>
    <row r="155">
      <c r="A155" s="25" t="s">
        <v>294</v>
      </c>
      <c r="B155" s="27">
        <v>61.0</v>
      </c>
    </row>
    <row r="156">
      <c r="A156" s="25" t="s">
        <v>295</v>
      </c>
      <c r="B156" s="27">
        <v>50.0</v>
      </c>
    </row>
    <row r="157">
      <c r="A157" s="25" t="s">
        <v>296</v>
      </c>
      <c r="B157" s="27">
        <v>65.0</v>
      </c>
    </row>
    <row r="158">
      <c r="A158" s="25" t="s">
        <v>297</v>
      </c>
      <c r="B158" s="27">
        <v>0.0</v>
      </c>
    </row>
    <row r="159">
      <c r="A159" s="25" t="s">
        <v>298</v>
      </c>
      <c r="B159" s="27">
        <v>73.0</v>
      </c>
    </row>
    <row r="160">
      <c r="A160" s="25" t="s">
        <v>299</v>
      </c>
      <c r="B160" s="27">
        <v>50.0</v>
      </c>
    </row>
    <row r="161">
      <c r="A161" s="25" t="s">
        <v>300</v>
      </c>
      <c r="B161" s="27">
        <v>73.0</v>
      </c>
    </row>
    <row r="162">
      <c r="A162" s="25" t="s">
        <v>301</v>
      </c>
      <c r="B162" s="27">
        <v>73.0</v>
      </c>
    </row>
    <row r="163">
      <c r="A163" s="28" t="s">
        <v>302</v>
      </c>
      <c r="B163" s="29" t="e">
        <v>#N/A</v>
      </c>
    </row>
    <row r="164">
      <c r="A164" s="25" t="s">
        <v>303</v>
      </c>
      <c r="B164" s="27">
        <v>84.0</v>
      </c>
    </row>
    <row r="165">
      <c r="A165" s="25" t="s">
        <v>304</v>
      </c>
      <c r="B165" s="27">
        <v>65.0</v>
      </c>
    </row>
    <row r="166">
      <c r="A166" s="25" t="s">
        <v>305</v>
      </c>
      <c r="B166" s="27">
        <v>84.0</v>
      </c>
    </row>
    <row r="167">
      <c r="A167" s="25" t="s">
        <v>306</v>
      </c>
      <c r="B167" s="27">
        <v>50.0</v>
      </c>
    </row>
    <row r="168">
      <c r="A168" s="25" t="s">
        <v>307</v>
      </c>
      <c r="B168" s="27">
        <v>50.0</v>
      </c>
    </row>
    <row r="169">
      <c r="A169" s="25" t="s">
        <v>308</v>
      </c>
      <c r="B169" s="27">
        <v>50.0</v>
      </c>
    </row>
    <row r="170">
      <c r="A170" s="25" t="s">
        <v>309</v>
      </c>
      <c r="B170" s="27">
        <v>50.0</v>
      </c>
    </row>
    <row r="171">
      <c r="A171" s="25" t="s">
        <v>310</v>
      </c>
      <c r="B171" s="27">
        <v>50.0</v>
      </c>
    </row>
    <row r="172">
      <c r="A172" s="25" t="s">
        <v>311</v>
      </c>
      <c r="B172" s="27">
        <v>0.0</v>
      </c>
    </row>
    <row r="173">
      <c r="A173" s="25" t="s">
        <v>312</v>
      </c>
      <c r="B173" s="27">
        <v>0.0</v>
      </c>
    </row>
    <row r="174">
      <c r="A174" s="25" t="s">
        <v>313</v>
      </c>
      <c r="B174" s="27">
        <v>50.0</v>
      </c>
    </row>
    <row r="175">
      <c r="A175" s="25" t="s">
        <v>314</v>
      </c>
      <c r="B175" s="27">
        <v>50.0</v>
      </c>
    </row>
    <row r="176">
      <c r="A176" s="25" t="s">
        <v>315</v>
      </c>
      <c r="B176" s="27">
        <v>71.0</v>
      </c>
    </row>
    <row r="177">
      <c r="A177" s="25" t="s">
        <v>316</v>
      </c>
      <c r="B177" s="27">
        <v>63.0</v>
      </c>
    </row>
    <row r="178">
      <c r="A178" s="25" t="s">
        <v>317</v>
      </c>
      <c r="B178" s="27">
        <v>84.0</v>
      </c>
    </row>
    <row r="179">
      <c r="A179" s="25" t="s">
        <v>318</v>
      </c>
      <c r="B179" s="27">
        <v>63.0</v>
      </c>
    </row>
    <row r="180">
      <c r="A180" s="25" t="s">
        <v>319</v>
      </c>
      <c r="B180" s="27">
        <v>54.0</v>
      </c>
    </row>
    <row r="181">
      <c r="A181" s="25" t="s">
        <v>320</v>
      </c>
      <c r="B181" s="27">
        <v>58.0</v>
      </c>
    </row>
    <row r="182">
      <c r="A182" s="25" t="s">
        <v>321</v>
      </c>
      <c r="B182" s="27">
        <v>54.0</v>
      </c>
    </row>
    <row r="183">
      <c r="A183" s="25" t="s">
        <v>322</v>
      </c>
      <c r="B183" s="27">
        <v>50.0</v>
      </c>
    </row>
    <row r="184">
      <c r="A184" s="25" t="s">
        <v>323</v>
      </c>
      <c r="B184" s="27">
        <v>50.0</v>
      </c>
    </row>
    <row r="185">
      <c r="A185" s="25" t="s">
        <v>324</v>
      </c>
      <c r="B185" s="27">
        <v>73.0</v>
      </c>
    </row>
    <row r="186">
      <c r="A186" s="25" t="s">
        <v>325</v>
      </c>
      <c r="B186" s="27">
        <v>61.0</v>
      </c>
    </row>
    <row r="187">
      <c r="A187" s="25" t="s">
        <v>326</v>
      </c>
      <c r="B187" s="27">
        <v>84.0</v>
      </c>
    </row>
    <row r="188">
      <c r="A188" s="25" t="s">
        <v>327</v>
      </c>
      <c r="B188" s="27">
        <v>65.0</v>
      </c>
    </row>
    <row r="189">
      <c r="A189" s="25" t="s">
        <v>328</v>
      </c>
      <c r="B189" s="27">
        <v>65.0</v>
      </c>
    </row>
    <row r="190">
      <c r="A190" s="25" t="s">
        <v>329</v>
      </c>
      <c r="B190" s="27">
        <v>65.0</v>
      </c>
    </row>
    <row r="191">
      <c r="A191" s="25" t="s">
        <v>330</v>
      </c>
      <c r="B191" s="27">
        <v>0.0</v>
      </c>
    </row>
    <row r="192">
      <c r="A192" s="25" t="s">
        <v>331</v>
      </c>
      <c r="B192" s="27">
        <v>0.0</v>
      </c>
    </row>
    <row r="193">
      <c r="A193" s="25" t="s">
        <v>332</v>
      </c>
      <c r="B193" s="27">
        <v>0.0</v>
      </c>
    </row>
    <row r="194">
      <c r="A194" s="25" t="s">
        <v>333</v>
      </c>
      <c r="B194" s="27">
        <v>0.0</v>
      </c>
    </row>
    <row r="195">
      <c r="A195" s="25" t="s">
        <v>334</v>
      </c>
      <c r="B195" s="27">
        <v>63.0</v>
      </c>
    </row>
    <row r="196">
      <c r="A196" s="25" t="s">
        <v>335</v>
      </c>
      <c r="B196" s="27">
        <v>50.0</v>
      </c>
    </row>
    <row r="197">
      <c r="A197" s="25" t="s">
        <v>336</v>
      </c>
      <c r="B197" s="27">
        <v>65.0</v>
      </c>
    </row>
    <row r="198">
      <c r="A198" s="25" t="s">
        <v>337</v>
      </c>
      <c r="B198" s="27">
        <v>50.0</v>
      </c>
    </row>
    <row r="199">
      <c r="A199" s="25" t="s">
        <v>338</v>
      </c>
      <c r="B199" s="27">
        <v>63.0</v>
      </c>
    </row>
    <row r="200">
      <c r="A200" s="25" t="s">
        <v>339</v>
      </c>
      <c r="B200" s="27">
        <v>0.0</v>
      </c>
    </row>
    <row r="201">
      <c r="A201" s="25" t="s">
        <v>340</v>
      </c>
      <c r="B201" s="27">
        <v>58.0</v>
      </c>
    </row>
    <row r="202">
      <c r="A202" s="25" t="s">
        <v>341</v>
      </c>
      <c r="B202" s="27">
        <v>0.0</v>
      </c>
    </row>
    <row r="203">
      <c r="A203" s="25" t="s">
        <v>342</v>
      </c>
      <c r="B203" s="27">
        <v>65.0</v>
      </c>
    </row>
    <row r="204">
      <c r="A204" s="25" t="s">
        <v>343</v>
      </c>
      <c r="B204" s="27">
        <v>84.0</v>
      </c>
    </row>
    <row r="205">
      <c r="A205" s="25" t="s">
        <v>344</v>
      </c>
      <c r="B205" s="27">
        <v>73.0</v>
      </c>
    </row>
    <row r="206">
      <c r="A206" s="25" t="s">
        <v>345</v>
      </c>
      <c r="B206" s="27">
        <v>50.0</v>
      </c>
    </row>
    <row r="207">
      <c r="A207" s="25" t="s">
        <v>346</v>
      </c>
      <c r="B207" s="27">
        <v>63.0</v>
      </c>
    </row>
    <row r="208">
      <c r="A208" s="25" t="s">
        <v>347</v>
      </c>
      <c r="B208" s="27">
        <v>55.0</v>
      </c>
    </row>
    <row r="209">
      <c r="A209" s="25" t="s">
        <v>348</v>
      </c>
      <c r="B209" s="27">
        <v>50.0</v>
      </c>
    </row>
    <row r="210">
      <c r="A210" s="25" t="s">
        <v>349</v>
      </c>
      <c r="B210" s="27">
        <v>0.0</v>
      </c>
    </row>
    <row r="211">
      <c r="A211" s="25" t="s">
        <v>350</v>
      </c>
      <c r="B211" s="27">
        <v>50.0</v>
      </c>
    </row>
    <row r="212">
      <c r="A212" s="25" t="s">
        <v>351</v>
      </c>
      <c r="B212" s="27">
        <v>0.0</v>
      </c>
    </row>
    <row r="213">
      <c r="A213" s="25" t="s">
        <v>352</v>
      </c>
      <c r="B213" s="27">
        <v>0.0</v>
      </c>
    </row>
    <row r="214">
      <c r="A214" s="25" t="s">
        <v>353</v>
      </c>
      <c r="B214" s="27">
        <v>50.0</v>
      </c>
    </row>
    <row r="215">
      <c r="A215" s="25" t="s">
        <v>354</v>
      </c>
      <c r="B215" s="27">
        <v>50.0</v>
      </c>
    </row>
    <row r="216">
      <c r="A216" s="25" t="s">
        <v>355</v>
      </c>
      <c r="B216" s="27">
        <v>50.0</v>
      </c>
    </row>
    <row r="217">
      <c r="A217" s="25" t="s">
        <v>356</v>
      </c>
      <c r="B217" s="27">
        <v>0.0</v>
      </c>
    </row>
    <row r="218">
      <c r="A218" s="25" t="s">
        <v>357</v>
      </c>
      <c r="B218" s="27">
        <v>50.0</v>
      </c>
    </row>
    <row r="219">
      <c r="A219" s="25" t="s">
        <v>358</v>
      </c>
      <c r="B219" s="27">
        <v>66.0</v>
      </c>
    </row>
    <row r="220">
      <c r="A220" s="25" t="s">
        <v>359</v>
      </c>
      <c r="B220" s="27">
        <v>73.0</v>
      </c>
    </row>
    <row r="221">
      <c r="A221" s="25" t="s">
        <v>360</v>
      </c>
      <c r="B221" s="27">
        <v>0.0</v>
      </c>
    </row>
    <row r="222">
      <c r="A222" s="25" t="s">
        <v>361</v>
      </c>
      <c r="B222" s="27">
        <v>50.0</v>
      </c>
    </row>
    <row r="223">
      <c r="A223" s="25" t="s">
        <v>362</v>
      </c>
      <c r="B223" s="27">
        <v>50.0</v>
      </c>
    </row>
    <row r="224">
      <c r="A224" s="25" t="s">
        <v>363</v>
      </c>
      <c r="B224" s="27">
        <v>50.0</v>
      </c>
    </row>
    <row r="225">
      <c r="A225" s="25" t="s">
        <v>364</v>
      </c>
      <c r="B225" s="27">
        <v>63.0</v>
      </c>
    </row>
    <row r="226">
      <c r="A226" s="25" t="s">
        <v>365</v>
      </c>
      <c r="B226" s="27">
        <v>62.0</v>
      </c>
    </row>
    <row r="227">
      <c r="A227" s="25" t="s">
        <v>366</v>
      </c>
      <c r="B227" s="27">
        <v>63.0</v>
      </c>
    </row>
    <row r="228">
      <c r="A228" s="25" t="s">
        <v>367</v>
      </c>
      <c r="B228" s="27">
        <v>62.0</v>
      </c>
    </row>
    <row r="229">
      <c r="A229" s="25" t="s">
        <v>368</v>
      </c>
      <c r="B229" s="27">
        <v>65.0</v>
      </c>
    </row>
    <row r="230">
      <c r="A230" s="25" t="s">
        <v>369</v>
      </c>
      <c r="B230" s="27">
        <v>0.0</v>
      </c>
    </row>
    <row r="231">
      <c r="A231" s="25" t="s">
        <v>370</v>
      </c>
      <c r="B231" s="27">
        <v>71.0</v>
      </c>
    </row>
    <row r="232">
      <c r="A232" s="25" t="s">
        <v>371</v>
      </c>
      <c r="B232" s="27">
        <v>71.0</v>
      </c>
    </row>
    <row r="233">
      <c r="A233" s="25" t="s">
        <v>372</v>
      </c>
      <c r="B233" s="27">
        <v>0.0</v>
      </c>
    </row>
    <row r="234">
      <c r="A234" s="25" t="s">
        <v>373</v>
      </c>
      <c r="B234" s="27">
        <v>71.0</v>
      </c>
    </row>
    <row r="235">
      <c r="A235" s="25" t="s">
        <v>374</v>
      </c>
      <c r="B235" s="27">
        <v>0.0</v>
      </c>
    </row>
    <row r="236">
      <c r="A236" s="25" t="s">
        <v>375</v>
      </c>
      <c r="B236" s="27">
        <v>63.0</v>
      </c>
    </row>
    <row r="237">
      <c r="A237" s="25" t="s">
        <v>376</v>
      </c>
      <c r="B237" s="27">
        <v>63.0</v>
      </c>
    </row>
    <row r="238">
      <c r="A238" s="25" t="s">
        <v>377</v>
      </c>
      <c r="B238" s="27">
        <v>63.0</v>
      </c>
    </row>
    <row r="239">
      <c r="A239" s="25" t="s">
        <v>378</v>
      </c>
      <c r="B239" s="27">
        <v>0.0</v>
      </c>
    </row>
    <row r="240">
      <c r="A240" s="25" t="s">
        <v>379</v>
      </c>
      <c r="B240" s="27">
        <v>0.0</v>
      </c>
    </row>
    <row r="241">
      <c r="A241" s="25" t="s">
        <v>380</v>
      </c>
      <c r="B241" s="27">
        <v>65.0</v>
      </c>
    </row>
    <row r="242">
      <c r="A242" s="30" t="s">
        <v>381</v>
      </c>
      <c r="B242" s="26">
        <v>73.0</v>
      </c>
    </row>
    <row r="243">
      <c r="A243" s="31" t="s">
        <v>382</v>
      </c>
      <c r="B243" s="27">
        <v>50.0</v>
      </c>
    </row>
    <row r="244">
      <c r="A244" s="31" t="s">
        <v>383</v>
      </c>
      <c r="B244" s="27">
        <v>0.0</v>
      </c>
    </row>
    <row r="245">
      <c r="A245" s="31" t="s">
        <v>384</v>
      </c>
      <c r="B245" s="27">
        <v>0.0</v>
      </c>
    </row>
    <row r="246">
      <c r="A246" s="31" t="s">
        <v>385</v>
      </c>
      <c r="B246" s="27">
        <v>0.0</v>
      </c>
    </row>
    <row r="247">
      <c r="A247" s="31" t="s">
        <v>386</v>
      </c>
      <c r="B247" s="27">
        <v>0.0</v>
      </c>
    </row>
    <row r="248">
      <c r="A248" s="31" t="s">
        <v>387</v>
      </c>
      <c r="B248" s="27">
        <v>0.0</v>
      </c>
    </row>
    <row r="249">
      <c r="A249" s="32" t="s">
        <v>388</v>
      </c>
      <c r="B249" s="29">
        <v>0.0</v>
      </c>
    </row>
    <row r="250">
      <c r="A250" s="31" t="s">
        <v>389</v>
      </c>
      <c r="B250" s="27">
        <v>50.0</v>
      </c>
    </row>
    <row r="251">
      <c r="A251" s="31" t="s">
        <v>390</v>
      </c>
      <c r="B251" s="27">
        <v>58.0</v>
      </c>
    </row>
    <row r="252">
      <c r="A252" s="31" t="s">
        <v>391</v>
      </c>
      <c r="B252" s="27">
        <v>87.0</v>
      </c>
    </row>
    <row r="253">
      <c r="A253" s="31" t="s">
        <v>392</v>
      </c>
      <c r="B253" s="27">
        <v>50.0</v>
      </c>
    </row>
    <row r="254">
      <c r="A254" s="31" t="s">
        <v>393</v>
      </c>
      <c r="B254" s="27">
        <v>87.0</v>
      </c>
    </row>
    <row r="255">
      <c r="A255" s="31" t="s">
        <v>394</v>
      </c>
      <c r="B255" s="27">
        <v>56.0</v>
      </c>
    </row>
    <row r="256">
      <c r="A256" s="31" t="s">
        <v>395</v>
      </c>
      <c r="B256" s="27">
        <v>50.0</v>
      </c>
    </row>
    <row r="257">
      <c r="A257" s="31" t="s">
        <v>396</v>
      </c>
      <c r="B257" s="27">
        <v>73.0</v>
      </c>
    </row>
    <row r="258">
      <c r="A258" s="31" t="s">
        <v>397</v>
      </c>
      <c r="B258" s="27">
        <v>57.0</v>
      </c>
    </row>
    <row r="259">
      <c r="A259" s="31" t="s">
        <v>398</v>
      </c>
      <c r="B259" s="27">
        <v>73.0</v>
      </c>
    </row>
    <row r="260">
      <c r="A260" s="31" t="s">
        <v>399</v>
      </c>
      <c r="B260" s="27">
        <v>87.0</v>
      </c>
    </row>
    <row r="261">
      <c r="A261" s="31" t="s">
        <v>400</v>
      </c>
      <c r="B261" s="27">
        <v>73.0</v>
      </c>
    </row>
    <row r="262">
      <c r="A262" s="31" t="s">
        <v>401</v>
      </c>
      <c r="B262" s="27">
        <v>56.0</v>
      </c>
    </row>
    <row r="263">
      <c r="A263" s="31" t="s">
        <v>402</v>
      </c>
      <c r="B263" s="27">
        <v>56.0</v>
      </c>
    </row>
    <row r="264">
      <c r="A264" s="31" t="s">
        <v>403</v>
      </c>
      <c r="B264" s="27">
        <v>0.0</v>
      </c>
    </row>
    <row r="265">
      <c r="A265" s="31" t="s">
        <v>404</v>
      </c>
      <c r="B265" s="27">
        <v>0.0</v>
      </c>
    </row>
    <row r="266">
      <c r="A266" s="31" t="s">
        <v>405</v>
      </c>
      <c r="B266" s="27">
        <v>87.0</v>
      </c>
    </row>
    <row r="267">
      <c r="A267" s="31" t="s">
        <v>406</v>
      </c>
      <c r="B267" s="27">
        <v>0.0</v>
      </c>
    </row>
    <row r="268">
      <c r="A268" s="31" t="s">
        <v>407</v>
      </c>
      <c r="B268" s="27">
        <v>50.0</v>
      </c>
    </row>
    <row r="269">
      <c r="A269" s="31" t="s">
        <v>408</v>
      </c>
      <c r="B269" s="27">
        <v>50.0</v>
      </c>
    </row>
    <row r="270">
      <c r="A270" s="31" t="s">
        <v>409</v>
      </c>
      <c r="B270" s="27">
        <v>73.0</v>
      </c>
    </row>
    <row r="271">
      <c r="A271" s="31" t="s">
        <v>410</v>
      </c>
      <c r="B271" s="27">
        <v>0.0</v>
      </c>
    </row>
    <row r="272">
      <c r="A272" s="31" t="s">
        <v>411</v>
      </c>
      <c r="B272" s="27">
        <v>50.0</v>
      </c>
    </row>
    <row r="273">
      <c r="A273" s="31" t="s">
        <v>412</v>
      </c>
      <c r="B273" s="27">
        <v>87.0</v>
      </c>
    </row>
    <row r="274">
      <c r="A274" s="31" t="s">
        <v>413</v>
      </c>
      <c r="B274" s="27">
        <v>56.0</v>
      </c>
    </row>
    <row r="275">
      <c r="A275" s="31" t="s">
        <v>414</v>
      </c>
      <c r="B275" s="27">
        <v>57.0</v>
      </c>
    </row>
    <row r="276">
      <c r="A276" s="31" t="s">
        <v>415</v>
      </c>
      <c r="B276" s="27">
        <v>58.0</v>
      </c>
    </row>
    <row r="277">
      <c r="A277" s="31" t="s">
        <v>416</v>
      </c>
      <c r="B277" s="27">
        <v>56.0</v>
      </c>
    </row>
    <row r="278">
      <c r="A278" s="31" t="s">
        <v>417</v>
      </c>
      <c r="B278" s="27">
        <v>0.0</v>
      </c>
    </row>
    <row r="279">
      <c r="A279" s="31" t="s">
        <v>418</v>
      </c>
      <c r="B279" s="27">
        <v>0.0</v>
      </c>
    </row>
    <row r="280">
      <c r="A280" s="31" t="s">
        <v>419</v>
      </c>
      <c r="B280" s="27">
        <v>50.0</v>
      </c>
    </row>
    <row r="281">
      <c r="A281" s="31" t="s">
        <v>420</v>
      </c>
      <c r="B281" s="27">
        <v>56.0</v>
      </c>
    </row>
    <row r="282">
      <c r="A282" s="31" t="s">
        <v>421</v>
      </c>
      <c r="B282" s="27">
        <v>50.0</v>
      </c>
    </row>
    <row r="283">
      <c r="A283" s="31" t="s">
        <v>422</v>
      </c>
      <c r="B283" s="27">
        <v>60.0</v>
      </c>
    </row>
    <row r="284">
      <c r="A284" s="31" t="s">
        <v>423</v>
      </c>
      <c r="B284" s="27">
        <v>58.0</v>
      </c>
    </row>
    <row r="285">
      <c r="A285" s="31" t="s">
        <v>424</v>
      </c>
      <c r="B285" s="27">
        <v>58.0</v>
      </c>
    </row>
    <row r="286">
      <c r="A286" s="31" t="s">
        <v>425</v>
      </c>
      <c r="B286" s="27">
        <v>87.0</v>
      </c>
    </row>
    <row r="287">
      <c r="A287" s="31" t="s">
        <v>426</v>
      </c>
      <c r="B287" s="27">
        <v>56.0</v>
      </c>
    </row>
    <row r="288">
      <c r="A288" s="31" t="s">
        <v>427</v>
      </c>
      <c r="B288" s="27">
        <v>50.0</v>
      </c>
    </row>
    <row r="289">
      <c r="A289" s="31" t="s">
        <v>428</v>
      </c>
      <c r="B289" s="27">
        <v>50.0</v>
      </c>
    </row>
    <row r="290">
      <c r="A290" s="31" t="s">
        <v>429</v>
      </c>
      <c r="B290" s="27">
        <v>50.0</v>
      </c>
    </row>
    <row r="291">
      <c r="A291" s="31" t="s">
        <v>430</v>
      </c>
      <c r="B291" s="27">
        <v>57.0</v>
      </c>
    </row>
    <row r="292">
      <c r="A292" s="31" t="s">
        <v>431</v>
      </c>
      <c r="B292" s="27">
        <v>50.0</v>
      </c>
    </row>
    <row r="293">
      <c r="A293" s="31" t="s">
        <v>432</v>
      </c>
      <c r="B293" s="27">
        <v>57.0</v>
      </c>
    </row>
    <row r="294">
      <c r="A294" s="31" t="s">
        <v>433</v>
      </c>
      <c r="B294" s="27">
        <v>50.0</v>
      </c>
    </row>
    <row r="295">
      <c r="A295" s="33" t="s">
        <v>434</v>
      </c>
      <c r="B295" s="27">
        <v>0.0</v>
      </c>
    </row>
    <row r="296">
      <c r="A296" s="31" t="s">
        <v>435</v>
      </c>
      <c r="B296" s="27">
        <v>57.0</v>
      </c>
    </row>
    <row r="297">
      <c r="A297" s="31" t="s">
        <v>436</v>
      </c>
      <c r="B297" s="27">
        <v>0.0</v>
      </c>
    </row>
    <row r="298">
      <c r="A298" s="31" t="s">
        <v>437</v>
      </c>
      <c r="B298" s="27">
        <v>73.0</v>
      </c>
    </row>
    <row r="299">
      <c r="A299" s="31" t="s">
        <v>438</v>
      </c>
      <c r="B299" s="27">
        <v>57.0</v>
      </c>
    </row>
    <row r="300">
      <c r="A300" s="31" t="s">
        <v>439</v>
      </c>
      <c r="B300" s="27">
        <v>50.0</v>
      </c>
    </row>
    <row r="301">
      <c r="A301" s="33" t="s">
        <v>440</v>
      </c>
      <c r="B301" s="27">
        <v>58.0</v>
      </c>
    </row>
    <row r="302">
      <c r="A302" s="31" t="s">
        <v>441</v>
      </c>
      <c r="B302" s="27">
        <v>60.0</v>
      </c>
    </row>
    <row r="303">
      <c r="A303" s="31" t="s">
        <v>442</v>
      </c>
      <c r="B303" s="27">
        <v>50.0</v>
      </c>
    </row>
    <row r="304">
      <c r="A304" s="31" t="s">
        <v>443</v>
      </c>
      <c r="B304" s="27">
        <v>0.0</v>
      </c>
    </row>
    <row r="305">
      <c r="A305" s="31" t="s">
        <v>444</v>
      </c>
      <c r="B305" s="27">
        <v>73.0</v>
      </c>
    </row>
    <row r="306">
      <c r="A306" s="31" t="s">
        <v>445</v>
      </c>
      <c r="B306" s="27">
        <v>65.0</v>
      </c>
    </row>
    <row r="307">
      <c r="A307" s="31" t="s">
        <v>446</v>
      </c>
      <c r="B307" s="27">
        <v>66.0</v>
      </c>
    </row>
    <row r="308">
      <c r="A308" s="31" t="s">
        <v>447</v>
      </c>
      <c r="B308" s="27">
        <v>65.0</v>
      </c>
    </row>
    <row r="309">
      <c r="A309" s="31" t="s">
        <v>448</v>
      </c>
      <c r="B309" s="27">
        <v>0.0</v>
      </c>
    </row>
    <row r="310">
      <c r="A310" s="31" t="s">
        <v>449</v>
      </c>
      <c r="B310" s="27">
        <v>70.0</v>
      </c>
    </row>
    <row r="311">
      <c r="A311" s="31" t="s">
        <v>450</v>
      </c>
      <c r="B311" s="27">
        <v>0.0</v>
      </c>
    </row>
    <row r="312">
      <c r="A312" s="33" t="s">
        <v>451</v>
      </c>
      <c r="B312" s="27">
        <v>0.0</v>
      </c>
    </row>
    <row r="313">
      <c r="A313" s="31" t="s">
        <v>452</v>
      </c>
      <c r="B313" s="27">
        <v>0.0</v>
      </c>
    </row>
    <row r="314">
      <c r="A314" s="31" t="s">
        <v>453</v>
      </c>
      <c r="B314" s="27">
        <v>66.0</v>
      </c>
    </row>
    <row r="315">
      <c r="A315" s="31" t="s">
        <v>454</v>
      </c>
      <c r="B315" s="27">
        <v>81.0</v>
      </c>
    </row>
    <row r="316">
      <c r="A316" s="31" t="s">
        <v>455</v>
      </c>
      <c r="B316" s="27">
        <v>65.0</v>
      </c>
    </row>
    <row r="317">
      <c r="A317" s="31" t="s">
        <v>456</v>
      </c>
      <c r="B317" s="27">
        <v>81.0</v>
      </c>
    </row>
    <row r="318">
      <c r="A318" s="31" t="s">
        <v>457</v>
      </c>
      <c r="B318" s="27">
        <v>65.0</v>
      </c>
    </row>
    <row r="319">
      <c r="A319" s="31" t="s">
        <v>458</v>
      </c>
      <c r="B319" s="27">
        <v>81.0</v>
      </c>
    </row>
    <row r="320">
      <c r="A320" s="31" t="s">
        <v>459</v>
      </c>
      <c r="B320" s="27">
        <v>68.0</v>
      </c>
    </row>
    <row r="321">
      <c r="A321" s="31" t="s">
        <v>460</v>
      </c>
      <c r="B321" s="27">
        <v>53.0</v>
      </c>
    </row>
    <row r="322">
      <c r="A322" s="31" t="s">
        <v>461</v>
      </c>
      <c r="B322" s="27">
        <v>50.0</v>
      </c>
    </row>
    <row r="323">
      <c r="A323" s="31" t="s">
        <v>462</v>
      </c>
      <c r="B323" s="27">
        <v>0.0</v>
      </c>
    </row>
    <row r="324">
      <c r="A324" s="31" t="s">
        <v>463</v>
      </c>
      <c r="B324" s="27">
        <v>0.0</v>
      </c>
    </row>
    <row r="325">
      <c r="A325" s="31" t="s">
        <v>464</v>
      </c>
      <c r="B325" s="27">
        <v>50.0</v>
      </c>
    </row>
    <row r="326">
      <c r="A326" s="31" t="s">
        <v>465</v>
      </c>
      <c r="B326" s="27">
        <v>81.0</v>
      </c>
    </row>
    <row r="327">
      <c r="A327" s="31" t="s">
        <v>466</v>
      </c>
      <c r="B327" s="27">
        <v>66.0</v>
      </c>
    </row>
    <row r="328">
      <c r="A328" s="31" t="s">
        <v>467</v>
      </c>
      <c r="B328" s="27">
        <v>0.0</v>
      </c>
    </row>
    <row r="329">
      <c r="A329" s="31" t="s">
        <v>468</v>
      </c>
      <c r="B329" s="27">
        <v>66.0</v>
      </c>
    </row>
    <row r="330">
      <c r="A330" s="31" t="s">
        <v>469</v>
      </c>
      <c r="B330" s="27">
        <v>50.0</v>
      </c>
    </row>
    <row r="331">
      <c r="A331" s="31" t="s">
        <v>470</v>
      </c>
      <c r="B331" s="27">
        <v>50.0</v>
      </c>
    </row>
    <row r="332">
      <c r="A332" s="31" t="s">
        <v>471</v>
      </c>
      <c r="B332" s="27">
        <v>50.0</v>
      </c>
    </row>
    <row r="333">
      <c r="A333" s="31" t="s">
        <v>472</v>
      </c>
      <c r="B333" s="27">
        <v>0.0</v>
      </c>
    </row>
    <row r="334">
      <c r="A334" s="31" t="s">
        <v>473</v>
      </c>
      <c r="B334" s="27">
        <v>65.0</v>
      </c>
    </row>
    <row r="335">
      <c r="A335" s="31" t="s">
        <v>474</v>
      </c>
      <c r="B335" s="27">
        <v>0.0</v>
      </c>
    </row>
    <row r="336">
      <c r="A336" s="32" t="s">
        <v>475</v>
      </c>
      <c r="B336" s="29">
        <v>0.0</v>
      </c>
    </row>
    <row r="337">
      <c r="A337" s="31" t="s">
        <v>476</v>
      </c>
      <c r="B337" s="27">
        <v>66.0</v>
      </c>
    </row>
    <row r="338">
      <c r="A338" s="31" t="s">
        <v>477</v>
      </c>
      <c r="B338" s="27">
        <v>50.0</v>
      </c>
    </row>
    <row r="339">
      <c r="A339" s="31" t="s">
        <v>478</v>
      </c>
      <c r="B339" s="27">
        <v>56.0</v>
      </c>
    </row>
    <row r="340">
      <c r="A340" s="31" t="s">
        <v>479</v>
      </c>
      <c r="B340" s="27">
        <v>68.0</v>
      </c>
    </row>
    <row r="341">
      <c r="A341" s="31" t="s">
        <v>480</v>
      </c>
      <c r="B341" s="27">
        <v>68.0</v>
      </c>
    </row>
    <row r="342">
      <c r="A342" s="31" t="s">
        <v>481</v>
      </c>
      <c r="B342" s="27">
        <v>50.0</v>
      </c>
    </row>
    <row r="343">
      <c r="A343" s="31" t="s">
        <v>482</v>
      </c>
      <c r="B343" s="27">
        <v>70.0</v>
      </c>
    </row>
    <row r="344">
      <c r="A344" s="31" t="s">
        <v>483</v>
      </c>
      <c r="B344" s="27">
        <v>68.0</v>
      </c>
    </row>
    <row r="345">
      <c r="A345" s="31" t="s">
        <v>484</v>
      </c>
      <c r="B345" s="27">
        <v>70.0</v>
      </c>
    </row>
    <row r="346">
      <c r="A346" s="31" t="s">
        <v>485</v>
      </c>
      <c r="B346" s="27">
        <v>68.0</v>
      </c>
    </row>
    <row r="347">
      <c r="A347" s="31" t="s">
        <v>486</v>
      </c>
      <c r="B347" s="27">
        <v>68.0</v>
      </c>
    </row>
    <row r="348">
      <c r="A348" s="33" t="s">
        <v>487</v>
      </c>
      <c r="B348" s="27">
        <v>0.0</v>
      </c>
    </row>
    <row r="349">
      <c r="A349" s="31" t="s">
        <v>488</v>
      </c>
      <c r="B349" s="27">
        <v>38.0</v>
      </c>
    </row>
    <row r="350">
      <c r="A350" s="31" t="s">
        <v>489</v>
      </c>
      <c r="B350" s="27">
        <v>70.0</v>
      </c>
    </row>
    <row r="351">
      <c r="A351" s="31" t="s">
        <v>490</v>
      </c>
      <c r="B351" s="27">
        <v>70.0</v>
      </c>
    </row>
    <row r="352">
      <c r="A352" s="32" t="s">
        <v>491</v>
      </c>
      <c r="B352" s="29">
        <v>0.0</v>
      </c>
    </row>
    <row r="353">
      <c r="A353" s="31" t="s">
        <v>492</v>
      </c>
      <c r="B353" s="27">
        <v>0.0</v>
      </c>
    </row>
    <row r="354">
      <c r="A354" s="31" t="s">
        <v>493</v>
      </c>
      <c r="B354" s="27">
        <v>0.0</v>
      </c>
    </row>
    <row r="355">
      <c r="A355" s="32" t="s">
        <v>494</v>
      </c>
      <c r="B355" s="29">
        <v>0.0</v>
      </c>
    </row>
    <row r="356">
      <c r="A356" s="31" t="s">
        <v>495</v>
      </c>
      <c r="B356" s="27">
        <v>70.0</v>
      </c>
    </row>
    <row r="357">
      <c r="A357" s="31" t="s">
        <v>496</v>
      </c>
      <c r="B357" s="27">
        <v>70.0</v>
      </c>
    </row>
    <row r="358">
      <c r="A358" s="33" t="s">
        <v>497</v>
      </c>
      <c r="B358" s="27">
        <v>0.0</v>
      </c>
    </row>
    <row r="359">
      <c r="A359" s="31" t="s">
        <v>498</v>
      </c>
      <c r="B359" s="27">
        <v>0.0</v>
      </c>
    </row>
    <row r="360">
      <c r="A360" s="31" t="s">
        <v>499</v>
      </c>
      <c r="B360" s="27">
        <v>0.0</v>
      </c>
    </row>
    <row r="361">
      <c r="A361" s="31" t="s">
        <v>500</v>
      </c>
      <c r="B361" s="27">
        <v>65.0</v>
      </c>
    </row>
    <row r="362">
      <c r="A362" s="31" t="s">
        <v>501</v>
      </c>
      <c r="B362" s="27">
        <v>0.0</v>
      </c>
    </row>
    <row r="363">
      <c r="A363" s="31" t="s">
        <v>502</v>
      </c>
      <c r="B363" s="27">
        <v>0.0</v>
      </c>
    </row>
    <row r="364">
      <c r="A364" s="31" t="s">
        <v>503</v>
      </c>
      <c r="B364" s="27">
        <v>50.0</v>
      </c>
    </row>
    <row r="365">
      <c r="A365" s="31" t="s">
        <v>504</v>
      </c>
      <c r="B365" s="27">
        <v>0.0</v>
      </c>
    </row>
    <row r="366">
      <c r="A366" s="31" t="s">
        <v>505</v>
      </c>
      <c r="B366" s="27">
        <v>70.0</v>
      </c>
    </row>
    <row r="367">
      <c r="A367" s="31" t="s">
        <v>506</v>
      </c>
      <c r="B367" s="27">
        <v>65.0</v>
      </c>
    </row>
    <row r="368">
      <c r="A368" s="31" t="s">
        <v>507</v>
      </c>
      <c r="B368" s="27">
        <v>50.0</v>
      </c>
    </row>
    <row r="369">
      <c r="A369" s="31" t="s">
        <v>508</v>
      </c>
      <c r="B369" s="27">
        <v>81.0</v>
      </c>
    </row>
    <row r="370">
      <c r="A370" s="32" t="s">
        <v>509</v>
      </c>
      <c r="B370" s="29">
        <v>0.0</v>
      </c>
    </row>
    <row r="371">
      <c r="A371" s="31" t="s">
        <v>510</v>
      </c>
      <c r="B371" s="27">
        <v>50.0</v>
      </c>
    </row>
    <row r="372">
      <c r="A372" s="31" t="s">
        <v>511</v>
      </c>
      <c r="B372" s="27">
        <v>72.0</v>
      </c>
    </row>
    <row r="373">
      <c r="A373" s="31" t="s">
        <v>512</v>
      </c>
      <c r="B373" s="27">
        <v>85.0</v>
      </c>
    </row>
    <row r="374">
      <c r="A374" s="31" t="s">
        <v>513</v>
      </c>
      <c r="B374" s="27">
        <v>74.0</v>
      </c>
    </row>
    <row r="375">
      <c r="A375" s="31" t="s">
        <v>514</v>
      </c>
      <c r="B375" s="27">
        <v>87.0</v>
      </c>
    </row>
    <row r="376">
      <c r="A376" s="31" t="s">
        <v>515</v>
      </c>
      <c r="B376" s="27">
        <v>85.0</v>
      </c>
    </row>
    <row r="377">
      <c r="A377" s="31" t="s">
        <v>516</v>
      </c>
      <c r="B377" s="27">
        <v>50.0</v>
      </c>
    </row>
    <row r="378">
      <c r="A378" s="33" t="s">
        <v>517</v>
      </c>
      <c r="B378" s="27">
        <v>0.0</v>
      </c>
    </row>
    <row r="379">
      <c r="A379" s="31" t="s">
        <v>518</v>
      </c>
      <c r="B379" s="27">
        <v>72.0</v>
      </c>
    </row>
    <row r="380">
      <c r="A380" s="32" t="s">
        <v>519</v>
      </c>
      <c r="B380" s="29">
        <v>0.0</v>
      </c>
    </row>
    <row r="381">
      <c r="A381" s="31" t="s">
        <v>520</v>
      </c>
      <c r="B381" s="27">
        <v>0.0</v>
      </c>
    </row>
    <row r="382">
      <c r="A382" s="31" t="s">
        <v>521</v>
      </c>
      <c r="B382" s="27">
        <v>50.0</v>
      </c>
    </row>
    <row r="383">
      <c r="A383" s="31" t="s">
        <v>522</v>
      </c>
      <c r="B383" s="27">
        <v>50.0</v>
      </c>
    </row>
    <row r="384">
      <c r="A384" s="31" t="s">
        <v>523</v>
      </c>
      <c r="B384" s="27">
        <v>50.0</v>
      </c>
    </row>
    <row r="385">
      <c r="A385" s="31" t="s">
        <v>524</v>
      </c>
      <c r="B385" s="27">
        <v>85.0</v>
      </c>
    </row>
    <row r="386">
      <c r="A386" s="31" t="s">
        <v>525</v>
      </c>
      <c r="B386" s="27">
        <v>85.0</v>
      </c>
    </row>
    <row r="387">
      <c r="A387" s="31" t="s">
        <v>526</v>
      </c>
      <c r="B387" s="27">
        <v>0.0</v>
      </c>
    </row>
    <row r="388">
      <c r="A388" s="31" t="s">
        <v>527</v>
      </c>
      <c r="B388" s="27">
        <v>0.0</v>
      </c>
    </row>
    <row r="389">
      <c r="A389" s="31" t="s">
        <v>528</v>
      </c>
      <c r="B389" s="27">
        <v>0.0</v>
      </c>
    </row>
    <row r="390">
      <c r="A390" s="31" t="s">
        <v>529</v>
      </c>
      <c r="B390" s="27">
        <v>50.0</v>
      </c>
    </row>
    <row r="391">
      <c r="A391" s="31" t="s">
        <v>530</v>
      </c>
      <c r="B391" s="27">
        <v>77.0</v>
      </c>
    </row>
    <row r="392">
      <c r="A392" s="31" t="s">
        <v>531</v>
      </c>
      <c r="B392" s="27">
        <v>52.0</v>
      </c>
    </row>
    <row r="393">
      <c r="A393" s="31" t="s">
        <v>532</v>
      </c>
      <c r="B393" s="27">
        <v>72.0</v>
      </c>
    </row>
    <row r="394">
      <c r="A394" s="31" t="s">
        <v>533</v>
      </c>
      <c r="B394" s="27">
        <v>72.0</v>
      </c>
    </row>
    <row r="395">
      <c r="A395" s="31" t="s">
        <v>534</v>
      </c>
      <c r="B395" s="27">
        <v>50.0</v>
      </c>
    </row>
    <row r="396">
      <c r="A396" s="31" t="s">
        <v>535</v>
      </c>
      <c r="B396" s="27">
        <v>50.0</v>
      </c>
    </row>
    <row r="397">
      <c r="A397" s="31" t="s">
        <v>536</v>
      </c>
      <c r="B397" s="27">
        <v>50.0</v>
      </c>
    </row>
    <row r="398">
      <c r="A398" s="31" t="s">
        <v>537</v>
      </c>
      <c r="B398" s="27">
        <v>0.0</v>
      </c>
    </row>
    <row r="399">
      <c r="A399" s="31" t="s">
        <v>538</v>
      </c>
      <c r="B399" s="27">
        <v>75.0</v>
      </c>
    </row>
    <row r="400">
      <c r="A400" s="31" t="s">
        <v>539</v>
      </c>
      <c r="B400" s="27">
        <v>52.0</v>
      </c>
    </row>
    <row r="401">
      <c r="A401" s="31" t="s">
        <v>540</v>
      </c>
      <c r="B401" s="27">
        <v>52.0</v>
      </c>
    </row>
    <row r="402">
      <c r="A402" s="31" t="s">
        <v>541</v>
      </c>
      <c r="B402" s="27">
        <v>50.0</v>
      </c>
    </row>
    <row r="403">
      <c r="A403" s="31" t="s">
        <v>542</v>
      </c>
      <c r="B403" s="27">
        <v>50.0</v>
      </c>
    </row>
    <row r="404">
      <c r="A404" s="31" t="s">
        <v>543</v>
      </c>
      <c r="B404" s="27">
        <v>50.0</v>
      </c>
    </row>
    <row r="405">
      <c r="A405" s="31" t="s">
        <v>544</v>
      </c>
      <c r="B405" s="27">
        <v>50.0</v>
      </c>
    </row>
    <row r="406">
      <c r="A406" s="31" t="s">
        <v>545</v>
      </c>
      <c r="B406" s="27">
        <v>85.0</v>
      </c>
    </row>
    <row r="407">
      <c r="A407" s="31" t="s">
        <v>546</v>
      </c>
      <c r="B407" s="27">
        <v>74.0</v>
      </c>
    </row>
    <row r="408">
      <c r="A408" s="31" t="s">
        <v>547</v>
      </c>
      <c r="B408" s="27">
        <v>50.0</v>
      </c>
    </row>
    <row r="409">
      <c r="A409" s="31" t="s">
        <v>548</v>
      </c>
      <c r="B409" s="27">
        <v>77.0</v>
      </c>
    </row>
    <row r="410">
      <c r="A410" s="31" t="s">
        <v>549</v>
      </c>
      <c r="B410" s="27">
        <v>85.0</v>
      </c>
    </row>
    <row r="411">
      <c r="A411" s="31" t="s">
        <v>550</v>
      </c>
      <c r="B411" s="27">
        <v>75.0</v>
      </c>
    </row>
    <row r="412">
      <c r="A412" s="31" t="s">
        <v>551</v>
      </c>
      <c r="B412" s="27">
        <v>50.0</v>
      </c>
    </row>
    <row r="413">
      <c r="A413" s="31" t="s">
        <v>552</v>
      </c>
      <c r="B413" s="27">
        <v>50.0</v>
      </c>
    </row>
    <row r="414">
      <c r="A414" s="31" t="s">
        <v>553</v>
      </c>
      <c r="B414" s="27">
        <v>75.0</v>
      </c>
    </row>
    <row r="415">
      <c r="A415" s="31" t="s">
        <v>554</v>
      </c>
      <c r="B415" s="27">
        <v>74.0</v>
      </c>
    </row>
    <row r="416">
      <c r="A416" s="31" t="s">
        <v>555</v>
      </c>
      <c r="B416" s="27">
        <v>75.0</v>
      </c>
    </row>
    <row r="417">
      <c r="A417" s="31" t="s">
        <v>556</v>
      </c>
      <c r="B417" s="27">
        <v>72.0</v>
      </c>
    </row>
    <row r="418">
      <c r="A418" s="32" t="s">
        <v>557</v>
      </c>
      <c r="B418" s="29">
        <v>0.0</v>
      </c>
    </row>
    <row r="419">
      <c r="A419" s="31" t="s">
        <v>558</v>
      </c>
      <c r="B419" s="27">
        <v>0.0</v>
      </c>
    </row>
    <row r="420">
      <c r="A420" s="31" t="s">
        <v>559</v>
      </c>
      <c r="B420" s="27">
        <v>74.0</v>
      </c>
    </row>
    <row r="421">
      <c r="A421" s="31" t="s">
        <v>560</v>
      </c>
      <c r="B421" s="27">
        <v>75.0</v>
      </c>
    </row>
    <row r="422">
      <c r="A422" s="31" t="s">
        <v>561</v>
      </c>
      <c r="B422" s="27">
        <v>50.0</v>
      </c>
    </row>
    <row r="423">
      <c r="A423" s="32" t="s">
        <v>562</v>
      </c>
      <c r="B423" s="29">
        <v>0.0</v>
      </c>
    </row>
    <row r="424">
      <c r="A424" s="31" t="s">
        <v>563</v>
      </c>
      <c r="B424" s="27">
        <v>53.0</v>
      </c>
    </row>
    <row r="425">
      <c r="A425" s="31" t="s">
        <v>564</v>
      </c>
      <c r="B425" s="27">
        <v>50.0</v>
      </c>
    </row>
    <row r="426">
      <c r="A426" s="31" t="s">
        <v>565</v>
      </c>
      <c r="B426" s="27">
        <v>50.0</v>
      </c>
    </row>
    <row r="427">
      <c r="A427" s="31" t="s">
        <v>566</v>
      </c>
      <c r="B427" s="27">
        <v>72.0</v>
      </c>
    </row>
    <row r="428">
      <c r="A428" s="31" t="s">
        <v>567</v>
      </c>
      <c r="B428" s="27">
        <v>0.0</v>
      </c>
    </row>
    <row r="429">
      <c r="A429" s="31" t="s">
        <v>568</v>
      </c>
      <c r="B429" s="27">
        <v>72.0</v>
      </c>
    </row>
    <row r="430">
      <c r="A430" s="31" t="s">
        <v>569</v>
      </c>
      <c r="B430" s="27">
        <v>50.0</v>
      </c>
    </row>
    <row r="431">
      <c r="A431" s="31" t="s">
        <v>570</v>
      </c>
      <c r="B431" s="27">
        <v>50.0</v>
      </c>
    </row>
    <row r="432">
      <c r="A432" s="32" t="s">
        <v>571</v>
      </c>
      <c r="B432" s="29">
        <v>0.0</v>
      </c>
    </row>
    <row r="433">
      <c r="A433" s="31" t="s">
        <v>572</v>
      </c>
      <c r="B433" s="27">
        <v>56.0</v>
      </c>
    </row>
    <row r="434">
      <c r="A434" s="31" t="s">
        <v>573</v>
      </c>
      <c r="B434" s="27">
        <v>70.0</v>
      </c>
    </row>
    <row r="435">
      <c r="A435" s="31" t="s">
        <v>574</v>
      </c>
      <c r="B435" s="27">
        <v>88.0</v>
      </c>
    </row>
    <row r="436">
      <c r="A436" s="31" t="s">
        <v>575</v>
      </c>
      <c r="B436" s="27">
        <v>61.0</v>
      </c>
    </row>
    <row r="437">
      <c r="A437" s="31" t="s">
        <v>576</v>
      </c>
      <c r="B437" s="27">
        <v>88.0</v>
      </c>
    </row>
    <row r="438">
      <c r="A438" s="31" t="s">
        <v>577</v>
      </c>
      <c r="B438" s="27">
        <v>64.0</v>
      </c>
    </row>
    <row r="439">
      <c r="A439" s="31" t="s">
        <v>578</v>
      </c>
      <c r="B439" s="27">
        <v>67.0</v>
      </c>
    </row>
    <row r="440">
      <c r="A440" s="31" t="s">
        <v>579</v>
      </c>
      <c r="B440" s="27">
        <v>68.0</v>
      </c>
    </row>
    <row r="441">
      <c r="A441" s="31" t="s">
        <v>580</v>
      </c>
      <c r="B441" s="27">
        <v>72.0</v>
      </c>
    </row>
    <row r="442">
      <c r="A442" s="31" t="s">
        <v>581</v>
      </c>
      <c r="B442" s="27">
        <v>59.0</v>
      </c>
    </row>
    <row r="443">
      <c r="A443" s="31" t="s">
        <v>582</v>
      </c>
      <c r="B443" s="27">
        <v>0.0</v>
      </c>
    </row>
    <row r="444">
      <c r="A444" s="31" t="s">
        <v>583</v>
      </c>
      <c r="B444" s="27">
        <v>67.0</v>
      </c>
    </row>
    <row r="445">
      <c r="A445" s="31" t="s">
        <v>584</v>
      </c>
      <c r="B445" s="27">
        <v>61.0</v>
      </c>
    </row>
    <row r="446">
      <c r="A446" s="31" t="s">
        <v>585</v>
      </c>
      <c r="B446" s="27">
        <v>88.0</v>
      </c>
    </row>
    <row r="447">
      <c r="A447" s="32" t="s">
        <v>586</v>
      </c>
      <c r="B447" s="29">
        <v>0.0</v>
      </c>
    </row>
    <row r="448">
      <c r="A448" s="31" t="s">
        <v>587</v>
      </c>
      <c r="B448" s="27">
        <v>64.0</v>
      </c>
    </row>
    <row r="449">
      <c r="A449" s="31" t="s">
        <v>588</v>
      </c>
      <c r="B449" s="27">
        <v>56.0</v>
      </c>
    </row>
    <row r="450">
      <c r="A450" s="31" t="s">
        <v>589</v>
      </c>
      <c r="B450" s="27">
        <v>75.0</v>
      </c>
    </row>
    <row r="451">
      <c r="A451" s="31" t="s">
        <v>590</v>
      </c>
      <c r="B451" s="27">
        <v>56.0</v>
      </c>
    </row>
    <row r="452">
      <c r="A452" s="31" t="s">
        <v>591</v>
      </c>
      <c r="B452" s="27">
        <v>88.0</v>
      </c>
    </row>
    <row r="453">
      <c r="A453" s="31" t="s">
        <v>592</v>
      </c>
      <c r="B453" s="27">
        <v>64.0</v>
      </c>
    </row>
    <row r="454">
      <c r="A454" s="31" t="s">
        <v>593</v>
      </c>
      <c r="B454" s="27">
        <v>0.0</v>
      </c>
    </row>
    <row r="455">
      <c r="A455" s="32" t="s">
        <v>594</v>
      </c>
      <c r="B455" s="29">
        <v>0.0</v>
      </c>
    </row>
    <row r="456">
      <c r="A456" s="31" t="s">
        <v>595</v>
      </c>
      <c r="B456" s="27">
        <v>70.0</v>
      </c>
    </row>
    <row r="457">
      <c r="A457" s="31" t="s">
        <v>596</v>
      </c>
      <c r="B457" s="27">
        <v>67.0</v>
      </c>
    </row>
    <row r="458">
      <c r="A458" s="33" t="s">
        <v>597</v>
      </c>
      <c r="B458" s="27">
        <v>64.0</v>
      </c>
    </row>
    <row r="459">
      <c r="A459" s="31" t="s">
        <v>598</v>
      </c>
      <c r="B459" s="27">
        <v>56.0</v>
      </c>
    </row>
    <row r="460">
      <c r="A460" s="31" t="s">
        <v>599</v>
      </c>
      <c r="B460" s="27">
        <v>64.0</v>
      </c>
    </row>
    <row r="461">
      <c r="A461" s="31" t="s">
        <v>600</v>
      </c>
      <c r="B461" s="27">
        <v>72.0</v>
      </c>
    </row>
    <row r="462">
      <c r="A462" s="31" t="s">
        <v>601</v>
      </c>
      <c r="B462" s="27">
        <v>0.0</v>
      </c>
    </row>
    <row r="463">
      <c r="A463" s="31" t="s">
        <v>602</v>
      </c>
      <c r="B463" s="27">
        <v>88.0</v>
      </c>
    </row>
    <row r="464">
      <c r="A464" s="31" t="s">
        <v>603</v>
      </c>
      <c r="B464" s="27">
        <v>56.0</v>
      </c>
    </row>
    <row r="465">
      <c r="A465" s="31" t="s">
        <v>604</v>
      </c>
      <c r="B465" s="27">
        <v>67.0</v>
      </c>
    </row>
    <row r="466">
      <c r="A466" s="31" t="s">
        <v>605</v>
      </c>
      <c r="B466" s="27">
        <v>0.0</v>
      </c>
    </row>
    <row r="467">
      <c r="A467" s="31" t="s">
        <v>606</v>
      </c>
      <c r="B467" s="27">
        <v>64.0</v>
      </c>
    </row>
    <row r="468">
      <c r="A468" s="31" t="s">
        <v>607</v>
      </c>
      <c r="B468" s="27">
        <v>72.0</v>
      </c>
    </row>
    <row r="469">
      <c r="A469" s="31" t="s">
        <v>608</v>
      </c>
      <c r="B469" s="27">
        <v>0.0</v>
      </c>
    </row>
    <row r="470">
      <c r="A470" s="33" t="s">
        <v>609</v>
      </c>
      <c r="B470" s="27">
        <v>0.0</v>
      </c>
    </row>
    <row r="471">
      <c r="A471" s="31" t="s">
        <v>610</v>
      </c>
      <c r="B471" s="27">
        <v>0.0</v>
      </c>
    </row>
    <row r="472">
      <c r="A472" s="31" t="s">
        <v>611</v>
      </c>
      <c r="B472" s="27">
        <v>61.0</v>
      </c>
    </row>
    <row r="473">
      <c r="A473" s="31" t="s">
        <v>612</v>
      </c>
      <c r="B473" s="27">
        <v>81.0</v>
      </c>
    </row>
    <row r="474">
      <c r="A474" s="31" t="s">
        <v>613</v>
      </c>
      <c r="B474" s="27">
        <v>61.0</v>
      </c>
    </row>
    <row r="475">
      <c r="A475" s="31" t="s">
        <v>614</v>
      </c>
      <c r="B475" s="27">
        <v>82.0</v>
      </c>
    </row>
    <row r="476">
      <c r="A476" s="31" t="s">
        <v>615</v>
      </c>
      <c r="B476" s="27">
        <v>75.0</v>
      </c>
    </row>
    <row r="477">
      <c r="A477" s="31" t="s">
        <v>616</v>
      </c>
      <c r="B477" s="27">
        <v>64.0</v>
      </c>
    </row>
    <row r="478">
      <c r="A478" s="31" t="s">
        <v>617</v>
      </c>
      <c r="B478" s="27">
        <v>61.0</v>
      </c>
    </row>
    <row r="479">
      <c r="A479" s="32" t="s">
        <v>618</v>
      </c>
      <c r="B479" s="29">
        <v>0.0</v>
      </c>
    </row>
    <row r="480">
      <c r="A480" s="31" t="s">
        <v>619</v>
      </c>
      <c r="B480" s="27">
        <v>0.0</v>
      </c>
    </row>
    <row r="481">
      <c r="A481" s="31" t="s">
        <v>620</v>
      </c>
      <c r="B481" s="27">
        <v>64.0</v>
      </c>
    </row>
    <row r="482">
      <c r="A482" s="32" t="s">
        <v>621</v>
      </c>
      <c r="B482" s="29">
        <v>0.0</v>
      </c>
    </row>
    <row r="483">
      <c r="A483" s="31" t="s">
        <v>622</v>
      </c>
      <c r="B483" s="27">
        <v>61.0</v>
      </c>
    </row>
    <row r="484">
      <c r="A484" s="31" t="s">
        <v>623</v>
      </c>
      <c r="B484" s="27">
        <v>72.0</v>
      </c>
    </row>
    <row r="485">
      <c r="A485" s="31" t="s">
        <v>624</v>
      </c>
      <c r="B485" s="27">
        <v>79.0</v>
      </c>
    </row>
    <row r="486">
      <c r="A486" s="31" t="s">
        <v>625</v>
      </c>
      <c r="B486" s="27">
        <v>64.0</v>
      </c>
    </row>
    <row r="487">
      <c r="A487" s="31" t="s">
        <v>626</v>
      </c>
      <c r="B487" s="27">
        <v>0.0</v>
      </c>
    </row>
    <row r="488">
      <c r="A488" s="31" t="s">
        <v>627</v>
      </c>
      <c r="B488" s="27">
        <v>0.0</v>
      </c>
    </row>
    <row r="489">
      <c r="A489" s="31" t="s">
        <v>628</v>
      </c>
      <c r="B489" s="27">
        <v>50.0</v>
      </c>
    </row>
    <row r="490">
      <c r="A490" s="31" t="s">
        <v>629</v>
      </c>
      <c r="B490" s="27">
        <v>61.0</v>
      </c>
    </row>
    <row r="491">
      <c r="A491" s="31" t="s">
        <v>630</v>
      </c>
      <c r="B491" s="27">
        <v>64.0</v>
      </c>
    </row>
    <row r="492">
      <c r="A492" s="31" t="s">
        <v>631</v>
      </c>
      <c r="B492" s="27">
        <v>79.0</v>
      </c>
    </row>
    <row r="493">
      <c r="A493" s="32" t="s">
        <v>632</v>
      </c>
      <c r="B493" s="29">
        <v>0.0</v>
      </c>
    </row>
    <row r="494">
      <c r="A494" s="31" t="s">
        <v>633</v>
      </c>
      <c r="B494" s="27">
        <v>0.0</v>
      </c>
    </row>
    <row r="495">
      <c r="A495" s="31" t="s">
        <v>634</v>
      </c>
      <c r="B495" s="27">
        <v>81.0</v>
      </c>
    </row>
    <row r="496">
      <c r="A496" s="31" t="s">
        <v>635</v>
      </c>
      <c r="B496" s="27">
        <v>52.0</v>
      </c>
    </row>
    <row r="497">
      <c r="A497" s="31" t="s">
        <v>636</v>
      </c>
      <c r="B497" s="27">
        <v>79.0</v>
      </c>
    </row>
    <row r="498">
      <c r="A498" s="31" t="s">
        <v>637</v>
      </c>
      <c r="B498" s="27">
        <v>0.0</v>
      </c>
    </row>
    <row r="499">
      <c r="A499" s="31" t="s">
        <v>638</v>
      </c>
      <c r="B499" s="27">
        <v>56.0</v>
      </c>
    </row>
    <row r="500">
      <c r="A500" s="31" t="s">
        <v>639</v>
      </c>
      <c r="B500" s="27">
        <v>56.0</v>
      </c>
    </row>
    <row r="501">
      <c r="A501" s="31" t="s">
        <v>640</v>
      </c>
      <c r="B501" s="27">
        <v>56.0</v>
      </c>
    </row>
    <row r="502">
      <c r="A502" s="31" t="s">
        <v>641</v>
      </c>
      <c r="B502" s="27">
        <v>56.0</v>
      </c>
    </row>
    <row r="503">
      <c r="A503" s="31" t="s">
        <v>642</v>
      </c>
      <c r="B503" s="27">
        <v>56.0</v>
      </c>
    </row>
    <row r="504">
      <c r="A504" s="31" t="s">
        <v>643</v>
      </c>
      <c r="B504" s="27">
        <v>50.0</v>
      </c>
    </row>
    <row r="505">
      <c r="A505" s="31" t="s">
        <v>644</v>
      </c>
      <c r="B505" s="27">
        <v>50.0</v>
      </c>
    </row>
    <row r="506">
      <c r="A506" s="31" t="s">
        <v>645</v>
      </c>
      <c r="B506" s="27">
        <v>0.0</v>
      </c>
    </row>
    <row r="507">
      <c r="A507" s="31" t="s">
        <v>646</v>
      </c>
      <c r="B507" s="27">
        <v>0.0</v>
      </c>
    </row>
    <row r="508">
      <c r="A508" s="31" t="s">
        <v>647</v>
      </c>
      <c r="B508" s="27">
        <v>0.0</v>
      </c>
    </row>
    <row r="509">
      <c r="A509" s="31" t="s">
        <v>648</v>
      </c>
      <c r="B509" s="27">
        <v>81.0</v>
      </c>
    </row>
    <row r="510">
      <c r="A510" s="31" t="s">
        <v>649</v>
      </c>
      <c r="B510" s="27">
        <v>74.0</v>
      </c>
    </row>
    <row r="511">
      <c r="A511" s="31" t="s">
        <v>650</v>
      </c>
      <c r="B511" s="27">
        <v>0.0</v>
      </c>
    </row>
    <row r="512">
      <c r="A512" s="31" t="s">
        <v>651</v>
      </c>
      <c r="B512" s="27">
        <v>74.0</v>
      </c>
    </row>
    <row r="513">
      <c r="A513" s="31" t="s">
        <v>652</v>
      </c>
      <c r="B513" s="27">
        <v>0.0</v>
      </c>
    </row>
    <row r="514">
      <c r="A514" s="31" t="s">
        <v>653</v>
      </c>
      <c r="B514" s="27">
        <v>50.0</v>
      </c>
    </row>
    <row r="515">
      <c r="A515" s="31" t="s">
        <v>654</v>
      </c>
      <c r="B515" s="27">
        <v>0.0</v>
      </c>
    </row>
    <row r="516">
      <c r="A516" s="31" t="s">
        <v>655</v>
      </c>
      <c r="B516" s="27">
        <v>0.0</v>
      </c>
    </row>
    <row r="517">
      <c r="A517" s="31" t="s">
        <v>654</v>
      </c>
      <c r="B517" s="27">
        <v>0.0</v>
      </c>
    </row>
    <row r="518">
      <c r="A518" s="32" t="s">
        <v>656</v>
      </c>
      <c r="B518" s="29">
        <v>0.0</v>
      </c>
    </row>
    <row r="519">
      <c r="A519" s="31" t="s">
        <v>657</v>
      </c>
      <c r="B519" s="27">
        <v>0.0</v>
      </c>
    </row>
    <row r="520">
      <c r="A520" s="31" t="s">
        <v>658</v>
      </c>
      <c r="B520" s="27">
        <v>0.0</v>
      </c>
    </row>
    <row r="521">
      <c r="A521" s="31" t="s">
        <v>1351</v>
      </c>
      <c r="B521" s="27">
        <v>0.0</v>
      </c>
    </row>
    <row r="522">
      <c r="A522" s="30" t="s">
        <v>659</v>
      </c>
      <c r="B522" s="26">
        <v>0.0</v>
      </c>
    </row>
    <row r="523">
      <c r="A523" s="31" t="s">
        <v>660</v>
      </c>
      <c r="B523" s="27">
        <v>72.0</v>
      </c>
    </row>
    <row r="524">
      <c r="A524" s="31" t="s">
        <v>661</v>
      </c>
      <c r="B524" s="27">
        <v>55.0</v>
      </c>
    </row>
    <row r="525">
      <c r="A525" s="31" t="s">
        <v>662</v>
      </c>
      <c r="B525" s="27">
        <v>50.0</v>
      </c>
    </row>
    <row r="526">
      <c r="A526" s="31" t="s">
        <v>663</v>
      </c>
      <c r="B526" s="27">
        <v>50.0</v>
      </c>
    </row>
    <row r="527">
      <c r="A527" s="31" t="s">
        <v>664</v>
      </c>
      <c r="B527" s="27">
        <v>50.0</v>
      </c>
    </row>
    <row r="528">
      <c r="A528" s="31" t="s">
        <v>665</v>
      </c>
      <c r="B528" s="27">
        <v>50.0</v>
      </c>
    </row>
    <row r="529">
      <c r="A529" s="31" t="s">
        <v>666</v>
      </c>
      <c r="B529" s="27">
        <v>50.0</v>
      </c>
    </row>
    <row r="530">
      <c r="A530" s="31" t="s">
        <v>667</v>
      </c>
      <c r="B530" s="27">
        <v>50.0</v>
      </c>
    </row>
    <row r="531">
      <c r="A531" s="31" t="s">
        <v>668</v>
      </c>
      <c r="B531" s="27">
        <v>55.0</v>
      </c>
    </row>
    <row r="532">
      <c r="A532" s="31" t="s">
        <v>669</v>
      </c>
      <c r="B532" s="27">
        <v>81.0</v>
      </c>
    </row>
    <row r="533">
      <c r="A533" s="31" t="s">
        <v>670</v>
      </c>
      <c r="B533" s="27">
        <v>50.0</v>
      </c>
    </row>
    <row r="534">
      <c r="A534" s="31" t="s">
        <v>671</v>
      </c>
      <c r="B534" s="27">
        <v>70.0</v>
      </c>
    </row>
    <row r="535">
      <c r="A535" s="31" t="s">
        <v>672</v>
      </c>
      <c r="B535" s="27">
        <v>84.0</v>
      </c>
    </row>
    <row r="536">
      <c r="A536" s="31" t="s">
        <v>673</v>
      </c>
      <c r="B536" s="27">
        <v>55.0</v>
      </c>
    </row>
    <row r="537">
      <c r="A537" s="31" t="s">
        <v>674</v>
      </c>
      <c r="B537" s="27">
        <v>70.0</v>
      </c>
    </row>
    <row r="538">
      <c r="A538" s="31" t="s">
        <v>675</v>
      </c>
      <c r="B538" s="27">
        <v>78.0</v>
      </c>
    </row>
    <row r="539">
      <c r="A539" s="31" t="s">
        <v>676</v>
      </c>
      <c r="B539" s="27">
        <v>84.0</v>
      </c>
    </row>
    <row r="540">
      <c r="A540" s="31" t="s">
        <v>677</v>
      </c>
      <c r="B540" s="27">
        <v>84.0</v>
      </c>
    </row>
    <row r="541">
      <c r="A541" s="31" t="s">
        <v>678</v>
      </c>
      <c r="B541" s="27">
        <v>0.0</v>
      </c>
    </row>
    <row r="542">
      <c r="A542" s="31" t="s">
        <v>679</v>
      </c>
      <c r="B542" s="27">
        <v>55.0</v>
      </c>
    </row>
    <row r="543">
      <c r="A543" s="31" t="s">
        <v>680</v>
      </c>
      <c r="B543" s="27">
        <v>50.0</v>
      </c>
    </row>
    <row r="544">
      <c r="A544" s="31" t="s">
        <v>681</v>
      </c>
      <c r="B544" s="27">
        <v>50.0</v>
      </c>
    </row>
    <row r="545">
      <c r="A545" s="31" t="s">
        <v>682</v>
      </c>
      <c r="B545" s="27">
        <v>50.0</v>
      </c>
    </row>
    <row r="546">
      <c r="A546" s="31" t="s">
        <v>683</v>
      </c>
      <c r="B546" s="27">
        <v>70.0</v>
      </c>
    </row>
    <row r="547">
      <c r="A547" s="31" t="s">
        <v>684</v>
      </c>
      <c r="B547" s="27">
        <v>50.0</v>
      </c>
    </row>
    <row r="548">
      <c r="A548" s="31" t="s">
        <v>685</v>
      </c>
      <c r="B548" s="27">
        <v>50.0</v>
      </c>
    </row>
    <row r="549">
      <c r="A549" s="31" t="s">
        <v>686</v>
      </c>
      <c r="B549" s="27">
        <v>70.0</v>
      </c>
    </row>
    <row r="550">
      <c r="A550" s="31" t="s">
        <v>687</v>
      </c>
      <c r="B550" s="27">
        <v>50.0</v>
      </c>
    </row>
    <row r="551">
      <c r="A551" s="31" t="s">
        <v>688</v>
      </c>
      <c r="B551" s="27">
        <v>50.0</v>
      </c>
    </row>
    <row r="552">
      <c r="A552" s="31" t="s">
        <v>689</v>
      </c>
      <c r="B552" s="27">
        <v>55.0</v>
      </c>
    </row>
    <row r="553">
      <c r="A553" s="31" t="s">
        <v>690</v>
      </c>
      <c r="B553" s="27">
        <v>58.0</v>
      </c>
    </row>
    <row r="554">
      <c r="A554" s="31" t="s">
        <v>691</v>
      </c>
      <c r="B554" s="27">
        <v>0.0</v>
      </c>
    </row>
    <row r="555">
      <c r="A555" s="31" t="s">
        <v>692</v>
      </c>
      <c r="B555" s="27">
        <v>55.0</v>
      </c>
    </row>
    <row r="556">
      <c r="A556" s="31" t="s">
        <v>693</v>
      </c>
      <c r="B556" s="27">
        <v>70.0</v>
      </c>
    </row>
    <row r="557">
      <c r="A557" s="31" t="s">
        <v>694</v>
      </c>
      <c r="B557" s="27">
        <v>50.0</v>
      </c>
    </row>
    <row r="558">
      <c r="A558" s="31" t="s">
        <v>695</v>
      </c>
      <c r="B558" s="27">
        <v>78.0</v>
      </c>
    </row>
    <row r="559">
      <c r="A559" s="31" t="s">
        <v>696</v>
      </c>
      <c r="B559" s="27">
        <v>55.0</v>
      </c>
    </row>
    <row r="560">
      <c r="A560" s="31" t="s">
        <v>697</v>
      </c>
      <c r="B560" s="27">
        <v>84.0</v>
      </c>
    </row>
    <row r="561">
      <c r="A561" s="31" t="s">
        <v>698</v>
      </c>
      <c r="B561" s="27">
        <v>50.0</v>
      </c>
    </row>
    <row r="562">
      <c r="A562" s="31" t="s">
        <v>699</v>
      </c>
      <c r="B562" s="27">
        <v>55.0</v>
      </c>
    </row>
    <row r="563">
      <c r="A563" s="31" t="s">
        <v>700</v>
      </c>
      <c r="B563" s="27">
        <v>55.0</v>
      </c>
    </row>
    <row r="564">
      <c r="A564" s="31" t="s">
        <v>701</v>
      </c>
      <c r="B564" s="27">
        <v>81.0</v>
      </c>
    </row>
    <row r="565">
      <c r="A565" s="32" t="s">
        <v>702</v>
      </c>
      <c r="B565" s="29">
        <v>0.0</v>
      </c>
    </row>
    <row r="566">
      <c r="A566" s="31" t="s">
        <v>703</v>
      </c>
      <c r="B566" s="27">
        <v>58.0</v>
      </c>
    </row>
    <row r="567">
      <c r="A567" s="31" t="s">
        <v>704</v>
      </c>
      <c r="B567" s="27">
        <v>50.0</v>
      </c>
    </row>
    <row r="568">
      <c r="A568" s="31" t="s">
        <v>705</v>
      </c>
      <c r="B568" s="27">
        <v>0.0</v>
      </c>
    </row>
    <row r="569">
      <c r="A569" s="31" t="s">
        <v>706</v>
      </c>
      <c r="B569" s="27">
        <v>50.0</v>
      </c>
    </row>
    <row r="570">
      <c r="A570" s="31" t="s">
        <v>707</v>
      </c>
      <c r="B570" s="27">
        <v>50.0</v>
      </c>
    </row>
    <row r="571">
      <c r="A571" s="31" t="s">
        <v>708</v>
      </c>
      <c r="B571" s="27">
        <v>50.0</v>
      </c>
    </row>
    <row r="572">
      <c r="A572" s="31" t="s">
        <v>709</v>
      </c>
      <c r="B572" s="27">
        <v>55.0</v>
      </c>
    </row>
    <row r="573">
      <c r="A573" s="31" t="s">
        <v>710</v>
      </c>
      <c r="B573" s="27">
        <v>55.0</v>
      </c>
    </row>
    <row r="574">
      <c r="A574" s="31" t="s">
        <v>711</v>
      </c>
      <c r="B574" s="27">
        <v>0.0</v>
      </c>
    </row>
    <row r="575">
      <c r="A575" s="31" t="s">
        <v>712</v>
      </c>
      <c r="B575" s="27">
        <v>55.0</v>
      </c>
    </row>
    <row r="576">
      <c r="A576" s="31" t="s">
        <v>713</v>
      </c>
      <c r="B576" s="27">
        <v>55.0</v>
      </c>
    </row>
    <row r="577">
      <c r="A577" s="31" t="s">
        <v>714</v>
      </c>
      <c r="B577" s="27">
        <v>50.0</v>
      </c>
    </row>
    <row r="578">
      <c r="A578" s="31" t="s">
        <v>715</v>
      </c>
      <c r="B578" s="27">
        <v>81.0</v>
      </c>
    </row>
    <row r="579">
      <c r="A579" s="31" t="s">
        <v>716</v>
      </c>
      <c r="B579" s="27">
        <v>58.0</v>
      </c>
    </row>
    <row r="580">
      <c r="A580" s="31" t="s">
        <v>717</v>
      </c>
      <c r="B580" s="27">
        <v>0.0</v>
      </c>
    </row>
    <row r="581">
      <c r="A581" s="31" t="s">
        <v>718</v>
      </c>
      <c r="B581" s="27">
        <v>50.0</v>
      </c>
    </row>
    <row r="582">
      <c r="A582" s="31" t="s">
        <v>719</v>
      </c>
      <c r="B582" s="27">
        <v>50.0</v>
      </c>
    </row>
    <row r="583">
      <c r="A583" s="31" t="s">
        <v>720</v>
      </c>
      <c r="B583" s="27">
        <v>84.0</v>
      </c>
    </row>
    <row r="584">
      <c r="A584" s="31" t="s">
        <v>721</v>
      </c>
      <c r="B584" s="27">
        <v>84.0</v>
      </c>
    </row>
    <row r="585">
      <c r="A585" s="31" t="s">
        <v>722</v>
      </c>
      <c r="B585" s="27">
        <v>84.0</v>
      </c>
    </row>
    <row r="586">
      <c r="A586" s="31" t="s">
        <v>723</v>
      </c>
      <c r="B586" s="27">
        <v>0.0</v>
      </c>
    </row>
    <row r="587">
      <c r="A587" s="31" t="s">
        <v>724</v>
      </c>
      <c r="B587" s="27">
        <v>50.0</v>
      </c>
    </row>
    <row r="588">
      <c r="A588" s="32" t="s">
        <v>725</v>
      </c>
      <c r="B588" s="29">
        <v>0.0</v>
      </c>
    </row>
    <row r="589">
      <c r="A589" s="31" t="s">
        <v>726</v>
      </c>
      <c r="B589" s="27">
        <v>84.0</v>
      </c>
    </row>
    <row r="590">
      <c r="A590" s="31" t="s">
        <v>727</v>
      </c>
      <c r="B590" s="27">
        <v>66.0</v>
      </c>
    </row>
    <row r="591">
      <c r="A591" s="31" t="s">
        <v>728</v>
      </c>
      <c r="B591" s="27">
        <v>62.0</v>
      </c>
    </row>
    <row r="592">
      <c r="A592" s="31" t="s">
        <v>729</v>
      </c>
      <c r="B592" s="27">
        <v>0.0</v>
      </c>
    </row>
    <row r="593">
      <c r="A593" s="31" t="s">
        <v>730</v>
      </c>
      <c r="B593" s="27">
        <v>62.0</v>
      </c>
    </row>
    <row r="594">
      <c r="A594" s="31" t="s">
        <v>731</v>
      </c>
      <c r="B594" s="27">
        <v>62.0</v>
      </c>
    </row>
    <row r="595">
      <c r="A595" s="31" t="s">
        <v>732</v>
      </c>
      <c r="B595" s="27">
        <v>0.0</v>
      </c>
    </row>
    <row r="596">
      <c r="A596" s="31" t="s">
        <v>733</v>
      </c>
      <c r="B596" s="27">
        <v>0.0</v>
      </c>
    </row>
    <row r="597">
      <c r="A597" s="31" t="s">
        <v>734</v>
      </c>
      <c r="B597" s="27">
        <v>50.0</v>
      </c>
    </row>
    <row r="598">
      <c r="A598" s="31" t="s">
        <v>735</v>
      </c>
      <c r="B598" s="27">
        <v>82.0</v>
      </c>
    </row>
    <row r="599">
      <c r="A599" s="31" t="s">
        <v>736</v>
      </c>
      <c r="B599" s="27">
        <v>90.0</v>
      </c>
    </row>
    <row r="600">
      <c r="A600" s="31" t="s">
        <v>737</v>
      </c>
      <c r="B600" s="27">
        <v>81.0</v>
      </c>
    </row>
    <row r="601">
      <c r="A601" s="31" t="s">
        <v>738</v>
      </c>
      <c r="B601" s="27">
        <v>50.0</v>
      </c>
    </row>
    <row r="602">
      <c r="A602" s="31" t="s">
        <v>739</v>
      </c>
      <c r="B602" s="27">
        <v>63.0</v>
      </c>
    </row>
    <row r="603">
      <c r="A603" s="31" t="s">
        <v>740</v>
      </c>
      <c r="B603" s="27">
        <v>62.0</v>
      </c>
    </row>
    <row r="604">
      <c r="A604" s="31" t="s">
        <v>741</v>
      </c>
      <c r="B604" s="27">
        <v>90.0</v>
      </c>
    </row>
    <row r="605">
      <c r="A605" s="31" t="s">
        <v>742</v>
      </c>
      <c r="B605" s="27">
        <v>50.0</v>
      </c>
    </row>
    <row r="606">
      <c r="A606" s="31" t="s">
        <v>743</v>
      </c>
      <c r="B606" s="27">
        <v>62.0</v>
      </c>
    </row>
    <row r="607">
      <c r="A607" s="31" t="s">
        <v>744</v>
      </c>
      <c r="B607" s="27">
        <v>50.0</v>
      </c>
    </row>
    <row r="608">
      <c r="A608" s="31" t="s">
        <v>745</v>
      </c>
      <c r="B608" s="27">
        <v>90.0</v>
      </c>
    </row>
    <row r="609">
      <c r="A609" s="31" t="s">
        <v>746</v>
      </c>
      <c r="B609" s="27">
        <v>82.0</v>
      </c>
    </row>
    <row r="610">
      <c r="A610" s="31" t="s">
        <v>747</v>
      </c>
      <c r="B610" s="27">
        <v>62.0</v>
      </c>
    </row>
    <row r="611">
      <c r="A611" s="31" t="s">
        <v>748</v>
      </c>
      <c r="B611" s="27">
        <v>81.0</v>
      </c>
    </row>
    <row r="612">
      <c r="A612" s="31" t="s">
        <v>749</v>
      </c>
      <c r="B612" s="27">
        <v>84.0</v>
      </c>
    </row>
    <row r="613">
      <c r="A613" s="31" t="s">
        <v>750</v>
      </c>
      <c r="B613" s="27">
        <v>82.0</v>
      </c>
    </row>
    <row r="614">
      <c r="A614" s="31" t="s">
        <v>751</v>
      </c>
      <c r="B614" s="27">
        <v>81.0</v>
      </c>
    </row>
    <row r="615">
      <c r="A615" s="31" t="s">
        <v>752</v>
      </c>
      <c r="B615" s="27">
        <v>84.0</v>
      </c>
    </row>
    <row r="616">
      <c r="A616" s="31" t="s">
        <v>753</v>
      </c>
      <c r="B616" s="27">
        <v>81.0</v>
      </c>
    </row>
    <row r="617">
      <c r="A617" s="31" t="s">
        <v>754</v>
      </c>
      <c r="B617" s="27">
        <v>82.0</v>
      </c>
    </row>
    <row r="618">
      <c r="A618" s="31" t="s">
        <v>755</v>
      </c>
      <c r="B618" s="27">
        <v>0.0</v>
      </c>
    </row>
    <row r="619">
      <c r="A619" s="31" t="s">
        <v>756</v>
      </c>
      <c r="B619" s="27">
        <v>50.0</v>
      </c>
    </row>
    <row r="620">
      <c r="A620" s="31" t="s">
        <v>757</v>
      </c>
      <c r="B620" s="27">
        <v>62.0</v>
      </c>
    </row>
    <row r="621">
      <c r="A621" s="31" t="s">
        <v>758</v>
      </c>
      <c r="B621" s="27">
        <v>0.0</v>
      </c>
    </row>
    <row r="622">
      <c r="A622" s="31" t="s">
        <v>759</v>
      </c>
      <c r="B622" s="27">
        <v>50.0</v>
      </c>
    </row>
    <row r="623">
      <c r="A623" s="31" t="s">
        <v>760</v>
      </c>
      <c r="B623" s="27">
        <v>0.0</v>
      </c>
    </row>
    <row r="624">
      <c r="A624" s="31" t="s">
        <v>761</v>
      </c>
      <c r="B624" s="27">
        <v>62.0</v>
      </c>
    </row>
    <row r="625">
      <c r="A625" s="31" t="s">
        <v>762</v>
      </c>
      <c r="B625" s="27">
        <v>0.0</v>
      </c>
    </row>
    <row r="626">
      <c r="A626" s="31" t="s">
        <v>763</v>
      </c>
      <c r="B626" s="27">
        <v>82.0</v>
      </c>
    </row>
    <row r="627">
      <c r="A627" s="31" t="s">
        <v>764</v>
      </c>
      <c r="B627" s="27">
        <v>63.0</v>
      </c>
    </row>
    <row r="628">
      <c r="A628" s="31" t="s">
        <v>765</v>
      </c>
      <c r="B628" s="27">
        <v>90.0</v>
      </c>
    </row>
    <row r="629">
      <c r="A629" s="31" t="s">
        <v>766</v>
      </c>
      <c r="B629" s="27">
        <v>62.0</v>
      </c>
    </row>
    <row r="630">
      <c r="A630" s="31" t="s">
        <v>767</v>
      </c>
      <c r="B630" s="27">
        <v>62.0</v>
      </c>
    </row>
    <row r="631">
      <c r="A631" s="31" t="s">
        <v>768</v>
      </c>
      <c r="B631" s="27">
        <v>50.0</v>
      </c>
    </row>
    <row r="632">
      <c r="A632" s="31" t="s">
        <v>769</v>
      </c>
      <c r="B632" s="27">
        <v>90.0</v>
      </c>
    </row>
    <row r="633">
      <c r="A633" s="31" t="s">
        <v>770</v>
      </c>
      <c r="B633" s="27">
        <v>84.0</v>
      </c>
    </row>
    <row r="634">
      <c r="A634" s="31" t="s">
        <v>771</v>
      </c>
      <c r="B634" s="27">
        <v>81.0</v>
      </c>
    </row>
    <row r="635">
      <c r="A635" s="31" t="s">
        <v>772</v>
      </c>
      <c r="B635" s="27">
        <v>0.0</v>
      </c>
    </row>
    <row r="636">
      <c r="A636" s="31" t="s">
        <v>773</v>
      </c>
      <c r="B636" s="27">
        <v>62.0</v>
      </c>
    </row>
    <row r="637">
      <c r="A637" s="31" t="s">
        <v>774</v>
      </c>
      <c r="B637" s="27">
        <v>81.0</v>
      </c>
    </row>
    <row r="638">
      <c r="A638" s="31" t="s">
        <v>775</v>
      </c>
      <c r="B638" s="27">
        <v>50.0</v>
      </c>
    </row>
    <row r="639">
      <c r="A639" s="31" t="s">
        <v>776</v>
      </c>
      <c r="B639" s="27">
        <v>55.0</v>
      </c>
    </row>
    <row r="640">
      <c r="A640" s="31" t="s">
        <v>777</v>
      </c>
      <c r="B640" s="27">
        <v>55.0</v>
      </c>
    </row>
    <row r="641">
      <c r="A641" s="31" t="s">
        <v>778</v>
      </c>
      <c r="B641" s="27">
        <v>81.0</v>
      </c>
    </row>
    <row r="642">
      <c r="A642" s="31" t="s">
        <v>779</v>
      </c>
      <c r="B642" s="27">
        <v>84.0</v>
      </c>
    </row>
    <row r="643">
      <c r="A643" s="31" t="s">
        <v>780</v>
      </c>
      <c r="B643" s="27">
        <v>50.0</v>
      </c>
    </row>
    <row r="644">
      <c r="A644" s="31" t="s">
        <v>781</v>
      </c>
      <c r="B644" s="27">
        <v>50.0</v>
      </c>
    </row>
    <row r="645">
      <c r="A645" s="31" t="s">
        <v>782</v>
      </c>
      <c r="B645" s="27">
        <v>90.0</v>
      </c>
    </row>
    <row r="646">
      <c r="A646" s="31" t="s">
        <v>783</v>
      </c>
      <c r="B646" s="27">
        <v>81.0</v>
      </c>
    </row>
    <row r="647">
      <c r="A647" s="31" t="s">
        <v>784</v>
      </c>
      <c r="B647" s="27">
        <v>50.0</v>
      </c>
    </row>
    <row r="648">
      <c r="A648" s="31" t="s">
        <v>785</v>
      </c>
      <c r="B648" s="27">
        <v>84.0</v>
      </c>
    </row>
    <row r="649">
      <c r="A649" s="31" t="s">
        <v>786</v>
      </c>
      <c r="B649" s="27">
        <v>50.0</v>
      </c>
    </row>
    <row r="650">
      <c r="A650" s="31" t="s">
        <v>787</v>
      </c>
      <c r="B650" s="27">
        <v>62.0</v>
      </c>
    </row>
    <row r="651">
      <c r="A651" s="31" t="s">
        <v>788</v>
      </c>
      <c r="B651" s="27">
        <v>81.0</v>
      </c>
    </row>
    <row r="652">
      <c r="A652" s="31" t="s">
        <v>789</v>
      </c>
      <c r="B652" s="27">
        <v>50.0</v>
      </c>
    </row>
    <row r="653">
      <c r="A653" s="31" t="s">
        <v>790</v>
      </c>
      <c r="B653" s="27">
        <v>82.0</v>
      </c>
    </row>
    <row r="654">
      <c r="A654" s="31" t="s">
        <v>791</v>
      </c>
      <c r="B654" s="27">
        <v>81.0</v>
      </c>
    </row>
    <row r="655">
      <c r="A655" s="31" t="s">
        <v>792</v>
      </c>
      <c r="B655" s="27">
        <v>58.0</v>
      </c>
    </row>
    <row r="656">
      <c r="A656" s="31" t="s">
        <v>793</v>
      </c>
      <c r="B656" s="27">
        <v>81.0</v>
      </c>
    </row>
    <row r="657">
      <c r="A657" s="31" t="s">
        <v>794</v>
      </c>
      <c r="B657" s="27">
        <v>84.0</v>
      </c>
    </row>
    <row r="658">
      <c r="A658" s="31" t="s">
        <v>795</v>
      </c>
      <c r="B658" s="27">
        <v>50.0</v>
      </c>
    </row>
    <row r="659">
      <c r="A659" s="31" t="s">
        <v>796</v>
      </c>
      <c r="B659" s="27">
        <v>50.0</v>
      </c>
    </row>
    <row r="660">
      <c r="A660" s="31" t="s">
        <v>797</v>
      </c>
      <c r="B660" s="27">
        <v>72.0</v>
      </c>
    </row>
    <row r="661">
      <c r="A661" s="31" t="s">
        <v>798</v>
      </c>
      <c r="B661" s="27">
        <v>72.0</v>
      </c>
    </row>
    <row r="662">
      <c r="A662" s="31" t="s">
        <v>799</v>
      </c>
      <c r="B662" s="27">
        <v>60.0</v>
      </c>
    </row>
    <row r="663">
      <c r="A663" s="31" t="s">
        <v>800</v>
      </c>
      <c r="B663" s="27">
        <v>65.0</v>
      </c>
    </row>
    <row r="664">
      <c r="A664" s="31" t="s">
        <v>801</v>
      </c>
      <c r="B664" s="27">
        <v>72.0</v>
      </c>
    </row>
    <row r="665">
      <c r="A665" s="31" t="s">
        <v>802</v>
      </c>
      <c r="B665" s="27">
        <v>60.0</v>
      </c>
    </row>
    <row r="666">
      <c r="A666" s="31" t="s">
        <v>803</v>
      </c>
      <c r="B666" s="27">
        <v>63.0</v>
      </c>
    </row>
    <row r="667">
      <c r="A667" s="31" t="s">
        <v>804</v>
      </c>
      <c r="B667" s="27">
        <v>57.0</v>
      </c>
    </row>
    <row r="668">
      <c r="A668" s="31" t="s">
        <v>805</v>
      </c>
      <c r="B668" s="27">
        <v>72.0</v>
      </c>
    </row>
    <row r="669">
      <c r="A669" s="31" t="s">
        <v>806</v>
      </c>
      <c r="B669" s="27">
        <v>72.0</v>
      </c>
    </row>
    <row r="670">
      <c r="A670" s="31" t="s">
        <v>807</v>
      </c>
      <c r="B670" s="27">
        <v>0.0</v>
      </c>
    </row>
    <row r="671">
      <c r="A671" s="32" t="s">
        <v>808</v>
      </c>
      <c r="B671" s="29">
        <v>0.0</v>
      </c>
    </row>
    <row r="672">
      <c r="A672" s="31" t="s">
        <v>809</v>
      </c>
      <c r="B672" s="27">
        <v>0.0</v>
      </c>
    </row>
    <row r="673">
      <c r="A673" s="31" t="s">
        <v>810</v>
      </c>
      <c r="B673" s="27">
        <v>50.0</v>
      </c>
    </row>
    <row r="674">
      <c r="A674" s="31" t="s">
        <v>811</v>
      </c>
      <c r="B674" s="27">
        <v>84.0</v>
      </c>
    </row>
    <row r="675">
      <c r="A675" s="31" t="s">
        <v>812</v>
      </c>
      <c r="B675" s="27">
        <v>71.0</v>
      </c>
    </row>
    <row r="676">
      <c r="A676" s="31" t="s">
        <v>813</v>
      </c>
      <c r="B676" s="27">
        <v>84.0</v>
      </c>
    </row>
    <row r="677">
      <c r="A677" s="31" t="s">
        <v>814</v>
      </c>
      <c r="B677" s="27">
        <v>57.0</v>
      </c>
    </row>
    <row r="678">
      <c r="A678" s="32" t="s">
        <v>815</v>
      </c>
      <c r="B678" s="29">
        <v>0.0</v>
      </c>
    </row>
    <row r="679">
      <c r="A679" s="31" t="s">
        <v>816</v>
      </c>
      <c r="B679" s="27">
        <v>63.0</v>
      </c>
    </row>
    <row r="680">
      <c r="A680" s="31" t="s">
        <v>817</v>
      </c>
      <c r="B680" s="27">
        <v>63.0</v>
      </c>
    </row>
    <row r="681">
      <c r="A681" s="31" t="s">
        <v>818</v>
      </c>
      <c r="B681" s="27">
        <v>61.0</v>
      </c>
    </row>
    <row r="682">
      <c r="A682" s="31" t="s">
        <v>819</v>
      </c>
      <c r="B682" s="27">
        <v>57.0</v>
      </c>
    </row>
    <row r="683">
      <c r="A683" s="31" t="s">
        <v>820</v>
      </c>
      <c r="B683" s="27">
        <v>78.0</v>
      </c>
    </row>
    <row r="684">
      <c r="A684" s="31" t="s">
        <v>821</v>
      </c>
      <c r="B684" s="27">
        <v>78.0</v>
      </c>
    </row>
    <row r="685">
      <c r="A685" s="31" t="s">
        <v>822</v>
      </c>
      <c r="B685" s="27">
        <v>84.0</v>
      </c>
    </row>
    <row r="686">
      <c r="A686" s="31" t="s">
        <v>823</v>
      </c>
      <c r="B686" s="27">
        <v>57.0</v>
      </c>
    </row>
    <row r="687">
      <c r="A687" s="31" t="s">
        <v>824</v>
      </c>
      <c r="B687" s="27">
        <v>65.0</v>
      </c>
    </row>
    <row r="688">
      <c r="A688" s="31" t="s">
        <v>825</v>
      </c>
      <c r="B688" s="27">
        <v>0.0</v>
      </c>
    </row>
    <row r="689">
      <c r="A689" s="31" t="s">
        <v>826</v>
      </c>
      <c r="B689" s="27">
        <v>60.0</v>
      </c>
    </row>
    <row r="690">
      <c r="A690" s="31" t="s">
        <v>827</v>
      </c>
      <c r="B690" s="27">
        <v>60.0</v>
      </c>
    </row>
    <row r="691">
      <c r="A691" s="31" t="s">
        <v>828</v>
      </c>
      <c r="B691" s="27">
        <v>78.0</v>
      </c>
    </row>
    <row r="692">
      <c r="A692" s="31" t="s">
        <v>829</v>
      </c>
      <c r="B692" s="27">
        <v>81.0</v>
      </c>
    </row>
    <row r="693">
      <c r="A693" s="31" t="s">
        <v>830</v>
      </c>
      <c r="B693" s="27">
        <v>72.0</v>
      </c>
    </row>
    <row r="694">
      <c r="A694" s="31" t="s">
        <v>831</v>
      </c>
      <c r="B694" s="27">
        <v>84.0</v>
      </c>
    </row>
    <row r="695">
      <c r="A695" s="31" t="s">
        <v>832</v>
      </c>
      <c r="B695" s="27">
        <v>71.0</v>
      </c>
    </row>
    <row r="696">
      <c r="A696" s="31" t="s">
        <v>833</v>
      </c>
      <c r="B696" s="27">
        <v>71.0</v>
      </c>
    </row>
    <row r="697">
      <c r="A697" s="31" t="s">
        <v>834</v>
      </c>
      <c r="B697" s="27">
        <v>61.0</v>
      </c>
    </row>
    <row r="698">
      <c r="A698" s="31" t="s">
        <v>835</v>
      </c>
      <c r="B698" s="27">
        <v>57.0</v>
      </c>
    </row>
    <row r="699">
      <c r="A699" s="31" t="s">
        <v>836</v>
      </c>
      <c r="B699" s="27">
        <v>0.0</v>
      </c>
    </row>
    <row r="700">
      <c r="A700" s="31" t="s">
        <v>837</v>
      </c>
      <c r="B700" s="27">
        <v>0.0</v>
      </c>
    </row>
    <row r="701">
      <c r="A701" s="31" t="s">
        <v>838</v>
      </c>
      <c r="B701" s="27">
        <v>60.0</v>
      </c>
    </row>
    <row r="702">
      <c r="A702" s="31" t="s">
        <v>839</v>
      </c>
      <c r="B702" s="27">
        <v>82.0</v>
      </c>
    </row>
    <row r="703">
      <c r="A703" s="31" t="s">
        <v>840</v>
      </c>
      <c r="B703" s="27">
        <v>63.0</v>
      </c>
    </row>
    <row r="704">
      <c r="A704" s="31" t="s">
        <v>841</v>
      </c>
      <c r="B704" s="27">
        <v>57.0</v>
      </c>
    </row>
    <row r="705">
      <c r="A705" s="31" t="s">
        <v>842</v>
      </c>
      <c r="B705" s="27">
        <v>60.0</v>
      </c>
    </row>
    <row r="706">
      <c r="A706" s="31" t="s">
        <v>843</v>
      </c>
      <c r="B706" s="27">
        <v>71.0</v>
      </c>
    </row>
    <row r="707">
      <c r="A707" s="31" t="s">
        <v>844</v>
      </c>
      <c r="B707" s="27">
        <v>50.0</v>
      </c>
    </row>
    <row r="708">
      <c r="A708" s="31" t="s">
        <v>845</v>
      </c>
      <c r="B708" s="27">
        <v>81.0</v>
      </c>
    </row>
    <row r="709">
      <c r="A709" s="31" t="s">
        <v>846</v>
      </c>
      <c r="B709" s="27">
        <v>65.0</v>
      </c>
    </row>
    <row r="710">
      <c r="A710" s="31" t="s">
        <v>847</v>
      </c>
      <c r="B710" s="27">
        <v>65.0</v>
      </c>
    </row>
    <row r="711">
      <c r="A711" s="31" t="s">
        <v>848</v>
      </c>
      <c r="B711" s="27">
        <v>82.0</v>
      </c>
    </row>
    <row r="712">
      <c r="A712" s="31" t="s">
        <v>849</v>
      </c>
      <c r="B712" s="27">
        <v>0.0</v>
      </c>
    </row>
    <row r="713">
      <c r="A713" s="31" t="s">
        <v>850</v>
      </c>
      <c r="B713" s="27">
        <v>78.0</v>
      </c>
    </row>
    <row r="714">
      <c r="A714" s="31" t="s">
        <v>851</v>
      </c>
      <c r="B714" s="27">
        <v>63.0</v>
      </c>
    </row>
    <row r="715">
      <c r="A715" s="32" t="s">
        <v>852</v>
      </c>
      <c r="B715" s="29">
        <v>0.0</v>
      </c>
    </row>
    <row r="716">
      <c r="A716" s="31" t="s">
        <v>853</v>
      </c>
      <c r="B716" s="27">
        <v>65.0</v>
      </c>
    </row>
    <row r="717">
      <c r="A717" s="31" t="s">
        <v>854</v>
      </c>
      <c r="B717" s="27">
        <v>65.0</v>
      </c>
    </row>
    <row r="718">
      <c r="A718" s="31" t="s">
        <v>855</v>
      </c>
      <c r="B718" s="27">
        <v>0.0</v>
      </c>
    </row>
    <row r="719">
      <c r="A719" s="32" t="s">
        <v>856</v>
      </c>
      <c r="B719" s="29">
        <v>0.0</v>
      </c>
    </row>
    <row r="720">
      <c r="A720" s="31" t="s">
        <v>857</v>
      </c>
      <c r="B720" s="27">
        <v>57.0</v>
      </c>
    </row>
    <row r="721">
      <c r="A721" s="31" t="s">
        <v>858</v>
      </c>
      <c r="B721" s="27">
        <v>71.0</v>
      </c>
    </row>
    <row r="722">
      <c r="A722" s="31" t="s">
        <v>859</v>
      </c>
      <c r="B722" s="27">
        <v>57.0</v>
      </c>
    </row>
    <row r="723">
      <c r="A723" s="31" t="s">
        <v>860</v>
      </c>
      <c r="B723" s="27">
        <v>82.0</v>
      </c>
    </row>
    <row r="724">
      <c r="A724" s="31" t="s">
        <v>1339</v>
      </c>
      <c r="B724" s="27">
        <v>78.0</v>
      </c>
    </row>
    <row r="725">
      <c r="A725" s="31" t="s">
        <v>1249</v>
      </c>
      <c r="B725" s="27">
        <v>50.0</v>
      </c>
    </row>
    <row r="726">
      <c r="A726" s="31" t="s">
        <v>863</v>
      </c>
      <c r="B726" s="27">
        <v>0.0</v>
      </c>
    </row>
    <row r="727">
      <c r="A727" s="31" t="s">
        <v>861</v>
      </c>
      <c r="B727" s="27">
        <v>65.0</v>
      </c>
    </row>
    <row r="728">
      <c r="A728" s="31" t="s">
        <v>864</v>
      </c>
      <c r="B728" s="27">
        <v>84.0</v>
      </c>
    </row>
    <row r="729">
      <c r="A729" s="31" t="s">
        <v>1340</v>
      </c>
      <c r="B729" s="27">
        <v>50.0</v>
      </c>
    </row>
    <row r="730">
      <c r="A730" s="31" t="s">
        <v>865</v>
      </c>
      <c r="B730" s="27">
        <v>50.0</v>
      </c>
    </row>
    <row r="731">
      <c r="A731" s="31" t="s">
        <v>866</v>
      </c>
      <c r="B731" s="27">
        <v>50.0</v>
      </c>
    </row>
    <row r="732">
      <c r="A732" s="31" t="s">
        <v>867</v>
      </c>
      <c r="B732" s="27">
        <v>58.0</v>
      </c>
    </row>
    <row r="733">
      <c r="A733" s="32" t="s">
        <v>868</v>
      </c>
      <c r="B733" s="29">
        <v>0.0</v>
      </c>
    </row>
    <row r="734">
      <c r="A734" s="32" t="s">
        <v>1353</v>
      </c>
      <c r="B734" s="29">
        <v>50.0</v>
      </c>
    </row>
    <row r="735">
      <c r="A735" s="31" t="s">
        <v>870</v>
      </c>
      <c r="B735" s="27">
        <v>50.0</v>
      </c>
    </row>
    <row r="736">
      <c r="A736" s="31" t="s">
        <v>871</v>
      </c>
      <c r="B736" s="27">
        <v>55.0</v>
      </c>
    </row>
    <row r="737">
      <c r="A737" s="31" t="s">
        <v>872</v>
      </c>
      <c r="B737" s="27">
        <v>55.0</v>
      </c>
    </row>
    <row r="738">
      <c r="A738" s="31" t="s">
        <v>873</v>
      </c>
      <c r="B738" s="27">
        <v>0.0</v>
      </c>
    </row>
    <row r="739">
      <c r="A739" s="31" t="s">
        <v>1341</v>
      </c>
      <c r="B739" s="27">
        <v>0.0</v>
      </c>
    </row>
    <row r="740">
      <c r="A740" s="32" t="s">
        <v>875</v>
      </c>
      <c r="B740" s="29">
        <v>0.0</v>
      </c>
    </row>
    <row r="741">
      <c r="A741" s="31" t="s">
        <v>876</v>
      </c>
      <c r="B741" s="27">
        <v>71.0</v>
      </c>
    </row>
    <row r="742">
      <c r="A742" s="31" t="s">
        <v>877</v>
      </c>
      <c r="B742" s="27">
        <v>50.0</v>
      </c>
    </row>
    <row r="743">
      <c r="A743" s="31" t="s">
        <v>878</v>
      </c>
      <c r="B743" s="27">
        <v>50.0</v>
      </c>
    </row>
    <row r="744">
      <c r="A744" s="31" t="s">
        <v>879</v>
      </c>
      <c r="B744" s="27">
        <v>0.0</v>
      </c>
    </row>
    <row r="745">
      <c r="A745" s="31" t="s">
        <v>880</v>
      </c>
      <c r="B745" s="27">
        <v>50.0</v>
      </c>
    </row>
    <row r="746">
      <c r="A746" s="31" t="s">
        <v>881</v>
      </c>
      <c r="B746" s="27">
        <v>50.0</v>
      </c>
    </row>
    <row r="747">
      <c r="A747" s="31" t="s">
        <v>882</v>
      </c>
      <c r="B747" s="27">
        <v>55.0</v>
      </c>
    </row>
    <row r="748">
      <c r="A748" s="30" t="s">
        <v>883</v>
      </c>
      <c r="B748" s="26">
        <v>50.0</v>
      </c>
    </row>
    <row r="749">
      <c r="A749" s="31" t="s">
        <v>884</v>
      </c>
      <c r="B749" s="27">
        <v>60.0</v>
      </c>
    </row>
    <row r="750">
      <c r="A750" s="31" t="s">
        <v>885</v>
      </c>
      <c r="B750" s="27">
        <v>50.0</v>
      </c>
    </row>
    <row r="751">
      <c r="A751" s="31" t="s">
        <v>886</v>
      </c>
      <c r="B751" s="27">
        <v>50.0</v>
      </c>
    </row>
    <row r="752">
      <c r="A752" s="31" t="s">
        <v>887</v>
      </c>
      <c r="B752" s="27">
        <v>50.0</v>
      </c>
    </row>
    <row r="753">
      <c r="A753" s="31" t="s">
        <v>888</v>
      </c>
      <c r="B753" s="27">
        <v>0.0</v>
      </c>
    </row>
    <row r="754">
      <c r="A754" s="31" t="s">
        <v>889</v>
      </c>
      <c r="B754" s="27">
        <v>0.0</v>
      </c>
    </row>
    <row r="755">
      <c r="A755" s="31" t="s">
        <v>890</v>
      </c>
      <c r="B755" s="27">
        <v>65.0</v>
      </c>
    </row>
    <row r="756">
      <c r="A756" s="31" t="s">
        <v>891</v>
      </c>
      <c r="B756" s="27">
        <v>81.0</v>
      </c>
    </row>
    <row r="757">
      <c r="A757" s="31" t="s">
        <v>892</v>
      </c>
      <c r="B757" s="27">
        <v>0.0</v>
      </c>
    </row>
    <row r="758">
      <c r="A758" s="31" t="s">
        <v>893</v>
      </c>
      <c r="B758" s="27">
        <v>0.0</v>
      </c>
    </row>
    <row r="759">
      <c r="A759" s="31" t="s">
        <v>894</v>
      </c>
      <c r="B759" s="27">
        <v>55.0</v>
      </c>
    </row>
    <row r="760">
      <c r="A760" s="31" t="s">
        <v>895</v>
      </c>
      <c r="B760" s="27">
        <v>72.0</v>
      </c>
    </row>
    <row r="761">
      <c r="A761" s="31" t="s">
        <v>896</v>
      </c>
      <c r="B761" s="27">
        <v>0.0</v>
      </c>
    </row>
    <row r="762">
      <c r="A762" s="31" t="s">
        <v>897</v>
      </c>
      <c r="B762" s="27">
        <v>0.0</v>
      </c>
    </row>
    <row r="763">
      <c r="A763" s="31" t="s">
        <v>898</v>
      </c>
      <c r="B763" s="27">
        <v>0.0</v>
      </c>
    </row>
    <row r="764">
      <c r="A764" s="31" t="s">
        <v>899</v>
      </c>
      <c r="B764" s="27">
        <v>65.0</v>
      </c>
    </row>
    <row r="765">
      <c r="A765" s="31" t="s">
        <v>900</v>
      </c>
      <c r="B765" s="27">
        <v>50.0</v>
      </c>
    </row>
    <row r="766">
      <c r="A766" s="31" t="s">
        <v>901</v>
      </c>
      <c r="B766" s="27">
        <v>72.0</v>
      </c>
    </row>
    <row r="767">
      <c r="A767" s="31" t="s">
        <v>902</v>
      </c>
      <c r="B767" s="27">
        <v>72.0</v>
      </c>
    </row>
    <row r="768">
      <c r="A768" s="31" t="s">
        <v>903</v>
      </c>
      <c r="B768" s="27">
        <v>0.0</v>
      </c>
    </row>
    <row r="769">
      <c r="A769" s="31" t="s">
        <v>904</v>
      </c>
      <c r="B769" s="27">
        <v>65.0</v>
      </c>
    </row>
    <row r="770">
      <c r="A770" s="31" t="s">
        <v>905</v>
      </c>
      <c r="B770" s="27">
        <v>81.0</v>
      </c>
    </row>
    <row r="771">
      <c r="A771" s="31" t="s">
        <v>906</v>
      </c>
      <c r="B771" s="27">
        <v>60.0</v>
      </c>
    </row>
    <row r="772">
      <c r="A772" s="31" t="s">
        <v>907</v>
      </c>
      <c r="B772" s="27">
        <v>50.0</v>
      </c>
    </row>
    <row r="773">
      <c r="A773" s="31" t="s">
        <v>908</v>
      </c>
      <c r="B773" s="27">
        <v>0.0</v>
      </c>
    </row>
    <row r="774">
      <c r="A774" s="31" t="s">
        <v>909</v>
      </c>
      <c r="B774" s="27">
        <v>50.0</v>
      </c>
    </row>
    <row r="775">
      <c r="A775" s="31" t="s">
        <v>910</v>
      </c>
      <c r="B775" s="27">
        <v>81.0</v>
      </c>
    </row>
    <row r="776">
      <c r="A776" s="31" t="s">
        <v>911</v>
      </c>
      <c r="B776" s="27">
        <v>50.0</v>
      </c>
    </row>
    <row r="777">
      <c r="A777" s="31" t="s">
        <v>912</v>
      </c>
      <c r="B777" s="27">
        <v>50.0</v>
      </c>
    </row>
    <row r="778">
      <c r="A778" s="31" t="s">
        <v>913</v>
      </c>
      <c r="B778" s="27">
        <v>0.0</v>
      </c>
    </row>
    <row r="779">
      <c r="A779" s="31" t="s">
        <v>914</v>
      </c>
      <c r="B779" s="27">
        <v>83.0</v>
      </c>
    </row>
    <row r="780">
      <c r="A780" s="31" t="s">
        <v>915</v>
      </c>
      <c r="B780" s="27">
        <v>81.0</v>
      </c>
    </row>
    <row r="781">
      <c r="A781" s="31" t="s">
        <v>916</v>
      </c>
      <c r="B781" s="27">
        <v>50.0</v>
      </c>
    </row>
    <row r="782">
      <c r="A782" s="31" t="s">
        <v>917</v>
      </c>
      <c r="B782" s="27">
        <v>50.0</v>
      </c>
    </row>
    <row r="783">
      <c r="A783" s="31" t="s">
        <v>918</v>
      </c>
      <c r="B783" s="27">
        <v>50.0</v>
      </c>
    </row>
    <row r="784">
      <c r="A784" s="31" t="s">
        <v>919</v>
      </c>
      <c r="B784" s="27">
        <v>83.0</v>
      </c>
    </row>
    <row r="785">
      <c r="A785" s="31" t="s">
        <v>920</v>
      </c>
      <c r="B785" s="27">
        <v>83.0</v>
      </c>
    </row>
    <row r="786">
      <c r="A786" s="31" t="s">
        <v>921</v>
      </c>
      <c r="B786" s="27">
        <v>50.0</v>
      </c>
    </row>
    <row r="787">
      <c r="A787" s="31" t="s">
        <v>922</v>
      </c>
      <c r="B787" s="27">
        <v>65.0</v>
      </c>
    </row>
    <row r="788">
      <c r="A788" s="31" t="s">
        <v>923</v>
      </c>
      <c r="B788" s="27">
        <v>50.0</v>
      </c>
    </row>
    <row r="789">
      <c r="A789" s="31" t="s">
        <v>924</v>
      </c>
      <c r="B789" s="27">
        <v>83.0</v>
      </c>
    </row>
    <row r="790">
      <c r="A790" s="31" t="s">
        <v>925</v>
      </c>
      <c r="B790" s="27">
        <v>50.0</v>
      </c>
    </row>
    <row r="791">
      <c r="A791" s="31" t="s">
        <v>926</v>
      </c>
      <c r="B791" s="27">
        <v>50.0</v>
      </c>
    </row>
    <row r="792">
      <c r="A792" s="31" t="s">
        <v>927</v>
      </c>
      <c r="B792" s="27">
        <v>50.0</v>
      </c>
    </row>
    <row r="793">
      <c r="A793" s="31" t="s">
        <v>928</v>
      </c>
      <c r="B793" s="27">
        <v>50.0</v>
      </c>
    </row>
    <row r="794">
      <c r="A794" s="31" t="s">
        <v>929</v>
      </c>
      <c r="B794" s="27">
        <v>0.0</v>
      </c>
    </row>
    <row r="795">
      <c r="A795" s="31" t="s">
        <v>930</v>
      </c>
      <c r="B795" s="27">
        <v>50.0</v>
      </c>
    </row>
    <row r="796">
      <c r="A796" s="31" t="s">
        <v>931</v>
      </c>
      <c r="B796" s="27">
        <v>81.0</v>
      </c>
    </row>
    <row r="797">
      <c r="A797" s="31" t="s">
        <v>932</v>
      </c>
      <c r="B797" s="27">
        <v>55.0</v>
      </c>
    </row>
    <row r="798">
      <c r="A798" s="31" t="s">
        <v>933</v>
      </c>
      <c r="B798" s="27">
        <v>50.0</v>
      </c>
    </row>
    <row r="799">
      <c r="A799" s="31" t="s">
        <v>934</v>
      </c>
      <c r="B799" s="27">
        <v>0.0</v>
      </c>
    </row>
    <row r="800">
      <c r="A800" s="31" t="s">
        <v>935</v>
      </c>
      <c r="B800" s="27">
        <v>0.0</v>
      </c>
    </row>
    <row r="801">
      <c r="A801" s="31" t="s">
        <v>936</v>
      </c>
      <c r="B801" s="27">
        <v>55.0</v>
      </c>
    </row>
    <row r="802">
      <c r="A802" s="31" t="s">
        <v>937</v>
      </c>
      <c r="B802" s="27">
        <v>83.0</v>
      </c>
    </row>
    <row r="803">
      <c r="A803" s="31" t="s">
        <v>938</v>
      </c>
      <c r="B803" s="27">
        <v>50.0</v>
      </c>
    </row>
    <row r="804">
      <c r="A804" s="31" t="s">
        <v>939</v>
      </c>
      <c r="B804" s="27">
        <v>50.0</v>
      </c>
    </row>
    <row r="805">
      <c r="A805" s="31" t="s">
        <v>940</v>
      </c>
      <c r="B805" s="27">
        <v>50.0</v>
      </c>
    </row>
    <row r="806">
      <c r="A806" s="31" t="s">
        <v>941</v>
      </c>
      <c r="B806" s="27">
        <v>55.0</v>
      </c>
    </row>
    <row r="807">
      <c r="A807" s="31" t="s">
        <v>942</v>
      </c>
      <c r="B807" s="27">
        <v>50.0</v>
      </c>
    </row>
    <row r="808">
      <c r="A808" s="31" t="s">
        <v>943</v>
      </c>
      <c r="B808" s="27">
        <v>83.0</v>
      </c>
    </row>
    <row r="809">
      <c r="A809" s="31" t="s">
        <v>944</v>
      </c>
      <c r="B809" s="27">
        <v>65.0</v>
      </c>
    </row>
    <row r="810">
      <c r="A810" s="31" t="s">
        <v>945</v>
      </c>
      <c r="B810" s="27">
        <v>65.0</v>
      </c>
    </row>
    <row r="811">
      <c r="A811" s="32" t="s">
        <v>946</v>
      </c>
      <c r="B811" s="29">
        <v>0.0</v>
      </c>
    </row>
    <row r="812">
      <c r="A812" s="31" t="s">
        <v>947</v>
      </c>
      <c r="B812" s="27">
        <v>75.0</v>
      </c>
    </row>
    <row r="813">
      <c r="A813" s="31" t="s">
        <v>948</v>
      </c>
      <c r="B813" s="27">
        <v>75.0</v>
      </c>
    </row>
    <row r="814">
      <c r="A814" s="31" t="s">
        <v>949</v>
      </c>
      <c r="B814" s="27">
        <v>59.0</v>
      </c>
    </row>
    <row r="815">
      <c r="A815" s="31" t="s">
        <v>950</v>
      </c>
      <c r="B815" s="27">
        <v>73.0</v>
      </c>
    </row>
    <row r="816">
      <c r="A816" s="31" t="s">
        <v>951</v>
      </c>
      <c r="B816" s="27">
        <v>50.0</v>
      </c>
    </row>
    <row r="817">
      <c r="A817" s="31" t="s">
        <v>952</v>
      </c>
      <c r="B817" s="27">
        <v>50.0</v>
      </c>
    </row>
    <row r="818">
      <c r="A818" s="31" t="s">
        <v>953</v>
      </c>
      <c r="B818" s="27">
        <v>60.0</v>
      </c>
    </row>
    <row r="819">
      <c r="A819" s="31" t="s">
        <v>954</v>
      </c>
      <c r="B819" s="27">
        <v>62.0</v>
      </c>
    </row>
    <row r="820">
      <c r="A820" s="31" t="s">
        <v>955</v>
      </c>
      <c r="B820" s="27">
        <v>50.0</v>
      </c>
    </row>
    <row r="821">
      <c r="A821" s="31" t="s">
        <v>956</v>
      </c>
      <c r="B821" s="27">
        <v>73.0</v>
      </c>
    </row>
    <row r="822">
      <c r="A822" s="31" t="s">
        <v>957</v>
      </c>
      <c r="B822" s="27">
        <v>72.0</v>
      </c>
    </row>
    <row r="823">
      <c r="A823" s="32" t="s">
        <v>958</v>
      </c>
      <c r="B823" s="29">
        <v>0.0</v>
      </c>
    </row>
    <row r="824">
      <c r="A824" s="31" t="s">
        <v>959</v>
      </c>
      <c r="B824" s="27">
        <v>50.0</v>
      </c>
    </row>
    <row r="825">
      <c r="A825" s="31" t="s">
        <v>960</v>
      </c>
      <c r="B825" s="27">
        <v>0.0</v>
      </c>
    </row>
    <row r="826">
      <c r="A826" s="31" t="s">
        <v>961</v>
      </c>
      <c r="B826" s="27">
        <v>62.0</v>
      </c>
    </row>
    <row r="827">
      <c r="A827" s="31" t="s">
        <v>962</v>
      </c>
      <c r="B827" s="27">
        <v>64.0</v>
      </c>
    </row>
    <row r="828">
      <c r="A828" s="31" t="s">
        <v>963</v>
      </c>
      <c r="B828" s="27">
        <v>64.0</v>
      </c>
    </row>
    <row r="829">
      <c r="A829" s="31" t="s">
        <v>964</v>
      </c>
      <c r="B829" s="27">
        <v>0.0</v>
      </c>
    </row>
    <row r="830">
      <c r="A830" s="31" t="s">
        <v>965</v>
      </c>
      <c r="B830" s="27">
        <v>61.0</v>
      </c>
    </row>
    <row r="831">
      <c r="A831" s="31" t="s">
        <v>966</v>
      </c>
      <c r="B831" s="27">
        <v>89.0</v>
      </c>
    </row>
    <row r="832">
      <c r="A832" s="31" t="s">
        <v>967</v>
      </c>
      <c r="B832" s="27">
        <v>59.0</v>
      </c>
    </row>
    <row r="833">
      <c r="A833" s="31" t="s">
        <v>968</v>
      </c>
      <c r="B833" s="27">
        <v>72.0</v>
      </c>
    </row>
    <row r="834">
      <c r="A834" s="31" t="s">
        <v>969</v>
      </c>
      <c r="B834" s="27">
        <v>89.0</v>
      </c>
    </row>
    <row r="835">
      <c r="A835" s="31" t="s">
        <v>970</v>
      </c>
      <c r="B835" s="27">
        <v>64.0</v>
      </c>
    </row>
    <row r="836">
      <c r="A836" s="31" t="s">
        <v>971</v>
      </c>
      <c r="B836" s="27">
        <v>50.0</v>
      </c>
    </row>
    <row r="837">
      <c r="A837" s="31" t="s">
        <v>972</v>
      </c>
      <c r="B837" s="27">
        <v>72.0</v>
      </c>
    </row>
    <row r="838">
      <c r="A838" s="31" t="s">
        <v>973</v>
      </c>
      <c r="B838" s="27">
        <v>0.0</v>
      </c>
    </row>
    <row r="839">
      <c r="A839" s="31" t="s">
        <v>974</v>
      </c>
      <c r="B839" s="27">
        <v>0.0</v>
      </c>
    </row>
    <row r="840">
      <c r="A840" s="31" t="s">
        <v>975</v>
      </c>
      <c r="B840" s="27">
        <v>73.0</v>
      </c>
    </row>
    <row r="841">
      <c r="A841" s="31" t="s">
        <v>976</v>
      </c>
      <c r="B841" s="27">
        <v>50.0</v>
      </c>
    </row>
    <row r="842">
      <c r="A842" s="31" t="s">
        <v>977</v>
      </c>
      <c r="B842" s="27">
        <v>59.0</v>
      </c>
    </row>
    <row r="843">
      <c r="A843" s="31" t="s">
        <v>978</v>
      </c>
      <c r="B843" s="27">
        <v>64.0</v>
      </c>
    </row>
    <row r="844">
      <c r="A844" s="31" t="s">
        <v>979</v>
      </c>
      <c r="B844" s="27">
        <v>50.0</v>
      </c>
    </row>
    <row r="845">
      <c r="A845" s="31" t="s">
        <v>980</v>
      </c>
      <c r="B845" s="27">
        <v>50.0</v>
      </c>
    </row>
    <row r="846">
      <c r="A846" s="31" t="s">
        <v>981</v>
      </c>
      <c r="B846" s="27">
        <v>50.0</v>
      </c>
    </row>
    <row r="847">
      <c r="A847" s="31" t="s">
        <v>982</v>
      </c>
      <c r="B847" s="27">
        <v>61.0</v>
      </c>
    </row>
    <row r="848">
      <c r="A848" s="31" t="s">
        <v>983</v>
      </c>
      <c r="B848" s="27">
        <v>73.0</v>
      </c>
    </row>
    <row r="849">
      <c r="A849" s="31" t="s">
        <v>984</v>
      </c>
      <c r="B849" s="27">
        <v>50.0</v>
      </c>
    </row>
    <row r="850">
      <c r="A850" s="31" t="s">
        <v>985</v>
      </c>
      <c r="B850" s="27">
        <v>0.0</v>
      </c>
    </row>
    <row r="851">
      <c r="A851" s="31" t="s">
        <v>986</v>
      </c>
      <c r="B851" s="27">
        <v>0.0</v>
      </c>
    </row>
    <row r="852">
      <c r="A852" s="31" t="s">
        <v>987</v>
      </c>
      <c r="B852" s="27">
        <v>0.0</v>
      </c>
    </row>
    <row r="853">
      <c r="A853" s="31" t="s">
        <v>988</v>
      </c>
      <c r="B853" s="27">
        <v>0.0</v>
      </c>
    </row>
    <row r="854">
      <c r="A854" s="31" t="s">
        <v>989</v>
      </c>
      <c r="B854" s="27">
        <v>61.0</v>
      </c>
    </row>
    <row r="855">
      <c r="A855" s="31" t="s">
        <v>990</v>
      </c>
      <c r="B855" s="27">
        <v>61.0</v>
      </c>
    </row>
    <row r="856">
      <c r="A856" s="31" t="s">
        <v>991</v>
      </c>
      <c r="B856" s="27">
        <v>62.0</v>
      </c>
    </row>
    <row r="857">
      <c r="A857" s="31" t="s">
        <v>992</v>
      </c>
      <c r="B857" s="27">
        <v>0.0</v>
      </c>
    </row>
    <row r="858">
      <c r="A858" s="31" t="s">
        <v>993</v>
      </c>
      <c r="B858" s="27">
        <v>50.0</v>
      </c>
    </row>
    <row r="859">
      <c r="A859" s="31" t="s">
        <v>994</v>
      </c>
      <c r="B859" s="27">
        <v>89.0</v>
      </c>
    </row>
    <row r="860">
      <c r="A860" s="31" t="s">
        <v>995</v>
      </c>
      <c r="B860" s="27">
        <v>0.0</v>
      </c>
    </row>
    <row r="861">
      <c r="A861" s="31" t="s">
        <v>996</v>
      </c>
      <c r="B861" s="27">
        <v>50.0</v>
      </c>
    </row>
    <row r="862">
      <c r="A862" s="31" t="s">
        <v>997</v>
      </c>
      <c r="B862" s="27">
        <v>50.0</v>
      </c>
    </row>
    <row r="863">
      <c r="A863" s="31" t="s">
        <v>998</v>
      </c>
      <c r="B863" s="27">
        <v>0.0</v>
      </c>
    </row>
    <row r="864">
      <c r="A864" s="31" t="s">
        <v>999</v>
      </c>
      <c r="B864" s="27">
        <v>73.0</v>
      </c>
    </row>
    <row r="865">
      <c r="A865" s="31" t="s">
        <v>1000</v>
      </c>
      <c r="B865" s="27">
        <v>89.0</v>
      </c>
    </row>
    <row r="866">
      <c r="A866" s="31" t="s">
        <v>1001</v>
      </c>
      <c r="B866" s="27">
        <v>64.0</v>
      </c>
    </row>
    <row r="867">
      <c r="A867" s="31" t="s">
        <v>1002</v>
      </c>
      <c r="B867" s="27">
        <v>61.0</v>
      </c>
    </row>
    <row r="868">
      <c r="A868" s="31" t="s">
        <v>1003</v>
      </c>
      <c r="B868" s="27">
        <v>73.0</v>
      </c>
    </row>
    <row r="869">
      <c r="A869" s="31" t="s">
        <v>1004</v>
      </c>
      <c r="B869" s="27">
        <v>73.0</v>
      </c>
    </row>
    <row r="870">
      <c r="A870" s="31" t="s">
        <v>1005</v>
      </c>
      <c r="B870" s="27">
        <v>0.0</v>
      </c>
    </row>
    <row r="871">
      <c r="A871" s="31" t="s">
        <v>1006</v>
      </c>
      <c r="B871" s="27">
        <v>50.0</v>
      </c>
    </row>
    <row r="872">
      <c r="A872" s="31" t="s">
        <v>1007</v>
      </c>
      <c r="B872" s="27">
        <v>50.0</v>
      </c>
    </row>
    <row r="873">
      <c r="A873" s="31" t="s">
        <v>1008</v>
      </c>
      <c r="B873" s="27">
        <v>0.0</v>
      </c>
    </row>
    <row r="874">
      <c r="A874" s="31" t="s">
        <v>1009</v>
      </c>
      <c r="B874" s="27">
        <v>0.0</v>
      </c>
    </row>
    <row r="875">
      <c r="A875" s="31" t="s">
        <v>1010</v>
      </c>
      <c r="B875" s="27">
        <v>50.0</v>
      </c>
    </row>
    <row r="876">
      <c r="A876" s="31" t="s">
        <v>1011</v>
      </c>
      <c r="B876" s="27">
        <v>0.0</v>
      </c>
    </row>
    <row r="877">
      <c r="A877" s="31" t="s">
        <v>1012</v>
      </c>
      <c r="B877" s="27">
        <v>50.0</v>
      </c>
    </row>
    <row r="878">
      <c r="A878" s="31" t="s">
        <v>1013</v>
      </c>
      <c r="B878" s="27">
        <v>50.0</v>
      </c>
    </row>
    <row r="879">
      <c r="A879" s="31" t="s">
        <v>1014</v>
      </c>
      <c r="B879" s="27">
        <v>0.0</v>
      </c>
    </row>
    <row r="880">
      <c r="A880" s="31" t="s">
        <v>1015</v>
      </c>
      <c r="B880" s="27">
        <v>61.0</v>
      </c>
    </row>
    <row r="881">
      <c r="A881" s="31" t="s">
        <v>1016</v>
      </c>
      <c r="B881" s="27">
        <v>72.0</v>
      </c>
    </row>
    <row r="882">
      <c r="A882" s="31" t="s">
        <v>1017</v>
      </c>
      <c r="B882" s="27">
        <v>72.0</v>
      </c>
    </row>
    <row r="883">
      <c r="A883" s="31" t="s">
        <v>1018</v>
      </c>
      <c r="B883" s="27">
        <v>50.0</v>
      </c>
    </row>
    <row r="884">
      <c r="A884" s="31" t="s">
        <v>1019</v>
      </c>
      <c r="B884" s="27">
        <v>50.0</v>
      </c>
    </row>
    <row r="885">
      <c r="A885" s="31" t="s">
        <v>1020</v>
      </c>
      <c r="B885" s="27">
        <v>89.0</v>
      </c>
    </row>
    <row r="886">
      <c r="A886" s="31" t="s">
        <v>1021</v>
      </c>
      <c r="B886" s="27">
        <v>0.0</v>
      </c>
    </row>
    <row r="887">
      <c r="A887" s="31" t="s">
        <v>1022</v>
      </c>
      <c r="B887" s="27">
        <v>0.0</v>
      </c>
    </row>
    <row r="888">
      <c r="A888" s="31" t="s">
        <v>1023</v>
      </c>
      <c r="B888" s="27">
        <v>0.0</v>
      </c>
    </row>
    <row r="889">
      <c r="A889" s="31" t="s">
        <v>1024</v>
      </c>
      <c r="B889" s="27">
        <v>0.0</v>
      </c>
    </row>
    <row r="890">
      <c r="A890" s="31" t="s">
        <v>1025</v>
      </c>
      <c r="B890" s="27">
        <v>0.0</v>
      </c>
    </row>
    <row r="891">
      <c r="A891" s="31" t="s">
        <v>1026</v>
      </c>
      <c r="B891" s="27">
        <v>50.0</v>
      </c>
    </row>
    <row r="892">
      <c r="A892" s="31" t="s">
        <v>1027</v>
      </c>
      <c r="B892" s="27">
        <v>0.0</v>
      </c>
    </row>
    <row r="893">
      <c r="A893" s="31" t="s">
        <v>1343</v>
      </c>
      <c r="B893" s="27">
        <v>62.0</v>
      </c>
    </row>
    <row r="894">
      <c r="A894" s="31" t="s">
        <v>1029</v>
      </c>
      <c r="B894" s="27">
        <v>50.0</v>
      </c>
    </row>
    <row r="895">
      <c r="A895" s="31" t="s">
        <v>1030</v>
      </c>
      <c r="B895" s="27">
        <v>50.0</v>
      </c>
    </row>
    <row r="896">
      <c r="A896" s="31" t="s">
        <v>1031</v>
      </c>
      <c r="B896" s="27">
        <v>0.0</v>
      </c>
    </row>
    <row r="897">
      <c r="A897" s="31" t="s">
        <v>1032</v>
      </c>
      <c r="B897" s="27">
        <v>0.0</v>
      </c>
    </row>
    <row r="898">
      <c r="A898" s="31" t="s">
        <v>1033</v>
      </c>
      <c r="B898" s="27">
        <v>0.0</v>
      </c>
    </row>
    <row r="899">
      <c r="A899" s="31" t="s">
        <v>1034</v>
      </c>
      <c r="B899" s="27">
        <v>0.0</v>
      </c>
    </row>
    <row r="900">
      <c r="A900" s="31" t="s">
        <v>1344</v>
      </c>
      <c r="B900" s="27">
        <v>50.0</v>
      </c>
    </row>
    <row r="901">
      <c r="A901" s="31" t="s">
        <v>1036</v>
      </c>
      <c r="B901" s="27">
        <v>0.0</v>
      </c>
    </row>
    <row r="902">
      <c r="A902" s="31" t="s">
        <v>1037</v>
      </c>
      <c r="B902" s="27">
        <v>0.0</v>
      </c>
    </row>
    <row r="903">
      <c r="A903" s="31" t="s">
        <v>1038</v>
      </c>
      <c r="B903" s="27">
        <v>0.0</v>
      </c>
    </row>
    <row r="904">
      <c r="A904" s="30" t="s">
        <v>1039</v>
      </c>
      <c r="B904" s="26">
        <v>50.0</v>
      </c>
    </row>
    <row r="905">
      <c r="A905" s="31" t="s">
        <v>1040</v>
      </c>
      <c r="B905" s="27">
        <v>67.0</v>
      </c>
    </row>
    <row r="906">
      <c r="A906" s="31" t="s">
        <v>1041</v>
      </c>
      <c r="B906" s="27">
        <v>67.0</v>
      </c>
    </row>
    <row r="907">
      <c r="A907" s="31" t="s">
        <v>1042</v>
      </c>
      <c r="B907" s="27">
        <v>50.0</v>
      </c>
    </row>
    <row r="908">
      <c r="A908" s="31" t="s">
        <v>1043</v>
      </c>
      <c r="B908" s="27">
        <v>80.0</v>
      </c>
    </row>
    <row r="909">
      <c r="A909" s="31" t="s">
        <v>1044</v>
      </c>
      <c r="B909" s="27">
        <v>80.0</v>
      </c>
    </row>
    <row r="910">
      <c r="A910" s="31" t="s">
        <v>1045</v>
      </c>
      <c r="B910" s="27">
        <v>80.0</v>
      </c>
    </row>
    <row r="911">
      <c r="A911" s="31" t="s">
        <v>1046</v>
      </c>
      <c r="B911" s="27">
        <v>50.0</v>
      </c>
    </row>
    <row r="912">
      <c r="A912" s="31" t="s">
        <v>1047</v>
      </c>
      <c r="B912" s="27">
        <v>80.0</v>
      </c>
    </row>
    <row r="913">
      <c r="A913" s="31" t="s">
        <v>1048</v>
      </c>
      <c r="B913" s="27">
        <v>0.0</v>
      </c>
    </row>
    <row r="914">
      <c r="A914" s="31" t="s">
        <v>1049</v>
      </c>
      <c r="B914" s="27">
        <v>88.0</v>
      </c>
    </row>
    <row r="915">
      <c r="A915" s="31" t="s">
        <v>1050</v>
      </c>
      <c r="B915" s="27">
        <v>50.0</v>
      </c>
    </row>
    <row r="916">
      <c r="A916" s="31" t="s">
        <v>1051</v>
      </c>
      <c r="B916" s="27">
        <v>50.0</v>
      </c>
    </row>
    <row r="917">
      <c r="A917" s="31" t="s">
        <v>1052</v>
      </c>
      <c r="B917" s="27">
        <v>88.0</v>
      </c>
    </row>
    <row r="918">
      <c r="A918" s="31" t="s">
        <v>1053</v>
      </c>
      <c r="B918" s="27">
        <v>50.0</v>
      </c>
    </row>
    <row r="919">
      <c r="A919" s="31" t="s">
        <v>1054</v>
      </c>
      <c r="B919" s="27">
        <v>88.0</v>
      </c>
    </row>
    <row r="920">
      <c r="A920" s="31" t="s">
        <v>1055</v>
      </c>
      <c r="B920" s="27">
        <v>56.0</v>
      </c>
    </row>
    <row r="921">
      <c r="A921" s="31" t="s">
        <v>1056</v>
      </c>
      <c r="B921" s="27">
        <v>0.0</v>
      </c>
    </row>
    <row r="922">
      <c r="A922" s="31" t="s">
        <v>1057</v>
      </c>
      <c r="B922" s="27">
        <v>50.0</v>
      </c>
    </row>
    <row r="923">
      <c r="A923" s="31" t="s">
        <v>1058</v>
      </c>
      <c r="B923" s="27">
        <v>50.0</v>
      </c>
    </row>
    <row r="924">
      <c r="A924" s="31" t="s">
        <v>1059</v>
      </c>
      <c r="B924" s="27">
        <v>0.0</v>
      </c>
    </row>
    <row r="925">
      <c r="A925" s="31" t="s">
        <v>1060</v>
      </c>
      <c r="B925" s="27">
        <v>73.0</v>
      </c>
    </row>
    <row r="926">
      <c r="A926" s="31" t="s">
        <v>1061</v>
      </c>
      <c r="B926" s="27">
        <v>73.0</v>
      </c>
    </row>
    <row r="927">
      <c r="A927" s="32" t="s">
        <v>1062</v>
      </c>
      <c r="B927" s="29">
        <v>0.0</v>
      </c>
    </row>
    <row r="928">
      <c r="A928" s="31" t="s">
        <v>1063</v>
      </c>
      <c r="B928" s="27">
        <v>50.0</v>
      </c>
    </row>
    <row r="929">
      <c r="A929" s="31" t="s">
        <v>1064</v>
      </c>
      <c r="B929" s="27">
        <v>0.0</v>
      </c>
    </row>
    <row r="930">
      <c r="A930" s="31" t="s">
        <v>1065</v>
      </c>
      <c r="B930" s="27">
        <v>67.0</v>
      </c>
    </row>
    <row r="931">
      <c r="A931" s="31" t="s">
        <v>1066</v>
      </c>
      <c r="B931" s="27">
        <v>50.0</v>
      </c>
    </row>
    <row r="932">
      <c r="A932" s="31" t="s">
        <v>1067</v>
      </c>
      <c r="B932" s="27">
        <v>80.0</v>
      </c>
    </row>
    <row r="933">
      <c r="A933" s="31" t="s">
        <v>1068</v>
      </c>
      <c r="B933" s="27">
        <v>50.0</v>
      </c>
    </row>
    <row r="934">
      <c r="A934" s="31" t="s">
        <v>1069</v>
      </c>
      <c r="B934" s="27">
        <v>50.0</v>
      </c>
    </row>
    <row r="935">
      <c r="A935" s="31" t="s">
        <v>1070</v>
      </c>
      <c r="B935" s="27">
        <v>50.0</v>
      </c>
    </row>
    <row r="936">
      <c r="A936" s="31" t="s">
        <v>1071</v>
      </c>
      <c r="B936" s="27">
        <v>50.0</v>
      </c>
    </row>
    <row r="937">
      <c r="A937" s="31" t="s">
        <v>1072</v>
      </c>
      <c r="B937" s="27">
        <v>0.0</v>
      </c>
    </row>
    <row r="938">
      <c r="A938" s="31" t="s">
        <v>1073</v>
      </c>
      <c r="B938" s="27">
        <v>0.0</v>
      </c>
    </row>
    <row r="939">
      <c r="A939" s="31" t="s">
        <v>1074</v>
      </c>
      <c r="B939" s="27">
        <v>50.0</v>
      </c>
    </row>
    <row r="940">
      <c r="A940" s="31" t="s">
        <v>1075</v>
      </c>
      <c r="B940" s="27">
        <v>0.0</v>
      </c>
    </row>
    <row r="941">
      <c r="A941" s="31" t="s">
        <v>1076</v>
      </c>
      <c r="B941" s="27">
        <v>73.0</v>
      </c>
    </row>
    <row r="942">
      <c r="A942" s="31" t="s">
        <v>1077</v>
      </c>
      <c r="B942" s="27">
        <v>0.0</v>
      </c>
    </row>
    <row r="943">
      <c r="A943" s="31" t="s">
        <v>1078</v>
      </c>
      <c r="B943" s="27">
        <v>0.0</v>
      </c>
    </row>
    <row r="944">
      <c r="A944" s="31" t="s">
        <v>1079</v>
      </c>
      <c r="B944" s="27">
        <v>50.0</v>
      </c>
    </row>
    <row r="945">
      <c r="A945" s="31" t="s">
        <v>1080</v>
      </c>
      <c r="B945" s="27">
        <v>0.0</v>
      </c>
    </row>
    <row r="946">
      <c r="A946" s="31" t="s">
        <v>1081</v>
      </c>
      <c r="B946" s="27">
        <v>80.0</v>
      </c>
    </row>
    <row r="947">
      <c r="A947" s="31" t="s">
        <v>1082</v>
      </c>
      <c r="B947" s="27">
        <v>50.0</v>
      </c>
    </row>
    <row r="948">
      <c r="A948" s="31" t="s">
        <v>1083</v>
      </c>
      <c r="B948" s="27">
        <v>67.0</v>
      </c>
    </row>
    <row r="949">
      <c r="A949" s="31" t="s">
        <v>1084</v>
      </c>
      <c r="B949" s="27">
        <v>88.0</v>
      </c>
    </row>
    <row r="950">
      <c r="A950" s="31" t="s">
        <v>1085</v>
      </c>
      <c r="B950" s="27">
        <v>50.0</v>
      </c>
    </row>
    <row r="951">
      <c r="A951" s="31" t="s">
        <v>1086</v>
      </c>
      <c r="B951" s="27">
        <v>50.0</v>
      </c>
    </row>
    <row r="952">
      <c r="A952" s="31" t="s">
        <v>1087</v>
      </c>
      <c r="B952" s="27">
        <v>88.0</v>
      </c>
    </row>
    <row r="953">
      <c r="A953" s="32" t="s">
        <v>1088</v>
      </c>
      <c r="B953" s="29">
        <v>0.0</v>
      </c>
    </row>
    <row r="954">
      <c r="A954" s="31" t="s">
        <v>1089</v>
      </c>
      <c r="B954" s="27">
        <v>80.0</v>
      </c>
    </row>
    <row r="955">
      <c r="A955" s="31" t="s">
        <v>1090</v>
      </c>
      <c r="B955" s="27">
        <v>50.0</v>
      </c>
    </row>
    <row r="956">
      <c r="A956" s="31" t="s">
        <v>1091</v>
      </c>
      <c r="B956" s="27">
        <v>73.0</v>
      </c>
    </row>
    <row r="957">
      <c r="A957" s="31" t="s">
        <v>1092</v>
      </c>
      <c r="B957" s="27">
        <v>0.0</v>
      </c>
    </row>
    <row r="958">
      <c r="A958" s="31" t="s">
        <v>1093</v>
      </c>
      <c r="B958" s="27">
        <v>0.0</v>
      </c>
    </row>
    <row r="959">
      <c r="A959" s="31" t="s">
        <v>1094</v>
      </c>
      <c r="B959" s="27">
        <v>50.0</v>
      </c>
    </row>
    <row r="960">
      <c r="A960" s="31" t="s">
        <v>1095</v>
      </c>
      <c r="B960" s="27">
        <v>0.0</v>
      </c>
    </row>
    <row r="961">
      <c r="A961" s="31" t="s">
        <v>1096</v>
      </c>
      <c r="B961" s="27">
        <v>50.0</v>
      </c>
    </row>
    <row r="962">
      <c r="A962" s="31" t="s">
        <v>1097</v>
      </c>
      <c r="B962" s="27">
        <v>52.0</v>
      </c>
    </row>
    <row r="963">
      <c r="A963" s="31" t="s">
        <v>1098</v>
      </c>
      <c r="B963" s="27">
        <v>50.0</v>
      </c>
    </row>
    <row r="964">
      <c r="A964" s="31" t="s">
        <v>1099</v>
      </c>
      <c r="B964" s="27">
        <v>52.0</v>
      </c>
    </row>
    <row r="965">
      <c r="A965" s="31" t="s">
        <v>1100</v>
      </c>
      <c r="B965" s="27">
        <v>73.0</v>
      </c>
    </row>
    <row r="966">
      <c r="A966" s="31" t="s">
        <v>1101</v>
      </c>
      <c r="B966" s="27">
        <v>38.0</v>
      </c>
    </row>
    <row r="967">
      <c r="A967" s="31" t="s">
        <v>1102</v>
      </c>
      <c r="B967" s="27">
        <v>50.0</v>
      </c>
    </row>
    <row r="968">
      <c r="A968" s="31" t="s">
        <v>1103</v>
      </c>
      <c r="B968" s="27">
        <v>50.0</v>
      </c>
    </row>
    <row r="969">
      <c r="A969" s="31" t="s">
        <v>1104</v>
      </c>
      <c r="B969" s="27">
        <v>76.0</v>
      </c>
    </row>
    <row r="970">
      <c r="A970" s="31" t="s">
        <v>1105</v>
      </c>
      <c r="B970" s="27">
        <v>0.0</v>
      </c>
    </row>
    <row r="971">
      <c r="A971" s="31" t="s">
        <v>1106</v>
      </c>
      <c r="B971" s="27">
        <v>0.0</v>
      </c>
    </row>
    <row r="972">
      <c r="A972" s="31" t="s">
        <v>1107</v>
      </c>
      <c r="B972" s="27">
        <v>52.0</v>
      </c>
    </row>
    <row r="973">
      <c r="A973" s="31" t="s">
        <v>1108</v>
      </c>
      <c r="B973" s="27">
        <v>0.0</v>
      </c>
    </row>
    <row r="974">
      <c r="A974" s="31" t="s">
        <v>1109</v>
      </c>
      <c r="B974" s="27">
        <v>50.0</v>
      </c>
    </row>
    <row r="975">
      <c r="A975" s="31" t="s">
        <v>1110</v>
      </c>
      <c r="B975" s="27">
        <v>67.0</v>
      </c>
    </row>
    <row r="976">
      <c r="A976" s="31" t="s">
        <v>1111</v>
      </c>
      <c r="B976" s="27">
        <v>71.0</v>
      </c>
    </row>
    <row r="977">
      <c r="A977" s="31" t="s">
        <v>1112</v>
      </c>
      <c r="B977" s="27">
        <v>87.0</v>
      </c>
    </row>
    <row r="978">
      <c r="A978" s="31" t="s">
        <v>1113</v>
      </c>
      <c r="B978" s="27">
        <v>71.0</v>
      </c>
    </row>
    <row r="979">
      <c r="A979" s="31" t="s">
        <v>1114</v>
      </c>
      <c r="B979" s="27">
        <v>50.0</v>
      </c>
    </row>
    <row r="980">
      <c r="A980" s="31" t="s">
        <v>1115</v>
      </c>
      <c r="B980" s="27">
        <v>72.0</v>
      </c>
    </row>
    <row r="981">
      <c r="A981" s="31" t="s">
        <v>1116</v>
      </c>
      <c r="B981" s="27">
        <v>53.0</v>
      </c>
    </row>
    <row r="982">
      <c r="A982" s="31" t="s">
        <v>1117</v>
      </c>
      <c r="B982" s="27">
        <v>71.0</v>
      </c>
    </row>
    <row r="983">
      <c r="A983" s="31" t="s">
        <v>1118</v>
      </c>
      <c r="B983" s="27">
        <v>87.0</v>
      </c>
    </row>
    <row r="984">
      <c r="A984" s="31" t="s">
        <v>1119</v>
      </c>
      <c r="B984" s="27">
        <v>87.0</v>
      </c>
    </row>
    <row r="985">
      <c r="A985" s="31" t="s">
        <v>1120</v>
      </c>
      <c r="B985" s="27">
        <v>50.0</v>
      </c>
    </row>
    <row r="986">
      <c r="A986" s="31" t="s">
        <v>1121</v>
      </c>
      <c r="B986" s="27">
        <v>54.0</v>
      </c>
    </row>
    <row r="987">
      <c r="A987" s="31" t="s">
        <v>1122</v>
      </c>
      <c r="B987" s="27">
        <v>50.0</v>
      </c>
    </row>
    <row r="988">
      <c r="A988" s="31" t="s">
        <v>1123</v>
      </c>
      <c r="B988" s="27">
        <v>73.0</v>
      </c>
    </row>
    <row r="989">
      <c r="A989" s="31" t="s">
        <v>1124</v>
      </c>
      <c r="B989" s="27">
        <v>50.0</v>
      </c>
    </row>
    <row r="990">
      <c r="A990" s="31" t="s">
        <v>1125</v>
      </c>
      <c r="B990" s="27">
        <v>54.0</v>
      </c>
    </row>
    <row r="991">
      <c r="A991" s="31" t="s">
        <v>1126</v>
      </c>
      <c r="B991" s="27">
        <v>50.0</v>
      </c>
    </row>
    <row r="992">
      <c r="A992" s="31" t="s">
        <v>1127</v>
      </c>
      <c r="B992" s="27">
        <v>50.0</v>
      </c>
    </row>
    <row r="993">
      <c r="A993" s="31" t="s">
        <v>1128</v>
      </c>
      <c r="B993" s="27">
        <v>53.0</v>
      </c>
    </row>
    <row r="994">
      <c r="A994" s="31" t="s">
        <v>1129</v>
      </c>
      <c r="B994" s="27">
        <v>50.0</v>
      </c>
    </row>
    <row r="995">
      <c r="A995" s="31" t="s">
        <v>1130</v>
      </c>
      <c r="B995" s="27">
        <v>67.0</v>
      </c>
    </row>
    <row r="996">
      <c r="A996" s="31" t="s">
        <v>1131</v>
      </c>
      <c r="B996" s="27">
        <v>50.0</v>
      </c>
    </row>
    <row r="997">
      <c r="A997" s="31" t="s">
        <v>1132</v>
      </c>
      <c r="B997" s="27">
        <v>50.0</v>
      </c>
    </row>
    <row r="998">
      <c r="A998" s="31" t="s">
        <v>1133</v>
      </c>
      <c r="B998" s="27">
        <v>50.0</v>
      </c>
    </row>
    <row r="999">
      <c r="A999" s="31" t="s">
        <v>1134</v>
      </c>
      <c r="B999" s="27">
        <v>50.0</v>
      </c>
    </row>
    <row r="1000">
      <c r="A1000" s="31" t="s">
        <v>1135</v>
      </c>
      <c r="B1000" s="27">
        <v>87.0</v>
      </c>
    </row>
    <row r="1001">
      <c r="A1001" s="33" t="s">
        <v>1136</v>
      </c>
      <c r="B1001" s="27">
        <v>53.0</v>
      </c>
    </row>
    <row r="1002">
      <c r="A1002" s="31" t="s">
        <v>1137</v>
      </c>
      <c r="B1002" s="27">
        <v>53.0</v>
      </c>
    </row>
    <row r="1003">
      <c r="A1003" s="31" t="s">
        <v>1138</v>
      </c>
      <c r="B1003" s="27">
        <v>50.0</v>
      </c>
    </row>
    <row r="1004">
      <c r="A1004" s="31" t="s">
        <v>1139</v>
      </c>
      <c r="B1004" s="27">
        <v>71.0</v>
      </c>
    </row>
    <row r="1005">
      <c r="A1005" s="32" t="s">
        <v>1140</v>
      </c>
      <c r="B1005" s="29">
        <v>0.0</v>
      </c>
    </row>
    <row r="1006">
      <c r="A1006" s="31" t="s">
        <v>1141</v>
      </c>
      <c r="B1006" s="27">
        <v>87.0</v>
      </c>
    </row>
    <row r="1007">
      <c r="A1007" s="31" t="s">
        <v>1142</v>
      </c>
      <c r="B1007" s="27">
        <v>67.0</v>
      </c>
    </row>
    <row r="1008">
      <c r="A1008" s="31" t="s">
        <v>1143</v>
      </c>
      <c r="B1008" s="27">
        <v>54.0</v>
      </c>
    </row>
    <row r="1009">
      <c r="A1009" s="31" t="s">
        <v>1144</v>
      </c>
      <c r="B1009" s="27">
        <v>72.0</v>
      </c>
    </row>
    <row r="1010">
      <c r="A1010" s="31" t="s">
        <v>1145</v>
      </c>
      <c r="B1010" s="27">
        <v>87.0</v>
      </c>
    </row>
    <row r="1011">
      <c r="A1011" s="31" t="s">
        <v>1146</v>
      </c>
      <c r="B1011" s="27">
        <v>72.0</v>
      </c>
    </row>
    <row r="1012">
      <c r="A1012" s="31" t="s">
        <v>1147</v>
      </c>
      <c r="B1012" s="27">
        <v>50.0</v>
      </c>
    </row>
    <row r="1013">
      <c r="A1013" s="31" t="s">
        <v>1148</v>
      </c>
      <c r="B1013" s="27">
        <v>54.0</v>
      </c>
    </row>
    <row r="1014">
      <c r="A1014" s="31" t="s">
        <v>1149</v>
      </c>
      <c r="B1014" s="27">
        <v>71.0</v>
      </c>
    </row>
    <row r="1015">
      <c r="A1015" s="31" t="s">
        <v>1150</v>
      </c>
      <c r="B1015" s="27">
        <v>71.0</v>
      </c>
    </row>
    <row r="1016">
      <c r="A1016" s="31" t="s">
        <v>1151</v>
      </c>
      <c r="B1016" s="27">
        <v>71.0</v>
      </c>
    </row>
    <row r="1017">
      <c r="A1017" s="31" t="s">
        <v>1152</v>
      </c>
      <c r="B1017" s="27">
        <v>72.0</v>
      </c>
    </row>
    <row r="1018">
      <c r="A1018" s="31" t="s">
        <v>1153</v>
      </c>
      <c r="B1018" s="27">
        <v>53.0</v>
      </c>
    </row>
    <row r="1019">
      <c r="A1019" s="32" t="s">
        <v>1154</v>
      </c>
      <c r="B1019" s="29">
        <v>0.0</v>
      </c>
    </row>
    <row r="1020">
      <c r="A1020" s="31" t="s">
        <v>1155</v>
      </c>
      <c r="B1020" s="27">
        <v>73.0</v>
      </c>
    </row>
    <row r="1021">
      <c r="A1021" s="33" t="s">
        <v>1156</v>
      </c>
      <c r="B1021" s="27">
        <v>54.0</v>
      </c>
    </row>
    <row r="1022">
      <c r="A1022" s="31" t="s">
        <v>1157</v>
      </c>
      <c r="B1022" s="27">
        <v>71.0</v>
      </c>
    </row>
    <row r="1023">
      <c r="A1023" s="31" t="s">
        <v>1158</v>
      </c>
      <c r="B1023" s="27">
        <v>0.0</v>
      </c>
    </row>
    <row r="1024">
      <c r="A1024" s="31" t="s">
        <v>1159</v>
      </c>
      <c r="B1024" s="27">
        <v>71.0</v>
      </c>
    </row>
    <row r="1025">
      <c r="A1025" s="31" t="s">
        <v>1160</v>
      </c>
      <c r="B1025" s="27">
        <v>54.0</v>
      </c>
    </row>
    <row r="1026">
      <c r="A1026" s="31" t="s">
        <v>1161</v>
      </c>
      <c r="B1026" s="27">
        <v>71.0</v>
      </c>
    </row>
    <row r="1027">
      <c r="A1027" s="31" t="s">
        <v>1162</v>
      </c>
      <c r="B1027" s="27">
        <v>50.0</v>
      </c>
    </row>
    <row r="1028">
      <c r="A1028" s="32" t="s">
        <v>1163</v>
      </c>
      <c r="B1028" s="29">
        <v>0.0</v>
      </c>
    </row>
    <row r="1029">
      <c r="A1029" s="31" t="s">
        <v>1164</v>
      </c>
      <c r="B1029" s="27">
        <v>50.0</v>
      </c>
    </row>
    <row r="1030">
      <c r="A1030" s="31" t="s">
        <v>1165</v>
      </c>
      <c r="B1030" s="27">
        <v>71.0</v>
      </c>
    </row>
    <row r="1031">
      <c r="A1031" s="31" t="s">
        <v>1166</v>
      </c>
      <c r="B1031" s="27">
        <v>0.0</v>
      </c>
    </row>
    <row r="1032">
      <c r="A1032" s="31" t="s">
        <v>1167</v>
      </c>
      <c r="B1032" s="27">
        <v>50.0</v>
      </c>
    </row>
    <row r="1033">
      <c r="A1033" s="31" t="s">
        <v>1168</v>
      </c>
      <c r="B1033" s="27">
        <v>67.0</v>
      </c>
    </row>
    <row r="1034">
      <c r="A1034" s="31" t="s">
        <v>1169</v>
      </c>
      <c r="B1034" s="27">
        <v>72.0</v>
      </c>
    </row>
    <row r="1035">
      <c r="A1035" s="31" t="s">
        <v>1170</v>
      </c>
      <c r="B1035" s="27">
        <v>71.0</v>
      </c>
    </row>
    <row r="1036">
      <c r="A1036" s="31" t="s">
        <v>1171</v>
      </c>
      <c r="B1036" s="27">
        <v>67.0</v>
      </c>
    </row>
    <row r="1037">
      <c r="A1037" s="31" t="s">
        <v>1172</v>
      </c>
      <c r="B1037" s="27">
        <v>0.0</v>
      </c>
    </row>
    <row r="1038">
      <c r="A1038" s="31" t="s">
        <v>1173</v>
      </c>
      <c r="B1038" s="27">
        <v>50.0</v>
      </c>
    </row>
    <row r="1039">
      <c r="A1039" s="31" t="s">
        <v>1174</v>
      </c>
      <c r="B1039" s="27">
        <v>71.0</v>
      </c>
    </row>
    <row r="1040">
      <c r="A1040" s="33" t="s">
        <v>1175</v>
      </c>
      <c r="B1040" s="27">
        <v>50.0</v>
      </c>
    </row>
    <row r="1041">
      <c r="A1041" s="31" t="s">
        <v>1176</v>
      </c>
      <c r="B1041" s="27">
        <v>67.0</v>
      </c>
    </row>
    <row r="1042">
      <c r="A1042" s="31" t="s">
        <v>1177</v>
      </c>
      <c r="B1042" s="27">
        <v>87.0</v>
      </c>
    </row>
    <row r="1043">
      <c r="A1043" s="31" t="s">
        <v>1178</v>
      </c>
      <c r="B1043" s="27">
        <v>50.0</v>
      </c>
    </row>
    <row r="1044">
      <c r="A1044" s="31" t="s">
        <v>1179</v>
      </c>
      <c r="B1044" s="27">
        <v>73.0</v>
      </c>
    </row>
    <row r="1045">
      <c r="A1045" s="31" t="s">
        <v>1180</v>
      </c>
      <c r="B1045" s="27">
        <v>71.0</v>
      </c>
    </row>
    <row r="1046">
      <c r="A1046" s="31" t="s">
        <v>1181</v>
      </c>
      <c r="B1046" s="27">
        <v>54.0</v>
      </c>
    </row>
    <row r="1047">
      <c r="A1047" s="31" t="s">
        <v>1182</v>
      </c>
      <c r="B1047" s="27">
        <v>72.0</v>
      </c>
    </row>
    <row r="1048">
      <c r="A1048" s="31" t="s">
        <v>1183</v>
      </c>
      <c r="B1048" s="27">
        <v>52.0</v>
      </c>
    </row>
    <row r="1049">
      <c r="A1049" s="31" t="s">
        <v>1184</v>
      </c>
      <c r="B1049" s="27">
        <v>52.0</v>
      </c>
    </row>
    <row r="1050">
      <c r="A1050" s="31" t="s">
        <v>1185</v>
      </c>
      <c r="B1050" s="27">
        <v>88.0</v>
      </c>
    </row>
    <row r="1051">
      <c r="A1051" s="31" t="s">
        <v>1186</v>
      </c>
      <c r="B1051" s="27">
        <v>52.0</v>
      </c>
    </row>
    <row r="1052">
      <c r="A1052" s="31" t="s">
        <v>1187</v>
      </c>
      <c r="B1052" s="27">
        <v>52.0</v>
      </c>
    </row>
    <row r="1053">
      <c r="A1053" s="31" t="s">
        <v>1188</v>
      </c>
      <c r="B1053" s="27">
        <v>50.0</v>
      </c>
    </row>
    <row r="1054">
      <c r="A1054" s="31" t="s">
        <v>1189</v>
      </c>
      <c r="B1054" s="27">
        <v>73.0</v>
      </c>
    </row>
    <row r="1055">
      <c r="A1055" s="31" t="s">
        <v>1190</v>
      </c>
      <c r="B1055" s="27">
        <v>50.0</v>
      </c>
    </row>
    <row r="1056">
      <c r="A1056" s="31" t="s">
        <v>1191</v>
      </c>
      <c r="B1056" s="27">
        <v>73.0</v>
      </c>
    </row>
    <row r="1057">
      <c r="A1057" s="31" t="s">
        <v>1192</v>
      </c>
      <c r="B1057" s="27">
        <v>50.0</v>
      </c>
    </row>
    <row r="1058">
      <c r="A1058" s="31" t="s">
        <v>1193</v>
      </c>
      <c r="B1058" s="27">
        <v>67.0</v>
      </c>
    </row>
    <row r="1059">
      <c r="A1059" s="31" t="s">
        <v>1194</v>
      </c>
      <c r="B1059" s="27">
        <v>73.0</v>
      </c>
    </row>
    <row r="1060">
      <c r="A1060" s="31" t="s">
        <v>1195</v>
      </c>
      <c r="B1060" s="27">
        <v>50.0</v>
      </c>
    </row>
    <row r="1061">
      <c r="A1061" s="30" t="s">
        <v>1196</v>
      </c>
      <c r="B1061" s="26">
        <v>58.0</v>
      </c>
    </row>
    <row r="1062">
      <c r="A1062" s="31" t="s">
        <v>1197</v>
      </c>
      <c r="B1062" s="27">
        <v>55.0</v>
      </c>
    </row>
    <row r="1063">
      <c r="A1063" s="31" t="s">
        <v>1198</v>
      </c>
      <c r="B1063" s="27">
        <v>55.0</v>
      </c>
    </row>
    <row r="1064">
      <c r="A1064" s="31" t="s">
        <v>1199</v>
      </c>
      <c r="B1064" s="27">
        <v>60.0</v>
      </c>
    </row>
    <row r="1065">
      <c r="A1065" s="31" t="s">
        <v>1200</v>
      </c>
      <c r="B1065" s="27">
        <v>0.0</v>
      </c>
    </row>
    <row r="1066">
      <c r="A1066" s="31" t="s">
        <v>1201</v>
      </c>
      <c r="B1066" s="27">
        <v>0.0</v>
      </c>
    </row>
    <row r="1067">
      <c r="A1067" s="31" t="s">
        <v>1202</v>
      </c>
      <c r="B1067" s="27">
        <v>60.0</v>
      </c>
    </row>
    <row r="1068">
      <c r="A1068" s="31" t="s">
        <v>1203</v>
      </c>
      <c r="B1068" s="27">
        <v>80.0</v>
      </c>
    </row>
    <row r="1069">
      <c r="A1069" s="31" t="s">
        <v>1204</v>
      </c>
      <c r="B1069" s="27">
        <v>55.0</v>
      </c>
    </row>
    <row r="1070">
      <c r="A1070" s="31" t="s">
        <v>1205</v>
      </c>
      <c r="B1070" s="27">
        <v>80.0</v>
      </c>
    </row>
    <row r="1071">
      <c r="A1071" s="31" t="s">
        <v>1206</v>
      </c>
      <c r="B1071" s="27">
        <v>50.0</v>
      </c>
    </row>
    <row r="1072">
      <c r="A1072" s="31" t="s">
        <v>1207</v>
      </c>
      <c r="B1072" s="27">
        <v>0.0</v>
      </c>
    </row>
    <row r="1073">
      <c r="A1073" s="31" t="s">
        <v>1208</v>
      </c>
      <c r="B1073" s="27">
        <v>0.0</v>
      </c>
    </row>
    <row r="1074">
      <c r="A1074" s="31" t="s">
        <v>1209</v>
      </c>
      <c r="B1074" s="27">
        <v>72.0</v>
      </c>
    </row>
    <row r="1075">
      <c r="A1075" s="31" t="s">
        <v>1210</v>
      </c>
      <c r="B1075" s="27">
        <v>0.0</v>
      </c>
    </row>
    <row r="1076">
      <c r="A1076" s="31" t="s">
        <v>1211</v>
      </c>
      <c r="B1076" s="27">
        <v>60.0</v>
      </c>
    </row>
    <row r="1077">
      <c r="A1077" s="31" t="s">
        <v>1212</v>
      </c>
      <c r="B1077" s="27">
        <v>72.0</v>
      </c>
    </row>
    <row r="1078">
      <c r="A1078" s="31" t="s">
        <v>1213</v>
      </c>
      <c r="B1078" s="27">
        <v>0.0</v>
      </c>
    </row>
    <row r="1079">
      <c r="A1079" s="31" t="s">
        <v>1214</v>
      </c>
      <c r="B1079" s="27">
        <v>60.0</v>
      </c>
    </row>
    <row r="1080">
      <c r="A1080" s="31" t="s">
        <v>1215</v>
      </c>
      <c r="B1080" s="27">
        <v>55.0</v>
      </c>
    </row>
    <row r="1081">
      <c r="A1081" s="31" t="s">
        <v>1216</v>
      </c>
      <c r="B1081" s="27">
        <v>56.0</v>
      </c>
    </row>
    <row r="1082">
      <c r="A1082" s="32" t="s">
        <v>1217</v>
      </c>
      <c r="B1082" s="29">
        <v>0.0</v>
      </c>
    </row>
    <row r="1083">
      <c r="A1083" s="31" t="s">
        <v>1218</v>
      </c>
      <c r="B1083" s="27">
        <v>50.0</v>
      </c>
    </row>
    <row r="1084">
      <c r="A1084" s="31" t="s">
        <v>1219</v>
      </c>
      <c r="B1084" s="27">
        <v>0.0</v>
      </c>
    </row>
    <row r="1085">
      <c r="A1085" s="31" t="s">
        <v>1220</v>
      </c>
      <c r="B1085" s="27">
        <v>72.0</v>
      </c>
    </row>
    <row r="1086">
      <c r="A1086" s="31" t="s">
        <v>1221</v>
      </c>
      <c r="B1086" s="27">
        <v>50.0</v>
      </c>
    </row>
    <row r="1087">
      <c r="A1087" s="31" t="s">
        <v>1222</v>
      </c>
      <c r="B1087" s="27">
        <v>80.0</v>
      </c>
    </row>
    <row r="1088">
      <c r="A1088" s="31" t="s">
        <v>1223</v>
      </c>
      <c r="B1088" s="27">
        <v>72.0</v>
      </c>
    </row>
    <row r="1089">
      <c r="A1089" s="31" t="s">
        <v>1224</v>
      </c>
      <c r="B1089" s="27">
        <v>0.0</v>
      </c>
    </row>
    <row r="1090">
      <c r="A1090" s="31" t="s">
        <v>1225</v>
      </c>
      <c r="B1090" s="27">
        <v>72.0</v>
      </c>
    </row>
    <row r="1091">
      <c r="A1091" s="31" t="s">
        <v>1226</v>
      </c>
      <c r="B1091" s="27">
        <v>50.0</v>
      </c>
    </row>
    <row r="1092">
      <c r="A1092" s="32" t="s">
        <v>1227</v>
      </c>
      <c r="B1092" s="29">
        <v>0.0</v>
      </c>
    </row>
    <row r="1093">
      <c r="A1093" s="31" t="s">
        <v>1228</v>
      </c>
      <c r="B1093" s="27">
        <v>72.0</v>
      </c>
    </row>
    <row r="1094">
      <c r="A1094" s="31" t="s">
        <v>1229</v>
      </c>
      <c r="B1094" s="27">
        <v>50.0</v>
      </c>
    </row>
    <row r="1095">
      <c r="A1095" s="31" t="s">
        <v>1230</v>
      </c>
      <c r="B1095" s="27">
        <v>55.0</v>
      </c>
    </row>
    <row r="1096">
      <c r="A1096" s="31" t="s">
        <v>1231</v>
      </c>
      <c r="B1096" s="27">
        <v>50.0</v>
      </c>
    </row>
    <row r="1097">
      <c r="A1097" s="31" t="s">
        <v>1232</v>
      </c>
      <c r="B1097" s="27">
        <v>55.0</v>
      </c>
    </row>
    <row r="1098">
      <c r="A1098" s="31" t="s">
        <v>1233</v>
      </c>
      <c r="B1098" s="27">
        <v>0.0</v>
      </c>
    </row>
    <row r="1099">
      <c r="A1099" s="31" t="s">
        <v>1234</v>
      </c>
      <c r="B1099" s="27">
        <v>80.0</v>
      </c>
    </row>
    <row r="1100">
      <c r="A1100" s="31" t="s">
        <v>1235</v>
      </c>
      <c r="B1100" s="27">
        <v>0.0</v>
      </c>
    </row>
    <row r="1101">
      <c r="A1101" s="31" t="s">
        <v>1236</v>
      </c>
      <c r="B1101" s="27">
        <v>50.0</v>
      </c>
    </row>
    <row r="1102">
      <c r="A1102" s="31" t="s">
        <v>1237</v>
      </c>
      <c r="B1102" s="27">
        <v>50.0</v>
      </c>
    </row>
    <row r="1103">
      <c r="A1103" s="31" t="s">
        <v>1238</v>
      </c>
      <c r="B1103" s="27">
        <v>55.0</v>
      </c>
    </row>
    <row r="1104">
      <c r="A1104" s="31" t="s">
        <v>1239</v>
      </c>
      <c r="B1104" s="27">
        <v>0.0</v>
      </c>
    </row>
    <row r="1105">
      <c r="A1105" s="32" t="s">
        <v>1240</v>
      </c>
      <c r="B1105" s="29">
        <v>0.0</v>
      </c>
    </row>
    <row r="1106">
      <c r="A1106" s="31" t="s">
        <v>1241</v>
      </c>
      <c r="B1106" s="27">
        <v>72.0</v>
      </c>
    </row>
    <row r="1107">
      <c r="A1107" s="31" t="s">
        <v>1242</v>
      </c>
      <c r="B1107" s="27">
        <v>60.0</v>
      </c>
    </row>
    <row r="1108">
      <c r="A1108" s="31" t="s">
        <v>1243</v>
      </c>
      <c r="B1108" s="27">
        <v>50.0</v>
      </c>
    </row>
    <row r="1109">
      <c r="A1109" s="31" t="s">
        <v>1244</v>
      </c>
      <c r="B1109" s="27">
        <v>56.0</v>
      </c>
    </row>
    <row r="1110">
      <c r="A1110" s="31" t="s">
        <v>1245</v>
      </c>
      <c r="B1110" s="27">
        <v>55.0</v>
      </c>
    </row>
    <row r="1111">
      <c r="A1111" s="31" t="s">
        <v>1246</v>
      </c>
      <c r="B1111" s="27">
        <v>55.0</v>
      </c>
    </row>
    <row r="1112">
      <c r="A1112" s="31" t="s">
        <v>1247</v>
      </c>
      <c r="B1112" s="27">
        <v>80.0</v>
      </c>
    </row>
    <row r="1113">
      <c r="A1113" s="31" t="s">
        <v>1248</v>
      </c>
      <c r="B1113" s="27">
        <v>50.0</v>
      </c>
    </row>
    <row r="1114">
      <c r="A1114" s="32" t="s">
        <v>862</v>
      </c>
      <c r="B1114" s="29">
        <v>0.0</v>
      </c>
    </row>
    <row r="1115">
      <c r="A1115" s="31" t="s">
        <v>1250</v>
      </c>
      <c r="B1115" s="27">
        <v>50.0</v>
      </c>
    </row>
    <row r="1116">
      <c r="A1116" s="31" t="s">
        <v>1251</v>
      </c>
      <c r="B1116" s="27">
        <v>0.0</v>
      </c>
    </row>
    <row r="1117">
      <c r="A1117" s="31" t="s">
        <v>1252</v>
      </c>
      <c r="B1117" s="27">
        <v>80.0</v>
      </c>
    </row>
    <row r="1118">
      <c r="A1118" s="31" t="s">
        <v>1253</v>
      </c>
      <c r="B1118" s="27">
        <v>0.0</v>
      </c>
    </row>
    <row r="1119">
      <c r="A1119" s="31" t="s">
        <v>1254</v>
      </c>
      <c r="B1119" s="27">
        <v>55.0</v>
      </c>
    </row>
    <row r="1120">
      <c r="A1120" s="31" t="s">
        <v>1255</v>
      </c>
      <c r="B1120" s="27">
        <v>50.0</v>
      </c>
    </row>
    <row r="1121">
      <c r="A1121" s="31" t="s">
        <v>1256</v>
      </c>
      <c r="B1121" s="27">
        <v>50.0</v>
      </c>
    </row>
    <row r="1122">
      <c r="A1122" s="31" t="s">
        <v>1257</v>
      </c>
      <c r="B1122" s="27">
        <v>0.0</v>
      </c>
    </row>
    <row r="1123">
      <c r="A1123" s="31" t="s">
        <v>1258</v>
      </c>
      <c r="B1123" s="27">
        <v>60.0</v>
      </c>
    </row>
    <row r="1124">
      <c r="A1124" s="31" t="s">
        <v>1259</v>
      </c>
      <c r="B1124" s="27">
        <v>54.0</v>
      </c>
    </row>
    <row r="1125">
      <c r="A1125" s="31" t="s">
        <v>1260</v>
      </c>
      <c r="B1125" s="27">
        <v>56.0</v>
      </c>
    </row>
    <row r="1126">
      <c r="A1126" s="31" t="s">
        <v>1261</v>
      </c>
      <c r="B1126" s="27">
        <v>50.0</v>
      </c>
    </row>
    <row r="1127">
      <c r="A1127" s="31" t="s">
        <v>1262</v>
      </c>
      <c r="B1127" s="27">
        <v>0.0</v>
      </c>
    </row>
    <row r="1128">
      <c r="A1128" s="31" t="s">
        <v>1263</v>
      </c>
      <c r="B1128" s="27">
        <v>50.0</v>
      </c>
    </row>
    <row r="1129">
      <c r="A1129" s="31" t="s">
        <v>1264</v>
      </c>
      <c r="B1129" s="27">
        <v>50.0</v>
      </c>
    </row>
    <row r="1130">
      <c r="A1130" s="31" t="s">
        <v>1265</v>
      </c>
      <c r="B1130" s="27">
        <v>0.0</v>
      </c>
    </row>
    <row r="1131">
      <c r="A1131" s="31" t="s">
        <v>1266</v>
      </c>
      <c r="B1131" s="27">
        <v>50.0</v>
      </c>
    </row>
    <row r="1132">
      <c r="A1132" s="31" t="s">
        <v>1267</v>
      </c>
      <c r="B1132" s="27">
        <v>0.0</v>
      </c>
    </row>
    <row r="1133">
      <c r="A1133" s="31" t="s">
        <v>1268</v>
      </c>
      <c r="B1133" s="27">
        <v>0.0</v>
      </c>
    </row>
    <row r="1134">
      <c r="A1134" s="30" t="s">
        <v>1269</v>
      </c>
      <c r="B1134" s="26">
        <v>50.0</v>
      </c>
    </row>
    <row r="1135">
      <c r="A1135" s="31" t="s">
        <v>1270</v>
      </c>
      <c r="B1135" s="27">
        <v>67.0</v>
      </c>
    </row>
    <row r="1136">
      <c r="A1136" s="31" t="s">
        <v>1271</v>
      </c>
      <c r="B1136" s="27">
        <v>75.0</v>
      </c>
    </row>
    <row r="1137">
      <c r="A1137" s="31" t="s">
        <v>1272</v>
      </c>
      <c r="B1137" s="27">
        <v>50.0</v>
      </c>
    </row>
    <row r="1138">
      <c r="A1138" s="31" t="s">
        <v>1273</v>
      </c>
      <c r="B1138" s="27">
        <v>0.0</v>
      </c>
    </row>
    <row r="1139">
      <c r="A1139" s="31" t="s">
        <v>1274</v>
      </c>
      <c r="B1139" s="27">
        <v>67.0</v>
      </c>
    </row>
    <row r="1140">
      <c r="A1140" s="31" t="s">
        <v>1275</v>
      </c>
      <c r="B1140" s="27">
        <v>72.0</v>
      </c>
    </row>
    <row r="1141">
      <c r="A1141" s="31" t="s">
        <v>1276</v>
      </c>
      <c r="B1141" s="27">
        <v>62.0</v>
      </c>
    </row>
    <row r="1142">
      <c r="A1142" s="31" t="s">
        <v>1277</v>
      </c>
      <c r="B1142" s="27">
        <v>50.0</v>
      </c>
    </row>
    <row r="1143">
      <c r="A1143" s="31" t="s">
        <v>1278</v>
      </c>
      <c r="B1143" s="27">
        <v>62.0</v>
      </c>
    </row>
    <row r="1144">
      <c r="A1144" s="31" t="s">
        <v>1279</v>
      </c>
      <c r="B1144" s="27">
        <v>50.0</v>
      </c>
    </row>
    <row r="1145">
      <c r="A1145" s="31" t="s">
        <v>1280</v>
      </c>
      <c r="B1145" s="27">
        <v>73.0</v>
      </c>
    </row>
    <row r="1146">
      <c r="A1146" s="31" t="s">
        <v>1281</v>
      </c>
      <c r="B1146" s="27">
        <v>67.0</v>
      </c>
    </row>
    <row r="1147">
      <c r="A1147" s="31" t="s">
        <v>1282</v>
      </c>
      <c r="B1147" s="27">
        <v>90.0</v>
      </c>
    </row>
    <row r="1148">
      <c r="A1148" s="31" t="s">
        <v>1283</v>
      </c>
      <c r="B1148" s="27">
        <v>50.0</v>
      </c>
    </row>
    <row r="1149">
      <c r="A1149" s="31" t="s">
        <v>1284</v>
      </c>
      <c r="B1149" s="27">
        <v>70.0</v>
      </c>
    </row>
    <row r="1150">
      <c r="A1150" s="31" t="s">
        <v>1285</v>
      </c>
      <c r="B1150" s="27">
        <v>75.0</v>
      </c>
    </row>
    <row r="1151">
      <c r="A1151" s="31" t="s">
        <v>1286</v>
      </c>
      <c r="B1151" s="27">
        <v>53.0</v>
      </c>
    </row>
    <row r="1152">
      <c r="A1152" s="31" t="s">
        <v>1287</v>
      </c>
      <c r="B1152" s="27">
        <v>90.0</v>
      </c>
    </row>
    <row r="1153">
      <c r="A1153" s="31" t="s">
        <v>1288</v>
      </c>
      <c r="B1153" s="27">
        <v>50.0</v>
      </c>
    </row>
    <row r="1154">
      <c r="A1154" s="31" t="s">
        <v>1289</v>
      </c>
      <c r="B1154" s="27">
        <v>67.0</v>
      </c>
    </row>
    <row r="1155">
      <c r="A1155" s="31" t="s">
        <v>1290</v>
      </c>
      <c r="B1155" s="27">
        <v>71.0</v>
      </c>
    </row>
    <row r="1156">
      <c r="A1156" s="31" t="s">
        <v>1291</v>
      </c>
      <c r="B1156" s="27">
        <v>0.0</v>
      </c>
    </row>
    <row r="1157">
      <c r="A1157" s="31" t="s">
        <v>1292</v>
      </c>
      <c r="B1157" s="27">
        <v>70.0</v>
      </c>
    </row>
    <row r="1158">
      <c r="A1158" s="31" t="s">
        <v>1293</v>
      </c>
      <c r="B1158" s="27">
        <v>50.0</v>
      </c>
    </row>
    <row r="1159">
      <c r="A1159" s="31" t="s">
        <v>1294</v>
      </c>
      <c r="B1159" s="27">
        <v>72.0</v>
      </c>
    </row>
    <row r="1160">
      <c r="A1160" s="31" t="s">
        <v>1295</v>
      </c>
      <c r="B1160" s="27">
        <v>90.0</v>
      </c>
    </row>
    <row r="1161">
      <c r="A1161" s="31" t="s">
        <v>1296</v>
      </c>
      <c r="B1161" s="27">
        <v>50.0</v>
      </c>
    </row>
    <row r="1162">
      <c r="A1162" s="31" t="s">
        <v>1297</v>
      </c>
      <c r="B1162" s="27">
        <v>71.0</v>
      </c>
    </row>
    <row r="1163">
      <c r="A1163" s="31" t="s">
        <v>1298</v>
      </c>
      <c r="B1163" s="27">
        <v>0.0</v>
      </c>
    </row>
    <row r="1164">
      <c r="A1164" s="31" t="s">
        <v>1299</v>
      </c>
      <c r="B1164" s="27">
        <v>62.0</v>
      </c>
    </row>
    <row r="1165">
      <c r="A1165" s="31" t="s">
        <v>1300</v>
      </c>
      <c r="B1165" s="27">
        <v>67.0</v>
      </c>
    </row>
    <row r="1166">
      <c r="A1166" s="32" t="s">
        <v>1301</v>
      </c>
      <c r="B1166" s="29">
        <v>0.0</v>
      </c>
    </row>
    <row r="1167">
      <c r="A1167" s="31" t="s">
        <v>1302</v>
      </c>
      <c r="B1167" s="27">
        <v>50.0</v>
      </c>
    </row>
    <row r="1168">
      <c r="A1168" s="31" t="s">
        <v>1303</v>
      </c>
      <c r="B1168" s="27">
        <v>72.0</v>
      </c>
    </row>
    <row r="1169">
      <c r="A1169" s="31" t="s">
        <v>1304</v>
      </c>
      <c r="B1169" s="27">
        <v>90.0</v>
      </c>
    </row>
    <row r="1170">
      <c r="A1170" s="31" t="s">
        <v>1305</v>
      </c>
      <c r="B1170" s="27">
        <v>50.0</v>
      </c>
    </row>
    <row r="1171">
      <c r="A1171" s="31" t="s">
        <v>1306</v>
      </c>
      <c r="B1171" s="27">
        <v>75.0</v>
      </c>
    </row>
    <row r="1172">
      <c r="A1172" s="31" t="s">
        <v>1307</v>
      </c>
      <c r="B1172" s="27">
        <v>59.0</v>
      </c>
    </row>
    <row r="1173">
      <c r="A1173" s="31" t="s">
        <v>1308</v>
      </c>
      <c r="B1173" s="27">
        <v>62.0</v>
      </c>
    </row>
    <row r="1174">
      <c r="A1174" s="31" t="s">
        <v>1309</v>
      </c>
      <c r="B1174" s="27">
        <v>71.0</v>
      </c>
    </row>
    <row r="1175">
      <c r="A1175" s="31" t="s">
        <v>1310</v>
      </c>
      <c r="B1175" s="27">
        <v>62.0</v>
      </c>
    </row>
    <row r="1176">
      <c r="A1176" s="31" t="s">
        <v>1311</v>
      </c>
      <c r="B1176" s="27">
        <v>50.0</v>
      </c>
    </row>
    <row r="1177">
      <c r="A1177" s="31" t="s">
        <v>1312</v>
      </c>
      <c r="B1177" s="27">
        <v>70.0</v>
      </c>
    </row>
    <row r="1178">
      <c r="A1178" s="31" t="s">
        <v>1313</v>
      </c>
      <c r="B1178" s="27">
        <v>0.0</v>
      </c>
    </row>
    <row r="1179">
      <c r="A1179" s="31" t="s">
        <v>1314</v>
      </c>
      <c r="B1179" s="27">
        <v>50.0</v>
      </c>
    </row>
    <row r="1180">
      <c r="A1180" s="31" t="s">
        <v>1315</v>
      </c>
      <c r="B1180" s="27">
        <v>71.0</v>
      </c>
    </row>
    <row r="1181">
      <c r="A1181" s="31" t="s">
        <v>1316</v>
      </c>
      <c r="B1181" s="27">
        <v>0.0</v>
      </c>
    </row>
    <row r="1182">
      <c r="A1182" s="31" t="s">
        <v>1317</v>
      </c>
      <c r="B1182" s="27">
        <v>50.0</v>
      </c>
    </row>
    <row r="1183">
      <c r="A1183" s="31" t="s">
        <v>1318</v>
      </c>
      <c r="B1183" s="27">
        <v>0.0</v>
      </c>
    </row>
    <row r="1184">
      <c r="A1184" s="31" t="s">
        <v>1319</v>
      </c>
      <c r="B1184" s="27">
        <v>75.0</v>
      </c>
    </row>
    <row r="1185">
      <c r="A1185" s="31" t="s">
        <v>1320</v>
      </c>
      <c r="B1185" s="27">
        <v>71.0</v>
      </c>
    </row>
    <row r="1186">
      <c r="A1186" s="31" t="s">
        <v>1321</v>
      </c>
      <c r="B1186" s="27">
        <v>72.0</v>
      </c>
    </row>
    <row r="1187">
      <c r="A1187" s="31" t="s">
        <v>1322</v>
      </c>
      <c r="B1187" s="27">
        <v>0.0</v>
      </c>
    </row>
    <row r="1188">
      <c r="A1188" s="31" t="s">
        <v>1323</v>
      </c>
      <c r="B1188" s="27">
        <v>62.0</v>
      </c>
    </row>
    <row r="1189">
      <c r="A1189" s="31" t="s">
        <v>1324</v>
      </c>
      <c r="B1189" s="27">
        <v>75.0</v>
      </c>
    </row>
    <row r="1190">
      <c r="A1190" s="31" t="s">
        <v>1325</v>
      </c>
      <c r="B1190" s="27">
        <v>67.0</v>
      </c>
    </row>
    <row r="1191">
      <c r="A1191" s="31" t="s">
        <v>1326</v>
      </c>
      <c r="B1191" s="27">
        <v>75.0</v>
      </c>
    </row>
    <row r="1192">
      <c r="A1192" s="31" t="s">
        <v>1327</v>
      </c>
      <c r="B1192" s="27">
        <v>90.0</v>
      </c>
    </row>
    <row r="1193">
      <c r="A1193" s="31" t="s">
        <v>1328</v>
      </c>
      <c r="B1193" s="27">
        <v>0.0</v>
      </c>
    </row>
    <row r="1194">
      <c r="A1194" s="31" t="s">
        <v>1329</v>
      </c>
      <c r="B1194" s="27">
        <v>70.0</v>
      </c>
    </row>
    <row r="1195">
      <c r="A1195" s="31" t="s">
        <v>1330</v>
      </c>
      <c r="B1195" s="27">
        <v>71.0</v>
      </c>
    </row>
    <row r="1196">
      <c r="A1196" s="31" t="s">
        <v>1331</v>
      </c>
      <c r="B1196" s="27">
        <v>67.0</v>
      </c>
    </row>
    <row r="1197">
      <c r="A1197" s="31" t="s">
        <v>1345</v>
      </c>
      <c r="B1197" s="27">
        <v>72.0</v>
      </c>
    </row>
    <row r="1198">
      <c r="A1198" s="31" t="s">
        <v>1332</v>
      </c>
      <c r="B1198" s="27">
        <v>50.0</v>
      </c>
    </row>
    <row r="1199">
      <c r="A1199" s="31" t="s">
        <v>1333</v>
      </c>
      <c r="B1199" s="27">
        <v>71.0</v>
      </c>
    </row>
    <row r="1200">
      <c r="A1200" s="31" t="s">
        <v>1334</v>
      </c>
      <c r="B1200" s="27">
        <v>0.0</v>
      </c>
    </row>
    <row r="1201">
      <c r="A1201" s="31" t="s">
        <v>1335</v>
      </c>
      <c r="B1201" s="27">
        <v>50.0</v>
      </c>
    </row>
    <row r="1202">
      <c r="A1202" s="31" t="s">
        <v>1336</v>
      </c>
      <c r="B1202" s="27">
        <v>0.0</v>
      </c>
    </row>
    <row r="1203">
      <c r="A1203" s="31" t="s">
        <v>1337</v>
      </c>
      <c r="B1203" s="27">
        <v>0.0</v>
      </c>
    </row>
    <row r="1204">
      <c r="A1204" s="34"/>
      <c r="B1204" s="35"/>
    </row>
    <row r="1205">
      <c r="A1205" s="34"/>
      <c r="B1205" s="35"/>
    </row>
    <row r="1206">
      <c r="A1206" s="34"/>
      <c r="B1206" s="35"/>
    </row>
    <row r="1207">
      <c r="A1207" s="34"/>
      <c r="B1207" s="35"/>
    </row>
    <row r="1208">
      <c r="A1208" s="34"/>
      <c r="B1208" s="35"/>
    </row>
    <row r="1209">
      <c r="A1209" s="34"/>
      <c r="B1209" s="35"/>
    </row>
    <row r="1210">
      <c r="A1210" s="34"/>
      <c r="B1210" s="35"/>
    </row>
    <row r="1211">
      <c r="A1211" s="34"/>
      <c r="B1211" s="35"/>
    </row>
    <row r="1212">
      <c r="A1212" s="34"/>
      <c r="B1212" s="35"/>
    </row>
    <row r="1213">
      <c r="A1213" s="34"/>
      <c r="B1213" s="35"/>
    </row>
    <row r="1214">
      <c r="A1214" s="34"/>
      <c r="B1214" s="35"/>
    </row>
    <row r="1215">
      <c r="A1215" s="34"/>
      <c r="B1215" s="35"/>
    </row>
    <row r="1216">
      <c r="A1216" s="34"/>
      <c r="B1216" s="35"/>
    </row>
    <row r="1217">
      <c r="A1217" s="34"/>
      <c r="B1217" s="35"/>
    </row>
    <row r="1218">
      <c r="A1218" s="34"/>
      <c r="B1218" s="35"/>
    </row>
    <row r="1219">
      <c r="A1219" s="34"/>
      <c r="B1219" s="35"/>
    </row>
    <row r="1220">
      <c r="A1220" s="34"/>
      <c r="B1220" s="35"/>
    </row>
    <row r="1221">
      <c r="A1221" s="34"/>
      <c r="B1221" s="35"/>
    </row>
    <row r="1222">
      <c r="A1222" s="34"/>
      <c r="B1222" s="35"/>
    </row>
    <row r="1223">
      <c r="A1223" s="34"/>
      <c r="B1223" s="35"/>
    </row>
    <row r="1224">
      <c r="A1224" s="34"/>
      <c r="B1224" s="35"/>
    </row>
    <row r="1225">
      <c r="A1225" s="34"/>
      <c r="B1225" s="35"/>
    </row>
    <row r="1226">
      <c r="A1226" s="34"/>
      <c r="B1226" s="35"/>
    </row>
    <row r="1227">
      <c r="A1227" s="34"/>
      <c r="B1227" s="35"/>
    </row>
    <row r="1228">
      <c r="A1228" s="34"/>
      <c r="B1228" s="35"/>
    </row>
    <row r="1229">
      <c r="A1229" s="34"/>
      <c r="B1229" s="35"/>
    </row>
    <row r="1230">
      <c r="A1230" s="34"/>
      <c r="B1230" s="35"/>
    </row>
    <row r="1231">
      <c r="A1231" s="34"/>
      <c r="B1231" s="35"/>
    </row>
    <row r="1232">
      <c r="A1232" s="34"/>
      <c r="B1232" s="35"/>
    </row>
    <row r="1233">
      <c r="A1233" s="34"/>
      <c r="B1233" s="35"/>
    </row>
    <row r="1234">
      <c r="A1234" s="34"/>
      <c r="B1234" s="35"/>
    </row>
    <row r="1235">
      <c r="A1235" s="34"/>
      <c r="B1235" s="35"/>
    </row>
    <row r="1236">
      <c r="A1236" s="34"/>
      <c r="B1236" s="35"/>
    </row>
    <row r="1237">
      <c r="A1237" s="34"/>
      <c r="B1237" s="35"/>
    </row>
    <row r="1238">
      <c r="A1238" s="34"/>
      <c r="B1238" s="35"/>
    </row>
    <row r="1239">
      <c r="A1239" s="34"/>
      <c r="B1239" s="35"/>
    </row>
    <row r="1240">
      <c r="A1240" s="34"/>
      <c r="B1240" s="35"/>
    </row>
    <row r="1241">
      <c r="A1241" s="34"/>
      <c r="B1241" s="35"/>
    </row>
    <row r="1242">
      <c r="A1242" s="34"/>
      <c r="B1242" s="35"/>
    </row>
    <row r="1243">
      <c r="A1243" s="34"/>
      <c r="B1243" s="35"/>
    </row>
    <row r="1244">
      <c r="A1244" s="34"/>
      <c r="B1244" s="35"/>
    </row>
    <row r="1245">
      <c r="A1245" s="34"/>
      <c r="B1245" s="35"/>
    </row>
    <row r="1246">
      <c r="A1246" s="34"/>
      <c r="B1246" s="35"/>
    </row>
    <row r="1247">
      <c r="A1247" s="34"/>
      <c r="B1247" s="35"/>
    </row>
    <row r="1248">
      <c r="A1248" s="34"/>
      <c r="B1248" s="35"/>
    </row>
    <row r="1249">
      <c r="A1249" s="34"/>
      <c r="B1249" s="35"/>
    </row>
    <row r="1250">
      <c r="A1250" s="34"/>
      <c r="B1250" s="35"/>
    </row>
    <row r="1251">
      <c r="A1251" s="34"/>
      <c r="B1251" s="35"/>
    </row>
    <row r="1252">
      <c r="A1252" s="34"/>
      <c r="B1252" s="35"/>
    </row>
    <row r="1253">
      <c r="A1253" s="34"/>
      <c r="B1253" s="35"/>
    </row>
    <row r="1254">
      <c r="A1254" s="34"/>
      <c r="B1254" s="35"/>
    </row>
    <row r="1255">
      <c r="A1255" s="34"/>
      <c r="B1255" s="35"/>
    </row>
    <row r="1256">
      <c r="A1256" s="34"/>
      <c r="B1256" s="35"/>
    </row>
    <row r="1257">
      <c r="A1257" s="34"/>
      <c r="B1257" s="35"/>
    </row>
    <row r="1258">
      <c r="A1258" s="34"/>
      <c r="B1258" s="35"/>
    </row>
    <row r="1259">
      <c r="A1259" s="34"/>
      <c r="B1259" s="35"/>
    </row>
    <row r="1260">
      <c r="A1260" s="34"/>
      <c r="B1260" s="35"/>
    </row>
    <row r="1261">
      <c r="A1261" s="34"/>
      <c r="B1261" s="35"/>
    </row>
    <row r="1262">
      <c r="A1262" s="34"/>
      <c r="B1262" s="35"/>
    </row>
    <row r="1263">
      <c r="A1263" s="34"/>
      <c r="B1263" s="35"/>
    </row>
    <row r="1264">
      <c r="A1264" s="34"/>
      <c r="B1264" s="35"/>
    </row>
    <row r="1265">
      <c r="A1265" s="34"/>
      <c r="B1265" s="35"/>
    </row>
    <row r="1266">
      <c r="A1266" s="34"/>
      <c r="B1266" s="35"/>
    </row>
    <row r="1267">
      <c r="A1267" s="34"/>
      <c r="B1267" s="35"/>
    </row>
    <row r="1268">
      <c r="A1268" s="34"/>
      <c r="B1268" s="35"/>
    </row>
    <row r="1269">
      <c r="A1269" s="34"/>
      <c r="B1269" s="35"/>
    </row>
    <row r="1270">
      <c r="A1270" s="34"/>
      <c r="B1270" s="35"/>
    </row>
    <row r="1271">
      <c r="A1271" s="34"/>
      <c r="B1271" s="35"/>
    </row>
    <row r="1272">
      <c r="A1272" s="34"/>
      <c r="B1272" s="35"/>
    </row>
    <row r="1273">
      <c r="A1273" s="34"/>
      <c r="B1273" s="35"/>
    </row>
    <row r="1274">
      <c r="A1274" s="34"/>
      <c r="B1274" s="35"/>
    </row>
    <row r="1275">
      <c r="A1275" s="34"/>
      <c r="B1275" s="35"/>
    </row>
    <row r="1276">
      <c r="A1276" s="34"/>
      <c r="B1276" s="35"/>
    </row>
    <row r="1277">
      <c r="A1277" s="34"/>
      <c r="B1277" s="35"/>
    </row>
    <row r="1278">
      <c r="A1278" s="34"/>
      <c r="B1278" s="35"/>
    </row>
    <row r="1279">
      <c r="A1279" s="34"/>
      <c r="B1279" s="35"/>
    </row>
    <row r="1280">
      <c r="A1280" s="34"/>
      <c r="B1280" s="35"/>
    </row>
    <row r="1281">
      <c r="A1281" s="34"/>
      <c r="B1281" s="35"/>
    </row>
    <row r="1282">
      <c r="A1282" s="34"/>
      <c r="B1282" s="35"/>
    </row>
    <row r="1283">
      <c r="A1283" s="34"/>
      <c r="B1283" s="35"/>
    </row>
    <row r="1284">
      <c r="A1284" s="34"/>
      <c r="B1284" s="35"/>
    </row>
    <row r="1285">
      <c r="A1285" s="34"/>
      <c r="B1285" s="35"/>
    </row>
    <row r="1286">
      <c r="A1286" s="34"/>
      <c r="B1286" s="35"/>
    </row>
    <row r="1287">
      <c r="A1287" s="34"/>
      <c r="B1287" s="35"/>
    </row>
    <row r="1288">
      <c r="A1288" s="34"/>
      <c r="B1288" s="35"/>
    </row>
    <row r="1289">
      <c r="A1289" s="34"/>
      <c r="B1289" s="35"/>
    </row>
    <row r="1290">
      <c r="A1290" s="34"/>
      <c r="B1290" s="35"/>
    </row>
    <row r="1291">
      <c r="A1291" s="34"/>
      <c r="B1291" s="35"/>
    </row>
    <row r="1292">
      <c r="A1292" s="34"/>
      <c r="B1292" s="35"/>
    </row>
    <row r="1293">
      <c r="A1293" s="34"/>
      <c r="B1293" s="35"/>
    </row>
    <row r="1294">
      <c r="A1294" s="34"/>
      <c r="B1294" s="35"/>
    </row>
    <row r="1295">
      <c r="A1295" s="34"/>
      <c r="B1295" s="35"/>
    </row>
    <row r="1296">
      <c r="A1296" s="34"/>
      <c r="B1296" s="35"/>
    </row>
    <row r="1297">
      <c r="A1297" s="34"/>
      <c r="B1297" s="35"/>
    </row>
    <row r="1298">
      <c r="A1298" s="34"/>
      <c r="B1298" s="35"/>
    </row>
    <row r="1299">
      <c r="A1299" s="34"/>
      <c r="B1299" s="35"/>
    </row>
    <row r="1300">
      <c r="A1300" s="34"/>
      <c r="B1300" s="35"/>
    </row>
    <row r="1301">
      <c r="A1301" s="34"/>
      <c r="B1301" s="35"/>
    </row>
    <row r="1302">
      <c r="A1302" s="34"/>
      <c r="B1302" s="35"/>
    </row>
    <row r="1303">
      <c r="A1303" s="34"/>
      <c r="B1303" s="35"/>
    </row>
    <row r="1304">
      <c r="A1304" s="34"/>
      <c r="B1304" s="35"/>
    </row>
    <row r="1305">
      <c r="A1305" s="34"/>
      <c r="B1305" s="35"/>
    </row>
    <row r="1306">
      <c r="A1306" s="34"/>
      <c r="B1306" s="35"/>
    </row>
    <row r="1307">
      <c r="A1307" s="34"/>
      <c r="B1307" s="35"/>
    </row>
    <row r="1308">
      <c r="A1308" s="34"/>
      <c r="B1308" s="35"/>
    </row>
    <row r="1309">
      <c r="A1309" s="34"/>
      <c r="B1309" s="35"/>
    </row>
    <row r="1310">
      <c r="A1310" s="34"/>
      <c r="B1310" s="35"/>
    </row>
    <row r="1311">
      <c r="A1311" s="34"/>
      <c r="B1311" s="35"/>
    </row>
    <row r="1312">
      <c r="A1312" s="34"/>
      <c r="B1312" s="35"/>
    </row>
    <row r="1313">
      <c r="A1313" s="34"/>
      <c r="B1313" s="35"/>
    </row>
    <row r="1314">
      <c r="A1314" s="34"/>
      <c r="B1314" s="35"/>
    </row>
    <row r="1315">
      <c r="A1315" s="34"/>
      <c r="B1315" s="35"/>
    </row>
    <row r="1316">
      <c r="A1316" s="34"/>
      <c r="B1316" s="35"/>
    </row>
    <row r="1317">
      <c r="A1317" s="34"/>
      <c r="B1317" s="35"/>
    </row>
    <row r="1318">
      <c r="A1318" s="34"/>
      <c r="B1318" s="35"/>
    </row>
    <row r="1319">
      <c r="A1319" s="34"/>
      <c r="B1319" s="35"/>
    </row>
    <row r="1320">
      <c r="A1320" s="34"/>
      <c r="B1320" s="35"/>
    </row>
    <row r="1321">
      <c r="A1321" s="34"/>
      <c r="B1321" s="35"/>
    </row>
    <row r="1322">
      <c r="A1322" s="34"/>
      <c r="B1322" s="35"/>
    </row>
    <row r="1323">
      <c r="A1323" s="34"/>
      <c r="B1323" s="35"/>
    </row>
    <row r="1324">
      <c r="A1324" s="34"/>
      <c r="B1324" s="35"/>
    </row>
    <row r="1325">
      <c r="A1325" s="34"/>
      <c r="B1325" s="35"/>
    </row>
    <row r="1326">
      <c r="A1326" s="34"/>
      <c r="B1326" s="35"/>
    </row>
    <row r="1327">
      <c r="A1327" s="34"/>
      <c r="B1327" s="35"/>
    </row>
    <row r="1328">
      <c r="A1328" s="34"/>
      <c r="B1328" s="35"/>
    </row>
    <row r="1329">
      <c r="A1329" s="34"/>
      <c r="B1329" s="35"/>
    </row>
    <row r="1330">
      <c r="A1330" s="34"/>
      <c r="B1330" s="35"/>
    </row>
    <row r="1331">
      <c r="A1331" s="34"/>
      <c r="B1331" s="35"/>
    </row>
    <row r="1332">
      <c r="A1332" s="34"/>
      <c r="B1332" s="35"/>
    </row>
    <row r="1333">
      <c r="A1333" s="34"/>
      <c r="B1333" s="35"/>
    </row>
    <row r="1334">
      <c r="A1334" s="34"/>
      <c r="B1334" s="35"/>
    </row>
    <row r="1335">
      <c r="A1335" s="34"/>
      <c r="B1335" s="35"/>
    </row>
    <row r="1336">
      <c r="A1336" s="34"/>
      <c r="B1336" s="35"/>
    </row>
    <row r="1337">
      <c r="A1337" s="34"/>
      <c r="B1337" s="35"/>
    </row>
    <row r="1338">
      <c r="A1338" s="34"/>
      <c r="B1338" s="35"/>
    </row>
    <row r="1339">
      <c r="A1339" s="34"/>
      <c r="B1339" s="35"/>
    </row>
    <row r="1340">
      <c r="A1340" s="34"/>
      <c r="B1340" s="35"/>
    </row>
    <row r="1341">
      <c r="A1341" s="34"/>
      <c r="B1341" s="35"/>
    </row>
    <row r="1342">
      <c r="A1342" s="34"/>
      <c r="B1342" s="35"/>
    </row>
    <row r="1343">
      <c r="A1343" s="34"/>
      <c r="B1343" s="35"/>
    </row>
    <row r="1344">
      <c r="A1344" s="34"/>
      <c r="B1344" s="35"/>
    </row>
    <row r="1345">
      <c r="A1345" s="34"/>
      <c r="B1345" s="35"/>
    </row>
    <row r="1346">
      <c r="A1346" s="34"/>
      <c r="B1346" s="35"/>
    </row>
    <row r="1347">
      <c r="A1347" s="34"/>
      <c r="B1347" s="35"/>
    </row>
    <row r="1348">
      <c r="A1348" s="34"/>
      <c r="B1348" s="35"/>
    </row>
    <row r="1349">
      <c r="A1349" s="34"/>
      <c r="B1349" s="35"/>
    </row>
    <row r="1350">
      <c r="A1350" s="34"/>
      <c r="B1350" s="35"/>
    </row>
    <row r="1351">
      <c r="A1351" s="34"/>
      <c r="B1351" s="35"/>
    </row>
    <row r="1352">
      <c r="A1352" s="34"/>
      <c r="B1352" s="35"/>
    </row>
    <row r="1353">
      <c r="A1353" s="34"/>
      <c r="B1353" s="35"/>
    </row>
    <row r="1354">
      <c r="A1354" s="34"/>
      <c r="B1354" s="35"/>
    </row>
    <row r="1355">
      <c r="A1355" s="34"/>
      <c r="B1355" s="35"/>
    </row>
    <row r="1356">
      <c r="A1356" s="34"/>
      <c r="B1356" s="35"/>
    </row>
    <row r="1357">
      <c r="A1357" s="34"/>
      <c r="B1357" s="35"/>
    </row>
    <row r="1358">
      <c r="A1358" s="34"/>
      <c r="B1358" s="35"/>
    </row>
    <row r="1359">
      <c r="A1359" s="34"/>
      <c r="B1359" s="35"/>
    </row>
    <row r="1360">
      <c r="A1360" s="34"/>
      <c r="B1360" s="35"/>
    </row>
    <row r="1361">
      <c r="A1361" s="34"/>
      <c r="B1361" s="35"/>
    </row>
    <row r="1362">
      <c r="A1362" s="34"/>
      <c r="B1362" s="35"/>
    </row>
    <row r="1363">
      <c r="A1363" s="34"/>
      <c r="B1363" s="35"/>
    </row>
    <row r="1364">
      <c r="A1364" s="34"/>
      <c r="B1364" s="35"/>
    </row>
    <row r="1365">
      <c r="A1365" s="34"/>
      <c r="B1365" s="35"/>
    </row>
    <row r="1366">
      <c r="A1366" s="34"/>
      <c r="B1366" s="35"/>
    </row>
    <row r="1367">
      <c r="A1367" s="34"/>
      <c r="B1367" s="35"/>
    </row>
    <row r="1368">
      <c r="A1368" s="34"/>
      <c r="B1368" s="35"/>
    </row>
    <row r="1369">
      <c r="A1369" s="34"/>
      <c r="B1369" s="35"/>
    </row>
    <row r="1370">
      <c r="A1370" s="34"/>
      <c r="B1370" s="35"/>
    </row>
    <row r="1371">
      <c r="A1371" s="34"/>
      <c r="B1371" s="35"/>
    </row>
    <row r="1372">
      <c r="A1372" s="34"/>
      <c r="B1372" s="35"/>
    </row>
    <row r="1373">
      <c r="A1373" s="34"/>
      <c r="B1373" s="35"/>
    </row>
    <row r="1374">
      <c r="A1374" s="34"/>
      <c r="B1374" s="35"/>
    </row>
    <row r="1375">
      <c r="A1375" s="34"/>
      <c r="B1375" s="35"/>
    </row>
    <row r="1376">
      <c r="A1376" s="34"/>
      <c r="B1376" s="35"/>
    </row>
    <row r="1377">
      <c r="A1377" s="34"/>
      <c r="B1377" s="35"/>
    </row>
    <row r="1378">
      <c r="A1378" s="34"/>
      <c r="B1378" s="35"/>
    </row>
    <row r="1379">
      <c r="A1379" s="34"/>
      <c r="B1379" s="35"/>
    </row>
    <row r="1380">
      <c r="A1380" s="34"/>
      <c r="B1380" s="35"/>
    </row>
    <row r="1381">
      <c r="A1381" s="34"/>
      <c r="B1381" s="35"/>
    </row>
    <row r="1382">
      <c r="A1382" s="34"/>
      <c r="B1382" s="35"/>
    </row>
    <row r="1383">
      <c r="A1383" s="34"/>
      <c r="B1383" s="35"/>
    </row>
    <row r="1384">
      <c r="A1384" s="34"/>
      <c r="B1384" s="35"/>
    </row>
    <row r="1385">
      <c r="A1385" s="34"/>
      <c r="B1385" s="35"/>
    </row>
    <row r="1386">
      <c r="A1386" s="34"/>
      <c r="B1386" s="35"/>
    </row>
    <row r="1387">
      <c r="A1387" s="34"/>
      <c r="B1387" s="35"/>
    </row>
    <row r="1388">
      <c r="A1388" s="34"/>
      <c r="B1388" s="35"/>
    </row>
    <row r="1389">
      <c r="A1389" s="34"/>
      <c r="B1389" s="35"/>
    </row>
    <row r="1390">
      <c r="A1390" s="34"/>
      <c r="B1390" s="35"/>
    </row>
    <row r="1391">
      <c r="A1391" s="34"/>
      <c r="B1391" s="35"/>
    </row>
    <row r="1392">
      <c r="A1392" s="34"/>
      <c r="B1392" s="35"/>
    </row>
    <row r="1393">
      <c r="A1393" s="34"/>
      <c r="B1393" s="35"/>
    </row>
    <row r="1394">
      <c r="A1394" s="34"/>
      <c r="B1394" s="35"/>
    </row>
    <row r="1395">
      <c r="A1395" s="34"/>
      <c r="B1395" s="35"/>
    </row>
    <row r="1396">
      <c r="A1396" s="34"/>
      <c r="B1396" s="35"/>
    </row>
    <row r="1397">
      <c r="A1397" s="34"/>
      <c r="B1397" s="35"/>
    </row>
    <row r="1398">
      <c r="A1398" s="34"/>
      <c r="B1398" s="35"/>
    </row>
    <row r="1399">
      <c r="A1399" s="34"/>
      <c r="B1399" s="35"/>
    </row>
    <row r="1400">
      <c r="A1400" s="34"/>
      <c r="B1400" s="35"/>
    </row>
    <row r="1401">
      <c r="A1401" s="34"/>
      <c r="B1401" s="35"/>
    </row>
    <row r="1402">
      <c r="A1402" s="34"/>
      <c r="B1402" s="35"/>
    </row>
    <row r="1403">
      <c r="A1403" s="34"/>
      <c r="B1403" s="35"/>
    </row>
    <row r="1404">
      <c r="A1404" s="34"/>
      <c r="B1404" s="35"/>
    </row>
    <row r="1405">
      <c r="A1405" s="34"/>
      <c r="B1405" s="35"/>
    </row>
    <row r="1406">
      <c r="A1406" s="34"/>
      <c r="B1406" s="35"/>
    </row>
    <row r="1407">
      <c r="A1407" s="34"/>
      <c r="B1407" s="35"/>
    </row>
    <row r="1408">
      <c r="A1408" s="34"/>
      <c r="B1408" s="35"/>
    </row>
    <row r="1409">
      <c r="A1409" s="34"/>
      <c r="B1409" s="35"/>
    </row>
    <row r="1410">
      <c r="A1410" s="34"/>
      <c r="B1410" s="35"/>
    </row>
    <row r="1411">
      <c r="A1411" s="34"/>
      <c r="B1411" s="35"/>
    </row>
    <row r="1412">
      <c r="A1412" s="34"/>
      <c r="B1412" s="35"/>
    </row>
    <row r="1413">
      <c r="A1413" s="34"/>
      <c r="B1413" s="35"/>
    </row>
    <row r="1414">
      <c r="A1414" s="34"/>
      <c r="B1414" s="35"/>
    </row>
    <row r="1415">
      <c r="A1415" s="34"/>
      <c r="B1415" s="35"/>
    </row>
    <row r="1416">
      <c r="A1416" s="34"/>
      <c r="B1416" s="35"/>
    </row>
    <row r="1417">
      <c r="A1417" s="34"/>
      <c r="B1417" s="35"/>
    </row>
    <row r="1418">
      <c r="A1418" s="34"/>
      <c r="B1418" s="35"/>
    </row>
    <row r="1419">
      <c r="A1419" s="34"/>
      <c r="B1419" s="35"/>
    </row>
    <row r="1420">
      <c r="A1420" s="34"/>
      <c r="B1420" s="35"/>
    </row>
    <row r="1421">
      <c r="A1421" s="34"/>
      <c r="B1421" s="35"/>
    </row>
    <row r="1422">
      <c r="A1422" s="34"/>
      <c r="B1422" s="35"/>
    </row>
    <row r="1423">
      <c r="A1423" s="34"/>
      <c r="B1423" s="35"/>
    </row>
    <row r="1424">
      <c r="A1424" s="34"/>
      <c r="B1424" s="35"/>
    </row>
    <row r="1425">
      <c r="A1425" s="34"/>
      <c r="B1425" s="35"/>
    </row>
    <row r="1426">
      <c r="A1426" s="34"/>
      <c r="B1426" s="35"/>
    </row>
    <row r="1427">
      <c r="A1427" s="34"/>
      <c r="B1427" s="35"/>
    </row>
    <row r="1428">
      <c r="A1428" s="34"/>
      <c r="B1428" s="35"/>
    </row>
    <row r="1429">
      <c r="A1429" s="34"/>
      <c r="B1429" s="35"/>
    </row>
    <row r="1430">
      <c r="A1430" s="34"/>
      <c r="B1430" s="35"/>
    </row>
    <row r="1431">
      <c r="A1431" s="34"/>
      <c r="B1431" s="35"/>
    </row>
    <row r="1432">
      <c r="A1432" s="34"/>
      <c r="B1432" s="35"/>
    </row>
    <row r="1433">
      <c r="A1433" s="34"/>
      <c r="B1433" s="35"/>
    </row>
    <row r="1434">
      <c r="A1434" s="34"/>
      <c r="B1434" s="35"/>
    </row>
    <row r="1435">
      <c r="A1435" s="34"/>
      <c r="B1435" s="35"/>
    </row>
    <row r="1436">
      <c r="A1436" s="34"/>
      <c r="B1436" s="35"/>
    </row>
    <row r="1437">
      <c r="A1437" s="34"/>
      <c r="B1437" s="35"/>
    </row>
    <row r="1438">
      <c r="A1438" s="34"/>
      <c r="B1438" s="35"/>
    </row>
    <row r="1439">
      <c r="A1439" s="34"/>
      <c r="B1439" s="35"/>
    </row>
    <row r="1440">
      <c r="A1440" s="34"/>
      <c r="B1440" s="35"/>
    </row>
    <row r="1441">
      <c r="A1441" s="34"/>
      <c r="B1441" s="35"/>
    </row>
    <row r="1442">
      <c r="A1442" s="34"/>
      <c r="B1442" s="35"/>
    </row>
    <row r="1443">
      <c r="A1443" s="34"/>
      <c r="B1443" s="35"/>
    </row>
    <row r="1444">
      <c r="A1444" s="34"/>
      <c r="B1444" s="35"/>
    </row>
    <row r="1445">
      <c r="A1445" s="34"/>
      <c r="B1445" s="35"/>
    </row>
    <row r="1446">
      <c r="A1446" s="34"/>
      <c r="B1446" s="35"/>
    </row>
    <row r="1447">
      <c r="A1447" s="34"/>
      <c r="B1447" s="35"/>
    </row>
    <row r="1448">
      <c r="A1448" s="34"/>
      <c r="B1448" s="35"/>
    </row>
    <row r="1449">
      <c r="A1449" s="34"/>
      <c r="B1449" s="35"/>
    </row>
    <row r="1450">
      <c r="A1450" s="34"/>
      <c r="B1450" s="35"/>
    </row>
    <row r="1451">
      <c r="A1451" s="34"/>
      <c r="B1451" s="35"/>
    </row>
    <row r="1452">
      <c r="A1452" s="34"/>
      <c r="B1452" s="35"/>
    </row>
    <row r="1453">
      <c r="A1453" s="34"/>
      <c r="B1453" s="35"/>
    </row>
    <row r="1454">
      <c r="A1454" s="34"/>
      <c r="B1454" s="35"/>
    </row>
    <row r="1455">
      <c r="A1455" s="34"/>
      <c r="B1455" s="35"/>
    </row>
    <row r="1456">
      <c r="A1456" s="34"/>
      <c r="B1456" s="35"/>
    </row>
    <row r="1457">
      <c r="A1457" s="34"/>
      <c r="B1457" s="35"/>
    </row>
    <row r="1458">
      <c r="A1458" s="34"/>
      <c r="B1458" s="35"/>
    </row>
    <row r="1459">
      <c r="A1459" s="34"/>
      <c r="B1459" s="35"/>
    </row>
    <row r="1460">
      <c r="A1460" s="34"/>
      <c r="B1460" s="3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138</v>
      </c>
      <c r="B1" s="15">
        <v>88.0</v>
      </c>
    </row>
    <row r="2">
      <c r="A2" s="15" t="s">
        <v>139</v>
      </c>
      <c r="B2" s="15">
        <v>74.0</v>
      </c>
    </row>
    <row r="3">
      <c r="A3" s="15" t="s">
        <v>140</v>
      </c>
      <c r="B3" s="15">
        <v>90.0</v>
      </c>
    </row>
    <row r="4">
      <c r="A4" s="15" t="s">
        <v>141</v>
      </c>
      <c r="B4" s="15">
        <v>86.0</v>
      </c>
    </row>
    <row r="5">
      <c r="A5" s="15" t="s">
        <v>142</v>
      </c>
      <c r="B5" s="15">
        <v>86.0</v>
      </c>
    </row>
    <row r="6">
      <c r="A6" s="15" t="s">
        <v>143</v>
      </c>
      <c r="B6" s="15">
        <v>50.0</v>
      </c>
    </row>
    <row r="7">
      <c r="A7" s="15" t="s">
        <v>145</v>
      </c>
      <c r="B7" s="15">
        <v>0.0</v>
      </c>
    </row>
    <row r="8">
      <c r="A8" s="15" t="s">
        <v>146</v>
      </c>
      <c r="B8" s="15">
        <v>0.0</v>
      </c>
    </row>
    <row r="9">
      <c r="A9" s="15" t="s">
        <v>147</v>
      </c>
      <c r="B9" s="15">
        <v>50.0</v>
      </c>
    </row>
    <row r="10">
      <c r="A10" s="15" t="s">
        <v>148</v>
      </c>
      <c r="B10" s="15">
        <v>87.0</v>
      </c>
    </row>
    <row r="11">
      <c r="A11" s="15" t="s">
        <v>149</v>
      </c>
      <c r="B11" s="15">
        <v>0.0</v>
      </c>
    </row>
    <row r="12">
      <c r="A12" s="15" t="s">
        <v>150</v>
      </c>
      <c r="B12" s="15">
        <v>74.0</v>
      </c>
    </row>
    <row r="13">
      <c r="A13" s="15" t="s">
        <v>151</v>
      </c>
      <c r="B13" s="15">
        <v>0.0</v>
      </c>
    </row>
    <row r="14">
      <c r="A14" s="15" t="s">
        <v>152</v>
      </c>
      <c r="B14" s="15">
        <v>86.0</v>
      </c>
    </row>
    <row r="15">
      <c r="A15" s="15" t="s">
        <v>153</v>
      </c>
      <c r="B15" s="15">
        <v>91.0</v>
      </c>
    </row>
    <row r="16">
      <c r="A16" s="15" t="s">
        <v>154</v>
      </c>
      <c r="B16" s="15">
        <v>0.0</v>
      </c>
    </row>
    <row r="17">
      <c r="A17" s="15" t="s">
        <v>155</v>
      </c>
      <c r="B17" s="15">
        <v>80.0</v>
      </c>
    </row>
    <row r="18">
      <c r="A18" s="15" t="s">
        <v>156</v>
      </c>
      <c r="B18" s="15">
        <v>84.0</v>
      </c>
    </row>
    <row r="19">
      <c r="A19" s="15" t="s">
        <v>157</v>
      </c>
      <c r="B19" s="15">
        <v>0.0</v>
      </c>
    </row>
    <row r="20">
      <c r="A20" s="15" t="s">
        <v>158</v>
      </c>
      <c r="B20" s="15">
        <v>83.0</v>
      </c>
    </row>
    <row r="21">
      <c r="A21" s="15" t="s">
        <v>159</v>
      </c>
      <c r="B21" s="15">
        <v>93.0</v>
      </c>
    </row>
    <row r="22">
      <c r="A22" s="15" t="s">
        <v>160</v>
      </c>
      <c r="B22" s="15">
        <v>50.0</v>
      </c>
    </row>
    <row r="23">
      <c r="A23" s="15" t="s">
        <v>161</v>
      </c>
      <c r="B23" s="15">
        <v>80.0</v>
      </c>
    </row>
    <row r="24">
      <c r="A24" s="15" t="s">
        <v>162</v>
      </c>
      <c r="B24" s="15">
        <v>0.0</v>
      </c>
    </row>
    <row r="25">
      <c r="A25" s="15" t="s">
        <v>163</v>
      </c>
      <c r="B25" s="15">
        <v>0.0</v>
      </c>
    </row>
    <row r="26">
      <c r="A26" s="15" t="s">
        <v>164</v>
      </c>
      <c r="B26" s="15">
        <v>89.0</v>
      </c>
    </row>
    <row r="27">
      <c r="A27" s="15" t="s">
        <v>165</v>
      </c>
      <c r="B27" s="15">
        <v>92.0</v>
      </c>
    </row>
    <row r="28">
      <c r="A28" s="15" t="s">
        <v>166</v>
      </c>
      <c r="B28" s="15">
        <v>0.0</v>
      </c>
    </row>
    <row r="29">
      <c r="A29" s="15" t="s">
        <v>167</v>
      </c>
      <c r="B29" s="15">
        <v>0.0</v>
      </c>
    </row>
    <row r="30">
      <c r="A30" s="15" t="s">
        <v>168</v>
      </c>
      <c r="B30" s="15">
        <v>50.0</v>
      </c>
    </row>
    <row r="31">
      <c r="A31" s="15" t="s">
        <v>169</v>
      </c>
      <c r="B31" s="15">
        <v>0.0</v>
      </c>
    </row>
    <row r="32">
      <c r="A32" s="15" t="s">
        <v>170</v>
      </c>
      <c r="B32" s="15">
        <v>96.0</v>
      </c>
    </row>
    <row r="33">
      <c r="A33" s="15" t="s">
        <v>171</v>
      </c>
      <c r="B33" s="15">
        <v>96.0</v>
      </c>
    </row>
    <row r="34">
      <c r="A34" s="15" t="s">
        <v>172</v>
      </c>
      <c r="B34" s="15">
        <v>75.0</v>
      </c>
    </row>
    <row r="35">
      <c r="A35" s="15" t="s">
        <v>173</v>
      </c>
      <c r="B35" s="15">
        <v>85.0</v>
      </c>
    </row>
    <row r="36">
      <c r="A36" s="15" t="s">
        <v>174</v>
      </c>
      <c r="B36" s="15">
        <v>88.0</v>
      </c>
    </row>
    <row r="37">
      <c r="A37" s="15" t="s">
        <v>175</v>
      </c>
      <c r="B37" s="15">
        <v>88.0</v>
      </c>
    </row>
    <row r="38">
      <c r="A38" s="15" t="s">
        <v>177</v>
      </c>
      <c r="B38" s="15">
        <v>0.0</v>
      </c>
    </row>
    <row r="39">
      <c r="A39" s="15" t="s">
        <v>178</v>
      </c>
      <c r="B39" s="15">
        <v>0.0</v>
      </c>
    </row>
    <row r="40">
      <c r="A40" s="15" t="s">
        <v>179</v>
      </c>
      <c r="B40" s="15">
        <v>93.0</v>
      </c>
    </row>
    <row r="41">
      <c r="A41" s="15" t="s">
        <v>180</v>
      </c>
      <c r="B41" s="15">
        <v>67.0</v>
      </c>
    </row>
    <row r="42">
      <c r="A42" s="15" t="s">
        <v>181</v>
      </c>
      <c r="B42" s="15">
        <v>94.0</v>
      </c>
    </row>
    <row r="43">
      <c r="A43" s="15" t="s">
        <v>182</v>
      </c>
      <c r="B43" s="15">
        <v>88.0</v>
      </c>
    </row>
    <row r="44">
      <c r="A44" s="15" t="s">
        <v>183</v>
      </c>
      <c r="B44" s="15">
        <v>65.0</v>
      </c>
    </row>
    <row r="45">
      <c r="A45" s="15" t="s">
        <v>184</v>
      </c>
      <c r="B45" s="15">
        <v>94.0</v>
      </c>
    </row>
    <row r="46">
      <c r="A46" s="15" t="s">
        <v>185</v>
      </c>
      <c r="B46" s="15">
        <v>0.0</v>
      </c>
    </row>
    <row r="47">
      <c r="A47" s="15" t="s">
        <v>186</v>
      </c>
      <c r="B47" s="15">
        <v>0.0</v>
      </c>
    </row>
    <row r="48">
      <c r="A48" s="15" t="s">
        <v>187</v>
      </c>
      <c r="B48" s="15">
        <v>83.0</v>
      </c>
    </row>
    <row r="49">
      <c r="A49" s="15" t="s">
        <v>188</v>
      </c>
      <c r="B49" s="15">
        <v>85.0</v>
      </c>
    </row>
    <row r="50">
      <c r="A50" s="15" t="s">
        <v>189</v>
      </c>
      <c r="B50" s="15">
        <v>93.0</v>
      </c>
    </row>
    <row r="51">
      <c r="A51" s="15" t="s">
        <v>190</v>
      </c>
      <c r="B51" s="15">
        <v>0.0</v>
      </c>
    </row>
    <row r="52">
      <c r="A52" s="15" t="s">
        <v>193</v>
      </c>
      <c r="B52" s="15">
        <v>76.0</v>
      </c>
    </row>
    <row r="53">
      <c r="A53" s="15" t="s">
        <v>191</v>
      </c>
      <c r="B53" s="15">
        <v>100.0</v>
      </c>
    </row>
    <row r="54">
      <c r="A54" s="15" t="s">
        <v>192</v>
      </c>
      <c r="B54" s="15">
        <v>92.0</v>
      </c>
    </row>
    <row r="55">
      <c r="A55" s="15" t="s">
        <v>194</v>
      </c>
      <c r="B55" s="15">
        <v>85.0</v>
      </c>
    </row>
    <row r="56">
      <c r="A56" s="15" t="s">
        <v>195</v>
      </c>
      <c r="B56" s="15">
        <v>86.0</v>
      </c>
    </row>
    <row r="57">
      <c r="A57" s="15" t="s">
        <v>196</v>
      </c>
      <c r="B57" s="15">
        <v>0.0</v>
      </c>
    </row>
    <row r="58">
      <c r="A58" s="15" t="s">
        <v>197</v>
      </c>
      <c r="B58" s="15">
        <v>84.0</v>
      </c>
    </row>
    <row r="59">
      <c r="A59" s="15" t="s">
        <v>198</v>
      </c>
      <c r="B59" s="15">
        <v>86.0</v>
      </c>
    </row>
    <row r="60">
      <c r="A60" s="15" t="s">
        <v>199</v>
      </c>
      <c r="B60" s="15">
        <v>96.0</v>
      </c>
    </row>
    <row r="61">
      <c r="A61" s="15" t="s">
        <v>201</v>
      </c>
      <c r="B61" s="15">
        <v>94.0</v>
      </c>
    </row>
    <row r="62">
      <c r="A62" s="15" t="s">
        <v>202</v>
      </c>
      <c r="B62" s="15">
        <v>0.0</v>
      </c>
    </row>
    <row r="63">
      <c r="A63" s="15" t="s">
        <v>203</v>
      </c>
      <c r="B63" s="15">
        <v>75.0</v>
      </c>
    </row>
    <row r="64">
      <c r="A64" s="15" t="s">
        <v>204</v>
      </c>
      <c r="B64" s="15">
        <v>50.0</v>
      </c>
    </row>
    <row r="65">
      <c r="A65" s="15" t="s">
        <v>205</v>
      </c>
      <c r="B65" s="15">
        <v>75.0</v>
      </c>
    </row>
    <row r="66">
      <c r="A66" s="15" t="s">
        <v>206</v>
      </c>
      <c r="B66" s="15">
        <v>95.0</v>
      </c>
    </row>
    <row r="67">
      <c r="A67" s="15" t="s">
        <v>207</v>
      </c>
      <c r="B67" s="15">
        <v>0.0</v>
      </c>
    </row>
    <row r="68">
      <c r="A68" s="15" t="s">
        <v>208</v>
      </c>
      <c r="B68" s="15">
        <v>84.0</v>
      </c>
    </row>
    <row r="69">
      <c r="A69" s="15" t="s">
        <v>209</v>
      </c>
      <c r="B69" s="15">
        <v>67.0</v>
      </c>
    </row>
    <row r="70">
      <c r="A70" s="15" t="s">
        <v>210</v>
      </c>
      <c r="B70" s="15">
        <v>0.0</v>
      </c>
    </row>
    <row r="71">
      <c r="A71" s="15" t="s">
        <v>211</v>
      </c>
      <c r="B71" s="15">
        <v>69.0</v>
      </c>
    </row>
    <row r="72">
      <c r="A72" s="15" t="s">
        <v>212</v>
      </c>
      <c r="B72" s="15">
        <v>45.0</v>
      </c>
    </row>
    <row r="73">
      <c r="A73" s="15" t="s">
        <v>213</v>
      </c>
      <c r="B73" s="15">
        <v>0.0</v>
      </c>
    </row>
    <row r="74">
      <c r="A74" s="15" t="s">
        <v>214</v>
      </c>
      <c r="B74" s="15">
        <v>0.0</v>
      </c>
    </row>
    <row r="75">
      <c r="A75" s="15" t="s">
        <v>215</v>
      </c>
      <c r="B75" s="15">
        <v>50.0</v>
      </c>
    </row>
    <row r="76">
      <c r="A76" s="15" t="s">
        <v>216</v>
      </c>
      <c r="B76" s="15">
        <v>80.0</v>
      </c>
    </row>
    <row r="77">
      <c r="A77" s="15" t="s">
        <v>217</v>
      </c>
      <c r="B77" s="15">
        <v>50.0</v>
      </c>
    </row>
    <row r="78">
      <c r="A78" s="15" t="s">
        <v>218</v>
      </c>
      <c r="B78" s="15">
        <v>83.0</v>
      </c>
    </row>
    <row r="79">
      <c r="A79" s="15" t="s">
        <v>219</v>
      </c>
      <c r="B79" s="15">
        <v>79.0</v>
      </c>
    </row>
    <row r="80">
      <c r="A80" s="15" t="s">
        <v>220</v>
      </c>
      <c r="B80" s="15">
        <v>66.0</v>
      </c>
    </row>
    <row r="81">
      <c r="A81" s="15" t="s">
        <v>221</v>
      </c>
      <c r="B81" s="15">
        <v>0.0</v>
      </c>
    </row>
    <row r="82">
      <c r="A82" s="15" t="s">
        <v>222</v>
      </c>
      <c r="B82" s="15">
        <v>78.0</v>
      </c>
    </row>
    <row r="83">
      <c r="A83" s="15" t="s">
        <v>223</v>
      </c>
      <c r="B83" s="15">
        <v>0.0</v>
      </c>
    </row>
    <row r="84">
      <c r="A84" s="15" t="s">
        <v>224</v>
      </c>
      <c r="B84" s="15">
        <v>0.0</v>
      </c>
    </row>
    <row r="85">
      <c r="A85" s="15" t="s">
        <v>225</v>
      </c>
      <c r="B85" s="15">
        <v>0.0</v>
      </c>
    </row>
    <row r="86">
      <c r="A86" s="15" t="s">
        <v>226</v>
      </c>
      <c r="B86" s="15">
        <v>85.0</v>
      </c>
    </row>
    <row r="87">
      <c r="A87" s="15" t="s">
        <v>227</v>
      </c>
      <c r="B87" s="15">
        <v>70.0</v>
      </c>
    </row>
    <row r="88">
      <c r="A88" s="15" t="s">
        <v>228</v>
      </c>
      <c r="B88" s="15">
        <v>79.0</v>
      </c>
    </row>
    <row r="89">
      <c r="A89" s="15" t="s">
        <v>229</v>
      </c>
      <c r="B89" s="15">
        <v>71.0</v>
      </c>
    </row>
    <row r="90">
      <c r="A90" s="15" t="s">
        <v>230</v>
      </c>
      <c r="B90" s="15">
        <v>88.0</v>
      </c>
    </row>
    <row r="91">
      <c r="A91" s="15" t="s">
        <v>231</v>
      </c>
      <c r="B91" s="15">
        <v>50.0</v>
      </c>
    </row>
    <row r="92">
      <c r="A92" s="15" t="s">
        <v>232</v>
      </c>
      <c r="B92" s="15">
        <v>0.0</v>
      </c>
    </row>
    <row r="93">
      <c r="A93" s="15" t="s">
        <v>233</v>
      </c>
      <c r="B93" s="15">
        <v>0.0</v>
      </c>
    </row>
    <row r="94">
      <c r="A94" s="15" t="s">
        <v>236</v>
      </c>
      <c r="B94" s="15">
        <v>75.0</v>
      </c>
    </row>
    <row r="95">
      <c r="A95" s="15" t="s">
        <v>237</v>
      </c>
      <c r="B95" s="15">
        <v>96.0</v>
      </c>
    </row>
    <row r="96">
      <c r="A96" s="15" t="s">
        <v>238</v>
      </c>
      <c r="B96" s="15">
        <v>59.0</v>
      </c>
    </row>
    <row r="97">
      <c r="A97" s="15" t="s">
        <v>239</v>
      </c>
      <c r="B97" s="15">
        <v>0.0</v>
      </c>
    </row>
    <row r="98">
      <c r="A98" s="15" t="s">
        <v>240</v>
      </c>
      <c r="B98" s="15">
        <v>0.0</v>
      </c>
    </row>
    <row r="99">
      <c r="A99" s="15" t="s">
        <v>241</v>
      </c>
      <c r="B99" s="15">
        <v>79.0</v>
      </c>
    </row>
    <row r="100">
      <c r="A100" s="15" t="s">
        <v>242</v>
      </c>
      <c r="B100" s="15">
        <v>62.0</v>
      </c>
    </row>
    <row r="101">
      <c r="A101" s="15" t="s">
        <v>243</v>
      </c>
      <c r="B101" s="15">
        <v>66.0</v>
      </c>
    </row>
    <row r="102">
      <c r="A102" s="15" t="s">
        <v>244</v>
      </c>
      <c r="B102" s="15">
        <v>82.0</v>
      </c>
    </row>
    <row r="103">
      <c r="A103" s="15" t="s">
        <v>245</v>
      </c>
      <c r="B103" s="15">
        <v>0.0</v>
      </c>
    </row>
    <row r="104">
      <c r="A104" s="15" t="s">
        <v>246</v>
      </c>
      <c r="B104" s="15">
        <v>85.0</v>
      </c>
    </row>
    <row r="105">
      <c r="A105" s="15" t="s">
        <v>247</v>
      </c>
      <c r="B105" s="15">
        <v>80.0</v>
      </c>
    </row>
    <row r="106">
      <c r="A106" s="15" t="s">
        <v>248</v>
      </c>
      <c r="B106" s="15">
        <v>79.0</v>
      </c>
    </row>
    <row r="107">
      <c r="A107" s="15" t="s">
        <v>249</v>
      </c>
      <c r="B107" s="15">
        <v>90.0</v>
      </c>
    </row>
    <row r="108">
      <c r="A108" s="15" t="s">
        <v>250</v>
      </c>
      <c r="B108" s="15">
        <v>85.0</v>
      </c>
    </row>
    <row r="109">
      <c r="A109" s="15" t="s">
        <v>251</v>
      </c>
      <c r="B109" s="15">
        <v>80.0</v>
      </c>
    </row>
    <row r="110">
      <c r="A110" s="15" t="s">
        <v>252</v>
      </c>
      <c r="B110" s="15">
        <v>86.0</v>
      </c>
    </row>
    <row r="111">
      <c r="A111" s="15" t="s">
        <v>254</v>
      </c>
      <c r="B111" s="15">
        <v>87.0</v>
      </c>
    </row>
    <row r="112">
      <c r="A112" s="15" t="s">
        <v>255</v>
      </c>
      <c r="B112" s="15">
        <v>73.0</v>
      </c>
    </row>
    <row r="113">
      <c r="A113" s="15" t="s">
        <v>256</v>
      </c>
      <c r="B113" s="15">
        <v>79.0</v>
      </c>
    </row>
    <row r="114">
      <c r="A114" s="15" t="s">
        <v>257</v>
      </c>
      <c r="B114" s="15">
        <v>84.0</v>
      </c>
    </row>
    <row r="115">
      <c r="A115" s="15" t="s">
        <v>258</v>
      </c>
      <c r="B115" s="15">
        <v>85.0</v>
      </c>
    </row>
    <row r="116">
      <c r="A116" s="15" t="s">
        <v>259</v>
      </c>
      <c r="B116" s="15">
        <v>86.0</v>
      </c>
    </row>
    <row r="117">
      <c r="A117" s="15" t="s">
        <v>260</v>
      </c>
      <c r="B117" s="15">
        <v>0.0</v>
      </c>
    </row>
    <row r="118">
      <c r="A118" s="15" t="s">
        <v>261</v>
      </c>
      <c r="B118" s="15">
        <v>50.0</v>
      </c>
    </row>
    <row r="119">
      <c r="A119" s="15" t="s">
        <v>262</v>
      </c>
      <c r="B119" s="15">
        <v>50.0</v>
      </c>
    </row>
    <row r="120">
      <c r="A120" s="15" t="s">
        <v>263</v>
      </c>
      <c r="B120" s="15">
        <v>84.0</v>
      </c>
    </row>
    <row r="121">
      <c r="A121" s="15" t="s">
        <v>264</v>
      </c>
      <c r="B121" s="15">
        <v>0.0</v>
      </c>
    </row>
    <row r="122">
      <c r="A122" s="15" t="s">
        <v>265</v>
      </c>
      <c r="B122" s="15">
        <v>86.0</v>
      </c>
    </row>
    <row r="123">
      <c r="A123" s="15" t="s">
        <v>266</v>
      </c>
      <c r="B123" s="15">
        <v>92.0</v>
      </c>
    </row>
    <row r="124">
      <c r="A124" s="15" t="s">
        <v>267</v>
      </c>
      <c r="B124" s="15">
        <v>78.0</v>
      </c>
    </row>
    <row r="125">
      <c r="A125" s="15" t="s">
        <v>268</v>
      </c>
      <c r="B125" s="15">
        <v>77.0</v>
      </c>
    </row>
    <row r="126">
      <c r="A126" s="15" t="s">
        <v>269</v>
      </c>
      <c r="B126" s="15">
        <v>84.0</v>
      </c>
    </row>
    <row r="127">
      <c r="A127" s="15" t="s">
        <v>270</v>
      </c>
      <c r="B127" s="15">
        <v>76.0</v>
      </c>
    </row>
    <row r="128">
      <c r="A128" s="15" t="s">
        <v>271</v>
      </c>
      <c r="B128" s="15">
        <v>85.0</v>
      </c>
    </row>
    <row r="129">
      <c r="A129" s="15" t="s">
        <v>272</v>
      </c>
      <c r="B129" s="15">
        <v>76.0</v>
      </c>
    </row>
    <row r="130">
      <c r="A130" s="15" t="s">
        <v>273</v>
      </c>
      <c r="B130" s="15">
        <v>76.0</v>
      </c>
    </row>
    <row r="131">
      <c r="A131" s="15" t="s">
        <v>274</v>
      </c>
      <c r="B131" s="15">
        <v>85.0</v>
      </c>
    </row>
    <row r="132">
      <c r="A132" s="15" t="s">
        <v>275</v>
      </c>
      <c r="B132" s="15">
        <v>93.0</v>
      </c>
    </row>
    <row r="133">
      <c r="A133" s="15" t="s">
        <v>276</v>
      </c>
      <c r="B133" s="15">
        <v>50.0</v>
      </c>
    </row>
    <row r="134">
      <c r="A134" s="15" t="s">
        <v>277</v>
      </c>
      <c r="B134" s="15">
        <v>0.0</v>
      </c>
    </row>
    <row r="135">
      <c r="A135" s="15" t="s">
        <v>278</v>
      </c>
      <c r="B135" s="15">
        <v>86.0</v>
      </c>
    </row>
    <row r="136">
      <c r="A136" s="15" t="s">
        <v>279</v>
      </c>
      <c r="B136" s="15">
        <v>0.0</v>
      </c>
    </row>
    <row r="137">
      <c r="A137" s="15" t="s">
        <v>280</v>
      </c>
      <c r="B137" s="15">
        <v>92.0</v>
      </c>
    </row>
    <row r="138">
      <c r="A138" s="15" t="s">
        <v>281</v>
      </c>
      <c r="B138" s="15">
        <v>79.0</v>
      </c>
    </row>
    <row r="139">
      <c r="A139" s="15" t="s">
        <v>282</v>
      </c>
      <c r="B139" s="15">
        <v>80.0</v>
      </c>
    </row>
    <row r="140">
      <c r="A140" s="15" t="s">
        <v>283</v>
      </c>
      <c r="B140" s="15">
        <v>0.0</v>
      </c>
    </row>
    <row r="141">
      <c r="A141" s="15" t="s">
        <v>285</v>
      </c>
      <c r="B141" s="15">
        <v>50.0</v>
      </c>
    </row>
    <row r="142">
      <c r="A142" s="15" t="s">
        <v>286</v>
      </c>
      <c r="B142" s="15">
        <v>50.0</v>
      </c>
    </row>
    <row r="143">
      <c r="A143" s="15" t="s">
        <v>287</v>
      </c>
      <c r="B143" s="15">
        <v>75.0</v>
      </c>
    </row>
    <row r="144">
      <c r="A144" s="15" t="s">
        <v>288</v>
      </c>
      <c r="B144" s="15">
        <v>0.0</v>
      </c>
    </row>
    <row r="145">
      <c r="A145" s="15" t="s">
        <v>290</v>
      </c>
      <c r="B145" s="15">
        <v>78.0</v>
      </c>
    </row>
    <row r="146">
      <c r="A146" s="15" t="s">
        <v>291</v>
      </c>
      <c r="B146" s="15">
        <v>73.0</v>
      </c>
    </row>
    <row r="147">
      <c r="A147" s="15" t="s">
        <v>292</v>
      </c>
      <c r="B147" s="15">
        <v>85.0</v>
      </c>
    </row>
    <row r="148">
      <c r="A148" s="15" t="s">
        <v>293</v>
      </c>
      <c r="B148" s="15">
        <v>36.0</v>
      </c>
    </row>
    <row r="149">
      <c r="A149" s="15" t="s">
        <v>294</v>
      </c>
      <c r="B149" s="15">
        <v>82.0</v>
      </c>
    </row>
    <row r="150">
      <c r="A150" s="15" t="s">
        <v>295</v>
      </c>
      <c r="B150" s="15">
        <v>82.0</v>
      </c>
    </row>
    <row r="151">
      <c r="A151" s="15" t="s">
        <v>296</v>
      </c>
      <c r="B151" s="15">
        <v>71.0</v>
      </c>
    </row>
    <row r="152">
      <c r="A152" s="15" t="s">
        <v>297</v>
      </c>
      <c r="B152" s="15">
        <v>0.0</v>
      </c>
    </row>
    <row r="153">
      <c r="A153" s="15" t="s">
        <v>298</v>
      </c>
      <c r="B153" s="15">
        <v>85.0</v>
      </c>
    </row>
    <row r="154">
      <c r="A154" s="15" t="s">
        <v>299</v>
      </c>
      <c r="B154" s="15">
        <v>77.0</v>
      </c>
    </row>
    <row r="155">
      <c r="A155" s="15" t="s">
        <v>300</v>
      </c>
      <c r="B155" s="15">
        <v>71.0</v>
      </c>
    </row>
    <row r="156">
      <c r="A156" s="15" t="s">
        <v>301</v>
      </c>
      <c r="B156" s="15">
        <v>79.0</v>
      </c>
    </row>
    <row r="157">
      <c r="A157" s="15" t="s">
        <v>302</v>
      </c>
      <c r="B157" s="15">
        <v>0.0</v>
      </c>
    </row>
    <row r="158">
      <c r="A158" s="15" t="s">
        <v>303</v>
      </c>
      <c r="B158" s="15">
        <v>87.0</v>
      </c>
    </row>
    <row r="159">
      <c r="A159" s="15" t="s">
        <v>304</v>
      </c>
      <c r="B159" s="15">
        <v>91.0</v>
      </c>
    </row>
    <row r="160">
      <c r="A160" s="15" t="s">
        <v>305</v>
      </c>
      <c r="B160" s="15">
        <v>87.0</v>
      </c>
    </row>
    <row r="161">
      <c r="A161" s="15" t="s">
        <v>306</v>
      </c>
      <c r="B161" s="15">
        <v>82.0</v>
      </c>
    </row>
    <row r="162">
      <c r="A162" s="15" t="s">
        <v>307</v>
      </c>
      <c r="B162" s="15">
        <v>0.0</v>
      </c>
    </row>
    <row r="163">
      <c r="A163" s="15" t="s">
        <v>308</v>
      </c>
      <c r="B163" s="15">
        <v>0.0</v>
      </c>
    </row>
    <row r="164">
      <c r="A164" s="15" t="s">
        <v>309</v>
      </c>
      <c r="B164" s="15">
        <v>69.0</v>
      </c>
    </row>
    <row r="165">
      <c r="A165" s="15" t="s">
        <v>310</v>
      </c>
      <c r="B165" s="15">
        <v>78.0</v>
      </c>
    </row>
    <row r="166">
      <c r="A166" s="15" t="s">
        <v>311</v>
      </c>
      <c r="B166" s="15">
        <v>0.0</v>
      </c>
    </row>
    <row r="167">
      <c r="A167" s="15" t="s">
        <v>312</v>
      </c>
      <c r="B167" s="15">
        <v>0.0</v>
      </c>
    </row>
    <row r="168">
      <c r="A168" s="15" t="s">
        <v>313</v>
      </c>
      <c r="B168" s="15">
        <v>83.0</v>
      </c>
    </row>
    <row r="169">
      <c r="A169" s="15" t="s">
        <v>314</v>
      </c>
      <c r="B169" s="15">
        <v>76.0</v>
      </c>
    </row>
    <row r="170">
      <c r="A170" s="15" t="s">
        <v>315</v>
      </c>
      <c r="B170" s="15">
        <v>95.0</v>
      </c>
    </row>
    <row r="171">
      <c r="A171" s="15" t="s">
        <v>316</v>
      </c>
      <c r="B171" s="15">
        <v>85.0</v>
      </c>
    </row>
    <row r="172">
      <c r="A172" s="15" t="s">
        <v>317</v>
      </c>
      <c r="B172" s="15">
        <v>89.0</v>
      </c>
    </row>
    <row r="173">
      <c r="A173" s="15" t="s">
        <v>318</v>
      </c>
      <c r="B173" s="15">
        <v>84.0</v>
      </c>
    </row>
    <row r="174">
      <c r="A174" s="15" t="s">
        <v>319</v>
      </c>
      <c r="B174" s="15">
        <v>83.0</v>
      </c>
    </row>
    <row r="175">
      <c r="A175" s="15" t="s">
        <v>320</v>
      </c>
      <c r="B175" s="15">
        <v>84.0</v>
      </c>
    </row>
    <row r="176">
      <c r="A176" s="15" t="s">
        <v>321</v>
      </c>
      <c r="B176" s="15">
        <v>86.0</v>
      </c>
    </row>
    <row r="177">
      <c r="A177" s="15" t="s">
        <v>322</v>
      </c>
      <c r="B177" s="15">
        <v>76.0</v>
      </c>
    </row>
    <row r="178">
      <c r="A178" s="15" t="s">
        <v>323</v>
      </c>
      <c r="B178" s="15">
        <v>76.0</v>
      </c>
    </row>
    <row r="179">
      <c r="A179" s="15" t="s">
        <v>324</v>
      </c>
      <c r="B179" s="15">
        <v>79.0</v>
      </c>
    </row>
    <row r="180">
      <c r="A180" s="15" t="s">
        <v>325</v>
      </c>
      <c r="B180" s="15">
        <v>86.0</v>
      </c>
    </row>
    <row r="181">
      <c r="A181" s="15" t="s">
        <v>326</v>
      </c>
      <c r="B181" s="15">
        <v>88.0</v>
      </c>
    </row>
    <row r="182">
      <c r="A182" s="15" t="s">
        <v>327</v>
      </c>
      <c r="B182" s="15">
        <v>76.0</v>
      </c>
    </row>
    <row r="183">
      <c r="A183" s="15" t="s">
        <v>328</v>
      </c>
      <c r="B183" s="15">
        <v>85.0</v>
      </c>
    </row>
    <row r="184">
      <c r="A184" s="15" t="s">
        <v>329</v>
      </c>
      <c r="B184" s="15">
        <v>71.0</v>
      </c>
    </row>
    <row r="185">
      <c r="A185" s="15" t="s">
        <v>330</v>
      </c>
      <c r="B185" s="15">
        <v>38.0</v>
      </c>
    </row>
    <row r="186">
      <c r="A186" s="15" t="s">
        <v>331</v>
      </c>
      <c r="B186" s="15">
        <v>0.0</v>
      </c>
    </row>
    <row r="187">
      <c r="A187" s="15" t="s">
        <v>332</v>
      </c>
      <c r="B187" s="15">
        <v>0.0</v>
      </c>
    </row>
    <row r="188">
      <c r="A188" s="15" t="s">
        <v>333</v>
      </c>
      <c r="B188" s="15">
        <v>0.0</v>
      </c>
    </row>
    <row r="189">
      <c r="A189" s="15" t="s">
        <v>334</v>
      </c>
      <c r="B189" s="15">
        <v>85.0</v>
      </c>
    </row>
    <row r="190">
      <c r="A190" s="15" t="s">
        <v>335</v>
      </c>
      <c r="B190" s="15">
        <v>87.0</v>
      </c>
    </row>
    <row r="191">
      <c r="A191" s="15" t="s">
        <v>336</v>
      </c>
      <c r="B191" s="15">
        <v>0.0</v>
      </c>
    </row>
    <row r="192">
      <c r="A192" s="15" t="s">
        <v>337</v>
      </c>
      <c r="B192" s="15">
        <v>88.0</v>
      </c>
    </row>
    <row r="193">
      <c r="A193" s="15" t="s">
        <v>338</v>
      </c>
      <c r="B193" s="15">
        <v>82.0</v>
      </c>
    </row>
    <row r="194">
      <c r="A194" s="15" t="s">
        <v>339</v>
      </c>
      <c r="B194" s="15">
        <v>0.0</v>
      </c>
    </row>
    <row r="195">
      <c r="A195" s="15" t="s">
        <v>340</v>
      </c>
      <c r="B195" s="15">
        <v>84.0</v>
      </c>
    </row>
    <row r="196">
      <c r="A196" s="15" t="s">
        <v>341</v>
      </c>
      <c r="B196" s="15">
        <v>0.0</v>
      </c>
    </row>
    <row r="197">
      <c r="A197" s="15" t="s">
        <v>342</v>
      </c>
      <c r="B197" s="15">
        <v>0.0</v>
      </c>
    </row>
    <row r="198">
      <c r="A198" s="15" t="s">
        <v>343</v>
      </c>
      <c r="B198" s="15">
        <v>88.0</v>
      </c>
    </row>
    <row r="199">
      <c r="A199" s="15" t="s">
        <v>344</v>
      </c>
      <c r="B199" s="15">
        <v>85.0</v>
      </c>
    </row>
    <row r="200">
      <c r="A200" s="15" t="s">
        <v>345</v>
      </c>
      <c r="B200" s="15">
        <v>90.0</v>
      </c>
    </row>
    <row r="201">
      <c r="A201" s="15" t="s">
        <v>346</v>
      </c>
      <c r="B201" s="15">
        <v>61.0</v>
      </c>
    </row>
    <row r="202">
      <c r="A202" s="15" t="s">
        <v>347</v>
      </c>
      <c r="B202" s="15">
        <v>84.0</v>
      </c>
    </row>
    <row r="203">
      <c r="A203" s="15" t="s">
        <v>348</v>
      </c>
      <c r="B203" s="15">
        <v>92.0</v>
      </c>
    </row>
    <row r="204">
      <c r="A204" s="15" t="s">
        <v>349</v>
      </c>
      <c r="B204" s="15">
        <v>0.0</v>
      </c>
    </row>
    <row r="205">
      <c r="A205" s="15" t="s">
        <v>350</v>
      </c>
      <c r="B205" s="15">
        <v>83.0</v>
      </c>
    </row>
    <row r="206">
      <c r="A206" s="15" t="s">
        <v>351</v>
      </c>
      <c r="B206" s="15">
        <v>0.0</v>
      </c>
    </row>
    <row r="207">
      <c r="A207" s="15" t="s">
        <v>352</v>
      </c>
      <c r="B207" s="15">
        <v>0.0</v>
      </c>
    </row>
    <row r="208">
      <c r="A208" s="15" t="s">
        <v>353</v>
      </c>
      <c r="B208" s="15">
        <v>0.0</v>
      </c>
    </row>
    <row r="209">
      <c r="A209" s="15" t="s">
        <v>354</v>
      </c>
      <c r="B209" s="15">
        <v>0.0</v>
      </c>
    </row>
    <row r="210">
      <c r="A210" s="15" t="s">
        <v>355</v>
      </c>
      <c r="B210" s="15">
        <v>86.0</v>
      </c>
    </row>
    <row r="211">
      <c r="A211" s="15" t="s">
        <v>356</v>
      </c>
      <c r="B211" s="15">
        <v>0.0</v>
      </c>
    </row>
    <row r="212">
      <c r="A212" s="15" t="s">
        <v>357</v>
      </c>
      <c r="B212" s="15">
        <v>83.0</v>
      </c>
    </row>
    <row r="213">
      <c r="A213" s="15" t="s">
        <v>358</v>
      </c>
      <c r="B213" s="15">
        <v>70.0</v>
      </c>
    </row>
    <row r="214">
      <c r="A214" s="15" t="s">
        <v>359</v>
      </c>
      <c r="B214" s="15">
        <v>85.0</v>
      </c>
    </row>
    <row r="215">
      <c r="A215" s="15" t="s">
        <v>363</v>
      </c>
      <c r="B215" s="15">
        <v>90.0</v>
      </c>
    </row>
    <row r="216">
      <c r="A216" s="15" t="s">
        <v>370</v>
      </c>
      <c r="B216" s="15">
        <v>91.0</v>
      </c>
    </row>
    <row r="217">
      <c r="A217" s="15" t="s">
        <v>364</v>
      </c>
      <c r="B217" s="15">
        <v>86.0</v>
      </c>
    </row>
    <row r="218">
      <c r="A218" s="15" t="s">
        <v>366</v>
      </c>
      <c r="B218" s="15">
        <v>77.0</v>
      </c>
    </row>
    <row r="219">
      <c r="A219" s="15" t="s">
        <v>368</v>
      </c>
      <c r="B219" s="15">
        <v>78.0</v>
      </c>
    </row>
    <row r="220">
      <c r="A220" s="15" t="s">
        <v>365</v>
      </c>
      <c r="B220" s="15">
        <v>83.0</v>
      </c>
    </row>
    <row r="221">
      <c r="A221" s="15" t="s">
        <v>374</v>
      </c>
      <c r="B221" s="15">
        <v>0.0</v>
      </c>
    </row>
    <row r="222">
      <c r="A222" s="15" t="s">
        <v>376</v>
      </c>
      <c r="B222" s="15">
        <v>0.0</v>
      </c>
    </row>
    <row r="223">
      <c r="A223" s="15" t="s">
        <v>361</v>
      </c>
      <c r="B223" s="15">
        <v>88.0</v>
      </c>
    </row>
    <row r="224">
      <c r="A224" s="15" t="s">
        <v>367</v>
      </c>
      <c r="B224" s="15">
        <v>77.0</v>
      </c>
    </row>
    <row r="225">
      <c r="A225" s="15" t="s">
        <v>372</v>
      </c>
      <c r="B225" s="15">
        <v>0.0</v>
      </c>
    </row>
    <row r="226">
      <c r="A226" s="15" t="s">
        <v>377</v>
      </c>
      <c r="B226" s="15">
        <v>0.0</v>
      </c>
    </row>
    <row r="227">
      <c r="A227" s="15" t="s">
        <v>373</v>
      </c>
      <c r="B227" s="15">
        <v>75.0</v>
      </c>
    </row>
    <row r="228">
      <c r="A228" s="15" t="s">
        <v>362</v>
      </c>
      <c r="B228" s="15">
        <v>81.0</v>
      </c>
    </row>
    <row r="229">
      <c r="A229" s="15" t="s">
        <v>371</v>
      </c>
      <c r="B229" s="15">
        <v>83.0</v>
      </c>
    </row>
    <row r="230">
      <c r="A230" s="15" t="s">
        <v>375</v>
      </c>
      <c r="B230" s="15">
        <v>91.0</v>
      </c>
    </row>
    <row r="231">
      <c r="A231" s="15" t="s">
        <v>360</v>
      </c>
      <c r="B231" s="15">
        <v>0.0</v>
      </c>
    </row>
    <row r="232">
      <c r="A232" s="15" t="s">
        <v>369</v>
      </c>
      <c r="B232" s="15">
        <v>0.0</v>
      </c>
    </row>
    <row r="233">
      <c r="A233" s="15" t="s">
        <v>379</v>
      </c>
      <c r="B233" s="15">
        <v>0.0</v>
      </c>
    </row>
    <row r="234">
      <c r="A234" s="15" t="s">
        <v>1348</v>
      </c>
      <c r="B234" s="15">
        <v>0.0</v>
      </c>
    </row>
    <row r="235">
      <c r="A235" s="15" t="s">
        <v>378</v>
      </c>
      <c r="B235" s="15">
        <v>0.0</v>
      </c>
    </row>
    <row r="236">
      <c r="A236" s="15" t="s">
        <v>380</v>
      </c>
      <c r="B236" s="15">
        <v>0.0</v>
      </c>
    </row>
    <row r="237">
      <c r="A237" s="15" t="s">
        <v>659</v>
      </c>
      <c r="B237" s="15">
        <v>0.0</v>
      </c>
    </row>
    <row r="238">
      <c r="A238" s="15" t="s">
        <v>660</v>
      </c>
      <c r="B238" s="15">
        <v>89.0</v>
      </c>
    </row>
    <row r="239">
      <c r="A239" s="15" t="s">
        <v>661</v>
      </c>
      <c r="B239" s="15">
        <v>50.0</v>
      </c>
    </row>
    <row r="240">
      <c r="A240" s="15" t="s">
        <v>662</v>
      </c>
      <c r="B240" s="15">
        <v>50.0</v>
      </c>
    </row>
    <row r="241">
      <c r="A241" s="15" t="s">
        <v>663</v>
      </c>
      <c r="B241" s="15">
        <v>66.0</v>
      </c>
    </row>
    <row r="242">
      <c r="A242" s="15" t="s">
        <v>664</v>
      </c>
      <c r="B242" s="15">
        <v>78.0</v>
      </c>
    </row>
    <row r="243">
      <c r="A243" s="15" t="s">
        <v>665</v>
      </c>
      <c r="B243" s="15">
        <v>50.0</v>
      </c>
    </row>
    <row r="244">
      <c r="A244" s="15" t="s">
        <v>666</v>
      </c>
      <c r="B244" s="15">
        <v>87.0</v>
      </c>
    </row>
    <row r="245">
      <c r="A245" s="15" t="s">
        <v>667</v>
      </c>
      <c r="B245" s="15">
        <v>83.0</v>
      </c>
    </row>
    <row r="246">
      <c r="A246" s="15" t="s">
        <v>668</v>
      </c>
      <c r="B246" s="15">
        <v>50.0</v>
      </c>
    </row>
    <row r="247">
      <c r="A247" s="15" t="s">
        <v>669</v>
      </c>
      <c r="B247" s="15">
        <v>50.0</v>
      </c>
    </row>
    <row r="248">
      <c r="A248" s="15" t="s">
        <v>670</v>
      </c>
      <c r="B248" s="15">
        <v>50.0</v>
      </c>
    </row>
    <row r="249">
      <c r="A249" s="15" t="s">
        <v>671</v>
      </c>
      <c r="B249" s="15">
        <v>76.0</v>
      </c>
    </row>
    <row r="250">
      <c r="A250" s="15" t="s">
        <v>672</v>
      </c>
      <c r="B250" s="15">
        <v>93.0</v>
      </c>
    </row>
    <row r="251">
      <c r="A251" s="15" t="s">
        <v>673</v>
      </c>
      <c r="B251" s="15">
        <v>50.0</v>
      </c>
    </row>
    <row r="252">
      <c r="A252" s="15" t="s">
        <v>674</v>
      </c>
      <c r="B252" s="15">
        <v>84.0</v>
      </c>
    </row>
    <row r="253">
      <c r="A253" s="15" t="s">
        <v>675</v>
      </c>
      <c r="B253" s="15">
        <v>63.0</v>
      </c>
    </row>
    <row r="254">
      <c r="A254" s="15" t="s">
        <v>676</v>
      </c>
      <c r="B254" s="15">
        <v>50.0</v>
      </c>
    </row>
    <row r="255">
      <c r="A255" s="15" t="s">
        <v>677</v>
      </c>
      <c r="B255" s="15">
        <v>83.0</v>
      </c>
    </row>
    <row r="256">
      <c r="A256" s="15" t="s">
        <v>678</v>
      </c>
      <c r="B256" s="15">
        <v>0.0</v>
      </c>
    </row>
    <row r="257">
      <c r="A257" s="15" t="s">
        <v>679</v>
      </c>
      <c r="B257" s="15">
        <v>0.0</v>
      </c>
    </row>
    <row r="258">
      <c r="A258" s="15" t="s">
        <v>680</v>
      </c>
      <c r="B258" s="15">
        <v>50.0</v>
      </c>
    </row>
    <row r="259">
      <c r="A259" s="15" t="s">
        <v>681</v>
      </c>
      <c r="B259" s="15">
        <v>80.0</v>
      </c>
    </row>
    <row r="260">
      <c r="A260" s="15" t="s">
        <v>682</v>
      </c>
      <c r="B260" s="15">
        <v>50.0</v>
      </c>
    </row>
    <row r="261">
      <c r="A261" s="15" t="s">
        <v>683</v>
      </c>
      <c r="B261" s="15">
        <v>85.0</v>
      </c>
    </row>
    <row r="262">
      <c r="A262" s="15" t="s">
        <v>684</v>
      </c>
      <c r="B262" s="15">
        <v>86.0</v>
      </c>
    </row>
    <row r="263">
      <c r="A263" s="15" t="s">
        <v>685</v>
      </c>
      <c r="B263" s="15">
        <v>50.0</v>
      </c>
    </row>
    <row r="264">
      <c r="A264" s="15" t="s">
        <v>686</v>
      </c>
      <c r="B264" s="15">
        <v>81.0</v>
      </c>
    </row>
    <row r="265">
      <c r="A265" s="15" t="s">
        <v>687</v>
      </c>
      <c r="B265" s="15">
        <v>82.0</v>
      </c>
    </row>
    <row r="266">
      <c r="A266" s="15" t="s">
        <v>688</v>
      </c>
      <c r="B266" s="15">
        <v>50.0</v>
      </c>
    </row>
    <row r="267">
      <c r="A267" s="15" t="s">
        <v>689</v>
      </c>
      <c r="B267" s="15">
        <v>86.0</v>
      </c>
    </row>
    <row r="268">
      <c r="A268" s="15" t="s">
        <v>690</v>
      </c>
      <c r="B268" s="15">
        <v>78.0</v>
      </c>
    </row>
    <row r="269">
      <c r="A269" s="15" t="s">
        <v>691</v>
      </c>
      <c r="B269" s="15">
        <v>0.0</v>
      </c>
    </row>
    <row r="270">
      <c r="A270" s="15" t="s">
        <v>692</v>
      </c>
      <c r="B270" s="15">
        <v>50.0</v>
      </c>
    </row>
    <row r="271">
      <c r="A271" s="15" t="s">
        <v>693</v>
      </c>
      <c r="B271" s="15">
        <v>70.0</v>
      </c>
    </row>
    <row r="272">
      <c r="A272" s="15" t="s">
        <v>694</v>
      </c>
      <c r="B272" s="15">
        <v>50.0</v>
      </c>
    </row>
    <row r="273">
      <c r="A273" s="15" t="s">
        <v>695</v>
      </c>
      <c r="B273" s="15">
        <v>77.0</v>
      </c>
    </row>
    <row r="274">
      <c r="A274" s="15" t="s">
        <v>696</v>
      </c>
      <c r="B274" s="15">
        <v>78.0</v>
      </c>
    </row>
    <row r="275">
      <c r="A275" s="15" t="s">
        <v>697</v>
      </c>
      <c r="B275" s="15">
        <v>92.0</v>
      </c>
    </row>
    <row r="276">
      <c r="A276" s="15" t="s">
        <v>698</v>
      </c>
      <c r="B276" s="15">
        <v>0.0</v>
      </c>
    </row>
    <row r="277">
      <c r="A277" s="15" t="s">
        <v>699</v>
      </c>
      <c r="B277" s="15">
        <v>86.0</v>
      </c>
    </row>
    <row r="278">
      <c r="A278" s="15" t="s">
        <v>700</v>
      </c>
      <c r="B278" s="15">
        <v>84.0</v>
      </c>
    </row>
    <row r="279">
      <c r="A279" s="15" t="s">
        <v>701</v>
      </c>
      <c r="B279" s="15">
        <v>85.0</v>
      </c>
    </row>
    <row r="280">
      <c r="A280" s="15" t="s">
        <v>703</v>
      </c>
      <c r="B280" s="15">
        <v>50.0</v>
      </c>
    </row>
    <row r="281">
      <c r="A281" s="15" t="s">
        <v>704</v>
      </c>
      <c r="B281" s="15">
        <v>85.0</v>
      </c>
    </row>
    <row r="282">
      <c r="A282" s="15" t="s">
        <v>705</v>
      </c>
      <c r="B282" s="15">
        <v>0.0</v>
      </c>
    </row>
    <row r="283">
      <c r="A283" s="15" t="s">
        <v>706</v>
      </c>
      <c r="B283" s="15">
        <v>88.0</v>
      </c>
    </row>
    <row r="284">
      <c r="A284" s="15" t="s">
        <v>707</v>
      </c>
      <c r="B284" s="15">
        <v>75.0</v>
      </c>
    </row>
    <row r="285">
      <c r="A285" s="15" t="s">
        <v>708</v>
      </c>
      <c r="B285" s="15">
        <v>84.0</v>
      </c>
    </row>
    <row r="286">
      <c r="A286" s="15" t="s">
        <v>709</v>
      </c>
      <c r="B286" s="15">
        <v>83.0</v>
      </c>
    </row>
    <row r="287">
      <c r="A287" s="15" t="s">
        <v>710</v>
      </c>
      <c r="B287" s="15">
        <v>50.0</v>
      </c>
    </row>
    <row r="288">
      <c r="A288" s="15" t="s">
        <v>711</v>
      </c>
      <c r="B288" s="15">
        <v>0.0</v>
      </c>
    </row>
    <row r="289">
      <c r="A289" s="15" t="s">
        <v>712</v>
      </c>
      <c r="B289" s="15">
        <v>50.0</v>
      </c>
    </row>
    <row r="290">
      <c r="A290" s="15" t="s">
        <v>713</v>
      </c>
      <c r="B290" s="15">
        <v>85.0</v>
      </c>
    </row>
    <row r="291">
      <c r="A291" s="15" t="s">
        <v>714</v>
      </c>
      <c r="B291" s="15">
        <v>50.0</v>
      </c>
    </row>
    <row r="292">
      <c r="A292" s="15" t="s">
        <v>715</v>
      </c>
      <c r="B292" s="15">
        <v>87.0</v>
      </c>
    </row>
    <row r="293">
      <c r="A293" s="15" t="s">
        <v>716</v>
      </c>
      <c r="B293" s="15">
        <v>81.0</v>
      </c>
    </row>
    <row r="294">
      <c r="A294" s="15" t="s">
        <v>717</v>
      </c>
      <c r="B294" s="15">
        <v>0.0</v>
      </c>
    </row>
    <row r="295">
      <c r="A295" s="15" t="s">
        <v>718</v>
      </c>
      <c r="B295" s="15">
        <v>87.0</v>
      </c>
    </row>
    <row r="296">
      <c r="A296" s="15" t="s">
        <v>719</v>
      </c>
      <c r="B296" s="15">
        <v>92.0</v>
      </c>
    </row>
    <row r="297">
      <c r="A297" s="15" t="s">
        <v>720</v>
      </c>
      <c r="B297" s="15">
        <v>92.0</v>
      </c>
    </row>
    <row r="298">
      <c r="A298" s="15" t="s">
        <v>721</v>
      </c>
      <c r="B298" s="15">
        <v>83.0</v>
      </c>
    </row>
    <row r="299">
      <c r="A299" s="15" t="s">
        <v>722</v>
      </c>
      <c r="B299" s="15">
        <v>72.0</v>
      </c>
    </row>
    <row r="300">
      <c r="A300" s="15" t="s">
        <v>723</v>
      </c>
      <c r="B300" s="15">
        <v>0.0</v>
      </c>
    </row>
    <row r="301">
      <c r="A301" s="15" t="s">
        <v>724</v>
      </c>
      <c r="B301" s="15">
        <v>82.0</v>
      </c>
    </row>
    <row r="302">
      <c r="A302" s="15" t="s">
        <v>726</v>
      </c>
      <c r="B302" s="15">
        <v>70.0</v>
      </c>
    </row>
    <row r="303">
      <c r="A303" s="15" t="s">
        <v>727</v>
      </c>
      <c r="B303" s="15">
        <v>94.0</v>
      </c>
    </row>
    <row r="304">
      <c r="A304" s="15" t="s">
        <v>728</v>
      </c>
      <c r="B304" s="15">
        <v>76.0</v>
      </c>
    </row>
    <row r="305">
      <c r="A305" s="15" t="s">
        <v>729</v>
      </c>
      <c r="B305" s="15">
        <v>0.0</v>
      </c>
    </row>
    <row r="306">
      <c r="A306" s="15" t="s">
        <v>730</v>
      </c>
      <c r="B306" s="15">
        <v>88.0</v>
      </c>
    </row>
    <row r="307">
      <c r="A307" s="15" t="s">
        <v>731</v>
      </c>
      <c r="B307" s="15">
        <v>88.0</v>
      </c>
    </row>
    <row r="308">
      <c r="A308" s="15" t="s">
        <v>732</v>
      </c>
      <c r="B308" s="15">
        <v>0.0</v>
      </c>
    </row>
    <row r="309">
      <c r="A309" s="15" t="s">
        <v>733</v>
      </c>
      <c r="B309" s="15">
        <v>87.0</v>
      </c>
    </row>
    <row r="310">
      <c r="A310" s="15" t="s">
        <v>734</v>
      </c>
      <c r="B310" s="15">
        <v>0.0</v>
      </c>
    </row>
    <row r="311">
      <c r="A311" s="15" t="s">
        <v>735</v>
      </c>
      <c r="B311" s="15">
        <v>88.0</v>
      </c>
    </row>
    <row r="312">
      <c r="A312" s="15" t="s">
        <v>736</v>
      </c>
      <c r="B312" s="15">
        <v>89.0</v>
      </c>
    </row>
    <row r="313">
      <c r="A313" s="15" t="s">
        <v>737</v>
      </c>
      <c r="B313" s="15">
        <v>89.0</v>
      </c>
    </row>
    <row r="314">
      <c r="A314" s="15" t="s">
        <v>738</v>
      </c>
      <c r="B314" s="15">
        <v>50.0</v>
      </c>
    </row>
    <row r="315">
      <c r="A315" s="15" t="s">
        <v>739</v>
      </c>
      <c r="B315" s="15">
        <v>74.0</v>
      </c>
    </row>
    <row r="316">
      <c r="A316" s="15" t="s">
        <v>740</v>
      </c>
      <c r="B316" s="15">
        <v>75.0</v>
      </c>
    </row>
    <row r="317">
      <c r="A317" s="15" t="s">
        <v>741</v>
      </c>
      <c r="B317" s="15">
        <v>90.0</v>
      </c>
    </row>
    <row r="318">
      <c r="A318" s="15" t="s">
        <v>742</v>
      </c>
      <c r="B318" s="15">
        <v>0.0</v>
      </c>
    </row>
    <row r="319">
      <c r="A319" s="15" t="s">
        <v>743</v>
      </c>
      <c r="B319" s="15">
        <v>50.0</v>
      </c>
    </row>
    <row r="320">
      <c r="A320" s="15" t="s">
        <v>744</v>
      </c>
      <c r="B320" s="15">
        <v>50.0</v>
      </c>
    </row>
    <row r="321">
      <c r="A321" s="15" t="s">
        <v>745</v>
      </c>
      <c r="B321" s="15">
        <v>74.0</v>
      </c>
    </row>
    <row r="322">
      <c r="A322" s="15" t="s">
        <v>746</v>
      </c>
      <c r="B322" s="15">
        <v>86.0</v>
      </c>
    </row>
    <row r="323">
      <c r="A323" s="15" t="s">
        <v>747</v>
      </c>
      <c r="B323" s="15">
        <v>89.0</v>
      </c>
    </row>
    <row r="324">
      <c r="A324" s="15" t="s">
        <v>748</v>
      </c>
      <c r="B324" s="15">
        <v>95.0</v>
      </c>
    </row>
    <row r="325">
      <c r="A325" s="15" t="s">
        <v>749</v>
      </c>
      <c r="B325" s="15">
        <v>50.0</v>
      </c>
    </row>
    <row r="326">
      <c r="A326" s="15" t="s">
        <v>750</v>
      </c>
      <c r="B326" s="15">
        <v>87.0</v>
      </c>
    </row>
    <row r="327">
      <c r="A327" s="15" t="s">
        <v>751</v>
      </c>
      <c r="B327" s="15">
        <v>91.0</v>
      </c>
    </row>
    <row r="328">
      <c r="A328" s="15" t="s">
        <v>752</v>
      </c>
      <c r="B328" s="15">
        <v>90.0</v>
      </c>
    </row>
    <row r="329">
      <c r="A329" s="15" t="s">
        <v>753</v>
      </c>
      <c r="B329" s="15">
        <v>84.0</v>
      </c>
    </row>
    <row r="330">
      <c r="A330" s="15" t="s">
        <v>754</v>
      </c>
      <c r="B330" s="15">
        <v>50.0</v>
      </c>
    </row>
    <row r="331">
      <c r="A331" s="15" t="s">
        <v>755</v>
      </c>
      <c r="B331" s="15">
        <v>75.0</v>
      </c>
    </row>
    <row r="332">
      <c r="A332" s="15" t="s">
        <v>756</v>
      </c>
      <c r="B332" s="15">
        <v>0.0</v>
      </c>
    </row>
    <row r="333">
      <c r="A333" s="15" t="s">
        <v>757</v>
      </c>
      <c r="B333" s="15">
        <v>50.0</v>
      </c>
    </row>
    <row r="334">
      <c r="A334" s="15" t="s">
        <v>759</v>
      </c>
      <c r="B334" s="15">
        <v>80.0</v>
      </c>
    </row>
    <row r="335">
      <c r="A335" s="15" t="s">
        <v>760</v>
      </c>
      <c r="B335" s="15">
        <v>88.0</v>
      </c>
    </row>
    <row r="336">
      <c r="A336" s="15" t="s">
        <v>761</v>
      </c>
      <c r="B336" s="15">
        <v>0.0</v>
      </c>
    </row>
    <row r="337">
      <c r="A337" s="15" t="s">
        <v>762</v>
      </c>
      <c r="B337" s="15">
        <v>0.0</v>
      </c>
    </row>
    <row r="338">
      <c r="A338" s="15" t="s">
        <v>763</v>
      </c>
      <c r="B338" s="15">
        <v>87.0</v>
      </c>
    </row>
    <row r="339">
      <c r="A339" s="15" t="s">
        <v>764</v>
      </c>
      <c r="B339" s="15">
        <v>90.0</v>
      </c>
    </row>
    <row r="340">
      <c r="A340" s="15" t="s">
        <v>765</v>
      </c>
      <c r="B340" s="15">
        <v>90.0</v>
      </c>
    </row>
    <row r="341">
      <c r="A341" s="15" t="s">
        <v>766</v>
      </c>
      <c r="B341" s="15">
        <v>80.0</v>
      </c>
    </row>
    <row r="342">
      <c r="A342" s="15" t="s">
        <v>767</v>
      </c>
      <c r="B342" s="15">
        <v>88.0</v>
      </c>
    </row>
    <row r="343">
      <c r="A343" s="15" t="s">
        <v>768</v>
      </c>
      <c r="B343" s="15">
        <v>74.0</v>
      </c>
    </row>
    <row r="344">
      <c r="A344" s="15" t="s">
        <v>769</v>
      </c>
      <c r="B344" s="15">
        <v>90.0</v>
      </c>
    </row>
    <row r="345">
      <c r="A345" s="15" t="s">
        <v>770</v>
      </c>
      <c r="B345" s="15">
        <v>80.0</v>
      </c>
    </row>
    <row r="346">
      <c r="A346" s="15" t="s">
        <v>771</v>
      </c>
      <c r="B346" s="15">
        <v>90.0</v>
      </c>
    </row>
    <row r="347">
      <c r="A347" s="15" t="s">
        <v>773</v>
      </c>
      <c r="B347" s="15">
        <v>73.0</v>
      </c>
    </row>
    <row r="348">
      <c r="A348" s="15" t="s">
        <v>774</v>
      </c>
      <c r="B348" s="15">
        <v>90.0</v>
      </c>
    </row>
    <row r="349">
      <c r="A349" s="15" t="s">
        <v>775</v>
      </c>
      <c r="B349" s="15">
        <v>50.0</v>
      </c>
    </row>
    <row r="350">
      <c r="A350" s="15" t="s">
        <v>776</v>
      </c>
      <c r="B350" s="15">
        <v>85.0</v>
      </c>
    </row>
    <row r="351">
      <c r="A351" s="15" t="s">
        <v>777</v>
      </c>
      <c r="B351" s="15">
        <v>94.0</v>
      </c>
    </row>
    <row r="352">
      <c r="A352" s="15" t="s">
        <v>778</v>
      </c>
      <c r="B352" s="15">
        <v>88.0</v>
      </c>
    </row>
    <row r="353">
      <c r="A353" s="15" t="s">
        <v>779</v>
      </c>
      <c r="B353" s="15">
        <v>69.0</v>
      </c>
    </row>
    <row r="354">
      <c r="A354" s="15" t="s">
        <v>780</v>
      </c>
      <c r="B354" s="15">
        <v>50.0</v>
      </c>
    </row>
    <row r="355">
      <c r="A355" s="15" t="s">
        <v>781</v>
      </c>
      <c r="B355" s="15">
        <v>86.0</v>
      </c>
    </row>
    <row r="356">
      <c r="A356" s="15" t="s">
        <v>782</v>
      </c>
      <c r="B356" s="15">
        <v>90.0</v>
      </c>
    </row>
    <row r="357">
      <c r="A357" s="15" t="s">
        <v>783</v>
      </c>
      <c r="B357" s="15">
        <v>93.0</v>
      </c>
    </row>
    <row r="358">
      <c r="A358" s="15" t="s">
        <v>784</v>
      </c>
      <c r="B358" s="15">
        <v>75.0</v>
      </c>
    </row>
    <row r="359">
      <c r="A359" s="15" t="s">
        <v>785</v>
      </c>
      <c r="B359" s="15">
        <v>72.0</v>
      </c>
    </row>
    <row r="360">
      <c r="A360" s="15" t="s">
        <v>786</v>
      </c>
      <c r="B360" s="15">
        <v>75.0</v>
      </c>
    </row>
    <row r="361">
      <c r="A361" s="15" t="s">
        <v>787</v>
      </c>
      <c r="B361" s="15">
        <v>86.0</v>
      </c>
    </row>
    <row r="362">
      <c r="A362" s="15" t="s">
        <v>788</v>
      </c>
      <c r="B362" s="15">
        <v>95.0</v>
      </c>
    </row>
    <row r="363">
      <c r="A363" s="15" t="s">
        <v>789</v>
      </c>
      <c r="B363" s="15">
        <v>76.0</v>
      </c>
    </row>
    <row r="364">
      <c r="A364" s="15" t="s">
        <v>790</v>
      </c>
      <c r="B364" s="15">
        <v>88.0</v>
      </c>
    </row>
    <row r="365">
      <c r="A365" s="15" t="s">
        <v>791</v>
      </c>
      <c r="B365" s="15">
        <v>85.0</v>
      </c>
    </row>
    <row r="366">
      <c r="A366" s="15" t="s">
        <v>792</v>
      </c>
      <c r="B366" s="15">
        <v>81.0</v>
      </c>
    </row>
    <row r="367">
      <c r="A367" s="15" t="s">
        <v>793</v>
      </c>
      <c r="B367" s="15">
        <v>90.0</v>
      </c>
    </row>
    <row r="368">
      <c r="A368" s="15" t="s">
        <v>794</v>
      </c>
      <c r="B368" s="15">
        <v>93.0</v>
      </c>
    </row>
    <row r="369">
      <c r="A369" s="15" t="s">
        <v>795</v>
      </c>
      <c r="B369" s="15">
        <v>50.0</v>
      </c>
    </row>
    <row r="370">
      <c r="A370" s="15" t="s">
        <v>796</v>
      </c>
      <c r="B370" s="15">
        <v>50.0</v>
      </c>
    </row>
    <row r="371">
      <c r="A371" s="15" t="s">
        <v>797</v>
      </c>
      <c r="B371" s="15">
        <v>95.0</v>
      </c>
    </row>
    <row r="372">
      <c r="A372" s="15" t="s">
        <v>798</v>
      </c>
      <c r="B372" s="15">
        <v>89.0</v>
      </c>
    </row>
    <row r="373">
      <c r="A373" s="15" t="s">
        <v>799</v>
      </c>
      <c r="B373" s="15">
        <v>89.0</v>
      </c>
    </row>
    <row r="374">
      <c r="A374" s="15" t="s">
        <v>800</v>
      </c>
      <c r="B374" s="15">
        <v>50.0</v>
      </c>
    </row>
    <row r="375">
      <c r="A375" s="15" t="s">
        <v>801</v>
      </c>
      <c r="B375" s="15">
        <v>91.0</v>
      </c>
    </row>
    <row r="376">
      <c r="A376" s="15" t="s">
        <v>802</v>
      </c>
      <c r="B376" s="15">
        <v>88.0</v>
      </c>
    </row>
    <row r="377">
      <c r="A377" s="15" t="s">
        <v>803</v>
      </c>
      <c r="B377" s="15">
        <v>80.0</v>
      </c>
    </row>
    <row r="378">
      <c r="A378" s="15" t="s">
        <v>804</v>
      </c>
      <c r="B378" s="15">
        <v>79.0</v>
      </c>
    </row>
    <row r="379">
      <c r="A379" s="15" t="s">
        <v>805</v>
      </c>
      <c r="B379" s="15">
        <v>95.0</v>
      </c>
    </row>
    <row r="380">
      <c r="A380" s="15" t="s">
        <v>806</v>
      </c>
      <c r="B380" s="15">
        <v>95.0</v>
      </c>
    </row>
    <row r="381">
      <c r="A381" s="15" t="s">
        <v>807</v>
      </c>
      <c r="B381" s="15">
        <v>0.0</v>
      </c>
    </row>
    <row r="382">
      <c r="A382" s="15" t="s">
        <v>809</v>
      </c>
      <c r="B382" s="15">
        <v>0.0</v>
      </c>
    </row>
    <row r="383">
      <c r="A383" s="15" t="s">
        <v>810</v>
      </c>
      <c r="B383" s="15">
        <v>50.0</v>
      </c>
    </row>
    <row r="384">
      <c r="A384" s="15" t="s">
        <v>811</v>
      </c>
      <c r="B384" s="15">
        <v>95.0</v>
      </c>
    </row>
    <row r="385">
      <c r="A385" s="15" t="s">
        <v>812</v>
      </c>
      <c r="B385" s="15">
        <v>50.0</v>
      </c>
    </row>
    <row r="386">
      <c r="A386" s="15" t="s">
        <v>813</v>
      </c>
      <c r="B386" s="15">
        <v>95.0</v>
      </c>
    </row>
    <row r="387">
      <c r="A387" s="15" t="s">
        <v>814</v>
      </c>
      <c r="B387" s="15">
        <v>0.0</v>
      </c>
    </row>
    <row r="388">
      <c r="A388" s="15" t="s">
        <v>816</v>
      </c>
      <c r="B388" s="15">
        <v>89.0</v>
      </c>
    </row>
    <row r="389">
      <c r="A389" s="15" t="s">
        <v>817</v>
      </c>
      <c r="B389" s="15">
        <v>50.0</v>
      </c>
    </row>
    <row r="390">
      <c r="A390" s="15" t="s">
        <v>818</v>
      </c>
      <c r="B390" s="15">
        <v>91.0</v>
      </c>
    </row>
    <row r="391">
      <c r="A391" s="15" t="s">
        <v>819</v>
      </c>
      <c r="B391" s="15">
        <v>41.0</v>
      </c>
    </row>
    <row r="392">
      <c r="A392" s="15" t="s">
        <v>820</v>
      </c>
      <c r="B392" s="15">
        <v>93.0</v>
      </c>
    </row>
    <row r="393">
      <c r="A393" s="15" t="s">
        <v>821</v>
      </c>
      <c r="B393" s="15">
        <v>95.0</v>
      </c>
    </row>
    <row r="394">
      <c r="A394" s="15" t="s">
        <v>822</v>
      </c>
      <c r="B394" s="15">
        <v>95.0</v>
      </c>
    </row>
    <row r="395">
      <c r="A395" s="15" t="s">
        <v>823</v>
      </c>
      <c r="B395" s="15">
        <v>75.0</v>
      </c>
    </row>
    <row r="396">
      <c r="A396" s="15" t="s">
        <v>824</v>
      </c>
      <c r="B396" s="15">
        <v>50.0</v>
      </c>
    </row>
    <row r="397">
      <c r="A397" s="15" t="s">
        <v>825</v>
      </c>
      <c r="B397" s="15">
        <v>0.0</v>
      </c>
    </row>
    <row r="398">
      <c r="A398" s="15" t="s">
        <v>826</v>
      </c>
      <c r="B398" s="15">
        <v>90.0</v>
      </c>
    </row>
    <row r="399">
      <c r="A399" s="15" t="s">
        <v>827</v>
      </c>
      <c r="B399" s="15">
        <v>88.0</v>
      </c>
    </row>
    <row r="400">
      <c r="A400" s="15" t="s">
        <v>828</v>
      </c>
      <c r="B400" s="15">
        <v>90.0</v>
      </c>
    </row>
    <row r="401">
      <c r="A401" s="15" t="s">
        <v>829</v>
      </c>
      <c r="B401" s="15">
        <v>94.0</v>
      </c>
    </row>
    <row r="402">
      <c r="A402" s="15" t="s">
        <v>830</v>
      </c>
      <c r="B402" s="15">
        <v>0.0</v>
      </c>
    </row>
    <row r="403">
      <c r="A403" s="15" t="s">
        <v>831</v>
      </c>
      <c r="B403" s="15">
        <v>93.0</v>
      </c>
    </row>
    <row r="404">
      <c r="A404" s="15" t="s">
        <v>832</v>
      </c>
      <c r="B404" s="15">
        <v>88.0</v>
      </c>
    </row>
    <row r="405">
      <c r="A405" s="15" t="s">
        <v>833</v>
      </c>
      <c r="B405" s="15">
        <v>60.0</v>
      </c>
    </row>
    <row r="406">
      <c r="A406" s="15" t="s">
        <v>834</v>
      </c>
      <c r="B406" s="15">
        <v>70.0</v>
      </c>
    </row>
    <row r="407">
      <c r="A407" s="15" t="s">
        <v>835</v>
      </c>
      <c r="B407" s="15">
        <v>79.0</v>
      </c>
    </row>
    <row r="408">
      <c r="A408" s="15" t="s">
        <v>836</v>
      </c>
      <c r="B408" s="15">
        <v>0.0</v>
      </c>
    </row>
    <row r="409">
      <c r="A409" s="15" t="s">
        <v>837</v>
      </c>
      <c r="B409" s="15">
        <v>0.0</v>
      </c>
    </row>
    <row r="410">
      <c r="A410" s="15" t="s">
        <v>838</v>
      </c>
      <c r="B410" s="15">
        <v>87.0</v>
      </c>
    </row>
    <row r="411">
      <c r="A411" s="15" t="s">
        <v>839</v>
      </c>
      <c r="B411" s="15">
        <v>91.0</v>
      </c>
    </row>
    <row r="412">
      <c r="A412" s="15" t="s">
        <v>840</v>
      </c>
      <c r="B412" s="15">
        <v>93.0</v>
      </c>
    </row>
    <row r="413">
      <c r="A413" s="15" t="s">
        <v>841</v>
      </c>
      <c r="B413" s="15">
        <v>50.0</v>
      </c>
    </row>
    <row r="414">
      <c r="A414" s="15" t="s">
        <v>842</v>
      </c>
      <c r="B414" s="15">
        <v>89.0</v>
      </c>
    </row>
    <row r="415">
      <c r="A415" s="15" t="s">
        <v>843</v>
      </c>
      <c r="B415" s="15">
        <v>85.0</v>
      </c>
    </row>
    <row r="416">
      <c r="A416" s="15" t="s">
        <v>844</v>
      </c>
      <c r="B416" s="15">
        <v>50.0</v>
      </c>
    </row>
    <row r="417">
      <c r="A417" s="15" t="s">
        <v>845</v>
      </c>
      <c r="B417" s="15">
        <v>41.0</v>
      </c>
    </row>
    <row r="418">
      <c r="A418" s="15" t="s">
        <v>846</v>
      </c>
      <c r="B418" s="15">
        <v>76.0</v>
      </c>
    </row>
    <row r="419">
      <c r="A419" s="15" t="s">
        <v>847</v>
      </c>
      <c r="B419" s="15">
        <v>45.0</v>
      </c>
    </row>
    <row r="420">
      <c r="A420" s="15" t="s">
        <v>848</v>
      </c>
      <c r="B420" s="15">
        <v>93.0</v>
      </c>
    </row>
    <row r="421">
      <c r="A421" s="15" t="s">
        <v>849</v>
      </c>
      <c r="B421" s="15">
        <v>0.0</v>
      </c>
    </row>
    <row r="422">
      <c r="A422" s="15" t="s">
        <v>850</v>
      </c>
      <c r="B422" s="15">
        <v>93.0</v>
      </c>
    </row>
    <row r="423">
      <c r="A423" s="15" t="s">
        <v>851</v>
      </c>
      <c r="B423" s="15">
        <v>90.0</v>
      </c>
    </row>
    <row r="424">
      <c r="A424" s="15" t="s">
        <v>853</v>
      </c>
      <c r="B424" s="15">
        <v>92.0</v>
      </c>
    </row>
    <row r="425">
      <c r="A425" s="15" t="s">
        <v>854</v>
      </c>
      <c r="B425" s="15">
        <v>89.0</v>
      </c>
    </row>
    <row r="426">
      <c r="A426" s="15" t="s">
        <v>855</v>
      </c>
      <c r="B426" s="15">
        <v>0.0</v>
      </c>
    </row>
    <row r="427">
      <c r="A427" s="15" t="s">
        <v>857</v>
      </c>
      <c r="B427" s="15">
        <v>50.0</v>
      </c>
    </row>
    <row r="428">
      <c r="A428" s="15" t="s">
        <v>858</v>
      </c>
      <c r="B428" s="15">
        <v>87.0</v>
      </c>
    </row>
    <row r="429">
      <c r="A429" s="15" t="s">
        <v>859</v>
      </c>
      <c r="B429" s="15">
        <v>84.0</v>
      </c>
    </row>
    <row r="430">
      <c r="A430" s="15" t="s">
        <v>860</v>
      </c>
      <c r="B430" s="15">
        <v>84.0</v>
      </c>
    </row>
    <row r="431">
      <c r="A431" s="15" t="s">
        <v>1339</v>
      </c>
      <c r="B431" s="15">
        <v>84.0</v>
      </c>
    </row>
    <row r="432">
      <c r="A432" s="15" t="s">
        <v>1249</v>
      </c>
      <c r="B432" s="15">
        <v>84.0</v>
      </c>
    </row>
    <row r="433">
      <c r="A433" s="15" t="s">
        <v>864</v>
      </c>
      <c r="B433" s="15">
        <v>93.0</v>
      </c>
    </row>
    <row r="434">
      <c r="A434" s="15" t="s">
        <v>861</v>
      </c>
      <c r="B434" s="15">
        <v>91.0</v>
      </c>
    </row>
    <row r="435">
      <c r="A435" s="15" t="s">
        <v>1340</v>
      </c>
      <c r="B435" s="15">
        <v>50.0</v>
      </c>
    </row>
    <row r="436">
      <c r="A436" s="15" t="s">
        <v>866</v>
      </c>
      <c r="B436" s="15">
        <v>0.0</v>
      </c>
    </row>
    <row r="437">
      <c r="A437" s="15" t="s">
        <v>871</v>
      </c>
      <c r="B437" s="15">
        <v>46.0</v>
      </c>
    </row>
    <row r="438">
      <c r="A438" s="15" t="s">
        <v>867</v>
      </c>
      <c r="B438" s="15">
        <v>0.0</v>
      </c>
    </row>
    <row r="439">
      <c r="A439" s="15" t="s">
        <v>872</v>
      </c>
      <c r="B439" s="15">
        <v>50.0</v>
      </c>
    </row>
    <row r="440">
      <c r="A440" s="15" t="s">
        <v>869</v>
      </c>
      <c r="B440" s="15">
        <v>83.0</v>
      </c>
    </row>
    <row r="441">
      <c r="A441" s="15" t="s">
        <v>1342</v>
      </c>
      <c r="B441" s="15">
        <v>0.0</v>
      </c>
    </row>
    <row r="442">
      <c r="A442" s="15" t="s">
        <v>882</v>
      </c>
      <c r="B442" s="15">
        <v>73.0</v>
      </c>
    </row>
    <row r="443">
      <c r="A443" s="15" t="s">
        <v>873</v>
      </c>
      <c r="B443" s="15">
        <v>0.0</v>
      </c>
    </row>
    <row r="444">
      <c r="A444" s="15" t="s">
        <v>877</v>
      </c>
      <c r="B444" s="15">
        <v>50.0</v>
      </c>
    </row>
    <row r="445">
      <c r="A445" s="15" t="s">
        <v>879</v>
      </c>
      <c r="B445" s="15">
        <v>0.0</v>
      </c>
    </row>
    <row r="446">
      <c r="A446" s="15" t="s">
        <v>870</v>
      </c>
      <c r="B446" s="15">
        <v>50.0</v>
      </c>
    </row>
    <row r="447">
      <c r="A447" s="15" t="s">
        <v>881</v>
      </c>
      <c r="B447" s="15">
        <v>50.0</v>
      </c>
    </row>
    <row r="448">
      <c r="A448" s="15" t="s">
        <v>876</v>
      </c>
      <c r="B448" s="15">
        <v>0.0</v>
      </c>
    </row>
    <row r="449">
      <c r="A449" s="15" t="s">
        <v>878</v>
      </c>
      <c r="B449" s="15">
        <v>0.0</v>
      </c>
    </row>
    <row r="450">
      <c r="A450" s="15" t="s">
        <v>880</v>
      </c>
      <c r="B450" s="15">
        <v>63.0</v>
      </c>
    </row>
    <row r="451">
      <c r="A451" s="15" t="s">
        <v>1341</v>
      </c>
      <c r="B451" s="15">
        <v>0.0</v>
      </c>
    </row>
    <row r="452">
      <c r="A452" s="15" t="s">
        <v>865</v>
      </c>
      <c r="B452" s="15">
        <v>0.0</v>
      </c>
    </row>
    <row r="453">
      <c r="A453" s="15" t="s">
        <v>863</v>
      </c>
      <c r="B453" s="15">
        <v>0.0</v>
      </c>
    </row>
    <row r="454">
      <c r="A454" s="15" t="s">
        <v>883</v>
      </c>
      <c r="B454" s="15">
        <v>80.0</v>
      </c>
    </row>
    <row r="455">
      <c r="A455" s="15" t="s">
        <v>884</v>
      </c>
      <c r="B455" s="15">
        <v>93.0</v>
      </c>
    </row>
    <row r="456">
      <c r="A456" s="15" t="s">
        <v>885</v>
      </c>
      <c r="B456" s="15">
        <v>50.0</v>
      </c>
    </row>
    <row r="457">
      <c r="A457" s="15" t="s">
        <v>886</v>
      </c>
      <c r="B457" s="15">
        <v>50.0</v>
      </c>
    </row>
    <row r="458">
      <c r="A458" s="15" t="s">
        <v>887</v>
      </c>
      <c r="B458" s="15">
        <v>92.0</v>
      </c>
    </row>
    <row r="459">
      <c r="A459" s="15" t="s">
        <v>888</v>
      </c>
      <c r="B459" s="15">
        <v>0.0</v>
      </c>
    </row>
    <row r="460">
      <c r="A460" s="15" t="s">
        <v>889</v>
      </c>
      <c r="B460" s="15">
        <v>0.0</v>
      </c>
    </row>
    <row r="461">
      <c r="A461" s="15" t="s">
        <v>890</v>
      </c>
      <c r="B461" s="15">
        <v>85.0</v>
      </c>
    </row>
    <row r="462">
      <c r="A462" s="15" t="s">
        <v>891</v>
      </c>
      <c r="B462" s="15">
        <v>90.0</v>
      </c>
    </row>
    <row r="463">
      <c r="A463" s="15" t="s">
        <v>892</v>
      </c>
      <c r="B463" s="15">
        <v>0.0</v>
      </c>
    </row>
    <row r="464">
      <c r="A464" s="15" t="s">
        <v>893</v>
      </c>
      <c r="B464" s="15">
        <v>0.0</v>
      </c>
    </row>
    <row r="465">
      <c r="A465" s="15" t="s">
        <v>894</v>
      </c>
      <c r="B465" s="15">
        <v>82.0</v>
      </c>
    </row>
    <row r="466">
      <c r="A466" s="15" t="s">
        <v>895</v>
      </c>
      <c r="B466" s="15">
        <v>50.0</v>
      </c>
    </row>
    <row r="467">
      <c r="A467" s="15" t="s">
        <v>896</v>
      </c>
      <c r="B467" s="15">
        <v>0.0</v>
      </c>
    </row>
    <row r="468">
      <c r="A468" s="15" t="s">
        <v>897</v>
      </c>
      <c r="B468" s="15">
        <v>0.0</v>
      </c>
    </row>
    <row r="469">
      <c r="A469" s="15" t="s">
        <v>898</v>
      </c>
      <c r="B469" s="15">
        <v>0.0</v>
      </c>
    </row>
    <row r="470">
      <c r="A470" s="15" t="s">
        <v>899</v>
      </c>
      <c r="B470" s="15">
        <v>86.0</v>
      </c>
    </row>
    <row r="471">
      <c r="A471" s="15" t="s">
        <v>900</v>
      </c>
      <c r="B471" s="15">
        <v>50.0</v>
      </c>
    </row>
    <row r="472">
      <c r="A472" s="15" t="s">
        <v>901</v>
      </c>
      <c r="B472" s="15">
        <v>0.0</v>
      </c>
    </row>
    <row r="473">
      <c r="A473" s="15" t="s">
        <v>902</v>
      </c>
      <c r="B473" s="15">
        <v>91.0</v>
      </c>
    </row>
    <row r="474">
      <c r="A474" s="15" t="s">
        <v>903</v>
      </c>
      <c r="B474" s="15">
        <v>0.0</v>
      </c>
    </row>
    <row r="475">
      <c r="A475" s="15" t="s">
        <v>904</v>
      </c>
      <c r="B475" s="15">
        <v>0.0</v>
      </c>
    </row>
    <row r="476">
      <c r="A476" s="15" t="s">
        <v>905</v>
      </c>
      <c r="B476" s="15">
        <v>92.0</v>
      </c>
    </row>
    <row r="477">
      <c r="A477" s="15" t="s">
        <v>906</v>
      </c>
      <c r="B477" s="15">
        <v>92.0</v>
      </c>
    </row>
    <row r="478">
      <c r="A478" s="15" t="s">
        <v>907</v>
      </c>
      <c r="B478" s="15">
        <v>90.0</v>
      </c>
    </row>
    <row r="479">
      <c r="A479" s="15" t="s">
        <v>908</v>
      </c>
      <c r="B479" s="15">
        <v>0.0</v>
      </c>
    </row>
    <row r="480">
      <c r="A480" s="15" t="s">
        <v>909</v>
      </c>
      <c r="B480" s="15">
        <v>50.0</v>
      </c>
    </row>
    <row r="481">
      <c r="A481" s="15" t="s">
        <v>910</v>
      </c>
      <c r="B481" s="15">
        <v>0.0</v>
      </c>
    </row>
    <row r="482">
      <c r="A482" s="15" t="s">
        <v>911</v>
      </c>
      <c r="B482" s="15">
        <v>84.0</v>
      </c>
    </row>
    <row r="483">
      <c r="A483" s="15" t="s">
        <v>912</v>
      </c>
      <c r="B483" s="15">
        <v>0.0</v>
      </c>
    </row>
    <row r="484">
      <c r="A484" s="15" t="s">
        <v>913</v>
      </c>
      <c r="B484" s="15">
        <v>0.0</v>
      </c>
    </row>
    <row r="485">
      <c r="A485" s="15" t="s">
        <v>914</v>
      </c>
      <c r="B485" s="15">
        <v>92.0</v>
      </c>
    </row>
    <row r="486">
      <c r="A486" s="15" t="s">
        <v>915</v>
      </c>
      <c r="B486" s="15">
        <v>91.0</v>
      </c>
    </row>
    <row r="487">
      <c r="A487" s="15" t="s">
        <v>916</v>
      </c>
      <c r="B487" s="15">
        <v>85.0</v>
      </c>
    </row>
    <row r="488">
      <c r="A488" s="15" t="s">
        <v>917</v>
      </c>
      <c r="B488" s="15">
        <v>50.0</v>
      </c>
    </row>
    <row r="489">
      <c r="A489" s="15" t="s">
        <v>918</v>
      </c>
      <c r="B489" s="15">
        <v>92.0</v>
      </c>
    </row>
    <row r="490">
      <c r="A490" s="15" t="s">
        <v>919</v>
      </c>
      <c r="B490" s="15">
        <v>92.0</v>
      </c>
    </row>
    <row r="491">
      <c r="A491" s="15" t="s">
        <v>920</v>
      </c>
      <c r="B491" s="15">
        <v>93.0</v>
      </c>
    </row>
    <row r="492">
      <c r="A492" s="15" t="s">
        <v>921</v>
      </c>
      <c r="B492" s="15">
        <v>92.0</v>
      </c>
    </row>
    <row r="493">
      <c r="A493" s="15" t="s">
        <v>922</v>
      </c>
      <c r="B493" s="15">
        <v>82.0</v>
      </c>
    </row>
    <row r="494">
      <c r="A494" s="15" t="s">
        <v>923</v>
      </c>
      <c r="B494" s="15">
        <v>87.0</v>
      </c>
    </row>
    <row r="495">
      <c r="A495" s="15" t="s">
        <v>924</v>
      </c>
      <c r="B495" s="15">
        <v>0.0</v>
      </c>
    </row>
    <row r="496">
      <c r="A496" s="15" t="s">
        <v>925</v>
      </c>
      <c r="B496" s="15">
        <v>82.0</v>
      </c>
    </row>
    <row r="497">
      <c r="A497" s="15" t="s">
        <v>926</v>
      </c>
      <c r="B497" s="15">
        <v>83.0</v>
      </c>
    </row>
    <row r="498">
      <c r="A498" s="15" t="s">
        <v>927</v>
      </c>
      <c r="B498" s="15">
        <v>91.0</v>
      </c>
    </row>
    <row r="499">
      <c r="A499" s="15" t="s">
        <v>928</v>
      </c>
      <c r="B499" s="15">
        <v>83.0</v>
      </c>
    </row>
    <row r="500">
      <c r="A500" s="15" t="s">
        <v>929</v>
      </c>
      <c r="B500" s="15">
        <v>0.0</v>
      </c>
    </row>
    <row r="501">
      <c r="A501" s="15" t="s">
        <v>930</v>
      </c>
      <c r="B501" s="15">
        <v>82.0</v>
      </c>
    </row>
    <row r="502">
      <c r="A502" s="15" t="s">
        <v>931</v>
      </c>
      <c r="B502" s="15">
        <v>90.0</v>
      </c>
    </row>
    <row r="503">
      <c r="A503" s="15" t="s">
        <v>932</v>
      </c>
      <c r="B503" s="15">
        <v>85.0</v>
      </c>
    </row>
    <row r="504">
      <c r="A504" s="15" t="s">
        <v>933</v>
      </c>
      <c r="B504" s="15">
        <v>83.0</v>
      </c>
    </row>
    <row r="505">
      <c r="A505" s="15" t="s">
        <v>934</v>
      </c>
      <c r="B505" s="15">
        <v>0.0</v>
      </c>
    </row>
    <row r="506">
      <c r="A506" s="15" t="s">
        <v>935</v>
      </c>
      <c r="B506" s="15">
        <v>0.0</v>
      </c>
    </row>
    <row r="507">
      <c r="A507" s="15" t="s">
        <v>936</v>
      </c>
      <c r="B507" s="15">
        <v>81.0</v>
      </c>
    </row>
    <row r="508">
      <c r="A508" s="15" t="s">
        <v>937</v>
      </c>
      <c r="B508" s="15">
        <v>0.0</v>
      </c>
    </row>
    <row r="509">
      <c r="A509" s="15" t="s">
        <v>938</v>
      </c>
      <c r="B509" s="15">
        <v>83.0</v>
      </c>
    </row>
    <row r="510">
      <c r="A510" s="15" t="s">
        <v>939</v>
      </c>
      <c r="B510" s="15">
        <v>91.0</v>
      </c>
    </row>
    <row r="511">
      <c r="A511" s="15" t="s">
        <v>940</v>
      </c>
      <c r="B511" s="15">
        <v>87.0</v>
      </c>
    </row>
    <row r="512">
      <c r="A512" s="15" t="s">
        <v>941</v>
      </c>
      <c r="B512" s="15">
        <v>84.0</v>
      </c>
    </row>
    <row r="513">
      <c r="A513" s="15" t="s">
        <v>942</v>
      </c>
      <c r="B513" s="15">
        <v>74.0</v>
      </c>
    </row>
    <row r="514">
      <c r="A514" s="15" t="s">
        <v>943</v>
      </c>
      <c r="B514" s="15">
        <v>92.0</v>
      </c>
    </row>
    <row r="515">
      <c r="A515" s="15" t="s">
        <v>944</v>
      </c>
      <c r="B515" s="15">
        <v>86.0</v>
      </c>
    </row>
    <row r="516">
      <c r="A516" s="15" t="s">
        <v>945</v>
      </c>
      <c r="B516" s="15">
        <v>85.0</v>
      </c>
    </row>
    <row r="517">
      <c r="A517" s="15" t="s">
        <v>947</v>
      </c>
      <c r="B517" s="15">
        <v>90.0</v>
      </c>
    </row>
    <row r="518">
      <c r="A518" s="15" t="s">
        <v>948</v>
      </c>
      <c r="B518" s="15">
        <v>83.0</v>
      </c>
    </row>
    <row r="519">
      <c r="A519" s="15" t="s">
        <v>949</v>
      </c>
      <c r="B519" s="15">
        <v>91.0</v>
      </c>
    </row>
    <row r="520">
      <c r="A520" s="15" t="s">
        <v>950</v>
      </c>
      <c r="B520" s="15">
        <v>93.0</v>
      </c>
    </row>
    <row r="521">
      <c r="A521" s="15" t="s">
        <v>951</v>
      </c>
      <c r="B521" s="15">
        <v>0.0</v>
      </c>
    </row>
    <row r="522">
      <c r="A522" s="15" t="s">
        <v>952</v>
      </c>
      <c r="B522" s="15">
        <v>50.0</v>
      </c>
    </row>
    <row r="523">
      <c r="A523" s="15" t="s">
        <v>953</v>
      </c>
      <c r="B523" s="15">
        <v>82.0</v>
      </c>
    </row>
    <row r="524">
      <c r="A524" s="15" t="s">
        <v>954</v>
      </c>
      <c r="B524" s="15">
        <v>82.0</v>
      </c>
    </row>
    <row r="525">
      <c r="A525" s="15" t="s">
        <v>955</v>
      </c>
      <c r="B525" s="15">
        <v>76.0</v>
      </c>
    </row>
    <row r="526">
      <c r="A526" s="15" t="s">
        <v>956</v>
      </c>
      <c r="B526" s="15">
        <v>90.0</v>
      </c>
    </row>
    <row r="527">
      <c r="A527" s="15" t="s">
        <v>957</v>
      </c>
      <c r="B527" s="15">
        <v>83.0</v>
      </c>
    </row>
    <row r="528">
      <c r="A528" s="15" t="s">
        <v>959</v>
      </c>
      <c r="B528" s="15">
        <v>85.0</v>
      </c>
    </row>
    <row r="529">
      <c r="A529" s="15" t="s">
        <v>960</v>
      </c>
      <c r="B529" s="15">
        <v>0.0</v>
      </c>
    </row>
    <row r="530">
      <c r="A530" s="15" t="s">
        <v>961</v>
      </c>
      <c r="B530" s="15">
        <v>91.0</v>
      </c>
    </row>
    <row r="531">
      <c r="A531" s="15" t="s">
        <v>962</v>
      </c>
      <c r="B531" s="15">
        <v>83.0</v>
      </c>
    </row>
    <row r="532">
      <c r="A532" s="15" t="s">
        <v>963</v>
      </c>
      <c r="B532" s="15">
        <v>83.0</v>
      </c>
    </row>
    <row r="533">
      <c r="A533" s="15" t="s">
        <v>964</v>
      </c>
      <c r="B533" s="15">
        <v>0.0</v>
      </c>
    </row>
    <row r="534">
      <c r="A534" s="15" t="s">
        <v>965</v>
      </c>
      <c r="B534" s="15">
        <v>93.0</v>
      </c>
    </row>
    <row r="535">
      <c r="A535" s="15" t="s">
        <v>966</v>
      </c>
      <c r="B535" s="15">
        <v>93.0</v>
      </c>
    </row>
    <row r="536">
      <c r="A536" s="15" t="s">
        <v>967</v>
      </c>
      <c r="B536" s="15">
        <v>93.0</v>
      </c>
    </row>
    <row r="537">
      <c r="A537" s="15" t="s">
        <v>968</v>
      </c>
      <c r="B537" s="15">
        <v>90.0</v>
      </c>
    </row>
    <row r="538">
      <c r="A538" s="15" t="s">
        <v>969</v>
      </c>
      <c r="B538" s="15">
        <v>94.0</v>
      </c>
    </row>
    <row r="539">
      <c r="A539" s="15" t="s">
        <v>970</v>
      </c>
      <c r="B539" s="15">
        <v>79.0</v>
      </c>
    </row>
    <row r="540">
      <c r="A540" s="15" t="s">
        <v>971</v>
      </c>
      <c r="B540" s="15">
        <v>81.0</v>
      </c>
    </row>
    <row r="541">
      <c r="A541" s="15" t="s">
        <v>972</v>
      </c>
      <c r="B541" s="15">
        <v>83.0</v>
      </c>
    </row>
    <row r="542">
      <c r="A542" s="15" t="s">
        <v>973</v>
      </c>
      <c r="B542" s="15">
        <v>0.0</v>
      </c>
    </row>
    <row r="543">
      <c r="A543" s="15" t="s">
        <v>974</v>
      </c>
      <c r="B543" s="15">
        <v>0.0</v>
      </c>
    </row>
    <row r="544">
      <c r="A544" s="15" t="s">
        <v>975</v>
      </c>
      <c r="B544" s="15">
        <v>91.0</v>
      </c>
    </row>
    <row r="545">
      <c r="A545" s="15" t="s">
        <v>976</v>
      </c>
      <c r="B545" s="15">
        <v>0.0</v>
      </c>
    </row>
    <row r="546">
      <c r="A546" s="15" t="s">
        <v>977</v>
      </c>
      <c r="B546" s="15">
        <v>84.0</v>
      </c>
    </row>
    <row r="547">
      <c r="A547" s="15" t="s">
        <v>978</v>
      </c>
      <c r="B547" s="15">
        <v>99.0</v>
      </c>
    </row>
    <row r="548">
      <c r="A548" s="15" t="s">
        <v>979</v>
      </c>
      <c r="B548" s="15">
        <v>88.0</v>
      </c>
    </row>
    <row r="549">
      <c r="A549" s="15" t="s">
        <v>980</v>
      </c>
      <c r="B549" s="15">
        <v>50.0</v>
      </c>
    </row>
    <row r="550">
      <c r="A550" s="15" t="s">
        <v>981</v>
      </c>
      <c r="B550" s="15">
        <v>50.0</v>
      </c>
    </row>
    <row r="551">
      <c r="A551" s="15" t="s">
        <v>982</v>
      </c>
      <c r="B551" s="15">
        <v>89.0</v>
      </c>
    </row>
    <row r="552">
      <c r="A552" s="15" t="s">
        <v>983</v>
      </c>
      <c r="B552" s="15">
        <v>94.0</v>
      </c>
    </row>
    <row r="553">
      <c r="A553" s="15" t="s">
        <v>984</v>
      </c>
      <c r="B553" s="15">
        <v>79.0</v>
      </c>
    </row>
    <row r="554">
      <c r="A554" s="15" t="s">
        <v>985</v>
      </c>
      <c r="B554" s="15">
        <v>0.0</v>
      </c>
    </row>
    <row r="555">
      <c r="A555" s="15" t="s">
        <v>986</v>
      </c>
      <c r="B555" s="15">
        <v>0.0</v>
      </c>
    </row>
    <row r="556">
      <c r="A556" s="15" t="s">
        <v>987</v>
      </c>
      <c r="B556" s="15">
        <v>0.0</v>
      </c>
    </row>
    <row r="557">
      <c r="A557" s="15" t="s">
        <v>988</v>
      </c>
      <c r="B557" s="15">
        <v>0.0</v>
      </c>
    </row>
    <row r="558">
      <c r="A558" s="15" t="s">
        <v>989</v>
      </c>
      <c r="B558" s="15">
        <v>92.0</v>
      </c>
    </row>
    <row r="559">
      <c r="A559" s="15" t="s">
        <v>990</v>
      </c>
      <c r="B559" s="15">
        <v>93.0</v>
      </c>
    </row>
    <row r="560">
      <c r="A560" s="15" t="s">
        <v>991</v>
      </c>
      <c r="B560" s="15">
        <v>92.0</v>
      </c>
    </row>
    <row r="561">
      <c r="A561" s="15" t="s">
        <v>992</v>
      </c>
      <c r="B561" s="15">
        <v>0.0</v>
      </c>
    </row>
    <row r="562">
      <c r="A562" s="15" t="s">
        <v>993</v>
      </c>
      <c r="B562" s="15">
        <v>79.0</v>
      </c>
    </row>
    <row r="563">
      <c r="A563" s="15" t="s">
        <v>994</v>
      </c>
      <c r="B563" s="15">
        <v>90.0</v>
      </c>
    </row>
    <row r="564">
      <c r="A564" s="15" t="s">
        <v>995</v>
      </c>
      <c r="B564" s="15">
        <v>0.0</v>
      </c>
    </row>
    <row r="565">
      <c r="A565" s="15" t="s">
        <v>996</v>
      </c>
      <c r="B565" s="15">
        <v>98.0</v>
      </c>
    </row>
    <row r="566">
      <c r="A566" s="15" t="s">
        <v>997</v>
      </c>
      <c r="B566" s="15">
        <v>50.0</v>
      </c>
    </row>
    <row r="567">
      <c r="A567" s="15" t="s">
        <v>998</v>
      </c>
      <c r="B567" s="15">
        <v>0.0</v>
      </c>
    </row>
    <row r="568">
      <c r="A568" s="15" t="s">
        <v>999</v>
      </c>
      <c r="B568" s="15">
        <v>94.0</v>
      </c>
    </row>
    <row r="569">
      <c r="A569" s="15" t="s">
        <v>1000</v>
      </c>
      <c r="B569" s="15">
        <v>92.0</v>
      </c>
    </row>
    <row r="570">
      <c r="A570" s="15" t="s">
        <v>1001</v>
      </c>
      <c r="B570" s="15">
        <v>0.0</v>
      </c>
    </row>
    <row r="571">
      <c r="A571" s="15" t="s">
        <v>1002</v>
      </c>
      <c r="B571" s="15">
        <v>90.0</v>
      </c>
    </row>
    <row r="572">
      <c r="A572" s="15" t="s">
        <v>1003</v>
      </c>
      <c r="B572" s="15">
        <v>91.0</v>
      </c>
    </row>
    <row r="573">
      <c r="A573" s="15" t="s">
        <v>1004</v>
      </c>
      <c r="B573" s="15">
        <v>92.0</v>
      </c>
    </row>
    <row r="574">
      <c r="A574" s="15" t="s">
        <v>1005</v>
      </c>
      <c r="B574" s="15">
        <v>0.0</v>
      </c>
    </row>
    <row r="575">
      <c r="A575" s="15" t="s">
        <v>1006</v>
      </c>
      <c r="B575" s="15">
        <v>81.0</v>
      </c>
    </row>
    <row r="576">
      <c r="A576" s="15" t="s">
        <v>1007</v>
      </c>
      <c r="B576" s="15">
        <v>50.0</v>
      </c>
    </row>
    <row r="577">
      <c r="A577" s="15" t="s">
        <v>1008</v>
      </c>
      <c r="B577" s="15">
        <v>0.0</v>
      </c>
    </row>
    <row r="578">
      <c r="A578" s="15" t="s">
        <v>1009</v>
      </c>
      <c r="B578" s="15">
        <v>0.0</v>
      </c>
    </row>
    <row r="579">
      <c r="A579" s="15" t="s">
        <v>1010</v>
      </c>
      <c r="B579" s="15">
        <v>97.0</v>
      </c>
    </row>
    <row r="580">
      <c r="A580" s="15" t="s">
        <v>1011</v>
      </c>
      <c r="B580" s="15">
        <v>0.0</v>
      </c>
    </row>
    <row r="581">
      <c r="A581" s="15" t="s">
        <v>1012</v>
      </c>
      <c r="B581" s="15">
        <v>97.0</v>
      </c>
    </row>
    <row r="582">
      <c r="A582" s="15" t="s">
        <v>1013</v>
      </c>
      <c r="B582" s="15">
        <v>50.0</v>
      </c>
    </row>
    <row r="583">
      <c r="A583" s="15" t="s">
        <v>1014</v>
      </c>
      <c r="B583" s="15">
        <v>0.0</v>
      </c>
    </row>
    <row r="584">
      <c r="A584" s="15" t="s">
        <v>1015</v>
      </c>
      <c r="B584" s="15">
        <v>97.0</v>
      </c>
    </row>
    <row r="585">
      <c r="A585" s="15" t="s">
        <v>1016</v>
      </c>
      <c r="B585" s="15">
        <v>95.0</v>
      </c>
    </row>
    <row r="586">
      <c r="A586" s="15" t="s">
        <v>1017</v>
      </c>
      <c r="B586" s="15">
        <v>92.0</v>
      </c>
    </row>
    <row r="587">
      <c r="A587" s="15" t="s">
        <v>1018</v>
      </c>
      <c r="B587" s="15">
        <v>81.0</v>
      </c>
    </row>
    <row r="588">
      <c r="A588" s="15" t="s">
        <v>1019</v>
      </c>
      <c r="B588" s="15">
        <v>88.0</v>
      </c>
    </row>
    <row r="589">
      <c r="A589" s="15" t="s">
        <v>1020</v>
      </c>
      <c r="B589" s="15">
        <v>50.0</v>
      </c>
    </row>
    <row r="590">
      <c r="A590" s="15" t="s">
        <v>1021</v>
      </c>
      <c r="B590" s="15">
        <v>0.0</v>
      </c>
    </row>
    <row r="591">
      <c r="A591" s="15" t="s">
        <v>1022</v>
      </c>
      <c r="B591" s="15">
        <v>0.0</v>
      </c>
    </row>
    <row r="592">
      <c r="A592" s="15" t="s">
        <v>1023</v>
      </c>
      <c r="B592" s="15">
        <v>0.0</v>
      </c>
    </row>
    <row r="593">
      <c r="A593" s="15" t="s">
        <v>1024</v>
      </c>
      <c r="B593" s="15">
        <v>0.0</v>
      </c>
    </row>
    <row r="594">
      <c r="A594" s="15" t="s">
        <v>1025</v>
      </c>
      <c r="B594" s="15">
        <v>0.0</v>
      </c>
    </row>
    <row r="595">
      <c r="A595" s="15" t="s">
        <v>1026</v>
      </c>
      <c r="B595" s="15">
        <v>84.0</v>
      </c>
    </row>
    <row r="596">
      <c r="A596" s="15" t="s">
        <v>1347</v>
      </c>
      <c r="B596" s="15">
        <v>0.0</v>
      </c>
    </row>
    <row r="597">
      <c r="A597" s="15" t="s">
        <v>1027</v>
      </c>
      <c r="B597" s="15">
        <v>0.0</v>
      </c>
    </row>
    <row r="598">
      <c r="A598" s="15" t="s">
        <v>1343</v>
      </c>
      <c r="B598" s="15">
        <v>70.0</v>
      </c>
    </row>
    <row r="599">
      <c r="A599" s="15" t="s">
        <v>1029</v>
      </c>
      <c r="B599" s="15">
        <v>79.0</v>
      </c>
    </row>
    <row r="600">
      <c r="A600" s="15" t="s">
        <v>1031</v>
      </c>
      <c r="B600" s="15">
        <v>0.0</v>
      </c>
    </row>
    <row r="601">
      <c r="A601" s="15" t="s">
        <v>1030</v>
      </c>
      <c r="B601" s="15">
        <v>70.0</v>
      </c>
    </row>
    <row r="602">
      <c r="A602" s="15" t="s">
        <v>1032</v>
      </c>
      <c r="B602" s="15">
        <v>0.0</v>
      </c>
    </row>
    <row r="603">
      <c r="A603" s="15" t="s">
        <v>1033</v>
      </c>
      <c r="B603" s="15">
        <v>0.0</v>
      </c>
    </row>
    <row r="604">
      <c r="A604" s="15" t="s">
        <v>1034</v>
      </c>
      <c r="B604" s="15">
        <v>0.0</v>
      </c>
    </row>
    <row r="605">
      <c r="A605" s="15" t="s">
        <v>1344</v>
      </c>
      <c r="B605" s="15">
        <v>0.0</v>
      </c>
    </row>
    <row r="606">
      <c r="A606" s="15" t="s">
        <v>1036</v>
      </c>
      <c r="B606" s="15">
        <v>0.0</v>
      </c>
    </row>
    <row r="607">
      <c r="A607" s="15" t="s">
        <v>1038</v>
      </c>
      <c r="B607" s="15">
        <v>0.0</v>
      </c>
    </row>
    <row r="608">
      <c r="A608" s="15" t="s">
        <v>1037</v>
      </c>
      <c r="B608" s="15">
        <v>0.0</v>
      </c>
    </row>
    <row r="609">
      <c r="A609" s="15" t="s">
        <v>1262</v>
      </c>
      <c r="B609" s="15">
        <v>0.0</v>
      </c>
    </row>
    <row r="610">
      <c r="A610" s="15" t="s">
        <v>1196</v>
      </c>
      <c r="B610" s="15">
        <v>94.0</v>
      </c>
    </row>
    <row r="611">
      <c r="A611" s="15" t="s">
        <v>1197</v>
      </c>
      <c r="B611" s="15">
        <v>79.0</v>
      </c>
    </row>
    <row r="612">
      <c r="A612" s="15" t="s">
        <v>1198</v>
      </c>
      <c r="B612" s="15">
        <v>0.0</v>
      </c>
    </row>
    <row r="613">
      <c r="A613" s="15" t="s">
        <v>1199</v>
      </c>
      <c r="B613" s="15">
        <v>50.0</v>
      </c>
    </row>
    <row r="614">
      <c r="A614" s="15" t="s">
        <v>1200</v>
      </c>
      <c r="B614" s="15">
        <v>0.0</v>
      </c>
    </row>
    <row r="615">
      <c r="A615" s="15" t="s">
        <v>1201</v>
      </c>
      <c r="B615" s="15">
        <v>0.0</v>
      </c>
    </row>
    <row r="616">
      <c r="A616" s="15" t="s">
        <v>1202</v>
      </c>
      <c r="B616" s="15">
        <v>89.0</v>
      </c>
    </row>
    <row r="617">
      <c r="A617" s="15" t="s">
        <v>1203</v>
      </c>
      <c r="B617" s="15">
        <v>93.0</v>
      </c>
    </row>
    <row r="618">
      <c r="A618" s="15" t="s">
        <v>1204</v>
      </c>
      <c r="B618" s="15">
        <v>74.0</v>
      </c>
    </row>
    <row r="619">
      <c r="A619" s="15" t="s">
        <v>1205</v>
      </c>
      <c r="B619" s="15">
        <v>90.0</v>
      </c>
    </row>
    <row r="620">
      <c r="A620" s="15" t="s">
        <v>1206</v>
      </c>
      <c r="B620" s="15">
        <v>90.0</v>
      </c>
    </row>
    <row r="621">
      <c r="A621" s="15" t="s">
        <v>1207</v>
      </c>
      <c r="B621" s="15">
        <v>0.0</v>
      </c>
    </row>
    <row r="622">
      <c r="A622" s="15" t="s">
        <v>1208</v>
      </c>
      <c r="B622" s="15">
        <v>0.0</v>
      </c>
    </row>
    <row r="623">
      <c r="A623" s="15" t="s">
        <v>1209</v>
      </c>
      <c r="B623" s="15">
        <v>89.0</v>
      </c>
    </row>
    <row r="624">
      <c r="A624" s="15" t="s">
        <v>1210</v>
      </c>
      <c r="B624" s="15">
        <v>0.0</v>
      </c>
    </row>
    <row r="625">
      <c r="A625" s="15" t="s">
        <v>1211</v>
      </c>
      <c r="B625" s="15">
        <v>90.0</v>
      </c>
    </row>
    <row r="626">
      <c r="A626" s="15" t="s">
        <v>1212</v>
      </c>
      <c r="B626" s="15">
        <v>89.0</v>
      </c>
    </row>
    <row r="627">
      <c r="A627" s="15" t="s">
        <v>1213</v>
      </c>
      <c r="B627" s="15">
        <v>0.0</v>
      </c>
    </row>
    <row r="628">
      <c r="A628" s="15" t="s">
        <v>1214</v>
      </c>
      <c r="B628" s="15">
        <v>50.0</v>
      </c>
    </row>
    <row r="629">
      <c r="A629" s="15" t="s">
        <v>1215</v>
      </c>
      <c r="B629" s="15">
        <v>87.0</v>
      </c>
    </row>
    <row r="630">
      <c r="A630" s="15" t="s">
        <v>1216</v>
      </c>
      <c r="B630" s="15">
        <v>70.0</v>
      </c>
    </row>
    <row r="631">
      <c r="A631" s="15" t="s">
        <v>1218</v>
      </c>
      <c r="B631" s="15">
        <v>83.0</v>
      </c>
    </row>
    <row r="632">
      <c r="A632" s="15" t="s">
        <v>1219</v>
      </c>
      <c r="B632" s="15">
        <v>0.0</v>
      </c>
    </row>
    <row r="633">
      <c r="A633" s="15" t="s">
        <v>1220</v>
      </c>
      <c r="B633" s="15">
        <v>92.0</v>
      </c>
    </row>
    <row r="634">
      <c r="A634" s="15" t="s">
        <v>1221</v>
      </c>
      <c r="B634" s="15">
        <v>87.0</v>
      </c>
    </row>
    <row r="635">
      <c r="A635" s="15" t="s">
        <v>1222</v>
      </c>
      <c r="B635" s="15">
        <v>94.0</v>
      </c>
    </row>
    <row r="636">
      <c r="A636" s="15" t="s">
        <v>1223</v>
      </c>
      <c r="B636" s="15">
        <v>50.0</v>
      </c>
    </row>
    <row r="637">
      <c r="A637" s="15" t="s">
        <v>1224</v>
      </c>
      <c r="B637" s="15">
        <v>0.0</v>
      </c>
    </row>
    <row r="638">
      <c r="A638" s="15" t="s">
        <v>1225</v>
      </c>
      <c r="B638" s="15">
        <v>92.0</v>
      </c>
    </row>
    <row r="639">
      <c r="A639" s="15" t="s">
        <v>1226</v>
      </c>
      <c r="B639" s="15">
        <v>0.0</v>
      </c>
    </row>
    <row r="640">
      <c r="A640" s="15" t="s">
        <v>1228</v>
      </c>
      <c r="B640" s="15">
        <v>89.0</v>
      </c>
    </row>
    <row r="641">
      <c r="A641" s="15" t="s">
        <v>1229</v>
      </c>
      <c r="B641" s="15">
        <v>87.0</v>
      </c>
    </row>
    <row r="642">
      <c r="A642" s="15" t="s">
        <v>1230</v>
      </c>
      <c r="B642" s="15">
        <v>94.0</v>
      </c>
    </row>
    <row r="643">
      <c r="A643" s="15" t="s">
        <v>1231</v>
      </c>
      <c r="B643" s="15">
        <v>93.0</v>
      </c>
    </row>
    <row r="644">
      <c r="A644" s="15" t="s">
        <v>1232</v>
      </c>
      <c r="B644" s="15">
        <v>74.0</v>
      </c>
    </row>
    <row r="645">
      <c r="A645" s="15" t="s">
        <v>1233</v>
      </c>
      <c r="B645" s="15">
        <v>0.0</v>
      </c>
    </row>
    <row r="646">
      <c r="A646" s="15" t="s">
        <v>1234</v>
      </c>
      <c r="B646" s="15">
        <v>93.0</v>
      </c>
    </row>
    <row r="647">
      <c r="A647" s="15" t="s">
        <v>1235</v>
      </c>
      <c r="B647" s="15">
        <v>0.0</v>
      </c>
    </row>
    <row r="648">
      <c r="A648" s="15" t="s">
        <v>1236</v>
      </c>
      <c r="B648" s="15">
        <v>70.0</v>
      </c>
    </row>
    <row r="649">
      <c r="A649" s="15" t="s">
        <v>1237</v>
      </c>
      <c r="B649" s="15">
        <v>0.0</v>
      </c>
    </row>
    <row r="650">
      <c r="A650" s="15" t="s">
        <v>1238</v>
      </c>
      <c r="B650" s="15">
        <v>92.0</v>
      </c>
    </row>
    <row r="651">
      <c r="A651" s="15" t="s">
        <v>1239</v>
      </c>
      <c r="B651" s="15">
        <v>0.0</v>
      </c>
    </row>
    <row r="652">
      <c r="A652" s="15" t="s">
        <v>1241</v>
      </c>
      <c r="B652" s="15">
        <v>85.0</v>
      </c>
    </row>
    <row r="653">
      <c r="A653" s="15" t="s">
        <v>1242</v>
      </c>
      <c r="B653" s="15">
        <v>90.0</v>
      </c>
    </row>
    <row r="654">
      <c r="A654" s="15" t="s">
        <v>1243</v>
      </c>
      <c r="B654" s="15">
        <v>82.0</v>
      </c>
    </row>
    <row r="655">
      <c r="A655" s="15" t="s">
        <v>1244</v>
      </c>
      <c r="B655" s="15">
        <v>75.0</v>
      </c>
    </row>
    <row r="656">
      <c r="A656" s="15" t="s">
        <v>1245</v>
      </c>
      <c r="B656" s="15">
        <v>0.0</v>
      </c>
    </row>
    <row r="657">
      <c r="A657" s="15" t="s">
        <v>1246</v>
      </c>
      <c r="B657" s="15">
        <v>74.0</v>
      </c>
    </row>
    <row r="658">
      <c r="A658" s="15" t="s">
        <v>1247</v>
      </c>
      <c r="B658" s="15">
        <v>81.0</v>
      </c>
    </row>
    <row r="659">
      <c r="A659" s="15" t="s">
        <v>1248</v>
      </c>
      <c r="B659" s="15">
        <v>0.0</v>
      </c>
    </row>
    <row r="660">
      <c r="A660" s="15" t="s">
        <v>1250</v>
      </c>
      <c r="B660" s="15">
        <v>84.0</v>
      </c>
    </row>
    <row r="661">
      <c r="A661" s="15" t="s">
        <v>1252</v>
      </c>
      <c r="B661" s="15">
        <v>93.0</v>
      </c>
    </row>
    <row r="662">
      <c r="A662" s="15" t="s">
        <v>1253</v>
      </c>
      <c r="B662" s="15">
        <v>45.0</v>
      </c>
    </row>
    <row r="663">
      <c r="A663" s="15" t="s">
        <v>1254</v>
      </c>
      <c r="B663" s="15">
        <v>95.0</v>
      </c>
    </row>
    <row r="664">
      <c r="A664" s="15" t="s">
        <v>1255</v>
      </c>
      <c r="B664" s="15">
        <v>88.0</v>
      </c>
    </row>
    <row r="665">
      <c r="A665" s="15" t="s">
        <v>1256</v>
      </c>
      <c r="B665" s="15">
        <v>0.0</v>
      </c>
    </row>
    <row r="666">
      <c r="A666" s="15" t="s">
        <v>1257</v>
      </c>
      <c r="B666" s="15">
        <v>0.0</v>
      </c>
    </row>
    <row r="667">
      <c r="A667" s="15" t="s">
        <v>1258</v>
      </c>
      <c r="B667" s="15">
        <v>95.0</v>
      </c>
    </row>
    <row r="668">
      <c r="A668" s="15" t="s">
        <v>1259</v>
      </c>
      <c r="B668" s="15">
        <v>94.0</v>
      </c>
    </row>
    <row r="669">
      <c r="A669" s="15" t="s">
        <v>1260</v>
      </c>
      <c r="B669" s="15">
        <v>92.0</v>
      </c>
    </row>
    <row r="670">
      <c r="A670" s="15" t="s">
        <v>1261</v>
      </c>
      <c r="B670" s="15">
        <v>90.0</v>
      </c>
    </row>
    <row r="671">
      <c r="A671" s="15" t="s">
        <v>1268</v>
      </c>
      <c r="B671" s="15">
        <v>79.0</v>
      </c>
    </row>
    <row r="672">
      <c r="A672" s="15" t="s">
        <v>1264</v>
      </c>
      <c r="B672" s="15">
        <v>80.0</v>
      </c>
    </row>
    <row r="673">
      <c r="A673" s="15" t="s">
        <v>1265</v>
      </c>
      <c r="B673" s="15">
        <v>0.0</v>
      </c>
    </row>
    <row r="674">
      <c r="A674" s="15" t="s">
        <v>1263</v>
      </c>
      <c r="B674" s="15">
        <v>74.0</v>
      </c>
    </row>
    <row r="675">
      <c r="A675" s="15" t="s">
        <v>1266</v>
      </c>
      <c r="B675" s="15">
        <v>79.0</v>
      </c>
    </row>
    <row r="676">
      <c r="A676" s="15" t="s">
        <v>1267</v>
      </c>
      <c r="B676" s="15">
        <v>83.0</v>
      </c>
    </row>
    <row r="677">
      <c r="A677" s="15" t="s">
        <v>636</v>
      </c>
      <c r="B677" s="15">
        <v>83.0</v>
      </c>
    </row>
    <row r="678">
      <c r="A678" s="15" t="s">
        <v>1349</v>
      </c>
      <c r="B678" s="15">
        <v>0.0</v>
      </c>
    </row>
    <row r="679">
      <c r="A679" s="15" t="s">
        <v>381</v>
      </c>
      <c r="B679" s="15">
        <v>88.0</v>
      </c>
    </row>
    <row r="680">
      <c r="A680" s="15" t="s">
        <v>382</v>
      </c>
      <c r="B680" s="15">
        <v>0.0</v>
      </c>
    </row>
    <row r="681">
      <c r="A681" s="15" t="s">
        <v>383</v>
      </c>
      <c r="B681" s="15">
        <v>0.0</v>
      </c>
    </row>
    <row r="682">
      <c r="A682" s="15" t="s">
        <v>384</v>
      </c>
      <c r="B682" s="15">
        <v>0.0</v>
      </c>
    </row>
    <row r="683">
      <c r="A683" s="15" t="s">
        <v>385</v>
      </c>
      <c r="B683" s="15">
        <v>0.0</v>
      </c>
    </row>
    <row r="684">
      <c r="A684" s="15" t="s">
        <v>386</v>
      </c>
      <c r="B684" s="15">
        <v>0.0</v>
      </c>
    </row>
    <row r="685">
      <c r="A685" s="15" t="s">
        <v>387</v>
      </c>
      <c r="B685" s="15">
        <v>87.0</v>
      </c>
    </row>
    <row r="686">
      <c r="A686" s="15" t="s">
        <v>389</v>
      </c>
      <c r="B686" s="15">
        <v>0.0</v>
      </c>
    </row>
    <row r="687">
      <c r="A687" s="15" t="s">
        <v>390</v>
      </c>
      <c r="B687" s="15">
        <v>79.0</v>
      </c>
    </row>
    <row r="688">
      <c r="A688" s="15" t="s">
        <v>391</v>
      </c>
      <c r="B688" s="15">
        <v>90.0</v>
      </c>
    </row>
    <row r="689">
      <c r="A689" s="15" t="s">
        <v>392</v>
      </c>
      <c r="B689" s="15">
        <v>50.0</v>
      </c>
    </row>
    <row r="690">
      <c r="A690" s="15" t="s">
        <v>393</v>
      </c>
      <c r="B690" s="15">
        <v>91.0</v>
      </c>
    </row>
    <row r="691">
      <c r="A691" s="15" t="s">
        <v>394</v>
      </c>
      <c r="B691" s="15">
        <v>50.0</v>
      </c>
    </row>
    <row r="692">
      <c r="A692" s="15" t="s">
        <v>395</v>
      </c>
      <c r="B692" s="15">
        <v>84.0</v>
      </c>
    </row>
    <row r="693">
      <c r="A693" s="15" t="s">
        <v>396</v>
      </c>
      <c r="B693" s="15">
        <v>90.0</v>
      </c>
    </row>
    <row r="694">
      <c r="A694" s="15" t="s">
        <v>397</v>
      </c>
      <c r="B694" s="15">
        <v>93.0</v>
      </c>
    </row>
    <row r="695">
      <c r="A695" s="15" t="s">
        <v>398</v>
      </c>
      <c r="B695" s="15">
        <v>50.0</v>
      </c>
    </row>
    <row r="696">
      <c r="A696" s="15" t="s">
        <v>399</v>
      </c>
      <c r="B696" s="15">
        <v>90.0</v>
      </c>
    </row>
    <row r="697">
      <c r="A697" s="15" t="s">
        <v>400</v>
      </c>
      <c r="B697" s="15">
        <v>94.0</v>
      </c>
    </row>
    <row r="698">
      <c r="A698" s="15" t="s">
        <v>401</v>
      </c>
      <c r="B698" s="15">
        <v>81.0</v>
      </c>
    </row>
    <row r="699">
      <c r="A699" s="15" t="s">
        <v>402</v>
      </c>
      <c r="B699" s="15">
        <v>50.0</v>
      </c>
    </row>
    <row r="700">
      <c r="A700" s="15" t="s">
        <v>403</v>
      </c>
      <c r="B700" s="15">
        <v>0.0</v>
      </c>
    </row>
    <row r="701">
      <c r="A701" s="15" t="s">
        <v>404</v>
      </c>
      <c r="B701" s="15">
        <v>0.0</v>
      </c>
    </row>
    <row r="702">
      <c r="A702" s="15" t="s">
        <v>405</v>
      </c>
      <c r="B702" s="15">
        <v>91.0</v>
      </c>
    </row>
    <row r="703">
      <c r="A703" s="15" t="s">
        <v>406</v>
      </c>
      <c r="B703" s="15">
        <v>34.0</v>
      </c>
    </row>
    <row r="704">
      <c r="A704" s="15" t="s">
        <v>407</v>
      </c>
      <c r="B704" s="15">
        <v>59.0</v>
      </c>
    </row>
    <row r="705">
      <c r="A705" s="15" t="s">
        <v>408</v>
      </c>
      <c r="B705" s="15">
        <v>34.0</v>
      </c>
    </row>
    <row r="706">
      <c r="A706" s="15" t="s">
        <v>409</v>
      </c>
      <c r="B706" s="15">
        <v>79.0</v>
      </c>
    </row>
    <row r="707">
      <c r="A707" s="15" t="s">
        <v>410</v>
      </c>
      <c r="B707" s="15">
        <v>0.0</v>
      </c>
    </row>
    <row r="708">
      <c r="A708" s="15" t="s">
        <v>411</v>
      </c>
      <c r="B708" s="15">
        <v>0.0</v>
      </c>
    </row>
    <row r="709">
      <c r="A709" s="15" t="s">
        <v>412</v>
      </c>
      <c r="B709" s="15">
        <v>90.0</v>
      </c>
    </row>
    <row r="710">
      <c r="A710" s="15" t="s">
        <v>413</v>
      </c>
      <c r="B710" s="15">
        <v>50.0</v>
      </c>
    </row>
    <row r="711">
      <c r="A711" s="15" t="s">
        <v>414</v>
      </c>
      <c r="B711" s="15">
        <v>79.0</v>
      </c>
    </row>
    <row r="712">
      <c r="A712" s="15" t="s">
        <v>415</v>
      </c>
      <c r="B712" s="15">
        <v>84.0</v>
      </c>
    </row>
    <row r="713">
      <c r="A713" s="15" t="s">
        <v>416</v>
      </c>
      <c r="B713" s="15">
        <v>87.0</v>
      </c>
    </row>
    <row r="714">
      <c r="A714" s="15" t="s">
        <v>417</v>
      </c>
      <c r="B714" s="15">
        <v>0.0</v>
      </c>
    </row>
    <row r="715">
      <c r="A715" s="15" t="s">
        <v>418</v>
      </c>
      <c r="B715" s="15">
        <v>0.0</v>
      </c>
    </row>
    <row r="716">
      <c r="A716" s="15" t="s">
        <v>419</v>
      </c>
      <c r="B716" s="15">
        <v>95.0</v>
      </c>
    </row>
    <row r="717">
      <c r="A717" s="15" t="s">
        <v>420</v>
      </c>
      <c r="B717" s="15">
        <v>83.0</v>
      </c>
    </row>
    <row r="718">
      <c r="A718" s="15" t="s">
        <v>421</v>
      </c>
      <c r="B718" s="15">
        <v>0.0</v>
      </c>
    </row>
    <row r="719">
      <c r="A719" s="15" t="s">
        <v>422</v>
      </c>
      <c r="B719" s="15">
        <v>82.0</v>
      </c>
    </row>
    <row r="720">
      <c r="A720" s="15" t="s">
        <v>423</v>
      </c>
      <c r="B720" s="15">
        <v>0.0</v>
      </c>
    </row>
    <row r="721">
      <c r="A721" s="15" t="s">
        <v>424</v>
      </c>
      <c r="B721" s="15">
        <v>82.0</v>
      </c>
    </row>
    <row r="722">
      <c r="A722" s="15" t="s">
        <v>425</v>
      </c>
      <c r="B722" s="15">
        <v>90.0</v>
      </c>
    </row>
    <row r="723">
      <c r="A723" s="15" t="s">
        <v>426</v>
      </c>
      <c r="B723" s="15">
        <v>0.0</v>
      </c>
    </row>
    <row r="724">
      <c r="A724" s="15" t="s">
        <v>427</v>
      </c>
      <c r="B724" s="15">
        <v>62.0</v>
      </c>
    </row>
    <row r="725">
      <c r="A725" s="15" t="s">
        <v>428</v>
      </c>
      <c r="B725" s="15">
        <v>0.0</v>
      </c>
    </row>
    <row r="726">
      <c r="A726" s="15" t="s">
        <v>429</v>
      </c>
      <c r="B726" s="15">
        <v>82.0</v>
      </c>
    </row>
    <row r="727">
      <c r="A727" s="15" t="s">
        <v>430</v>
      </c>
      <c r="B727" s="15">
        <v>95.0</v>
      </c>
    </row>
    <row r="728">
      <c r="A728" s="15" t="s">
        <v>431</v>
      </c>
      <c r="B728" s="15">
        <v>50.0</v>
      </c>
    </row>
    <row r="729">
      <c r="A729" s="15" t="s">
        <v>432</v>
      </c>
      <c r="B729" s="15">
        <v>69.0</v>
      </c>
    </row>
    <row r="730">
      <c r="A730" s="15" t="s">
        <v>433</v>
      </c>
      <c r="B730" s="15">
        <v>91.0</v>
      </c>
    </row>
    <row r="731">
      <c r="A731" s="15" t="s">
        <v>435</v>
      </c>
      <c r="B731" s="15">
        <v>34.0</v>
      </c>
    </row>
    <row r="732">
      <c r="A732" s="15" t="s">
        <v>436</v>
      </c>
      <c r="B732" s="15">
        <v>0.0</v>
      </c>
    </row>
    <row r="733">
      <c r="A733" s="15" t="s">
        <v>437</v>
      </c>
      <c r="B733" s="15">
        <v>86.0</v>
      </c>
    </row>
    <row r="734">
      <c r="A734" s="15" t="s">
        <v>438</v>
      </c>
      <c r="B734" s="15">
        <v>85.0</v>
      </c>
    </row>
    <row r="735">
      <c r="A735" s="15" t="s">
        <v>439</v>
      </c>
      <c r="B735" s="15">
        <v>50.0</v>
      </c>
    </row>
    <row r="736">
      <c r="A736" s="15" t="s">
        <v>440</v>
      </c>
      <c r="B736" s="15">
        <v>0.0</v>
      </c>
    </row>
    <row r="737">
      <c r="A737" s="15" t="s">
        <v>441</v>
      </c>
      <c r="B737" s="15">
        <v>85.0</v>
      </c>
    </row>
    <row r="738">
      <c r="A738" s="15" t="s">
        <v>442</v>
      </c>
      <c r="B738" s="15">
        <v>92.0</v>
      </c>
    </row>
    <row r="739">
      <c r="A739" s="15" t="s">
        <v>443</v>
      </c>
      <c r="B739" s="15">
        <v>0.0</v>
      </c>
    </row>
    <row r="740">
      <c r="A740" s="15" t="s">
        <v>444</v>
      </c>
      <c r="B740" s="15">
        <v>69.0</v>
      </c>
    </row>
    <row r="741">
      <c r="A741" s="15" t="s">
        <v>445</v>
      </c>
      <c r="B741" s="15">
        <v>0.0</v>
      </c>
    </row>
    <row r="742">
      <c r="A742" s="15" t="s">
        <v>446</v>
      </c>
      <c r="B742" s="15">
        <v>77.0</v>
      </c>
    </row>
    <row r="743">
      <c r="A743" s="15" t="s">
        <v>447</v>
      </c>
      <c r="B743" s="15">
        <v>88.0</v>
      </c>
    </row>
    <row r="744">
      <c r="A744" s="15" t="s">
        <v>448</v>
      </c>
      <c r="B744" s="15">
        <v>0.0</v>
      </c>
    </row>
    <row r="745">
      <c r="A745" s="15" t="s">
        <v>449</v>
      </c>
      <c r="B745" s="15">
        <v>78.0</v>
      </c>
    </row>
    <row r="746">
      <c r="A746" s="15" t="s">
        <v>450</v>
      </c>
      <c r="B746" s="15">
        <v>50.0</v>
      </c>
    </row>
    <row r="747">
      <c r="A747" s="15" t="s">
        <v>451</v>
      </c>
      <c r="B747" s="15">
        <v>0.0</v>
      </c>
    </row>
    <row r="748">
      <c r="A748" s="15" t="s">
        <v>452</v>
      </c>
      <c r="B748" s="15">
        <v>30.0</v>
      </c>
    </row>
    <row r="749">
      <c r="A749" s="15" t="s">
        <v>453</v>
      </c>
      <c r="B749" s="15">
        <v>85.0</v>
      </c>
    </row>
    <row r="750">
      <c r="A750" s="15" t="s">
        <v>454</v>
      </c>
      <c r="B750" s="15">
        <v>83.0</v>
      </c>
    </row>
    <row r="751">
      <c r="A751" s="15" t="s">
        <v>455</v>
      </c>
      <c r="B751" s="15">
        <v>88.0</v>
      </c>
    </row>
    <row r="752">
      <c r="A752" s="15" t="s">
        <v>456</v>
      </c>
      <c r="B752" s="15">
        <v>84.0</v>
      </c>
    </row>
    <row r="753">
      <c r="A753" s="15" t="s">
        <v>457</v>
      </c>
      <c r="B753" s="15">
        <v>86.0</v>
      </c>
    </row>
    <row r="754">
      <c r="A754" s="15" t="s">
        <v>458</v>
      </c>
      <c r="B754" s="15">
        <v>90.0</v>
      </c>
    </row>
    <row r="755">
      <c r="A755" s="15" t="s">
        <v>459</v>
      </c>
      <c r="B755" s="15">
        <v>79.0</v>
      </c>
    </row>
    <row r="756">
      <c r="A756" s="15" t="s">
        <v>460</v>
      </c>
      <c r="B756" s="15">
        <v>50.0</v>
      </c>
    </row>
    <row r="757">
      <c r="A757" s="15" t="s">
        <v>461</v>
      </c>
      <c r="B757" s="15">
        <v>73.0</v>
      </c>
    </row>
    <row r="758">
      <c r="A758" s="15" t="s">
        <v>462</v>
      </c>
      <c r="B758" s="15">
        <v>0.0</v>
      </c>
    </row>
    <row r="759">
      <c r="A759" s="15" t="s">
        <v>463</v>
      </c>
      <c r="B759" s="15">
        <v>0.0</v>
      </c>
    </row>
    <row r="760">
      <c r="A760" s="15" t="s">
        <v>464</v>
      </c>
      <c r="B760" s="15">
        <v>0.0</v>
      </c>
    </row>
    <row r="761">
      <c r="A761" s="15" t="s">
        <v>465</v>
      </c>
      <c r="B761" s="15">
        <v>92.0</v>
      </c>
    </row>
    <row r="762">
      <c r="A762" s="15" t="s">
        <v>466</v>
      </c>
      <c r="B762" s="15">
        <v>77.0</v>
      </c>
    </row>
    <row r="763">
      <c r="A763" s="15" t="s">
        <v>467</v>
      </c>
      <c r="B763" s="15">
        <v>0.0</v>
      </c>
    </row>
    <row r="764">
      <c r="A764" s="15" t="s">
        <v>468</v>
      </c>
      <c r="B764" s="15">
        <v>80.0</v>
      </c>
    </row>
    <row r="765">
      <c r="A765" s="15" t="s">
        <v>469</v>
      </c>
      <c r="B765" s="15">
        <v>80.0</v>
      </c>
    </row>
    <row r="766">
      <c r="A766" s="15" t="s">
        <v>470</v>
      </c>
      <c r="B766" s="15">
        <v>74.0</v>
      </c>
    </row>
    <row r="767">
      <c r="A767" s="15" t="s">
        <v>471</v>
      </c>
      <c r="B767" s="15">
        <v>50.0</v>
      </c>
    </row>
    <row r="768">
      <c r="A768" s="15" t="s">
        <v>472</v>
      </c>
      <c r="B768" s="15">
        <v>0.0</v>
      </c>
    </row>
    <row r="769">
      <c r="A769" s="15" t="s">
        <v>473</v>
      </c>
      <c r="B769" s="15">
        <v>85.0</v>
      </c>
    </row>
    <row r="770">
      <c r="A770" s="15" t="s">
        <v>474</v>
      </c>
      <c r="B770" s="15">
        <v>0.0</v>
      </c>
    </row>
    <row r="771">
      <c r="A771" s="15" t="s">
        <v>476</v>
      </c>
      <c r="B771" s="15">
        <v>86.0</v>
      </c>
    </row>
    <row r="772">
      <c r="A772" s="15" t="s">
        <v>477</v>
      </c>
      <c r="B772" s="15">
        <v>85.0</v>
      </c>
    </row>
    <row r="773">
      <c r="A773" s="15" t="s">
        <v>478</v>
      </c>
      <c r="B773" s="15">
        <v>74.0</v>
      </c>
    </row>
    <row r="774">
      <c r="A774" s="15" t="s">
        <v>479</v>
      </c>
      <c r="B774" s="15">
        <v>0.0</v>
      </c>
    </row>
    <row r="775">
      <c r="A775" s="15" t="s">
        <v>480</v>
      </c>
      <c r="B775" s="15">
        <v>72.0</v>
      </c>
    </row>
    <row r="776">
      <c r="A776" s="15" t="s">
        <v>481</v>
      </c>
      <c r="B776" s="15">
        <v>72.0</v>
      </c>
    </row>
    <row r="777">
      <c r="A777" s="15" t="s">
        <v>482</v>
      </c>
      <c r="B777" s="15">
        <v>77.0</v>
      </c>
    </row>
    <row r="778">
      <c r="A778" s="15" t="s">
        <v>483</v>
      </c>
      <c r="B778" s="15">
        <v>50.0</v>
      </c>
    </row>
    <row r="779">
      <c r="A779" s="15" t="s">
        <v>484</v>
      </c>
      <c r="B779" s="15">
        <v>69.0</v>
      </c>
    </row>
    <row r="780">
      <c r="A780" s="15" t="s">
        <v>485</v>
      </c>
      <c r="B780" s="15">
        <v>89.0</v>
      </c>
    </row>
    <row r="781">
      <c r="A781" s="15" t="s">
        <v>486</v>
      </c>
      <c r="B781" s="15">
        <v>50.0</v>
      </c>
    </row>
    <row r="782">
      <c r="A782" s="15" t="s">
        <v>487</v>
      </c>
      <c r="B782" s="15">
        <v>50.0</v>
      </c>
    </row>
    <row r="783">
      <c r="A783" s="15" t="s">
        <v>488</v>
      </c>
      <c r="B783" s="15">
        <v>0.0</v>
      </c>
    </row>
    <row r="784">
      <c r="A784" s="15" t="s">
        <v>489</v>
      </c>
      <c r="B784" s="15">
        <v>89.0</v>
      </c>
    </row>
    <row r="785">
      <c r="A785" s="15" t="s">
        <v>490</v>
      </c>
      <c r="B785" s="15">
        <v>69.0</v>
      </c>
    </row>
    <row r="786">
      <c r="A786" s="15" t="s">
        <v>492</v>
      </c>
      <c r="B786" s="15">
        <v>0.0</v>
      </c>
    </row>
    <row r="787">
      <c r="A787" s="15" t="s">
        <v>493</v>
      </c>
      <c r="B787" s="15">
        <v>0.0</v>
      </c>
    </row>
    <row r="788">
      <c r="A788" s="15" t="s">
        <v>495</v>
      </c>
      <c r="B788" s="15">
        <v>76.0</v>
      </c>
    </row>
    <row r="789">
      <c r="A789" s="15" t="s">
        <v>496</v>
      </c>
      <c r="B789" s="15">
        <v>87.0</v>
      </c>
    </row>
    <row r="790">
      <c r="A790" s="15" t="s">
        <v>497</v>
      </c>
      <c r="B790" s="15">
        <v>0.0</v>
      </c>
    </row>
    <row r="791">
      <c r="A791" s="15" t="s">
        <v>498</v>
      </c>
      <c r="B791" s="15">
        <v>0.0</v>
      </c>
    </row>
    <row r="792">
      <c r="A792" s="15" t="s">
        <v>499</v>
      </c>
      <c r="B792" s="15">
        <v>0.0</v>
      </c>
    </row>
    <row r="793">
      <c r="A793" s="15" t="s">
        <v>500</v>
      </c>
      <c r="B793" s="15">
        <v>87.0</v>
      </c>
    </row>
    <row r="794">
      <c r="A794" s="15" t="s">
        <v>501</v>
      </c>
      <c r="B794" s="15">
        <v>0.0</v>
      </c>
    </row>
    <row r="795">
      <c r="A795" s="15" t="s">
        <v>502</v>
      </c>
      <c r="B795" s="15">
        <v>0.0</v>
      </c>
    </row>
    <row r="796">
      <c r="A796" s="15" t="s">
        <v>503</v>
      </c>
      <c r="B796" s="15">
        <v>89.0</v>
      </c>
    </row>
    <row r="797">
      <c r="A797" s="15" t="s">
        <v>504</v>
      </c>
      <c r="B797" s="15">
        <v>50.0</v>
      </c>
    </row>
    <row r="798">
      <c r="A798" s="15" t="s">
        <v>505</v>
      </c>
      <c r="B798" s="15">
        <v>95.0</v>
      </c>
    </row>
    <row r="799">
      <c r="A799" s="15" t="s">
        <v>506</v>
      </c>
      <c r="B799" s="15">
        <v>87.0</v>
      </c>
    </row>
    <row r="800">
      <c r="A800" s="15" t="s">
        <v>507</v>
      </c>
      <c r="B800" s="15">
        <v>86.0</v>
      </c>
    </row>
    <row r="801">
      <c r="A801" s="15" t="s">
        <v>508</v>
      </c>
      <c r="B801" s="15">
        <v>84.0</v>
      </c>
    </row>
    <row r="802">
      <c r="A802" s="15" t="s">
        <v>510</v>
      </c>
      <c r="B802" s="15">
        <v>50.0</v>
      </c>
    </row>
    <row r="803">
      <c r="A803" s="15" t="s">
        <v>511</v>
      </c>
      <c r="B803" s="15">
        <v>38.0</v>
      </c>
    </row>
    <row r="804">
      <c r="A804" s="15" t="s">
        <v>512</v>
      </c>
      <c r="B804" s="15">
        <v>85.0</v>
      </c>
    </row>
    <row r="805">
      <c r="A805" s="15" t="s">
        <v>513</v>
      </c>
      <c r="B805" s="15">
        <v>95.0</v>
      </c>
    </row>
    <row r="806">
      <c r="A806" s="15" t="s">
        <v>514</v>
      </c>
      <c r="B806" s="15">
        <v>92.0</v>
      </c>
    </row>
    <row r="807">
      <c r="A807" s="15" t="s">
        <v>515</v>
      </c>
      <c r="B807" s="15">
        <v>89.0</v>
      </c>
    </row>
    <row r="808">
      <c r="A808" s="15" t="s">
        <v>516</v>
      </c>
      <c r="B808" s="15">
        <v>62.0</v>
      </c>
    </row>
    <row r="809">
      <c r="A809" s="15" t="s">
        <v>517</v>
      </c>
      <c r="B809" s="15">
        <v>0.0</v>
      </c>
    </row>
    <row r="810">
      <c r="A810" s="15" t="s">
        <v>518</v>
      </c>
      <c r="B810" s="15">
        <v>91.0</v>
      </c>
    </row>
    <row r="811">
      <c r="A811" s="15" t="s">
        <v>520</v>
      </c>
      <c r="B811" s="15">
        <v>0.0</v>
      </c>
    </row>
    <row r="812">
      <c r="A812" s="15" t="s">
        <v>521</v>
      </c>
      <c r="B812" s="15">
        <v>88.0</v>
      </c>
    </row>
    <row r="813">
      <c r="A813" s="15" t="s">
        <v>522</v>
      </c>
      <c r="B813" s="15">
        <v>50.0</v>
      </c>
    </row>
    <row r="814">
      <c r="A814" s="15" t="s">
        <v>523</v>
      </c>
      <c r="B814" s="15">
        <v>86.0</v>
      </c>
    </row>
    <row r="815">
      <c r="A815" s="15" t="s">
        <v>524</v>
      </c>
      <c r="B815" s="15">
        <v>74.0</v>
      </c>
    </row>
    <row r="816">
      <c r="A816" s="15" t="s">
        <v>525</v>
      </c>
      <c r="B816" s="15">
        <v>77.0</v>
      </c>
    </row>
    <row r="817">
      <c r="A817" s="15" t="s">
        <v>526</v>
      </c>
      <c r="B817" s="15">
        <v>0.0</v>
      </c>
    </row>
    <row r="818">
      <c r="A818" s="15" t="s">
        <v>527</v>
      </c>
      <c r="B818" s="15">
        <v>0.0</v>
      </c>
    </row>
    <row r="819">
      <c r="A819" s="15" t="s">
        <v>528</v>
      </c>
      <c r="B819" s="15">
        <v>0.0</v>
      </c>
    </row>
    <row r="820">
      <c r="A820" s="15" t="s">
        <v>529</v>
      </c>
      <c r="B820" s="15">
        <v>78.0</v>
      </c>
    </row>
    <row r="821">
      <c r="A821" s="15" t="s">
        <v>530</v>
      </c>
      <c r="B821" s="15">
        <v>81.0</v>
      </c>
    </row>
    <row r="822">
      <c r="A822" s="15" t="s">
        <v>531</v>
      </c>
      <c r="B822" s="15">
        <v>83.0</v>
      </c>
    </row>
    <row r="823">
      <c r="A823" s="15" t="s">
        <v>532</v>
      </c>
      <c r="B823" s="15">
        <v>88.0</v>
      </c>
    </row>
    <row r="824">
      <c r="A824" s="15" t="s">
        <v>533</v>
      </c>
      <c r="B824" s="15">
        <v>85.0</v>
      </c>
    </row>
    <row r="825">
      <c r="A825" s="15" t="s">
        <v>534</v>
      </c>
      <c r="B825" s="15">
        <v>82.0</v>
      </c>
    </row>
    <row r="826">
      <c r="A826" s="15" t="s">
        <v>535</v>
      </c>
      <c r="B826" s="15">
        <v>50.0</v>
      </c>
    </row>
    <row r="827">
      <c r="A827" s="15" t="s">
        <v>536</v>
      </c>
      <c r="B827" s="15">
        <v>83.0</v>
      </c>
    </row>
    <row r="828">
      <c r="A828" s="15" t="s">
        <v>537</v>
      </c>
      <c r="B828" s="15">
        <v>0.0</v>
      </c>
    </row>
    <row r="829">
      <c r="A829" s="15" t="s">
        <v>538</v>
      </c>
      <c r="B829" s="15">
        <v>72.0</v>
      </c>
    </row>
    <row r="830">
      <c r="A830" s="15" t="s">
        <v>539</v>
      </c>
      <c r="B830" s="15">
        <v>70.0</v>
      </c>
    </row>
    <row r="831">
      <c r="A831" s="15" t="s">
        <v>540</v>
      </c>
      <c r="B831" s="15">
        <v>84.0</v>
      </c>
    </row>
    <row r="832">
      <c r="A832" s="15" t="s">
        <v>541</v>
      </c>
      <c r="B832" s="15">
        <v>86.0</v>
      </c>
    </row>
    <row r="833">
      <c r="A833" s="15" t="s">
        <v>542</v>
      </c>
      <c r="B833" s="15">
        <v>87.0</v>
      </c>
    </row>
    <row r="834">
      <c r="A834" s="15" t="s">
        <v>543</v>
      </c>
      <c r="B834" s="15">
        <v>87.0</v>
      </c>
    </row>
    <row r="835">
      <c r="A835" s="15" t="s">
        <v>544</v>
      </c>
      <c r="B835" s="15">
        <v>94.0</v>
      </c>
    </row>
    <row r="836">
      <c r="A836" s="15" t="s">
        <v>545</v>
      </c>
      <c r="B836" s="15">
        <v>77.0</v>
      </c>
    </row>
    <row r="837">
      <c r="A837" s="15" t="s">
        <v>546</v>
      </c>
      <c r="B837" s="15">
        <v>94.0</v>
      </c>
    </row>
    <row r="838">
      <c r="A838" s="15" t="s">
        <v>547</v>
      </c>
      <c r="B838" s="15">
        <v>94.0</v>
      </c>
    </row>
    <row r="839">
      <c r="A839" s="15" t="s">
        <v>548</v>
      </c>
      <c r="B839" s="15">
        <v>92.0</v>
      </c>
    </row>
    <row r="840">
      <c r="A840" s="15" t="s">
        <v>549</v>
      </c>
      <c r="B840" s="15">
        <v>83.0</v>
      </c>
    </row>
    <row r="841">
      <c r="A841" s="15" t="s">
        <v>550</v>
      </c>
      <c r="B841" s="15">
        <v>82.0</v>
      </c>
    </row>
    <row r="842">
      <c r="A842" s="15" t="s">
        <v>551</v>
      </c>
      <c r="B842" s="15">
        <v>94.0</v>
      </c>
    </row>
    <row r="843">
      <c r="A843" s="15" t="s">
        <v>552</v>
      </c>
      <c r="B843" s="15">
        <v>70.0</v>
      </c>
    </row>
    <row r="844">
      <c r="A844" s="15" t="s">
        <v>553</v>
      </c>
      <c r="B844" s="15">
        <v>81.0</v>
      </c>
    </row>
    <row r="845">
      <c r="A845" s="15" t="s">
        <v>554</v>
      </c>
      <c r="B845" s="15">
        <v>94.0</v>
      </c>
    </row>
    <row r="846">
      <c r="A846" s="15" t="s">
        <v>555</v>
      </c>
      <c r="B846" s="15">
        <v>63.0</v>
      </c>
    </row>
    <row r="847">
      <c r="A847" s="15" t="s">
        <v>556</v>
      </c>
      <c r="B847" s="15">
        <v>88.0</v>
      </c>
    </row>
    <row r="848">
      <c r="A848" s="15" t="s">
        <v>558</v>
      </c>
      <c r="B848" s="15">
        <v>0.0</v>
      </c>
    </row>
    <row r="849">
      <c r="A849" s="15" t="s">
        <v>559</v>
      </c>
      <c r="B849" s="15">
        <v>50.0</v>
      </c>
    </row>
    <row r="850">
      <c r="A850" s="15" t="s">
        <v>560</v>
      </c>
      <c r="B850" s="15">
        <v>79.0</v>
      </c>
    </row>
    <row r="851">
      <c r="A851" s="15" t="s">
        <v>561</v>
      </c>
      <c r="B851" s="15">
        <v>50.0</v>
      </c>
    </row>
    <row r="852">
      <c r="A852" s="15" t="s">
        <v>563</v>
      </c>
      <c r="B852" s="15">
        <v>91.0</v>
      </c>
    </row>
    <row r="853">
      <c r="A853" s="15" t="s">
        <v>564</v>
      </c>
      <c r="B853" s="15">
        <v>85.0</v>
      </c>
    </row>
    <row r="854">
      <c r="A854" s="15" t="s">
        <v>565</v>
      </c>
      <c r="B854" s="15">
        <v>50.0</v>
      </c>
    </row>
    <row r="855">
      <c r="A855" s="15" t="s">
        <v>566</v>
      </c>
      <c r="B855" s="15">
        <v>87.0</v>
      </c>
    </row>
    <row r="856">
      <c r="A856" s="15" t="s">
        <v>567</v>
      </c>
      <c r="B856" s="15">
        <v>0.0</v>
      </c>
    </row>
    <row r="857">
      <c r="A857" s="15" t="s">
        <v>568</v>
      </c>
      <c r="B857" s="15">
        <v>89.0</v>
      </c>
    </row>
    <row r="858">
      <c r="A858" s="15" t="s">
        <v>569</v>
      </c>
      <c r="B858" s="15">
        <v>84.0</v>
      </c>
    </row>
    <row r="859">
      <c r="A859" s="15" t="s">
        <v>570</v>
      </c>
      <c r="B859" s="15">
        <v>87.0</v>
      </c>
    </row>
    <row r="860">
      <c r="A860" s="15" t="s">
        <v>572</v>
      </c>
      <c r="B860" s="15">
        <v>50.0</v>
      </c>
    </row>
    <row r="861">
      <c r="A861" s="15" t="s">
        <v>573</v>
      </c>
      <c r="B861" s="15">
        <v>85.0</v>
      </c>
    </row>
    <row r="862">
      <c r="A862" s="15" t="s">
        <v>574</v>
      </c>
      <c r="B862" s="15">
        <v>93.0</v>
      </c>
    </row>
    <row r="863">
      <c r="A863" s="15" t="s">
        <v>575</v>
      </c>
      <c r="B863" s="15">
        <v>84.0</v>
      </c>
    </row>
    <row r="864">
      <c r="A864" s="15" t="s">
        <v>576</v>
      </c>
      <c r="B864" s="15">
        <v>70.0</v>
      </c>
    </row>
    <row r="865">
      <c r="A865" s="15" t="s">
        <v>577</v>
      </c>
      <c r="B865" s="15">
        <v>91.0</v>
      </c>
    </row>
    <row r="866">
      <c r="A866" s="15" t="s">
        <v>578</v>
      </c>
      <c r="B866" s="15">
        <v>0.0</v>
      </c>
    </row>
    <row r="867">
      <c r="A867" s="15" t="s">
        <v>579</v>
      </c>
      <c r="B867" s="15">
        <v>89.0</v>
      </c>
    </row>
    <row r="868">
      <c r="A868" s="15" t="s">
        <v>580</v>
      </c>
      <c r="B868" s="15">
        <v>40.0</v>
      </c>
    </row>
    <row r="869">
      <c r="A869" s="15" t="s">
        <v>581</v>
      </c>
      <c r="B869" s="15">
        <v>99.0</v>
      </c>
    </row>
    <row r="870">
      <c r="A870" s="15" t="s">
        <v>582</v>
      </c>
      <c r="B870" s="15">
        <v>0.0</v>
      </c>
    </row>
    <row r="871">
      <c r="A871" s="15" t="s">
        <v>583</v>
      </c>
      <c r="B871" s="15">
        <v>74.0</v>
      </c>
    </row>
    <row r="872">
      <c r="A872" s="15" t="s">
        <v>584</v>
      </c>
      <c r="B872" s="15">
        <v>85.0</v>
      </c>
    </row>
    <row r="873">
      <c r="A873" s="15" t="s">
        <v>585</v>
      </c>
      <c r="B873" s="15">
        <v>95.0</v>
      </c>
    </row>
    <row r="874">
      <c r="A874" s="15" t="s">
        <v>587</v>
      </c>
      <c r="B874" s="15">
        <v>50.0</v>
      </c>
    </row>
    <row r="875">
      <c r="A875" s="15" t="s">
        <v>588</v>
      </c>
      <c r="B875" s="15">
        <v>50.0</v>
      </c>
    </row>
    <row r="876">
      <c r="A876" s="15" t="s">
        <v>589</v>
      </c>
      <c r="B876" s="15">
        <v>89.0</v>
      </c>
    </row>
    <row r="877">
      <c r="A877" s="15" t="s">
        <v>590</v>
      </c>
      <c r="B877" s="15">
        <v>82.0</v>
      </c>
    </row>
    <row r="878">
      <c r="A878" s="15" t="s">
        <v>591</v>
      </c>
      <c r="B878" s="15">
        <v>92.0</v>
      </c>
    </row>
    <row r="879">
      <c r="A879" s="15" t="s">
        <v>592</v>
      </c>
      <c r="B879" s="15">
        <v>50.0</v>
      </c>
    </row>
    <row r="880">
      <c r="A880" s="15" t="s">
        <v>593</v>
      </c>
      <c r="B880" s="15">
        <v>45.0</v>
      </c>
    </row>
    <row r="881">
      <c r="A881" s="15" t="s">
        <v>595</v>
      </c>
      <c r="B881" s="15">
        <v>84.0</v>
      </c>
    </row>
    <row r="882">
      <c r="A882" s="15" t="s">
        <v>596</v>
      </c>
      <c r="B882" s="15">
        <v>84.0</v>
      </c>
    </row>
    <row r="883">
      <c r="A883" s="15" t="s">
        <v>597</v>
      </c>
      <c r="B883" s="15">
        <v>50.0</v>
      </c>
    </row>
    <row r="884">
      <c r="A884" s="15" t="s">
        <v>598</v>
      </c>
      <c r="B884" s="15">
        <v>99.0</v>
      </c>
    </row>
    <row r="885">
      <c r="A885" s="15" t="s">
        <v>599</v>
      </c>
      <c r="B885" s="15">
        <v>100.0</v>
      </c>
    </row>
    <row r="886">
      <c r="A886" s="15" t="s">
        <v>600</v>
      </c>
      <c r="B886" s="15">
        <v>87.0</v>
      </c>
    </row>
    <row r="887">
      <c r="A887" s="15" t="s">
        <v>601</v>
      </c>
      <c r="B887" s="15">
        <v>0.0</v>
      </c>
    </row>
    <row r="888">
      <c r="A888" s="15" t="s">
        <v>602</v>
      </c>
      <c r="B888" s="15">
        <v>93.0</v>
      </c>
    </row>
    <row r="889">
      <c r="A889" s="15" t="s">
        <v>603</v>
      </c>
      <c r="B889" s="15">
        <v>100.0</v>
      </c>
    </row>
    <row r="890">
      <c r="A890" s="15" t="s">
        <v>604</v>
      </c>
      <c r="B890" s="15">
        <v>80.0</v>
      </c>
    </row>
    <row r="891">
      <c r="A891" s="15" t="s">
        <v>605</v>
      </c>
      <c r="B891" s="15">
        <v>50.0</v>
      </c>
    </row>
    <row r="892">
      <c r="A892" s="15" t="s">
        <v>606</v>
      </c>
      <c r="B892" s="15">
        <v>50.0</v>
      </c>
    </row>
    <row r="893">
      <c r="A893" s="15" t="s">
        <v>607</v>
      </c>
      <c r="B893" s="15">
        <v>50.0</v>
      </c>
    </row>
    <row r="894">
      <c r="A894" s="15" t="s">
        <v>608</v>
      </c>
      <c r="B894" s="15">
        <v>0.0</v>
      </c>
    </row>
    <row r="895">
      <c r="A895" s="15" t="s">
        <v>609</v>
      </c>
      <c r="B895" s="15">
        <v>0.0</v>
      </c>
    </row>
    <row r="896">
      <c r="A896" s="15" t="s">
        <v>610</v>
      </c>
      <c r="B896" s="15">
        <v>0.0</v>
      </c>
    </row>
    <row r="897">
      <c r="A897" s="15" t="s">
        <v>611</v>
      </c>
      <c r="B897" s="15">
        <v>83.0</v>
      </c>
    </row>
    <row r="898">
      <c r="A898" s="15" t="s">
        <v>612</v>
      </c>
      <c r="B898" s="15">
        <v>0.0</v>
      </c>
    </row>
    <row r="899">
      <c r="A899" s="15" t="s">
        <v>613</v>
      </c>
      <c r="B899" s="15">
        <v>85.0</v>
      </c>
    </row>
    <row r="900">
      <c r="A900" s="15" t="s">
        <v>614</v>
      </c>
      <c r="B900" s="15">
        <v>0.0</v>
      </c>
    </row>
    <row r="901">
      <c r="A901" s="15" t="s">
        <v>615</v>
      </c>
      <c r="B901" s="15">
        <v>93.0</v>
      </c>
    </row>
    <row r="902">
      <c r="A902" s="15" t="s">
        <v>616</v>
      </c>
      <c r="B902" s="15">
        <v>92.0</v>
      </c>
    </row>
    <row r="903">
      <c r="A903" s="15" t="s">
        <v>617</v>
      </c>
      <c r="B903" s="15">
        <v>50.0</v>
      </c>
    </row>
    <row r="904">
      <c r="A904" s="15" t="s">
        <v>619</v>
      </c>
      <c r="B904" s="15">
        <v>0.0</v>
      </c>
    </row>
    <row r="905">
      <c r="A905" s="15" t="s">
        <v>620</v>
      </c>
      <c r="B905" s="15">
        <v>50.0</v>
      </c>
    </row>
    <row r="906">
      <c r="A906" s="15" t="s">
        <v>622</v>
      </c>
      <c r="B906" s="15">
        <v>83.0</v>
      </c>
    </row>
    <row r="907">
      <c r="A907" s="15" t="s">
        <v>623</v>
      </c>
      <c r="B907" s="15">
        <v>87.0</v>
      </c>
    </row>
    <row r="908">
      <c r="A908" s="15" t="s">
        <v>624</v>
      </c>
      <c r="B908" s="15">
        <v>94.0</v>
      </c>
    </row>
    <row r="909">
      <c r="A909" s="15" t="s">
        <v>625</v>
      </c>
      <c r="B909" s="15">
        <v>50.0</v>
      </c>
    </row>
    <row r="910">
      <c r="A910" s="15" t="s">
        <v>626</v>
      </c>
      <c r="B910" s="15">
        <v>0.0</v>
      </c>
    </row>
    <row r="911">
      <c r="A911" s="15" t="s">
        <v>627</v>
      </c>
      <c r="B911" s="15">
        <v>0.0</v>
      </c>
    </row>
    <row r="912">
      <c r="A912" s="15" t="s">
        <v>628</v>
      </c>
      <c r="B912" s="15">
        <v>50.0</v>
      </c>
    </row>
    <row r="913">
      <c r="A913" s="15" t="s">
        <v>629</v>
      </c>
      <c r="B913" s="15">
        <v>0.0</v>
      </c>
    </row>
    <row r="914">
      <c r="A914" s="15" t="s">
        <v>630</v>
      </c>
      <c r="B914" s="15">
        <v>99.0</v>
      </c>
    </row>
    <row r="915">
      <c r="A915" s="15" t="s">
        <v>631</v>
      </c>
      <c r="B915" s="15">
        <v>50.0</v>
      </c>
    </row>
    <row r="916">
      <c r="A916" s="15" t="s">
        <v>633</v>
      </c>
      <c r="B916" s="15">
        <v>0.0</v>
      </c>
    </row>
    <row r="917">
      <c r="A917" s="15" t="s">
        <v>634</v>
      </c>
      <c r="B917" s="15">
        <v>0.0</v>
      </c>
    </row>
    <row r="918">
      <c r="A918" s="15" t="s">
        <v>635</v>
      </c>
      <c r="B918" s="15">
        <v>50.0</v>
      </c>
    </row>
    <row r="919">
      <c r="A919" s="15" t="s">
        <v>1350</v>
      </c>
      <c r="B919" s="15">
        <v>0.0</v>
      </c>
    </row>
    <row r="920">
      <c r="A920" s="15" t="s">
        <v>647</v>
      </c>
      <c r="B920" s="15">
        <v>0.0</v>
      </c>
    </row>
    <row r="921">
      <c r="A921" s="15" t="s">
        <v>637</v>
      </c>
      <c r="B921" s="15">
        <v>0.0</v>
      </c>
    </row>
    <row r="922">
      <c r="A922" s="15" t="s">
        <v>642</v>
      </c>
      <c r="B922" s="15">
        <v>89.0</v>
      </c>
    </row>
    <row r="923">
      <c r="A923" s="15" t="s">
        <v>638</v>
      </c>
      <c r="B923" s="15">
        <v>60.0</v>
      </c>
    </row>
    <row r="924">
      <c r="A924" s="15" t="s">
        <v>639</v>
      </c>
      <c r="B924" s="15">
        <v>85.0</v>
      </c>
    </row>
    <row r="925">
      <c r="A925" s="15" t="s">
        <v>645</v>
      </c>
      <c r="B925" s="15">
        <v>24.0</v>
      </c>
    </row>
    <row r="926">
      <c r="A926" s="15" t="s">
        <v>648</v>
      </c>
      <c r="B926" s="15">
        <v>87.0</v>
      </c>
    </row>
    <row r="927">
      <c r="A927" s="15" t="s">
        <v>644</v>
      </c>
      <c r="B927" s="15">
        <v>0.0</v>
      </c>
    </row>
    <row r="928">
      <c r="A928" s="15" t="s">
        <v>640</v>
      </c>
      <c r="B928" s="15">
        <v>84.0</v>
      </c>
    </row>
    <row r="929">
      <c r="A929" s="15" t="s">
        <v>646</v>
      </c>
      <c r="B929" s="15">
        <v>0.0</v>
      </c>
    </row>
    <row r="930">
      <c r="A930" s="15" t="s">
        <v>641</v>
      </c>
      <c r="B930" s="15">
        <v>80.0</v>
      </c>
    </row>
    <row r="931">
      <c r="A931" s="15" t="s">
        <v>652</v>
      </c>
      <c r="B931" s="15">
        <v>0.0</v>
      </c>
    </row>
    <row r="932">
      <c r="A932" s="15" t="s">
        <v>649</v>
      </c>
      <c r="B932" s="15">
        <v>72.0</v>
      </c>
    </row>
    <row r="933">
      <c r="A933" s="15" t="s">
        <v>650</v>
      </c>
      <c r="B933" s="15">
        <v>47.0</v>
      </c>
    </row>
    <row r="934">
      <c r="A934" s="15" t="s">
        <v>653</v>
      </c>
      <c r="B934" s="15">
        <v>85.0</v>
      </c>
    </row>
    <row r="935">
      <c r="A935" s="15" t="s">
        <v>1351</v>
      </c>
      <c r="B935" s="15">
        <v>0.0</v>
      </c>
    </row>
    <row r="936">
      <c r="A936" s="15" t="s">
        <v>651</v>
      </c>
      <c r="B936" s="15">
        <v>50.0</v>
      </c>
    </row>
    <row r="937">
      <c r="A937" s="15" t="s">
        <v>658</v>
      </c>
      <c r="B937" s="15">
        <v>0.0</v>
      </c>
    </row>
    <row r="938">
      <c r="A938" s="15" t="s">
        <v>657</v>
      </c>
      <c r="B938" s="15">
        <v>0.0</v>
      </c>
    </row>
    <row r="939">
      <c r="A939" s="15" t="s">
        <v>1352</v>
      </c>
      <c r="B939" s="15">
        <v>0.0</v>
      </c>
    </row>
    <row r="940">
      <c r="A940" s="15" t="s">
        <v>654</v>
      </c>
      <c r="B940" s="15">
        <v>85.0</v>
      </c>
    </row>
    <row r="941">
      <c r="A941" s="15" t="s">
        <v>655</v>
      </c>
      <c r="B941" s="15">
        <v>0.0</v>
      </c>
    </row>
    <row r="942">
      <c r="A942" s="15" t="s">
        <v>643</v>
      </c>
      <c r="B942" s="15">
        <v>66.0</v>
      </c>
    </row>
    <row r="943">
      <c r="A943" s="15" t="s">
        <v>1269</v>
      </c>
      <c r="B943" s="15">
        <v>91.0</v>
      </c>
    </row>
    <row r="944">
      <c r="A944" s="15" t="s">
        <v>1270</v>
      </c>
      <c r="B944" s="15">
        <v>85.0</v>
      </c>
    </row>
    <row r="945">
      <c r="A945" s="15" t="s">
        <v>1271</v>
      </c>
      <c r="B945" s="15">
        <v>50.0</v>
      </c>
    </row>
    <row r="946">
      <c r="A946" s="15" t="s">
        <v>1272</v>
      </c>
      <c r="B946" s="15">
        <v>92.0</v>
      </c>
    </row>
    <row r="947">
      <c r="A947" s="15" t="s">
        <v>1273</v>
      </c>
      <c r="B947" s="15">
        <v>0.0</v>
      </c>
    </row>
    <row r="948">
      <c r="A948" s="15" t="s">
        <v>1274</v>
      </c>
      <c r="B948" s="15">
        <v>88.0</v>
      </c>
    </row>
    <row r="949">
      <c r="A949" s="15" t="s">
        <v>1275</v>
      </c>
      <c r="B949" s="15">
        <v>88.0</v>
      </c>
    </row>
    <row r="950">
      <c r="A950" s="15" t="s">
        <v>1276</v>
      </c>
      <c r="B950" s="15">
        <v>0.0</v>
      </c>
    </row>
    <row r="951">
      <c r="A951" s="15" t="s">
        <v>1277</v>
      </c>
      <c r="B951" s="15">
        <v>50.0</v>
      </c>
    </row>
    <row r="952">
      <c r="A952" s="15" t="s">
        <v>1278</v>
      </c>
      <c r="B952" s="15">
        <v>94.0</v>
      </c>
    </row>
    <row r="953">
      <c r="A953" s="15" t="s">
        <v>1279</v>
      </c>
      <c r="B953" s="15">
        <v>50.0</v>
      </c>
    </row>
    <row r="954">
      <c r="A954" s="15" t="s">
        <v>1280</v>
      </c>
      <c r="B954" s="15">
        <v>94.0</v>
      </c>
    </row>
    <row r="955">
      <c r="A955" s="15" t="s">
        <v>1281</v>
      </c>
      <c r="B955" s="15">
        <v>94.0</v>
      </c>
    </row>
    <row r="956">
      <c r="A956" s="15" t="s">
        <v>1282</v>
      </c>
      <c r="B956" s="15">
        <v>80.0</v>
      </c>
    </row>
    <row r="957">
      <c r="A957" s="15" t="s">
        <v>1283</v>
      </c>
      <c r="B957" s="15">
        <v>91.0</v>
      </c>
    </row>
    <row r="958">
      <c r="A958" s="15" t="s">
        <v>1284</v>
      </c>
      <c r="B958" s="15">
        <v>91.0</v>
      </c>
    </row>
    <row r="959">
      <c r="A959" s="15" t="s">
        <v>1285</v>
      </c>
      <c r="B959" s="15">
        <v>93.0</v>
      </c>
    </row>
    <row r="960">
      <c r="A960" s="15" t="s">
        <v>1286</v>
      </c>
      <c r="B960" s="15">
        <v>94.0</v>
      </c>
    </row>
    <row r="961">
      <c r="A961" s="15" t="s">
        <v>1287</v>
      </c>
      <c r="B961" s="15">
        <v>93.0</v>
      </c>
    </row>
    <row r="962">
      <c r="A962" s="15" t="s">
        <v>1288</v>
      </c>
      <c r="B962" s="15">
        <v>90.0</v>
      </c>
    </row>
    <row r="963">
      <c r="A963" s="15" t="s">
        <v>1289</v>
      </c>
      <c r="B963" s="15">
        <v>91.0</v>
      </c>
    </row>
    <row r="964">
      <c r="A964" s="15" t="s">
        <v>1290</v>
      </c>
      <c r="B964" s="15">
        <v>91.0</v>
      </c>
    </row>
    <row r="965">
      <c r="A965" s="15" t="s">
        <v>1291</v>
      </c>
      <c r="B965" s="15">
        <v>34.0</v>
      </c>
    </row>
    <row r="966">
      <c r="A966" s="15" t="s">
        <v>1292</v>
      </c>
      <c r="B966" s="15">
        <v>92.0</v>
      </c>
    </row>
    <row r="967">
      <c r="A967" s="15" t="s">
        <v>1293</v>
      </c>
      <c r="B967" s="15">
        <v>50.0</v>
      </c>
    </row>
    <row r="968">
      <c r="A968" s="15" t="s">
        <v>1294</v>
      </c>
      <c r="B968" s="15">
        <v>87.0</v>
      </c>
    </row>
    <row r="969">
      <c r="A969" s="15" t="s">
        <v>1295</v>
      </c>
      <c r="B969" s="15">
        <v>81.0</v>
      </c>
    </row>
    <row r="970">
      <c r="A970" s="15" t="s">
        <v>1296</v>
      </c>
      <c r="B970" s="15">
        <v>83.0</v>
      </c>
    </row>
    <row r="971">
      <c r="A971" s="15" t="s">
        <v>1297</v>
      </c>
      <c r="B971" s="15">
        <v>94.0</v>
      </c>
    </row>
    <row r="972">
      <c r="A972" s="15" t="s">
        <v>1298</v>
      </c>
      <c r="B972" s="15">
        <v>0.0</v>
      </c>
    </row>
    <row r="973">
      <c r="A973" s="15" t="s">
        <v>1299</v>
      </c>
      <c r="B973" s="15">
        <v>90.0</v>
      </c>
    </row>
    <row r="974">
      <c r="A974" s="15" t="s">
        <v>1300</v>
      </c>
      <c r="B974" s="15">
        <v>82.0</v>
      </c>
    </row>
    <row r="975">
      <c r="A975" s="15" t="s">
        <v>1302</v>
      </c>
      <c r="B975" s="15">
        <v>50.0</v>
      </c>
    </row>
    <row r="976">
      <c r="A976" s="15" t="s">
        <v>1303</v>
      </c>
      <c r="B976" s="15">
        <v>87.0</v>
      </c>
    </row>
    <row r="977">
      <c r="A977" s="15" t="s">
        <v>1304</v>
      </c>
      <c r="B977" s="15">
        <v>89.0</v>
      </c>
    </row>
    <row r="978">
      <c r="A978" s="15" t="s">
        <v>1305</v>
      </c>
      <c r="B978" s="15">
        <v>94.0</v>
      </c>
    </row>
    <row r="979">
      <c r="A979" s="15" t="s">
        <v>1306</v>
      </c>
      <c r="B979" s="15">
        <v>67.0</v>
      </c>
    </row>
    <row r="980">
      <c r="A980" s="15" t="s">
        <v>1307</v>
      </c>
      <c r="B980" s="15">
        <v>87.0</v>
      </c>
    </row>
    <row r="981">
      <c r="A981" s="15" t="s">
        <v>1308</v>
      </c>
      <c r="B981" s="15">
        <v>94.0</v>
      </c>
    </row>
    <row r="982">
      <c r="A982" s="15" t="s">
        <v>1309</v>
      </c>
      <c r="B982" s="15">
        <v>0.0</v>
      </c>
    </row>
    <row r="983">
      <c r="A983" s="15" t="s">
        <v>1310</v>
      </c>
      <c r="B983" s="15">
        <v>93.0</v>
      </c>
    </row>
    <row r="984">
      <c r="A984" s="15" t="s">
        <v>1311</v>
      </c>
      <c r="B984" s="15">
        <v>93.0</v>
      </c>
    </row>
    <row r="985">
      <c r="A985" s="15" t="s">
        <v>1312</v>
      </c>
      <c r="B985" s="15">
        <v>88.0</v>
      </c>
    </row>
    <row r="986">
      <c r="A986" s="15" t="s">
        <v>1313</v>
      </c>
      <c r="B986" s="15">
        <v>0.0</v>
      </c>
    </row>
    <row r="987">
      <c r="A987" s="15" t="s">
        <v>1314</v>
      </c>
      <c r="B987" s="15">
        <v>87.0</v>
      </c>
    </row>
    <row r="988">
      <c r="A988" s="15" t="s">
        <v>1315</v>
      </c>
      <c r="B988" s="15">
        <v>87.0</v>
      </c>
    </row>
    <row r="989">
      <c r="A989" s="15" t="s">
        <v>1316</v>
      </c>
      <c r="B989" s="15">
        <v>0.0</v>
      </c>
    </row>
    <row r="990">
      <c r="A990" s="15" t="s">
        <v>1317</v>
      </c>
      <c r="B990" s="15">
        <v>81.0</v>
      </c>
    </row>
    <row r="991">
      <c r="A991" s="15" t="s">
        <v>1318</v>
      </c>
      <c r="B991" s="15">
        <v>0.0</v>
      </c>
    </row>
    <row r="992">
      <c r="A992" s="15" t="s">
        <v>1319</v>
      </c>
      <c r="B992" s="15">
        <v>69.0</v>
      </c>
    </row>
    <row r="993">
      <c r="A993" s="15" t="s">
        <v>1320</v>
      </c>
      <c r="B993" s="15">
        <v>81.0</v>
      </c>
    </row>
    <row r="994">
      <c r="A994" s="15" t="s">
        <v>1321</v>
      </c>
      <c r="B994" s="15">
        <v>86.0</v>
      </c>
    </row>
    <row r="995">
      <c r="A995" s="15" t="s">
        <v>1322</v>
      </c>
      <c r="B995" s="15">
        <v>0.0</v>
      </c>
    </row>
    <row r="996">
      <c r="A996" s="15" t="s">
        <v>1323</v>
      </c>
      <c r="B996" s="15">
        <v>92.0</v>
      </c>
    </row>
    <row r="997">
      <c r="A997" s="15" t="s">
        <v>1324</v>
      </c>
      <c r="B997" s="15">
        <v>90.0</v>
      </c>
    </row>
    <row r="998">
      <c r="A998" s="15" t="s">
        <v>1325</v>
      </c>
      <c r="B998" s="15">
        <v>50.0</v>
      </c>
    </row>
    <row r="999">
      <c r="A999" s="15" t="s">
        <v>1326</v>
      </c>
      <c r="B999" s="15">
        <v>95.0</v>
      </c>
    </row>
    <row r="1000">
      <c r="A1000" s="15" t="s">
        <v>1327</v>
      </c>
      <c r="B1000" s="15">
        <v>50.0</v>
      </c>
    </row>
    <row r="1001">
      <c r="A1001" s="15" t="s">
        <v>1328</v>
      </c>
      <c r="B1001" s="15">
        <v>0.0</v>
      </c>
    </row>
    <row r="1002">
      <c r="A1002" s="15" t="s">
        <v>1329</v>
      </c>
      <c r="B1002" s="15">
        <v>52.0</v>
      </c>
    </row>
    <row r="1003">
      <c r="A1003" s="15" t="s">
        <v>1330</v>
      </c>
      <c r="B1003" s="15">
        <v>86.0</v>
      </c>
    </row>
    <row r="1004">
      <c r="A1004" s="15" t="s">
        <v>1331</v>
      </c>
      <c r="B1004" s="15">
        <v>89.0</v>
      </c>
    </row>
    <row r="1005">
      <c r="A1005" s="15" t="s">
        <v>1337</v>
      </c>
      <c r="B1005" s="15">
        <v>0.0</v>
      </c>
    </row>
    <row r="1006">
      <c r="A1006" s="15" t="s">
        <v>1332</v>
      </c>
      <c r="B1006" s="15">
        <v>50.0</v>
      </c>
    </row>
    <row r="1007">
      <c r="A1007" s="15" t="s">
        <v>1334</v>
      </c>
      <c r="B1007" s="15">
        <v>50.0</v>
      </c>
    </row>
    <row r="1008">
      <c r="A1008" s="15" t="s">
        <v>1333</v>
      </c>
      <c r="B1008" s="15">
        <v>50.0</v>
      </c>
    </row>
    <row r="1009">
      <c r="A1009" s="15" t="s">
        <v>1354</v>
      </c>
      <c r="B1009" s="15">
        <v>68.0</v>
      </c>
    </row>
    <row r="1010">
      <c r="A1010" s="15" t="s">
        <v>1336</v>
      </c>
      <c r="B1010" s="15">
        <v>0.0</v>
      </c>
    </row>
    <row r="1011">
      <c r="A1011" s="15" t="s">
        <v>1345</v>
      </c>
      <c r="B1011" s="15">
        <v>87.0</v>
      </c>
    </row>
    <row r="1012">
      <c r="A1012" s="15" t="s">
        <v>1039</v>
      </c>
      <c r="B1012" s="15">
        <v>50.0</v>
      </c>
    </row>
    <row r="1013">
      <c r="A1013" s="15" t="s">
        <v>1040</v>
      </c>
      <c r="B1013" s="15">
        <v>77.0</v>
      </c>
    </row>
    <row r="1014">
      <c r="A1014" s="15" t="s">
        <v>1041</v>
      </c>
      <c r="B1014" s="15">
        <v>73.0</v>
      </c>
    </row>
    <row r="1015">
      <c r="A1015" s="15" t="s">
        <v>1042</v>
      </c>
      <c r="B1015" s="15">
        <v>50.0</v>
      </c>
    </row>
    <row r="1016">
      <c r="A1016" s="15" t="s">
        <v>1043</v>
      </c>
      <c r="B1016" s="15">
        <v>84.0</v>
      </c>
    </row>
    <row r="1017">
      <c r="A1017" s="15" t="s">
        <v>1044</v>
      </c>
      <c r="B1017" s="15">
        <v>50.0</v>
      </c>
    </row>
    <row r="1018">
      <c r="A1018" s="15" t="s">
        <v>1045</v>
      </c>
      <c r="B1018" s="15">
        <v>77.0</v>
      </c>
    </row>
    <row r="1019">
      <c r="A1019" s="15" t="s">
        <v>1046</v>
      </c>
      <c r="B1019" s="15">
        <v>50.0</v>
      </c>
    </row>
    <row r="1020">
      <c r="A1020" s="15" t="s">
        <v>1047</v>
      </c>
      <c r="B1020" s="15">
        <v>85.0</v>
      </c>
    </row>
    <row r="1021">
      <c r="A1021" s="15" t="s">
        <v>1048</v>
      </c>
      <c r="B1021" s="15">
        <v>0.0</v>
      </c>
    </row>
    <row r="1022">
      <c r="A1022" s="15" t="s">
        <v>1049</v>
      </c>
      <c r="B1022" s="15">
        <v>78.0</v>
      </c>
    </row>
    <row r="1023">
      <c r="A1023" s="15" t="s">
        <v>1050</v>
      </c>
      <c r="B1023" s="15">
        <v>0.0</v>
      </c>
    </row>
    <row r="1024">
      <c r="A1024" s="15" t="s">
        <v>1051</v>
      </c>
      <c r="B1024" s="15">
        <v>50.0</v>
      </c>
    </row>
    <row r="1025">
      <c r="A1025" s="15" t="s">
        <v>1052</v>
      </c>
      <c r="B1025" s="15">
        <v>78.0</v>
      </c>
    </row>
    <row r="1026">
      <c r="A1026" s="15" t="s">
        <v>1053</v>
      </c>
      <c r="B1026" s="15">
        <v>86.0</v>
      </c>
    </row>
    <row r="1027">
      <c r="A1027" s="15" t="s">
        <v>1054</v>
      </c>
      <c r="B1027" s="15">
        <v>84.0</v>
      </c>
    </row>
    <row r="1028">
      <c r="A1028" s="15" t="s">
        <v>1055</v>
      </c>
      <c r="B1028" s="15">
        <v>50.0</v>
      </c>
    </row>
    <row r="1029">
      <c r="A1029" s="15" t="s">
        <v>1056</v>
      </c>
      <c r="B1029" s="15">
        <v>0.0</v>
      </c>
    </row>
    <row r="1030">
      <c r="A1030" s="15" t="s">
        <v>1057</v>
      </c>
      <c r="B1030" s="15">
        <v>0.0</v>
      </c>
    </row>
    <row r="1031">
      <c r="A1031" s="15" t="s">
        <v>1058</v>
      </c>
      <c r="B1031" s="15">
        <v>50.0</v>
      </c>
    </row>
    <row r="1032">
      <c r="A1032" s="15" t="s">
        <v>1059</v>
      </c>
      <c r="B1032" s="15">
        <v>0.0</v>
      </c>
    </row>
    <row r="1033">
      <c r="A1033" s="15" t="s">
        <v>1060</v>
      </c>
      <c r="B1033" s="15">
        <v>83.0</v>
      </c>
    </row>
    <row r="1034">
      <c r="A1034" s="15" t="s">
        <v>1061</v>
      </c>
      <c r="B1034" s="15">
        <v>84.0</v>
      </c>
    </row>
    <row r="1035">
      <c r="A1035" s="15" t="s">
        <v>1063</v>
      </c>
      <c r="B1035" s="15">
        <v>50.0</v>
      </c>
    </row>
    <row r="1036">
      <c r="A1036" s="15" t="s">
        <v>1064</v>
      </c>
      <c r="B1036" s="15">
        <v>0.0</v>
      </c>
    </row>
    <row r="1037">
      <c r="A1037" s="15" t="s">
        <v>1065</v>
      </c>
      <c r="B1037" s="15">
        <v>73.0</v>
      </c>
    </row>
    <row r="1038">
      <c r="A1038" s="15" t="s">
        <v>1066</v>
      </c>
      <c r="B1038" s="15">
        <v>50.0</v>
      </c>
    </row>
    <row r="1039">
      <c r="A1039" s="15" t="s">
        <v>1067</v>
      </c>
      <c r="B1039" s="15">
        <v>84.0</v>
      </c>
    </row>
    <row r="1040">
      <c r="A1040" s="15" t="s">
        <v>1068</v>
      </c>
      <c r="B1040" s="15">
        <v>50.0</v>
      </c>
    </row>
    <row r="1041">
      <c r="A1041" s="15" t="s">
        <v>1069</v>
      </c>
      <c r="B1041" s="15">
        <v>50.0</v>
      </c>
    </row>
    <row r="1042">
      <c r="A1042" s="15" t="s">
        <v>1070</v>
      </c>
      <c r="B1042" s="15">
        <v>80.0</v>
      </c>
    </row>
    <row r="1043">
      <c r="A1043" s="15" t="s">
        <v>1071</v>
      </c>
      <c r="B1043" s="15">
        <v>68.0</v>
      </c>
    </row>
    <row r="1044">
      <c r="A1044" s="15" t="s">
        <v>1072</v>
      </c>
      <c r="B1044" s="15">
        <v>0.0</v>
      </c>
    </row>
    <row r="1045">
      <c r="A1045" s="15" t="s">
        <v>1073</v>
      </c>
      <c r="B1045" s="15">
        <v>0.0</v>
      </c>
    </row>
    <row r="1046">
      <c r="A1046" s="15" t="s">
        <v>1074</v>
      </c>
      <c r="B1046" s="15">
        <v>0.0</v>
      </c>
    </row>
    <row r="1047">
      <c r="A1047" s="15" t="s">
        <v>1075</v>
      </c>
      <c r="B1047" s="15">
        <v>0.0</v>
      </c>
    </row>
    <row r="1048">
      <c r="A1048" s="15" t="s">
        <v>1076</v>
      </c>
      <c r="B1048" s="15">
        <v>84.0</v>
      </c>
    </row>
    <row r="1049">
      <c r="A1049" s="15" t="s">
        <v>1077</v>
      </c>
      <c r="B1049" s="15">
        <v>0.0</v>
      </c>
    </row>
    <row r="1050">
      <c r="A1050" s="15" t="s">
        <v>1078</v>
      </c>
      <c r="B1050" s="15">
        <v>0.0</v>
      </c>
    </row>
    <row r="1051">
      <c r="A1051" s="15" t="s">
        <v>1079</v>
      </c>
      <c r="B1051" s="15">
        <v>50.0</v>
      </c>
    </row>
    <row r="1052">
      <c r="A1052" s="15" t="s">
        <v>1080</v>
      </c>
      <c r="B1052" s="15">
        <v>0.0</v>
      </c>
    </row>
    <row r="1053">
      <c r="A1053" s="15" t="s">
        <v>1081</v>
      </c>
      <c r="B1053" s="15">
        <v>84.0</v>
      </c>
    </row>
    <row r="1054">
      <c r="A1054" s="15" t="s">
        <v>1082</v>
      </c>
      <c r="B1054" s="15">
        <v>50.0</v>
      </c>
    </row>
    <row r="1055">
      <c r="A1055" s="15" t="s">
        <v>1083</v>
      </c>
      <c r="B1055" s="15">
        <v>80.0</v>
      </c>
    </row>
    <row r="1056">
      <c r="A1056" s="15" t="s">
        <v>1084</v>
      </c>
      <c r="B1056" s="15">
        <v>72.0</v>
      </c>
    </row>
    <row r="1057">
      <c r="A1057" s="15" t="s">
        <v>1085</v>
      </c>
      <c r="B1057" s="15">
        <v>0.0</v>
      </c>
    </row>
    <row r="1058">
      <c r="A1058" s="15" t="s">
        <v>1086</v>
      </c>
      <c r="B1058" s="15">
        <v>73.0</v>
      </c>
    </row>
    <row r="1059">
      <c r="A1059" s="15" t="s">
        <v>1087</v>
      </c>
      <c r="B1059" s="15">
        <v>88.0</v>
      </c>
    </row>
    <row r="1060">
      <c r="A1060" s="15" t="s">
        <v>1089</v>
      </c>
      <c r="B1060" s="15">
        <v>85.0</v>
      </c>
    </row>
    <row r="1061">
      <c r="A1061" s="15" t="s">
        <v>1090</v>
      </c>
      <c r="B1061" s="15">
        <v>79.0</v>
      </c>
    </row>
    <row r="1062">
      <c r="A1062" s="15" t="s">
        <v>1091</v>
      </c>
      <c r="B1062" s="15">
        <v>80.0</v>
      </c>
    </row>
    <row r="1063">
      <c r="A1063" s="15" t="s">
        <v>1092</v>
      </c>
      <c r="B1063" s="15">
        <v>0.0</v>
      </c>
    </row>
    <row r="1064">
      <c r="A1064" s="15" t="s">
        <v>1093</v>
      </c>
      <c r="B1064" s="15">
        <v>0.0</v>
      </c>
    </row>
    <row r="1065">
      <c r="A1065" s="15" t="s">
        <v>1094</v>
      </c>
      <c r="B1065" s="15">
        <v>67.0</v>
      </c>
    </row>
    <row r="1066">
      <c r="A1066" s="15" t="s">
        <v>1095</v>
      </c>
      <c r="B1066" s="15">
        <v>0.0</v>
      </c>
    </row>
    <row r="1067">
      <c r="A1067" s="15" t="s">
        <v>1096</v>
      </c>
      <c r="B1067" s="15">
        <v>73.0</v>
      </c>
    </row>
    <row r="1068">
      <c r="A1068" s="15" t="s">
        <v>1097</v>
      </c>
      <c r="B1068" s="15">
        <v>88.0</v>
      </c>
    </row>
    <row r="1069">
      <c r="A1069" s="15" t="s">
        <v>1098</v>
      </c>
      <c r="B1069" s="15">
        <v>71.0</v>
      </c>
    </row>
    <row r="1070">
      <c r="A1070" s="15" t="s">
        <v>1099</v>
      </c>
      <c r="B1070" s="15">
        <v>88.0</v>
      </c>
    </row>
    <row r="1071">
      <c r="A1071" s="15" t="s">
        <v>1100</v>
      </c>
      <c r="B1071" s="15">
        <v>50.0</v>
      </c>
    </row>
    <row r="1072">
      <c r="A1072" s="15" t="s">
        <v>1101</v>
      </c>
      <c r="B1072" s="15">
        <v>64.0</v>
      </c>
    </row>
    <row r="1073">
      <c r="A1073" s="15" t="s">
        <v>1102</v>
      </c>
      <c r="B1073" s="15">
        <v>70.0</v>
      </c>
    </row>
    <row r="1074">
      <c r="A1074" s="15" t="s">
        <v>1103</v>
      </c>
      <c r="B1074" s="15">
        <v>50.0</v>
      </c>
    </row>
    <row r="1075">
      <c r="A1075" s="15" t="s">
        <v>1104</v>
      </c>
      <c r="B1075" s="15">
        <v>81.0</v>
      </c>
    </row>
    <row r="1076">
      <c r="A1076" s="15" t="s">
        <v>1105</v>
      </c>
      <c r="B1076" s="15">
        <v>0.0</v>
      </c>
    </row>
    <row r="1077">
      <c r="A1077" s="15" t="s">
        <v>1106</v>
      </c>
      <c r="B1077" s="15">
        <v>0.0</v>
      </c>
    </row>
    <row r="1078">
      <c r="A1078" s="15" t="s">
        <v>1107</v>
      </c>
      <c r="B1078" s="15">
        <v>88.0</v>
      </c>
    </row>
    <row r="1079">
      <c r="A1079" s="15" t="s">
        <v>1108</v>
      </c>
      <c r="B1079" s="15">
        <v>0.0</v>
      </c>
    </row>
    <row r="1080">
      <c r="A1080" s="15" t="s">
        <v>1109</v>
      </c>
      <c r="B1080" s="15">
        <v>74.0</v>
      </c>
    </row>
    <row r="1081">
      <c r="A1081" s="15" t="s">
        <v>1110</v>
      </c>
      <c r="B1081" s="15">
        <v>0.0</v>
      </c>
    </row>
    <row r="1082">
      <c r="A1082" s="15" t="s">
        <v>1111</v>
      </c>
      <c r="B1082" s="15">
        <v>89.0</v>
      </c>
    </row>
    <row r="1083">
      <c r="A1083" s="15" t="s">
        <v>1112</v>
      </c>
      <c r="B1083" s="15">
        <v>95.0</v>
      </c>
    </row>
    <row r="1084">
      <c r="A1084" s="15" t="s">
        <v>1113</v>
      </c>
      <c r="B1084" s="15">
        <v>78.0</v>
      </c>
    </row>
    <row r="1085">
      <c r="A1085" s="15" t="s">
        <v>1114</v>
      </c>
      <c r="B1085" s="15">
        <v>50.0</v>
      </c>
    </row>
    <row r="1086">
      <c r="A1086" s="15" t="s">
        <v>1115</v>
      </c>
      <c r="B1086" s="15">
        <v>83.0</v>
      </c>
    </row>
    <row r="1087">
      <c r="A1087" s="15" t="s">
        <v>1116</v>
      </c>
      <c r="B1087" s="15">
        <v>89.0</v>
      </c>
    </row>
    <row r="1088">
      <c r="A1088" s="15" t="s">
        <v>1117</v>
      </c>
      <c r="B1088" s="15">
        <v>50.0</v>
      </c>
    </row>
    <row r="1089">
      <c r="A1089" s="15" t="s">
        <v>1118</v>
      </c>
      <c r="B1089" s="15">
        <v>95.0</v>
      </c>
    </row>
    <row r="1090">
      <c r="A1090" s="15" t="s">
        <v>1119</v>
      </c>
      <c r="B1090" s="15">
        <v>93.0</v>
      </c>
    </row>
    <row r="1091">
      <c r="A1091" s="15" t="s">
        <v>1120</v>
      </c>
      <c r="B1091" s="15">
        <v>72.0</v>
      </c>
    </row>
    <row r="1092">
      <c r="A1092" s="15" t="s">
        <v>1121</v>
      </c>
      <c r="B1092" s="15">
        <v>91.0</v>
      </c>
    </row>
    <row r="1093">
      <c r="A1093" s="15" t="s">
        <v>1122</v>
      </c>
      <c r="B1093" s="15">
        <v>50.0</v>
      </c>
    </row>
    <row r="1094">
      <c r="A1094" s="15" t="s">
        <v>1123</v>
      </c>
      <c r="B1094" s="15">
        <v>90.0</v>
      </c>
    </row>
    <row r="1095">
      <c r="A1095" s="15" t="s">
        <v>1124</v>
      </c>
      <c r="B1095" s="15">
        <v>0.0</v>
      </c>
    </row>
    <row r="1096">
      <c r="A1096" s="15" t="s">
        <v>1125</v>
      </c>
      <c r="B1096" s="15">
        <v>0.0</v>
      </c>
    </row>
    <row r="1097">
      <c r="A1097" s="15" t="s">
        <v>1126</v>
      </c>
      <c r="B1097" s="15">
        <v>0.0</v>
      </c>
    </row>
    <row r="1098">
      <c r="A1098" s="15" t="s">
        <v>1127</v>
      </c>
      <c r="B1098" s="15">
        <v>50.0</v>
      </c>
    </row>
    <row r="1099">
      <c r="A1099" s="15" t="s">
        <v>1128</v>
      </c>
      <c r="B1099" s="15">
        <v>0.0</v>
      </c>
    </row>
    <row r="1100">
      <c r="A1100" s="15" t="s">
        <v>1129</v>
      </c>
      <c r="B1100" s="15">
        <v>50.0</v>
      </c>
    </row>
    <row r="1101">
      <c r="A1101" s="15" t="s">
        <v>1130</v>
      </c>
      <c r="B1101" s="15">
        <v>75.0</v>
      </c>
    </row>
    <row r="1102">
      <c r="A1102" s="15" t="s">
        <v>1131</v>
      </c>
      <c r="B1102" s="15">
        <v>91.0</v>
      </c>
    </row>
    <row r="1103">
      <c r="A1103" s="15" t="s">
        <v>1132</v>
      </c>
      <c r="B1103" s="15">
        <v>0.0</v>
      </c>
    </row>
    <row r="1104">
      <c r="A1104" s="15" t="s">
        <v>1133</v>
      </c>
      <c r="B1104" s="15">
        <v>50.0</v>
      </c>
    </row>
    <row r="1105">
      <c r="A1105" s="15" t="s">
        <v>1134</v>
      </c>
      <c r="B1105" s="15">
        <v>0.0</v>
      </c>
    </row>
    <row r="1106">
      <c r="A1106" s="15" t="s">
        <v>1135</v>
      </c>
      <c r="B1106" s="15">
        <v>94.0</v>
      </c>
    </row>
    <row r="1107">
      <c r="A1107" s="15" t="s">
        <v>1136</v>
      </c>
      <c r="B1107" s="15">
        <v>50.0</v>
      </c>
    </row>
    <row r="1108">
      <c r="A1108" s="15" t="s">
        <v>1137</v>
      </c>
      <c r="B1108" s="15">
        <v>50.0</v>
      </c>
    </row>
    <row r="1109">
      <c r="A1109" s="15" t="s">
        <v>1138</v>
      </c>
      <c r="B1109" s="15">
        <v>82.0</v>
      </c>
    </row>
    <row r="1110">
      <c r="A1110" s="15" t="s">
        <v>1139</v>
      </c>
      <c r="B1110" s="15">
        <v>76.0</v>
      </c>
    </row>
    <row r="1111">
      <c r="A1111" s="15" t="s">
        <v>1141</v>
      </c>
      <c r="B1111" s="15">
        <v>94.0</v>
      </c>
    </row>
    <row r="1112">
      <c r="A1112" s="15" t="s">
        <v>1142</v>
      </c>
      <c r="B1112" s="15">
        <v>72.0</v>
      </c>
    </row>
    <row r="1113">
      <c r="A1113" s="15" t="s">
        <v>1143</v>
      </c>
      <c r="B1113" s="15">
        <v>85.0</v>
      </c>
    </row>
    <row r="1114">
      <c r="A1114" s="15" t="s">
        <v>1144</v>
      </c>
      <c r="B1114" s="15">
        <v>0.0</v>
      </c>
    </row>
    <row r="1115">
      <c r="A1115" s="15" t="s">
        <v>1145</v>
      </c>
      <c r="B1115" s="15">
        <v>50.0</v>
      </c>
    </row>
    <row r="1116">
      <c r="A1116" s="15" t="s">
        <v>1146</v>
      </c>
      <c r="B1116" s="15">
        <v>0.0</v>
      </c>
    </row>
    <row r="1117">
      <c r="A1117" s="15" t="s">
        <v>1147</v>
      </c>
      <c r="B1117" s="15">
        <v>50.0</v>
      </c>
    </row>
    <row r="1118">
      <c r="A1118" s="15" t="s">
        <v>1148</v>
      </c>
      <c r="B1118" s="15">
        <v>72.0</v>
      </c>
    </row>
    <row r="1119">
      <c r="A1119" s="15" t="s">
        <v>1149</v>
      </c>
      <c r="B1119" s="15">
        <v>75.0</v>
      </c>
    </row>
    <row r="1120">
      <c r="A1120" s="15" t="s">
        <v>1150</v>
      </c>
      <c r="B1120" s="15">
        <v>77.0</v>
      </c>
    </row>
    <row r="1121">
      <c r="A1121" s="15" t="s">
        <v>1151</v>
      </c>
      <c r="B1121" s="15">
        <v>38.0</v>
      </c>
    </row>
    <row r="1122">
      <c r="A1122" s="15" t="s">
        <v>1152</v>
      </c>
      <c r="B1122" s="15">
        <v>74.0</v>
      </c>
    </row>
    <row r="1123">
      <c r="A1123" s="15" t="s">
        <v>1153</v>
      </c>
      <c r="B1123" s="15">
        <v>90.0</v>
      </c>
    </row>
    <row r="1124">
      <c r="A1124" s="15" t="s">
        <v>1155</v>
      </c>
      <c r="B1124" s="15">
        <v>78.0</v>
      </c>
    </row>
    <row r="1125">
      <c r="A1125" s="15" t="s">
        <v>1156</v>
      </c>
      <c r="B1125" s="15">
        <v>89.0</v>
      </c>
    </row>
    <row r="1126">
      <c r="A1126" s="15" t="s">
        <v>1157</v>
      </c>
      <c r="B1126" s="15">
        <v>89.0</v>
      </c>
    </row>
    <row r="1127">
      <c r="A1127" s="15" t="s">
        <v>1158</v>
      </c>
      <c r="B1127" s="15">
        <v>0.0</v>
      </c>
    </row>
    <row r="1128">
      <c r="A1128" s="15" t="s">
        <v>1159</v>
      </c>
      <c r="B1128" s="15">
        <v>91.0</v>
      </c>
    </row>
    <row r="1129">
      <c r="A1129" s="15" t="s">
        <v>1160</v>
      </c>
      <c r="B1129" s="15">
        <v>0.0</v>
      </c>
    </row>
    <row r="1130">
      <c r="A1130" s="15" t="s">
        <v>1161</v>
      </c>
      <c r="B1130" s="15">
        <v>85.0</v>
      </c>
    </row>
    <row r="1131">
      <c r="A1131" s="15" t="s">
        <v>1162</v>
      </c>
      <c r="B1131" s="15">
        <v>50.0</v>
      </c>
    </row>
    <row r="1132">
      <c r="A1132" s="15" t="s">
        <v>1164</v>
      </c>
      <c r="B1132" s="15">
        <v>50.0</v>
      </c>
    </row>
    <row r="1133">
      <c r="A1133" s="15" t="s">
        <v>1165</v>
      </c>
      <c r="B1133" s="15">
        <v>84.0</v>
      </c>
    </row>
    <row r="1134">
      <c r="A1134" s="15" t="s">
        <v>1166</v>
      </c>
      <c r="B1134" s="15">
        <v>0.0</v>
      </c>
    </row>
    <row r="1135">
      <c r="A1135" s="15" t="s">
        <v>1167</v>
      </c>
      <c r="B1135" s="15">
        <v>87.0</v>
      </c>
    </row>
    <row r="1136">
      <c r="A1136" s="15" t="s">
        <v>1168</v>
      </c>
      <c r="B1136" s="15">
        <v>72.0</v>
      </c>
    </row>
    <row r="1137">
      <c r="A1137" s="15" t="s">
        <v>1169</v>
      </c>
      <c r="B1137" s="15">
        <v>84.0</v>
      </c>
    </row>
    <row r="1138">
      <c r="A1138" s="15" t="s">
        <v>1170</v>
      </c>
      <c r="B1138" s="15">
        <v>50.0</v>
      </c>
    </row>
    <row r="1139">
      <c r="A1139" s="15" t="s">
        <v>1171</v>
      </c>
      <c r="B1139" s="15">
        <v>50.0</v>
      </c>
    </row>
    <row r="1140">
      <c r="A1140" s="15" t="s">
        <v>1172</v>
      </c>
      <c r="B1140" s="15">
        <v>0.0</v>
      </c>
    </row>
    <row r="1141">
      <c r="A1141" s="15" t="s">
        <v>1173</v>
      </c>
      <c r="B1141" s="15">
        <v>50.0</v>
      </c>
    </row>
    <row r="1142">
      <c r="A1142" s="15" t="s">
        <v>1174</v>
      </c>
      <c r="B1142" s="15">
        <v>87.0</v>
      </c>
    </row>
    <row r="1143">
      <c r="A1143" s="15" t="s">
        <v>1175</v>
      </c>
      <c r="B1143" s="15">
        <v>50.0</v>
      </c>
    </row>
    <row r="1144">
      <c r="A1144" s="15" t="s">
        <v>1176</v>
      </c>
      <c r="B1144" s="15">
        <v>75.0</v>
      </c>
    </row>
    <row r="1145">
      <c r="A1145" s="15" t="s">
        <v>1177</v>
      </c>
      <c r="B1145" s="15">
        <v>93.0</v>
      </c>
    </row>
    <row r="1146">
      <c r="A1146" s="15" t="s">
        <v>1178</v>
      </c>
      <c r="B1146" s="15">
        <v>50.0</v>
      </c>
    </row>
    <row r="1147">
      <c r="A1147" s="15" t="s">
        <v>1179</v>
      </c>
      <c r="B1147" s="15">
        <v>78.0</v>
      </c>
    </row>
    <row r="1148">
      <c r="A1148" s="15" t="s">
        <v>1180</v>
      </c>
      <c r="B1148" s="15">
        <v>38.0</v>
      </c>
    </row>
    <row r="1149">
      <c r="A1149" s="15" t="s">
        <v>1181</v>
      </c>
      <c r="B1149" s="15">
        <v>88.0</v>
      </c>
    </row>
    <row r="1150">
      <c r="A1150" s="15" t="s">
        <v>1191</v>
      </c>
      <c r="B1150" s="15">
        <v>81.0</v>
      </c>
    </row>
    <row r="1151">
      <c r="A1151" s="15" t="s">
        <v>1188</v>
      </c>
      <c r="B1151" s="15">
        <v>87.0</v>
      </c>
    </row>
    <row r="1152">
      <c r="A1152" s="15" t="s">
        <v>1192</v>
      </c>
      <c r="B1152" s="15">
        <v>90.0</v>
      </c>
    </row>
    <row r="1153">
      <c r="A1153" s="15" t="s">
        <v>1185</v>
      </c>
      <c r="B1153" s="15">
        <v>0.0</v>
      </c>
    </row>
    <row r="1154">
      <c r="A1154" s="15" t="s">
        <v>1189</v>
      </c>
      <c r="B1154" s="15">
        <v>84.0</v>
      </c>
    </row>
    <row r="1155">
      <c r="A1155" s="15" t="s">
        <v>1195</v>
      </c>
      <c r="B1155" s="15">
        <v>0.0</v>
      </c>
    </row>
    <row r="1156">
      <c r="A1156" s="15" t="s">
        <v>1183</v>
      </c>
      <c r="B1156" s="15">
        <v>84.0</v>
      </c>
    </row>
    <row r="1157">
      <c r="A1157" s="15" t="s">
        <v>1186</v>
      </c>
      <c r="B1157" s="15">
        <v>76.0</v>
      </c>
    </row>
    <row r="1158">
      <c r="A1158" s="15" t="s">
        <v>1193</v>
      </c>
      <c r="B1158" s="15">
        <v>80.0</v>
      </c>
    </row>
    <row r="1159">
      <c r="A1159" s="15" t="s">
        <v>1187</v>
      </c>
      <c r="B1159" s="15">
        <v>79.0</v>
      </c>
    </row>
    <row r="1160">
      <c r="A1160" s="15" t="s">
        <v>1184</v>
      </c>
      <c r="B1160" s="15">
        <v>81.0</v>
      </c>
    </row>
    <row r="1161">
      <c r="A1161" s="15" t="s">
        <v>1190</v>
      </c>
      <c r="B1161" s="15">
        <v>86.0</v>
      </c>
    </row>
    <row r="1162">
      <c r="A1162" s="15" t="s">
        <v>1194</v>
      </c>
      <c r="B1162" s="15">
        <v>85.0</v>
      </c>
    </row>
    <row r="1163">
      <c r="A1163" s="15" t="s">
        <v>1182</v>
      </c>
      <c r="B1163" s="15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1355</v>
      </c>
      <c r="B1" s="37" t="s">
        <v>1356</v>
      </c>
    </row>
    <row r="2">
      <c r="A2" s="38" t="s">
        <v>1182</v>
      </c>
      <c r="B2" s="39">
        <v>7.0</v>
      </c>
    </row>
    <row r="3">
      <c r="A3" s="38" t="s">
        <v>1262</v>
      </c>
      <c r="B3" s="39">
        <v>0.0</v>
      </c>
    </row>
    <row r="4">
      <c r="A4" s="40" t="s">
        <v>379</v>
      </c>
      <c r="B4" s="39">
        <v>13.0</v>
      </c>
    </row>
    <row r="5">
      <c r="A5" s="40" t="s">
        <v>1348</v>
      </c>
      <c r="B5" s="39">
        <v>0.0</v>
      </c>
    </row>
    <row r="6">
      <c r="A6" s="40" t="s">
        <v>378</v>
      </c>
      <c r="B6" s="39">
        <v>23.0</v>
      </c>
    </row>
    <row r="7">
      <c r="A7" s="40" t="s">
        <v>380</v>
      </c>
      <c r="B7" s="39">
        <v>15.0</v>
      </c>
    </row>
    <row r="8">
      <c r="A8" s="38" t="s">
        <v>636</v>
      </c>
      <c r="B8" s="39">
        <v>13.0</v>
      </c>
    </row>
    <row r="9">
      <c r="A9" s="38" t="s">
        <v>1349</v>
      </c>
      <c r="B9" s="39">
        <v>0.0</v>
      </c>
    </row>
    <row r="10">
      <c r="A10" s="38" t="s">
        <v>863</v>
      </c>
      <c r="B10" s="39">
        <v>0.0</v>
      </c>
    </row>
    <row r="11">
      <c r="A11" s="38" t="s">
        <v>883</v>
      </c>
      <c r="B11" s="39">
        <v>50.0</v>
      </c>
    </row>
    <row r="12">
      <c r="A12" s="38" t="s">
        <v>884</v>
      </c>
      <c r="B12" s="39">
        <v>45.0</v>
      </c>
    </row>
    <row r="13">
      <c r="A13" s="38" t="s">
        <v>885</v>
      </c>
      <c r="B13" s="39">
        <v>22.0</v>
      </c>
    </row>
    <row r="14">
      <c r="A14" s="38" t="s">
        <v>886</v>
      </c>
      <c r="B14" s="39">
        <v>50.0</v>
      </c>
    </row>
    <row r="15">
      <c r="A15" s="38" t="s">
        <v>887</v>
      </c>
      <c r="B15" s="39">
        <v>50.0</v>
      </c>
    </row>
    <row r="16">
      <c r="A16" s="38" t="s">
        <v>888</v>
      </c>
      <c r="B16" s="39">
        <v>29.0</v>
      </c>
    </row>
    <row r="17">
      <c r="A17" s="38" t="s">
        <v>889</v>
      </c>
      <c r="B17" s="39">
        <v>50.0</v>
      </c>
    </row>
    <row r="18">
      <c r="A18" s="38" t="s">
        <v>890</v>
      </c>
      <c r="B18" s="39">
        <v>19.0</v>
      </c>
    </row>
    <row r="19">
      <c r="A19" s="38" t="s">
        <v>891</v>
      </c>
      <c r="B19" s="39">
        <v>25.0</v>
      </c>
    </row>
    <row r="20">
      <c r="A20" s="38" t="s">
        <v>892</v>
      </c>
      <c r="B20" s="39">
        <v>50.0</v>
      </c>
    </row>
    <row r="21">
      <c r="A21" s="38" t="s">
        <v>893</v>
      </c>
      <c r="B21" s="39">
        <v>50.0</v>
      </c>
    </row>
    <row r="22">
      <c r="A22" s="38" t="s">
        <v>894</v>
      </c>
      <c r="B22" s="39">
        <v>50.0</v>
      </c>
    </row>
    <row r="23">
      <c r="A23" s="38" t="s">
        <v>895</v>
      </c>
      <c r="B23" s="41">
        <v>51.0</v>
      </c>
    </row>
    <row r="24">
      <c r="A24" s="38" t="s">
        <v>896</v>
      </c>
      <c r="B24" s="39">
        <v>0.0</v>
      </c>
    </row>
    <row r="25">
      <c r="A25" s="38" t="s">
        <v>897</v>
      </c>
      <c r="B25" s="39">
        <v>0.0</v>
      </c>
    </row>
    <row r="26">
      <c r="A26" s="38" t="s">
        <v>898</v>
      </c>
      <c r="B26" s="39">
        <v>43.0</v>
      </c>
    </row>
    <row r="27">
      <c r="A27" s="38" t="s">
        <v>899</v>
      </c>
      <c r="B27" s="39">
        <v>50.0</v>
      </c>
    </row>
    <row r="28">
      <c r="A28" s="38" t="s">
        <v>900</v>
      </c>
      <c r="B28" s="42">
        <v>50.0</v>
      </c>
    </row>
    <row r="29">
      <c r="A29" s="38" t="s">
        <v>901</v>
      </c>
      <c r="B29" s="39">
        <v>50.0</v>
      </c>
    </row>
    <row r="30">
      <c r="A30" s="38" t="s">
        <v>902</v>
      </c>
      <c r="B30" s="39">
        <v>50.0</v>
      </c>
    </row>
    <row r="31">
      <c r="A31" s="38" t="s">
        <v>903</v>
      </c>
      <c r="B31" s="39">
        <v>0.0</v>
      </c>
    </row>
    <row r="32">
      <c r="A32" s="38" t="s">
        <v>904</v>
      </c>
      <c r="B32" s="39">
        <v>0.0</v>
      </c>
    </row>
    <row r="33">
      <c r="A33" s="38" t="s">
        <v>905</v>
      </c>
      <c r="B33" s="39">
        <v>17.0</v>
      </c>
    </row>
    <row r="34">
      <c r="A34" s="38" t="s">
        <v>906</v>
      </c>
      <c r="B34" s="39">
        <v>43.0</v>
      </c>
    </row>
    <row r="35">
      <c r="A35" s="38" t="s">
        <v>907</v>
      </c>
      <c r="B35" s="39">
        <v>50.0</v>
      </c>
    </row>
    <row r="36">
      <c r="A36" s="38" t="s">
        <v>908</v>
      </c>
      <c r="B36" s="39">
        <v>12.0</v>
      </c>
    </row>
    <row r="37">
      <c r="A37" s="38" t="s">
        <v>909</v>
      </c>
      <c r="B37" s="39">
        <v>50.0</v>
      </c>
    </row>
    <row r="38">
      <c r="A38" s="38" t="s">
        <v>910</v>
      </c>
      <c r="B38" s="39">
        <v>30.0</v>
      </c>
    </row>
    <row r="39">
      <c r="A39" s="38" t="s">
        <v>911</v>
      </c>
      <c r="B39" s="39">
        <v>50.0</v>
      </c>
    </row>
    <row r="40">
      <c r="A40" s="38" t="s">
        <v>912</v>
      </c>
      <c r="B40" s="39">
        <v>29.0</v>
      </c>
    </row>
    <row r="41">
      <c r="A41" s="38" t="s">
        <v>913</v>
      </c>
      <c r="B41" s="39">
        <v>7.0</v>
      </c>
    </row>
    <row r="42">
      <c r="A42" s="38" t="s">
        <v>914</v>
      </c>
      <c r="B42" s="39">
        <v>25.0</v>
      </c>
    </row>
    <row r="43">
      <c r="A43" s="38" t="s">
        <v>915</v>
      </c>
      <c r="B43" s="41">
        <v>55.0</v>
      </c>
    </row>
    <row r="44">
      <c r="A44" s="38" t="s">
        <v>916</v>
      </c>
      <c r="B44" s="39">
        <v>50.0</v>
      </c>
    </row>
    <row r="45">
      <c r="A45" s="38" t="s">
        <v>917</v>
      </c>
      <c r="B45" s="39">
        <v>18.0</v>
      </c>
    </row>
    <row r="46">
      <c r="A46" s="38" t="s">
        <v>918</v>
      </c>
      <c r="B46" s="39">
        <v>23.0</v>
      </c>
    </row>
    <row r="47">
      <c r="A47" s="38" t="s">
        <v>919</v>
      </c>
      <c r="B47" s="39">
        <v>50.0</v>
      </c>
    </row>
    <row r="48">
      <c r="A48" s="38" t="s">
        <v>920</v>
      </c>
      <c r="B48" s="39">
        <v>50.0</v>
      </c>
    </row>
    <row r="49">
      <c r="A49" s="38" t="s">
        <v>921</v>
      </c>
      <c r="B49" s="39">
        <v>50.0</v>
      </c>
    </row>
    <row r="50">
      <c r="A50" s="38" t="s">
        <v>922</v>
      </c>
      <c r="B50" s="39">
        <v>50.0</v>
      </c>
    </row>
    <row r="51">
      <c r="A51" s="38" t="s">
        <v>923</v>
      </c>
      <c r="B51" s="41">
        <v>61.0</v>
      </c>
    </row>
    <row r="52">
      <c r="A52" s="38" t="s">
        <v>924</v>
      </c>
      <c r="B52" s="39">
        <v>12.0</v>
      </c>
    </row>
    <row r="53">
      <c r="A53" s="38" t="s">
        <v>925</v>
      </c>
      <c r="B53" s="39">
        <v>19.0</v>
      </c>
    </row>
    <row r="54">
      <c r="A54" s="38" t="s">
        <v>926</v>
      </c>
      <c r="B54" s="39">
        <v>10.0</v>
      </c>
    </row>
    <row r="55">
      <c r="A55" s="38" t="s">
        <v>927</v>
      </c>
      <c r="B55" s="39">
        <v>24.0</v>
      </c>
    </row>
    <row r="56">
      <c r="A56" s="38" t="s">
        <v>928</v>
      </c>
      <c r="B56" s="39">
        <v>50.0</v>
      </c>
    </row>
    <row r="57">
      <c r="A57" s="38" t="s">
        <v>929</v>
      </c>
      <c r="B57" s="39">
        <v>0.0</v>
      </c>
    </row>
    <row r="58">
      <c r="A58" s="38" t="s">
        <v>930</v>
      </c>
      <c r="B58" s="39">
        <v>19.0</v>
      </c>
    </row>
    <row r="59">
      <c r="A59" s="38" t="s">
        <v>931</v>
      </c>
      <c r="B59" s="39">
        <v>40.0</v>
      </c>
    </row>
    <row r="60">
      <c r="A60" s="38" t="s">
        <v>932</v>
      </c>
      <c r="B60" s="39">
        <v>50.0</v>
      </c>
    </row>
    <row r="61">
      <c r="A61" s="38" t="s">
        <v>933</v>
      </c>
      <c r="B61" s="39">
        <v>50.0</v>
      </c>
    </row>
    <row r="62">
      <c r="A62" s="38" t="s">
        <v>934</v>
      </c>
      <c r="B62" s="39">
        <v>13.0</v>
      </c>
    </row>
    <row r="63">
      <c r="A63" s="38" t="s">
        <v>935</v>
      </c>
      <c r="B63" s="39">
        <v>0.0</v>
      </c>
    </row>
    <row r="64">
      <c r="A64" s="38" t="s">
        <v>936</v>
      </c>
      <c r="B64" s="39">
        <v>50.0</v>
      </c>
    </row>
    <row r="65">
      <c r="A65" s="38" t="s">
        <v>937</v>
      </c>
      <c r="B65" s="39">
        <v>20.0</v>
      </c>
    </row>
    <row r="66">
      <c r="A66" s="38" t="s">
        <v>938</v>
      </c>
      <c r="B66" s="39">
        <v>50.0</v>
      </c>
    </row>
    <row r="67">
      <c r="A67" s="38" t="s">
        <v>939</v>
      </c>
      <c r="B67" s="39">
        <v>25.0</v>
      </c>
    </row>
    <row r="68">
      <c r="A68" s="38" t="s">
        <v>940</v>
      </c>
      <c r="B68" s="39">
        <v>25.0</v>
      </c>
    </row>
    <row r="69">
      <c r="A69" s="38" t="s">
        <v>941</v>
      </c>
      <c r="B69" s="39">
        <v>50.0</v>
      </c>
    </row>
    <row r="70">
      <c r="A70" s="38" t="s">
        <v>942</v>
      </c>
      <c r="B70" s="39">
        <v>16.0</v>
      </c>
    </row>
    <row r="71">
      <c r="A71" s="38" t="s">
        <v>943</v>
      </c>
      <c r="B71" s="39">
        <v>44.0</v>
      </c>
    </row>
    <row r="72">
      <c r="A72" s="38" t="s">
        <v>944</v>
      </c>
      <c r="B72" s="39">
        <v>50.0</v>
      </c>
    </row>
    <row r="73">
      <c r="A73" s="38" t="s">
        <v>945</v>
      </c>
      <c r="B73" s="39">
        <v>8.0</v>
      </c>
    </row>
    <row r="74">
      <c r="A74" s="38" t="s">
        <v>947</v>
      </c>
      <c r="B74" s="39">
        <v>50.0</v>
      </c>
    </row>
    <row r="75">
      <c r="A75" s="38" t="s">
        <v>948</v>
      </c>
      <c r="B75" s="39">
        <v>50.0</v>
      </c>
    </row>
    <row r="76">
      <c r="A76" s="38" t="s">
        <v>949</v>
      </c>
      <c r="B76" s="39">
        <v>50.0</v>
      </c>
    </row>
    <row r="77">
      <c r="A77" s="38" t="s">
        <v>950</v>
      </c>
      <c r="B77" s="39">
        <v>44.0</v>
      </c>
    </row>
    <row r="78">
      <c r="A78" s="38" t="s">
        <v>951</v>
      </c>
      <c r="B78" s="39">
        <v>15.0</v>
      </c>
    </row>
    <row r="79">
      <c r="A79" s="38" t="s">
        <v>952</v>
      </c>
      <c r="B79" s="39">
        <v>21.0</v>
      </c>
    </row>
    <row r="80">
      <c r="A80" s="38" t="s">
        <v>953</v>
      </c>
      <c r="B80" s="39">
        <v>20.0</v>
      </c>
    </row>
    <row r="81">
      <c r="A81" s="38" t="s">
        <v>954</v>
      </c>
      <c r="B81" s="39">
        <v>30.0</v>
      </c>
    </row>
    <row r="82">
      <c r="A82" s="38" t="s">
        <v>955</v>
      </c>
      <c r="B82" s="39">
        <v>24.0</v>
      </c>
    </row>
    <row r="83">
      <c r="A83" s="38" t="s">
        <v>956</v>
      </c>
      <c r="B83" s="39">
        <v>19.0</v>
      </c>
    </row>
    <row r="84">
      <c r="A84" s="38" t="s">
        <v>957</v>
      </c>
      <c r="B84" s="39">
        <v>31.0</v>
      </c>
    </row>
    <row r="85">
      <c r="A85" s="38" t="s">
        <v>959</v>
      </c>
      <c r="B85" s="39">
        <v>50.0</v>
      </c>
    </row>
    <row r="86">
      <c r="A86" s="38" t="s">
        <v>960</v>
      </c>
      <c r="B86" s="39">
        <v>12.0</v>
      </c>
    </row>
    <row r="87">
      <c r="A87" s="38" t="s">
        <v>961</v>
      </c>
      <c r="B87" s="39">
        <v>50.0</v>
      </c>
    </row>
    <row r="88">
      <c r="A88" s="38" t="s">
        <v>962</v>
      </c>
      <c r="B88" s="39">
        <v>50.0</v>
      </c>
    </row>
    <row r="89">
      <c r="A89" s="38" t="s">
        <v>963</v>
      </c>
      <c r="B89" s="39">
        <v>50.0</v>
      </c>
    </row>
    <row r="90">
      <c r="A90" s="38" t="s">
        <v>964</v>
      </c>
      <c r="B90" s="39">
        <v>33.0</v>
      </c>
    </row>
    <row r="91">
      <c r="A91" s="38" t="s">
        <v>965</v>
      </c>
      <c r="B91" s="39">
        <v>42.0</v>
      </c>
    </row>
    <row r="92">
      <c r="A92" s="38" t="s">
        <v>966</v>
      </c>
      <c r="B92" s="39">
        <v>50.0</v>
      </c>
    </row>
    <row r="93">
      <c r="A93" s="38" t="s">
        <v>967</v>
      </c>
      <c r="B93" s="41">
        <v>51.0</v>
      </c>
    </row>
    <row r="94">
      <c r="A94" s="38" t="s">
        <v>968</v>
      </c>
      <c r="B94" s="39">
        <v>50.0</v>
      </c>
    </row>
    <row r="95">
      <c r="A95" s="38" t="s">
        <v>969</v>
      </c>
      <c r="B95" s="39">
        <v>50.0</v>
      </c>
    </row>
    <row r="96">
      <c r="A96" s="38" t="s">
        <v>970</v>
      </c>
      <c r="B96" s="39">
        <v>50.0</v>
      </c>
    </row>
    <row r="97">
      <c r="A97" s="38" t="s">
        <v>971</v>
      </c>
      <c r="B97" s="41">
        <v>57.0</v>
      </c>
    </row>
    <row r="98">
      <c r="A98" s="38" t="s">
        <v>972</v>
      </c>
      <c r="B98" s="41">
        <v>61.0</v>
      </c>
    </row>
    <row r="99">
      <c r="A99" s="38" t="s">
        <v>973</v>
      </c>
      <c r="B99" s="39">
        <v>0.0</v>
      </c>
    </row>
    <row r="100">
      <c r="A100" s="38" t="s">
        <v>974</v>
      </c>
      <c r="B100" s="39">
        <v>19.0</v>
      </c>
    </row>
    <row r="101">
      <c r="A101" s="38" t="s">
        <v>975</v>
      </c>
      <c r="B101" s="39">
        <v>31.0</v>
      </c>
    </row>
    <row r="102">
      <c r="A102" s="38" t="s">
        <v>976</v>
      </c>
      <c r="B102" s="41">
        <v>51.0</v>
      </c>
    </row>
    <row r="103">
      <c r="A103" s="38" t="s">
        <v>977</v>
      </c>
      <c r="B103" s="41">
        <v>74.0</v>
      </c>
    </row>
    <row r="104">
      <c r="A104" s="38" t="s">
        <v>978</v>
      </c>
      <c r="B104" s="39">
        <v>50.0</v>
      </c>
    </row>
    <row r="105">
      <c r="A105" s="38" t="s">
        <v>979</v>
      </c>
      <c r="B105" s="39">
        <v>21.0</v>
      </c>
    </row>
    <row r="106">
      <c r="A106" s="38" t="s">
        <v>980</v>
      </c>
      <c r="B106" s="39">
        <v>10.0</v>
      </c>
    </row>
    <row r="107">
      <c r="A107" s="38" t="s">
        <v>981</v>
      </c>
      <c r="B107" s="39">
        <v>50.0</v>
      </c>
    </row>
    <row r="108">
      <c r="A108" s="38" t="s">
        <v>982</v>
      </c>
      <c r="B108" s="39">
        <v>13.0</v>
      </c>
    </row>
    <row r="109">
      <c r="A109" s="38" t="s">
        <v>983</v>
      </c>
      <c r="B109" s="39">
        <v>44.0</v>
      </c>
    </row>
    <row r="110">
      <c r="A110" s="38" t="s">
        <v>984</v>
      </c>
      <c r="B110" s="39">
        <v>50.0</v>
      </c>
    </row>
    <row r="111">
      <c r="A111" s="38" t="s">
        <v>985</v>
      </c>
      <c r="B111" s="39">
        <v>22.0</v>
      </c>
    </row>
    <row r="112">
      <c r="A112" s="38" t="s">
        <v>986</v>
      </c>
      <c r="B112" s="39">
        <v>0.0</v>
      </c>
    </row>
    <row r="113">
      <c r="A113" s="38" t="s">
        <v>987</v>
      </c>
      <c r="B113" s="39">
        <v>25.0</v>
      </c>
    </row>
    <row r="114">
      <c r="A114" s="38" t="s">
        <v>988</v>
      </c>
      <c r="B114" s="39">
        <v>16.0</v>
      </c>
    </row>
    <row r="115">
      <c r="A115" s="38" t="s">
        <v>989</v>
      </c>
      <c r="B115" s="41">
        <v>50.0</v>
      </c>
    </row>
    <row r="116">
      <c r="A116" s="38" t="s">
        <v>990</v>
      </c>
      <c r="B116" s="41">
        <v>56.0</v>
      </c>
    </row>
    <row r="117">
      <c r="A117" s="38" t="s">
        <v>991</v>
      </c>
      <c r="B117" s="39">
        <v>50.0</v>
      </c>
    </row>
    <row r="118">
      <c r="A118" s="38" t="s">
        <v>992</v>
      </c>
      <c r="B118" s="39">
        <v>0.0</v>
      </c>
    </row>
    <row r="119">
      <c r="A119" s="38" t="s">
        <v>993</v>
      </c>
      <c r="B119" s="41">
        <v>52.0</v>
      </c>
    </row>
    <row r="120">
      <c r="A120" s="38" t="s">
        <v>994</v>
      </c>
      <c r="B120" s="41">
        <v>55.0</v>
      </c>
    </row>
    <row r="121">
      <c r="A121" s="38" t="s">
        <v>995</v>
      </c>
      <c r="B121" s="39">
        <v>4.0</v>
      </c>
    </row>
    <row r="122">
      <c r="A122" s="38" t="s">
        <v>996</v>
      </c>
      <c r="B122" s="41">
        <v>50.0</v>
      </c>
    </row>
    <row r="123">
      <c r="A123" s="38" t="s">
        <v>997</v>
      </c>
      <c r="B123" s="39">
        <v>11.0</v>
      </c>
    </row>
    <row r="124">
      <c r="A124" s="38" t="s">
        <v>998</v>
      </c>
      <c r="B124" s="39">
        <v>37.0</v>
      </c>
    </row>
    <row r="125">
      <c r="A125" s="38" t="s">
        <v>999</v>
      </c>
      <c r="B125" s="41">
        <v>61.0</v>
      </c>
    </row>
    <row r="126">
      <c r="A126" s="38" t="s">
        <v>1000</v>
      </c>
      <c r="B126" s="41">
        <v>65.0</v>
      </c>
    </row>
    <row r="127">
      <c r="A127" s="38" t="s">
        <v>1001</v>
      </c>
      <c r="B127" s="39">
        <v>12.0</v>
      </c>
    </row>
    <row r="128">
      <c r="A128" s="38" t="s">
        <v>1002</v>
      </c>
      <c r="B128" s="39">
        <v>50.0</v>
      </c>
    </row>
    <row r="129">
      <c r="A129" s="38" t="s">
        <v>1003</v>
      </c>
      <c r="B129" s="39">
        <v>24.0</v>
      </c>
    </row>
    <row r="130">
      <c r="A130" s="38" t="s">
        <v>1004</v>
      </c>
      <c r="B130" s="39">
        <v>33.0</v>
      </c>
    </row>
    <row r="131">
      <c r="A131" s="38" t="s">
        <v>1005</v>
      </c>
      <c r="B131" s="39">
        <v>0.0</v>
      </c>
    </row>
    <row r="132">
      <c r="A132" s="38" t="s">
        <v>1006</v>
      </c>
      <c r="B132" s="39">
        <v>30.0</v>
      </c>
    </row>
    <row r="133">
      <c r="A133" s="38" t="s">
        <v>1007</v>
      </c>
      <c r="B133" s="39">
        <v>13.0</v>
      </c>
    </row>
    <row r="134">
      <c r="A134" s="38" t="s">
        <v>1008</v>
      </c>
      <c r="B134" s="39">
        <v>29.0</v>
      </c>
    </row>
    <row r="135">
      <c r="A135" s="38" t="s">
        <v>1009</v>
      </c>
      <c r="B135" s="39">
        <v>0.0</v>
      </c>
    </row>
    <row r="136">
      <c r="A136" s="38" t="s">
        <v>1010</v>
      </c>
      <c r="B136" s="39">
        <v>44.0</v>
      </c>
    </row>
    <row r="137">
      <c r="A137" s="38" t="s">
        <v>1011</v>
      </c>
      <c r="B137" s="39">
        <v>25.0</v>
      </c>
    </row>
    <row r="138">
      <c r="A138" s="38" t="s">
        <v>1012</v>
      </c>
      <c r="B138" s="39">
        <v>50.0</v>
      </c>
    </row>
    <row r="139">
      <c r="A139" s="38" t="s">
        <v>1013</v>
      </c>
      <c r="B139" s="39">
        <v>50.0</v>
      </c>
    </row>
    <row r="140">
      <c r="A140" s="38" t="s">
        <v>1014</v>
      </c>
      <c r="B140" s="39">
        <v>50.0</v>
      </c>
    </row>
    <row r="141">
      <c r="A141" s="38" t="s">
        <v>1015</v>
      </c>
      <c r="B141" s="39">
        <v>21.0</v>
      </c>
    </row>
    <row r="142">
      <c r="A142" s="38" t="s">
        <v>1016</v>
      </c>
      <c r="B142" s="39">
        <v>50.0</v>
      </c>
    </row>
    <row r="143">
      <c r="A143" s="38" t="s">
        <v>1017</v>
      </c>
      <c r="B143" s="39">
        <v>20.0</v>
      </c>
    </row>
    <row r="144">
      <c r="A144" s="38" t="s">
        <v>1018</v>
      </c>
      <c r="B144" s="39">
        <v>50.0</v>
      </c>
    </row>
    <row r="145">
      <c r="A145" s="38" t="s">
        <v>1019</v>
      </c>
      <c r="B145" s="39">
        <v>50.0</v>
      </c>
    </row>
    <row r="146">
      <c r="A146" s="38" t="s">
        <v>1020</v>
      </c>
      <c r="B146" s="39">
        <v>50.0</v>
      </c>
    </row>
    <row r="147">
      <c r="A147" s="38" t="s">
        <v>1021</v>
      </c>
      <c r="B147" s="39">
        <v>15.0</v>
      </c>
    </row>
    <row r="148">
      <c r="A148" s="38" t="s">
        <v>1022</v>
      </c>
      <c r="B148" s="39">
        <v>50.0</v>
      </c>
    </row>
    <row r="149">
      <c r="A149" s="38" t="s">
        <v>1023</v>
      </c>
      <c r="B149" s="39">
        <v>17.0</v>
      </c>
    </row>
    <row r="150">
      <c r="A150" s="38" t="s">
        <v>1024</v>
      </c>
      <c r="B150" s="39">
        <v>10.0</v>
      </c>
    </row>
    <row r="151">
      <c r="A151" s="38" t="s">
        <v>1025</v>
      </c>
      <c r="B151" s="39">
        <v>35.0</v>
      </c>
    </row>
    <row r="152">
      <c r="A152" s="38" t="s">
        <v>1026</v>
      </c>
      <c r="B152" s="39">
        <v>24.0</v>
      </c>
    </row>
    <row r="153">
      <c r="A153" s="38" t="s">
        <v>1347</v>
      </c>
      <c r="B153" s="39">
        <v>50.0</v>
      </c>
    </row>
    <row r="154">
      <c r="A154" s="38" t="s">
        <v>1039</v>
      </c>
      <c r="B154" s="39">
        <v>50.0</v>
      </c>
    </row>
    <row r="155">
      <c r="A155" s="38" t="s">
        <v>1040</v>
      </c>
      <c r="B155" s="39">
        <v>50.0</v>
      </c>
    </row>
    <row r="156">
      <c r="A156" s="38" t="s">
        <v>1041</v>
      </c>
      <c r="B156" s="41">
        <v>50.0</v>
      </c>
    </row>
    <row r="157">
      <c r="A157" s="38" t="s">
        <v>1042</v>
      </c>
      <c r="B157" s="39">
        <v>50.0</v>
      </c>
    </row>
    <row r="158">
      <c r="A158" s="38" t="s">
        <v>1043</v>
      </c>
      <c r="B158" s="39">
        <v>50.0</v>
      </c>
    </row>
    <row r="159">
      <c r="A159" s="38" t="s">
        <v>1044</v>
      </c>
      <c r="B159" s="39">
        <v>13.0</v>
      </c>
    </row>
    <row r="160">
      <c r="A160" s="38" t="s">
        <v>1045</v>
      </c>
      <c r="B160" s="42">
        <v>18.0</v>
      </c>
    </row>
    <row r="161">
      <c r="A161" s="38" t="s">
        <v>1046</v>
      </c>
      <c r="B161" s="39">
        <v>50.0</v>
      </c>
    </row>
    <row r="162">
      <c r="A162" s="38" t="s">
        <v>1047</v>
      </c>
      <c r="B162" s="39">
        <v>50.0</v>
      </c>
    </row>
    <row r="163">
      <c r="A163" s="38" t="s">
        <v>1048</v>
      </c>
      <c r="B163" s="39">
        <v>0.0</v>
      </c>
    </row>
    <row r="164">
      <c r="A164" s="38" t="s">
        <v>1049</v>
      </c>
      <c r="B164" s="39">
        <v>50.0</v>
      </c>
    </row>
    <row r="165">
      <c r="A165" s="38" t="s">
        <v>1050</v>
      </c>
      <c r="B165" s="39">
        <v>15.0</v>
      </c>
    </row>
    <row r="166">
      <c r="A166" s="38" t="s">
        <v>1051</v>
      </c>
      <c r="B166" s="39">
        <v>50.0</v>
      </c>
    </row>
    <row r="167">
      <c r="A167" s="38" t="s">
        <v>1052</v>
      </c>
      <c r="B167" s="39">
        <v>50.0</v>
      </c>
    </row>
    <row r="168">
      <c r="A168" s="38" t="s">
        <v>1053</v>
      </c>
      <c r="B168" s="39">
        <v>50.0</v>
      </c>
    </row>
    <row r="169">
      <c r="A169" s="38" t="s">
        <v>1054</v>
      </c>
      <c r="B169" s="39">
        <v>10.0</v>
      </c>
    </row>
    <row r="170">
      <c r="A170" s="38" t="s">
        <v>1055</v>
      </c>
      <c r="B170" s="39">
        <v>50.0</v>
      </c>
    </row>
    <row r="171">
      <c r="A171" s="38" t="s">
        <v>1056</v>
      </c>
      <c r="B171" s="39">
        <v>1.0</v>
      </c>
    </row>
    <row r="172">
      <c r="A172" s="38" t="s">
        <v>1057</v>
      </c>
      <c r="B172" s="39">
        <v>50.0</v>
      </c>
    </row>
    <row r="173">
      <c r="A173" s="38" t="s">
        <v>1058</v>
      </c>
      <c r="B173" s="39">
        <v>50.0</v>
      </c>
    </row>
    <row r="174">
      <c r="A174" s="38" t="s">
        <v>1059</v>
      </c>
      <c r="B174" s="39">
        <v>18.0</v>
      </c>
    </row>
    <row r="175">
      <c r="A175" s="38" t="s">
        <v>1060</v>
      </c>
      <c r="B175" s="41">
        <v>51.0</v>
      </c>
    </row>
    <row r="176">
      <c r="A176" s="38" t="s">
        <v>1061</v>
      </c>
      <c r="B176" s="41">
        <v>54.0</v>
      </c>
    </row>
    <row r="177">
      <c r="A177" s="38" t="s">
        <v>1063</v>
      </c>
      <c r="B177" s="41">
        <v>61.0</v>
      </c>
    </row>
    <row r="178">
      <c r="A178" s="38" t="s">
        <v>1064</v>
      </c>
      <c r="B178" s="39">
        <v>0.0</v>
      </c>
    </row>
    <row r="179">
      <c r="A179" s="38" t="s">
        <v>1065</v>
      </c>
      <c r="B179" s="39">
        <v>22.0</v>
      </c>
    </row>
    <row r="180">
      <c r="A180" s="38" t="s">
        <v>1066</v>
      </c>
      <c r="B180" s="39">
        <v>50.0</v>
      </c>
    </row>
    <row r="181">
      <c r="A181" s="38" t="s">
        <v>1067</v>
      </c>
      <c r="B181" s="39">
        <v>50.0</v>
      </c>
    </row>
    <row r="182">
      <c r="A182" s="38" t="s">
        <v>1068</v>
      </c>
      <c r="B182" s="39">
        <v>50.0</v>
      </c>
    </row>
    <row r="183">
      <c r="A183" s="38" t="s">
        <v>1069</v>
      </c>
      <c r="B183" s="39">
        <v>50.0</v>
      </c>
    </row>
    <row r="184">
      <c r="A184" s="38" t="s">
        <v>1070</v>
      </c>
      <c r="B184" s="39">
        <v>42.0</v>
      </c>
    </row>
    <row r="185">
      <c r="A185" s="38" t="s">
        <v>1071</v>
      </c>
      <c r="B185" s="39">
        <v>50.0</v>
      </c>
    </row>
    <row r="186">
      <c r="A186" s="38" t="s">
        <v>1072</v>
      </c>
      <c r="B186" s="39">
        <v>6.0</v>
      </c>
    </row>
    <row r="187">
      <c r="A187" s="38" t="s">
        <v>1073</v>
      </c>
      <c r="B187" s="39">
        <v>0.0</v>
      </c>
    </row>
    <row r="188">
      <c r="A188" s="38" t="s">
        <v>1074</v>
      </c>
      <c r="B188" s="39">
        <v>50.0</v>
      </c>
    </row>
    <row r="189">
      <c r="A189" s="38" t="s">
        <v>1075</v>
      </c>
      <c r="B189" s="39">
        <v>2.0</v>
      </c>
    </row>
    <row r="190">
      <c r="A190" s="38" t="s">
        <v>1076</v>
      </c>
      <c r="B190" s="39">
        <v>50.0</v>
      </c>
    </row>
    <row r="191">
      <c r="A191" s="38" t="s">
        <v>1077</v>
      </c>
      <c r="B191" s="39">
        <v>0.0</v>
      </c>
    </row>
    <row r="192">
      <c r="A192" s="38" t="s">
        <v>1078</v>
      </c>
      <c r="B192" s="39">
        <v>11.0</v>
      </c>
    </row>
    <row r="193">
      <c r="A193" s="38" t="s">
        <v>1079</v>
      </c>
      <c r="B193" s="39">
        <v>50.0</v>
      </c>
    </row>
    <row r="194">
      <c r="A194" s="38" t="s">
        <v>1080</v>
      </c>
      <c r="B194" s="39">
        <v>11.0</v>
      </c>
    </row>
    <row r="195">
      <c r="A195" s="38" t="s">
        <v>1081</v>
      </c>
      <c r="B195" s="39">
        <v>50.0</v>
      </c>
    </row>
    <row r="196">
      <c r="A196" s="38" t="s">
        <v>1082</v>
      </c>
      <c r="B196" s="39">
        <v>50.0</v>
      </c>
    </row>
    <row r="197">
      <c r="A197" s="38" t="s">
        <v>1083</v>
      </c>
      <c r="B197" s="39">
        <v>25.0</v>
      </c>
    </row>
    <row r="198">
      <c r="A198" s="38" t="s">
        <v>1084</v>
      </c>
      <c r="B198" s="39">
        <v>21.0</v>
      </c>
    </row>
    <row r="199">
      <c r="A199" s="38" t="s">
        <v>1085</v>
      </c>
      <c r="B199" s="39">
        <v>21.0</v>
      </c>
    </row>
    <row r="200">
      <c r="A200" s="38" t="s">
        <v>1086</v>
      </c>
      <c r="B200" s="39">
        <v>50.0</v>
      </c>
    </row>
    <row r="201">
      <c r="A201" s="38" t="s">
        <v>1087</v>
      </c>
      <c r="B201" s="42">
        <v>50.0</v>
      </c>
    </row>
    <row r="202">
      <c r="A202" s="38" t="s">
        <v>1089</v>
      </c>
      <c r="B202" s="39">
        <v>50.0</v>
      </c>
    </row>
    <row r="203">
      <c r="A203" s="38" t="s">
        <v>1090</v>
      </c>
      <c r="B203" s="39">
        <v>17.0</v>
      </c>
    </row>
    <row r="204">
      <c r="A204" s="38" t="s">
        <v>1091</v>
      </c>
      <c r="B204" s="39">
        <v>50.0</v>
      </c>
    </row>
    <row r="205">
      <c r="A205" s="38" t="s">
        <v>1092</v>
      </c>
      <c r="B205" s="39">
        <v>4.0</v>
      </c>
    </row>
    <row r="206">
      <c r="A206" s="38" t="s">
        <v>1093</v>
      </c>
      <c r="B206" s="39">
        <v>13.0</v>
      </c>
    </row>
    <row r="207">
      <c r="A207" s="38" t="s">
        <v>1094</v>
      </c>
      <c r="B207" s="39">
        <v>50.0</v>
      </c>
    </row>
    <row r="208">
      <c r="A208" s="38" t="s">
        <v>1095</v>
      </c>
      <c r="B208" s="39">
        <v>0.0</v>
      </c>
    </row>
    <row r="209">
      <c r="A209" s="38" t="s">
        <v>1096</v>
      </c>
      <c r="B209" s="39">
        <v>12.0</v>
      </c>
    </row>
    <row r="210">
      <c r="A210" s="38" t="s">
        <v>1097</v>
      </c>
      <c r="B210" s="39">
        <v>50.0</v>
      </c>
    </row>
    <row r="211">
      <c r="A211" s="38" t="s">
        <v>1098</v>
      </c>
      <c r="B211" s="41">
        <v>53.0</v>
      </c>
    </row>
    <row r="212">
      <c r="A212" s="38" t="s">
        <v>1099</v>
      </c>
      <c r="B212" s="39">
        <v>50.0</v>
      </c>
    </row>
    <row r="213">
      <c r="A213" s="38" t="s">
        <v>1100</v>
      </c>
      <c r="B213" s="39">
        <v>50.0</v>
      </c>
    </row>
    <row r="214">
      <c r="A214" s="38" t="s">
        <v>1101</v>
      </c>
      <c r="B214" s="41">
        <v>50.0</v>
      </c>
    </row>
    <row r="215">
      <c r="A215" s="38" t="s">
        <v>1102</v>
      </c>
      <c r="B215" s="39">
        <v>50.0</v>
      </c>
    </row>
    <row r="216">
      <c r="A216" s="38" t="s">
        <v>1103</v>
      </c>
      <c r="B216" s="39">
        <v>0.0</v>
      </c>
    </row>
    <row r="217">
      <c r="A217" s="38" t="s">
        <v>1104</v>
      </c>
      <c r="B217" s="39">
        <v>40.0</v>
      </c>
    </row>
    <row r="218">
      <c r="A218" s="38" t="s">
        <v>1105</v>
      </c>
      <c r="B218" s="39">
        <v>0.0</v>
      </c>
    </row>
    <row r="219">
      <c r="A219" s="38" t="s">
        <v>1106</v>
      </c>
      <c r="B219" s="39">
        <v>27.0</v>
      </c>
    </row>
    <row r="220">
      <c r="A220" s="38" t="s">
        <v>1107</v>
      </c>
      <c r="B220" s="39">
        <v>50.0</v>
      </c>
    </row>
    <row r="221">
      <c r="A221" s="38" t="s">
        <v>1108</v>
      </c>
      <c r="B221" s="39">
        <v>0.0</v>
      </c>
    </row>
    <row r="222">
      <c r="A222" s="38" t="s">
        <v>1109</v>
      </c>
      <c r="B222" s="39">
        <v>50.0</v>
      </c>
    </row>
    <row r="223">
      <c r="A223" s="38" t="s">
        <v>1110</v>
      </c>
      <c r="B223" s="39">
        <v>50.0</v>
      </c>
    </row>
    <row r="224">
      <c r="A224" s="38" t="s">
        <v>1111</v>
      </c>
      <c r="B224" s="39">
        <v>28.0</v>
      </c>
    </row>
    <row r="225">
      <c r="A225" s="38" t="s">
        <v>1112</v>
      </c>
      <c r="B225" s="39">
        <v>32.0</v>
      </c>
    </row>
    <row r="226">
      <c r="A226" s="38" t="s">
        <v>1113</v>
      </c>
      <c r="B226" s="39">
        <v>50.0</v>
      </c>
    </row>
    <row r="227">
      <c r="A227" s="38" t="s">
        <v>1114</v>
      </c>
      <c r="B227" s="39">
        <v>50.0</v>
      </c>
    </row>
    <row r="228">
      <c r="A228" s="38" t="s">
        <v>1115</v>
      </c>
      <c r="B228" s="39">
        <v>43.0</v>
      </c>
    </row>
    <row r="229">
      <c r="A229" s="38" t="s">
        <v>1116</v>
      </c>
      <c r="B229" s="39">
        <v>28.0</v>
      </c>
    </row>
    <row r="230">
      <c r="A230" s="38" t="s">
        <v>1117</v>
      </c>
      <c r="B230" s="39">
        <v>50.0</v>
      </c>
    </row>
    <row r="231">
      <c r="A231" s="38" t="s">
        <v>1118</v>
      </c>
      <c r="B231" s="39">
        <v>50.0</v>
      </c>
    </row>
    <row r="232">
      <c r="A232" s="38" t="s">
        <v>1119</v>
      </c>
      <c r="B232" s="41">
        <v>54.0</v>
      </c>
    </row>
    <row r="233">
      <c r="A233" s="38" t="s">
        <v>1120</v>
      </c>
      <c r="B233" s="39">
        <v>50.0</v>
      </c>
    </row>
    <row r="234">
      <c r="A234" s="38" t="s">
        <v>1121</v>
      </c>
      <c r="B234" s="39">
        <v>50.0</v>
      </c>
    </row>
    <row r="235">
      <c r="A235" s="38" t="s">
        <v>1122</v>
      </c>
      <c r="B235" s="39">
        <v>50.0</v>
      </c>
    </row>
    <row r="236">
      <c r="A236" s="38" t="s">
        <v>1123</v>
      </c>
      <c r="B236" s="39">
        <v>22.0</v>
      </c>
    </row>
    <row r="237">
      <c r="A237" s="38" t="s">
        <v>1124</v>
      </c>
      <c r="B237" s="39">
        <v>50.0</v>
      </c>
    </row>
    <row r="238">
      <c r="A238" s="43" t="s">
        <v>1125</v>
      </c>
      <c r="B238" s="39">
        <v>10.0</v>
      </c>
    </row>
    <row r="239">
      <c r="A239" s="43" t="s">
        <v>1126</v>
      </c>
      <c r="B239" s="39">
        <v>50.0</v>
      </c>
    </row>
    <row r="240">
      <c r="A240" s="43" t="s">
        <v>1127</v>
      </c>
      <c r="B240" s="39">
        <v>50.0</v>
      </c>
    </row>
    <row r="241">
      <c r="A241" s="43" t="s">
        <v>1128</v>
      </c>
      <c r="B241" s="39">
        <v>31.0</v>
      </c>
    </row>
    <row r="242">
      <c r="A242" s="43" t="s">
        <v>1129</v>
      </c>
      <c r="B242" s="39">
        <v>50.0</v>
      </c>
    </row>
    <row r="243">
      <c r="A243" s="43" t="s">
        <v>1130</v>
      </c>
      <c r="B243" s="39">
        <v>50.0</v>
      </c>
    </row>
    <row r="244">
      <c r="A244" s="43" t="s">
        <v>1131</v>
      </c>
      <c r="B244" s="39">
        <v>50.0</v>
      </c>
    </row>
    <row r="245">
      <c r="A245" s="43" t="s">
        <v>1132</v>
      </c>
      <c r="B245" s="39">
        <v>50.0</v>
      </c>
    </row>
    <row r="246">
      <c r="A246" s="43" t="s">
        <v>1133</v>
      </c>
      <c r="B246" s="39">
        <v>50.0</v>
      </c>
    </row>
    <row r="247">
      <c r="A247" s="43" t="s">
        <v>1134</v>
      </c>
      <c r="B247" s="39">
        <v>19.0</v>
      </c>
    </row>
    <row r="248">
      <c r="A248" s="43" t="s">
        <v>1135</v>
      </c>
      <c r="B248" s="39">
        <v>50.0</v>
      </c>
    </row>
    <row r="249">
      <c r="A249" s="43" t="s">
        <v>1136</v>
      </c>
      <c r="B249" s="39">
        <v>50.0</v>
      </c>
    </row>
    <row r="250">
      <c r="A250" s="43" t="s">
        <v>1137</v>
      </c>
      <c r="B250" s="39">
        <v>50.0</v>
      </c>
    </row>
    <row r="251">
      <c r="A251" s="43" t="s">
        <v>1138</v>
      </c>
      <c r="B251" s="39">
        <v>26.0</v>
      </c>
    </row>
    <row r="252">
      <c r="A252" s="43" t="s">
        <v>1139</v>
      </c>
      <c r="B252" s="39">
        <v>23.0</v>
      </c>
    </row>
    <row r="253">
      <c r="A253" s="43" t="s">
        <v>1141</v>
      </c>
      <c r="B253" s="39">
        <v>50.0</v>
      </c>
    </row>
    <row r="254">
      <c r="A254" s="43" t="s">
        <v>1142</v>
      </c>
      <c r="B254" s="39">
        <v>50.0</v>
      </c>
    </row>
    <row r="255">
      <c r="A255" s="43" t="s">
        <v>1143</v>
      </c>
      <c r="B255" s="41">
        <v>60.0</v>
      </c>
    </row>
    <row r="256">
      <c r="A256" s="43" t="s">
        <v>1144</v>
      </c>
      <c r="B256" s="39">
        <v>13.0</v>
      </c>
    </row>
    <row r="257">
      <c r="A257" s="43" t="s">
        <v>1145</v>
      </c>
      <c r="B257" s="39">
        <v>34.0</v>
      </c>
    </row>
    <row r="258">
      <c r="A258" s="43" t="s">
        <v>1146</v>
      </c>
      <c r="B258" s="39">
        <v>14.0</v>
      </c>
    </row>
    <row r="259">
      <c r="A259" s="43" t="s">
        <v>1147</v>
      </c>
      <c r="B259" s="39">
        <v>19.0</v>
      </c>
    </row>
    <row r="260">
      <c r="A260" s="43" t="s">
        <v>1148</v>
      </c>
      <c r="B260" s="39">
        <v>16.0</v>
      </c>
    </row>
    <row r="261">
      <c r="A261" s="43" t="s">
        <v>1149</v>
      </c>
      <c r="B261" s="39">
        <v>50.0</v>
      </c>
    </row>
    <row r="262">
      <c r="A262" s="43" t="s">
        <v>1150</v>
      </c>
      <c r="B262" s="42">
        <v>50.0</v>
      </c>
    </row>
    <row r="263">
      <c r="A263" s="43" t="s">
        <v>1151</v>
      </c>
      <c r="B263" s="39">
        <v>29.0</v>
      </c>
    </row>
    <row r="264">
      <c r="A264" s="43" t="s">
        <v>1152</v>
      </c>
      <c r="B264" s="39">
        <v>12.0</v>
      </c>
    </row>
    <row r="265">
      <c r="A265" s="43" t="s">
        <v>1153</v>
      </c>
      <c r="B265" s="39">
        <v>35.0</v>
      </c>
    </row>
    <row r="266">
      <c r="A266" s="43" t="s">
        <v>1155</v>
      </c>
      <c r="B266" s="39">
        <v>29.0</v>
      </c>
    </row>
    <row r="267">
      <c r="A267" s="43" t="s">
        <v>1156</v>
      </c>
      <c r="B267" s="39">
        <v>14.0</v>
      </c>
    </row>
    <row r="268">
      <c r="A268" s="43" t="s">
        <v>1157</v>
      </c>
      <c r="B268" s="41">
        <v>65.0</v>
      </c>
    </row>
    <row r="269">
      <c r="A269" s="43" t="s">
        <v>1158</v>
      </c>
      <c r="B269" s="39">
        <v>16.0</v>
      </c>
    </row>
    <row r="270">
      <c r="A270" s="43" t="s">
        <v>1159</v>
      </c>
      <c r="B270" s="39">
        <v>50.0</v>
      </c>
    </row>
    <row r="271">
      <c r="A271" s="43" t="s">
        <v>1160</v>
      </c>
      <c r="B271" s="39">
        <v>12.0</v>
      </c>
    </row>
    <row r="272">
      <c r="A272" s="43" t="s">
        <v>1161</v>
      </c>
      <c r="B272" s="39">
        <v>19.0</v>
      </c>
    </row>
    <row r="273">
      <c r="A273" s="43" t="s">
        <v>1162</v>
      </c>
      <c r="B273" s="39">
        <v>50.0</v>
      </c>
    </row>
    <row r="274">
      <c r="A274" s="43" t="s">
        <v>1164</v>
      </c>
      <c r="B274" s="39">
        <v>50.0</v>
      </c>
    </row>
    <row r="275">
      <c r="A275" s="43" t="s">
        <v>1165</v>
      </c>
      <c r="B275" s="39">
        <v>28.0</v>
      </c>
    </row>
    <row r="276">
      <c r="A276" s="43" t="s">
        <v>1166</v>
      </c>
      <c r="B276" s="39">
        <v>0.0</v>
      </c>
    </row>
    <row r="277">
      <c r="A277" s="43" t="s">
        <v>1167</v>
      </c>
      <c r="B277" s="39">
        <v>50.0</v>
      </c>
    </row>
    <row r="278">
      <c r="A278" s="43" t="s">
        <v>1168</v>
      </c>
      <c r="B278" s="39">
        <v>50.0</v>
      </c>
    </row>
    <row r="279">
      <c r="A279" s="43" t="s">
        <v>1169</v>
      </c>
      <c r="B279" s="41">
        <v>51.0</v>
      </c>
    </row>
    <row r="280">
      <c r="A280" s="43" t="s">
        <v>1170</v>
      </c>
      <c r="B280" s="39">
        <v>50.0</v>
      </c>
    </row>
    <row r="281">
      <c r="A281" s="43" t="s">
        <v>1171</v>
      </c>
      <c r="B281" s="39">
        <v>50.0</v>
      </c>
    </row>
    <row r="282">
      <c r="A282" s="43" t="s">
        <v>1172</v>
      </c>
      <c r="B282" s="39">
        <v>7.0</v>
      </c>
    </row>
    <row r="283">
      <c r="A283" s="43" t="s">
        <v>1173</v>
      </c>
      <c r="B283" s="39">
        <v>50.0</v>
      </c>
    </row>
    <row r="284">
      <c r="A284" s="43" t="s">
        <v>1174</v>
      </c>
      <c r="B284" s="39">
        <v>50.0</v>
      </c>
    </row>
    <row r="285">
      <c r="A285" s="43" t="s">
        <v>1175</v>
      </c>
      <c r="B285" s="39">
        <v>50.0</v>
      </c>
    </row>
    <row r="286">
      <c r="A286" s="43" t="s">
        <v>1176</v>
      </c>
      <c r="B286" s="39">
        <v>16.0</v>
      </c>
    </row>
    <row r="287">
      <c r="A287" s="43" t="s">
        <v>1177</v>
      </c>
      <c r="B287" s="39">
        <v>12.0</v>
      </c>
    </row>
    <row r="288">
      <c r="A288" s="43" t="s">
        <v>1178</v>
      </c>
      <c r="B288" s="39">
        <v>5.0</v>
      </c>
    </row>
    <row r="289">
      <c r="A289" s="43" t="s">
        <v>1179</v>
      </c>
      <c r="B289" s="39">
        <v>50.0</v>
      </c>
    </row>
    <row r="290">
      <c r="A290" s="43" t="s">
        <v>1180</v>
      </c>
      <c r="B290" s="39">
        <v>6.0</v>
      </c>
    </row>
    <row r="291">
      <c r="A291" s="43" t="s">
        <v>1181</v>
      </c>
      <c r="B291" s="39">
        <v>39.0</v>
      </c>
    </row>
    <row r="292">
      <c r="A292" s="43" t="s">
        <v>1196</v>
      </c>
      <c r="B292" s="39">
        <v>50.0</v>
      </c>
    </row>
    <row r="293">
      <c r="A293" s="43" t="s">
        <v>1197</v>
      </c>
      <c r="B293" s="39">
        <v>50.0</v>
      </c>
    </row>
    <row r="294">
      <c r="A294" s="43" t="s">
        <v>1198</v>
      </c>
      <c r="B294" s="39">
        <v>22.0</v>
      </c>
    </row>
    <row r="295">
      <c r="A295" s="43" t="s">
        <v>1199</v>
      </c>
      <c r="B295" s="41">
        <v>57.0</v>
      </c>
    </row>
    <row r="296">
      <c r="A296" s="43" t="s">
        <v>1200</v>
      </c>
      <c r="B296" s="39">
        <v>25.0</v>
      </c>
    </row>
    <row r="297">
      <c r="A297" s="43" t="s">
        <v>1201</v>
      </c>
      <c r="B297" s="41">
        <v>50.0</v>
      </c>
    </row>
    <row r="298">
      <c r="A298" s="43" t="s">
        <v>1202</v>
      </c>
      <c r="B298" s="39">
        <v>35.0</v>
      </c>
    </row>
    <row r="299">
      <c r="A299" s="43" t="s">
        <v>1203</v>
      </c>
      <c r="B299" s="41">
        <v>57.0</v>
      </c>
    </row>
    <row r="300">
      <c r="A300" s="43" t="s">
        <v>1204</v>
      </c>
      <c r="B300" s="41">
        <v>54.0</v>
      </c>
    </row>
    <row r="301">
      <c r="A301" s="43" t="s">
        <v>1205</v>
      </c>
      <c r="B301" s="41">
        <v>52.0</v>
      </c>
    </row>
    <row r="302">
      <c r="A302" s="43" t="s">
        <v>1206</v>
      </c>
      <c r="B302" s="39">
        <v>50.0</v>
      </c>
    </row>
    <row r="303">
      <c r="A303" s="43" t="s">
        <v>1207</v>
      </c>
      <c r="B303" s="39">
        <v>1.0</v>
      </c>
    </row>
    <row r="304">
      <c r="A304" s="43" t="s">
        <v>1208</v>
      </c>
      <c r="B304" s="39">
        <v>0.0</v>
      </c>
    </row>
    <row r="305">
      <c r="A305" s="43" t="s">
        <v>1209</v>
      </c>
      <c r="B305" s="39">
        <v>50.0</v>
      </c>
    </row>
    <row r="306">
      <c r="A306" s="43" t="s">
        <v>1210</v>
      </c>
      <c r="B306" s="41">
        <v>53.0</v>
      </c>
    </row>
    <row r="307">
      <c r="A307" s="43" t="s">
        <v>1211</v>
      </c>
      <c r="B307" s="41">
        <v>53.0</v>
      </c>
    </row>
    <row r="308">
      <c r="A308" s="43" t="s">
        <v>1212</v>
      </c>
      <c r="B308" s="39">
        <v>50.0</v>
      </c>
    </row>
    <row r="309">
      <c r="A309" s="43" t="s">
        <v>1213</v>
      </c>
      <c r="B309" s="39">
        <v>0.0</v>
      </c>
    </row>
    <row r="310">
      <c r="A310" s="43" t="s">
        <v>1214</v>
      </c>
      <c r="B310" s="39">
        <v>50.0</v>
      </c>
    </row>
    <row r="311">
      <c r="A311" s="43" t="s">
        <v>1215</v>
      </c>
      <c r="B311" s="41">
        <v>52.0</v>
      </c>
    </row>
    <row r="312">
      <c r="A312" s="43" t="s">
        <v>1216</v>
      </c>
      <c r="B312" s="39">
        <v>19.0</v>
      </c>
    </row>
    <row r="313">
      <c r="A313" s="43" t="s">
        <v>1218</v>
      </c>
      <c r="B313" s="39">
        <v>34.0</v>
      </c>
    </row>
    <row r="314">
      <c r="A314" s="43" t="s">
        <v>1219</v>
      </c>
      <c r="B314" s="39">
        <v>17.0</v>
      </c>
    </row>
    <row r="315">
      <c r="A315" s="43" t="s">
        <v>1220</v>
      </c>
      <c r="B315" s="41">
        <v>55.0</v>
      </c>
    </row>
    <row r="316">
      <c r="A316" s="43" t="s">
        <v>1221</v>
      </c>
      <c r="B316" s="39">
        <v>50.0</v>
      </c>
    </row>
    <row r="317">
      <c r="A317" s="43" t="s">
        <v>1222</v>
      </c>
      <c r="B317" s="39">
        <v>50.0</v>
      </c>
    </row>
    <row r="318">
      <c r="A318" s="43" t="s">
        <v>1223</v>
      </c>
      <c r="B318" s="39">
        <v>50.0</v>
      </c>
    </row>
    <row r="319">
      <c r="A319" s="43" t="s">
        <v>1224</v>
      </c>
      <c r="B319" s="41">
        <v>58.0</v>
      </c>
    </row>
    <row r="320">
      <c r="A320" s="43" t="s">
        <v>1225</v>
      </c>
      <c r="B320" s="39">
        <v>50.0</v>
      </c>
    </row>
    <row r="321">
      <c r="A321" s="43" t="s">
        <v>1226</v>
      </c>
      <c r="B321" s="39">
        <v>50.0</v>
      </c>
    </row>
    <row r="322">
      <c r="A322" s="43" t="s">
        <v>1228</v>
      </c>
      <c r="B322" s="39">
        <v>50.0</v>
      </c>
    </row>
    <row r="323">
      <c r="A323" s="43" t="s">
        <v>1229</v>
      </c>
      <c r="B323" s="39">
        <v>17.0</v>
      </c>
    </row>
    <row r="324">
      <c r="A324" s="43" t="s">
        <v>1230</v>
      </c>
      <c r="B324" s="39">
        <v>50.0</v>
      </c>
    </row>
    <row r="325">
      <c r="A325" s="43" t="s">
        <v>1231</v>
      </c>
      <c r="B325" s="41">
        <v>51.0</v>
      </c>
    </row>
    <row r="326">
      <c r="A326" s="43" t="s">
        <v>1232</v>
      </c>
      <c r="B326" s="41">
        <v>59.0</v>
      </c>
    </row>
    <row r="327">
      <c r="A327" s="43" t="s">
        <v>1233</v>
      </c>
      <c r="B327" s="41">
        <v>52.0</v>
      </c>
    </row>
    <row r="328">
      <c r="A328" s="43" t="s">
        <v>1234</v>
      </c>
      <c r="B328" s="41">
        <v>50.0</v>
      </c>
    </row>
    <row r="329">
      <c r="A329" s="43" t="s">
        <v>1235</v>
      </c>
      <c r="B329" s="39">
        <v>6.0</v>
      </c>
    </row>
    <row r="330">
      <c r="A330" s="43" t="s">
        <v>1236</v>
      </c>
      <c r="B330" s="39">
        <v>50.0</v>
      </c>
    </row>
    <row r="331">
      <c r="A331" s="43" t="s">
        <v>1237</v>
      </c>
      <c r="B331" s="39">
        <v>25.0</v>
      </c>
    </row>
    <row r="332">
      <c r="A332" s="43" t="s">
        <v>1238</v>
      </c>
      <c r="B332" s="39">
        <v>23.0</v>
      </c>
    </row>
    <row r="333">
      <c r="A333" s="43" t="s">
        <v>1239</v>
      </c>
      <c r="B333" s="39">
        <v>33.0</v>
      </c>
    </row>
    <row r="334">
      <c r="A334" s="43" t="s">
        <v>1241</v>
      </c>
      <c r="B334" s="41">
        <v>77.0</v>
      </c>
    </row>
    <row r="335">
      <c r="A335" s="43" t="s">
        <v>1242</v>
      </c>
      <c r="B335" s="39">
        <v>27.0</v>
      </c>
    </row>
    <row r="336">
      <c r="A336" s="43" t="s">
        <v>1243</v>
      </c>
      <c r="B336" s="39">
        <v>50.0</v>
      </c>
    </row>
    <row r="337">
      <c r="A337" s="43" t="s">
        <v>1244</v>
      </c>
      <c r="B337" s="39">
        <v>16.0</v>
      </c>
    </row>
    <row r="338">
      <c r="A338" s="43" t="s">
        <v>1245</v>
      </c>
      <c r="B338" s="39">
        <v>31.0</v>
      </c>
    </row>
    <row r="339">
      <c r="A339" s="43" t="s">
        <v>1246</v>
      </c>
      <c r="B339" s="39">
        <v>50.0</v>
      </c>
    </row>
    <row r="340">
      <c r="A340" s="43" t="s">
        <v>1247</v>
      </c>
      <c r="B340" s="39">
        <v>50.0</v>
      </c>
    </row>
    <row r="341">
      <c r="A341" s="43" t="s">
        <v>1248</v>
      </c>
      <c r="B341" s="39">
        <v>20.0</v>
      </c>
    </row>
    <row r="342">
      <c r="A342" s="43" t="s">
        <v>1250</v>
      </c>
      <c r="B342" s="41">
        <v>64.0</v>
      </c>
    </row>
    <row r="343">
      <c r="A343" s="43" t="s">
        <v>1252</v>
      </c>
      <c r="B343" s="39">
        <v>50.0</v>
      </c>
    </row>
    <row r="344">
      <c r="A344" s="43" t="s">
        <v>1253</v>
      </c>
      <c r="B344" s="39">
        <v>33.0</v>
      </c>
    </row>
    <row r="345">
      <c r="A345" s="43" t="s">
        <v>1254</v>
      </c>
      <c r="B345" s="41">
        <v>50.0</v>
      </c>
    </row>
    <row r="346">
      <c r="A346" s="43" t="s">
        <v>1255</v>
      </c>
      <c r="B346" s="39">
        <v>50.0</v>
      </c>
    </row>
    <row r="347">
      <c r="A347" s="43" t="s">
        <v>1256</v>
      </c>
      <c r="B347" s="39">
        <v>15.0</v>
      </c>
    </row>
    <row r="348">
      <c r="A348" s="43" t="s">
        <v>1257</v>
      </c>
      <c r="B348" s="39">
        <v>7.0</v>
      </c>
    </row>
    <row r="349">
      <c r="A349" s="43" t="s">
        <v>1258</v>
      </c>
      <c r="B349" s="39">
        <v>50.0</v>
      </c>
    </row>
    <row r="350">
      <c r="A350" s="43" t="s">
        <v>1259</v>
      </c>
      <c r="B350" s="39">
        <v>50.0</v>
      </c>
    </row>
    <row r="351">
      <c r="A351" s="43" t="s">
        <v>1260</v>
      </c>
      <c r="B351" s="39">
        <v>50.0</v>
      </c>
    </row>
    <row r="352">
      <c r="A352" s="43" t="s">
        <v>1261</v>
      </c>
      <c r="B352" s="39">
        <v>28.0</v>
      </c>
    </row>
    <row r="353">
      <c r="A353" s="43" t="s">
        <v>1269</v>
      </c>
      <c r="B353" s="39">
        <v>50.0</v>
      </c>
    </row>
    <row r="354">
      <c r="A354" s="43" t="s">
        <v>1270</v>
      </c>
      <c r="B354" s="39">
        <v>44.0</v>
      </c>
    </row>
    <row r="355">
      <c r="A355" s="43" t="s">
        <v>1271</v>
      </c>
      <c r="B355" s="41">
        <v>52.0</v>
      </c>
    </row>
    <row r="356">
      <c r="A356" s="43" t="s">
        <v>1272</v>
      </c>
      <c r="B356" s="41">
        <v>54.0</v>
      </c>
    </row>
    <row r="357">
      <c r="A357" s="43" t="s">
        <v>1273</v>
      </c>
      <c r="B357" s="39">
        <v>0.0</v>
      </c>
    </row>
    <row r="358">
      <c r="A358" s="43" t="s">
        <v>1274</v>
      </c>
      <c r="B358" s="41">
        <v>51.0</v>
      </c>
    </row>
    <row r="359">
      <c r="A359" s="43" t="s">
        <v>1275</v>
      </c>
      <c r="B359" s="41">
        <v>55.0</v>
      </c>
    </row>
    <row r="360">
      <c r="A360" s="43" t="s">
        <v>1276</v>
      </c>
      <c r="B360" s="39">
        <v>50.0</v>
      </c>
    </row>
    <row r="361">
      <c r="A361" s="43" t="s">
        <v>1277</v>
      </c>
      <c r="B361" s="39">
        <v>50.0</v>
      </c>
    </row>
    <row r="362">
      <c r="A362" s="43" t="s">
        <v>1278</v>
      </c>
      <c r="B362" s="39">
        <v>50.0</v>
      </c>
    </row>
    <row r="363">
      <c r="A363" s="43" t="s">
        <v>1279</v>
      </c>
      <c r="B363" s="39">
        <v>50.0</v>
      </c>
    </row>
    <row r="364">
      <c r="A364" s="43" t="s">
        <v>1280</v>
      </c>
      <c r="B364" s="41">
        <v>56.0</v>
      </c>
    </row>
    <row r="365">
      <c r="A365" s="43" t="s">
        <v>1281</v>
      </c>
      <c r="B365" s="41">
        <v>54.0</v>
      </c>
    </row>
    <row r="366">
      <c r="A366" s="43" t="s">
        <v>1282</v>
      </c>
      <c r="B366" s="39">
        <v>50.0</v>
      </c>
    </row>
    <row r="367">
      <c r="A367" s="43" t="s">
        <v>1283</v>
      </c>
      <c r="B367" s="39">
        <v>50.0</v>
      </c>
    </row>
    <row r="368">
      <c r="A368" s="43" t="s">
        <v>1284</v>
      </c>
      <c r="B368" s="41">
        <v>52.0</v>
      </c>
    </row>
    <row r="369">
      <c r="A369" s="43" t="s">
        <v>1285</v>
      </c>
      <c r="B369" s="41">
        <v>55.0</v>
      </c>
    </row>
    <row r="370">
      <c r="A370" s="43" t="s">
        <v>1286</v>
      </c>
      <c r="B370" s="41">
        <v>50.0</v>
      </c>
    </row>
    <row r="371">
      <c r="A371" s="43" t="s">
        <v>1287</v>
      </c>
      <c r="B371" s="39">
        <v>50.0</v>
      </c>
    </row>
    <row r="372">
      <c r="A372" s="43" t="s">
        <v>1288</v>
      </c>
      <c r="B372" s="41">
        <v>51.0</v>
      </c>
    </row>
    <row r="373">
      <c r="A373" s="43" t="s">
        <v>1289</v>
      </c>
      <c r="B373" s="41">
        <v>55.0</v>
      </c>
    </row>
    <row r="374">
      <c r="A374" s="43" t="s">
        <v>1290</v>
      </c>
      <c r="B374" s="41">
        <v>61.0</v>
      </c>
    </row>
    <row r="375">
      <c r="A375" s="43" t="s">
        <v>1291</v>
      </c>
      <c r="B375" s="39">
        <v>17.0</v>
      </c>
    </row>
    <row r="376">
      <c r="A376" s="43" t="s">
        <v>1292</v>
      </c>
      <c r="B376" s="41">
        <v>65.0</v>
      </c>
    </row>
    <row r="377">
      <c r="A377" s="43" t="s">
        <v>1293</v>
      </c>
      <c r="B377" s="39">
        <v>50.0</v>
      </c>
    </row>
    <row r="378">
      <c r="A378" s="43" t="s">
        <v>1294</v>
      </c>
      <c r="B378" s="39">
        <v>50.0</v>
      </c>
    </row>
    <row r="379">
      <c r="A379" s="43" t="s">
        <v>1295</v>
      </c>
      <c r="B379" s="39">
        <v>18.0</v>
      </c>
    </row>
    <row r="380">
      <c r="A380" s="43" t="s">
        <v>1296</v>
      </c>
      <c r="B380" s="39">
        <v>50.0</v>
      </c>
    </row>
    <row r="381">
      <c r="A381" s="43" t="s">
        <v>1297</v>
      </c>
      <c r="B381" s="39">
        <v>50.0</v>
      </c>
    </row>
    <row r="382">
      <c r="A382" s="43" t="s">
        <v>1298</v>
      </c>
      <c r="B382" s="39">
        <v>0.0</v>
      </c>
    </row>
    <row r="383">
      <c r="A383" s="43" t="s">
        <v>1299</v>
      </c>
      <c r="B383" s="41">
        <v>64.0</v>
      </c>
    </row>
    <row r="384">
      <c r="A384" s="43" t="s">
        <v>1300</v>
      </c>
      <c r="B384" s="41">
        <v>54.0</v>
      </c>
    </row>
    <row r="385">
      <c r="A385" s="43" t="s">
        <v>1302</v>
      </c>
      <c r="B385" s="39">
        <v>50.0</v>
      </c>
    </row>
    <row r="386">
      <c r="A386" s="43" t="s">
        <v>1303</v>
      </c>
      <c r="B386" s="41">
        <v>53.0</v>
      </c>
    </row>
    <row r="387">
      <c r="A387" s="43" t="s">
        <v>1304</v>
      </c>
      <c r="B387" s="41">
        <v>50.0</v>
      </c>
    </row>
    <row r="388">
      <c r="A388" s="43" t="s">
        <v>1305</v>
      </c>
      <c r="B388" s="39">
        <v>50.0</v>
      </c>
    </row>
    <row r="389">
      <c r="A389" s="43" t="s">
        <v>1306</v>
      </c>
      <c r="B389" s="39">
        <v>50.0</v>
      </c>
    </row>
    <row r="390">
      <c r="A390" s="43" t="s">
        <v>1307</v>
      </c>
      <c r="B390" s="41">
        <v>54.0</v>
      </c>
    </row>
    <row r="391">
      <c r="A391" s="43" t="s">
        <v>1308</v>
      </c>
      <c r="B391" s="39">
        <v>50.0</v>
      </c>
    </row>
    <row r="392">
      <c r="A392" s="43" t="s">
        <v>1309</v>
      </c>
      <c r="B392" s="39">
        <v>12.0</v>
      </c>
    </row>
    <row r="393">
      <c r="A393" s="43" t="s">
        <v>1310</v>
      </c>
      <c r="B393" s="39">
        <v>50.0</v>
      </c>
    </row>
    <row r="394">
      <c r="A394" s="43" t="s">
        <v>1311</v>
      </c>
      <c r="B394" s="39">
        <v>50.0</v>
      </c>
    </row>
    <row r="395">
      <c r="A395" s="43" t="s">
        <v>1312</v>
      </c>
      <c r="B395" s="41">
        <v>59.0</v>
      </c>
    </row>
    <row r="396">
      <c r="A396" s="43" t="s">
        <v>1313</v>
      </c>
      <c r="B396" s="39">
        <v>0.0</v>
      </c>
    </row>
    <row r="397">
      <c r="A397" s="43" t="s">
        <v>1314</v>
      </c>
      <c r="B397" s="41">
        <v>67.0</v>
      </c>
    </row>
    <row r="398">
      <c r="A398" s="43" t="s">
        <v>1315</v>
      </c>
      <c r="B398" s="41">
        <v>59.0</v>
      </c>
    </row>
    <row r="399">
      <c r="A399" s="43" t="s">
        <v>1316</v>
      </c>
      <c r="B399" s="39">
        <v>0.0</v>
      </c>
    </row>
    <row r="400">
      <c r="A400" s="43" t="s">
        <v>1317</v>
      </c>
      <c r="B400" s="39">
        <v>50.0</v>
      </c>
    </row>
    <row r="401">
      <c r="A401" s="43" t="s">
        <v>1318</v>
      </c>
      <c r="B401" s="39">
        <v>0.0</v>
      </c>
    </row>
    <row r="402">
      <c r="A402" s="43" t="s">
        <v>1319</v>
      </c>
      <c r="B402" s="39">
        <v>40.0</v>
      </c>
    </row>
    <row r="403">
      <c r="A403" s="43" t="s">
        <v>1320</v>
      </c>
      <c r="B403" s="39">
        <v>50.0</v>
      </c>
    </row>
    <row r="404">
      <c r="A404" s="43" t="s">
        <v>1321</v>
      </c>
      <c r="B404" s="39">
        <v>50.0</v>
      </c>
    </row>
    <row r="405">
      <c r="A405" s="43" t="s">
        <v>1322</v>
      </c>
      <c r="B405" s="39">
        <v>0.0</v>
      </c>
    </row>
    <row r="406">
      <c r="A406" s="43" t="s">
        <v>1323</v>
      </c>
      <c r="B406" s="39">
        <v>50.0</v>
      </c>
    </row>
    <row r="407">
      <c r="A407" s="43" t="s">
        <v>1324</v>
      </c>
      <c r="B407" s="42">
        <v>50.0</v>
      </c>
    </row>
    <row r="408">
      <c r="A408" s="43" t="s">
        <v>1325</v>
      </c>
      <c r="B408" s="39">
        <v>4.0</v>
      </c>
    </row>
    <row r="409">
      <c r="A409" s="43" t="s">
        <v>1326</v>
      </c>
      <c r="B409" s="39">
        <v>50.0</v>
      </c>
    </row>
    <row r="410">
      <c r="A410" s="43" t="s">
        <v>1327</v>
      </c>
      <c r="B410" s="39">
        <v>50.0</v>
      </c>
    </row>
    <row r="411">
      <c r="A411" s="43" t="s">
        <v>1328</v>
      </c>
      <c r="B411" s="39">
        <v>15.0</v>
      </c>
    </row>
    <row r="412">
      <c r="A412" s="43" t="s">
        <v>1329</v>
      </c>
      <c r="B412" s="39">
        <v>50.0</v>
      </c>
    </row>
    <row r="413">
      <c r="A413" s="43" t="s">
        <v>1330</v>
      </c>
      <c r="B413" s="41">
        <v>50.0</v>
      </c>
    </row>
    <row r="414">
      <c r="A414" s="43" t="s">
        <v>1331</v>
      </c>
      <c r="B414" s="39">
        <v>50.0</v>
      </c>
    </row>
    <row r="415">
      <c r="A415" s="43" t="s">
        <v>1345</v>
      </c>
      <c r="B415" s="41">
        <v>56.0</v>
      </c>
    </row>
    <row r="416">
      <c r="A416" s="44" t="s">
        <v>138</v>
      </c>
      <c r="B416" s="39">
        <v>13.0</v>
      </c>
    </row>
    <row r="417">
      <c r="A417" s="44" t="s">
        <v>139</v>
      </c>
      <c r="B417" s="39">
        <v>50.0</v>
      </c>
    </row>
    <row r="418">
      <c r="A418" s="44" t="s">
        <v>140</v>
      </c>
      <c r="B418" s="39">
        <v>50.0</v>
      </c>
    </row>
    <row r="419">
      <c r="A419" s="44" t="s">
        <v>141</v>
      </c>
      <c r="B419" s="39">
        <v>18.0</v>
      </c>
    </row>
    <row r="420">
      <c r="A420" s="44" t="s">
        <v>142</v>
      </c>
      <c r="B420" s="39">
        <v>50.0</v>
      </c>
    </row>
    <row r="421">
      <c r="A421" s="44" t="s">
        <v>143</v>
      </c>
      <c r="B421" s="41">
        <v>64.0</v>
      </c>
    </row>
    <row r="422">
      <c r="A422" s="44" t="s">
        <v>145</v>
      </c>
      <c r="B422" s="39">
        <v>35.0</v>
      </c>
    </row>
    <row r="423">
      <c r="A423" s="44" t="s">
        <v>146</v>
      </c>
      <c r="B423" s="39">
        <v>19.0</v>
      </c>
    </row>
    <row r="424">
      <c r="A424" s="44" t="s">
        <v>147</v>
      </c>
      <c r="B424" s="39">
        <v>50.0</v>
      </c>
    </row>
    <row r="425">
      <c r="A425" s="44" t="s">
        <v>148</v>
      </c>
      <c r="B425" s="39">
        <v>50.0</v>
      </c>
    </row>
    <row r="426">
      <c r="A426" s="44" t="s">
        <v>149</v>
      </c>
      <c r="B426" s="39">
        <v>0.0</v>
      </c>
    </row>
    <row r="427">
      <c r="A427" s="44" t="s">
        <v>150</v>
      </c>
      <c r="B427" s="39">
        <v>50.0</v>
      </c>
    </row>
    <row r="428">
      <c r="A428" s="44" t="s">
        <v>151</v>
      </c>
      <c r="B428" s="39">
        <v>0.0</v>
      </c>
    </row>
    <row r="429">
      <c r="A429" s="44" t="s">
        <v>152</v>
      </c>
      <c r="B429" s="39">
        <v>50.0</v>
      </c>
    </row>
    <row r="430">
      <c r="A430" s="44" t="s">
        <v>153</v>
      </c>
      <c r="B430" s="39">
        <v>50.0</v>
      </c>
    </row>
    <row r="431">
      <c r="A431" s="44" t="s">
        <v>154</v>
      </c>
      <c r="B431" s="39">
        <v>7.0</v>
      </c>
    </row>
    <row r="432">
      <c r="A432" s="44" t="s">
        <v>155</v>
      </c>
      <c r="B432" s="39">
        <v>4.0</v>
      </c>
    </row>
    <row r="433">
      <c r="A433" s="44" t="s">
        <v>156</v>
      </c>
      <c r="B433" s="39">
        <v>50.0</v>
      </c>
    </row>
    <row r="434">
      <c r="A434" s="44" t="s">
        <v>157</v>
      </c>
      <c r="B434" s="39">
        <v>0.0</v>
      </c>
    </row>
    <row r="435">
      <c r="A435" s="44" t="s">
        <v>158</v>
      </c>
      <c r="B435" s="39">
        <v>13.0</v>
      </c>
    </row>
    <row r="436">
      <c r="A436" s="44" t="s">
        <v>159</v>
      </c>
      <c r="B436" s="39">
        <v>28.0</v>
      </c>
    </row>
    <row r="437">
      <c r="A437" s="44" t="s">
        <v>160</v>
      </c>
      <c r="B437" s="39">
        <v>25.0</v>
      </c>
    </row>
    <row r="438">
      <c r="A438" s="44" t="s">
        <v>161</v>
      </c>
      <c r="B438" s="39">
        <v>50.0</v>
      </c>
    </row>
    <row r="439">
      <c r="A439" s="44" t="s">
        <v>162</v>
      </c>
      <c r="B439" s="39">
        <v>25.0</v>
      </c>
    </row>
    <row r="440">
      <c r="A440" s="44" t="s">
        <v>163</v>
      </c>
      <c r="B440" s="39">
        <v>15.0</v>
      </c>
    </row>
    <row r="441">
      <c r="A441" s="44" t="s">
        <v>164</v>
      </c>
      <c r="B441" s="39">
        <v>50.0</v>
      </c>
    </row>
    <row r="442">
      <c r="A442" s="44" t="s">
        <v>165</v>
      </c>
      <c r="B442" s="39">
        <v>50.0</v>
      </c>
    </row>
    <row r="443">
      <c r="A443" s="44" t="s">
        <v>166</v>
      </c>
      <c r="B443" s="39">
        <v>50.0</v>
      </c>
    </row>
    <row r="444">
      <c r="A444" s="44" t="s">
        <v>167</v>
      </c>
      <c r="B444" s="39">
        <v>15.0</v>
      </c>
    </row>
    <row r="445">
      <c r="A445" s="44" t="s">
        <v>168</v>
      </c>
      <c r="B445" s="41">
        <v>53.0</v>
      </c>
    </row>
    <row r="446">
      <c r="A446" s="44" t="s">
        <v>169</v>
      </c>
      <c r="B446" s="39">
        <v>14.0</v>
      </c>
    </row>
    <row r="447">
      <c r="A447" s="44" t="s">
        <v>170</v>
      </c>
      <c r="B447" s="39">
        <v>17.0</v>
      </c>
    </row>
    <row r="448">
      <c r="A448" s="44" t="s">
        <v>171</v>
      </c>
      <c r="B448" s="39">
        <v>23.0</v>
      </c>
    </row>
    <row r="449">
      <c r="A449" s="44" t="s">
        <v>172</v>
      </c>
      <c r="B449" s="39">
        <v>50.0</v>
      </c>
    </row>
    <row r="450">
      <c r="A450" s="44" t="s">
        <v>173</v>
      </c>
      <c r="B450" s="39">
        <v>17.0</v>
      </c>
    </row>
    <row r="451">
      <c r="A451" s="44" t="s">
        <v>174</v>
      </c>
      <c r="B451" s="39">
        <v>50.0</v>
      </c>
    </row>
    <row r="452">
      <c r="A452" s="44" t="s">
        <v>175</v>
      </c>
      <c r="B452" s="39">
        <v>50.0</v>
      </c>
    </row>
    <row r="453">
      <c r="A453" s="44" t="s">
        <v>177</v>
      </c>
      <c r="B453" s="39">
        <v>0.0</v>
      </c>
    </row>
    <row r="454">
      <c r="A454" s="44" t="s">
        <v>178</v>
      </c>
      <c r="B454" s="39">
        <v>26.0</v>
      </c>
    </row>
    <row r="455">
      <c r="A455" s="44" t="s">
        <v>179</v>
      </c>
      <c r="B455" s="39">
        <v>23.0</v>
      </c>
    </row>
    <row r="456">
      <c r="A456" s="44" t="s">
        <v>180</v>
      </c>
      <c r="B456" s="39">
        <v>20.0</v>
      </c>
    </row>
    <row r="457">
      <c r="A457" s="44" t="s">
        <v>181</v>
      </c>
      <c r="B457" s="39">
        <v>14.0</v>
      </c>
    </row>
    <row r="458">
      <c r="A458" s="44" t="s">
        <v>182</v>
      </c>
      <c r="B458" s="39">
        <v>13.0</v>
      </c>
    </row>
    <row r="459">
      <c r="A459" s="44" t="s">
        <v>183</v>
      </c>
      <c r="B459" s="39">
        <v>17.0</v>
      </c>
    </row>
    <row r="460">
      <c r="A460" s="44" t="s">
        <v>184</v>
      </c>
      <c r="B460" s="39">
        <v>16.0</v>
      </c>
    </row>
    <row r="461">
      <c r="A461" s="44" t="s">
        <v>185</v>
      </c>
      <c r="B461" s="39">
        <v>0.0</v>
      </c>
    </row>
    <row r="462">
      <c r="A462" s="44" t="s">
        <v>186</v>
      </c>
      <c r="B462" s="39">
        <v>27.0</v>
      </c>
    </row>
    <row r="463">
      <c r="A463" s="44" t="s">
        <v>187</v>
      </c>
      <c r="B463" s="42">
        <v>50.0</v>
      </c>
    </row>
    <row r="464">
      <c r="A464" s="44" t="s">
        <v>188</v>
      </c>
      <c r="B464" s="39">
        <v>27.0</v>
      </c>
    </row>
    <row r="465">
      <c r="A465" s="44" t="s">
        <v>189</v>
      </c>
      <c r="B465" s="41">
        <v>54.0</v>
      </c>
    </row>
    <row r="466">
      <c r="A466" s="44" t="s">
        <v>190</v>
      </c>
      <c r="B466" s="39">
        <v>10.0</v>
      </c>
    </row>
    <row r="467">
      <c r="A467" s="44" t="s">
        <v>191</v>
      </c>
      <c r="B467" s="39">
        <v>22.0</v>
      </c>
    </row>
    <row r="468">
      <c r="A468" s="44" t="s">
        <v>192</v>
      </c>
      <c r="B468" s="39">
        <v>50.0</v>
      </c>
    </row>
    <row r="469">
      <c r="A469" s="44" t="s">
        <v>193</v>
      </c>
      <c r="B469" s="41">
        <v>67.0</v>
      </c>
    </row>
    <row r="470">
      <c r="A470" s="44" t="s">
        <v>194</v>
      </c>
      <c r="B470" s="41">
        <v>55.0</v>
      </c>
    </row>
    <row r="471">
      <c r="A471" s="44" t="s">
        <v>195</v>
      </c>
      <c r="B471" s="39">
        <v>50.0</v>
      </c>
    </row>
    <row r="472">
      <c r="A472" s="44" t="s">
        <v>196</v>
      </c>
      <c r="B472" s="39">
        <v>15.0</v>
      </c>
    </row>
    <row r="473">
      <c r="A473" s="44" t="s">
        <v>197</v>
      </c>
      <c r="B473" s="39">
        <v>50.0</v>
      </c>
    </row>
    <row r="474">
      <c r="A474" s="44" t="s">
        <v>198</v>
      </c>
      <c r="B474" s="39">
        <v>50.0</v>
      </c>
    </row>
    <row r="475">
      <c r="A475" s="44" t="s">
        <v>199</v>
      </c>
      <c r="B475" s="39">
        <v>13.0</v>
      </c>
    </row>
    <row r="476">
      <c r="A476" s="44" t="s">
        <v>201</v>
      </c>
      <c r="B476" s="39">
        <v>20.0</v>
      </c>
    </row>
    <row r="477">
      <c r="A477" s="44" t="s">
        <v>202</v>
      </c>
      <c r="B477" s="39">
        <v>8.0</v>
      </c>
    </row>
    <row r="478">
      <c r="A478" s="44" t="s">
        <v>203</v>
      </c>
      <c r="B478" s="41">
        <v>50.0</v>
      </c>
    </row>
    <row r="479">
      <c r="A479" s="44" t="s">
        <v>204</v>
      </c>
      <c r="B479" s="39">
        <v>50.0</v>
      </c>
    </row>
    <row r="480">
      <c r="A480" s="44" t="s">
        <v>205</v>
      </c>
      <c r="B480" s="39">
        <v>50.0</v>
      </c>
    </row>
    <row r="481">
      <c r="A481" s="44" t="s">
        <v>206</v>
      </c>
      <c r="B481" s="39">
        <v>50.0</v>
      </c>
    </row>
    <row r="482">
      <c r="A482" s="44" t="s">
        <v>207</v>
      </c>
      <c r="B482" s="39">
        <v>25.0</v>
      </c>
    </row>
    <row r="483">
      <c r="A483" s="44" t="s">
        <v>208</v>
      </c>
      <c r="B483" s="39">
        <v>50.0</v>
      </c>
    </row>
    <row r="484">
      <c r="A484" s="44" t="s">
        <v>209</v>
      </c>
      <c r="B484" s="39">
        <v>50.0</v>
      </c>
    </row>
    <row r="485">
      <c r="A485" s="44" t="s">
        <v>210</v>
      </c>
      <c r="B485" s="39">
        <v>50.0</v>
      </c>
    </row>
    <row r="486">
      <c r="A486" s="44" t="s">
        <v>211</v>
      </c>
      <c r="B486" s="39">
        <v>14.0</v>
      </c>
    </row>
    <row r="487">
      <c r="A487" s="44" t="s">
        <v>212</v>
      </c>
      <c r="B487" s="39">
        <v>33.0</v>
      </c>
    </row>
    <row r="488">
      <c r="A488" s="44" t="s">
        <v>213</v>
      </c>
      <c r="B488" s="39">
        <v>0.0</v>
      </c>
    </row>
    <row r="489">
      <c r="A489" s="44" t="s">
        <v>214</v>
      </c>
      <c r="B489" s="39">
        <v>35.0</v>
      </c>
    </row>
    <row r="490">
      <c r="A490" s="44" t="s">
        <v>215</v>
      </c>
      <c r="B490" s="39">
        <v>8.0</v>
      </c>
    </row>
    <row r="491">
      <c r="A491" s="44" t="s">
        <v>216</v>
      </c>
      <c r="B491" s="41">
        <v>53.0</v>
      </c>
    </row>
    <row r="492">
      <c r="A492" s="44" t="s">
        <v>217</v>
      </c>
      <c r="B492" s="39">
        <v>18.0</v>
      </c>
    </row>
    <row r="493">
      <c r="A493" s="44" t="s">
        <v>218</v>
      </c>
      <c r="B493" s="39">
        <v>50.0</v>
      </c>
    </row>
    <row r="494">
      <c r="A494" s="44" t="s">
        <v>219</v>
      </c>
      <c r="B494" s="39">
        <v>22.0</v>
      </c>
    </row>
    <row r="495">
      <c r="A495" s="44" t="s">
        <v>220</v>
      </c>
      <c r="B495" s="39">
        <v>50.0</v>
      </c>
    </row>
    <row r="496">
      <c r="A496" s="44" t="s">
        <v>221</v>
      </c>
      <c r="B496" s="39">
        <v>3.0</v>
      </c>
    </row>
    <row r="497">
      <c r="A497" s="44" t="s">
        <v>222</v>
      </c>
      <c r="B497" s="39">
        <v>50.0</v>
      </c>
    </row>
    <row r="498">
      <c r="A498" s="44" t="s">
        <v>223</v>
      </c>
      <c r="B498" s="39">
        <v>33.0</v>
      </c>
    </row>
    <row r="499">
      <c r="A499" s="44" t="s">
        <v>224</v>
      </c>
      <c r="B499" s="39">
        <v>25.0</v>
      </c>
    </row>
    <row r="500">
      <c r="A500" s="44" t="s">
        <v>225</v>
      </c>
      <c r="B500" s="39">
        <v>6.0</v>
      </c>
    </row>
    <row r="501">
      <c r="A501" s="44" t="s">
        <v>226</v>
      </c>
      <c r="B501" s="39">
        <v>50.0</v>
      </c>
    </row>
    <row r="502">
      <c r="A502" s="44" t="s">
        <v>227</v>
      </c>
      <c r="B502" s="39">
        <v>50.0</v>
      </c>
    </row>
    <row r="503">
      <c r="A503" s="44" t="s">
        <v>228</v>
      </c>
      <c r="B503" s="39">
        <v>50.0</v>
      </c>
    </row>
    <row r="504">
      <c r="A504" s="44" t="s">
        <v>229</v>
      </c>
      <c r="B504" s="39">
        <v>50.0</v>
      </c>
    </row>
    <row r="505">
      <c r="A505" s="44" t="s">
        <v>230</v>
      </c>
      <c r="B505" s="39">
        <v>8.0</v>
      </c>
    </row>
    <row r="506">
      <c r="A506" s="44" t="s">
        <v>231</v>
      </c>
      <c r="B506" s="39">
        <v>9.0</v>
      </c>
    </row>
    <row r="507">
      <c r="A507" s="44" t="s">
        <v>232</v>
      </c>
      <c r="B507" s="39">
        <v>19.0</v>
      </c>
    </row>
    <row r="508">
      <c r="A508" s="44" t="s">
        <v>233</v>
      </c>
      <c r="B508" s="39">
        <v>0.0</v>
      </c>
    </row>
    <row r="509">
      <c r="A509" s="44" t="s">
        <v>236</v>
      </c>
      <c r="B509" s="41">
        <v>52.0</v>
      </c>
    </row>
    <row r="510">
      <c r="A510" s="44" t="s">
        <v>237</v>
      </c>
      <c r="B510" s="39">
        <v>19.0</v>
      </c>
    </row>
    <row r="511">
      <c r="A511" s="44" t="s">
        <v>238</v>
      </c>
      <c r="B511" s="39">
        <v>50.0</v>
      </c>
    </row>
    <row r="512">
      <c r="A512" s="44" t="s">
        <v>239</v>
      </c>
      <c r="B512" s="39">
        <v>10.0</v>
      </c>
    </row>
    <row r="513">
      <c r="A513" s="44" t="s">
        <v>240</v>
      </c>
      <c r="B513" s="39">
        <v>0.0</v>
      </c>
    </row>
    <row r="514">
      <c r="A514" s="44" t="s">
        <v>241</v>
      </c>
      <c r="B514" s="39">
        <v>50.0</v>
      </c>
    </row>
    <row r="515">
      <c r="A515" s="44" t="s">
        <v>242</v>
      </c>
      <c r="B515" s="39">
        <v>9.0</v>
      </c>
    </row>
    <row r="516">
      <c r="A516" s="44" t="s">
        <v>243</v>
      </c>
      <c r="B516" s="39">
        <v>18.0</v>
      </c>
    </row>
    <row r="517">
      <c r="A517" s="44" t="s">
        <v>244</v>
      </c>
      <c r="B517" s="39">
        <v>50.0</v>
      </c>
    </row>
    <row r="518">
      <c r="A518" s="44" t="s">
        <v>245</v>
      </c>
      <c r="B518" s="39">
        <v>50.0</v>
      </c>
    </row>
    <row r="519">
      <c r="A519" s="44" t="s">
        <v>246</v>
      </c>
      <c r="B519" s="39">
        <v>19.0</v>
      </c>
    </row>
    <row r="520">
      <c r="A520" s="44" t="s">
        <v>247</v>
      </c>
      <c r="B520" s="41">
        <v>73.0</v>
      </c>
    </row>
    <row r="521">
      <c r="A521" s="44" t="s">
        <v>248</v>
      </c>
      <c r="B521" s="39">
        <v>50.0</v>
      </c>
    </row>
    <row r="522">
      <c r="A522" s="44" t="s">
        <v>249</v>
      </c>
      <c r="B522" s="39">
        <v>50.0</v>
      </c>
    </row>
    <row r="523">
      <c r="A523" s="44" t="s">
        <v>250</v>
      </c>
      <c r="B523" s="41">
        <v>66.0</v>
      </c>
    </row>
    <row r="524">
      <c r="A524" s="44" t="s">
        <v>251</v>
      </c>
      <c r="B524" s="39">
        <v>50.0</v>
      </c>
    </row>
    <row r="525">
      <c r="A525" s="44" t="s">
        <v>252</v>
      </c>
      <c r="B525" s="39">
        <v>50.0</v>
      </c>
    </row>
    <row r="526">
      <c r="A526" s="44" t="s">
        <v>254</v>
      </c>
      <c r="B526" s="39">
        <v>50.0</v>
      </c>
    </row>
    <row r="527">
      <c r="A527" s="44" t="s">
        <v>255</v>
      </c>
      <c r="B527" s="39">
        <v>50.0</v>
      </c>
    </row>
    <row r="528">
      <c r="A528" s="44" t="s">
        <v>256</v>
      </c>
      <c r="B528" s="39">
        <v>50.0</v>
      </c>
    </row>
    <row r="529">
      <c r="A529" s="44" t="s">
        <v>257</v>
      </c>
      <c r="B529" s="39">
        <v>50.0</v>
      </c>
    </row>
    <row r="530">
      <c r="A530" s="44" t="s">
        <v>258</v>
      </c>
      <c r="B530" s="39">
        <v>50.0</v>
      </c>
    </row>
    <row r="531">
      <c r="A531" s="44" t="s">
        <v>259</v>
      </c>
      <c r="B531" s="41">
        <v>50.0</v>
      </c>
    </row>
    <row r="532">
      <c r="A532" s="44" t="s">
        <v>260</v>
      </c>
      <c r="B532" s="42">
        <v>50.0</v>
      </c>
    </row>
    <row r="533">
      <c r="A533" s="44" t="s">
        <v>261</v>
      </c>
      <c r="B533" s="39">
        <v>30.0</v>
      </c>
    </row>
    <row r="534">
      <c r="A534" s="44" t="s">
        <v>262</v>
      </c>
      <c r="B534" s="39">
        <v>50.0</v>
      </c>
    </row>
    <row r="535">
      <c r="A535" s="44" t="s">
        <v>263</v>
      </c>
      <c r="B535" s="39">
        <v>50.0</v>
      </c>
    </row>
    <row r="536">
      <c r="A536" s="44" t="s">
        <v>264</v>
      </c>
      <c r="B536" s="39">
        <v>18.0</v>
      </c>
    </row>
    <row r="537">
      <c r="A537" s="44" t="s">
        <v>265</v>
      </c>
      <c r="B537" s="39">
        <v>50.0</v>
      </c>
    </row>
    <row r="538">
      <c r="A538" s="44" t="s">
        <v>266</v>
      </c>
      <c r="B538" s="39">
        <v>50.0</v>
      </c>
    </row>
    <row r="539">
      <c r="A539" s="44" t="s">
        <v>267</v>
      </c>
      <c r="B539" s="39">
        <v>23.0</v>
      </c>
    </row>
    <row r="540">
      <c r="A540" s="44" t="s">
        <v>268</v>
      </c>
      <c r="B540" s="39">
        <v>50.0</v>
      </c>
    </row>
    <row r="541">
      <c r="A541" s="44" t="s">
        <v>269</v>
      </c>
      <c r="B541" s="42">
        <v>50.0</v>
      </c>
    </row>
    <row r="542">
      <c r="A542" s="44" t="s">
        <v>270</v>
      </c>
      <c r="B542" s="39">
        <v>50.0</v>
      </c>
    </row>
    <row r="543">
      <c r="A543" s="44" t="s">
        <v>271</v>
      </c>
      <c r="B543" s="39">
        <v>50.0</v>
      </c>
    </row>
    <row r="544">
      <c r="A544" s="44" t="s">
        <v>272</v>
      </c>
      <c r="B544" s="39">
        <v>50.0</v>
      </c>
    </row>
    <row r="545">
      <c r="A545" s="44" t="s">
        <v>273</v>
      </c>
      <c r="B545" s="39">
        <v>20.0</v>
      </c>
    </row>
    <row r="546">
      <c r="A546" s="44" t="s">
        <v>274</v>
      </c>
      <c r="B546" s="39">
        <v>1.0</v>
      </c>
    </row>
    <row r="547">
      <c r="A547" s="44" t="s">
        <v>275</v>
      </c>
      <c r="B547" s="39">
        <v>50.0</v>
      </c>
    </row>
    <row r="548">
      <c r="A548" s="44" t="s">
        <v>276</v>
      </c>
      <c r="B548" s="39">
        <v>0.0</v>
      </c>
    </row>
    <row r="549">
      <c r="A549" s="44" t="s">
        <v>277</v>
      </c>
      <c r="B549" s="39">
        <v>7.0</v>
      </c>
    </row>
    <row r="550">
      <c r="A550" s="44" t="s">
        <v>278</v>
      </c>
      <c r="B550" s="39">
        <v>15.0</v>
      </c>
    </row>
    <row r="551">
      <c r="A551" s="44" t="s">
        <v>279</v>
      </c>
      <c r="B551" s="39">
        <v>6.0</v>
      </c>
    </row>
    <row r="552">
      <c r="A552" s="44" t="s">
        <v>280</v>
      </c>
      <c r="B552" s="39">
        <v>23.0</v>
      </c>
    </row>
    <row r="553">
      <c r="A553" s="44" t="s">
        <v>281</v>
      </c>
      <c r="B553" s="39">
        <v>14.0</v>
      </c>
    </row>
    <row r="554">
      <c r="A554" s="44" t="s">
        <v>282</v>
      </c>
      <c r="B554" s="39">
        <v>50.0</v>
      </c>
    </row>
    <row r="555">
      <c r="A555" s="44" t="s">
        <v>283</v>
      </c>
      <c r="B555" s="39">
        <v>0.0</v>
      </c>
    </row>
    <row r="556">
      <c r="A556" s="44" t="s">
        <v>285</v>
      </c>
      <c r="B556" s="39">
        <v>50.0</v>
      </c>
    </row>
    <row r="557">
      <c r="A557" s="44" t="s">
        <v>286</v>
      </c>
      <c r="B557" s="39">
        <v>50.0</v>
      </c>
    </row>
    <row r="558">
      <c r="A558" s="44" t="s">
        <v>287</v>
      </c>
      <c r="B558" s="39">
        <v>50.0</v>
      </c>
    </row>
    <row r="559">
      <c r="A559" s="44" t="s">
        <v>288</v>
      </c>
      <c r="B559" s="39">
        <v>50.0</v>
      </c>
    </row>
    <row r="560">
      <c r="A560" s="44" t="s">
        <v>290</v>
      </c>
      <c r="B560" s="39">
        <v>50.0</v>
      </c>
    </row>
    <row r="561">
      <c r="A561" s="44" t="s">
        <v>291</v>
      </c>
      <c r="B561" s="39">
        <v>50.0</v>
      </c>
    </row>
    <row r="562">
      <c r="A562" s="44" t="s">
        <v>292</v>
      </c>
      <c r="B562" s="39">
        <v>50.0</v>
      </c>
    </row>
    <row r="563">
      <c r="A563" s="44" t="s">
        <v>293</v>
      </c>
      <c r="B563" s="39">
        <v>13.0</v>
      </c>
    </row>
    <row r="564">
      <c r="A564" s="44" t="s">
        <v>294</v>
      </c>
      <c r="B564" s="39">
        <v>50.0</v>
      </c>
    </row>
    <row r="565">
      <c r="A565" s="44" t="s">
        <v>295</v>
      </c>
      <c r="B565" s="39">
        <v>13.0</v>
      </c>
    </row>
    <row r="566">
      <c r="A566" s="44" t="s">
        <v>296</v>
      </c>
      <c r="B566" s="39">
        <v>50.0</v>
      </c>
    </row>
    <row r="567">
      <c r="A567" s="44" t="s">
        <v>297</v>
      </c>
      <c r="B567" s="39">
        <v>20.0</v>
      </c>
    </row>
    <row r="568">
      <c r="A568" s="44" t="s">
        <v>298</v>
      </c>
      <c r="B568" s="39">
        <v>50.0</v>
      </c>
    </row>
    <row r="569">
      <c r="A569" s="44" t="s">
        <v>299</v>
      </c>
      <c r="B569" s="39">
        <v>50.0</v>
      </c>
    </row>
    <row r="570">
      <c r="A570" s="44" t="s">
        <v>300</v>
      </c>
      <c r="B570" s="39">
        <v>19.0</v>
      </c>
    </row>
    <row r="571">
      <c r="A571" s="44" t="s">
        <v>301</v>
      </c>
      <c r="B571" s="39">
        <v>13.0</v>
      </c>
    </row>
    <row r="572">
      <c r="A572" s="44" t="s">
        <v>302</v>
      </c>
      <c r="B572" s="39">
        <v>0.0</v>
      </c>
    </row>
    <row r="573">
      <c r="A573" s="44" t="s">
        <v>303</v>
      </c>
      <c r="B573" s="39">
        <v>50.0</v>
      </c>
    </row>
    <row r="574">
      <c r="A574" s="44" t="s">
        <v>304</v>
      </c>
      <c r="B574" s="39">
        <v>3.0</v>
      </c>
    </row>
    <row r="575">
      <c r="A575" s="44" t="s">
        <v>305</v>
      </c>
      <c r="B575" s="39">
        <v>50.0</v>
      </c>
    </row>
    <row r="576">
      <c r="A576" s="44" t="s">
        <v>306</v>
      </c>
      <c r="B576" s="39">
        <v>23.0</v>
      </c>
    </row>
    <row r="577">
      <c r="A577" s="44" t="s">
        <v>307</v>
      </c>
      <c r="B577" s="39">
        <v>18.0</v>
      </c>
    </row>
    <row r="578">
      <c r="A578" s="44" t="s">
        <v>308</v>
      </c>
      <c r="B578" s="39">
        <v>28.0</v>
      </c>
    </row>
    <row r="579">
      <c r="A579" s="44" t="s">
        <v>309</v>
      </c>
      <c r="B579" s="39">
        <v>50.0</v>
      </c>
    </row>
    <row r="580">
      <c r="A580" s="44" t="s">
        <v>310</v>
      </c>
      <c r="B580" s="39">
        <v>19.0</v>
      </c>
    </row>
    <row r="581">
      <c r="A581" s="44" t="s">
        <v>311</v>
      </c>
      <c r="B581" s="39">
        <v>12.0</v>
      </c>
    </row>
    <row r="582">
      <c r="A582" s="44" t="s">
        <v>312</v>
      </c>
      <c r="B582" s="39">
        <v>30.0</v>
      </c>
    </row>
    <row r="583">
      <c r="A583" s="44" t="s">
        <v>313</v>
      </c>
      <c r="B583" s="39">
        <v>18.0</v>
      </c>
    </row>
    <row r="584">
      <c r="A584" s="44" t="s">
        <v>314</v>
      </c>
      <c r="B584" s="39">
        <v>50.0</v>
      </c>
    </row>
    <row r="585">
      <c r="A585" s="44" t="s">
        <v>315</v>
      </c>
      <c r="B585" s="39">
        <v>50.0</v>
      </c>
    </row>
    <row r="586">
      <c r="A586" s="44" t="s">
        <v>316</v>
      </c>
      <c r="B586" s="39">
        <v>50.0</v>
      </c>
    </row>
    <row r="587">
      <c r="A587" s="44" t="s">
        <v>317</v>
      </c>
      <c r="B587" s="39">
        <v>50.0</v>
      </c>
    </row>
    <row r="588">
      <c r="A588" s="44" t="s">
        <v>318</v>
      </c>
      <c r="B588" s="39">
        <v>50.0</v>
      </c>
    </row>
    <row r="589">
      <c r="A589" s="44" t="s">
        <v>319</v>
      </c>
      <c r="B589" s="39">
        <v>50.0</v>
      </c>
    </row>
    <row r="590">
      <c r="A590" s="44" t="s">
        <v>320</v>
      </c>
      <c r="B590" s="39">
        <v>50.0</v>
      </c>
    </row>
    <row r="591">
      <c r="A591" s="44" t="s">
        <v>321</v>
      </c>
      <c r="B591" s="39">
        <v>23.0</v>
      </c>
    </row>
    <row r="592">
      <c r="A592" s="44" t="s">
        <v>322</v>
      </c>
      <c r="B592" s="39">
        <v>50.0</v>
      </c>
    </row>
    <row r="593">
      <c r="A593" s="44" t="s">
        <v>323</v>
      </c>
      <c r="B593" s="39">
        <v>50.0</v>
      </c>
    </row>
    <row r="594">
      <c r="A594" s="44" t="s">
        <v>324</v>
      </c>
      <c r="B594" s="39">
        <v>50.0</v>
      </c>
    </row>
    <row r="595">
      <c r="A595" s="44" t="s">
        <v>325</v>
      </c>
      <c r="B595" s="39">
        <v>50.0</v>
      </c>
    </row>
    <row r="596">
      <c r="A596" s="44" t="s">
        <v>326</v>
      </c>
      <c r="B596" s="39">
        <v>18.0</v>
      </c>
    </row>
    <row r="597">
      <c r="A597" s="44" t="s">
        <v>327</v>
      </c>
      <c r="B597" s="39">
        <v>50.0</v>
      </c>
    </row>
    <row r="598">
      <c r="A598" s="44" t="s">
        <v>328</v>
      </c>
      <c r="B598" s="41">
        <v>53.0</v>
      </c>
    </row>
    <row r="599">
      <c r="A599" s="44" t="s">
        <v>329</v>
      </c>
      <c r="B599" s="41">
        <v>61.0</v>
      </c>
    </row>
    <row r="600">
      <c r="A600" s="44" t="s">
        <v>330</v>
      </c>
      <c r="B600" s="39">
        <v>4.0</v>
      </c>
    </row>
    <row r="601">
      <c r="A601" s="44" t="s">
        <v>331</v>
      </c>
      <c r="B601" s="39">
        <v>0.0</v>
      </c>
    </row>
    <row r="602">
      <c r="A602" s="44" t="s">
        <v>332</v>
      </c>
      <c r="B602" s="39">
        <v>10.0</v>
      </c>
    </row>
    <row r="603">
      <c r="A603" s="44" t="s">
        <v>333</v>
      </c>
      <c r="B603" s="39">
        <v>0.0</v>
      </c>
    </row>
    <row r="604">
      <c r="A604" s="44" t="s">
        <v>334</v>
      </c>
      <c r="B604" s="41">
        <v>62.0</v>
      </c>
    </row>
    <row r="605">
      <c r="A605" s="44" t="s">
        <v>335</v>
      </c>
      <c r="B605" s="39">
        <v>50.0</v>
      </c>
    </row>
    <row r="606">
      <c r="A606" s="44" t="s">
        <v>336</v>
      </c>
      <c r="B606" s="39">
        <v>8.0</v>
      </c>
    </row>
    <row r="607">
      <c r="A607" s="44" t="s">
        <v>337</v>
      </c>
      <c r="B607" s="39">
        <v>18.0</v>
      </c>
    </row>
    <row r="608">
      <c r="A608" s="44" t="s">
        <v>338</v>
      </c>
      <c r="B608" s="39">
        <v>50.0</v>
      </c>
    </row>
    <row r="609">
      <c r="A609" s="44" t="s">
        <v>339</v>
      </c>
      <c r="B609" s="39">
        <v>0.0</v>
      </c>
    </row>
    <row r="610">
      <c r="A610" s="44" t="s">
        <v>340</v>
      </c>
      <c r="B610" s="39">
        <v>50.0</v>
      </c>
    </row>
    <row r="611">
      <c r="A611" s="44" t="s">
        <v>341</v>
      </c>
      <c r="B611" s="41">
        <v>57.0</v>
      </c>
    </row>
    <row r="612">
      <c r="A612" s="44" t="s">
        <v>342</v>
      </c>
      <c r="B612" s="39">
        <v>0.0</v>
      </c>
    </row>
    <row r="613">
      <c r="A613" s="44" t="s">
        <v>343</v>
      </c>
      <c r="B613" s="39">
        <v>50.0</v>
      </c>
    </row>
    <row r="614">
      <c r="A614" s="44" t="s">
        <v>344</v>
      </c>
      <c r="B614" s="39">
        <v>37.0</v>
      </c>
    </row>
    <row r="615">
      <c r="A615" s="44" t="s">
        <v>345</v>
      </c>
      <c r="B615" s="39">
        <v>18.0</v>
      </c>
    </row>
    <row r="616">
      <c r="A616" s="44" t="s">
        <v>346</v>
      </c>
      <c r="B616" s="39">
        <v>10.0</v>
      </c>
    </row>
    <row r="617">
      <c r="A617" s="44" t="s">
        <v>347</v>
      </c>
      <c r="B617" s="39">
        <v>4.0</v>
      </c>
    </row>
    <row r="618">
      <c r="A618" s="44" t="s">
        <v>348</v>
      </c>
      <c r="B618" s="39">
        <v>8.0</v>
      </c>
    </row>
    <row r="619">
      <c r="A619" s="44" t="s">
        <v>349</v>
      </c>
      <c r="B619" s="39">
        <v>8.0</v>
      </c>
    </row>
    <row r="620">
      <c r="A620" s="44" t="s">
        <v>350</v>
      </c>
      <c r="B620" s="39">
        <v>0.0</v>
      </c>
    </row>
    <row r="621">
      <c r="A621" s="44" t="s">
        <v>351</v>
      </c>
      <c r="B621" s="39">
        <v>6.0</v>
      </c>
    </row>
    <row r="622">
      <c r="A622" s="44" t="s">
        <v>352</v>
      </c>
      <c r="B622" s="39">
        <v>6.0</v>
      </c>
    </row>
    <row r="623">
      <c r="A623" s="44" t="s">
        <v>353</v>
      </c>
      <c r="B623" s="39">
        <v>0.0</v>
      </c>
    </row>
    <row r="624">
      <c r="A624" s="44" t="s">
        <v>354</v>
      </c>
      <c r="B624" s="39">
        <v>0.0</v>
      </c>
    </row>
    <row r="625">
      <c r="A625" s="44" t="s">
        <v>355</v>
      </c>
      <c r="B625" s="39">
        <v>10.0</v>
      </c>
    </row>
    <row r="626">
      <c r="A626" s="44" t="s">
        <v>356</v>
      </c>
      <c r="B626" s="39">
        <v>28.0</v>
      </c>
    </row>
    <row r="627">
      <c r="A627" s="44" t="s">
        <v>357</v>
      </c>
      <c r="B627" s="39">
        <v>50.0</v>
      </c>
    </row>
    <row r="628">
      <c r="A628" s="44" t="s">
        <v>358</v>
      </c>
      <c r="B628" s="39">
        <v>15.0</v>
      </c>
    </row>
    <row r="629">
      <c r="A629" s="44" t="s">
        <v>359</v>
      </c>
      <c r="B629" s="41">
        <v>57.0</v>
      </c>
    </row>
    <row r="630">
      <c r="A630" s="43" t="s">
        <v>381</v>
      </c>
      <c r="B630" s="41">
        <v>52.0</v>
      </c>
    </row>
    <row r="631">
      <c r="A631" s="43" t="s">
        <v>382</v>
      </c>
      <c r="B631" s="39">
        <v>44.0</v>
      </c>
    </row>
    <row r="632">
      <c r="A632" s="43" t="s">
        <v>383</v>
      </c>
      <c r="B632" s="39">
        <v>27.0</v>
      </c>
    </row>
    <row r="633">
      <c r="A633" s="43" t="s">
        <v>384</v>
      </c>
      <c r="B633" s="39">
        <v>0.0</v>
      </c>
    </row>
    <row r="634">
      <c r="A634" s="43" t="s">
        <v>385</v>
      </c>
      <c r="B634" s="39">
        <v>5.0</v>
      </c>
    </row>
    <row r="635">
      <c r="A635" s="43" t="s">
        <v>386</v>
      </c>
      <c r="B635" s="39">
        <v>6.0</v>
      </c>
    </row>
    <row r="636">
      <c r="A636" s="43" t="s">
        <v>387</v>
      </c>
      <c r="B636" s="39">
        <v>20.0</v>
      </c>
    </row>
    <row r="637">
      <c r="A637" s="43" t="s">
        <v>389</v>
      </c>
      <c r="B637" s="39">
        <v>15.0</v>
      </c>
    </row>
    <row r="638">
      <c r="A638" s="43" t="s">
        <v>390</v>
      </c>
      <c r="B638" s="39">
        <v>50.0</v>
      </c>
    </row>
    <row r="639">
      <c r="A639" s="43" t="s">
        <v>391</v>
      </c>
      <c r="B639" s="39">
        <v>50.0</v>
      </c>
    </row>
    <row r="640">
      <c r="A640" s="43" t="s">
        <v>392</v>
      </c>
      <c r="B640" s="39">
        <v>10.0</v>
      </c>
    </row>
    <row r="641">
      <c r="A641" s="43" t="s">
        <v>393</v>
      </c>
      <c r="B641" s="39">
        <v>50.0</v>
      </c>
    </row>
    <row r="642">
      <c r="A642" s="43" t="s">
        <v>394</v>
      </c>
      <c r="B642" s="39">
        <v>50.0</v>
      </c>
    </row>
    <row r="643">
      <c r="A643" s="43" t="s">
        <v>395</v>
      </c>
      <c r="B643" s="39">
        <v>11.0</v>
      </c>
    </row>
    <row r="644">
      <c r="A644" s="43" t="s">
        <v>396</v>
      </c>
      <c r="B644" s="39">
        <v>34.0</v>
      </c>
    </row>
    <row r="645">
      <c r="A645" s="43" t="s">
        <v>397</v>
      </c>
      <c r="B645" s="39">
        <v>47.0</v>
      </c>
    </row>
    <row r="646">
      <c r="A646" s="43" t="s">
        <v>398</v>
      </c>
      <c r="B646" s="39">
        <v>42.0</v>
      </c>
    </row>
    <row r="647">
      <c r="A647" s="43" t="s">
        <v>399</v>
      </c>
      <c r="B647" s="39">
        <v>50.0</v>
      </c>
    </row>
    <row r="648">
      <c r="A648" s="43" t="s">
        <v>400</v>
      </c>
      <c r="B648" s="39">
        <v>50.0</v>
      </c>
    </row>
    <row r="649">
      <c r="A649" s="43" t="s">
        <v>401</v>
      </c>
      <c r="B649" s="39">
        <v>50.0</v>
      </c>
    </row>
    <row r="650">
      <c r="A650" s="43" t="s">
        <v>402</v>
      </c>
      <c r="B650" s="39">
        <v>7.0</v>
      </c>
    </row>
    <row r="651">
      <c r="A651" s="43" t="s">
        <v>403</v>
      </c>
      <c r="B651" s="39">
        <v>11.0</v>
      </c>
    </row>
    <row r="652">
      <c r="A652" s="43" t="s">
        <v>404</v>
      </c>
      <c r="B652" s="39">
        <v>0.0</v>
      </c>
    </row>
    <row r="653">
      <c r="A653" s="43" t="s">
        <v>405</v>
      </c>
      <c r="B653" s="41">
        <v>61.0</v>
      </c>
    </row>
    <row r="654">
      <c r="A654" s="43" t="s">
        <v>406</v>
      </c>
      <c r="B654" s="39">
        <v>20.0</v>
      </c>
    </row>
    <row r="655">
      <c r="A655" s="43" t="s">
        <v>407</v>
      </c>
      <c r="B655" s="39">
        <v>50.0</v>
      </c>
    </row>
    <row r="656">
      <c r="A656" s="43" t="s">
        <v>408</v>
      </c>
      <c r="B656" s="39">
        <v>4.0</v>
      </c>
    </row>
    <row r="657">
      <c r="A657" s="43" t="s">
        <v>409</v>
      </c>
      <c r="B657" s="39">
        <v>50.0</v>
      </c>
    </row>
    <row r="658">
      <c r="A658" s="43" t="s">
        <v>410</v>
      </c>
      <c r="B658" s="39">
        <v>15.0</v>
      </c>
    </row>
    <row r="659">
      <c r="A659" s="43" t="s">
        <v>411</v>
      </c>
      <c r="B659" s="39">
        <v>0.0</v>
      </c>
    </row>
    <row r="660">
      <c r="A660" s="43" t="s">
        <v>412</v>
      </c>
      <c r="B660" s="39">
        <v>50.0</v>
      </c>
    </row>
    <row r="661">
      <c r="A661" s="43" t="s">
        <v>413</v>
      </c>
      <c r="B661" s="39">
        <v>50.0</v>
      </c>
    </row>
    <row r="662">
      <c r="A662" s="43" t="s">
        <v>414</v>
      </c>
      <c r="B662" s="39">
        <v>50.0</v>
      </c>
    </row>
    <row r="663">
      <c r="A663" s="43" t="s">
        <v>415</v>
      </c>
      <c r="B663" s="39">
        <v>50.0</v>
      </c>
    </row>
    <row r="664">
      <c r="A664" s="43" t="s">
        <v>416</v>
      </c>
      <c r="B664" s="39">
        <v>50.0</v>
      </c>
    </row>
    <row r="665">
      <c r="A665" s="43" t="s">
        <v>417</v>
      </c>
      <c r="B665" s="39">
        <v>5.0</v>
      </c>
    </row>
    <row r="666">
      <c r="A666" s="43" t="s">
        <v>418</v>
      </c>
      <c r="B666" s="39">
        <v>14.0</v>
      </c>
    </row>
    <row r="667">
      <c r="A667" s="43" t="s">
        <v>419</v>
      </c>
      <c r="B667" s="39">
        <v>50.0</v>
      </c>
    </row>
    <row r="668">
      <c r="A668" s="43" t="s">
        <v>420</v>
      </c>
      <c r="B668" s="39">
        <v>50.0</v>
      </c>
    </row>
    <row r="669">
      <c r="A669" s="43" t="s">
        <v>421</v>
      </c>
      <c r="B669" s="39">
        <v>11.0</v>
      </c>
    </row>
    <row r="670">
      <c r="A670" s="43" t="s">
        <v>422</v>
      </c>
      <c r="B670" s="39">
        <v>50.0</v>
      </c>
    </row>
    <row r="671">
      <c r="A671" s="43" t="s">
        <v>423</v>
      </c>
      <c r="B671" s="39">
        <v>50.0</v>
      </c>
    </row>
    <row r="672">
      <c r="A672" s="43" t="s">
        <v>424</v>
      </c>
      <c r="B672" s="39">
        <v>50.0</v>
      </c>
    </row>
    <row r="673">
      <c r="A673" s="43" t="s">
        <v>425</v>
      </c>
      <c r="B673" s="39">
        <v>50.0</v>
      </c>
    </row>
    <row r="674">
      <c r="A674" s="43" t="s">
        <v>426</v>
      </c>
      <c r="B674" s="39">
        <v>25.0</v>
      </c>
    </row>
    <row r="675">
      <c r="A675" s="43" t="s">
        <v>427</v>
      </c>
      <c r="B675" s="39">
        <v>3.0</v>
      </c>
    </row>
    <row r="676">
      <c r="A676" s="43" t="s">
        <v>428</v>
      </c>
      <c r="B676" s="39">
        <v>50.0</v>
      </c>
    </row>
    <row r="677">
      <c r="A677" s="43" t="s">
        <v>429</v>
      </c>
      <c r="B677" s="39">
        <v>50.0</v>
      </c>
    </row>
    <row r="678">
      <c r="A678" s="43" t="s">
        <v>430</v>
      </c>
      <c r="B678" s="39">
        <v>19.0</v>
      </c>
    </row>
    <row r="679">
      <c r="A679" s="43" t="s">
        <v>431</v>
      </c>
      <c r="B679" s="39">
        <v>20.0</v>
      </c>
    </row>
    <row r="680">
      <c r="A680" s="43" t="s">
        <v>432</v>
      </c>
      <c r="B680" s="39">
        <v>50.0</v>
      </c>
    </row>
    <row r="681">
      <c r="A681" s="43" t="s">
        <v>433</v>
      </c>
      <c r="B681" s="42">
        <v>50.0</v>
      </c>
    </row>
    <row r="682">
      <c r="A682" s="43" t="s">
        <v>435</v>
      </c>
      <c r="B682" s="39">
        <v>50.0</v>
      </c>
    </row>
    <row r="683">
      <c r="A683" s="43" t="s">
        <v>436</v>
      </c>
      <c r="B683" s="39">
        <v>50.0</v>
      </c>
    </row>
    <row r="684">
      <c r="A684" s="43" t="s">
        <v>437</v>
      </c>
      <c r="B684" s="39">
        <v>6.0</v>
      </c>
    </row>
    <row r="685">
      <c r="A685" s="43" t="s">
        <v>438</v>
      </c>
      <c r="B685" s="39">
        <v>7.0</v>
      </c>
    </row>
    <row r="686">
      <c r="A686" s="43" t="s">
        <v>439</v>
      </c>
      <c r="B686" s="39">
        <v>16.0</v>
      </c>
    </row>
    <row r="687">
      <c r="A687" s="43" t="s">
        <v>440</v>
      </c>
      <c r="B687" s="39">
        <v>50.0</v>
      </c>
    </row>
    <row r="688">
      <c r="A688" s="43" t="s">
        <v>441</v>
      </c>
      <c r="B688" s="39">
        <v>50.0</v>
      </c>
    </row>
    <row r="689">
      <c r="A689" s="43" t="s">
        <v>442</v>
      </c>
      <c r="B689" s="39">
        <v>0.0</v>
      </c>
    </row>
    <row r="690">
      <c r="A690" s="43" t="s">
        <v>443</v>
      </c>
      <c r="B690" s="39">
        <v>18.0</v>
      </c>
    </row>
    <row r="691">
      <c r="A691" s="43" t="s">
        <v>444</v>
      </c>
      <c r="B691" s="39">
        <v>6.0</v>
      </c>
    </row>
    <row r="692">
      <c r="A692" s="43" t="s">
        <v>445</v>
      </c>
      <c r="B692" s="39">
        <v>10.0</v>
      </c>
    </row>
    <row r="693">
      <c r="A693" s="43" t="s">
        <v>446</v>
      </c>
      <c r="B693" s="39">
        <v>50.0</v>
      </c>
    </row>
    <row r="694">
      <c r="A694" s="43" t="s">
        <v>447</v>
      </c>
      <c r="B694" s="39">
        <v>50.0</v>
      </c>
    </row>
    <row r="695">
      <c r="A695" s="43" t="s">
        <v>448</v>
      </c>
      <c r="B695" s="39">
        <v>50.0</v>
      </c>
    </row>
    <row r="696">
      <c r="A696" s="43" t="s">
        <v>449</v>
      </c>
      <c r="B696" s="39">
        <v>31.0</v>
      </c>
    </row>
    <row r="697">
      <c r="A697" s="43" t="s">
        <v>450</v>
      </c>
      <c r="B697" s="39">
        <v>17.0</v>
      </c>
    </row>
    <row r="698">
      <c r="A698" s="43" t="s">
        <v>451</v>
      </c>
      <c r="B698" s="39">
        <v>20.0</v>
      </c>
    </row>
    <row r="699">
      <c r="A699" s="43" t="s">
        <v>452</v>
      </c>
      <c r="B699" s="39">
        <v>17.0</v>
      </c>
    </row>
    <row r="700">
      <c r="A700" s="43" t="s">
        <v>453</v>
      </c>
      <c r="B700" s="39">
        <v>20.0</v>
      </c>
    </row>
    <row r="701">
      <c r="A701" s="43" t="s">
        <v>454</v>
      </c>
      <c r="B701" s="39">
        <v>50.0</v>
      </c>
    </row>
    <row r="702">
      <c r="A702" s="43" t="s">
        <v>455</v>
      </c>
      <c r="B702" s="39">
        <v>50.0</v>
      </c>
    </row>
    <row r="703">
      <c r="A703" s="43" t="s">
        <v>456</v>
      </c>
      <c r="B703" s="39">
        <v>50.0</v>
      </c>
    </row>
    <row r="704">
      <c r="A704" s="43" t="s">
        <v>457</v>
      </c>
      <c r="B704" s="42">
        <v>50.0</v>
      </c>
    </row>
    <row r="705">
      <c r="A705" s="43" t="s">
        <v>458</v>
      </c>
      <c r="B705" s="39">
        <v>50.0</v>
      </c>
    </row>
    <row r="706">
      <c r="A706" s="43" t="s">
        <v>459</v>
      </c>
      <c r="B706" s="39">
        <v>50.0</v>
      </c>
    </row>
    <row r="707">
      <c r="A707" s="43" t="s">
        <v>460</v>
      </c>
      <c r="B707" s="39">
        <v>12.0</v>
      </c>
    </row>
    <row r="708">
      <c r="A708" s="43" t="s">
        <v>461</v>
      </c>
      <c r="B708" s="39">
        <v>50.0</v>
      </c>
    </row>
    <row r="709">
      <c r="A709" s="43" t="s">
        <v>462</v>
      </c>
      <c r="B709" s="39">
        <v>13.0</v>
      </c>
    </row>
    <row r="710">
      <c r="A710" s="43" t="s">
        <v>463</v>
      </c>
      <c r="B710" s="39">
        <v>13.0</v>
      </c>
    </row>
    <row r="711">
      <c r="A711" s="43" t="s">
        <v>464</v>
      </c>
      <c r="B711" s="39">
        <v>6.0</v>
      </c>
    </row>
    <row r="712">
      <c r="A712" s="43" t="s">
        <v>465</v>
      </c>
      <c r="B712" s="39">
        <v>50.0</v>
      </c>
    </row>
    <row r="713">
      <c r="A713" s="43" t="s">
        <v>466</v>
      </c>
      <c r="B713" s="39">
        <v>50.0</v>
      </c>
    </row>
    <row r="714">
      <c r="A714" s="43" t="s">
        <v>467</v>
      </c>
      <c r="B714" s="39">
        <v>6.0</v>
      </c>
    </row>
    <row r="715">
      <c r="A715" s="43" t="s">
        <v>468</v>
      </c>
      <c r="B715" s="39">
        <v>50.0</v>
      </c>
    </row>
    <row r="716">
      <c r="A716" s="43" t="s">
        <v>469</v>
      </c>
      <c r="B716" s="39">
        <v>13.0</v>
      </c>
    </row>
    <row r="717">
      <c r="A717" s="43" t="s">
        <v>470</v>
      </c>
      <c r="B717" s="39">
        <v>50.0</v>
      </c>
    </row>
    <row r="718">
      <c r="A718" s="43" t="s">
        <v>471</v>
      </c>
      <c r="B718" s="39">
        <v>6.0</v>
      </c>
    </row>
    <row r="719">
      <c r="A719" s="43" t="s">
        <v>472</v>
      </c>
      <c r="B719" s="39">
        <v>8.0</v>
      </c>
    </row>
    <row r="720">
      <c r="A720" s="43" t="s">
        <v>473</v>
      </c>
      <c r="B720" s="39">
        <v>50.0</v>
      </c>
    </row>
    <row r="721">
      <c r="A721" s="43" t="s">
        <v>474</v>
      </c>
      <c r="B721" s="39">
        <v>10.0</v>
      </c>
    </row>
    <row r="722">
      <c r="A722" s="43" t="s">
        <v>476</v>
      </c>
      <c r="B722" s="39">
        <v>50.0</v>
      </c>
    </row>
    <row r="723">
      <c r="A723" s="43" t="s">
        <v>477</v>
      </c>
      <c r="B723" s="39">
        <v>50.0</v>
      </c>
    </row>
    <row r="724">
      <c r="A724" s="43" t="s">
        <v>478</v>
      </c>
      <c r="B724" s="39">
        <v>50.0</v>
      </c>
    </row>
    <row r="725">
      <c r="A725" s="43" t="s">
        <v>479</v>
      </c>
      <c r="B725" s="39">
        <v>11.0</v>
      </c>
    </row>
    <row r="726">
      <c r="A726" s="43" t="s">
        <v>480</v>
      </c>
      <c r="B726" s="39">
        <v>50.0</v>
      </c>
    </row>
    <row r="727">
      <c r="A727" s="43" t="s">
        <v>481</v>
      </c>
      <c r="B727" s="42">
        <v>50.0</v>
      </c>
    </row>
    <row r="728">
      <c r="A728" s="43" t="s">
        <v>482</v>
      </c>
      <c r="B728" s="39">
        <v>50.0</v>
      </c>
    </row>
    <row r="729">
      <c r="A729" s="43" t="s">
        <v>483</v>
      </c>
      <c r="B729" s="39">
        <v>13.0</v>
      </c>
    </row>
    <row r="730">
      <c r="A730" s="43" t="s">
        <v>484</v>
      </c>
      <c r="B730" s="39">
        <v>50.0</v>
      </c>
    </row>
    <row r="731">
      <c r="A731" s="43" t="s">
        <v>485</v>
      </c>
      <c r="B731" s="39">
        <v>50.0</v>
      </c>
    </row>
    <row r="732">
      <c r="A732" s="43" t="s">
        <v>486</v>
      </c>
      <c r="B732" s="39">
        <v>50.0</v>
      </c>
    </row>
    <row r="733">
      <c r="A733" s="43" t="s">
        <v>487</v>
      </c>
      <c r="B733" s="39">
        <v>50.0</v>
      </c>
    </row>
    <row r="734">
      <c r="A734" s="43" t="s">
        <v>488</v>
      </c>
      <c r="B734" s="39">
        <v>13.0</v>
      </c>
    </row>
    <row r="735">
      <c r="A735" s="43" t="s">
        <v>489</v>
      </c>
      <c r="B735" s="39">
        <v>26.0</v>
      </c>
    </row>
    <row r="736">
      <c r="A736" s="43" t="s">
        <v>490</v>
      </c>
      <c r="B736" s="39">
        <v>15.0</v>
      </c>
    </row>
    <row r="737">
      <c r="A737" s="43" t="s">
        <v>492</v>
      </c>
      <c r="B737" s="39">
        <v>8.0</v>
      </c>
    </row>
    <row r="738">
      <c r="A738" s="43" t="s">
        <v>493</v>
      </c>
      <c r="B738" s="39">
        <v>13.0</v>
      </c>
    </row>
    <row r="739">
      <c r="A739" s="43" t="s">
        <v>495</v>
      </c>
      <c r="B739" s="39">
        <v>50.0</v>
      </c>
    </row>
    <row r="740">
      <c r="A740" s="43" t="s">
        <v>496</v>
      </c>
      <c r="B740" s="39">
        <v>8.0</v>
      </c>
    </row>
    <row r="741">
      <c r="A741" s="43" t="s">
        <v>497</v>
      </c>
      <c r="B741" s="39">
        <v>0.0</v>
      </c>
    </row>
    <row r="742">
      <c r="A742" s="43" t="s">
        <v>498</v>
      </c>
      <c r="B742" s="39">
        <v>0.0</v>
      </c>
    </row>
    <row r="743">
      <c r="A743" s="43" t="s">
        <v>499</v>
      </c>
      <c r="B743" s="39">
        <v>10.0</v>
      </c>
    </row>
    <row r="744">
      <c r="A744" s="43" t="s">
        <v>500</v>
      </c>
      <c r="B744" s="39">
        <v>50.0</v>
      </c>
    </row>
    <row r="745">
      <c r="A745" s="43" t="s">
        <v>501</v>
      </c>
      <c r="B745" s="39">
        <v>18.0</v>
      </c>
    </row>
    <row r="746">
      <c r="A746" s="43" t="s">
        <v>502</v>
      </c>
      <c r="B746" s="39">
        <v>0.0</v>
      </c>
    </row>
    <row r="747">
      <c r="A747" s="43" t="s">
        <v>503</v>
      </c>
      <c r="B747" s="39">
        <v>50.0</v>
      </c>
    </row>
    <row r="748">
      <c r="A748" s="43" t="s">
        <v>504</v>
      </c>
      <c r="B748" s="39">
        <v>0.0</v>
      </c>
    </row>
    <row r="749">
      <c r="A749" s="43" t="s">
        <v>505</v>
      </c>
      <c r="B749" s="41">
        <v>61.0</v>
      </c>
    </row>
    <row r="750">
      <c r="A750" s="43" t="s">
        <v>506</v>
      </c>
      <c r="B750" s="39">
        <v>50.0</v>
      </c>
    </row>
    <row r="751">
      <c r="A751" s="43" t="s">
        <v>507</v>
      </c>
      <c r="B751" s="39">
        <v>50.0</v>
      </c>
    </row>
    <row r="752">
      <c r="A752" s="43" t="s">
        <v>508</v>
      </c>
      <c r="B752" s="41">
        <v>53.0</v>
      </c>
    </row>
    <row r="753">
      <c r="A753" s="43" t="s">
        <v>510</v>
      </c>
      <c r="B753" s="39">
        <v>50.0</v>
      </c>
    </row>
    <row r="754">
      <c r="A754" s="43" t="s">
        <v>511</v>
      </c>
      <c r="B754" s="39">
        <v>22.0</v>
      </c>
    </row>
    <row r="755">
      <c r="A755" s="43" t="s">
        <v>512</v>
      </c>
      <c r="B755" s="39">
        <v>50.0</v>
      </c>
    </row>
    <row r="756">
      <c r="A756" s="43" t="s">
        <v>513</v>
      </c>
      <c r="B756" s="39">
        <v>50.0</v>
      </c>
    </row>
    <row r="757">
      <c r="A757" s="43" t="s">
        <v>514</v>
      </c>
      <c r="B757" s="39">
        <v>50.0</v>
      </c>
    </row>
    <row r="758">
      <c r="A758" s="43" t="s">
        <v>515</v>
      </c>
      <c r="B758" s="39">
        <v>15.0</v>
      </c>
    </row>
    <row r="759">
      <c r="A759" s="43" t="s">
        <v>516</v>
      </c>
      <c r="B759" s="39">
        <v>50.0</v>
      </c>
    </row>
    <row r="760">
      <c r="A760" s="43" t="s">
        <v>517</v>
      </c>
      <c r="B760" s="39">
        <v>0.0</v>
      </c>
    </row>
    <row r="761">
      <c r="A761" s="43" t="s">
        <v>518</v>
      </c>
      <c r="B761" s="39">
        <v>50.0</v>
      </c>
    </row>
    <row r="762">
      <c r="A762" s="43" t="s">
        <v>520</v>
      </c>
      <c r="B762" s="39">
        <v>0.0</v>
      </c>
    </row>
    <row r="763">
      <c r="A763" s="43" t="s">
        <v>521</v>
      </c>
      <c r="B763" s="42">
        <v>50.0</v>
      </c>
    </row>
    <row r="764">
      <c r="A764" s="43" t="s">
        <v>522</v>
      </c>
      <c r="B764" s="39">
        <v>25.0</v>
      </c>
    </row>
    <row r="765">
      <c r="A765" s="43" t="s">
        <v>523</v>
      </c>
      <c r="B765" s="39">
        <v>50.0</v>
      </c>
    </row>
    <row r="766">
      <c r="A766" s="43" t="s">
        <v>524</v>
      </c>
      <c r="B766" s="39">
        <v>50.0</v>
      </c>
    </row>
    <row r="767">
      <c r="A767" s="43" t="s">
        <v>525</v>
      </c>
      <c r="B767" s="39">
        <v>50.0</v>
      </c>
    </row>
    <row r="768">
      <c r="A768" s="43" t="s">
        <v>526</v>
      </c>
      <c r="B768" s="39">
        <v>50.0</v>
      </c>
    </row>
    <row r="769">
      <c r="A769" s="43" t="s">
        <v>527</v>
      </c>
      <c r="B769" s="39">
        <v>10.0</v>
      </c>
    </row>
    <row r="770">
      <c r="A770" s="43" t="s">
        <v>528</v>
      </c>
      <c r="B770" s="39">
        <v>13.0</v>
      </c>
    </row>
    <row r="771">
      <c r="A771" s="43" t="s">
        <v>529</v>
      </c>
      <c r="B771" s="39">
        <v>50.0</v>
      </c>
    </row>
    <row r="772">
      <c r="A772" s="43" t="s">
        <v>530</v>
      </c>
      <c r="B772" s="39">
        <v>50.0</v>
      </c>
    </row>
    <row r="773">
      <c r="A773" s="43" t="s">
        <v>531</v>
      </c>
      <c r="B773" s="39">
        <v>50.0</v>
      </c>
    </row>
    <row r="774">
      <c r="A774" s="43" t="s">
        <v>532</v>
      </c>
      <c r="B774" s="39">
        <v>50.0</v>
      </c>
    </row>
    <row r="775">
      <c r="A775" s="43" t="s">
        <v>533</v>
      </c>
      <c r="B775" s="39">
        <v>50.0</v>
      </c>
    </row>
    <row r="776">
      <c r="A776" s="43" t="s">
        <v>534</v>
      </c>
      <c r="B776" s="42">
        <v>50.0</v>
      </c>
    </row>
    <row r="777">
      <c r="A777" s="43" t="s">
        <v>535</v>
      </c>
      <c r="B777" s="39">
        <v>50.0</v>
      </c>
    </row>
    <row r="778">
      <c r="A778" s="43" t="s">
        <v>536</v>
      </c>
      <c r="B778" s="39">
        <v>50.0</v>
      </c>
    </row>
    <row r="779">
      <c r="A779" s="43" t="s">
        <v>537</v>
      </c>
      <c r="B779" s="39">
        <v>3.0</v>
      </c>
    </row>
    <row r="780">
      <c r="A780" s="43" t="s">
        <v>538</v>
      </c>
      <c r="B780" s="39">
        <v>50.0</v>
      </c>
    </row>
    <row r="781">
      <c r="A781" s="43" t="s">
        <v>539</v>
      </c>
      <c r="B781" s="39">
        <v>44.0</v>
      </c>
    </row>
    <row r="782">
      <c r="A782" s="43" t="s">
        <v>540</v>
      </c>
      <c r="B782" s="39">
        <v>50.0</v>
      </c>
    </row>
    <row r="783">
      <c r="A783" s="43" t="s">
        <v>541</v>
      </c>
      <c r="B783" s="39">
        <v>50.0</v>
      </c>
    </row>
    <row r="784">
      <c r="A784" s="43" t="s">
        <v>542</v>
      </c>
      <c r="B784" s="39">
        <v>50.0</v>
      </c>
    </row>
    <row r="785">
      <c r="A785" s="43" t="s">
        <v>543</v>
      </c>
      <c r="B785" s="39">
        <v>50.0</v>
      </c>
    </row>
    <row r="786">
      <c r="A786" s="43" t="s">
        <v>544</v>
      </c>
      <c r="B786" s="42">
        <v>50.0</v>
      </c>
    </row>
    <row r="787">
      <c r="A787" s="43" t="s">
        <v>545</v>
      </c>
      <c r="B787" s="42">
        <v>50.0</v>
      </c>
    </row>
    <row r="788">
      <c r="A788" s="43" t="s">
        <v>546</v>
      </c>
      <c r="B788" s="39">
        <v>50.0</v>
      </c>
    </row>
    <row r="789">
      <c r="A789" s="43" t="s">
        <v>547</v>
      </c>
      <c r="B789" s="39">
        <v>50.0</v>
      </c>
    </row>
    <row r="790">
      <c r="A790" s="43" t="s">
        <v>548</v>
      </c>
      <c r="B790" s="39">
        <v>50.0</v>
      </c>
    </row>
    <row r="791">
      <c r="A791" s="43" t="s">
        <v>549</v>
      </c>
      <c r="B791" s="39">
        <v>50.0</v>
      </c>
    </row>
    <row r="792">
      <c r="A792" s="43" t="s">
        <v>550</v>
      </c>
      <c r="B792" s="39">
        <v>50.0</v>
      </c>
    </row>
    <row r="793">
      <c r="A793" s="43" t="s">
        <v>551</v>
      </c>
      <c r="B793" s="39">
        <v>50.0</v>
      </c>
    </row>
    <row r="794">
      <c r="A794" s="43" t="s">
        <v>552</v>
      </c>
      <c r="B794" s="39">
        <v>50.0</v>
      </c>
    </row>
    <row r="795">
      <c r="A795" s="43" t="s">
        <v>553</v>
      </c>
      <c r="B795" s="39">
        <v>50.0</v>
      </c>
    </row>
    <row r="796">
      <c r="A796" s="43" t="s">
        <v>554</v>
      </c>
      <c r="B796" s="39">
        <v>50.0</v>
      </c>
    </row>
    <row r="797">
      <c r="A797" s="43" t="s">
        <v>555</v>
      </c>
      <c r="B797" s="39">
        <v>50.0</v>
      </c>
    </row>
    <row r="798">
      <c r="A798" s="43" t="s">
        <v>556</v>
      </c>
      <c r="B798" s="39">
        <v>50.0</v>
      </c>
    </row>
    <row r="799">
      <c r="A799" s="43" t="s">
        <v>558</v>
      </c>
      <c r="B799" s="39">
        <v>3.0</v>
      </c>
    </row>
    <row r="800">
      <c r="A800" s="43" t="s">
        <v>559</v>
      </c>
      <c r="B800" s="39">
        <v>50.0</v>
      </c>
    </row>
    <row r="801">
      <c r="A801" s="43" t="s">
        <v>560</v>
      </c>
      <c r="B801" s="39">
        <v>50.0</v>
      </c>
    </row>
    <row r="802">
      <c r="A802" s="43" t="s">
        <v>561</v>
      </c>
      <c r="B802" s="39">
        <v>50.0</v>
      </c>
    </row>
    <row r="803">
      <c r="A803" s="43" t="s">
        <v>563</v>
      </c>
      <c r="B803" s="39">
        <v>14.0</v>
      </c>
    </row>
    <row r="804">
      <c r="A804" s="43" t="s">
        <v>564</v>
      </c>
      <c r="B804" s="39">
        <v>50.0</v>
      </c>
    </row>
    <row r="805">
      <c r="A805" s="43" t="s">
        <v>565</v>
      </c>
      <c r="B805" s="39">
        <v>50.0</v>
      </c>
    </row>
    <row r="806">
      <c r="A806" s="43" t="s">
        <v>566</v>
      </c>
      <c r="B806" s="39">
        <v>50.0</v>
      </c>
    </row>
    <row r="807">
      <c r="A807" s="43" t="s">
        <v>567</v>
      </c>
      <c r="B807" s="39">
        <v>8.0</v>
      </c>
    </row>
    <row r="808">
      <c r="A808" s="43" t="s">
        <v>568</v>
      </c>
      <c r="B808" s="39">
        <v>50.0</v>
      </c>
    </row>
    <row r="809">
      <c r="A809" s="43" t="s">
        <v>569</v>
      </c>
      <c r="B809" s="39">
        <v>50.0</v>
      </c>
    </row>
    <row r="810">
      <c r="A810" s="43" t="s">
        <v>570</v>
      </c>
      <c r="B810" s="39">
        <v>4.0</v>
      </c>
    </row>
    <row r="811">
      <c r="A811" s="43" t="s">
        <v>572</v>
      </c>
      <c r="B811" s="39">
        <v>50.0</v>
      </c>
    </row>
    <row r="812">
      <c r="A812" s="43" t="s">
        <v>573</v>
      </c>
      <c r="B812" s="39">
        <v>50.0</v>
      </c>
    </row>
    <row r="813">
      <c r="A813" s="43" t="s">
        <v>574</v>
      </c>
      <c r="B813" s="39">
        <v>50.0</v>
      </c>
    </row>
    <row r="814">
      <c r="A814" s="43" t="s">
        <v>575</v>
      </c>
      <c r="B814" s="39">
        <v>50.0</v>
      </c>
    </row>
    <row r="815">
      <c r="A815" s="43" t="s">
        <v>576</v>
      </c>
      <c r="B815" s="39">
        <v>50.0</v>
      </c>
    </row>
    <row r="816">
      <c r="A816" s="43" t="s">
        <v>577</v>
      </c>
      <c r="B816" s="39">
        <v>50.0</v>
      </c>
    </row>
    <row r="817">
      <c r="A817" s="43" t="s">
        <v>578</v>
      </c>
      <c r="B817" s="39">
        <v>8.0</v>
      </c>
    </row>
    <row r="818">
      <c r="A818" s="43" t="s">
        <v>579</v>
      </c>
      <c r="B818" s="39">
        <v>50.0</v>
      </c>
    </row>
    <row r="819">
      <c r="A819" s="43" t="s">
        <v>580</v>
      </c>
      <c r="B819" s="39">
        <v>8.0</v>
      </c>
    </row>
    <row r="820">
      <c r="A820" s="43" t="s">
        <v>581</v>
      </c>
      <c r="B820" s="39">
        <v>18.0</v>
      </c>
    </row>
    <row r="821">
      <c r="A821" s="43" t="s">
        <v>582</v>
      </c>
      <c r="B821" s="39">
        <v>10.0</v>
      </c>
    </row>
    <row r="822">
      <c r="A822" s="43" t="s">
        <v>583</v>
      </c>
      <c r="B822" s="39">
        <v>24.0</v>
      </c>
    </row>
    <row r="823">
      <c r="A823" s="43" t="s">
        <v>584</v>
      </c>
      <c r="B823" s="39">
        <v>15.0</v>
      </c>
    </row>
    <row r="824">
      <c r="A824" s="43" t="s">
        <v>585</v>
      </c>
      <c r="B824" s="39">
        <v>26.0</v>
      </c>
    </row>
    <row r="825">
      <c r="A825" s="43" t="s">
        <v>587</v>
      </c>
      <c r="B825" s="39">
        <v>50.0</v>
      </c>
    </row>
    <row r="826">
      <c r="A826" s="43" t="s">
        <v>588</v>
      </c>
      <c r="B826" s="39">
        <v>50.0</v>
      </c>
    </row>
    <row r="827">
      <c r="A827" s="43" t="s">
        <v>589</v>
      </c>
      <c r="B827" s="39">
        <v>50.0</v>
      </c>
    </row>
    <row r="828">
      <c r="A828" s="43" t="s">
        <v>590</v>
      </c>
      <c r="B828" s="39">
        <v>7.0</v>
      </c>
    </row>
    <row r="829">
      <c r="A829" s="43" t="s">
        <v>591</v>
      </c>
      <c r="B829" s="39">
        <v>50.0</v>
      </c>
    </row>
    <row r="830">
      <c r="A830" s="43" t="s">
        <v>592</v>
      </c>
      <c r="B830" s="39">
        <v>50.0</v>
      </c>
    </row>
    <row r="831">
      <c r="A831" s="43" t="s">
        <v>593</v>
      </c>
      <c r="B831" s="39">
        <v>0.0</v>
      </c>
    </row>
    <row r="832">
      <c r="A832" s="43" t="s">
        <v>595</v>
      </c>
      <c r="B832" s="39">
        <v>10.0</v>
      </c>
    </row>
    <row r="833">
      <c r="A833" s="43" t="s">
        <v>596</v>
      </c>
      <c r="B833" s="39">
        <v>23.0</v>
      </c>
    </row>
    <row r="834">
      <c r="A834" s="43" t="s">
        <v>597</v>
      </c>
      <c r="B834" s="39">
        <v>0.0</v>
      </c>
    </row>
    <row r="835">
      <c r="A835" s="43" t="s">
        <v>598</v>
      </c>
      <c r="B835" s="39">
        <v>50.0</v>
      </c>
    </row>
    <row r="836">
      <c r="A836" s="43" t="s">
        <v>599</v>
      </c>
      <c r="B836" s="39">
        <v>50.0</v>
      </c>
    </row>
    <row r="837">
      <c r="A837" s="43" t="s">
        <v>600</v>
      </c>
      <c r="B837" s="39">
        <v>50.0</v>
      </c>
    </row>
    <row r="838">
      <c r="A838" s="43" t="s">
        <v>601</v>
      </c>
      <c r="B838" s="39">
        <v>0.0</v>
      </c>
    </row>
    <row r="839">
      <c r="A839" s="43" t="s">
        <v>602</v>
      </c>
      <c r="B839" s="39">
        <v>11.0</v>
      </c>
    </row>
    <row r="840">
      <c r="A840" s="43" t="s">
        <v>603</v>
      </c>
      <c r="B840" s="39">
        <v>50.0</v>
      </c>
    </row>
    <row r="841">
      <c r="A841" s="43" t="s">
        <v>604</v>
      </c>
      <c r="B841" s="39">
        <v>16.0</v>
      </c>
    </row>
    <row r="842">
      <c r="A842" s="43" t="s">
        <v>605</v>
      </c>
      <c r="B842" s="39">
        <v>50.0</v>
      </c>
    </row>
    <row r="843">
      <c r="A843" s="43" t="s">
        <v>606</v>
      </c>
      <c r="B843" s="39">
        <v>50.0</v>
      </c>
    </row>
    <row r="844">
      <c r="A844" s="43" t="s">
        <v>607</v>
      </c>
      <c r="B844" s="39">
        <v>50.0</v>
      </c>
    </row>
    <row r="845">
      <c r="A845" s="43" t="s">
        <v>608</v>
      </c>
      <c r="B845" s="39">
        <v>8.0</v>
      </c>
    </row>
    <row r="846">
      <c r="A846" s="43" t="s">
        <v>609</v>
      </c>
      <c r="B846" s="39">
        <v>0.0</v>
      </c>
    </row>
    <row r="847">
      <c r="A847" s="43" t="s">
        <v>610</v>
      </c>
      <c r="B847" s="39">
        <v>7.0</v>
      </c>
    </row>
    <row r="848">
      <c r="A848" s="43" t="s">
        <v>611</v>
      </c>
      <c r="B848" s="39">
        <v>50.0</v>
      </c>
    </row>
    <row r="849">
      <c r="A849" s="43" t="s">
        <v>612</v>
      </c>
      <c r="B849" s="39">
        <v>20.0</v>
      </c>
    </row>
    <row r="850">
      <c r="A850" s="43" t="s">
        <v>613</v>
      </c>
      <c r="B850" s="39">
        <v>21.0</v>
      </c>
    </row>
    <row r="851">
      <c r="A851" s="43" t="s">
        <v>614</v>
      </c>
      <c r="B851" s="39">
        <v>16.0</v>
      </c>
    </row>
    <row r="852">
      <c r="A852" s="43" t="s">
        <v>615</v>
      </c>
      <c r="B852" s="39">
        <v>50.0</v>
      </c>
    </row>
    <row r="853">
      <c r="A853" s="43" t="s">
        <v>616</v>
      </c>
      <c r="B853" s="39">
        <v>50.0</v>
      </c>
    </row>
    <row r="854">
      <c r="A854" s="43" t="s">
        <v>617</v>
      </c>
      <c r="B854" s="39">
        <v>3.0</v>
      </c>
    </row>
    <row r="855">
      <c r="A855" s="43" t="s">
        <v>619</v>
      </c>
      <c r="B855" s="39">
        <v>18.0</v>
      </c>
    </row>
    <row r="856">
      <c r="A856" s="43" t="s">
        <v>620</v>
      </c>
      <c r="B856" s="39">
        <v>50.0</v>
      </c>
    </row>
    <row r="857">
      <c r="A857" s="43" t="s">
        <v>622</v>
      </c>
      <c r="B857" s="39">
        <v>12.0</v>
      </c>
    </row>
    <row r="858">
      <c r="A858" s="43" t="s">
        <v>623</v>
      </c>
      <c r="B858" s="39">
        <v>50.0</v>
      </c>
    </row>
    <row r="859">
      <c r="A859" s="43" t="s">
        <v>624</v>
      </c>
      <c r="B859" s="39">
        <v>50.0</v>
      </c>
    </row>
    <row r="860">
      <c r="A860" s="43" t="s">
        <v>625</v>
      </c>
      <c r="B860" s="39">
        <v>50.0</v>
      </c>
    </row>
    <row r="861">
      <c r="A861" s="43" t="s">
        <v>626</v>
      </c>
      <c r="B861" s="39">
        <v>50.0</v>
      </c>
    </row>
    <row r="862">
      <c r="A862" s="43" t="s">
        <v>627</v>
      </c>
      <c r="B862" s="39">
        <v>0.0</v>
      </c>
    </row>
    <row r="863">
      <c r="A863" s="43" t="s">
        <v>628</v>
      </c>
      <c r="B863" s="39">
        <v>50.0</v>
      </c>
    </row>
    <row r="864">
      <c r="A864" s="43" t="s">
        <v>629</v>
      </c>
      <c r="B864" s="39">
        <v>10.0</v>
      </c>
    </row>
    <row r="865">
      <c r="A865" s="43" t="s">
        <v>630</v>
      </c>
      <c r="B865" s="39">
        <v>50.0</v>
      </c>
    </row>
    <row r="866">
      <c r="A866" s="43" t="s">
        <v>631</v>
      </c>
      <c r="B866" s="39">
        <v>50.0</v>
      </c>
    </row>
    <row r="867">
      <c r="A867" s="43" t="s">
        <v>633</v>
      </c>
      <c r="B867" s="39">
        <v>0.0</v>
      </c>
    </row>
    <row r="868">
      <c r="A868" s="43" t="s">
        <v>634</v>
      </c>
      <c r="B868" s="39">
        <v>8.0</v>
      </c>
    </row>
    <row r="869">
      <c r="A869" s="43" t="s">
        <v>635</v>
      </c>
      <c r="B869" s="39">
        <v>50.0</v>
      </c>
    </row>
    <row r="870">
      <c r="A870" s="43" t="s">
        <v>1350</v>
      </c>
      <c r="B870" s="39">
        <v>31.0</v>
      </c>
    </row>
    <row r="871">
      <c r="A871" s="43" t="s">
        <v>659</v>
      </c>
      <c r="B871" s="39">
        <v>0.0</v>
      </c>
    </row>
    <row r="872">
      <c r="A872" s="43" t="s">
        <v>660</v>
      </c>
      <c r="B872" s="39">
        <v>50.0</v>
      </c>
    </row>
    <row r="873">
      <c r="A873" s="43" t="s">
        <v>661</v>
      </c>
      <c r="B873" s="39">
        <v>50.0</v>
      </c>
    </row>
    <row r="874">
      <c r="A874" s="43" t="s">
        <v>662</v>
      </c>
      <c r="B874" s="41">
        <v>58.0</v>
      </c>
    </row>
    <row r="875">
      <c r="A875" s="43" t="s">
        <v>663</v>
      </c>
      <c r="B875" s="41">
        <v>55.0</v>
      </c>
    </row>
    <row r="876">
      <c r="A876" s="43" t="s">
        <v>664</v>
      </c>
      <c r="B876" s="39">
        <v>50.0</v>
      </c>
    </row>
    <row r="877">
      <c r="A877" s="43" t="s">
        <v>665</v>
      </c>
      <c r="B877" s="39">
        <v>50.0</v>
      </c>
    </row>
    <row r="878">
      <c r="A878" s="43" t="s">
        <v>666</v>
      </c>
      <c r="B878" s="39">
        <v>50.0</v>
      </c>
    </row>
    <row r="879">
      <c r="A879" s="43" t="s">
        <v>667</v>
      </c>
      <c r="B879" s="39">
        <v>24.0</v>
      </c>
    </row>
    <row r="880">
      <c r="A880" s="43" t="s">
        <v>668</v>
      </c>
      <c r="B880" s="39">
        <v>22.0</v>
      </c>
    </row>
    <row r="881">
      <c r="A881" s="43" t="s">
        <v>669</v>
      </c>
      <c r="B881" s="39">
        <v>44.0</v>
      </c>
    </row>
    <row r="882">
      <c r="A882" s="43" t="s">
        <v>670</v>
      </c>
      <c r="B882" s="41">
        <v>57.0</v>
      </c>
    </row>
    <row r="883">
      <c r="A883" s="43" t="s">
        <v>671</v>
      </c>
      <c r="B883" s="39">
        <v>20.0</v>
      </c>
    </row>
    <row r="884">
      <c r="A884" s="43" t="s">
        <v>672</v>
      </c>
      <c r="B884" s="42">
        <v>50.0</v>
      </c>
    </row>
    <row r="885">
      <c r="A885" s="43" t="s">
        <v>673</v>
      </c>
      <c r="B885" s="39">
        <v>50.0</v>
      </c>
    </row>
    <row r="886">
      <c r="A886" s="43" t="s">
        <v>674</v>
      </c>
      <c r="B886" s="39">
        <v>33.0</v>
      </c>
    </row>
    <row r="887">
      <c r="A887" s="43" t="s">
        <v>675</v>
      </c>
      <c r="B887" s="39">
        <v>50.0</v>
      </c>
    </row>
    <row r="888">
      <c r="A888" s="43" t="s">
        <v>676</v>
      </c>
      <c r="B888" s="41">
        <v>50.0</v>
      </c>
    </row>
    <row r="889">
      <c r="A889" s="43" t="s">
        <v>677</v>
      </c>
      <c r="B889" s="41">
        <v>57.0</v>
      </c>
    </row>
    <row r="890">
      <c r="A890" s="43" t="s">
        <v>678</v>
      </c>
      <c r="B890" s="39">
        <v>0.0</v>
      </c>
    </row>
    <row r="891">
      <c r="A891" s="43" t="s">
        <v>679</v>
      </c>
      <c r="B891" s="39">
        <v>37.0</v>
      </c>
    </row>
    <row r="892">
      <c r="A892" s="43" t="s">
        <v>680</v>
      </c>
      <c r="B892" s="39">
        <v>13.0</v>
      </c>
    </row>
    <row r="893">
      <c r="A893" s="43" t="s">
        <v>681</v>
      </c>
      <c r="B893" s="41">
        <v>52.0</v>
      </c>
    </row>
    <row r="894">
      <c r="A894" s="43" t="s">
        <v>682</v>
      </c>
      <c r="B894" s="41">
        <v>53.0</v>
      </c>
    </row>
    <row r="895">
      <c r="A895" s="43" t="s">
        <v>683</v>
      </c>
      <c r="B895" s="39">
        <v>41.0</v>
      </c>
    </row>
    <row r="896">
      <c r="A896" s="43" t="s">
        <v>684</v>
      </c>
      <c r="B896" s="39">
        <v>8.0</v>
      </c>
    </row>
    <row r="897">
      <c r="A897" s="43" t="s">
        <v>685</v>
      </c>
      <c r="B897" s="39">
        <v>50.0</v>
      </c>
    </row>
    <row r="898">
      <c r="A898" s="43" t="s">
        <v>686</v>
      </c>
      <c r="B898" s="41">
        <v>64.0</v>
      </c>
    </row>
    <row r="899">
      <c r="A899" s="43" t="s">
        <v>687</v>
      </c>
      <c r="B899" s="39">
        <v>37.0</v>
      </c>
    </row>
    <row r="900">
      <c r="A900" s="43" t="s">
        <v>688</v>
      </c>
      <c r="B900" s="39">
        <v>50.0</v>
      </c>
    </row>
    <row r="901">
      <c r="A901" s="43" t="s">
        <v>689</v>
      </c>
      <c r="B901" s="39">
        <v>41.0</v>
      </c>
    </row>
    <row r="902">
      <c r="A902" s="43" t="s">
        <v>690</v>
      </c>
      <c r="B902" s="41">
        <v>58.0</v>
      </c>
    </row>
    <row r="903">
      <c r="A903" s="43" t="s">
        <v>691</v>
      </c>
      <c r="B903" s="39">
        <v>0.0</v>
      </c>
    </row>
    <row r="904">
      <c r="A904" s="43" t="s">
        <v>692</v>
      </c>
      <c r="B904" s="39">
        <v>50.0</v>
      </c>
    </row>
    <row r="905">
      <c r="A905" s="43" t="s">
        <v>693</v>
      </c>
      <c r="B905" s="39">
        <v>50.0</v>
      </c>
    </row>
    <row r="906">
      <c r="A906" s="43" t="s">
        <v>694</v>
      </c>
      <c r="B906" s="39">
        <v>10.0</v>
      </c>
    </row>
    <row r="907">
      <c r="A907" s="43" t="s">
        <v>695</v>
      </c>
      <c r="B907" s="39">
        <v>50.0</v>
      </c>
    </row>
    <row r="908">
      <c r="A908" s="43" t="s">
        <v>696</v>
      </c>
      <c r="B908" s="39">
        <v>18.0</v>
      </c>
    </row>
    <row r="909">
      <c r="A909" s="43" t="s">
        <v>697</v>
      </c>
      <c r="B909" s="41">
        <v>52.0</v>
      </c>
    </row>
    <row r="910">
      <c r="A910" s="43" t="s">
        <v>698</v>
      </c>
      <c r="B910" s="39">
        <v>46.0</v>
      </c>
    </row>
    <row r="911">
      <c r="A911" s="43" t="s">
        <v>699</v>
      </c>
      <c r="B911" s="39">
        <v>42.0</v>
      </c>
    </row>
    <row r="912">
      <c r="A912" s="43" t="s">
        <v>700</v>
      </c>
      <c r="B912" s="39">
        <v>50.0</v>
      </c>
    </row>
    <row r="913">
      <c r="A913" s="43" t="s">
        <v>701</v>
      </c>
      <c r="B913" s="41">
        <v>50.0</v>
      </c>
    </row>
    <row r="914">
      <c r="A914" s="43" t="s">
        <v>703</v>
      </c>
      <c r="B914" s="39">
        <v>30.0</v>
      </c>
    </row>
    <row r="915">
      <c r="A915" s="43" t="s">
        <v>704</v>
      </c>
      <c r="B915" s="39">
        <v>34.0</v>
      </c>
    </row>
    <row r="916">
      <c r="A916" s="43" t="s">
        <v>705</v>
      </c>
      <c r="B916" s="39">
        <v>0.0</v>
      </c>
    </row>
    <row r="917">
      <c r="A917" s="43" t="s">
        <v>706</v>
      </c>
      <c r="B917" s="39">
        <v>46.0</v>
      </c>
    </row>
    <row r="918">
      <c r="A918" s="43" t="s">
        <v>707</v>
      </c>
      <c r="B918" s="41">
        <v>50.0</v>
      </c>
    </row>
    <row r="919">
      <c r="A919" s="43" t="s">
        <v>708</v>
      </c>
      <c r="B919" s="39">
        <v>43.0</v>
      </c>
    </row>
    <row r="920">
      <c r="A920" s="43" t="s">
        <v>709</v>
      </c>
      <c r="B920" s="39">
        <v>43.0</v>
      </c>
    </row>
    <row r="921">
      <c r="A921" s="43" t="s">
        <v>710</v>
      </c>
      <c r="B921" s="39">
        <v>14.0</v>
      </c>
    </row>
    <row r="922">
      <c r="A922" s="43" t="s">
        <v>711</v>
      </c>
      <c r="B922" s="39">
        <v>0.0</v>
      </c>
    </row>
    <row r="923">
      <c r="A923" s="43" t="s">
        <v>712</v>
      </c>
      <c r="B923" s="39">
        <v>44.0</v>
      </c>
    </row>
    <row r="924">
      <c r="A924" s="43" t="s">
        <v>713</v>
      </c>
      <c r="B924" s="39">
        <v>50.0</v>
      </c>
    </row>
    <row r="925">
      <c r="A925" s="43" t="s">
        <v>714</v>
      </c>
      <c r="B925" s="39">
        <v>40.0</v>
      </c>
    </row>
    <row r="926">
      <c r="A926" s="43" t="s">
        <v>715</v>
      </c>
      <c r="B926" s="39">
        <v>50.0</v>
      </c>
    </row>
    <row r="927">
      <c r="A927" s="43" t="s">
        <v>716</v>
      </c>
      <c r="B927" s="41">
        <v>50.0</v>
      </c>
    </row>
    <row r="928">
      <c r="A928" s="43" t="s">
        <v>717</v>
      </c>
      <c r="B928" s="39">
        <v>42.0</v>
      </c>
    </row>
    <row r="929">
      <c r="A929" s="43" t="s">
        <v>718</v>
      </c>
      <c r="B929" s="39">
        <v>38.0</v>
      </c>
    </row>
    <row r="930">
      <c r="A930" s="43" t="s">
        <v>719</v>
      </c>
      <c r="B930" s="41">
        <v>61.0</v>
      </c>
    </row>
    <row r="931">
      <c r="A931" s="43" t="s">
        <v>720</v>
      </c>
      <c r="B931" s="41">
        <v>70.0</v>
      </c>
    </row>
    <row r="932">
      <c r="A932" s="43" t="s">
        <v>721</v>
      </c>
      <c r="B932" s="39">
        <v>21.0</v>
      </c>
    </row>
    <row r="933">
      <c r="A933" s="43" t="s">
        <v>722</v>
      </c>
      <c r="B933" s="39">
        <v>39.0</v>
      </c>
    </row>
    <row r="934">
      <c r="A934" s="43" t="s">
        <v>723</v>
      </c>
      <c r="B934" s="39">
        <v>0.0</v>
      </c>
    </row>
    <row r="935">
      <c r="A935" s="43" t="s">
        <v>724</v>
      </c>
      <c r="B935" s="41">
        <v>67.0</v>
      </c>
    </row>
    <row r="936">
      <c r="A936" s="43" t="s">
        <v>726</v>
      </c>
      <c r="B936" s="39">
        <v>21.0</v>
      </c>
    </row>
    <row r="937">
      <c r="A937" s="43" t="s">
        <v>727</v>
      </c>
      <c r="B937" s="39">
        <v>15.0</v>
      </c>
    </row>
    <row r="938">
      <c r="A938" s="43" t="s">
        <v>728</v>
      </c>
      <c r="B938" s="39">
        <v>29.0</v>
      </c>
    </row>
    <row r="939">
      <c r="A939" s="43" t="s">
        <v>729</v>
      </c>
      <c r="B939" s="39">
        <v>0.0</v>
      </c>
    </row>
    <row r="940">
      <c r="A940" s="43" t="s">
        <v>730</v>
      </c>
      <c r="B940" s="41">
        <v>59.0</v>
      </c>
    </row>
    <row r="941">
      <c r="A941" s="43" t="s">
        <v>731</v>
      </c>
      <c r="B941" s="41">
        <v>64.0</v>
      </c>
    </row>
    <row r="942">
      <c r="A942" s="43" t="s">
        <v>732</v>
      </c>
      <c r="B942" s="39">
        <v>0.0</v>
      </c>
    </row>
    <row r="943">
      <c r="A943" s="43" t="s">
        <v>733</v>
      </c>
      <c r="B943" s="39">
        <v>21.0</v>
      </c>
    </row>
    <row r="944">
      <c r="A944" s="43" t="s">
        <v>734</v>
      </c>
      <c r="B944" s="39">
        <v>5.0</v>
      </c>
    </row>
    <row r="945">
      <c r="A945" s="43" t="s">
        <v>735</v>
      </c>
      <c r="B945" s="39">
        <v>50.0</v>
      </c>
    </row>
    <row r="946">
      <c r="A946" s="43" t="s">
        <v>736</v>
      </c>
      <c r="B946" s="39">
        <v>50.0</v>
      </c>
    </row>
    <row r="947">
      <c r="A947" s="43" t="s">
        <v>737</v>
      </c>
      <c r="B947" s="41">
        <v>53.0</v>
      </c>
    </row>
    <row r="948">
      <c r="A948" s="43" t="s">
        <v>738</v>
      </c>
      <c r="B948" s="39">
        <v>36.0</v>
      </c>
    </row>
    <row r="949">
      <c r="A949" s="43" t="s">
        <v>739</v>
      </c>
      <c r="B949" s="41">
        <v>51.0</v>
      </c>
    </row>
    <row r="950">
      <c r="A950" s="43" t="s">
        <v>740</v>
      </c>
      <c r="B950" s="41">
        <v>62.0</v>
      </c>
    </row>
    <row r="951">
      <c r="A951" s="43" t="s">
        <v>741</v>
      </c>
      <c r="B951" s="41">
        <v>50.0</v>
      </c>
    </row>
    <row r="952">
      <c r="A952" s="43" t="s">
        <v>742</v>
      </c>
      <c r="B952" s="39">
        <v>21.0</v>
      </c>
    </row>
    <row r="953">
      <c r="A953" s="43" t="s">
        <v>743</v>
      </c>
      <c r="B953" s="39">
        <v>50.0</v>
      </c>
    </row>
    <row r="954">
      <c r="A954" s="43" t="s">
        <v>744</v>
      </c>
      <c r="B954" s="39">
        <v>32.0</v>
      </c>
    </row>
    <row r="955">
      <c r="A955" s="43" t="s">
        <v>745</v>
      </c>
      <c r="B955" s="39">
        <v>50.0</v>
      </c>
    </row>
    <row r="956">
      <c r="A956" s="43" t="s">
        <v>746</v>
      </c>
      <c r="B956" s="39">
        <v>37.0</v>
      </c>
    </row>
    <row r="957">
      <c r="A957" s="43" t="s">
        <v>747</v>
      </c>
      <c r="B957" s="39">
        <v>24.0</v>
      </c>
    </row>
    <row r="958">
      <c r="A958" s="43" t="s">
        <v>748</v>
      </c>
      <c r="B958" s="39">
        <v>50.0</v>
      </c>
    </row>
    <row r="959">
      <c r="A959" s="43" t="s">
        <v>749</v>
      </c>
      <c r="B959" s="39">
        <v>19.0</v>
      </c>
    </row>
    <row r="960">
      <c r="A960" s="43" t="s">
        <v>750</v>
      </c>
      <c r="B960" s="39">
        <v>43.0</v>
      </c>
    </row>
    <row r="961">
      <c r="A961" s="43" t="s">
        <v>751</v>
      </c>
      <c r="B961" s="41">
        <v>96.0</v>
      </c>
    </row>
    <row r="962">
      <c r="A962" s="43" t="s">
        <v>752</v>
      </c>
      <c r="B962" s="41">
        <v>70.0</v>
      </c>
    </row>
    <row r="963">
      <c r="A963" s="43" t="s">
        <v>753</v>
      </c>
      <c r="B963" s="39">
        <v>50.0</v>
      </c>
    </row>
    <row r="964">
      <c r="A964" s="43" t="s">
        <v>754</v>
      </c>
      <c r="B964" s="41">
        <v>53.0</v>
      </c>
    </row>
    <row r="965">
      <c r="A965" s="43" t="s">
        <v>755</v>
      </c>
      <c r="B965" s="39">
        <v>38.0</v>
      </c>
    </row>
    <row r="966">
      <c r="A966" s="43" t="s">
        <v>756</v>
      </c>
      <c r="B966" s="39">
        <v>50.0</v>
      </c>
    </row>
    <row r="967">
      <c r="A967" s="43" t="s">
        <v>757</v>
      </c>
      <c r="B967" s="39">
        <v>39.0</v>
      </c>
    </row>
    <row r="968">
      <c r="A968" s="43" t="s">
        <v>759</v>
      </c>
      <c r="B968" s="39">
        <v>50.0</v>
      </c>
    </row>
    <row r="969">
      <c r="A969" s="43" t="s">
        <v>760</v>
      </c>
      <c r="B969" s="39">
        <v>50.0</v>
      </c>
    </row>
    <row r="970">
      <c r="A970" s="43" t="s">
        <v>761</v>
      </c>
      <c r="B970" s="39">
        <v>50.0</v>
      </c>
    </row>
    <row r="971">
      <c r="A971" s="43" t="s">
        <v>762</v>
      </c>
      <c r="B971" s="39">
        <v>41.0</v>
      </c>
    </row>
    <row r="972">
      <c r="A972" s="43" t="s">
        <v>763</v>
      </c>
      <c r="B972" s="41">
        <v>52.0</v>
      </c>
    </row>
    <row r="973">
      <c r="A973" s="43" t="s">
        <v>764</v>
      </c>
      <c r="B973" s="39">
        <v>50.0</v>
      </c>
    </row>
    <row r="974">
      <c r="A974" s="43" t="s">
        <v>765</v>
      </c>
      <c r="B974" s="41">
        <v>66.0</v>
      </c>
    </row>
    <row r="975">
      <c r="A975" s="43" t="s">
        <v>766</v>
      </c>
      <c r="B975" s="41">
        <v>67.0</v>
      </c>
    </row>
    <row r="976">
      <c r="A976" s="43" t="s">
        <v>767</v>
      </c>
      <c r="B976" s="41">
        <v>71.0</v>
      </c>
    </row>
    <row r="977">
      <c r="A977" s="43" t="s">
        <v>768</v>
      </c>
      <c r="B977" s="41">
        <v>57.0</v>
      </c>
    </row>
    <row r="978">
      <c r="A978" s="43" t="s">
        <v>769</v>
      </c>
      <c r="B978" s="41">
        <v>59.0</v>
      </c>
    </row>
    <row r="979">
      <c r="A979" s="43" t="s">
        <v>770</v>
      </c>
      <c r="B979" s="41">
        <v>63.0</v>
      </c>
    </row>
    <row r="980">
      <c r="A980" s="43" t="s">
        <v>771</v>
      </c>
      <c r="B980" s="41">
        <v>62.0</v>
      </c>
    </row>
    <row r="981">
      <c r="A981" s="43" t="s">
        <v>773</v>
      </c>
      <c r="B981" s="41">
        <v>58.0</v>
      </c>
    </row>
    <row r="982">
      <c r="A982" s="43" t="s">
        <v>774</v>
      </c>
      <c r="B982" s="41">
        <v>64.0</v>
      </c>
    </row>
    <row r="983">
      <c r="A983" s="43" t="s">
        <v>775</v>
      </c>
      <c r="B983" s="39">
        <v>50.0</v>
      </c>
    </row>
    <row r="984">
      <c r="A984" s="43" t="s">
        <v>776</v>
      </c>
      <c r="B984" s="39">
        <v>50.0</v>
      </c>
    </row>
    <row r="985">
      <c r="A985" s="43" t="s">
        <v>777</v>
      </c>
      <c r="B985" s="39">
        <v>31.0</v>
      </c>
    </row>
    <row r="986">
      <c r="A986" s="43" t="s">
        <v>778</v>
      </c>
      <c r="B986" s="41">
        <v>53.0</v>
      </c>
    </row>
    <row r="987">
      <c r="A987" s="43" t="s">
        <v>779</v>
      </c>
      <c r="B987" s="39">
        <v>31.0</v>
      </c>
    </row>
    <row r="988">
      <c r="A988" s="43" t="s">
        <v>780</v>
      </c>
      <c r="B988" s="39">
        <v>32.0</v>
      </c>
    </row>
    <row r="989">
      <c r="A989" s="43" t="s">
        <v>781</v>
      </c>
      <c r="B989" s="41">
        <v>60.0</v>
      </c>
    </row>
    <row r="990">
      <c r="A990" s="43" t="s">
        <v>782</v>
      </c>
      <c r="B990" s="41">
        <v>61.0</v>
      </c>
    </row>
    <row r="991">
      <c r="A991" s="43" t="s">
        <v>783</v>
      </c>
      <c r="B991" s="41">
        <v>66.0</v>
      </c>
    </row>
    <row r="992">
      <c r="A992" s="43" t="s">
        <v>784</v>
      </c>
      <c r="B992" s="39">
        <v>50.0</v>
      </c>
    </row>
    <row r="993">
      <c r="A993" s="43" t="s">
        <v>785</v>
      </c>
      <c r="B993" s="39">
        <v>30.0</v>
      </c>
    </row>
    <row r="994">
      <c r="A994" s="43" t="s">
        <v>786</v>
      </c>
      <c r="B994" s="39">
        <v>23.0</v>
      </c>
    </row>
    <row r="995">
      <c r="A995" s="43" t="s">
        <v>787</v>
      </c>
      <c r="B995" s="39">
        <v>29.0</v>
      </c>
    </row>
    <row r="996">
      <c r="A996" s="43" t="s">
        <v>788</v>
      </c>
      <c r="B996" s="39">
        <v>50.0</v>
      </c>
    </row>
    <row r="997">
      <c r="A997" s="43" t="s">
        <v>789</v>
      </c>
      <c r="B997" s="39">
        <v>37.0</v>
      </c>
    </row>
    <row r="998">
      <c r="A998" s="43" t="s">
        <v>790</v>
      </c>
      <c r="B998" s="39">
        <v>26.0</v>
      </c>
    </row>
    <row r="999">
      <c r="A999" s="43" t="s">
        <v>791</v>
      </c>
      <c r="B999" s="39">
        <v>50.0</v>
      </c>
    </row>
    <row r="1000">
      <c r="A1000" s="43" t="s">
        <v>792</v>
      </c>
      <c r="B1000" s="41">
        <v>58.0</v>
      </c>
    </row>
    <row r="1001">
      <c r="A1001" s="43" t="s">
        <v>793</v>
      </c>
      <c r="B1001" s="39">
        <v>50.0</v>
      </c>
    </row>
    <row r="1002">
      <c r="A1002" s="43" t="s">
        <v>794</v>
      </c>
      <c r="B1002" s="41">
        <v>58.0</v>
      </c>
    </row>
    <row r="1003">
      <c r="A1003" s="43" t="s">
        <v>795</v>
      </c>
      <c r="B1003" s="39">
        <v>48.0</v>
      </c>
    </row>
    <row r="1004">
      <c r="A1004" s="43" t="s">
        <v>796</v>
      </c>
      <c r="B1004" s="39">
        <v>26.0</v>
      </c>
    </row>
    <row r="1005">
      <c r="A1005" s="43" t="s">
        <v>797</v>
      </c>
      <c r="B1005" s="41">
        <v>68.0</v>
      </c>
    </row>
    <row r="1006">
      <c r="A1006" s="43" t="s">
        <v>798</v>
      </c>
      <c r="B1006" s="41">
        <v>65.0</v>
      </c>
    </row>
    <row r="1007">
      <c r="A1007" s="43" t="s">
        <v>799</v>
      </c>
      <c r="B1007" s="39">
        <v>42.0</v>
      </c>
    </row>
    <row r="1008">
      <c r="A1008" s="43" t="s">
        <v>800</v>
      </c>
      <c r="B1008" s="39">
        <v>35.0</v>
      </c>
    </row>
    <row r="1009">
      <c r="A1009" s="43" t="s">
        <v>801</v>
      </c>
      <c r="B1009" s="41">
        <v>66.0</v>
      </c>
    </row>
    <row r="1010">
      <c r="A1010" s="43" t="s">
        <v>802</v>
      </c>
      <c r="B1010" s="39">
        <v>38.0</v>
      </c>
    </row>
    <row r="1011">
      <c r="A1011" s="43" t="s">
        <v>803</v>
      </c>
      <c r="B1011" s="39">
        <v>45.0</v>
      </c>
    </row>
    <row r="1012">
      <c r="A1012" s="43" t="s">
        <v>804</v>
      </c>
      <c r="B1012" s="39">
        <v>32.0</v>
      </c>
    </row>
    <row r="1013">
      <c r="A1013" s="43" t="s">
        <v>805</v>
      </c>
      <c r="B1013" s="41">
        <v>77.0</v>
      </c>
    </row>
    <row r="1014">
      <c r="A1014" s="43" t="s">
        <v>806</v>
      </c>
      <c r="B1014" s="41">
        <v>78.0</v>
      </c>
    </row>
    <row r="1015">
      <c r="A1015" s="43" t="s">
        <v>807</v>
      </c>
      <c r="B1015" s="39">
        <v>31.0</v>
      </c>
    </row>
    <row r="1016">
      <c r="A1016" s="43" t="s">
        <v>809</v>
      </c>
      <c r="B1016" s="39">
        <v>50.0</v>
      </c>
    </row>
    <row r="1017">
      <c r="A1017" s="43" t="s">
        <v>810</v>
      </c>
      <c r="B1017" s="39">
        <v>50.0</v>
      </c>
    </row>
    <row r="1018">
      <c r="A1018" s="43" t="s">
        <v>811</v>
      </c>
      <c r="B1018" s="41">
        <v>51.0</v>
      </c>
    </row>
    <row r="1019">
      <c r="A1019" s="43" t="s">
        <v>812</v>
      </c>
      <c r="B1019" s="39">
        <v>44.0</v>
      </c>
    </row>
    <row r="1020">
      <c r="A1020" s="43" t="s">
        <v>813</v>
      </c>
      <c r="B1020" s="41">
        <v>74.0</v>
      </c>
    </row>
    <row r="1021">
      <c r="A1021" s="43" t="s">
        <v>814</v>
      </c>
      <c r="B1021" s="41">
        <v>53.0</v>
      </c>
    </row>
    <row r="1022">
      <c r="A1022" s="43" t="s">
        <v>816</v>
      </c>
      <c r="B1022" s="39">
        <v>50.0</v>
      </c>
    </row>
    <row r="1023">
      <c r="A1023" s="43" t="s">
        <v>817</v>
      </c>
      <c r="B1023" s="41">
        <v>64.0</v>
      </c>
    </row>
    <row r="1024">
      <c r="A1024" s="43" t="s">
        <v>818</v>
      </c>
      <c r="B1024" s="39">
        <v>38.0</v>
      </c>
    </row>
    <row r="1025">
      <c r="A1025" s="43" t="s">
        <v>819</v>
      </c>
      <c r="B1025" s="39">
        <v>23.0</v>
      </c>
    </row>
    <row r="1026">
      <c r="A1026" s="43" t="s">
        <v>820</v>
      </c>
      <c r="B1026" s="39">
        <v>50.0</v>
      </c>
    </row>
    <row r="1027">
      <c r="A1027" s="43" t="s">
        <v>821</v>
      </c>
      <c r="B1027" s="41">
        <v>53.0</v>
      </c>
    </row>
    <row r="1028">
      <c r="A1028" s="43" t="s">
        <v>822</v>
      </c>
      <c r="B1028" s="41">
        <v>50.0</v>
      </c>
    </row>
    <row r="1029">
      <c r="A1029" s="43" t="s">
        <v>823</v>
      </c>
      <c r="B1029" s="39">
        <v>4.0</v>
      </c>
    </row>
    <row r="1030">
      <c r="A1030" s="43" t="s">
        <v>824</v>
      </c>
      <c r="B1030" s="39">
        <v>50.0</v>
      </c>
    </row>
    <row r="1031">
      <c r="A1031" s="43" t="s">
        <v>825</v>
      </c>
      <c r="B1031" s="39">
        <v>0.0</v>
      </c>
    </row>
    <row r="1032">
      <c r="A1032" s="43" t="s">
        <v>826</v>
      </c>
      <c r="B1032" s="39">
        <v>50.0</v>
      </c>
    </row>
    <row r="1033">
      <c r="A1033" s="43" t="s">
        <v>827</v>
      </c>
      <c r="B1033" s="39">
        <v>13.0</v>
      </c>
    </row>
    <row r="1034">
      <c r="A1034" s="43" t="s">
        <v>828</v>
      </c>
      <c r="B1034" s="39">
        <v>47.0</v>
      </c>
    </row>
    <row r="1035">
      <c r="A1035" s="43" t="s">
        <v>829</v>
      </c>
      <c r="B1035" s="39">
        <v>43.0</v>
      </c>
    </row>
    <row r="1036">
      <c r="A1036" s="43" t="s">
        <v>830</v>
      </c>
      <c r="B1036" s="41">
        <v>59.0</v>
      </c>
    </row>
    <row r="1037">
      <c r="A1037" s="43" t="s">
        <v>831</v>
      </c>
      <c r="B1037" s="41">
        <v>74.0</v>
      </c>
    </row>
    <row r="1038">
      <c r="A1038" s="43" t="s">
        <v>832</v>
      </c>
      <c r="B1038" s="39">
        <v>45.0</v>
      </c>
    </row>
    <row r="1039">
      <c r="A1039" s="43" t="s">
        <v>833</v>
      </c>
      <c r="B1039" s="39">
        <v>44.0</v>
      </c>
    </row>
    <row r="1040">
      <c r="A1040" s="43" t="s">
        <v>834</v>
      </c>
      <c r="B1040" s="39">
        <v>9.0</v>
      </c>
    </row>
    <row r="1041">
      <c r="A1041" s="43" t="s">
        <v>835</v>
      </c>
      <c r="B1041" s="39">
        <v>42.0</v>
      </c>
    </row>
    <row r="1042">
      <c r="A1042" s="43" t="s">
        <v>836</v>
      </c>
      <c r="B1042" s="39">
        <v>0.0</v>
      </c>
    </row>
    <row r="1043">
      <c r="A1043" s="43" t="s">
        <v>837</v>
      </c>
      <c r="B1043" s="41">
        <v>50.0</v>
      </c>
    </row>
    <row r="1044">
      <c r="A1044" s="43" t="s">
        <v>838</v>
      </c>
      <c r="B1044" s="41">
        <v>88.0</v>
      </c>
    </row>
    <row r="1045">
      <c r="A1045" s="43" t="s">
        <v>839</v>
      </c>
      <c r="B1045" s="41">
        <v>70.0</v>
      </c>
    </row>
    <row r="1046">
      <c r="A1046" s="43" t="s">
        <v>840</v>
      </c>
      <c r="B1046" s="39">
        <v>44.0</v>
      </c>
    </row>
    <row r="1047">
      <c r="A1047" s="43" t="s">
        <v>841</v>
      </c>
      <c r="B1047" s="39">
        <v>50.0</v>
      </c>
    </row>
    <row r="1048">
      <c r="A1048" s="43" t="s">
        <v>842</v>
      </c>
      <c r="B1048" s="39">
        <v>50.0</v>
      </c>
    </row>
    <row r="1049">
      <c r="A1049" s="43" t="s">
        <v>843</v>
      </c>
      <c r="B1049" s="39">
        <v>50.0</v>
      </c>
    </row>
    <row r="1050">
      <c r="A1050" s="43" t="s">
        <v>844</v>
      </c>
      <c r="B1050" s="39">
        <v>50.0</v>
      </c>
    </row>
    <row r="1051">
      <c r="A1051" s="43" t="s">
        <v>845</v>
      </c>
      <c r="B1051" s="39">
        <v>50.0</v>
      </c>
    </row>
    <row r="1052">
      <c r="A1052" s="43" t="s">
        <v>846</v>
      </c>
      <c r="B1052" s="41">
        <v>52.0</v>
      </c>
    </row>
    <row r="1053">
      <c r="A1053" s="43" t="s">
        <v>847</v>
      </c>
      <c r="B1053" s="41">
        <v>72.0</v>
      </c>
    </row>
    <row r="1054">
      <c r="A1054" s="43" t="s">
        <v>848</v>
      </c>
      <c r="B1054" s="41">
        <v>61.0</v>
      </c>
    </row>
    <row r="1055">
      <c r="A1055" s="43" t="s">
        <v>849</v>
      </c>
      <c r="B1055" s="41">
        <v>61.0</v>
      </c>
    </row>
    <row r="1056">
      <c r="A1056" s="43" t="s">
        <v>850</v>
      </c>
      <c r="B1056" s="39">
        <v>48.0</v>
      </c>
    </row>
    <row r="1057">
      <c r="A1057" s="43" t="s">
        <v>851</v>
      </c>
      <c r="B1057" s="41">
        <v>54.0</v>
      </c>
    </row>
    <row r="1058">
      <c r="A1058" s="43" t="s">
        <v>853</v>
      </c>
      <c r="B1058" s="39">
        <v>44.0</v>
      </c>
    </row>
    <row r="1059">
      <c r="A1059" s="43" t="s">
        <v>854</v>
      </c>
      <c r="B1059" s="41">
        <v>69.0</v>
      </c>
    </row>
    <row r="1060">
      <c r="A1060" s="43" t="s">
        <v>855</v>
      </c>
      <c r="B1060" s="39">
        <v>5.0</v>
      </c>
    </row>
    <row r="1061">
      <c r="A1061" s="43" t="s">
        <v>857</v>
      </c>
      <c r="B1061" s="39">
        <v>50.0</v>
      </c>
    </row>
    <row r="1062">
      <c r="A1062" s="43" t="s">
        <v>858</v>
      </c>
      <c r="B1062" s="39">
        <v>21.0</v>
      </c>
    </row>
    <row r="1063">
      <c r="A1063" s="43" t="s">
        <v>859</v>
      </c>
      <c r="B1063" s="41">
        <v>50.0</v>
      </c>
    </row>
    <row r="1064">
      <c r="A1064" s="43" t="s">
        <v>860</v>
      </c>
      <c r="B1064" s="41">
        <v>74.0</v>
      </c>
    </row>
    <row r="1065">
      <c r="A1065" s="43" t="s">
        <v>1339</v>
      </c>
      <c r="B1065" s="41">
        <v>62.0</v>
      </c>
    </row>
    <row r="1066">
      <c r="A1066" s="43" t="s">
        <v>1249</v>
      </c>
      <c r="B1066" s="39">
        <v>50.0</v>
      </c>
    </row>
    <row r="1067">
      <c r="A1067" s="43" t="s">
        <v>864</v>
      </c>
      <c r="B1067" s="41">
        <v>62.0</v>
      </c>
    </row>
    <row r="1068">
      <c r="A1068" s="43" t="s">
        <v>861</v>
      </c>
      <c r="B1068" s="41">
        <v>83.0</v>
      </c>
    </row>
    <row r="1069">
      <c r="A1069" s="43" t="s">
        <v>1340</v>
      </c>
      <c r="B1069" s="39">
        <v>6.0</v>
      </c>
    </row>
    <row r="1070">
      <c r="A1070" s="43" t="s">
        <v>1027</v>
      </c>
      <c r="B1070" s="39">
        <v>50.0</v>
      </c>
    </row>
    <row r="1071">
      <c r="A1071" s="43" t="s">
        <v>1343</v>
      </c>
      <c r="B1071" s="39">
        <v>18.0</v>
      </c>
    </row>
    <row r="1072">
      <c r="A1072" s="43" t="s">
        <v>1029</v>
      </c>
      <c r="B1072" s="39">
        <v>50.0</v>
      </c>
    </row>
    <row r="1073">
      <c r="A1073" s="43" t="s">
        <v>1031</v>
      </c>
      <c r="B1073" s="39">
        <v>50.0</v>
      </c>
    </row>
    <row r="1074">
      <c r="A1074" s="43" t="s">
        <v>1030</v>
      </c>
      <c r="B1074" s="39">
        <v>2.0</v>
      </c>
    </row>
    <row r="1075">
      <c r="A1075" s="43" t="s">
        <v>1032</v>
      </c>
      <c r="B1075" s="39">
        <v>8.0</v>
      </c>
    </row>
    <row r="1076">
      <c r="A1076" s="43" t="s">
        <v>1033</v>
      </c>
      <c r="B1076" s="39">
        <v>8.0</v>
      </c>
    </row>
    <row r="1077">
      <c r="A1077" s="43" t="s">
        <v>1034</v>
      </c>
      <c r="B1077" s="39">
        <v>50.0</v>
      </c>
    </row>
    <row r="1078">
      <c r="A1078" s="43" t="s">
        <v>1344</v>
      </c>
      <c r="B1078" s="39">
        <v>50.0</v>
      </c>
    </row>
    <row r="1079">
      <c r="A1079" s="43" t="s">
        <v>1036</v>
      </c>
      <c r="B1079" s="39">
        <v>3.0</v>
      </c>
    </row>
    <row r="1080">
      <c r="A1080" s="43" t="s">
        <v>1038</v>
      </c>
      <c r="B1080" s="39">
        <v>0.0</v>
      </c>
    </row>
    <row r="1081">
      <c r="A1081" s="43" t="s">
        <v>1037</v>
      </c>
      <c r="B1081" s="39">
        <v>9.0</v>
      </c>
    </row>
    <row r="1082">
      <c r="A1082" s="43" t="s">
        <v>1191</v>
      </c>
      <c r="B1082" s="39">
        <v>36.0</v>
      </c>
    </row>
    <row r="1083">
      <c r="A1083" s="43" t="s">
        <v>1188</v>
      </c>
      <c r="B1083" s="39">
        <v>5.0</v>
      </c>
    </row>
    <row r="1084">
      <c r="A1084" s="43" t="s">
        <v>1192</v>
      </c>
      <c r="B1084" s="39">
        <v>18.0</v>
      </c>
    </row>
    <row r="1085">
      <c r="A1085" s="43" t="s">
        <v>1185</v>
      </c>
      <c r="B1085" s="39">
        <v>-3.0</v>
      </c>
    </row>
    <row r="1086">
      <c r="A1086" s="43" t="s">
        <v>1189</v>
      </c>
      <c r="B1086" s="39">
        <v>14.0</v>
      </c>
    </row>
    <row r="1087">
      <c r="A1087" s="43" t="s">
        <v>1195</v>
      </c>
      <c r="B1087" s="39">
        <v>10.0</v>
      </c>
    </row>
    <row r="1088">
      <c r="A1088" s="43" t="s">
        <v>1183</v>
      </c>
      <c r="B1088" s="39">
        <v>21.0</v>
      </c>
    </row>
    <row r="1089">
      <c r="A1089" s="43" t="s">
        <v>1186</v>
      </c>
      <c r="B1089" s="39">
        <v>50.0</v>
      </c>
    </row>
    <row r="1090">
      <c r="A1090" s="43" t="s">
        <v>1193</v>
      </c>
      <c r="B1090" s="39">
        <v>21.0</v>
      </c>
    </row>
    <row r="1091">
      <c r="A1091" s="43" t="s">
        <v>1187</v>
      </c>
      <c r="B1091" s="39">
        <v>35.0</v>
      </c>
    </row>
    <row r="1092">
      <c r="A1092" s="43" t="s">
        <v>1184</v>
      </c>
      <c r="B1092" s="39">
        <v>16.0</v>
      </c>
    </row>
    <row r="1093">
      <c r="A1093" s="43" t="s">
        <v>1190</v>
      </c>
      <c r="B1093" s="39">
        <v>18.0</v>
      </c>
    </row>
    <row r="1094">
      <c r="A1094" s="43" t="s">
        <v>1194</v>
      </c>
      <c r="B1094" s="39">
        <v>18.0</v>
      </c>
    </row>
    <row r="1095">
      <c r="A1095" s="43" t="s">
        <v>1268</v>
      </c>
      <c r="B1095" s="39">
        <v>14.0</v>
      </c>
    </row>
    <row r="1096">
      <c r="A1096" s="43" t="s">
        <v>1264</v>
      </c>
      <c r="B1096" s="39">
        <v>25.0</v>
      </c>
    </row>
    <row r="1097">
      <c r="A1097" s="43" t="s">
        <v>1265</v>
      </c>
      <c r="B1097" s="39">
        <v>12.0</v>
      </c>
    </row>
    <row r="1098">
      <c r="A1098" s="43" t="s">
        <v>1263</v>
      </c>
      <c r="B1098" s="39">
        <v>6.0</v>
      </c>
    </row>
    <row r="1099">
      <c r="A1099" s="43" t="s">
        <v>1266</v>
      </c>
      <c r="B1099" s="39">
        <v>50.0</v>
      </c>
    </row>
    <row r="1100">
      <c r="A1100" s="43" t="s">
        <v>1267</v>
      </c>
      <c r="B1100" s="39">
        <v>1.0</v>
      </c>
    </row>
    <row r="1101">
      <c r="A1101" s="43" t="s">
        <v>1337</v>
      </c>
      <c r="B1101" s="39">
        <v>27.0</v>
      </c>
    </row>
    <row r="1102">
      <c r="A1102" s="43" t="s">
        <v>1332</v>
      </c>
      <c r="B1102" s="39">
        <v>12.0</v>
      </c>
    </row>
    <row r="1103">
      <c r="A1103" s="43" t="s">
        <v>1334</v>
      </c>
      <c r="B1103" s="39">
        <v>14.0</v>
      </c>
    </row>
    <row r="1104">
      <c r="A1104" s="43" t="s">
        <v>1333</v>
      </c>
      <c r="B1104" s="41">
        <v>50.0</v>
      </c>
    </row>
    <row r="1105">
      <c r="A1105" s="43" t="s">
        <v>1354</v>
      </c>
      <c r="B1105" s="39">
        <v>16.0</v>
      </c>
    </row>
    <row r="1106">
      <c r="A1106" s="43" t="s">
        <v>1336</v>
      </c>
      <c r="B1106" s="39">
        <v>0.0</v>
      </c>
    </row>
    <row r="1107">
      <c r="A1107" s="44" t="s">
        <v>363</v>
      </c>
      <c r="B1107" s="39">
        <v>13.0</v>
      </c>
    </row>
    <row r="1108">
      <c r="A1108" s="44" t="s">
        <v>370</v>
      </c>
      <c r="B1108" s="39">
        <v>15.0</v>
      </c>
    </row>
    <row r="1109">
      <c r="A1109" s="44" t="s">
        <v>364</v>
      </c>
      <c r="B1109" s="39">
        <v>25.0</v>
      </c>
    </row>
    <row r="1110">
      <c r="A1110" s="44" t="s">
        <v>366</v>
      </c>
      <c r="B1110" s="39">
        <v>15.0</v>
      </c>
    </row>
    <row r="1111">
      <c r="A1111" s="44" t="s">
        <v>368</v>
      </c>
      <c r="B1111" s="39">
        <v>0.0</v>
      </c>
    </row>
    <row r="1112">
      <c r="A1112" s="44" t="s">
        <v>365</v>
      </c>
      <c r="B1112" s="39">
        <v>50.0</v>
      </c>
    </row>
    <row r="1113">
      <c r="A1113" s="44" t="s">
        <v>374</v>
      </c>
      <c r="B1113" s="39">
        <v>6.0</v>
      </c>
    </row>
    <row r="1114">
      <c r="A1114" s="44" t="s">
        <v>376</v>
      </c>
      <c r="B1114" s="39">
        <v>3.0</v>
      </c>
    </row>
    <row r="1115">
      <c r="A1115" s="44" t="s">
        <v>361</v>
      </c>
      <c r="B1115" s="39">
        <v>8.0</v>
      </c>
    </row>
    <row r="1116">
      <c r="A1116" s="44" t="s">
        <v>367</v>
      </c>
      <c r="B1116" s="39">
        <v>50.0</v>
      </c>
    </row>
    <row r="1117">
      <c r="A1117" s="44" t="s">
        <v>372</v>
      </c>
      <c r="B1117" s="39">
        <v>0.0</v>
      </c>
    </row>
    <row r="1118">
      <c r="A1118" s="44" t="s">
        <v>377</v>
      </c>
      <c r="B1118" s="39">
        <v>0.0</v>
      </c>
    </row>
    <row r="1119">
      <c r="A1119" s="44" t="s">
        <v>373</v>
      </c>
      <c r="B1119" s="39">
        <v>18.0</v>
      </c>
    </row>
    <row r="1120">
      <c r="A1120" s="44" t="s">
        <v>362</v>
      </c>
      <c r="B1120" s="39">
        <v>31.0</v>
      </c>
    </row>
    <row r="1121">
      <c r="A1121" s="44" t="s">
        <v>371</v>
      </c>
      <c r="B1121" s="39">
        <v>10.0</v>
      </c>
    </row>
    <row r="1122">
      <c r="A1122" s="44" t="s">
        <v>375</v>
      </c>
      <c r="B1122" s="39">
        <v>8.0</v>
      </c>
    </row>
    <row r="1123">
      <c r="A1123" s="44" t="s">
        <v>360</v>
      </c>
      <c r="B1123" s="39">
        <v>0.0</v>
      </c>
    </row>
    <row r="1124">
      <c r="A1124" s="44" t="s">
        <v>369</v>
      </c>
      <c r="B1124" s="39">
        <v>0.0</v>
      </c>
    </row>
    <row r="1125">
      <c r="A1125" s="43" t="s">
        <v>647</v>
      </c>
      <c r="B1125" s="39">
        <v>15.0</v>
      </c>
    </row>
    <row r="1126">
      <c r="A1126" s="43" t="s">
        <v>637</v>
      </c>
      <c r="B1126" s="39">
        <v>0.0</v>
      </c>
    </row>
    <row r="1127">
      <c r="A1127" s="43" t="s">
        <v>642</v>
      </c>
      <c r="B1127" s="39">
        <v>3.0</v>
      </c>
    </row>
    <row r="1128">
      <c r="A1128" s="43" t="s">
        <v>638</v>
      </c>
      <c r="B1128" s="39">
        <v>50.0</v>
      </c>
    </row>
    <row r="1129">
      <c r="A1129" s="43" t="s">
        <v>639</v>
      </c>
      <c r="B1129" s="39">
        <v>0.0</v>
      </c>
    </row>
    <row r="1130">
      <c r="A1130" s="43" t="s">
        <v>645</v>
      </c>
      <c r="B1130" s="39">
        <v>50.0</v>
      </c>
    </row>
    <row r="1131">
      <c r="A1131" s="43" t="s">
        <v>648</v>
      </c>
      <c r="B1131" s="39">
        <v>50.0</v>
      </c>
    </row>
    <row r="1132">
      <c r="A1132" s="43" t="s">
        <v>644</v>
      </c>
      <c r="B1132" s="39">
        <v>3.0</v>
      </c>
    </row>
    <row r="1133">
      <c r="A1133" s="43" t="s">
        <v>640</v>
      </c>
      <c r="B1133" s="39">
        <v>50.0</v>
      </c>
    </row>
    <row r="1134">
      <c r="A1134" s="43" t="s">
        <v>646</v>
      </c>
      <c r="B1134" s="39">
        <v>20.0</v>
      </c>
    </row>
    <row r="1135">
      <c r="A1135" s="43" t="s">
        <v>641</v>
      </c>
      <c r="B1135" s="39">
        <v>20.0</v>
      </c>
    </row>
    <row r="1136">
      <c r="A1136" s="43" t="s">
        <v>652</v>
      </c>
      <c r="B1136" s="39">
        <v>8.0</v>
      </c>
    </row>
    <row r="1137">
      <c r="A1137" s="43" t="s">
        <v>649</v>
      </c>
      <c r="B1137" s="39">
        <v>3.0</v>
      </c>
    </row>
    <row r="1138">
      <c r="A1138" s="43" t="s">
        <v>650</v>
      </c>
      <c r="B1138" s="39">
        <v>0.0</v>
      </c>
    </row>
    <row r="1139">
      <c r="A1139" s="43" t="s">
        <v>653</v>
      </c>
      <c r="B1139" s="39">
        <v>7.0</v>
      </c>
    </row>
    <row r="1140">
      <c r="A1140" s="43" t="s">
        <v>1351</v>
      </c>
      <c r="B1140" s="39">
        <v>15.0</v>
      </c>
    </row>
    <row r="1141">
      <c r="A1141" s="43" t="s">
        <v>651</v>
      </c>
      <c r="B1141" s="39">
        <v>7.0</v>
      </c>
    </row>
    <row r="1142">
      <c r="A1142" s="43" t="s">
        <v>658</v>
      </c>
      <c r="B1142" s="39">
        <v>9.0</v>
      </c>
    </row>
    <row r="1143">
      <c r="A1143" s="43" t="s">
        <v>657</v>
      </c>
      <c r="B1143" s="39">
        <v>10.0</v>
      </c>
    </row>
    <row r="1144">
      <c r="A1144" s="43" t="s">
        <v>1352</v>
      </c>
      <c r="B1144" s="45">
        <v>0.0</v>
      </c>
    </row>
    <row r="1145">
      <c r="A1145" s="43" t="s">
        <v>654</v>
      </c>
      <c r="B1145" s="39">
        <v>6.0</v>
      </c>
    </row>
    <row r="1146">
      <c r="A1146" s="43" t="s">
        <v>654</v>
      </c>
      <c r="B1146" s="39">
        <v>3.0</v>
      </c>
    </row>
    <row r="1147">
      <c r="A1147" s="43" t="s">
        <v>655</v>
      </c>
      <c r="B1147" s="39">
        <v>13.0</v>
      </c>
    </row>
    <row r="1148">
      <c r="A1148" s="43" t="s">
        <v>643</v>
      </c>
      <c r="B1148" s="39">
        <v>25.0</v>
      </c>
    </row>
    <row r="1149">
      <c r="A1149" s="43" t="s">
        <v>866</v>
      </c>
      <c r="B1149" s="41">
        <v>62.0</v>
      </c>
    </row>
    <row r="1150">
      <c r="A1150" s="43" t="s">
        <v>871</v>
      </c>
      <c r="B1150" s="39">
        <v>15.0</v>
      </c>
    </row>
    <row r="1151">
      <c r="A1151" s="43" t="s">
        <v>867</v>
      </c>
      <c r="B1151" s="39">
        <v>44.0</v>
      </c>
    </row>
    <row r="1152">
      <c r="A1152" s="43" t="s">
        <v>872</v>
      </c>
      <c r="B1152" s="39">
        <v>50.0</v>
      </c>
    </row>
    <row r="1153">
      <c r="A1153" s="43" t="s">
        <v>869</v>
      </c>
      <c r="B1153" s="39">
        <v>43.0</v>
      </c>
    </row>
    <row r="1154">
      <c r="A1154" s="43" t="s">
        <v>1342</v>
      </c>
      <c r="B1154" s="39">
        <v>0.0</v>
      </c>
    </row>
    <row r="1155">
      <c r="A1155" s="43" t="s">
        <v>882</v>
      </c>
      <c r="B1155" s="39">
        <v>50.0</v>
      </c>
    </row>
    <row r="1156">
      <c r="A1156" s="43" t="s">
        <v>873</v>
      </c>
      <c r="B1156" s="39">
        <v>24.0</v>
      </c>
    </row>
    <row r="1157">
      <c r="A1157" s="43" t="s">
        <v>877</v>
      </c>
      <c r="B1157" s="39">
        <v>18.0</v>
      </c>
    </row>
    <row r="1158">
      <c r="A1158" s="43" t="s">
        <v>879</v>
      </c>
      <c r="B1158" s="39">
        <v>7.0</v>
      </c>
    </row>
    <row r="1159">
      <c r="A1159" s="43" t="s">
        <v>870</v>
      </c>
      <c r="B1159" s="39">
        <v>21.0</v>
      </c>
    </row>
    <row r="1160">
      <c r="A1160" s="43" t="s">
        <v>881</v>
      </c>
      <c r="B1160" s="39">
        <v>22.0</v>
      </c>
    </row>
    <row r="1161">
      <c r="A1161" s="43" t="s">
        <v>876</v>
      </c>
      <c r="B1161" s="39">
        <v>13.0</v>
      </c>
    </row>
    <row r="1162">
      <c r="A1162" s="43" t="s">
        <v>878</v>
      </c>
      <c r="B1162" s="39">
        <v>11.0</v>
      </c>
    </row>
    <row r="1163">
      <c r="A1163" s="43" t="s">
        <v>880</v>
      </c>
      <c r="B1163" s="39">
        <v>15.0</v>
      </c>
    </row>
    <row r="1164">
      <c r="A1164" s="43" t="s">
        <v>1341</v>
      </c>
      <c r="B1164" s="39">
        <v>13.0</v>
      </c>
    </row>
    <row r="1165">
      <c r="A1165" s="43" t="s">
        <v>865</v>
      </c>
      <c r="B1165" s="39">
        <v>6.0</v>
      </c>
    </row>
    <row r="1166">
      <c r="A1166" s="43"/>
      <c r="B1166" s="7"/>
    </row>
    <row r="1167">
      <c r="A1167" s="43"/>
      <c r="B1167" s="7"/>
    </row>
    <row r="1168">
      <c r="A1168" s="43"/>
      <c r="B1168" s="7"/>
    </row>
    <row r="1169">
      <c r="A1169" s="43"/>
      <c r="B1169" s="7"/>
    </row>
    <row r="1170">
      <c r="A1170" s="43"/>
      <c r="B1170" s="7"/>
    </row>
    <row r="1171">
      <c r="A1171" s="43"/>
      <c r="B1171" s="7"/>
    </row>
    <row r="1172">
      <c r="A1172" s="43"/>
      <c r="B1172" s="7"/>
    </row>
    <row r="1173">
      <c r="A1173" s="43"/>
      <c r="B1173" s="7"/>
    </row>
    <row r="1174">
      <c r="A1174" s="43"/>
      <c r="B1174" s="7"/>
    </row>
    <row r="1175">
      <c r="A1175" s="43"/>
      <c r="B1175" s="7"/>
    </row>
    <row r="1176">
      <c r="A1176" s="43"/>
      <c r="B1176" s="7"/>
    </row>
    <row r="1177">
      <c r="A1177" s="43"/>
      <c r="B1177" s="7"/>
    </row>
    <row r="1178">
      <c r="A1178" s="43"/>
      <c r="B1178" s="7"/>
    </row>
    <row r="1179">
      <c r="A1179" s="43"/>
      <c r="B1179" s="7"/>
    </row>
    <row r="1180">
      <c r="A1180" s="43"/>
      <c r="B1180" s="7"/>
    </row>
    <row r="1181">
      <c r="A1181" s="43"/>
      <c r="B1181" s="7"/>
    </row>
    <row r="1182">
      <c r="A1182" s="43"/>
      <c r="B1182" s="7"/>
    </row>
    <row r="1183">
      <c r="A1183" s="43"/>
      <c r="B1183" s="7"/>
    </row>
    <row r="1184">
      <c r="A1184" s="43"/>
      <c r="B1184" s="7"/>
    </row>
    <row r="1185">
      <c r="A1185" s="43"/>
      <c r="B1185" s="7"/>
    </row>
    <row r="1186">
      <c r="A1186" s="43"/>
      <c r="B1186" s="7"/>
    </row>
    <row r="1187">
      <c r="A1187" s="43"/>
      <c r="B1187" s="7"/>
    </row>
    <row r="1188">
      <c r="A1188" s="43"/>
      <c r="B1188" s="7"/>
    </row>
    <row r="1189">
      <c r="A1189" s="43"/>
      <c r="B1189" s="7"/>
    </row>
    <row r="1190">
      <c r="A1190" s="43"/>
      <c r="B1190" s="7"/>
    </row>
    <row r="1191">
      <c r="A1191" s="43"/>
      <c r="B1191" s="7"/>
    </row>
    <row r="1192">
      <c r="A1192" s="43"/>
      <c r="B1192" s="7"/>
    </row>
    <row r="1193">
      <c r="A1193" s="43"/>
      <c r="B1193" s="7"/>
    </row>
    <row r="1194">
      <c r="A1194" s="43"/>
      <c r="B1194" s="7"/>
    </row>
    <row r="1195">
      <c r="A1195" s="43"/>
      <c r="B1195" s="7"/>
    </row>
    <row r="1196">
      <c r="A1196" s="43"/>
      <c r="B1196" s="7"/>
    </row>
    <row r="1197">
      <c r="A1197" s="43"/>
      <c r="B1197" s="7"/>
    </row>
    <row r="1198">
      <c r="A1198" s="43"/>
      <c r="B1198" s="7"/>
    </row>
    <row r="1199">
      <c r="A1199" s="43"/>
      <c r="B1199" s="7"/>
    </row>
    <row r="1200">
      <c r="A1200" s="43"/>
      <c r="B1200" s="7"/>
    </row>
    <row r="1201">
      <c r="A1201" s="43"/>
      <c r="B1201" s="7"/>
    </row>
    <row r="1202">
      <c r="A1202" s="43"/>
      <c r="B1202" s="7"/>
    </row>
    <row r="1203">
      <c r="A1203" s="43"/>
      <c r="B1203" s="7"/>
    </row>
    <row r="1204">
      <c r="A1204" s="43"/>
      <c r="B1204" s="7"/>
    </row>
    <row r="1205">
      <c r="A1205" s="43"/>
      <c r="B1205" s="7"/>
    </row>
    <row r="1206">
      <c r="A1206" s="43"/>
      <c r="B1206" s="7"/>
    </row>
    <row r="1207">
      <c r="A1207" s="43"/>
      <c r="B1207" s="7"/>
    </row>
    <row r="1208">
      <c r="A1208" s="43"/>
      <c r="B1208" s="7"/>
    </row>
    <row r="1209">
      <c r="A1209" s="43"/>
      <c r="B1209" s="7"/>
    </row>
    <row r="1210">
      <c r="A1210" s="43"/>
      <c r="B1210" s="7"/>
    </row>
    <row r="1211">
      <c r="A1211" s="43"/>
      <c r="B1211" s="7"/>
    </row>
    <row r="1212">
      <c r="A1212" s="43"/>
      <c r="B1212" s="7"/>
    </row>
    <row r="1213">
      <c r="A1213" s="43"/>
      <c r="B1213" s="7"/>
    </row>
    <row r="1214">
      <c r="A1214" s="43"/>
      <c r="B1214" s="7"/>
    </row>
    <row r="1215">
      <c r="A1215" s="43"/>
      <c r="B1215" s="7"/>
    </row>
    <row r="1216">
      <c r="A1216" s="43"/>
      <c r="B1216" s="7"/>
    </row>
    <row r="1217">
      <c r="A1217" s="43"/>
      <c r="B1217" s="7"/>
    </row>
    <row r="1218">
      <c r="A1218" s="43"/>
      <c r="B1218" s="7"/>
    </row>
    <row r="1219">
      <c r="A1219" s="43"/>
      <c r="B1219" s="7"/>
    </row>
    <row r="1220">
      <c r="A1220" s="43"/>
      <c r="B1220" s="7"/>
    </row>
    <row r="1221">
      <c r="A1221" s="43"/>
      <c r="B1221" s="7"/>
    </row>
    <row r="1222">
      <c r="A1222" s="43"/>
      <c r="B1222" s="7"/>
    </row>
    <row r="1223">
      <c r="A1223" s="43"/>
      <c r="B1223" s="7"/>
    </row>
    <row r="1224">
      <c r="A1224" s="43"/>
      <c r="B1224" s="7"/>
    </row>
    <row r="1225">
      <c r="A1225" s="43"/>
      <c r="B1225" s="7"/>
    </row>
    <row r="1226">
      <c r="A1226" s="43"/>
      <c r="B1226" s="7"/>
    </row>
    <row r="1227">
      <c r="A1227" s="43"/>
      <c r="B1227" s="7"/>
    </row>
    <row r="1228">
      <c r="A1228" s="43"/>
      <c r="B1228" s="7"/>
    </row>
    <row r="1229">
      <c r="A1229" s="43"/>
      <c r="B1229" s="7"/>
    </row>
    <row r="1230">
      <c r="A1230" s="43"/>
      <c r="B1230" s="7"/>
    </row>
    <row r="1231">
      <c r="A1231" s="43"/>
      <c r="B1231" s="7"/>
    </row>
    <row r="1232">
      <c r="A1232" s="43"/>
      <c r="B1232" s="7"/>
    </row>
    <row r="1233">
      <c r="A1233" s="43"/>
      <c r="B1233" s="7"/>
    </row>
    <row r="1234">
      <c r="A1234" s="43"/>
      <c r="B1234" s="7"/>
    </row>
    <row r="1235">
      <c r="A1235" s="43"/>
      <c r="B1235" s="7"/>
    </row>
    <row r="1236">
      <c r="A1236" s="43"/>
      <c r="B1236" s="7"/>
    </row>
    <row r="1237">
      <c r="A1237" s="43"/>
      <c r="B1237" s="7"/>
    </row>
    <row r="1238">
      <c r="A1238" s="43"/>
      <c r="B1238" s="7"/>
    </row>
    <row r="1239">
      <c r="A1239" s="43"/>
      <c r="B1239" s="7"/>
    </row>
    <row r="1240">
      <c r="A1240" s="43"/>
      <c r="B1240" s="7"/>
    </row>
    <row r="1241">
      <c r="A1241" s="43"/>
      <c r="B1241" s="7"/>
    </row>
    <row r="1242">
      <c r="A1242" s="43"/>
      <c r="B1242" s="7"/>
    </row>
    <row r="1243">
      <c r="A1243" s="43"/>
      <c r="B1243" s="7"/>
    </row>
    <row r="1244">
      <c r="A1244" s="43"/>
      <c r="B1244" s="7"/>
    </row>
    <row r="1245">
      <c r="A1245" s="43"/>
      <c r="B1245" s="7"/>
    </row>
    <row r="1246">
      <c r="A1246" s="43"/>
      <c r="B1246" s="7"/>
    </row>
    <row r="1247">
      <c r="A1247" s="43"/>
      <c r="B1247" s="7"/>
    </row>
    <row r="1248">
      <c r="A1248" s="43"/>
      <c r="B1248" s="7"/>
    </row>
    <row r="1249">
      <c r="A1249" s="43"/>
      <c r="B1249" s="7"/>
    </row>
    <row r="1250">
      <c r="A1250" s="43"/>
      <c r="B1250" s="7"/>
    </row>
    <row r="1251">
      <c r="A1251" s="43"/>
      <c r="B1251" s="7"/>
    </row>
    <row r="1252">
      <c r="A1252" s="43"/>
      <c r="B1252" s="7"/>
    </row>
    <row r="1253">
      <c r="A1253" s="43"/>
      <c r="B1253" s="7"/>
    </row>
    <row r="1254">
      <c r="A1254" s="43"/>
      <c r="B1254" s="7"/>
    </row>
    <row r="1255">
      <c r="A1255" s="43"/>
      <c r="B1255" s="7"/>
    </row>
    <row r="1256">
      <c r="A1256" s="43"/>
      <c r="B1256" s="7"/>
    </row>
    <row r="1257">
      <c r="A1257" s="43"/>
      <c r="B1257" s="7"/>
    </row>
    <row r="1258">
      <c r="A1258" s="43"/>
      <c r="B1258" s="7"/>
    </row>
    <row r="1259">
      <c r="A1259" s="43"/>
      <c r="B1259" s="7"/>
    </row>
    <row r="1260">
      <c r="A1260" s="43"/>
      <c r="B1260" s="7"/>
    </row>
    <row r="1261">
      <c r="A1261" s="43"/>
      <c r="B1261" s="7"/>
    </row>
    <row r="1262">
      <c r="A1262" s="43"/>
      <c r="B1262" s="7"/>
    </row>
    <row r="1263">
      <c r="A1263" s="43"/>
      <c r="B1263" s="7"/>
    </row>
    <row r="1264">
      <c r="A1264" s="43"/>
      <c r="B1264" s="7"/>
    </row>
    <row r="1265">
      <c r="A1265" s="43"/>
      <c r="B1265" s="7"/>
    </row>
    <row r="1266">
      <c r="A1266" s="43"/>
      <c r="B1266" s="7"/>
    </row>
    <row r="1267">
      <c r="A1267" s="43"/>
      <c r="B1267" s="7"/>
    </row>
    <row r="1268">
      <c r="A1268" s="43"/>
      <c r="B1268" s="7"/>
    </row>
    <row r="1269">
      <c r="A1269" s="43"/>
      <c r="B1269" s="7"/>
    </row>
    <row r="1270">
      <c r="A1270" s="43"/>
      <c r="B1270" s="7"/>
    </row>
    <row r="1271">
      <c r="A1271" s="43"/>
      <c r="B1271" s="7"/>
    </row>
    <row r="1272">
      <c r="A1272" s="43"/>
      <c r="B1272" s="7"/>
    </row>
    <row r="1273">
      <c r="A1273" s="43"/>
      <c r="B1273" s="7"/>
    </row>
    <row r="1274">
      <c r="A1274" s="43"/>
      <c r="B1274" s="7"/>
    </row>
    <row r="1275">
      <c r="A1275" s="43"/>
      <c r="B1275" s="7"/>
    </row>
    <row r="1276">
      <c r="A1276" s="43"/>
      <c r="B1276" s="7"/>
    </row>
    <row r="1277">
      <c r="A1277" s="43"/>
      <c r="B1277" s="7"/>
    </row>
    <row r="1278">
      <c r="A1278" s="43"/>
      <c r="B1278" s="7"/>
    </row>
    <row r="1279">
      <c r="A1279" s="43"/>
      <c r="B1279" s="7"/>
    </row>
    <row r="1280">
      <c r="A1280" s="43"/>
      <c r="B1280" s="7"/>
    </row>
    <row r="1281">
      <c r="A1281" s="43"/>
      <c r="B1281" s="7"/>
    </row>
    <row r="1282">
      <c r="A1282" s="43"/>
      <c r="B1282" s="7"/>
    </row>
    <row r="1283">
      <c r="A1283" s="43"/>
      <c r="B1283" s="7"/>
    </row>
    <row r="1284">
      <c r="A1284" s="43"/>
      <c r="B1284" s="7"/>
    </row>
    <row r="1285">
      <c r="A1285" s="43"/>
      <c r="B1285" s="7"/>
    </row>
    <row r="1286">
      <c r="A1286" s="43"/>
      <c r="B1286" s="7"/>
    </row>
    <row r="1287">
      <c r="A1287" s="43"/>
      <c r="B1287" s="7"/>
    </row>
    <row r="1288">
      <c r="A1288" s="43"/>
      <c r="B1288" s="7"/>
    </row>
    <row r="1289">
      <c r="A1289" s="43"/>
      <c r="B1289" s="7"/>
    </row>
    <row r="1290">
      <c r="A1290" s="43"/>
      <c r="B1290" s="7"/>
    </row>
    <row r="1291">
      <c r="A1291" s="43"/>
      <c r="B1291" s="7"/>
    </row>
    <row r="1292">
      <c r="A1292" s="43"/>
      <c r="B1292" s="7"/>
    </row>
    <row r="1293">
      <c r="A1293" s="43"/>
      <c r="B1293" s="7"/>
    </row>
    <row r="1294">
      <c r="A1294" s="43"/>
      <c r="B1294" s="7"/>
    </row>
    <row r="1295">
      <c r="A1295" s="43"/>
      <c r="B1295" s="7"/>
    </row>
    <row r="1296">
      <c r="A1296" s="43"/>
      <c r="B1296" s="7"/>
    </row>
    <row r="1297">
      <c r="A1297" s="43"/>
      <c r="B1297" s="7"/>
    </row>
    <row r="1298">
      <c r="A1298" s="43"/>
      <c r="B1298" s="7"/>
    </row>
    <row r="1299">
      <c r="A1299" s="43"/>
      <c r="B1299" s="7"/>
    </row>
    <row r="1300">
      <c r="A1300" s="43"/>
      <c r="B1300" s="7"/>
    </row>
    <row r="1301">
      <c r="A1301" s="43"/>
      <c r="B1301" s="7"/>
    </row>
    <row r="1302">
      <c r="A1302" s="43"/>
      <c r="B1302" s="7"/>
    </row>
    <row r="1303">
      <c r="A1303" s="43"/>
      <c r="B1303" s="7"/>
    </row>
    <row r="1304">
      <c r="A1304" s="43"/>
      <c r="B1304" s="7"/>
    </row>
    <row r="1305">
      <c r="A1305" s="43"/>
      <c r="B1305" s="7"/>
    </row>
    <row r="1306">
      <c r="A1306" s="43"/>
      <c r="B1306" s="7"/>
    </row>
    <row r="1307">
      <c r="A1307" s="43"/>
      <c r="B1307" s="7"/>
    </row>
    <row r="1308">
      <c r="A1308" s="43"/>
      <c r="B1308" s="7"/>
    </row>
    <row r="1309">
      <c r="A1309" s="43"/>
      <c r="B1309" s="7"/>
    </row>
    <row r="1310">
      <c r="A1310" s="43"/>
      <c r="B1310" s="7"/>
    </row>
    <row r="1311">
      <c r="A1311" s="43"/>
      <c r="B1311" s="7"/>
    </row>
    <row r="1312">
      <c r="A1312" s="43"/>
      <c r="B1312" s="7"/>
    </row>
    <row r="1313">
      <c r="A1313" s="43"/>
      <c r="B1313" s="7"/>
    </row>
    <row r="1314">
      <c r="A1314" s="43"/>
      <c r="B1314" s="7"/>
    </row>
    <row r="1315">
      <c r="A1315" s="43"/>
      <c r="B1315" s="7"/>
    </row>
    <row r="1316">
      <c r="A1316" s="43"/>
      <c r="B1316" s="7"/>
    </row>
    <row r="1317">
      <c r="A1317" s="43"/>
      <c r="B1317" s="7"/>
    </row>
    <row r="1318">
      <c r="A1318" s="43"/>
      <c r="B1318" s="7"/>
    </row>
    <row r="1319">
      <c r="A1319" s="43"/>
      <c r="B1319" s="7"/>
    </row>
    <row r="1320">
      <c r="A1320" s="43"/>
      <c r="B1320" s="7"/>
    </row>
    <row r="1321">
      <c r="A1321" s="43"/>
      <c r="B1321" s="7"/>
    </row>
    <row r="1322">
      <c r="A1322" s="43"/>
      <c r="B1322" s="7"/>
    </row>
    <row r="1323">
      <c r="A1323" s="43"/>
      <c r="B1323" s="7"/>
    </row>
    <row r="1324">
      <c r="A1324" s="43"/>
      <c r="B1324" s="7"/>
    </row>
    <row r="1325">
      <c r="A1325" s="43"/>
      <c r="B1325" s="7"/>
    </row>
    <row r="1326">
      <c r="A1326" s="43"/>
      <c r="B1326" s="7"/>
    </row>
    <row r="1327">
      <c r="A1327" s="43"/>
      <c r="B1327" s="7"/>
    </row>
    <row r="1328">
      <c r="A1328" s="43"/>
      <c r="B1328" s="7"/>
    </row>
    <row r="1329">
      <c r="A1329" s="43"/>
      <c r="B1329" s="7"/>
    </row>
    <row r="1330">
      <c r="A1330" s="43"/>
      <c r="B1330" s="7"/>
    </row>
    <row r="1331">
      <c r="A1331" s="43"/>
      <c r="B1331" s="7"/>
    </row>
    <row r="1332">
      <c r="A1332" s="43"/>
      <c r="B1332" s="7"/>
    </row>
    <row r="1333">
      <c r="A1333" s="43"/>
      <c r="B1333" s="7"/>
    </row>
    <row r="1334">
      <c r="A1334" s="43"/>
      <c r="B1334" s="7"/>
    </row>
    <row r="1335">
      <c r="A1335" s="43"/>
      <c r="B1335" s="7"/>
    </row>
    <row r="1336">
      <c r="A1336" s="43"/>
      <c r="B1336" s="7"/>
    </row>
    <row r="1337">
      <c r="A1337" s="43"/>
      <c r="B1337" s="7"/>
    </row>
    <row r="1338">
      <c r="A1338" s="43"/>
      <c r="B1338" s="7"/>
    </row>
    <row r="1339">
      <c r="A1339" s="43"/>
      <c r="B1339" s="7"/>
    </row>
    <row r="1340">
      <c r="A1340" s="43"/>
      <c r="B1340" s="7"/>
    </row>
    <row r="1341">
      <c r="A1341" s="43"/>
      <c r="B1341" s="7"/>
    </row>
    <row r="1342">
      <c r="A1342" s="43"/>
      <c r="B1342" s="7"/>
    </row>
    <row r="1343">
      <c r="A1343" s="43"/>
      <c r="B1343" s="7"/>
    </row>
    <row r="1344">
      <c r="A1344" s="43"/>
      <c r="B1344" s="7"/>
    </row>
    <row r="1345">
      <c r="A1345" s="43"/>
      <c r="B1345" s="7"/>
    </row>
    <row r="1346">
      <c r="A1346" s="43"/>
      <c r="B1346" s="7"/>
    </row>
    <row r="1347">
      <c r="A1347" s="43"/>
      <c r="B1347" s="7"/>
    </row>
    <row r="1348">
      <c r="A1348" s="43"/>
      <c r="B1348" s="7"/>
    </row>
    <row r="1349">
      <c r="A1349" s="43"/>
      <c r="B1349" s="7"/>
    </row>
    <row r="1350">
      <c r="A1350" s="43"/>
      <c r="B1350" s="7"/>
    </row>
    <row r="1351">
      <c r="A1351" s="43"/>
      <c r="B1351" s="7"/>
    </row>
    <row r="1352">
      <c r="A1352" s="43"/>
      <c r="B1352" s="7"/>
    </row>
    <row r="1353">
      <c r="A1353" s="43"/>
      <c r="B1353" s="7"/>
    </row>
    <row r="1354">
      <c r="A1354" s="43"/>
      <c r="B1354" s="7"/>
    </row>
    <row r="1355">
      <c r="A1355" s="43"/>
      <c r="B1355" s="7"/>
    </row>
    <row r="1356">
      <c r="A1356" s="43"/>
      <c r="B1356" s="7"/>
    </row>
    <row r="1357">
      <c r="A1357" s="43"/>
      <c r="B1357" s="7"/>
    </row>
    <row r="1358">
      <c r="A1358" s="43"/>
      <c r="B1358" s="7"/>
    </row>
    <row r="1359">
      <c r="A1359" s="43"/>
      <c r="B1359" s="7"/>
    </row>
    <row r="1360">
      <c r="A1360" s="43"/>
      <c r="B1360" s="7"/>
    </row>
    <row r="1361">
      <c r="A1361" s="43"/>
      <c r="B1361" s="7"/>
    </row>
    <row r="1362">
      <c r="A1362" s="43"/>
      <c r="B1362" s="7"/>
    </row>
    <row r="1363">
      <c r="A1363" s="43"/>
      <c r="B1363" s="7"/>
    </row>
    <row r="1364">
      <c r="A1364" s="43"/>
      <c r="B1364" s="7"/>
    </row>
    <row r="1365">
      <c r="A1365" s="43"/>
      <c r="B1365" s="7"/>
    </row>
    <row r="1366">
      <c r="A1366" s="43"/>
      <c r="B1366" s="7"/>
    </row>
    <row r="1367">
      <c r="A1367" s="43"/>
      <c r="B1367" s="7"/>
    </row>
    <row r="1368">
      <c r="A1368" s="43"/>
      <c r="B1368" s="7"/>
    </row>
    <row r="1369">
      <c r="A1369" s="43"/>
      <c r="B1369" s="7"/>
    </row>
    <row r="1370">
      <c r="A1370" s="43"/>
      <c r="B1370" s="7"/>
    </row>
    <row r="1371">
      <c r="A1371" s="43"/>
      <c r="B1371" s="7"/>
    </row>
    <row r="1372">
      <c r="A1372" s="43"/>
      <c r="B1372" s="7"/>
    </row>
    <row r="1373">
      <c r="A1373" s="43"/>
      <c r="B1373" s="7"/>
    </row>
    <row r="1374">
      <c r="A1374" s="43"/>
      <c r="B1374" s="7"/>
    </row>
    <row r="1375">
      <c r="A1375" s="43"/>
      <c r="B1375" s="7"/>
    </row>
    <row r="1376">
      <c r="A1376" s="43"/>
      <c r="B1376" s="7"/>
    </row>
    <row r="1377">
      <c r="A1377" s="43"/>
      <c r="B1377" s="7"/>
    </row>
    <row r="1378">
      <c r="A1378" s="43"/>
      <c r="B1378" s="7"/>
    </row>
    <row r="1379">
      <c r="A1379" s="43"/>
      <c r="B1379" s="7"/>
    </row>
    <row r="1380">
      <c r="A1380" s="43"/>
      <c r="B1380" s="7"/>
    </row>
    <row r="1381">
      <c r="A1381" s="43"/>
      <c r="B1381" s="7"/>
    </row>
    <row r="1382">
      <c r="A1382" s="43"/>
      <c r="B1382" s="7"/>
    </row>
    <row r="1383">
      <c r="A1383" s="43"/>
      <c r="B1383" s="7"/>
    </row>
    <row r="1384">
      <c r="A1384" s="43"/>
      <c r="B1384" s="7"/>
    </row>
    <row r="1385">
      <c r="A1385" s="43"/>
      <c r="B1385" s="7"/>
    </row>
    <row r="1386">
      <c r="A1386" s="43"/>
      <c r="B1386" s="7"/>
    </row>
    <row r="1387">
      <c r="A1387" s="43"/>
      <c r="B1387" s="7"/>
    </row>
    <row r="1388">
      <c r="A1388" s="43"/>
      <c r="B1388" s="7"/>
    </row>
    <row r="1389">
      <c r="A1389" s="43"/>
      <c r="B1389" s="7"/>
    </row>
    <row r="1390">
      <c r="A1390" s="43"/>
      <c r="B1390" s="7"/>
    </row>
    <row r="1391">
      <c r="A1391" s="43"/>
      <c r="B1391" s="7"/>
    </row>
    <row r="1392">
      <c r="A1392" s="43"/>
      <c r="B1392" s="7"/>
    </row>
    <row r="1393">
      <c r="A1393" s="43"/>
      <c r="B1393" s="7"/>
    </row>
    <row r="1394">
      <c r="A1394" s="43"/>
      <c r="B1394" s="7"/>
    </row>
    <row r="1395">
      <c r="A1395" s="43"/>
      <c r="B1395" s="7"/>
    </row>
    <row r="1396">
      <c r="A1396" s="43"/>
      <c r="B1396" s="7"/>
    </row>
    <row r="1397">
      <c r="A1397" s="43"/>
      <c r="B1397" s="7"/>
    </row>
    <row r="1398">
      <c r="A1398" s="43"/>
      <c r="B1398" s="7"/>
    </row>
    <row r="1399">
      <c r="A1399" s="43"/>
      <c r="B1399" s="7"/>
    </row>
    <row r="1400">
      <c r="A1400" s="43"/>
      <c r="B1400" s="7"/>
    </row>
    <row r="1401">
      <c r="A1401" s="43"/>
      <c r="B1401" s="7"/>
    </row>
    <row r="1402">
      <c r="A1402" s="43"/>
      <c r="B1402" s="7"/>
    </row>
    <row r="1403">
      <c r="A1403" s="43"/>
      <c r="B1403" s="7"/>
    </row>
    <row r="1404">
      <c r="A1404" s="43"/>
      <c r="B1404" s="7"/>
    </row>
    <row r="1405">
      <c r="A1405" s="43"/>
      <c r="B1405" s="7"/>
    </row>
    <row r="1406">
      <c r="A1406" s="43"/>
      <c r="B1406" s="7"/>
    </row>
    <row r="1407">
      <c r="A1407" s="43"/>
      <c r="B1407" s="7"/>
    </row>
    <row r="1408">
      <c r="A1408" s="43"/>
      <c r="B1408" s="7"/>
    </row>
    <row r="1409">
      <c r="A1409" s="43"/>
      <c r="B1409" s="7"/>
    </row>
    <row r="1410">
      <c r="A1410" s="43"/>
      <c r="B1410" s="7"/>
    </row>
    <row r="1411">
      <c r="A1411" s="43"/>
      <c r="B1411" s="7"/>
    </row>
    <row r="1412">
      <c r="A1412" s="43"/>
      <c r="B1412" s="7"/>
    </row>
    <row r="1413">
      <c r="A1413" s="43"/>
      <c r="B1413" s="7"/>
    </row>
    <row r="1414">
      <c r="A1414" s="43"/>
      <c r="B1414" s="7"/>
    </row>
    <row r="1415">
      <c r="A1415" s="43"/>
      <c r="B1415" s="7"/>
    </row>
    <row r="1416">
      <c r="A1416" s="43"/>
      <c r="B1416" s="7"/>
    </row>
    <row r="1417">
      <c r="A1417" s="43"/>
      <c r="B1417" s="7"/>
    </row>
    <row r="1418">
      <c r="A1418" s="43"/>
      <c r="B1418" s="7"/>
    </row>
    <row r="1419">
      <c r="A1419" s="43"/>
      <c r="B1419" s="7"/>
    </row>
    <row r="1420">
      <c r="A1420" s="43"/>
      <c r="B1420" s="7"/>
    </row>
    <row r="1421">
      <c r="A1421" s="43"/>
      <c r="B1421" s="7"/>
    </row>
    <row r="1422">
      <c r="A1422" s="43"/>
      <c r="B1422" s="7"/>
    </row>
    <row r="1423">
      <c r="A1423" s="43"/>
      <c r="B1423" s="7"/>
    </row>
    <row r="1424">
      <c r="A1424" s="43"/>
      <c r="B1424" s="7"/>
    </row>
    <row r="1425">
      <c r="A1425" s="43"/>
      <c r="B1425" s="7"/>
    </row>
    <row r="1426">
      <c r="A1426" s="43"/>
      <c r="B1426" s="7"/>
    </row>
    <row r="1427">
      <c r="A1427" s="43"/>
      <c r="B1427" s="7"/>
    </row>
    <row r="1428">
      <c r="A1428" s="43"/>
      <c r="B1428" s="7"/>
    </row>
    <row r="1429">
      <c r="A1429" s="43"/>
      <c r="B1429" s="7"/>
    </row>
    <row r="1430">
      <c r="A1430" s="43"/>
      <c r="B1430" s="7"/>
    </row>
    <row r="1431">
      <c r="A1431" s="43"/>
      <c r="B1431" s="7"/>
    </row>
    <row r="1432">
      <c r="A1432" s="43"/>
      <c r="B1432" s="7"/>
    </row>
    <row r="1433">
      <c r="A1433" s="43"/>
      <c r="B1433" s="7"/>
    </row>
    <row r="1434">
      <c r="A1434" s="43"/>
      <c r="B1434" s="7"/>
    </row>
    <row r="1435">
      <c r="A1435" s="43"/>
      <c r="B1435" s="7"/>
    </row>
    <row r="1436">
      <c r="A1436" s="43"/>
      <c r="B1436" s="7"/>
    </row>
    <row r="1437">
      <c r="A1437" s="43"/>
      <c r="B1437" s="7"/>
    </row>
    <row r="1438">
      <c r="A1438" s="43"/>
      <c r="B1438" s="7"/>
    </row>
    <row r="1439">
      <c r="A1439" s="43"/>
      <c r="B1439" s="7"/>
    </row>
    <row r="1440">
      <c r="A1440" s="43"/>
      <c r="B1440" s="7"/>
    </row>
    <row r="1441">
      <c r="A1441" s="43"/>
      <c r="B1441" s="7"/>
    </row>
    <row r="1442">
      <c r="A1442" s="43"/>
      <c r="B1442" s="7"/>
    </row>
    <row r="1443">
      <c r="A1443" s="43"/>
      <c r="B1443" s="7"/>
    </row>
    <row r="1444">
      <c r="A1444" s="43"/>
      <c r="B1444" s="7"/>
    </row>
    <row r="1445">
      <c r="A1445" s="43"/>
      <c r="B1445" s="7"/>
    </row>
    <row r="1446">
      <c r="A1446" s="43"/>
      <c r="B1446" s="7"/>
    </row>
    <row r="1447">
      <c r="A1447" s="43"/>
      <c r="B1447" s="7"/>
    </row>
    <row r="1448">
      <c r="A1448" s="43"/>
      <c r="B1448" s="7"/>
    </row>
    <row r="1449">
      <c r="A1449" s="43"/>
      <c r="B1449" s="7"/>
    </row>
    <row r="1450">
      <c r="A1450" s="43"/>
      <c r="B1450" s="7"/>
    </row>
    <row r="1451">
      <c r="A1451" s="43"/>
      <c r="B1451" s="7"/>
    </row>
    <row r="1452">
      <c r="A1452" s="43"/>
      <c r="B1452" s="7"/>
    </row>
    <row r="1453">
      <c r="A1453" s="43"/>
      <c r="B1453" s="7"/>
    </row>
    <row r="1454">
      <c r="A1454" s="43"/>
      <c r="B1454" s="7"/>
    </row>
    <row r="1455">
      <c r="A1455" s="43"/>
      <c r="B1455" s="7"/>
    </row>
    <row r="1456">
      <c r="A1456" s="43"/>
      <c r="B1456" s="7"/>
    </row>
    <row r="1457">
      <c r="A1457" s="43"/>
      <c r="B1457" s="7"/>
    </row>
    <row r="1458">
      <c r="A1458" s="43"/>
      <c r="B1458" s="7"/>
    </row>
    <row r="1459">
      <c r="A1459" s="43"/>
      <c r="B1459" s="7"/>
    </row>
    <row r="1460">
      <c r="A1460" s="43"/>
      <c r="B1460" s="7"/>
    </row>
    <row r="1461">
      <c r="A1461" s="43"/>
      <c r="B1461" s="7"/>
    </row>
    <row r="1462">
      <c r="A1462" s="43"/>
      <c r="B1462" s="7"/>
    </row>
    <row r="1463">
      <c r="A1463" s="43"/>
      <c r="B1463" s="7"/>
    </row>
    <row r="1464">
      <c r="A1464" s="43"/>
      <c r="B1464" s="7"/>
    </row>
    <row r="1465">
      <c r="A1465" s="43"/>
      <c r="B1465" s="7"/>
    </row>
    <row r="1466">
      <c r="A1466" s="43"/>
      <c r="B1466" s="7"/>
    </row>
    <row r="1467">
      <c r="A1467" s="43"/>
      <c r="B1467" s="7"/>
    </row>
    <row r="1468">
      <c r="A1468" s="43"/>
      <c r="B1468" s="7"/>
    </row>
    <row r="1469">
      <c r="A1469" s="43"/>
      <c r="B1469" s="7"/>
    </row>
    <row r="1470">
      <c r="A1470" s="43"/>
      <c r="B1470" s="7"/>
    </row>
    <row r="1471">
      <c r="A1471" s="43"/>
      <c r="B1471" s="7"/>
    </row>
    <row r="1472">
      <c r="A1472" s="43"/>
      <c r="B1472" s="7"/>
    </row>
    <row r="1473">
      <c r="A1473" s="43"/>
      <c r="B1473" s="7"/>
    </row>
    <row r="1474">
      <c r="A1474" s="43"/>
      <c r="B1474" s="7"/>
    </row>
    <row r="1475">
      <c r="A1475" s="43"/>
      <c r="B1475" s="7"/>
    </row>
    <row r="1476">
      <c r="A1476" s="43"/>
      <c r="B1476" s="7"/>
    </row>
    <row r="1477">
      <c r="A1477" s="43"/>
      <c r="B1477" s="7"/>
    </row>
    <row r="1478">
      <c r="A1478" s="43"/>
      <c r="B1478" s="7"/>
    </row>
    <row r="1479">
      <c r="A1479" s="43"/>
      <c r="B1479" s="7"/>
    </row>
    <row r="1480">
      <c r="A1480" s="43"/>
      <c r="B1480" s="7"/>
    </row>
    <row r="1481">
      <c r="A1481" s="43"/>
      <c r="B1481" s="7"/>
    </row>
    <row r="1482">
      <c r="A1482" s="43"/>
      <c r="B1482" s="7"/>
    </row>
    <row r="1483">
      <c r="A1483" s="43"/>
      <c r="B1483" s="7"/>
    </row>
    <row r="1484">
      <c r="A1484" s="43"/>
      <c r="B1484" s="7"/>
    </row>
    <row r="1485">
      <c r="A1485" s="43"/>
      <c r="B1485" s="7"/>
    </row>
    <row r="1486">
      <c r="A1486" s="43"/>
      <c r="B1486" s="7"/>
    </row>
    <row r="1487">
      <c r="A1487" s="43"/>
      <c r="B1487" s="7"/>
    </row>
    <row r="1488">
      <c r="A1488" s="43"/>
      <c r="B1488" s="7"/>
    </row>
    <row r="1489">
      <c r="A1489" s="43"/>
      <c r="B1489" s="7"/>
    </row>
    <row r="1490">
      <c r="A1490" s="43"/>
      <c r="B1490" s="7"/>
    </row>
    <row r="1491">
      <c r="A1491" s="43"/>
      <c r="B1491" s="7"/>
    </row>
    <row r="1492">
      <c r="A1492" s="43"/>
      <c r="B1492" s="7"/>
    </row>
    <row r="1493">
      <c r="A1493" s="43"/>
      <c r="B1493" s="7"/>
    </row>
    <row r="1494">
      <c r="A1494" s="43"/>
      <c r="B1494" s="7"/>
    </row>
    <row r="1495">
      <c r="A1495" s="43"/>
      <c r="B1495" s="7"/>
    </row>
    <row r="1496">
      <c r="A1496" s="43"/>
      <c r="B1496" s="7"/>
    </row>
    <row r="1497">
      <c r="A1497" s="43"/>
      <c r="B1497" s="7"/>
    </row>
    <row r="1498">
      <c r="A1498" s="43"/>
      <c r="B1498" s="7"/>
    </row>
    <row r="1499">
      <c r="A1499" s="43"/>
      <c r="B1499" s="7"/>
    </row>
    <row r="1500">
      <c r="A1500" s="43"/>
      <c r="B1500" s="7"/>
    </row>
    <row r="1501">
      <c r="A1501" s="43"/>
      <c r="B1501" s="7"/>
    </row>
    <row r="1502">
      <c r="A1502" s="43"/>
      <c r="B1502" s="7"/>
    </row>
    <row r="1503">
      <c r="A1503" s="43"/>
      <c r="B1503" s="7"/>
    </row>
    <row r="1504">
      <c r="A1504" s="43"/>
      <c r="B1504" s="7"/>
    </row>
    <row r="1505">
      <c r="A1505" s="43"/>
      <c r="B1505" s="7"/>
    </row>
    <row r="1506">
      <c r="A1506" s="43"/>
      <c r="B1506" s="7"/>
    </row>
    <row r="1507">
      <c r="A1507" s="43"/>
      <c r="B1507" s="7"/>
    </row>
    <row r="1508">
      <c r="A1508" s="43"/>
      <c r="B1508" s="7"/>
    </row>
    <row r="1509">
      <c r="A1509" s="43"/>
      <c r="B1509" s="7"/>
    </row>
    <row r="1510">
      <c r="A1510" s="43"/>
      <c r="B1510" s="7"/>
    </row>
    <row r="1511">
      <c r="A1511" s="43"/>
      <c r="B1511" s="7"/>
    </row>
    <row r="1512">
      <c r="A1512" s="43"/>
      <c r="B1512" s="7"/>
    </row>
    <row r="1513">
      <c r="A1513" s="43"/>
      <c r="B1513" s="7"/>
    </row>
    <row r="1514">
      <c r="A1514" s="43"/>
      <c r="B1514" s="7"/>
    </row>
    <row r="1515">
      <c r="A1515" s="43"/>
      <c r="B1515" s="7"/>
    </row>
    <row r="1516">
      <c r="A1516" s="43"/>
      <c r="B1516" s="7"/>
    </row>
    <row r="1517">
      <c r="A1517" s="43"/>
      <c r="B1517" s="7"/>
    </row>
    <row r="1518">
      <c r="A1518" s="43"/>
      <c r="B1518" s="7"/>
    </row>
    <row r="1519">
      <c r="A1519" s="43"/>
      <c r="B1519" s="7"/>
    </row>
    <row r="1520">
      <c r="A1520" s="43"/>
      <c r="B1520" s="7"/>
    </row>
    <row r="1521">
      <c r="A1521" s="43"/>
      <c r="B1521" s="7"/>
    </row>
    <row r="1522">
      <c r="A1522" s="43"/>
      <c r="B1522" s="7"/>
    </row>
    <row r="1523">
      <c r="A1523" s="43"/>
      <c r="B1523" s="7"/>
    </row>
    <row r="1524">
      <c r="A1524" s="43"/>
      <c r="B1524" s="7"/>
    </row>
    <row r="1525">
      <c r="A1525" s="43"/>
      <c r="B1525" s="7"/>
    </row>
    <row r="1526">
      <c r="A1526" s="43"/>
      <c r="B1526" s="7"/>
    </row>
    <row r="1527">
      <c r="A1527" s="43"/>
      <c r="B1527" s="7"/>
    </row>
    <row r="1528">
      <c r="A1528" s="43"/>
      <c r="B1528" s="7"/>
    </row>
    <row r="1529">
      <c r="A1529" s="43"/>
      <c r="B1529" s="7"/>
    </row>
    <row r="1530">
      <c r="A1530" s="43"/>
      <c r="B1530" s="7"/>
    </row>
    <row r="1531">
      <c r="A1531" s="43"/>
      <c r="B1531" s="7"/>
    </row>
    <row r="1532">
      <c r="A1532" s="43"/>
      <c r="B1532" s="7"/>
    </row>
    <row r="1533">
      <c r="A1533" s="43"/>
      <c r="B1533" s="7"/>
    </row>
    <row r="1534">
      <c r="A1534" s="43"/>
      <c r="B1534" s="7"/>
    </row>
    <row r="1535">
      <c r="A1535" s="43"/>
      <c r="B1535" s="7"/>
    </row>
    <row r="1536">
      <c r="A1536" s="43"/>
      <c r="B1536" s="7"/>
    </row>
    <row r="1537">
      <c r="A1537" s="43"/>
      <c r="B1537" s="7"/>
    </row>
    <row r="1538">
      <c r="A1538" s="43"/>
      <c r="B1538" s="7"/>
    </row>
    <row r="1539">
      <c r="A1539" s="43"/>
      <c r="B1539" s="7"/>
    </row>
    <row r="1540">
      <c r="A1540" s="43"/>
      <c r="B1540" s="7"/>
    </row>
    <row r="1541">
      <c r="A1541" s="43"/>
      <c r="B1541" s="7"/>
    </row>
    <row r="1542">
      <c r="A1542" s="43"/>
      <c r="B1542" s="7"/>
    </row>
    <row r="1543">
      <c r="A1543" s="43"/>
      <c r="B1543" s="7"/>
    </row>
    <row r="1544">
      <c r="A1544" s="43"/>
      <c r="B1544" s="7"/>
    </row>
    <row r="1545">
      <c r="A1545" s="43"/>
      <c r="B1545" s="7"/>
    </row>
    <row r="1546">
      <c r="A1546" s="43"/>
      <c r="B1546" s="7"/>
    </row>
    <row r="1547">
      <c r="A1547" s="43"/>
      <c r="B1547" s="7"/>
    </row>
    <row r="1548">
      <c r="A1548" s="43"/>
      <c r="B1548" s="7"/>
    </row>
    <row r="1549">
      <c r="A1549" s="43"/>
      <c r="B1549" s="7"/>
    </row>
    <row r="1550">
      <c r="A1550" s="43"/>
      <c r="B1550" s="7"/>
    </row>
    <row r="1551">
      <c r="A1551" s="43"/>
      <c r="B1551" s="7"/>
    </row>
    <row r="1552">
      <c r="A1552" s="43"/>
      <c r="B1552" s="7"/>
    </row>
    <row r="1553">
      <c r="A1553" s="43"/>
      <c r="B1553" s="7"/>
    </row>
    <row r="1554">
      <c r="A1554" s="43"/>
      <c r="B1554" s="7"/>
    </row>
    <row r="1555">
      <c r="A1555" s="43"/>
      <c r="B1555" s="7"/>
    </row>
    <row r="1556">
      <c r="A1556" s="43"/>
      <c r="B1556" s="7"/>
    </row>
    <row r="1557">
      <c r="A1557" s="43"/>
      <c r="B1557" s="7"/>
    </row>
    <row r="1558">
      <c r="A1558" s="43"/>
      <c r="B1558" s="7"/>
    </row>
    <row r="1559">
      <c r="A1559" s="43"/>
      <c r="B1559" s="7"/>
    </row>
    <row r="1560">
      <c r="A1560" s="43"/>
      <c r="B1560" s="7"/>
    </row>
    <row r="1561">
      <c r="A1561" s="43"/>
      <c r="B1561" s="7"/>
    </row>
    <row r="1562">
      <c r="A1562" s="43"/>
      <c r="B1562" s="7"/>
    </row>
    <row r="1563">
      <c r="A1563" s="43"/>
      <c r="B1563" s="7"/>
    </row>
    <row r="1564">
      <c r="A1564" s="43"/>
      <c r="B1564" s="7"/>
    </row>
    <row r="1565">
      <c r="A1565" s="43"/>
      <c r="B1565" s="7"/>
    </row>
    <row r="1566">
      <c r="A1566" s="43"/>
      <c r="B1566" s="7"/>
    </row>
    <row r="1567">
      <c r="A1567" s="43"/>
      <c r="B1567" s="7"/>
    </row>
    <row r="1568">
      <c r="A1568" s="43"/>
      <c r="B1568" s="7"/>
    </row>
    <row r="1569">
      <c r="A1569" s="43"/>
      <c r="B1569" s="7"/>
    </row>
    <row r="1570">
      <c r="A1570" s="43"/>
      <c r="B1570" s="7"/>
    </row>
    <row r="1571">
      <c r="A1571" s="43"/>
      <c r="B1571" s="7"/>
    </row>
    <row r="1572">
      <c r="A1572" s="43"/>
      <c r="B1572" s="7"/>
    </row>
    <row r="1573">
      <c r="A1573" s="43"/>
      <c r="B1573" s="7"/>
    </row>
    <row r="1574">
      <c r="A1574" s="43"/>
      <c r="B1574" s="7"/>
    </row>
    <row r="1575">
      <c r="A1575" s="43"/>
      <c r="B1575" s="7"/>
    </row>
    <row r="1576">
      <c r="A1576" s="43"/>
      <c r="B1576" s="7"/>
    </row>
    <row r="1577">
      <c r="A1577" s="43"/>
      <c r="B1577" s="7"/>
    </row>
    <row r="1578">
      <c r="A1578" s="43"/>
      <c r="B1578" s="7"/>
    </row>
    <row r="1579">
      <c r="A1579" s="43"/>
      <c r="B1579" s="7"/>
    </row>
    <row r="1580">
      <c r="A1580" s="43"/>
      <c r="B1580" s="7"/>
    </row>
    <row r="1581">
      <c r="A1581" s="43"/>
      <c r="B1581" s="7"/>
    </row>
    <row r="1582">
      <c r="A1582" s="43"/>
      <c r="B1582" s="7"/>
    </row>
    <row r="1583">
      <c r="A1583" s="43"/>
      <c r="B1583" s="7"/>
    </row>
    <row r="1584">
      <c r="A1584" s="43"/>
      <c r="B1584" s="7"/>
    </row>
    <row r="1585">
      <c r="A1585" s="43"/>
      <c r="B1585" s="7"/>
    </row>
    <row r="1586">
      <c r="A1586" s="43"/>
      <c r="B1586" s="7"/>
    </row>
    <row r="1587">
      <c r="A1587" s="43"/>
      <c r="B1587" s="7"/>
    </row>
    <row r="1588">
      <c r="A1588" s="43"/>
      <c r="B1588" s="7"/>
    </row>
    <row r="1589">
      <c r="A1589" s="43"/>
      <c r="B1589" s="7"/>
    </row>
    <row r="1590">
      <c r="A1590" s="43"/>
      <c r="B1590" s="7"/>
    </row>
    <row r="1591">
      <c r="A1591" s="43"/>
      <c r="B1591" s="7"/>
    </row>
    <row r="1592">
      <c r="A1592" s="43"/>
      <c r="B1592" s="7"/>
    </row>
    <row r="1593">
      <c r="A1593" s="43"/>
      <c r="B1593" s="7"/>
    </row>
    <row r="1594">
      <c r="A1594" s="43"/>
      <c r="B1594" s="7"/>
    </row>
    <row r="1595">
      <c r="A1595" s="43"/>
      <c r="B1595" s="7"/>
    </row>
    <row r="1596">
      <c r="A1596" s="43"/>
      <c r="B1596" s="7"/>
    </row>
    <row r="1597">
      <c r="A1597" s="43"/>
      <c r="B1597" s="7"/>
    </row>
    <row r="1598">
      <c r="A1598" s="43"/>
      <c r="B1598" s="7"/>
    </row>
    <row r="1599">
      <c r="A1599" s="43"/>
      <c r="B1599" s="7"/>
    </row>
    <row r="1600">
      <c r="A1600" s="43"/>
      <c r="B1600" s="7"/>
    </row>
    <row r="1601">
      <c r="A1601" s="43"/>
      <c r="B1601" s="7"/>
    </row>
    <row r="1602">
      <c r="A1602" s="43"/>
      <c r="B1602" s="7"/>
    </row>
    <row r="1603">
      <c r="A1603" s="43"/>
      <c r="B1603" s="7"/>
    </row>
    <row r="1604">
      <c r="A1604" s="43"/>
      <c r="B1604" s="7"/>
    </row>
    <row r="1605">
      <c r="A1605" s="43"/>
      <c r="B1605" s="7"/>
    </row>
    <row r="1606">
      <c r="A1606" s="43"/>
      <c r="B1606" s="7"/>
    </row>
    <row r="1607">
      <c r="A1607" s="43"/>
      <c r="B1607" s="7"/>
    </row>
    <row r="1608">
      <c r="A1608" s="43"/>
      <c r="B1608" s="7"/>
    </row>
    <row r="1609">
      <c r="A1609" s="43"/>
      <c r="B1609" s="7"/>
    </row>
    <row r="1610">
      <c r="A1610" s="43"/>
      <c r="B1610" s="7"/>
    </row>
    <row r="1611">
      <c r="A1611" s="43"/>
      <c r="B1611" s="7"/>
    </row>
    <row r="1612">
      <c r="A1612" s="43"/>
      <c r="B1612" s="7"/>
    </row>
    <row r="1613">
      <c r="A1613" s="43"/>
      <c r="B1613" s="7"/>
    </row>
    <row r="1614">
      <c r="A1614" s="43"/>
      <c r="B1614" s="7"/>
    </row>
    <row r="1615">
      <c r="A1615" s="43"/>
      <c r="B1615" s="7"/>
    </row>
    <row r="1616">
      <c r="A1616" s="43"/>
      <c r="B1616" s="7"/>
    </row>
    <row r="1617">
      <c r="A1617" s="43"/>
      <c r="B1617" s="7"/>
    </row>
    <row r="1618">
      <c r="A1618" s="43"/>
      <c r="B1618" s="7"/>
    </row>
    <row r="1619">
      <c r="A1619" s="43"/>
      <c r="B1619" s="7"/>
    </row>
    <row r="1620">
      <c r="A1620" s="43"/>
      <c r="B1620" s="7"/>
    </row>
    <row r="1621">
      <c r="A1621" s="43"/>
      <c r="B1621" s="7"/>
    </row>
    <row r="1622">
      <c r="A1622" s="43"/>
      <c r="B1622" s="7"/>
    </row>
    <row r="1623">
      <c r="A1623" s="43"/>
      <c r="B1623" s="7"/>
    </row>
    <row r="1624">
      <c r="A1624" s="43"/>
      <c r="B1624" s="7"/>
    </row>
    <row r="1625">
      <c r="A1625" s="43"/>
      <c r="B1625" s="7"/>
    </row>
    <row r="1626">
      <c r="A1626" s="43"/>
      <c r="B1626" s="7"/>
    </row>
    <row r="1627">
      <c r="A1627" s="43"/>
      <c r="B1627" s="7"/>
    </row>
    <row r="1628">
      <c r="A1628" s="43"/>
      <c r="B1628" s="7"/>
    </row>
    <row r="1629">
      <c r="A1629" s="43"/>
      <c r="B1629" s="7"/>
    </row>
    <row r="1630">
      <c r="A1630" s="43"/>
      <c r="B1630" s="7"/>
    </row>
    <row r="1631">
      <c r="A1631" s="43"/>
      <c r="B1631" s="7"/>
    </row>
    <row r="1632">
      <c r="A1632" s="43"/>
      <c r="B1632" s="7"/>
    </row>
    <row r="1633">
      <c r="A1633" s="43"/>
      <c r="B1633" s="7"/>
    </row>
    <row r="1634">
      <c r="A1634" s="43"/>
      <c r="B1634" s="7"/>
    </row>
    <row r="1635">
      <c r="A1635" s="43"/>
      <c r="B1635" s="7"/>
    </row>
    <row r="1636">
      <c r="A1636" s="43"/>
      <c r="B1636" s="7"/>
    </row>
    <row r="1637">
      <c r="A1637" s="43"/>
      <c r="B1637" s="7"/>
    </row>
    <row r="1638">
      <c r="A1638" s="43"/>
      <c r="B1638" s="7"/>
    </row>
    <row r="1639">
      <c r="A1639" s="43"/>
      <c r="B1639" s="7"/>
    </row>
    <row r="1640">
      <c r="A1640" s="43"/>
      <c r="B1640" s="7"/>
    </row>
    <row r="1641">
      <c r="A1641" s="43"/>
      <c r="B1641" s="7"/>
    </row>
    <row r="1642">
      <c r="A1642" s="43"/>
      <c r="B1642" s="7"/>
    </row>
    <row r="1643">
      <c r="A1643" s="43"/>
      <c r="B1643" s="7"/>
    </row>
    <row r="1644">
      <c r="A1644" s="43"/>
      <c r="B1644" s="7"/>
    </row>
    <row r="1645">
      <c r="A1645" s="43"/>
      <c r="B1645" s="7"/>
    </row>
    <row r="1646">
      <c r="A1646" s="43"/>
      <c r="B1646" s="7"/>
    </row>
    <row r="1647">
      <c r="A1647" s="43"/>
      <c r="B1647" s="7"/>
    </row>
    <row r="1648">
      <c r="A1648" s="43"/>
      <c r="B1648" s="7"/>
    </row>
    <row r="1649">
      <c r="A1649" s="43"/>
      <c r="B1649" s="7"/>
    </row>
    <row r="1650">
      <c r="A1650" s="43"/>
      <c r="B1650" s="7"/>
    </row>
    <row r="1651">
      <c r="A1651" s="43"/>
      <c r="B1651" s="7"/>
    </row>
    <row r="1652">
      <c r="A1652" s="43"/>
      <c r="B1652" s="7"/>
    </row>
    <row r="1653">
      <c r="A1653" s="43"/>
      <c r="B1653" s="7"/>
    </row>
    <row r="1654">
      <c r="A1654" s="43"/>
      <c r="B1654" s="7"/>
    </row>
    <row r="1655">
      <c r="A1655" s="43"/>
      <c r="B1655" s="7"/>
    </row>
    <row r="1656">
      <c r="A1656" s="43"/>
      <c r="B1656" s="7"/>
    </row>
    <row r="1657">
      <c r="A1657" s="43"/>
      <c r="B1657" s="7"/>
    </row>
    <row r="1658">
      <c r="A1658" s="43"/>
      <c r="B1658" s="7"/>
    </row>
    <row r="1659">
      <c r="A1659" s="43"/>
      <c r="B1659" s="7"/>
    </row>
    <row r="1660">
      <c r="A1660" s="43"/>
      <c r="B1660" s="7"/>
    </row>
    <row r="1661">
      <c r="A1661" s="43"/>
      <c r="B1661" s="7"/>
    </row>
    <row r="1662">
      <c r="A1662" s="43"/>
      <c r="B1662" s="7"/>
    </row>
    <row r="1663">
      <c r="A1663" s="43"/>
      <c r="B1663" s="7"/>
    </row>
    <row r="1664">
      <c r="A1664" s="43"/>
      <c r="B1664" s="7"/>
    </row>
    <row r="1665">
      <c r="A1665" s="43"/>
      <c r="B1665" s="7"/>
    </row>
    <row r="1666">
      <c r="A1666" s="43"/>
      <c r="B1666" s="7"/>
    </row>
    <row r="1667">
      <c r="A1667" s="43"/>
      <c r="B1667" s="7"/>
    </row>
    <row r="1668">
      <c r="A1668" s="43"/>
      <c r="B1668" s="7"/>
    </row>
    <row r="1669">
      <c r="A1669" s="43"/>
      <c r="B1669" s="7"/>
    </row>
    <row r="1670">
      <c r="A1670" s="43"/>
      <c r="B1670" s="7"/>
    </row>
    <row r="1671">
      <c r="A1671" s="43"/>
      <c r="B1671" s="7"/>
    </row>
    <row r="1672">
      <c r="A1672" s="43"/>
      <c r="B1672" s="7"/>
    </row>
    <row r="1673">
      <c r="A1673" s="43"/>
      <c r="B1673" s="7"/>
    </row>
    <row r="1674">
      <c r="A1674" s="43"/>
      <c r="B1674" s="7"/>
    </row>
    <row r="1675">
      <c r="A1675" s="43"/>
      <c r="B1675" s="7"/>
    </row>
    <row r="1676">
      <c r="A1676" s="43"/>
      <c r="B1676" s="7"/>
    </row>
    <row r="1677">
      <c r="A1677" s="43"/>
      <c r="B1677" s="7"/>
    </row>
    <row r="1678">
      <c r="A1678" s="43"/>
      <c r="B1678" s="7"/>
    </row>
    <row r="1679">
      <c r="A1679" s="43"/>
      <c r="B1679" s="7"/>
    </row>
    <row r="1680">
      <c r="A1680" s="43"/>
      <c r="B1680" s="7"/>
    </row>
    <row r="1681">
      <c r="A1681" s="43"/>
      <c r="B1681" s="7"/>
    </row>
    <row r="1682">
      <c r="A1682" s="43"/>
      <c r="B1682" s="7"/>
    </row>
    <row r="1683">
      <c r="A1683" s="43"/>
      <c r="B1683" s="7"/>
    </row>
    <row r="1684">
      <c r="A1684" s="43"/>
      <c r="B1684" s="7"/>
    </row>
    <row r="1685">
      <c r="A1685" s="43"/>
      <c r="B1685" s="7"/>
    </row>
    <row r="1686">
      <c r="A1686" s="43"/>
      <c r="B1686" s="7"/>
    </row>
    <row r="1687">
      <c r="A1687" s="43"/>
      <c r="B1687" s="7"/>
    </row>
    <row r="1688">
      <c r="A1688" s="43"/>
      <c r="B1688" s="7"/>
    </row>
    <row r="1689">
      <c r="A1689" s="43"/>
      <c r="B1689" s="7"/>
    </row>
    <row r="1690">
      <c r="A1690" s="43"/>
      <c r="B1690" s="7"/>
    </row>
    <row r="1691">
      <c r="A1691" s="43"/>
      <c r="B1691" s="7"/>
    </row>
    <row r="1692">
      <c r="A1692" s="43"/>
      <c r="B1692" s="7"/>
    </row>
    <row r="1693">
      <c r="A1693" s="43"/>
      <c r="B1693" s="7"/>
    </row>
    <row r="1694">
      <c r="A1694" s="43"/>
      <c r="B1694" s="7"/>
    </row>
    <row r="1695">
      <c r="A1695" s="43"/>
      <c r="B1695" s="7"/>
    </row>
    <row r="1696">
      <c r="A1696" s="43"/>
      <c r="B1696" s="7"/>
    </row>
    <row r="1697">
      <c r="A1697" s="43"/>
      <c r="B1697" s="7"/>
    </row>
    <row r="1698">
      <c r="A1698" s="43"/>
      <c r="B1698" s="7"/>
    </row>
    <row r="1699">
      <c r="A1699" s="43"/>
      <c r="B1699" s="7"/>
    </row>
    <row r="1700">
      <c r="A1700" s="43"/>
      <c r="B1700" s="7"/>
    </row>
    <row r="1701">
      <c r="A1701" s="43"/>
      <c r="B1701" s="7"/>
    </row>
    <row r="1702">
      <c r="A1702" s="43"/>
      <c r="B1702" s="7"/>
    </row>
    <row r="1703">
      <c r="A1703" s="43"/>
      <c r="B1703" s="7"/>
    </row>
    <row r="1704">
      <c r="A1704" s="43"/>
      <c r="B1704" s="7"/>
    </row>
    <row r="1705">
      <c r="A1705" s="43"/>
      <c r="B1705" s="7"/>
    </row>
    <row r="1706">
      <c r="A1706" s="43"/>
      <c r="B1706" s="7"/>
    </row>
    <row r="1707">
      <c r="A1707" s="43"/>
      <c r="B1707" s="7"/>
    </row>
    <row r="1708">
      <c r="A1708" s="43"/>
      <c r="B1708" s="7"/>
    </row>
    <row r="1709">
      <c r="A1709" s="43"/>
      <c r="B1709" s="7"/>
    </row>
    <row r="1710">
      <c r="A1710" s="43"/>
      <c r="B1710" s="7"/>
    </row>
    <row r="1711">
      <c r="A1711" s="43"/>
      <c r="B1711" s="7"/>
    </row>
    <row r="1712">
      <c r="A1712" s="43"/>
      <c r="B1712" s="7"/>
    </row>
    <row r="1713">
      <c r="A1713" s="43"/>
      <c r="B1713" s="7"/>
    </row>
    <row r="1714">
      <c r="A1714" s="43"/>
      <c r="B1714" s="7"/>
    </row>
    <row r="1715">
      <c r="A1715" s="43"/>
      <c r="B1715" s="7"/>
    </row>
    <row r="1716">
      <c r="A1716" s="43"/>
      <c r="B1716" s="7"/>
    </row>
    <row r="1717">
      <c r="A1717" s="43"/>
      <c r="B1717" s="7"/>
    </row>
    <row r="1718">
      <c r="A1718" s="43"/>
      <c r="B1718" s="7"/>
    </row>
    <row r="1719">
      <c r="A1719" s="43"/>
      <c r="B1719" s="7"/>
    </row>
    <row r="1720">
      <c r="A1720" s="43"/>
      <c r="B1720" s="7"/>
    </row>
    <row r="1721">
      <c r="A1721" s="43"/>
      <c r="B1721" s="7"/>
    </row>
    <row r="1722">
      <c r="A1722" s="43"/>
      <c r="B1722" s="7"/>
    </row>
    <row r="1723">
      <c r="A1723" s="43"/>
      <c r="B1723" s="7"/>
    </row>
    <row r="1724">
      <c r="A1724" s="43"/>
      <c r="B1724" s="7"/>
    </row>
    <row r="1725">
      <c r="A1725" s="43"/>
      <c r="B1725" s="7"/>
    </row>
    <row r="1726">
      <c r="A1726" s="43"/>
      <c r="B1726" s="7"/>
    </row>
    <row r="1727">
      <c r="A1727" s="43"/>
      <c r="B1727" s="7"/>
    </row>
    <row r="1728">
      <c r="A1728" s="43"/>
      <c r="B1728" s="7"/>
    </row>
    <row r="1729">
      <c r="A1729" s="43"/>
      <c r="B1729" s="7"/>
    </row>
    <row r="1730">
      <c r="A1730" s="43"/>
      <c r="B1730" s="7"/>
    </row>
    <row r="1731">
      <c r="A1731" s="43"/>
      <c r="B1731" s="7"/>
    </row>
    <row r="1732">
      <c r="A1732" s="43"/>
      <c r="B1732" s="7"/>
    </row>
    <row r="1733">
      <c r="A1733" s="43"/>
      <c r="B1733" s="7"/>
    </row>
    <row r="1734">
      <c r="A1734" s="43"/>
      <c r="B1734" s="7"/>
    </row>
    <row r="1735">
      <c r="A1735" s="43"/>
      <c r="B1735" s="7"/>
    </row>
    <row r="1736">
      <c r="A1736" s="43"/>
      <c r="B1736" s="7"/>
    </row>
    <row r="1737">
      <c r="A1737" s="43"/>
      <c r="B1737" s="7"/>
    </row>
    <row r="1738">
      <c r="A1738" s="43"/>
      <c r="B1738" s="7"/>
    </row>
    <row r="1739">
      <c r="A1739" s="43"/>
      <c r="B1739" s="7"/>
    </row>
    <row r="1740">
      <c r="A1740" s="43"/>
      <c r="B1740" s="7"/>
    </row>
    <row r="1741">
      <c r="A1741" s="43"/>
      <c r="B1741" s="7"/>
    </row>
    <row r="1742">
      <c r="A1742" s="43"/>
      <c r="B1742" s="7"/>
    </row>
    <row r="1743">
      <c r="A1743" s="43"/>
      <c r="B1743" s="7"/>
    </row>
    <row r="1744">
      <c r="A1744" s="43"/>
      <c r="B1744" s="7"/>
    </row>
    <row r="1745">
      <c r="A1745" s="43"/>
      <c r="B1745" s="7"/>
    </row>
    <row r="1746">
      <c r="A1746" s="43"/>
      <c r="B1746" s="7"/>
    </row>
    <row r="1747">
      <c r="A1747" s="43"/>
      <c r="B1747" s="7"/>
    </row>
    <row r="1748">
      <c r="A1748" s="43"/>
      <c r="B1748" s="7"/>
    </row>
    <row r="1749">
      <c r="A1749" s="43"/>
      <c r="B1749" s="7"/>
    </row>
    <row r="1750">
      <c r="A1750" s="43"/>
      <c r="B1750" s="7"/>
    </row>
    <row r="1751">
      <c r="A1751" s="43"/>
      <c r="B1751" s="7"/>
    </row>
    <row r="1752">
      <c r="A1752" s="43"/>
      <c r="B1752" s="7"/>
    </row>
    <row r="1753">
      <c r="A1753" s="43"/>
      <c r="B1753" s="7"/>
    </row>
    <row r="1754">
      <c r="A1754" s="43"/>
      <c r="B1754" s="7"/>
    </row>
    <row r="1755">
      <c r="A1755" s="43"/>
      <c r="B1755" s="7"/>
    </row>
    <row r="1756">
      <c r="A1756" s="43"/>
      <c r="B1756" s="7"/>
    </row>
    <row r="1757">
      <c r="A1757" s="43"/>
      <c r="B1757" s="7"/>
    </row>
    <row r="1758">
      <c r="A1758" s="43"/>
      <c r="B1758" s="7"/>
    </row>
    <row r="1759">
      <c r="A1759" s="43"/>
      <c r="B1759" s="7"/>
    </row>
    <row r="1760">
      <c r="A1760" s="43"/>
      <c r="B1760" s="7"/>
    </row>
    <row r="1761">
      <c r="A1761" s="43"/>
      <c r="B1761" s="7"/>
    </row>
    <row r="1762">
      <c r="A1762" s="43"/>
      <c r="B1762" s="7"/>
    </row>
    <row r="1763">
      <c r="A1763" s="43"/>
      <c r="B1763" s="7"/>
    </row>
    <row r="1764">
      <c r="A1764" s="43"/>
      <c r="B1764" s="7"/>
    </row>
    <row r="1765">
      <c r="A1765" s="43"/>
      <c r="B1765" s="7"/>
    </row>
    <row r="1766">
      <c r="A1766" s="43"/>
      <c r="B1766" s="7"/>
    </row>
    <row r="1767">
      <c r="A1767" s="43"/>
      <c r="B1767" s="7"/>
    </row>
    <row r="1768">
      <c r="A1768" s="43"/>
      <c r="B1768" s="7"/>
    </row>
    <row r="1769">
      <c r="A1769" s="43"/>
      <c r="B1769" s="7"/>
    </row>
    <row r="1770">
      <c r="A1770" s="43"/>
      <c r="B1770" s="7"/>
    </row>
    <row r="1771">
      <c r="A1771" s="43"/>
      <c r="B1771" s="7"/>
    </row>
    <row r="1772">
      <c r="A1772" s="43"/>
      <c r="B1772" s="7"/>
    </row>
    <row r="1773">
      <c r="A1773" s="43"/>
      <c r="B1773" s="7"/>
    </row>
    <row r="1774">
      <c r="A1774" s="43"/>
      <c r="B1774" s="7"/>
    </row>
    <row r="1775">
      <c r="A1775" s="43"/>
      <c r="B1775" s="7"/>
    </row>
    <row r="1776">
      <c r="A1776" s="43"/>
      <c r="B1776" s="7"/>
    </row>
    <row r="1777">
      <c r="A1777" s="43"/>
      <c r="B1777" s="7"/>
    </row>
    <row r="1778">
      <c r="A1778" s="43"/>
      <c r="B1778" s="7"/>
    </row>
    <row r="1779">
      <c r="A1779" s="43"/>
      <c r="B1779" s="7"/>
    </row>
    <row r="1780">
      <c r="A1780" s="43"/>
      <c r="B1780" s="7"/>
    </row>
    <row r="1781">
      <c r="A1781" s="43"/>
      <c r="B1781" s="7"/>
    </row>
    <row r="1782">
      <c r="A1782" s="43"/>
      <c r="B1782" s="7"/>
    </row>
    <row r="1783">
      <c r="A1783" s="43"/>
      <c r="B1783" s="7"/>
    </row>
    <row r="1784">
      <c r="A1784" s="43"/>
      <c r="B1784" s="7"/>
    </row>
    <row r="1785">
      <c r="A1785" s="43"/>
      <c r="B1785" s="7"/>
    </row>
    <row r="1786">
      <c r="A1786" s="43"/>
      <c r="B1786" s="7"/>
    </row>
    <row r="1787">
      <c r="A1787" s="43"/>
      <c r="B1787" s="7"/>
    </row>
    <row r="1788">
      <c r="A1788" s="43"/>
      <c r="B1788" s="7"/>
    </row>
    <row r="1789">
      <c r="A1789" s="43"/>
      <c r="B1789" s="7"/>
    </row>
    <row r="1790">
      <c r="A1790" s="43"/>
      <c r="B1790" s="7"/>
    </row>
    <row r="1791">
      <c r="A1791" s="43"/>
      <c r="B1791" s="7"/>
    </row>
    <row r="1792">
      <c r="A1792" s="43"/>
      <c r="B1792" s="7"/>
    </row>
    <row r="1793">
      <c r="A1793" s="43"/>
      <c r="B1793" s="7"/>
    </row>
    <row r="1794">
      <c r="A1794" s="43"/>
      <c r="B1794" s="7"/>
    </row>
    <row r="1795">
      <c r="A1795" s="43"/>
      <c r="B1795" s="7"/>
    </row>
    <row r="1796">
      <c r="A1796" s="43"/>
      <c r="B1796" s="7"/>
    </row>
    <row r="1797">
      <c r="A1797" s="43"/>
      <c r="B1797" s="7"/>
    </row>
    <row r="1798">
      <c r="A1798" s="43"/>
      <c r="B1798" s="7"/>
    </row>
    <row r="1799">
      <c r="A1799" s="43"/>
      <c r="B1799" s="7"/>
    </row>
    <row r="1800">
      <c r="A1800" s="43"/>
      <c r="B1800" s="7"/>
    </row>
    <row r="1801">
      <c r="A1801" s="43"/>
      <c r="B1801" s="7"/>
    </row>
    <row r="1802">
      <c r="A1802" s="43"/>
      <c r="B1802" s="7"/>
    </row>
    <row r="1803">
      <c r="A1803" s="43"/>
      <c r="B1803" s="7"/>
    </row>
    <row r="1804">
      <c r="A1804" s="43"/>
      <c r="B1804" s="7"/>
    </row>
    <row r="1805">
      <c r="A1805" s="43"/>
      <c r="B1805" s="7"/>
    </row>
    <row r="1806">
      <c r="A1806" s="43"/>
      <c r="B1806" s="7"/>
    </row>
    <row r="1807">
      <c r="A1807" s="43"/>
      <c r="B1807" s="7"/>
    </row>
    <row r="1808">
      <c r="A1808" s="43"/>
      <c r="B1808" s="7"/>
    </row>
    <row r="1809">
      <c r="A1809" s="43"/>
      <c r="B1809" s="7"/>
    </row>
    <row r="1810">
      <c r="A1810" s="43"/>
      <c r="B1810" s="7"/>
    </row>
    <row r="1811">
      <c r="A1811" s="43"/>
      <c r="B1811" s="7"/>
    </row>
    <row r="1812">
      <c r="A1812" s="43"/>
      <c r="B1812" s="7"/>
    </row>
    <row r="1813">
      <c r="A1813" s="43"/>
      <c r="B1813" s="7"/>
    </row>
    <row r="1814">
      <c r="A1814" s="43"/>
      <c r="B1814" s="7"/>
    </row>
    <row r="1815">
      <c r="A1815" s="43"/>
      <c r="B1815" s="7"/>
    </row>
    <row r="1816">
      <c r="A1816" s="43"/>
      <c r="B1816" s="7"/>
    </row>
    <row r="1817">
      <c r="A1817" s="43"/>
      <c r="B1817" s="7"/>
    </row>
    <row r="1818">
      <c r="A1818" s="43"/>
      <c r="B1818" s="7"/>
    </row>
    <row r="1819">
      <c r="A1819" s="43"/>
      <c r="B1819" s="7"/>
    </row>
    <row r="1820">
      <c r="A1820" s="43"/>
      <c r="B1820" s="7"/>
    </row>
    <row r="1821">
      <c r="A1821" s="43"/>
      <c r="B1821" s="7"/>
    </row>
    <row r="1822">
      <c r="A1822" s="43"/>
      <c r="B1822" s="7"/>
    </row>
    <row r="1823">
      <c r="A1823" s="43"/>
      <c r="B1823" s="7"/>
    </row>
    <row r="1824">
      <c r="A1824" s="43"/>
      <c r="B1824" s="7"/>
    </row>
    <row r="1825">
      <c r="A1825" s="43"/>
      <c r="B1825" s="7"/>
    </row>
    <row r="1826">
      <c r="A1826" s="43"/>
      <c r="B1826" s="7"/>
    </row>
    <row r="1827">
      <c r="A1827" s="43"/>
      <c r="B1827" s="7"/>
    </row>
    <row r="1828">
      <c r="A1828" s="43"/>
      <c r="B1828" s="7"/>
    </row>
    <row r="1829">
      <c r="A1829" s="43"/>
      <c r="B1829" s="7"/>
    </row>
    <row r="1830">
      <c r="A1830" s="43"/>
      <c r="B1830" s="7"/>
    </row>
    <row r="1831">
      <c r="A1831" s="43"/>
      <c r="B1831" s="7"/>
    </row>
    <row r="1832">
      <c r="A1832" s="43"/>
      <c r="B1832" s="7"/>
    </row>
    <row r="1833">
      <c r="A1833" s="43"/>
      <c r="B1833" s="7"/>
    </row>
    <row r="1834">
      <c r="A1834" s="43"/>
      <c r="B1834" s="7"/>
    </row>
    <row r="1835">
      <c r="A1835" s="43"/>
      <c r="B1835" s="7"/>
    </row>
    <row r="1836">
      <c r="A1836" s="43"/>
      <c r="B1836" s="7"/>
    </row>
    <row r="1837">
      <c r="A1837" s="43"/>
      <c r="B1837" s="7"/>
    </row>
    <row r="1838">
      <c r="A1838" s="43"/>
      <c r="B1838" s="7"/>
    </row>
    <row r="1839">
      <c r="A1839" s="43"/>
      <c r="B1839" s="7"/>
    </row>
    <row r="1840">
      <c r="A1840" s="43"/>
      <c r="B1840" s="7"/>
    </row>
    <row r="1841">
      <c r="A1841" s="43"/>
      <c r="B1841" s="7"/>
    </row>
    <row r="1842">
      <c r="A1842" s="43"/>
      <c r="B1842" s="7"/>
    </row>
    <row r="1843">
      <c r="A1843" s="43"/>
      <c r="B1843" s="7"/>
    </row>
    <row r="1844">
      <c r="A1844" s="43"/>
      <c r="B1844" s="7"/>
    </row>
    <row r="1845">
      <c r="A1845" s="43"/>
      <c r="B1845" s="7"/>
    </row>
    <row r="1846">
      <c r="A1846" s="43"/>
      <c r="B1846" s="7"/>
    </row>
    <row r="1847">
      <c r="A1847" s="43"/>
      <c r="B1847" s="7"/>
    </row>
    <row r="1848">
      <c r="A1848" s="43"/>
      <c r="B1848" s="7"/>
    </row>
    <row r="1849">
      <c r="A1849" s="43"/>
      <c r="B1849" s="7"/>
    </row>
    <row r="1850">
      <c r="A1850" s="43"/>
      <c r="B1850" s="7"/>
    </row>
    <row r="1851">
      <c r="A1851" s="43"/>
      <c r="B1851" s="7"/>
    </row>
    <row r="1852">
      <c r="A1852" s="43"/>
      <c r="B1852" s="7"/>
    </row>
    <row r="1853">
      <c r="A1853" s="43"/>
      <c r="B1853" s="7"/>
    </row>
    <row r="1854">
      <c r="A1854" s="43"/>
      <c r="B1854" s="7"/>
    </row>
    <row r="1855">
      <c r="A1855" s="43"/>
      <c r="B1855" s="7"/>
    </row>
    <row r="1856">
      <c r="A1856" s="43"/>
      <c r="B1856" s="7"/>
    </row>
    <row r="1857">
      <c r="A1857" s="43"/>
      <c r="B1857" s="7"/>
    </row>
    <row r="1858">
      <c r="A1858" s="43"/>
      <c r="B1858" s="7"/>
    </row>
    <row r="1859">
      <c r="A1859" s="43"/>
      <c r="B1859" s="7"/>
    </row>
    <row r="1860">
      <c r="A1860" s="43"/>
      <c r="B1860" s="7"/>
    </row>
    <row r="1861">
      <c r="A1861" s="43"/>
      <c r="B1861" s="7"/>
    </row>
    <row r="1862">
      <c r="A1862" s="43"/>
      <c r="B1862" s="7"/>
    </row>
    <row r="1863">
      <c r="A1863" s="43"/>
      <c r="B1863" s="7"/>
    </row>
    <row r="1864">
      <c r="A1864" s="43"/>
      <c r="B1864" s="7"/>
    </row>
    <row r="1865">
      <c r="A1865" s="43"/>
      <c r="B1865" s="7"/>
    </row>
    <row r="1866">
      <c r="A1866" s="43"/>
      <c r="B1866" s="7"/>
    </row>
    <row r="1867">
      <c r="A1867" s="43"/>
      <c r="B1867" s="7"/>
    </row>
    <row r="1868">
      <c r="A1868" s="43"/>
      <c r="B1868" s="7"/>
    </row>
    <row r="1869">
      <c r="A1869" s="43"/>
      <c r="B1869" s="7"/>
    </row>
    <row r="1870">
      <c r="A1870" s="43"/>
      <c r="B1870" s="7"/>
    </row>
    <row r="1871">
      <c r="A1871" s="43"/>
      <c r="B1871" s="7"/>
    </row>
    <row r="1872">
      <c r="A1872" s="43"/>
      <c r="B1872" s="7"/>
    </row>
    <row r="1873">
      <c r="A1873" s="43"/>
      <c r="B1873" s="7"/>
    </row>
    <row r="1874">
      <c r="A1874" s="43"/>
      <c r="B1874" s="7"/>
    </row>
    <row r="1875">
      <c r="A1875" s="43"/>
      <c r="B1875" s="7"/>
    </row>
    <row r="1876">
      <c r="A1876" s="43"/>
      <c r="B1876" s="7"/>
    </row>
    <row r="1877">
      <c r="A1877" s="43"/>
      <c r="B1877" s="7"/>
    </row>
    <row r="1878">
      <c r="A1878" s="43"/>
      <c r="B1878" s="7"/>
    </row>
    <row r="1879">
      <c r="A1879" s="43"/>
      <c r="B1879" s="7"/>
    </row>
    <row r="1880">
      <c r="A1880" s="43"/>
      <c r="B1880" s="7"/>
    </row>
    <row r="1881">
      <c r="A1881" s="43"/>
      <c r="B1881" s="7"/>
    </row>
    <row r="1882">
      <c r="A1882" s="43"/>
      <c r="B1882" s="7"/>
    </row>
    <row r="1883">
      <c r="A1883" s="43"/>
      <c r="B1883" s="7"/>
    </row>
    <row r="1884">
      <c r="A1884" s="43"/>
      <c r="B1884" s="7"/>
    </row>
    <row r="1885">
      <c r="A1885" s="43"/>
      <c r="B1885" s="7"/>
    </row>
    <row r="1886">
      <c r="A1886" s="43"/>
      <c r="B1886" s="7"/>
    </row>
    <row r="1887">
      <c r="A1887" s="43"/>
      <c r="B1887" s="7"/>
    </row>
    <row r="1888">
      <c r="A1888" s="43"/>
      <c r="B1888" s="7"/>
    </row>
    <row r="1889">
      <c r="A1889" s="43"/>
      <c r="B1889" s="7"/>
    </row>
    <row r="1890">
      <c r="A1890" s="43"/>
      <c r="B1890" s="7"/>
    </row>
    <row r="1891">
      <c r="A1891" s="43"/>
      <c r="B1891" s="7"/>
    </row>
    <row r="1892">
      <c r="A1892" s="43"/>
      <c r="B1892" s="7"/>
    </row>
    <row r="1893">
      <c r="A1893" s="43"/>
      <c r="B1893" s="7"/>
    </row>
    <row r="1894">
      <c r="A1894" s="43"/>
      <c r="B1894" s="7"/>
    </row>
    <row r="1895">
      <c r="A1895" s="43"/>
      <c r="B1895" s="7"/>
    </row>
    <row r="1896">
      <c r="A1896" s="43"/>
      <c r="B1896" s="7"/>
    </row>
    <row r="1897">
      <c r="A1897" s="43"/>
      <c r="B1897" s="7"/>
    </row>
    <row r="1898">
      <c r="A1898" s="43"/>
      <c r="B1898" s="7"/>
    </row>
    <row r="1899">
      <c r="A1899" s="43"/>
      <c r="B1899" s="7"/>
    </row>
    <row r="1900">
      <c r="A1900" s="43"/>
      <c r="B1900" s="7"/>
    </row>
    <row r="1901">
      <c r="A1901" s="43"/>
      <c r="B1901" s="7"/>
    </row>
    <row r="1902">
      <c r="A1902" s="43"/>
      <c r="B1902" s="7"/>
    </row>
    <row r="1903">
      <c r="A1903" s="43"/>
      <c r="B1903" s="7"/>
    </row>
    <row r="1904">
      <c r="A1904" s="43"/>
      <c r="B1904" s="7"/>
    </row>
    <row r="1905">
      <c r="A1905" s="43"/>
      <c r="B1905" s="7"/>
    </row>
    <row r="1906">
      <c r="A1906" s="43"/>
      <c r="B1906" s="7"/>
    </row>
    <row r="1907">
      <c r="A1907" s="43"/>
      <c r="B1907" s="7"/>
    </row>
    <row r="1908">
      <c r="A1908" s="43"/>
      <c r="B1908" s="7"/>
    </row>
    <row r="1909">
      <c r="A1909" s="43"/>
      <c r="B1909" s="7"/>
    </row>
    <row r="1910">
      <c r="A1910" s="43"/>
      <c r="B1910" s="7"/>
    </row>
    <row r="1911">
      <c r="A1911" s="43"/>
      <c r="B1911" s="7"/>
    </row>
    <row r="1912">
      <c r="A1912" s="43"/>
      <c r="B1912" s="7"/>
    </row>
    <row r="1913">
      <c r="A1913" s="43"/>
      <c r="B1913" s="7"/>
    </row>
    <row r="1914">
      <c r="A1914" s="43"/>
      <c r="B1914" s="7"/>
    </row>
    <row r="1915">
      <c r="A1915" s="43"/>
      <c r="B1915" s="7"/>
    </row>
    <row r="1916">
      <c r="A1916" s="43"/>
      <c r="B1916" s="7"/>
    </row>
    <row r="1917">
      <c r="A1917" s="43"/>
      <c r="B1917" s="7"/>
    </row>
    <row r="1918">
      <c r="A1918" s="43"/>
      <c r="B1918" s="7"/>
    </row>
    <row r="1919">
      <c r="A1919" s="43"/>
      <c r="B1919" s="7"/>
    </row>
    <row r="1920">
      <c r="A1920" s="43"/>
      <c r="B1920" s="7"/>
    </row>
    <row r="1921">
      <c r="A1921" s="43"/>
      <c r="B1921" s="7"/>
    </row>
    <row r="1922">
      <c r="A1922" s="43"/>
      <c r="B1922" s="7"/>
    </row>
    <row r="1923">
      <c r="A1923" s="43"/>
      <c r="B1923" s="7"/>
    </row>
    <row r="1924">
      <c r="A1924" s="43"/>
      <c r="B1924" s="7"/>
    </row>
    <row r="1925">
      <c r="A1925" s="43"/>
      <c r="B1925" s="7"/>
    </row>
    <row r="1926">
      <c r="A1926" s="43"/>
      <c r="B1926" s="7"/>
    </row>
    <row r="1927">
      <c r="A1927" s="43"/>
      <c r="B1927" s="7"/>
    </row>
    <row r="1928">
      <c r="A1928" s="43"/>
      <c r="B1928" s="7"/>
    </row>
    <row r="1929">
      <c r="A1929" s="43"/>
      <c r="B1929" s="7"/>
    </row>
    <row r="1930">
      <c r="A1930" s="43"/>
      <c r="B1930" s="7"/>
    </row>
    <row r="1931">
      <c r="A1931" s="43"/>
      <c r="B1931" s="7"/>
    </row>
    <row r="1932">
      <c r="A1932" s="43"/>
      <c r="B1932" s="7"/>
    </row>
    <row r="1933">
      <c r="A1933" s="43"/>
      <c r="B1933" s="7"/>
    </row>
    <row r="1934">
      <c r="A1934" s="43"/>
      <c r="B1934" s="7"/>
    </row>
    <row r="1935">
      <c r="A1935" s="43"/>
      <c r="B1935" s="7"/>
    </row>
    <row r="1936">
      <c r="A1936" s="43"/>
      <c r="B1936" s="7"/>
    </row>
    <row r="1937">
      <c r="A1937" s="43"/>
      <c r="B1937" s="7"/>
    </row>
    <row r="1938">
      <c r="A1938" s="43"/>
      <c r="B1938" s="7"/>
    </row>
    <row r="1939">
      <c r="A1939" s="43"/>
      <c r="B1939" s="7"/>
    </row>
    <row r="1940">
      <c r="A1940" s="43"/>
      <c r="B1940" s="7"/>
    </row>
    <row r="1941">
      <c r="A1941" s="43"/>
      <c r="B1941" s="7"/>
    </row>
    <row r="1942">
      <c r="A1942" s="43"/>
      <c r="B1942" s="7"/>
    </row>
    <row r="1943">
      <c r="A1943" s="43"/>
      <c r="B1943" s="7"/>
    </row>
    <row r="1944">
      <c r="A1944" s="43"/>
      <c r="B1944" s="7"/>
    </row>
    <row r="1945">
      <c r="A1945" s="43"/>
      <c r="B1945" s="7"/>
    </row>
    <row r="1946">
      <c r="A1946" s="43"/>
      <c r="B1946" s="7"/>
    </row>
    <row r="1947">
      <c r="A1947" s="43"/>
      <c r="B1947" s="7"/>
    </row>
    <row r="1948">
      <c r="A1948" s="43"/>
      <c r="B1948" s="7"/>
    </row>
    <row r="1949">
      <c r="A1949" s="43"/>
      <c r="B1949" s="7"/>
    </row>
    <row r="1950">
      <c r="A1950" s="43"/>
      <c r="B1950" s="7"/>
    </row>
    <row r="1951">
      <c r="A1951" s="43"/>
      <c r="B1951" s="7"/>
    </row>
    <row r="1952">
      <c r="A1952" s="43"/>
      <c r="B1952" s="7"/>
    </row>
    <row r="1953">
      <c r="A1953" s="43"/>
      <c r="B1953" s="7"/>
    </row>
    <row r="1954">
      <c r="A1954" s="43"/>
      <c r="B1954" s="7"/>
    </row>
    <row r="1955">
      <c r="A1955" s="43"/>
      <c r="B1955" s="7"/>
    </row>
    <row r="1956">
      <c r="A1956" s="43"/>
      <c r="B1956" s="7"/>
    </row>
    <row r="1957">
      <c r="A1957" s="43"/>
      <c r="B1957" s="7"/>
    </row>
    <row r="1958">
      <c r="A1958" s="43"/>
      <c r="B1958" s="7"/>
    </row>
    <row r="1959">
      <c r="A1959" s="43"/>
      <c r="B1959" s="7"/>
    </row>
    <row r="1960">
      <c r="A1960" s="43"/>
      <c r="B1960" s="7"/>
    </row>
    <row r="1961">
      <c r="A1961" s="43"/>
      <c r="B1961" s="7"/>
    </row>
    <row r="1962">
      <c r="A1962" s="43"/>
      <c r="B1962" s="7"/>
    </row>
    <row r="1963">
      <c r="A1963" s="43"/>
      <c r="B1963" s="7"/>
    </row>
    <row r="1964">
      <c r="A1964" s="43"/>
      <c r="B1964" s="7"/>
    </row>
    <row r="1965">
      <c r="A1965" s="43"/>
      <c r="B1965" s="7"/>
    </row>
    <row r="1966">
      <c r="A1966" s="43"/>
      <c r="B1966" s="7"/>
    </row>
    <row r="1967">
      <c r="A1967" s="43"/>
      <c r="B1967" s="7"/>
    </row>
    <row r="1968">
      <c r="A1968" s="43"/>
      <c r="B1968" s="7"/>
    </row>
    <row r="1969">
      <c r="A1969" s="43"/>
      <c r="B1969" s="7"/>
    </row>
    <row r="1970">
      <c r="A1970" s="43"/>
      <c r="B1970" s="7"/>
    </row>
    <row r="1971">
      <c r="A1971" s="43"/>
      <c r="B1971" s="7"/>
    </row>
    <row r="1972">
      <c r="A1972" s="43"/>
      <c r="B1972" s="7"/>
    </row>
    <row r="1973">
      <c r="A1973" s="43"/>
      <c r="B1973" s="7"/>
    </row>
    <row r="1974">
      <c r="A1974" s="43"/>
      <c r="B1974" s="7"/>
    </row>
    <row r="1975">
      <c r="A1975" s="43"/>
      <c r="B1975" s="7"/>
    </row>
    <row r="1976">
      <c r="A1976" s="43"/>
      <c r="B1976" s="7"/>
    </row>
    <row r="1977">
      <c r="A1977" s="43"/>
      <c r="B1977" s="7"/>
    </row>
    <row r="1978">
      <c r="A1978" s="43"/>
      <c r="B1978" s="7"/>
    </row>
    <row r="1979">
      <c r="A1979" s="43"/>
      <c r="B1979" s="7"/>
    </row>
    <row r="1980">
      <c r="A1980" s="43"/>
      <c r="B1980" s="7"/>
    </row>
    <row r="1981">
      <c r="A1981" s="43"/>
      <c r="B1981" s="7"/>
    </row>
    <row r="1982">
      <c r="A1982" s="43"/>
      <c r="B1982" s="7"/>
    </row>
    <row r="1983">
      <c r="A1983" s="43"/>
      <c r="B1983" s="7"/>
    </row>
    <row r="1984">
      <c r="A1984" s="43"/>
      <c r="B1984" s="7"/>
    </row>
    <row r="1985">
      <c r="A1985" s="43"/>
      <c r="B1985" s="7"/>
    </row>
    <row r="1986">
      <c r="A1986" s="43"/>
      <c r="B1986" s="7"/>
    </row>
    <row r="1987">
      <c r="A1987" s="43"/>
      <c r="B1987" s="7"/>
    </row>
    <row r="1988">
      <c r="A1988" s="43"/>
      <c r="B1988" s="7"/>
    </row>
    <row r="1989">
      <c r="A1989" s="43"/>
      <c r="B1989" s="7"/>
    </row>
    <row r="1990">
      <c r="A1990" s="43"/>
      <c r="B1990" s="7"/>
    </row>
    <row r="1991">
      <c r="A1991" s="43"/>
      <c r="B1991" s="7"/>
    </row>
    <row r="1992">
      <c r="A1992" s="43"/>
      <c r="B1992" s="7"/>
    </row>
    <row r="1993">
      <c r="A1993" s="43"/>
      <c r="B1993" s="7"/>
    </row>
    <row r="1994">
      <c r="A1994" s="43"/>
      <c r="B1994" s="7"/>
    </row>
    <row r="1995">
      <c r="A1995" s="43"/>
      <c r="B1995" s="7"/>
    </row>
    <row r="1996">
      <c r="A1996" s="43"/>
      <c r="B1996" s="7"/>
    </row>
    <row r="1997">
      <c r="A1997" s="43"/>
      <c r="B1997" s="7"/>
    </row>
    <row r="1998">
      <c r="A1998" s="43"/>
      <c r="B1998" s="7"/>
    </row>
    <row r="1999">
      <c r="A1999" s="43"/>
      <c r="B1999" s="7"/>
    </row>
    <row r="2000">
      <c r="A2000" s="43"/>
      <c r="B2000" s="7"/>
    </row>
    <row r="2001">
      <c r="A2001" s="43"/>
      <c r="B2001" s="7"/>
    </row>
    <row r="2002">
      <c r="A2002" s="43"/>
      <c r="B2002" s="7"/>
    </row>
    <row r="2003">
      <c r="A2003" s="43"/>
      <c r="B2003" s="7"/>
    </row>
    <row r="2004">
      <c r="A2004" s="43"/>
      <c r="B2004" s="7"/>
    </row>
    <row r="2005">
      <c r="A2005" s="43"/>
      <c r="B2005" s="7"/>
    </row>
    <row r="2006">
      <c r="A2006" s="43"/>
      <c r="B2006" s="7"/>
    </row>
    <row r="2007">
      <c r="A2007" s="43"/>
      <c r="B2007" s="7"/>
    </row>
    <row r="2008">
      <c r="A2008" s="43"/>
      <c r="B2008" s="7"/>
    </row>
    <row r="2009">
      <c r="A2009" s="43"/>
      <c r="B2009" s="7"/>
    </row>
    <row r="2010">
      <c r="A2010" s="43"/>
      <c r="B2010" s="7"/>
    </row>
    <row r="2011">
      <c r="A2011" s="43"/>
      <c r="B2011" s="7"/>
    </row>
    <row r="2012">
      <c r="A2012" s="43"/>
      <c r="B2012" s="7"/>
    </row>
    <row r="2013">
      <c r="A2013" s="43"/>
      <c r="B2013" s="7"/>
    </row>
    <row r="2014">
      <c r="A2014" s="43"/>
      <c r="B2014" s="7"/>
    </row>
    <row r="2015">
      <c r="A2015" s="43"/>
      <c r="B2015" s="7"/>
    </row>
    <row r="2016">
      <c r="A2016" s="43"/>
      <c r="B2016" s="7"/>
    </row>
    <row r="2017">
      <c r="A2017" s="43"/>
      <c r="B2017" s="7"/>
    </row>
    <row r="2018">
      <c r="A2018" s="43"/>
      <c r="B2018" s="7"/>
    </row>
    <row r="2019">
      <c r="A2019" s="43"/>
      <c r="B2019" s="7"/>
    </row>
    <row r="2020">
      <c r="A2020" s="43"/>
      <c r="B2020" s="7"/>
    </row>
    <row r="2021">
      <c r="A2021" s="43"/>
      <c r="B2021" s="7"/>
    </row>
    <row r="2022">
      <c r="A2022" s="43"/>
      <c r="B2022" s="7"/>
    </row>
    <row r="2023">
      <c r="A2023" s="43"/>
      <c r="B2023" s="7"/>
    </row>
    <row r="2024">
      <c r="A2024" s="43"/>
      <c r="B2024" s="7"/>
    </row>
    <row r="2025">
      <c r="A2025" s="43"/>
      <c r="B2025" s="7"/>
    </row>
    <row r="2026">
      <c r="A2026" s="43"/>
      <c r="B2026" s="7"/>
    </row>
    <row r="2027">
      <c r="A2027" s="43"/>
      <c r="B2027" s="7"/>
    </row>
    <row r="2028">
      <c r="A2028" s="43"/>
      <c r="B2028" s="7"/>
    </row>
    <row r="2029">
      <c r="A2029" s="43"/>
      <c r="B2029" s="7"/>
    </row>
    <row r="2030">
      <c r="A2030" s="43"/>
      <c r="B2030" s="7"/>
    </row>
    <row r="2031">
      <c r="A2031" s="43"/>
      <c r="B2031" s="7"/>
    </row>
    <row r="2032">
      <c r="A2032" s="43"/>
      <c r="B2032" s="7"/>
    </row>
    <row r="2033">
      <c r="A2033" s="43"/>
      <c r="B2033" s="7"/>
    </row>
    <row r="2034">
      <c r="A2034" s="43"/>
      <c r="B2034" s="7"/>
    </row>
    <row r="2035">
      <c r="A2035" s="43"/>
      <c r="B2035" s="7"/>
    </row>
    <row r="2036">
      <c r="A2036" s="43"/>
      <c r="B2036" s="7"/>
    </row>
    <row r="2037">
      <c r="A2037" s="43"/>
      <c r="B2037" s="7"/>
    </row>
    <row r="2038">
      <c r="A2038" s="43"/>
      <c r="B2038" s="7"/>
    </row>
    <row r="2039">
      <c r="A2039" s="43"/>
      <c r="B2039" s="7"/>
    </row>
    <row r="2040">
      <c r="A2040" s="43"/>
      <c r="B2040" s="7"/>
    </row>
    <row r="2041">
      <c r="A2041" s="43"/>
      <c r="B2041" s="7"/>
    </row>
    <row r="2042">
      <c r="A2042" s="43"/>
      <c r="B2042" s="7"/>
    </row>
    <row r="2043">
      <c r="A2043" s="43"/>
      <c r="B2043" s="7"/>
    </row>
    <row r="2044">
      <c r="A2044" s="43"/>
      <c r="B2044" s="7"/>
    </row>
    <row r="2045">
      <c r="A2045" s="43"/>
      <c r="B2045" s="7"/>
    </row>
    <row r="2046">
      <c r="A2046" s="43"/>
      <c r="B2046" s="7"/>
    </row>
    <row r="2047">
      <c r="A2047" s="43"/>
      <c r="B2047" s="7"/>
    </row>
    <row r="2048">
      <c r="A2048" s="43"/>
      <c r="B2048" s="7"/>
    </row>
    <row r="2049">
      <c r="A2049" s="43"/>
      <c r="B2049" s="7"/>
    </row>
    <row r="2050">
      <c r="A2050" s="43"/>
      <c r="B2050" s="7"/>
    </row>
    <row r="2051">
      <c r="A2051" s="43"/>
      <c r="B2051" s="7"/>
    </row>
    <row r="2052">
      <c r="A2052" s="43"/>
      <c r="B2052" s="7"/>
    </row>
    <row r="2053">
      <c r="A2053" s="43"/>
      <c r="B2053" s="7"/>
    </row>
    <row r="2054">
      <c r="A2054" s="43"/>
      <c r="B2054" s="7"/>
    </row>
    <row r="2055">
      <c r="A2055" s="43"/>
      <c r="B2055" s="7"/>
    </row>
    <row r="2056">
      <c r="A2056" s="43"/>
      <c r="B2056" s="7"/>
    </row>
    <row r="2057">
      <c r="A2057" s="43"/>
      <c r="B2057" s="7"/>
    </row>
    <row r="2058">
      <c r="A2058" s="43"/>
      <c r="B2058" s="7"/>
    </row>
    <row r="2059">
      <c r="A2059" s="43"/>
      <c r="B2059" s="7"/>
    </row>
    <row r="2060">
      <c r="A2060" s="43"/>
      <c r="B2060" s="7"/>
    </row>
    <row r="2061">
      <c r="A2061" s="43"/>
      <c r="B2061" s="7"/>
    </row>
    <row r="2062">
      <c r="A2062" s="43"/>
      <c r="B2062" s="7"/>
    </row>
    <row r="2063">
      <c r="A2063" s="43"/>
      <c r="B2063" s="7"/>
    </row>
    <row r="2064">
      <c r="A2064" s="43"/>
      <c r="B2064" s="7"/>
    </row>
    <row r="2065">
      <c r="A2065" s="43"/>
      <c r="B2065" s="7"/>
    </row>
    <row r="2066">
      <c r="A2066" s="43"/>
      <c r="B2066" s="7"/>
    </row>
    <row r="2067">
      <c r="A2067" s="43"/>
      <c r="B2067" s="7"/>
    </row>
    <row r="2068">
      <c r="A2068" s="43"/>
      <c r="B2068" s="7"/>
    </row>
    <row r="2069">
      <c r="A2069" s="43"/>
      <c r="B2069" s="7"/>
    </row>
    <row r="2070">
      <c r="A2070" s="43"/>
      <c r="B2070" s="7"/>
    </row>
    <row r="2071">
      <c r="A2071" s="43"/>
      <c r="B2071" s="7"/>
    </row>
    <row r="2072">
      <c r="A2072" s="43"/>
      <c r="B2072" s="7"/>
    </row>
    <row r="2073">
      <c r="A2073" s="43"/>
      <c r="B2073" s="7"/>
    </row>
    <row r="2074">
      <c r="A2074" s="43"/>
      <c r="B2074" s="7"/>
    </row>
    <row r="2075">
      <c r="A2075" s="43"/>
      <c r="B2075" s="7"/>
    </row>
    <row r="2076">
      <c r="A2076" s="43"/>
      <c r="B2076" s="7"/>
    </row>
    <row r="2077">
      <c r="A2077" s="43"/>
      <c r="B2077" s="7"/>
    </row>
    <row r="2078">
      <c r="A2078" s="43"/>
      <c r="B2078" s="7"/>
    </row>
    <row r="2079">
      <c r="A2079" s="43"/>
      <c r="B2079" s="7"/>
    </row>
    <row r="2080">
      <c r="A2080" s="43"/>
      <c r="B2080" s="7"/>
    </row>
    <row r="2081">
      <c r="A2081" s="43"/>
      <c r="B2081" s="7"/>
    </row>
    <row r="2082">
      <c r="A2082" s="43"/>
      <c r="B2082" s="7"/>
    </row>
    <row r="2083">
      <c r="A2083" s="43"/>
      <c r="B2083" s="7"/>
    </row>
    <row r="2084">
      <c r="A2084" s="43"/>
      <c r="B2084" s="7"/>
    </row>
    <row r="2085">
      <c r="A2085" s="43"/>
      <c r="B2085" s="7"/>
    </row>
    <row r="2086">
      <c r="A2086" s="43"/>
      <c r="B2086" s="7"/>
    </row>
    <row r="2087">
      <c r="A2087" s="43"/>
      <c r="B2087" s="7"/>
    </row>
    <row r="2088">
      <c r="A2088" s="43"/>
      <c r="B2088" s="7"/>
    </row>
    <row r="2089">
      <c r="A2089" s="43"/>
      <c r="B2089" s="7"/>
    </row>
    <row r="2090">
      <c r="A2090" s="43"/>
      <c r="B2090" s="7"/>
    </row>
    <row r="2091">
      <c r="A2091" s="43"/>
      <c r="B2091" s="7"/>
    </row>
    <row r="2092">
      <c r="A2092" s="43"/>
      <c r="B2092" s="7"/>
    </row>
    <row r="2093">
      <c r="A2093" s="43"/>
      <c r="B2093" s="7"/>
    </row>
    <row r="2094">
      <c r="A2094" s="43"/>
      <c r="B2094" s="7"/>
    </row>
    <row r="2095">
      <c r="A2095" s="43"/>
      <c r="B2095" s="7"/>
    </row>
    <row r="2096">
      <c r="A2096" s="43"/>
      <c r="B2096" s="7"/>
    </row>
  </sheetData>
  <autoFilter ref="$A$1:$B$1165">
    <sortState ref="A1:B1165">
      <sortCondition ref="A1:A1165"/>
    </sortState>
  </autoFil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6" t="s">
        <v>1355</v>
      </c>
      <c r="B1" s="46" t="s">
        <v>1357</v>
      </c>
    </row>
    <row r="2">
      <c r="A2" s="47" t="s">
        <v>1182</v>
      </c>
      <c r="B2" s="47">
        <v>0.0</v>
      </c>
    </row>
    <row r="3">
      <c r="A3" s="47" t="s">
        <v>1262</v>
      </c>
      <c r="B3" s="47">
        <v>25.0</v>
      </c>
    </row>
    <row r="4">
      <c r="A4" s="48" t="s">
        <v>379</v>
      </c>
      <c r="B4" s="47">
        <v>0.0</v>
      </c>
    </row>
    <row r="5">
      <c r="A5" s="48" t="s">
        <v>1348</v>
      </c>
      <c r="B5" s="47">
        <v>0.0</v>
      </c>
    </row>
    <row r="6">
      <c r="A6" s="48" t="s">
        <v>378</v>
      </c>
      <c r="B6" s="47">
        <v>0.0</v>
      </c>
    </row>
    <row r="7">
      <c r="A7" s="48" t="s">
        <v>380</v>
      </c>
      <c r="B7" s="47">
        <v>0.0</v>
      </c>
    </row>
    <row r="8">
      <c r="A8" s="47" t="s">
        <v>636</v>
      </c>
      <c r="B8" s="47">
        <v>44.0</v>
      </c>
    </row>
    <row r="9">
      <c r="A9" s="47" t="s">
        <v>1349</v>
      </c>
      <c r="B9" s="47">
        <v>0.0</v>
      </c>
    </row>
    <row r="10">
      <c r="A10" s="48" t="s">
        <v>863</v>
      </c>
      <c r="B10" s="48">
        <v>54.0</v>
      </c>
    </row>
    <row r="11">
      <c r="A11" s="47" t="s">
        <v>883</v>
      </c>
      <c r="B11" s="47">
        <v>50.0</v>
      </c>
    </row>
    <row r="12">
      <c r="A12" s="47" t="s">
        <v>884</v>
      </c>
      <c r="B12" s="47">
        <v>59.0</v>
      </c>
    </row>
    <row r="13">
      <c r="A13" s="47" t="s">
        <v>885</v>
      </c>
      <c r="B13" s="47">
        <v>50.0</v>
      </c>
    </row>
    <row r="14">
      <c r="A14" s="47" t="s">
        <v>886</v>
      </c>
      <c r="B14" s="47">
        <v>50.0</v>
      </c>
    </row>
    <row r="15">
      <c r="A15" s="47" t="s">
        <v>887</v>
      </c>
      <c r="B15" s="47">
        <v>54.0</v>
      </c>
    </row>
    <row r="16">
      <c r="A16" s="47" t="s">
        <v>888</v>
      </c>
      <c r="B16" s="47">
        <v>14.0</v>
      </c>
    </row>
    <row r="17">
      <c r="A17" s="47" t="s">
        <v>889</v>
      </c>
      <c r="B17" s="47">
        <v>17.0</v>
      </c>
    </row>
    <row r="18">
      <c r="A18" s="47" t="s">
        <v>890</v>
      </c>
      <c r="B18" s="47">
        <v>36.0</v>
      </c>
    </row>
    <row r="19">
      <c r="A19" s="47" t="s">
        <v>891</v>
      </c>
      <c r="B19" s="47">
        <v>50.0</v>
      </c>
    </row>
    <row r="20">
      <c r="A20" s="47" t="s">
        <v>892</v>
      </c>
      <c r="B20" s="47">
        <v>27.0</v>
      </c>
    </row>
    <row r="21">
      <c r="A21" s="47" t="s">
        <v>893</v>
      </c>
      <c r="B21" s="47">
        <v>50.0</v>
      </c>
    </row>
    <row r="22">
      <c r="A22" s="47" t="s">
        <v>894</v>
      </c>
      <c r="B22" s="47">
        <v>50.0</v>
      </c>
    </row>
    <row r="23">
      <c r="A23" s="47" t="s">
        <v>895</v>
      </c>
      <c r="B23" s="47">
        <v>50.0</v>
      </c>
    </row>
    <row r="24">
      <c r="A24" s="47" t="s">
        <v>896</v>
      </c>
      <c r="B24" s="47">
        <v>28.0</v>
      </c>
    </row>
    <row r="25">
      <c r="A25" s="47" t="s">
        <v>897</v>
      </c>
      <c r="B25" s="47">
        <v>19.0</v>
      </c>
    </row>
    <row r="26">
      <c r="A26" s="47" t="s">
        <v>898</v>
      </c>
      <c r="B26" s="47">
        <v>48.0</v>
      </c>
    </row>
    <row r="27">
      <c r="A27" s="47" t="s">
        <v>899</v>
      </c>
      <c r="B27" s="47">
        <v>50.0</v>
      </c>
    </row>
    <row r="28">
      <c r="A28" s="47" t="s">
        <v>900</v>
      </c>
      <c r="B28" s="47">
        <v>50.0</v>
      </c>
    </row>
    <row r="29">
      <c r="A29" s="47" t="s">
        <v>901</v>
      </c>
      <c r="B29" s="47">
        <v>50.0</v>
      </c>
    </row>
    <row r="30">
      <c r="A30" s="47" t="s">
        <v>902</v>
      </c>
      <c r="B30" s="47">
        <v>50.0</v>
      </c>
    </row>
    <row r="31">
      <c r="A31" s="47" t="s">
        <v>903</v>
      </c>
      <c r="B31" s="47">
        <v>39.0</v>
      </c>
    </row>
    <row r="32">
      <c r="A32" s="47" t="s">
        <v>904</v>
      </c>
      <c r="B32" s="47">
        <v>33.0</v>
      </c>
    </row>
    <row r="33">
      <c r="A33" s="47" t="s">
        <v>905</v>
      </c>
      <c r="B33" s="47">
        <v>50.0</v>
      </c>
    </row>
    <row r="34">
      <c r="A34" s="47" t="s">
        <v>906</v>
      </c>
      <c r="B34" s="47">
        <v>50.0</v>
      </c>
    </row>
    <row r="35">
      <c r="A35" s="47" t="s">
        <v>907</v>
      </c>
      <c r="B35" s="47">
        <v>50.0</v>
      </c>
    </row>
    <row r="36">
      <c r="A36" s="47" t="s">
        <v>908</v>
      </c>
      <c r="B36" s="47">
        <v>28.0</v>
      </c>
    </row>
    <row r="37">
      <c r="A37" s="47" t="s">
        <v>909</v>
      </c>
      <c r="B37" s="47">
        <v>50.0</v>
      </c>
    </row>
    <row r="38">
      <c r="A38" s="47" t="s">
        <v>910</v>
      </c>
      <c r="B38" s="47">
        <v>50.0</v>
      </c>
    </row>
    <row r="39">
      <c r="A39" s="47" t="s">
        <v>911</v>
      </c>
      <c r="B39" s="47">
        <v>50.0</v>
      </c>
    </row>
    <row r="40">
      <c r="A40" s="47" t="s">
        <v>912</v>
      </c>
      <c r="B40" s="47">
        <v>50.0</v>
      </c>
    </row>
    <row r="41">
      <c r="A41" s="47" t="s">
        <v>913</v>
      </c>
      <c r="B41" s="47">
        <v>50.0</v>
      </c>
    </row>
    <row r="42">
      <c r="A42" s="47" t="s">
        <v>914</v>
      </c>
      <c r="B42" s="47">
        <v>50.0</v>
      </c>
    </row>
    <row r="43">
      <c r="A43" s="47" t="s">
        <v>915</v>
      </c>
      <c r="B43" s="47">
        <v>50.0</v>
      </c>
    </row>
    <row r="44">
      <c r="A44" s="47" t="s">
        <v>916</v>
      </c>
      <c r="B44" s="47">
        <v>21.0</v>
      </c>
    </row>
    <row r="45">
      <c r="A45" s="47" t="s">
        <v>917</v>
      </c>
      <c r="B45" s="47">
        <v>24.0</v>
      </c>
    </row>
    <row r="46">
      <c r="A46" s="47" t="s">
        <v>918</v>
      </c>
      <c r="B46" s="47">
        <v>50.0</v>
      </c>
    </row>
    <row r="47">
      <c r="A47" s="47" t="s">
        <v>919</v>
      </c>
      <c r="B47" s="47">
        <v>38.0</v>
      </c>
    </row>
    <row r="48">
      <c r="A48" s="47" t="s">
        <v>920</v>
      </c>
      <c r="B48" s="47">
        <v>50.0</v>
      </c>
    </row>
    <row r="49">
      <c r="A49" s="47" t="s">
        <v>921</v>
      </c>
      <c r="B49" s="47">
        <v>15.0</v>
      </c>
    </row>
    <row r="50">
      <c r="A50" s="47" t="s">
        <v>922</v>
      </c>
      <c r="B50" s="47">
        <v>50.0</v>
      </c>
    </row>
    <row r="51">
      <c r="A51" s="47" t="s">
        <v>923</v>
      </c>
      <c r="B51" s="47">
        <v>52.0</v>
      </c>
    </row>
    <row r="52">
      <c r="A52" s="47" t="s">
        <v>924</v>
      </c>
      <c r="B52" s="47">
        <v>29.0</v>
      </c>
    </row>
    <row r="53">
      <c r="A53" s="47" t="s">
        <v>925</v>
      </c>
      <c r="B53" s="47">
        <v>50.0</v>
      </c>
    </row>
    <row r="54">
      <c r="A54" s="47" t="s">
        <v>926</v>
      </c>
      <c r="B54" s="47">
        <v>50.0</v>
      </c>
    </row>
    <row r="55">
      <c r="A55" s="47" t="s">
        <v>927</v>
      </c>
      <c r="B55" s="47">
        <v>35.0</v>
      </c>
    </row>
    <row r="56">
      <c r="A56" s="47" t="s">
        <v>928</v>
      </c>
      <c r="B56" s="47">
        <v>50.0</v>
      </c>
    </row>
    <row r="57">
      <c r="A57" s="47" t="s">
        <v>929</v>
      </c>
      <c r="B57" s="47">
        <v>14.0</v>
      </c>
    </row>
    <row r="58">
      <c r="A58" s="47" t="s">
        <v>930</v>
      </c>
      <c r="B58" s="47">
        <v>50.0</v>
      </c>
    </row>
    <row r="59">
      <c r="A59" s="47" t="s">
        <v>931</v>
      </c>
      <c r="B59" s="47">
        <v>50.0</v>
      </c>
    </row>
    <row r="60">
      <c r="A60" s="47" t="s">
        <v>932</v>
      </c>
      <c r="B60" s="47">
        <v>11.0</v>
      </c>
    </row>
    <row r="61">
      <c r="A61" s="47" t="s">
        <v>933</v>
      </c>
      <c r="B61" s="47">
        <v>50.0</v>
      </c>
    </row>
    <row r="62">
      <c r="A62" s="47" t="s">
        <v>934</v>
      </c>
      <c r="B62" s="47">
        <v>14.0</v>
      </c>
    </row>
    <row r="63">
      <c r="A63" s="47" t="s">
        <v>935</v>
      </c>
      <c r="B63" s="47">
        <v>11.0</v>
      </c>
    </row>
    <row r="64">
      <c r="A64" s="47" t="s">
        <v>936</v>
      </c>
      <c r="B64" s="47">
        <v>50.0</v>
      </c>
    </row>
    <row r="65">
      <c r="A65" s="47" t="s">
        <v>937</v>
      </c>
      <c r="B65" s="47">
        <v>50.0</v>
      </c>
    </row>
    <row r="66">
      <c r="A66" s="47" t="s">
        <v>938</v>
      </c>
      <c r="B66" s="47">
        <v>50.0</v>
      </c>
    </row>
    <row r="67">
      <c r="A67" s="47" t="s">
        <v>939</v>
      </c>
      <c r="B67" s="47">
        <v>16.0</v>
      </c>
    </row>
    <row r="68">
      <c r="A68" s="47" t="s">
        <v>940</v>
      </c>
      <c r="B68" s="47">
        <v>42.0</v>
      </c>
    </row>
    <row r="69">
      <c r="A69" s="47" t="s">
        <v>941</v>
      </c>
      <c r="B69" s="47">
        <v>50.0</v>
      </c>
    </row>
    <row r="70">
      <c r="A70" s="47" t="s">
        <v>942</v>
      </c>
      <c r="B70" s="47">
        <v>48.0</v>
      </c>
    </row>
    <row r="71">
      <c r="A71" s="47" t="s">
        <v>943</v>
      </c>
      <c r="B71" s="47">
        <v>50.0</v>
      </c>
    </row>
    <row r="72">
      <c r="A72" s="47" t="s">
        <v>944</v>
      </c>
      <c r="B72" s="47">
        <v>20.0</v>
      </c>
    </row>
    <row r="73">
      <c r="A73" s="47" t="s">
        <v>945</v>
      </c>
      <c r="B73" s="47">
        <v>7.0</v>
      </c>
    </row>
    <row r="74">
      <c r="A74" s="47" t="s">
        <v>947</v>
      </c>
      <c r="B74" s="47">
        <v>50.0</v>
      </c>
    </row>
    <row r="75">
      <c r="A75" s="47" t="s">
        <v>948</v>
      </c>
      <c r="B75" s="47">
        <v>50.0</v>
      </c>
    </row>
    <row r="76">
      <c r="A76" s="47" t="s">
        <v>949</v>
      </c>
      <c r="B76" s="47">
        <v>50.0</v>
      </c>
    </row>
    <row r="77">
      <c r="A77" s="47" t="s">
        <v>950</v>
      </c>
      <c r="B77" s="47">
        <v>50.0</v>
      </c>
    </row>
    <row r="78">
      <c r="A78" s="47" t="s">
        <v>951</v>
      </c>
      <c r="B78" s="47">
        <v>33.0</v>
      </c>
    </row>
    <row r="79">
      <c r="A79" s="47" t="s">
        <v>952</v>
      </c>
      <c r="B79" s="47">
        <v>50.0</v>
      </c>
    </row>
    <row r="80">
      <c r="A80" s="47" t="s">
        <v>953</v>
      </c>
      <c r="B80" s="47">
        <v>35.0</v>
      </c>
    </row>
    <row r="81">
      <c r="A81" s="47" t="s">
        <v>954</v>
      </c>
      <c r="B81" s="47">
        <v>50.0</v>
      </c>
    </row>
    <row r="82">
      <c r="A82" s="47" t="s">
        <v>955</v>
      </c>
      <c r="B82" s="47">
        <v>50.0</v>
      </c>
    </row>
    <row r="83">
      <c r="A83" s="47" t="s">
        <v>956</v>
      </c>
      <c r="B83" s="47">
        <v>50.0</v>
      </c>
    </row>
    <row r="84">
      <c r="A84" s="47" t="s">
        <v>957</v>
      </c>
      <c r="B84" s="47">
        <v>50.0</v>
      </c>
    </row>
    <row r="85">
      <c r="A85" s="47" t="s">
        <v>959</v>
      </c>
      <c r="B85" s="47">
        <v>50.0</v>
      </c>
    </row>
    <row r="86">
      <c r="A86" s="47" t="s">
        <v>960</v>
      </c>
      <c r="B86" s="47">
        <v>40.0</v>
      </c>
    </row>
    <row r="87">
      <c r="A87" s="47" t="s">
        <v>961</v>
      </c>
      <c r="B87" s="47">
        <v>50.0</v>
      </c>
    </row>
    <row r="88">
      <c r="A88" s="47" t="s">
        <v>962</v>
      </c>
      <c r="B88" s="47">
        <v>50.0</v>
      </c>
    </row>
    <row r="89">
      <c r="A89" s="47" t="s">
        <v>963</v>
      </c>
      <c r="B89" s="47">
        <v>50.0</v>
      </c>
    </row>
    <row r="90">
      <c r="A90" s="47" t="s">
        <v>964</v>
      </c>
      <c r="B90" s="47">
        <v>50.0</v>
      </c>
    </row>
    <row r="91">
      <c r="A91" s="47" t="s">
        <v>965</v>
      </c>
      <c r="B91" s="47">
        <v>50.0</v>
      </c>
    </row>
    <row r="92">
      <c r="A92" s="47" t="s">
        <v>966</v>
      </c>
      <c r="B92" s="47">
        <v>50.0</v>
      </c>
    </row>
    <row r="93">
      <c r="A93" s="47" t="s">
        <v>967</v>
      </c>
      <c r="B93" s="47">
        <v>55.0</v>
      </c>
    </row>
    <row r="94">
      <c r="A94" s="47" t="s">
        <v>968</v>
      </c>
      <c r="B94" s="47">
        <v>50.0</v>
      </c>
    </row>
    <row r="95">
      <c r="A95" s="47" t="s">
        <v>969</v>
      </c>
      <c r="B95" s="47">
        <v>25.0</v>
      </c>
    </row>
    <row r="96">
      <c r="A96" s="47" t="s">
        <v>970</v>
      </c>
      <c r="B96" s="47">
        <v>50.0</v>
      </c>
    </row>
    <row r="97">
      <c r="A97" s="47" t="s">
        <v>971</v>
      </c>
      <c r="B97" s="47">
        <v>50.0</v>
      </c>
    </row>
    <row r="98">
      <c r="A98" s="47" t="s">
        <v>972</v>
      </c>
      <c r="B98" s="47">
        <v>50.0</v>
      </c>
    </row>
    <row r="99">
      <c r="A99" s="47" t="s">
        <v>973</v>
      </c>
      <c r="B99" s="47">
        <v>50.0</v>
      </c>
    </row>
    <row r="100">
      <c r="A100" s="47" t="s">
        <v>974</v>
      </c>
      <c r="B100" s="47">
        <v>5.0</v>
      </c>
    </row>
    <row r="101">
      <c r="A101" s="47" t="s">
        <v>975</v>
      </c>
      <c r="B101" s="47">
        <v>50.0</v>
      </c>
    </row>
    <row r="102">
      <c r="A102" s="47" t="s">
        <v>976</v>
      </c>
      <c r="B102" s="47">
        <v>58.0</v>
      </c>
    </row>
    <row r="103">
      <c r="A103" s="47" t="s">
        <v>977</v>
      </c>
      <c r="B103" s="47">
        <v>62.0</v>
      </c>
    </row>
    <row r="104">
      <c r="A104" s="47" t="s">
        <v>978</v>
      </c>
      <c r="B104" s="47">
        <v>50.0</v>
      </c>
    </row>
    <row r="105">
      <c r="A105" s="47" t="s">
        <v>979</v>
      </c>
      <c r="B105" s="47">
        <v>50.0</v>
      </c>
    </row>
    <row r="106">
      <c r="A106" s="47" t="s">
        <v>980</v>
      </c>
      <c r="B106" s="47">
        <v>6.0</v>
      </c>
    </row>
    <row r="107">
      <c r="A107" s="47" t="s">
        <v>981</v>
      </c>
      <c r="B107" s="47">
        <v>50.0</v>
      </c>
    </row>
    <row r="108">
      <c r="A108" s="47" t="s">
        <v>982</v>
      </c>
      <c r="B108" s="47">
        <v>50.0</v>
      </c>
    </row>
    <row r="109">
      <c r="A109" s="47" t="s">
        <v>983</v>
      </c>
      <c r="B109" s="47">
        <v>50.0</v>
      </c>
    </row>
    <row r="110">
      <c r="A110" s="47" t="s">
        <v>984</v>
      </c>
      <c r="B110" s="47">
        <v>50.0</v>
      </c>
    </row>
    <row r="111">
      <c r="A111" s="47" t="s">
        <v>985</v>
      </c>
      <c r="B111" s="47">
        <v>12.0</v>
      </c>
    </row>
    <row r="112">
      <c r="A112" s="47" t="s">
        <v>986</v>
      </c>
      <c r="B112" s="47">
        <v>22.0</v>
      </c>
    </row>
    <row r="113">
      <c r="A113" s="47" t="s">
        <v>987</v>
      </c>
      <c r="B113" s="47">
        <v>10.0</v>
      </c>
    </row>
    <row r="114">
      <c r="A114" s="47" t="s">
        <v>988</v>
      </c>
      <c r="B114" s="47">
        <v>15.0</v>
      </c>
    </row>
    <row r="115">
      <c r="A115" s="47" t="s">
        <v>989</v>
      </c>
      <c r="B115" s="47">
        <v>58.0</v>
      </c>
    </row>
    <row r="116">
      <c r="A116" s="47" t="s">
        <v>990</v>
      </c>
      <c r="B116" s="47">
        <v>64.0</v>
      </c>
    </row>
    <row r="117">
      <c r="A117" s="47" t="s">
        <v>991</v>
      </c>
      <c r="B117" s="47">
        <v>50.0</v>
      </c>
    </row>
    <row r="118">
      <c r="A118" s="47" t="s">
        <v>992</v>
      </c>
      <c r="B118" s="47">
        <v>19.0</v>
      </c>
    </row>
    <row r="119">
      <c r="A119" s="47" t="s">
        <v>993</v>
      </c>
      <c r="B119" s="47">
        <v>55.0</v>
      </c>
    </row>
    <row r="120">
      <c r="A120" s="47" t="s">
        <v>994</v>
      </c>
      <c r="B120" s="47">
        <v>58.0</v>
      </c>
    </row>
    <row r="121">
      <c r="A121" s="47" t="s">
        <v>995</v>
      </c>
      <c r="B121" s="47">
        <v>17.0</v>
      </c>
    </row>
    <row r="122">
      <c r="A122" s="47" t="s">
        <v>996</v>
      </c>
      <c r="B122" s="47">
        <v>53.0</v>
      </c>
    </row>
    <row r="123">
      <c r="A123" s="47" t="s">
        <v>997</v>
      </c>
      <c r="B123" s="47">
        <v>50.0</v>
      </c>
    </row>
    <row r="124">
      <c r="A124" s="47" t="s">
        <v>998</v>
      </c>
      <c r="B124" s="47">
        <v>50.0</v>
      </c>
    </row>
    <row r="125">
      <c r="A125" s="47" t="s">
        <v>999</v>
      </c>
      <c r="B125" s="47">
        <v>50.0</v>
      </c>
    </row>
    <row r="126">
      <c r="A126" s="47" t="s">
        <v>1000</v>
      </c>
      <c r="B126" s="47">
        <v>68.0</v>
      </c>
    </row>
    <row r="127">
      <c r="A127" s="47" t="s">
        <v>1001</v>
      </c>
      <c r="B127" s="47">
        <v>50.0</v>
      </c>
    </row>
    <row r="128">
      <c r="A128" s="47" t="s">
        <v>1002</v>
      </c>
      <c r="B128" s="47">
        <v>50.0</v>
      </c>
    </row>
    <row r="129">
      <c r="A129" s="47" t="s">
        <v>1003</v>
      </c>
      <c r="B129" s="47">
        <v>50.0</v>
      </c>
    </row>
    <row r="130">
      <c r="A130" s="47" t="s">
        <v>1004</v>
      </c>
      <c r="B130" s="47">
        <v>50.0</v>
      </c>
    </row>
    <row r="131">
      <c r="A131" s="47" t="s">
        <v>1005</v>
      </c>
      <c r="B131" s="47">
        <v>13.0</v>
      </c>
    </row>
    <row r="132">
      <c r="A132" s="47" t="s">
        <v>1006</v>
      </c>
      <c r="B132" s="47">
        <v>50.0</v>
      </c>
    </row>
    <row r="133">
      <c r="A133" s="47" t="s">
        <v>1007</v>
      </c>
      <c r="B133" s="47">
        <v>9.0</v>
      </c>
    </row>
    <row r="134">
      <c r="A134" s="47" t="s">
        <v>1008</v>
      </c>
      <c r="B134" s="47">
        <v>40.0</v>
      </c>
    </row>
    <row r="135">
      <c r="A135" s="47" t="s">
        <v>1009</v>
      </c>
      <c r="B135" s="47">
        <v>16.0</v>
      </c>
    </row>
    <row r="136">
      <c r="A136" s="47" t="s">
        <v>1010</v>
      </c>
      <c r="B136" s="47">
        <v>50.0</v>
      </c>
    </row>
    <row r="137">
      <c r="A137" s="47" t="s">
        <v>1011</v>
      </c>
      <c r="B137" s="47">
        <v>3.0</v>
      </c>
    </row>
    <row r="138">
      <c r="A138" s="47" t="s">
        <v>1012</v>
      </c>
      <c r="B138" s="47">
        <v>50.0</v>
      </c>
    </row>
    <row r="139">
      <c r="A139" s="47" t="s">
        <v>1013</v>
      </c>
      <c r="B139" s="47">
        <v>22.0</v>
      </c>
    </row>
    <row r="140">
      <c r="A140" s="47" t="s">
        <v>1014</v>
      </c>
      <c r="B140" s="47">
        <v>50.0</v>
      </c>
    </row>
    <row r="141">
      <c r="A141" s="47" t="s">
        <v>1015</v>
      </c>
      <c r="B141" s="47">
        <v>50.0</v>
      </c>
    </row>
    <row r="142">
      <c r="A142" s="47" t="s">
        <v>1016</v>
      </c>
      <c r="B142" s="47">
        <v>50.0</v>
      </c>
    </row>
    <row r="143">
      <c r="A143" s="47" t="s">
        <v>1017</v>
      </c>
      <c r="B143" s="47">
        <v>50.0</v>
      </c>
    </row>
    <row r="144">
      <c r="A144" s="47" t="s">
        <v>1018</v>
      </c>
      <c r="B144" s="47">
        <v>61.0</v>
      </c>
    </row>
    <row r="145">
      <c r="A145" s="47" t="s">
        <v>1019</v>
      </c>
      <c r="B145" s="47">
        <v>40.0</v>
      </c>
    </row>
    <row r="146">
      <c r="A146" s="47" t="s">
        <v>1020</v>
      </c>
      <c r="B146" s="47">
        <v>50.0</v>
      </c>
    </row>
    <row r="147">
      <c r="A147" s="47" t="s">
        <v>1021</v>
      </c>
      <c r="B147" s="47">
        <v>50.0</v>
      </c>
    </row>
    <row r="148">
      <c r="A148" s="47" t="s">
        <v>1022</v>
      </c>
      <c r="B148" s="47">
        <v>59.0</v>
      </c>
    </row>
    <row r="149">
      <c r="A149" s="47" t="s">
        <v>1023</v>
      </c>
      <c r="B149" s="47">
        <v>50.0</v>
      </c>
    </row>
    <row r="150">
      <c r="A150" s="47" t="s">
        <v>1024</v>
      </c>
      <c r="B150" s="47">
        <v>22.0</v>
      </c>
    </row>
    <row r="151">
      <c r="A151" s="47" t="s">
        <v>1025</v>
      </c>
      <c r="B151" s="47">
        <v>50.0</v>
      </c>
    </row>
    <row r="152">
      <c r="A152" s="47" t="s">
        <v>1026</v>
      </c>
      <c r="B152" s="47">
        <v>50.0</v>
      </c>
    </row>
    <row r="153">
      <c r="A153" s="47" t="s">
        <v>1347</v>
      </c>
      <c r="B153" s="47">
        <v>20.0</v>
      </c>
    </row>
    <row r="154">
      <c r="A154" s="47" t="s">
        <v>1039</v>
      </c>
      <c r="B154" s="47">
        <v>50.0</v>
      </c>
    </row>
    <row r="155">
      <c r="A155" s="47" t="s">
        <v>1040</v>
      </c>
      <c r="B155" s="47">
        <v>60.0</v>
      </c>
    </row>
    <row r="156">
      <c r="A156" s="47" t="s">
        <v>1041</v>
      </c>
      <c r="B156" s="47">
        <v>46.0</v>
      </c>
    </row>
    <row r="157">
      <c r="A157" s="47" t="s">
        <v>1042</v>
      </c>
      <c r="B157" s="47">
        <v>50.0</v>
      </c>
    </row>
    <row r="158">
      <c r="A158" s="47" t="s">
        <v>1043</v>
      </c>
      <c r="B158" s="47">
        <v>50.0</v>
      </c>
    </row>
    <row r="159">
      <c r="A159" s="47" t="s">
        <v>1044</v>
      </c>
      <c r="B159" s="47">
        <v>50.0</v>
      </c>
    </row>
    <row r="160">
      <c r="A160" s="47" t="s">
        <v>1045</v>
      </c>
      <c r="B160" s="47">
        <v>50.0</v>
      </c>
    </row>
    <row r="161">
      <c r="A161" s="47" t="s">
        <v>1046</v>
      </c>
      <c r="B161" s="47">
        <v>50.0</v>
      </c>
    </row>
    <row r="162">
      <c r="A162" s="47" t="s">
        <v>1047</v>
      </c>
      <c r="B162" s="47">
        <v>50.0</v>
      </c>
    </row>
    <row r="163">
      <c r="A163" s="47" t="s">
        <v>1048</v>
      </c>
      <c r="B163" s="47">
        <v>33.0</v>
      </c>
    </row>
    <row r="164">
      <c r="A164" s="47" t="s">
        <v>1049</v>
      </c>
      <c r="B164" s="47">
        <v>58.0</v>
      </c>
    </row>
    <row r="165">
      <c r="A165" s="47" t="s">
        <v>1050</v>
      </c>
      <c r="B165" s="47">
        <v>17.0</v>
      </c>
    </row>
    <row r="166">
      <c r="A166" s="47" t="s">
        <v>1051</v>
      </c>
      <c r="B166" s="47">
        <v>54.0</v>
      </c>
    </row>
    <row r="167">
      <c r="A167" s="47" t="s">
        <v>1052</v>
      </c>
      <c r="B167" s="47">
        <v>50.0</v>
      </c>
    </row>
    <row r="168">
      <c r="A168" s="47" t="s">
        <v>1053</v>
      </c>
      <c r="B168" s="47">
        <v>50.0</v>
      </c>
    </row>
    <row r="169">
      <c r="A169" s="47" t="s">
        <v>1054</v>
      </c>
      <c r="B169" s="47">
        <v>50.0</v>
      </c>
    </row>
    <row r="170">
      <c r="A170" s="47" t="s">
        <v>1055</v>
      </c>
      <c r="B170" s="47">
        <v>51.0</v>
      </c>
    </row>
    <row r="171">
      <c r="A171" s="47" t="s">
        <v>1056</v>
      </c>
      <c r="B171" s="47">
        <v>11.0</v>
      </c>
    </row>
    <row r="172">
      <c r="A172" s="47" t="s">
        <v>1057</v>
      </c>
      <c r="B172" s="47">
        <v>50.0</v>
      </c>
    </row>
    <row r="173">
      <c r="A173" s="47" t="s">
        <v>1058</v>
      </c>
      <c r="B173" s="47">
        <v>50.0</v>
      </c>
    </row>
    <row r="174">
      <c r="A174" s="47" t="s">
        <v>1059</v>
      </c>
      <c r="B174" s="47">
        <v>9.0</v>
      </c>
    </row>
    <row r="175">
      <c r="A175" s="47" t="s">
        <v>1060</v>
      </c>
      <c r="B175" s="47">
        <v>50.0</v>
      </c>
    </row>
    <row r="176">
      <c r="A176" s="47" t="s">
        <v>1061</v>
      </c>
      <c r="B176" s="47">
        <v>50.0</v>
      </c>
    </row>
    <row r="177">
      <c r="A177" s="47" t="s">
        <v>1063</v>
      </c>
      <c r="B177" s="47">
        <v>62.0</v>
      </c>
    </row>
    <row r="178">
      <c r="A178" s="47" t="s">
        <v>1064</v>
      </c>
      <c r="B178" s="47">
        <v>50.0</v>
      </c>
    </row>
    <row r="179">
      <c r="A179" s="47" t="s">
        <v>1065</v>
      </c>
      <c r="B179" s="47">
        <v>6.0</v>
      </c>
    </row>
    <row r="180">
      <c r="A180" s="47" t="s">
        <v>1066</v>
      </c>
      <c r="B180" s="47">
        <v>50.0</v>
      </c>
    </row>
    <row r="181">
      <c r="A181" s="47" t="s">
        <v>1067</v>
      </c>
      <c r="B181" s="47">
        <v>50.0</v>
      </c>
    </row>
    <row r="182">
      <c r="A182" s="47" t="s">
        <v>1068</v>
      </c>
      <c r="B182" s="47">
        <v>50.0</v>
      </c>
    </row>
    <row r="183">
      <c r="A183" s="47" t="s">
        <v>1069</v>
      </c>
      <c r="B183" s="47">
        <v>50.0</v>
      </c>
    </row>
    <row r="184">
      <c r="A184" s="47" t="s">
        <v>1070</v>
      </c>
      <c r="B184" s="47">
        <v>50.0</v>
      </c>
    </row>
    <row r="185">
      <c r="A185" s="47" t="s">
        <v>1071</v>
      </c>
      <c r="B185" s="47">
        <v>50.0</v>
      </c>
    </row>
    <row r="186">
      <c r="A186" s="47" t="s">
        <v>1072</v>
      </c>
      <c r="B186" s="47">
        <v>2.0</v>
      </c>
    </row>
    <row r="187">
      <c r="A187" s="47" t="s">
        <v>1073</v>
      </c>
      <c r="B187" s="47">
        <v>50.0</v>
      </c>
    </row>
    <row r="188">
      <c r="A188" s="47" t="s">
        <v>1074</v>
      </c>
      <c r="B188" s="47">
        <v>50.0</v>
      </c>
    </row>
    <row r="189">
      <c r="A189" s="47" t="s">
        <v>1075</v>
      </c>
      <c r="B189" s="47">
        <v>21.0</v>
      </c>
    </row>
    <row r="190">
      <c r="A190" s="47" t="s">
        <v>1076</v>
      </c>
      <c r="B190" s="47">
        <v>50.0</v>
      </c>
    </row>
    <row r="191">
      <c r="A191" s="47" t="s">
        <v>1077</v>
      </c>
      <c r="B191" s="47">
        <v>40.0</v>
      </c>
    </row>
    <row r="192">
      <c r="A192" s="47" t="s">
        <v>1078</v>
      </c>
      <c r="B192" s="47">
        <v>18.0</v>
      </c>
    </row>
    <row r="193">
      <c r="A193" s="47" t="s">
        <v>1079</v>
      </c>
      <c r="B193" s="47">
        <v>50.0</v>
      </c>
    </row>
    <row r="194">
      <c r="A194" s="47" t="s">
        <v>1080</v>
      </c>
      <c r="B194" s="47">
        <v>10.0</v>
      </c>
    </row>
    <row r="195">
      <c r="A195" s="47" t="s">
        <v>1081</v>
      </c>
      <c r="B195" s="47">
        <v>50.0</v>
      </c>
    </row>
    <row r="196">
      <c r="A196" s="47" t="s">
        <v>1082</v>
      </c>
      <c r="B196" s="47">
        <v>50.0</v>
      </c>
    </row>
    <row r="197">
      <c r="A197" s="47" t="s">
        <v>1083</v>
      </c>
      <c r="B197" s="47">
        <v>50.0</v>
      </c>
    </row>
    <row r="198">
      <c r="A198" s="47" t="s">
        <v>1084</v>
      </c>
      <c r="B198" s="47">
        <v>31.0</v>
      </c>
    </row>
    <row r="199">
      <c r="A199" s="47" t="s">
        <v>1085</v>
      </c>
      <c r="B199" s="47">
        <v>7.0</v>
      </c>
    </row>
    <row r="200">
      <c r="A200" s="47" t="s">
        <v>1086</v>
      </c>
      <c r="B200" s="47">
        <v>50.0</v>
      </c>
    </row>
    <row r="201">
      <c r="A201" s="47" t="s">
        <v>1087</v>
      </c>
      <c r="B201" s="47">
        <v>15.0</v>
      </c>
    </row>
    <row r="202">
      <c r="A202" s="47" t="s">
        <v>1089</v>
      </c>
      <c r="B202" s="47">
        <v>26.0</v>
      </c>
    </row>
    <row r="203">
      <c r="A203" s="47" t="s">
        <v>1090</v>
      </c>
      <c r="B203" s="47">
        <v>30.0</v>
      </c>
    </row>
    <row r="204">
      <c r="A204" s="47" t="s">
        <v>1091</v>
      </c>
      <c r="B204" s="47">
        <v>50.0</v>
      </c>
    </row>
    <row r="205">
      <c r="A205" s="47" t="s">
        <v>1092</v>
      </c>
      <c r="B205" s="47">
        <v>9.0</v>
      </c>
    </row>
    <row r="206">
      <c r="A206" s="47" t="s">
        <v>1093</v>
      </c>
      <c r="B206" s="47">
        <v>20.0</v>
      </c>
    </row>
    <row r="207">
      <c r="A207" s="47" t="s">
        <v>1094</v>
      </c>
      <c r="B207" s="47">
        <v>1.0</v>
      </c>
    </row>
    <row r="208">
      <c r="A208" s="47" t="s">
        <v>1095</v>
      </c>
      <c r="B208" s="47">
        <v>1.0</v>
      </c>
    </row>
    <row r="209">
      <c r="A209" s="47" t="s">
        <v>1096</v>
      </c>
      <c r="B209" s="47">
        <v>16.0</v>
      </c>
    </row>
    <row r="210">
      <c r="A210" s="47" t="s">
        <v>1097</v>
      </c>
      <c r="B210" s="47">
        <v>35.0</v>
      </c>
    </row>
    <row r="211">
      <c r="A211" s="47" t="s">
        <v>1098</v>
      </c>
      <c r="B211" s="47">
        <v>50.0</v>
      </c>
    </row>
    <row r="212">
      <c r="A212" s="47" t="s">
        <v>1099</v>
      </c>
      <c r="B212" s="47">
        <v>50.0</v>
      </c>
    </row>
    <row r="213">
      <c r="A213" s="47" t="s">
        <v>1100</v>
      </c>
      <c r="B213" s="47">
        <v>50.0</v>
      </c>
    </row>
    <row r="214">
      <c r="A214" s="47" t="s">
        <v>1101</v>
      </c>
      <c r="B214" s="47">
        <v>51.0</v>
      </c>
    </row>
    <row r="215">
      <c r="A215" s="47" t="s">
        <v>1102</v>
      </c>
      <c r="B215" s="47">
        <v>50.0</v>
      </c>
    </row>
    <row r="216">
      <c r="A216" s="47" t="s">
        <v>1103</v>
      </c>
      <c r="B216" s="47">
        <v>20.0</v>
      </c>
    </row>
    <row r="217">
      <c r="A217" s="47" t="s">
        <v>1104</v>
      </c>
      <c r="B217" s="47">
        <v>50.0</v>
      </c>
    </row>
    <row r="218">
      <c r="A218" s="47" t="s">
        <v>1105</v>
      </c>
      <c r="B218" s="47">
        <v>0.0</v>
      </c>
    </row>
    <row r="219">
      <c r="A219" s="47" t="s">
        <v>1106</v>
      </c>
      <c r="B219" s="47">
        <v>4.0</v>
      </c>
    </row>
    <row r="220">
      <c r="A220" s="47" t="s">
        <v>1107</v>
      </c>
      <c r="B220" s="47">
        <v>52.0</v>
      </c>
    </row>
    <row r="221">
      <c r="A221" s="47" t="s">
        <v>1108</v>
      </c>
      <c r="B221" s="47">
        <v>22.0</v>
      </c>
    </row>
    <row r="222">
      <c r="A222" s="47" t="s">
        <v>1109</v>
      </c>
      <c r="B222" s="47">
        <v>32.0</v>
      </c>
    </row>
    <row r="223">
      <c r="A223" s="47" t="s">
        <v>1110</v>
      </c>
      <c r="B223" s="47">
        <v>17.0</v>
      </c>
    </row>
    <row r="224">
      <c r="A224" s="47" t="s">
        <v>1111</v>
      </c>
      <c r="B224" s="47">
        <v>18.0</v>
      </c>
    </row>
    <row r="225">
      <c r="A225" s="47" t="s">
        <v>1112</v>
      </c>
      <c r="B225" s="47">
        <v>50.0</v>
      </c>
    </row>
    <row r="226">
      <c r="A226" s="47" t="s">
        <v>1113</v>
      </c>
      <c r="B226" s="47">
        <v>50.0</v>
      </c>
    </row>
    <row r="227">
      <c r="A227" s="47" t="s">
        <v>1114</v>
      </c>
      <c r="B227" s="47">
        <v>50.0</v>
      </c>
    </row>
    <row r="228">
      <c r="A228" s="47" t="s">
        <v>1115</v>
      </c>
      <c r="B228" s="47">
        <v>50.0</v>
      </c>
    </row>
    <row r="229">
      <c r="A229" s="47" t="s">
        <v>1116</v>
      </c>
      <c r="B229" s="47">
        <v>50.0</v>
      </c>
    </row>
    <row r="230">
      <c r="A230" s="47" t="s">
        <v>1117</v>
      </c>
      <c r="B230" s="47">
        <v>50.0</v>
      </c>
    </row>
    <row r="231">
      <c r="A231" s="47" t="s">
        <v>1118</v>
      </c>
      <c r="B231" s="47">
        <v>66.0</v>
      </c>
    </row>
    <row r="232">
      <c r="A232" s="47" t="s">
        <v>1119</v>
      </c>
      <c r="B232" s="47">
        <v>50.0</v>
      </c>
    </row>
    <row r="233">
      <c r="A233" s="47" t="s">
        <v>1120</v>
      </c>
      <c r="B233" s="47">
        <v>50.0</v>
      </c>
    </row>
    <row r="234">
      <c r="A234" s="47" t="s">
        <v>1121</v>
      </c>
      <c r="B234" s="47">
        <v>55.0</v>
      </c>
    </row>
    <row r="235">
      <c r="A235" s="47" t="s">
        <v>1122</v>
      </c>
      <c r="B235" s="47">
        <v>50.0</v>
      </c>
    </row>
    <row r="236">
      <c r="A236" s="47" t="s">
        <v>1123</v>
      </c>
      <c r="B236" s="47">
        <v>50.0</v>
      </c>
    </row>
    <row r="237">
      <c r="A237" s="47" t="s">
        <v>1124</v>
      </c>
      <c r="B237" s="47">
        <v>29.0</v>
      </c>
    </row>
    <row r="238">
      <c r="A238" s="47" t="s">
        <v>1125</v>
      </c>
      <c r="B238" s="47">
        <v>6.0</v>
      </c>
    </row>
    <row r="239">
      <c r="A239" s="47" t="s">
        <v>1126</v>
      </c>
      <c r="B239" s="47">
        <v>62.0</v>
      </c>
    </row>
    <row r="240">
      <c r="A240" s="47" t="s">
        <v>1127</v>
      </c>
      <c r="B240" s="47">
        <v>50.0</v>
      </c>
    </row>
    <row r="241">
      <c r="A241" s="47" t="s">
        <v>1128</v>
      </c>
      <c r="B241" s="47">
        <v>50.0</v>
      </c>
    </row>
    <row r="242">
      <c r="A242" s="47" t="s">
        <v>1129</v>
      </c>
      <c r="B242" s="47">
        <v>50.0</v>
      </c>
    </row>
    <row r="243">
      <c r="A243" s="47" t="s">
        <v>1130</v>
      </c>
      <c r="B243" s="47">
        <v>50.0</v>
      </c>
    </row>
    <row r="244">
      <c r="A244" s="47" t="s">
        <v>1131</v>
      </c>
      <c r="B244" s="47">
        <v>50.0</v>
      </c>
    </row>
    <row r="245">
      <c r="A245" s="47" t="s">
        <v>1132</v>
      </c>
      <c r="B245" s="47">
        <v>50.0</v>
      </c>
    </row>
    <row r="246">
      <c r="A246" s="47" t="s">
        <v>1133</v>
      </c>
      <c r="B246" s="47">
        <v>50.0</v>
      </c>
    </row>
    <row r="247">
      <c r="A247" s="47" t="s">
        <v>1134</v>
      </c>
      <c r="B247" s="47">
        <v>16.0</v>
      </c>
    </row>
    <row r="248">
      <c r="A248" s="47" t="s">
        <v>1135</v>
      </c>
      <c r="B248" s="47">
        <v>55.0</v>
      </c>
    </row>
    <row r="249">
      <c r="A249" s="47" t="s">
        <v>1136</v>
      </c>
      <c r="B249" s="47">
        <v>50.0</v>
      </c>
    </row>
    <row r="250">
      <c r="A250" s="47" t="s">
        <v>1137</v>
      </c>
      <c r="B250" s="47">
        <v>50.0</v>
      </c>
    </row>
    <row r="251">
      <c r="A251" s="47" t="s">
        <v>1138</v>
      </c>
      <c r="B251" s="47">
        <v>16.0</v>
      </c>
    </row>
    <row r="252">
      <c r="A252" s="47" t="s">
        <v>1139</v>
      </c>
      <c r="B252" s="47">
        <v>50.0</v>
      </c>
    </row>
    <row r="253">
      <c r="A253" s="47" t="s">
        <v>1141</v>
      </c>
      <c r="B253" s="47">
        <v>50.0</v>
      </c>
    </row>
    <row r="254">
      <c r="A254" s="47" t="s">
        <v>1142</v>
      </c>
      <c r="B254" s="47">
        <v>50.0</v>
      </c>
    </row>
    <row r="255">
      <c r="A255" s="47" t="s">
        <v>1143</v>
      </c>
      <c r="B255" s="47">
        <v>51.0</v>
      </c>
    </row>
    <row r="256">
      <c r="A256" s="47" t="s">
        <v>1144</v>
      </c>
      <c r="B256" s="47">
        <v>5.0</v>
      </c>
    </row>
    <row r="257">
      <c r="A257" s="47" t="s">
        <v>1145</v>
      </c>
      <c r="B257" s="47">
        <v>50.0</v>
      </c>
    </row>
    <row r="258">
      <c r="A258" s="47" t="s">
        <v>1146</v>
      </c>
      <c r="B258" s="47">
        <v>7.0</v>
      </c>
    </row>
    <row r="259">
      <c r="A259" s="47" t="s">
        <v>1147</v>
      </c>
      <c r="B259" s="47">
        <v>10.0</v>
      </c>
    </row>
    <row r="260">
      <c r="A260" s="47" t="s">
        <v>1148</v>
      </c>
      <c r="B260" s="47">
        <v>14.0</v>
      </c>
    </row>
    <row r="261">
      <c r="A261" s="47" t="s">
        <v>1149</v>
      </c>
      <c r="B261" s="47">
        <v>29.0</v>
      </c>
    </row>
    <row r="262">
      <c r="A262" s="47" t="s">
        <v>1150</v>
      </c>
      <c r="B262" s="47">
        <v>50.0</v>
      </c>
    </row>
    <row r="263">
      <c r="A263" s="47" t="s">
        <v>1151</v>
      </c>
      <c r="B263" s="47">
        <v>50.0</v>
      </c>
    </row>
    <row r="264">
      <c r="A264" s="47" t="s">
        <v>1152</v>
      </c>
      <c r="B264" s="47">
        <v>50.0</v>
      </c>
    </row>
    <row r="265">
      <c r="A265" s="47" t="s">
        <v>1153</v>
      </c>
      <c r="B265" s="47">
        <v>50.0</v>
      </c>
    </row>
    <row r="266">
      <c r="A266" s="47" t="s">
        <v>1155</v>
      </c>
      <c r="B266" s="47">
        <v>50.0</v>
      </c>
    </row>
    <row r="267">
      <c r="A267" s="47" t="s">
        <v>1156</v>
      </c>
      <c r="B267" s="47">
        <v>4.0</v>
      </c>
    </row>
    <row r="268">
      <c r="A268" s="47" t="s">
        <v>1157</v>
      </c>
      <c r="B268" s="47">
        <v>75.0</v>
      </c>
    </row>
    <row r="269">
      <c r="A269" s="47" t="s">
        <v>1158</v>
      </c>
      <c r="B269" s="47">
        <v>11.0</v>
      </c>
    </row>
    <row r="270">
      <c r="A270" s="47" t="s">
        <v>1159</v>
      </c>
      <c r="B270" s="47">
        <v>50.0</v>
      </c>
    </row>
    <row r="271">
      <c r="A271" s="47" t="s">
        <v>1160</v>
      </c>
      <c r="B271" s="47">
        <v>29.0</v>
      </c>
    </row>
    <row r="272">
      <c r="A272" s="47" t="s">
        <v>1161</v>
      </c>
      <c r="B272" s="47">
        <v>50.0</v>
      </c>
    </row>
    <row r="273">
      <c r="A273" s="47" t="s">
        <v>1162</v>
      </c>
      <c r="B273" s="47">
        <v>3.0</v>
      </c>
    </row>
    <row r="274">
      <c r="A274" s="47" t="s">
        <v>1164</v>
      </c>
      <c r="B274" s="47">
        <v>16.0</v>
      </c>
    </row>
    <row r="275">
      <c r="A275" s="47" t="s">
        <v>1165</v>
      </c>
      <c r="B275" s="47">
        <v>60.0</v>
      </c>
    </row>
    <row r="276">
      <c r="A276" s="47" t="s">
        <v>1166</v>
      </c>
      <c r="B276" s="47">
        <v>1.0</v>
      </c>
    </row>
    <row r="277">
      <c r="A277" s="47" t="s">
        <v>1167</v>
      </c>
      <c r="B277" s="47">
        <v>52.0</v>
      </c>
    </row>
    <row r="278">
      <c r="A278" s="47" t="s">
        <v>1168</v>
      </c>
      <c r="B278" s="47">
        <v>28.0</v>
      </c>
    </row>
    <row r="279">
      <c r="A279" s="47" t="s">
        <v>1169</v>
      </c>
      <c r="B279" s="47">
        <v>50.0</v>
      </c>
    </row>
    <row r="280">
      <c r="A280" s="47" t="s">
        <v>1170</v>
      </c>
      <c r="B280" s="47">
        <v>50.0</v>
      </c>
    </row>
    <row r="281">
      <c r="A281" s="47" t="s">
        <v>1171</v>
      </c>
      <c r="B281" s="47">
        <v>50.0</v>
      </c>
    </row>
    <row r="282">
      <c r="A282" s="47" t="s">
        <v>1172</v>
      </c>
      <c r="B282" s="47">
        <v>17.0</v>
      </c>
    </row>
    <row r="283">
      <c r="A283" s="47" t="s">
        <v>1173</v>
      </c>
      <c r="B283" s="47">
        <v>50.0</v>
      </c>
    </row>
    <row r="284">
      <c r="A284" s="47" t="s">
        <v>1174</v>
      </c>
      <c r="B284" s="47">
        <v>50.0</v>
      </c>
    </row>
    <row r="285">
      <c r="A285" s="47" t="s">
        <v>1175</v>
      </c>
      <c r="B285" s="47">
        <v>50.0</v>
      </c>
    </row>
    <row r="286">
      <c r="A286" s="47" t="s">
        <v>1176</v>
      </c>
      <c r="B286" s="47">
        <v>25.0</v>
      </c>
    </row>
    <row r="287">
      <c r="A287" s="47" t="s">
        <v>1177</v>
      </c>
      <c r="B287" s="47">
        <v>50.0</v>
      </c>
    </row>
    <row r="288">
      <c r="A288" s="47" t="s">
        <v>1178</v>
      </c>
      <c r="B288" s="47">
        <v>50.0</v>
      </c>
    </row>
    <row r="289">
      <c r="A289" s="47" t="s">
        <v>1179</v>
      </c>
      <c r="B289" s="47">
        <v>50.0</v>
      </c>
    </row>
    <row r="290">
      <c r="A290" s="47" t="s">
        <v>1180</v>
      </c>
      <c r="B290" s="47">
        <v>50.0</v>
      </c>
    </row>
    <row r="291">
      <c r="A291" s="47" t="s">
        <v>1181</v>
      </c>
      <c r="B291" s="47">
        <v>50.0</v>
      </c>
    </row>
    <row r="292">
      <c r="A292" s="47" t="s">
        <v>1196</v>
      </c>
      <c r="B292" s="47">
        <v>76.0</v>
      </c>
    </row>
    <row r="293">
      <c r="A293" s="47" t="s">
        <v>1197</v>
      </c>
      <c r="B293" s="47">
        <v>50.0</v>
      </c>
    </row>
    <row r="294">
      <c r="A294" s="47" t="s">
        <v>1198</v>
      </c>
      <c r="B294" s="47">
        <v>10.0</v>
      </c>
    </row>
    <row r="295">
      <c r="A295" s="47" t="s">
        <v>1199</v>
      </c>
      <c r="B295" s="47">
        <v>50.0</v>
      </c>
    </row>
    <row r="296">
      <c r="A296" s="47" t="s">
        <v>1200</v>
      </c>
      <c r="B296" s="47">
        <v>35.0</v>
      </c>
    </row>
    <row r="297">
      <c r="A297" s="47" t="s">
        <v>1201</v>
      </c>
      <c r="B297" s="47">
        <v>67.0</v>
      </c>
    </row>
    <row r="298">
      <c r="A298" s="47" t="s">
        <v>1202</v>
      </c>
      <c r="B298" s="47">
        <v>50.0</v>
      </c>
    </row>
    <row r="299">
      <c r="A299" s="47" t="s">
        <v>1203</v>
      </c>
      <c r="B299" s="47">
        <v>76.0</v>
      </c>
    </row>
    <row r="300">
      <c r="A300" s="47" t="s">
        <v>1204</v>
      </c>
      <c r="B300" s="47">
        <v>57.0</v>
      </c>
    </row>
    <row r="301">
      <c r="A301" s="47" t="s">
        <v>1205</v>
      </c>
      <c r="B301" s="47">
        <v>68.0</v>
      </c>
    </row>
    <row r="302">
      <c r="A302" s="47" t="s">
        <v>1206</v>
      </c>
      <c r="B302" s="47">
        <v>58.0</v>
      </c>
    </row>
    <row r="303">
      <c r="A303" s="47" t="s">
        <v>1207</v>
      </c>
      <c r="B303" s="47">
        <v>50.0</v>
      </c>
    </row>
    <row r="304">
      <c r="A304" s="47" t="s">
        <v>1208</v>
      </c>
      <c r="B304" s="47">
        <v>35.0</v>
      </c>
    </row>
    <row r="305">
      <c r="A305" s="47" t="s">
        <v>1209</v>
      </c>
      <c r="B305" s="47">
        <v>50.0</v>
      </c>
    </row>
    <row r="306">
      <c r="A306" s="47" t="s">
        <v>1210</v>
      </c>
      <c r="B306" s="47">
        <v>71.0</v>
      </c>
    </row>
    <row r="307">
      <c r="A307" s="47" t="s">
        <v>1211</v>
      </c>
      <c r="B307" s="47">
        <v>50.0</v>
      </c>
    </row>
    <row r="308">
      <c r="A308" s="47" t="s">
        <v>1212</v>
      </c>
      <c r="B308" s="47">
        <v>61.0</v>
      </c>
    </row>
    <row r="309">
      <c r="A309" s="47" t="s">
        <v>1213</v>
      </c>
      <c r="B309" s="47">
        <v>50.0</v>
      </c>
    </row>
    <row r="310">
      <c r="A310" s="47" t="s">
        <v>1214</v>
      </c>
      <c r="B310" s="47">
        <v>50.0</v>
      </c>
    </row>
    <row r="311">
      <c r="A311" s="47" t="s">
        <v>1215</v>
      </c>
      <c r="B311" s="47">
        <v>50.0</v>
      </c>
    </row>
    <row r="312">
      <c r="A312" s="47" t="s">
        <v>1216</v>
      </c>
      <c r="B312" s="47">
        <v>50.0</v>
      </c>
    </row>
    <row r="313">
      <c r="A313" s="47" t="s">
        <v>1218</v>
      </c>
      <c r="B313" s="47">
        <v>50.0</v>
      </c>
    </row>
    <row r="314">
      <c r="A314" s="47" t="s">
        <v>1219</v>
      </c>
      <c r="B314" s="47">
        <v>68.0</v>
      </c>
    </row>
    <row r="315">
      <c r="A315" s="47" t="s">
        <v>1220</v>
      </c>
      <c r="B315" s="47">
        <v>69.0</v>
      </c>
    </row>
    <row r="316">
      <c r="A316" s="47" t="s">
        <v>1221</v>
      </c>
      <c r="B316" s="47">
        <v>50.0</v>
      </c>
    </row>
    <row r="317">
      <c r="A317" s="47" t="s">
        <v>1222</v>
      </c>
      <c r="B317" s="47">
        <v>61.0</v>
      </c>
    </row>
    <row r="318">
      <c r="A318" s="47" t="s">
        <v>1223</v>
      </c>
      <c r="B318" s="47">
        <v>50.0</v>
      </c>
    </row>
    <row r="319">
      <c r="A319" s="47" t="s">
        <v>1224</v>
      </c>
      <c r="B319" s="47">
        <v>75.0</v>
      </c>
    </row>
    <row r="320">
      <c r="A320" s="47" t="s">
        <v>1225</v>
      </c>
      <c r="B320" s="47">
        <v>50.0</v>
      </c>
    </row>
    <row r="321">
      <c r="A321" s="47" t="s">
        <v>1226</v>
      </c>
      <c r="B321" s="47">
        <v>61.0</v>
      </c>
    </row>
    <row r="322">
      <c r="A322" s="47" t="s">
        <v>1228</v>
      </c>
      <c r="B322" s="47">
        <v>50.0</v>
      </c>
    </row>
    <row r="323">
      <c r="A323" s="47" t="s">
        <v>1229</v>
      </c>
      <c r="B323" s="47">
        <v>50.0</v>
      </c>
    </row>
    <row r="324">
      <c r="A324" s="47" t="s">
        <v>1230</v>
      </c>
      <c r="B324" s="47">
        <v>59.0</v>
      </c>
    </row>
    <row r="325">
      <c r="A325" s="47" t="s">
        <v>1231</v>
      </c>
      <c r="B325" s="47">
        <v>50.0</v>
      </c>
    </row>
    <row r="326">
      <c r="A326" s="47" t="s">
        <v>1232</v>
      </c>
      <c r="B326" s="47">
        <v>56.0</v>
      </c>
    </row>
    <row r="327">
      <c r="A327" s="47" t="s">
        <v>1233</v>
      </c>
      <c r="B327" s="47">
        <v>78.0</v>
      </c>
    </row>
    <row r="328">
      <c r="A328" s="47" t="s">
        <v>1234</v>
      </c>
      <c r="B328" s="47">
        <v>50.0</v>
      </c>
    </row>
    <row r="329">
      <c r="A329" s="47" t="s">
        <v>1235</v>
      </c>
      <c r="B329" s="47">
        <v>29.0</v>
      </c>
    </row>
    <row r="330">
      <c r="A330" s="47" t="s">
        <v>1236</v>
      </c>
      <c r="B330" s="49">
        <v>50.0</v>
      </c>
    </row>
    <row r="331">
      <c r="A331" s="47" t="s">
        <v>1237</v>
      </c>
      <c r="B331" s="49">
        <v>50.0</v>
      </c>
    </row>
    <row r="332">
      <c r="A332" s="47" t="s">
        <v>1238</v>
      </c>
      <c r="B332" s="47">
        <v>50.0</v>
      </c>
    </row>
    <row r="333">
      <c r="A333" s="47" t="s">
        <v>1239</v>
      </c>
      <c r="B333" s="47">
        <v>35.0</v>
      </c>
    </row>
    <row r="334">
      <c r="A334" s="47" t="s">
        <v>1241</v>
      </c>
      <c r="B334" s="47">
        <v>80.0</v>
      </c>
    </row>
    <row r="335">
      <c r="A335" s="47" t="s">
        <v>1242</v>
      </c>
      <c r="B335" s="47">
        <v>50.0</v>
      </c>
    </row>
    <row r="336">
      <c r="A336" s="47" t="s">
        <v>1243</v>
      </c>
      <c r="B336" s="47">
        <v>50.0</v>
      </c>
    </row>
    <row r="337">
      <c r="A337" s="47" t="s">
        <v>1244</v>
      </c>
      <c r="B337" s="47">
        <v>50.0</v>
      </c>
    </row>
    <row r="338">
      <c r="A338" s="47" t="s">
        <v>1245</v>
      </c>
      <c r="B338" s="47">
        <v>52.0</v>
      </c>
    </row>
    <row r="339">
      <c r="A339" s="47" t="s">
        <v>1246</v>
      </c>
      <c r="B339" s="47">
        <v>52.0</v>
      </c>
    </row>
    <row r="340">
      <c r="A340" s="47" t="s">
        <v>1247</v>
      </c>
      <c r="B340" s="47">
        <v>50.0</v>
      </c>
    </row>
    <row r="341">
      <c r="A341" s="47" t="s">
        <v>1248</v>
      </c>
      <c r="B341" s="47">
        <v>50.0</v>
      </c>
    </row>
    <row r="342">
      <c r="A342" s="47" t="s">
        <v>1250</v>
      </c>
      <c r="B342" s="47">
        <v>63.0</v>
      </c>
    </row>
    <row r="343">
      <c r="A343" s="47" t="s">
        <v>1252</v>
      </c>
      <c r="B343" s="47">
        <v>62.0</v>
      </c>
    </row>
    <row r="344">
      <c r="A344" s="47" t="s">
        <v>1253</v>
      </c>
      <c r="B344" s="47">
        <v>44.0</v>
      </c>
    </row>
    <row r="345">
      <c r="A345" s="47" t="s">
        <v>1254</v>
      </c>
      <c r="B345" s="47">
        <v>77.0</v>
      </c>
    </row>
    <row r="346">
      <c r="A346" s="47" t="s">
        <v>1255</v>
      </c>
      <c r="B346" s="47">
        <v>77.0</v>
      </c>
    </row>
    <row r="347">
      <c r="A347" s="47" t="s">
        <v>1256</v>
      </c>
      <c r="B347" s="47">
        <v>35.0</v>
      </c>
    </row>
    <row r="348">
      <c r="A348" s="47" t="s">
        <v>1257</v>
      </c>
      <c r="B348" s="47">
        <v>43.0</v>
      </c>
    </row>
    <row r="349">
      <c r="A349" s="47" t="s">
        <v>1258</v>
      </c>
      <c r="B349" s="47">
        <v>50.0</v>
      </c>
    </row>
    <row r="350">
      <c r="A350" s="47" t="s">
        <v>1259</v>
      </c>
      <c r="B350" s="47">
        <v>50.0</v>
      </c>
    </row>
    <row r="351">
      <c r="A351" s="47" t="s">
        <v>1260</v>
      </c>
      <c r="B351" s="47">
        <v>50.0</v>
      </c>
    </row>
    <row r="352">
      <c r="A352" s="47" t="s">
        <v>1261</v>
      </c>
      <c r="B352" s="47">
        <v>50.0</v>
      </c>
    </row>
    <row r="353">
      <c r="A353" s="47" t="s">
        <v>1269</v>
      </c>
      <c r="B353" s="47">
        <v>61.0</v>
      </c>
    </row>
    <row r="354">
      <c r="A354" s="47" t="s">
        <v>1270</v>
      </c>
      <c r="B354" s="47">
        <v>46.0</v>
      </c>
    </row>
    <row r="355">
      <c r="A355" s="47" t="s">
        <v>1271</v>
      </c>
      <c r="B355" s="47">
        <v>50.0</v>
      </c>
    </row>
    <row r="356">
      <c r="A356" s="47" t="s">
        <v>1272</v>
      </c>
      <c r="B356" s="49">
        <v>50.0</v>
      </c>
    </row>
    <row r="357">
      <c r="A357" s="47" t="s">
        <v>1273</v>
      </c>
      <c r="B357" s="47">
        <v>8.0</v>
      </c>
    </row>
    <row r="358">
      <c r="A358" s="47" t="s">
        <v>1274</v>
      </c>
      <c r="B358" s="49">
        <v>50.0</v>
      </c>
    </row>
    <row r="359">
      <c r="A359" s="47" t="s">
        <v>1275</v>
      </c>
      <c r="B359" s="47">
        <v>59.0</v>
      </c>
    </row>
    <row r="360">
      <c r="A360" s="47" t="s">
        <v>1276</v>
      </c>
      <c r="B360" s="47">
        <v>24.0</v>
      </c>
    </row>
    <row r="361">
      <c r="A361" s="47" t="s">
        <v>1277</v>
      </c>
      <c r="B361" s="47">
        <v>50.0</v>
      </c>
    </row>
    <row r="362">
      <c r="A362" s="47" t="s">
        <v>1278</v>
      </c>
      <c r="B362" s="47">
        <v>50.0</v>
      </c>
    </row>
    <row r="363">
      <c r="A363" s="47" t="s">
        <v>1279</v>
      </c>
      <c r="B363" s="47">
        <v>50.0</v>
      </c>
    </row>
    <row r="364">
      <c r="A364" s="47" t="s">
        <v>1280</v>
      </c>
      <c r="B364" s="47">
        <v>73.0</v>
      </c>
    </row>
    <row r="365">
      <c r="A365" s="47" t="s">
        <v>1281</v>
      </c>
      <c r="B365" s="47">
        <v>50.0</v>
      </c>
    </row>
    <row r="366">
      <c r="A366" s="47" t="s">
        <v>1282</v>
      </c>
      <c r="B366" s="47">
        <v>50.0</v>
      </c>
    </row>
    <row r="367">
      <c r="A367" s="47" t="s">
        <v>1283</v>
      </c>
      <c r="B367" s="47">
        <v>50.0</v>
      </c>
    </row>
    <row r="368">
      <c r="A368" s="47" t="s">
        <v>1284</v>
      </c>
      <c r="B368" s="47">
        <v>50.0</v>
      </c>
    </row>
    <row r="369">
      <c r="A369" s="47" t="s">
        <v>1285</v>
      </c>
      <c r="B369" s="47">
        <v>50.0</v>
      </c>
    </row>
    <row r="370">
      <c r="A370" s="47" t="s">
        <v>1286</v>
      </c>
      <c r="B370" s="47">
        <v>50.0</v>
      </c>
    </row>
    <row r="371">
      <c r="A371" s="47" t="s">
        <v>1287</v>
      </c>
      <c r="B371" s="47">
        <v>43.0</v>
      </c>
    </row>
    <row r="372">
      <c r="A372" s="47" t="s">
        <v>1288</v>
      </c>
      <c r="B372" s="47">
        <v>50.0</v>
      </c>
    </row>
    <row r="373">
      <c r="A373" s="47" t="s">
        <v>1289</v>
      </c>
      <c r="B373" s="47">
        <v>62.0</v>
      </c>
    </row>
    <row r="374">
      <c r="A374" s="47" t="s">
        <v>1290</v>
      </c>
      <c r="B374" s="47">
        <v>74.0</v>
      </c>
    </row>
    <row r="375">
      <c r="A375" s="47" t="s">
        <v>1291</v>
      </c>
      <c r="B375" s="47">
        <v>50.0</v>
      </c>
    </row>
    <row r="376">
      <c r="A376" s="47" t="s">
        <v>1292</v>
      </c>
      <c r="B376" s="47">
        <v>50.0</v>
      </c>
    </row>
    <row r="377">
      <c r="A377" s="47" t="s">
        <v>1293</v>
      </c>
      <c r="B377" s="47">
        <v>50.0</v>
      </c>
    </row>
    <row r="378">
      <c r="A378" s="47" t="s">
        <v>1294</v>
      </c>
      <c r="B378" s="47">
        <v>50.0</v>
      </c>
    </row>
    <row r="379">
      <c r="A379" s="47" t="s">
        <v>1295</v>
      </c>
      <c r="B379" s="47">
        <v>50.0</v>
      </c>
    </row>
    <row r="380">
      <c r="A380" s="47" t="s">
        <v>1296</v>
      </c>
      <c r="B380" s="47">
        <v>50.0</v>
      </c>
    </row>
    <row r="381">
      <c r="A381" s="47" t="s">
        <v>1297</v>
      </c>
      <c r="B381" s="47">
        <v>50.0</v>
      </c>
    </row>
    <row r="382">
      <c r="A382" s="47" t="s">
        <v>1298</v>
      </c>
      <c r="B382" s="47">
        <v>0.0</v>
      </c>
    </row>
    <row r="383">
      <c r="A383" s="47" t="s">
        <v>1299</v>
      </c>
      <c r="B383" s="47">
        <v>50.0</v>
      </c>
    </row>
    <row r="384">
      <c r="A384" s="47" t="s">
        <v>1300</v>
      </c>
      <c r="B384" s="47">
        <v>54.0</v>
      </c>
    </row>
    <row r="385">
      <c r="A385" s="47" t="s">
        <v>1302</v>
      </c>
      <c r="B385" s="47">
        <v>50.0</v>
      </c>
    </row>
    <row r="386">
      <c r="A386" s="47" t="s">
        <v>1303</v>
      </c>
      <c r="B386" s="47">
        <v>78.0</v>
      </c>
    </row>
    <row r="387">
      <c r="A387" s="47" t="s">
        <v>1304</v>
      </c>
      <c r="B387" s="47">
        <v>62.0</v>
      </c>
    </row>
    <row r="388">
      <c r="A388" s="47" t="s">
        <v>1305</v>
      </c>
      <c r="B388" s="47">
        <v>50.0</v>
      </c>
    </row>
    <row r="389">
      <c r="A389" s="47" t="s">
        <v>1306</v>
      </c>
      <c r="B389" s="47">
        <v>52.0</v>
      </c>
    </row>
    <row r="390">
      <c r="A390" s="47" t="s">
        <v>1307</v>
      </c>
      <c r="B390" s="47">
        <v>59.0</v>
      </c>
    </row>
    <row r="391">
      <c r="A391" s="47" t="s">
        <v>1308</v>
      </c>
      <c r="B391" s="47">
        <v>58.0</v>
      </c>
    </row>
    <row r="392">
      <c r="A392" s="47" t="s">
        <v>1309</v>
      </c>
      <c r="B392" s="47">
        <v>41.0</v>
      </c>
    </row>
    <row r="393">
      <c r="A393" s="47" t="s">
        <v>1310</v>
      </c>
      <c r="B393" s="49">
        <v>50.0</v>
      </c>
    </row>
    <row r="394">
      <c r="A394" s="47" t="s">
        <v>1311</v>
      </c>
      <c r="B394" s="47">
        <v>50.0</v>
      </c>
    </row>
    <row r="395">
      <c r="A395" s="47" t="s">
        <v>1312</v>
      </c>
      <c r="B395" s="47">
        <v>65.0</v>
      </c>
    </row>
    <row r="396">
      <c r="A396" s="47" t="s">
        <v>1313</v>
      </c>
      <c r="B396" s="47">
        <v>11.0</v>
      </c>
    </row>
    <row r="397">
      <c r="A397" s="47" t="s">
        <v>1314</v>
      </c>
      <c r="B397" s="47">
        <v>65.0</v>
      </c>
    </row>
    <row r="398">
      <c r="A398" s="47" t="s">
        <v>1315</v>
      </c>
      <c r="B398" s="47">
        <v>50.0</v>
      </c>
    </row>
    <row r="399">
      <c r="A399" s="47" t="s">
        <v>1316</v>
      </c>
      <c r="B399" s="47">
        <v>7.0</v>
      </c>
    </row>
    <row r="400">
      <c r="A400" s="47" t="s">
        <v>1317</v>
      </c>
      <c r="B400" s="47">
        <v>50.0</v>
      </c>
    </row>
    <row r="401">
      <c r="A401" s="47" t="s">
        <v>1318</v>
      </c>
      <c r="B401" s="47">
        <v>0.0</v>
      </c>
    </row>
    <row r="402">
      <c r="A402" s="47" t="s">
        <v>1319</v>
      </c>
      <c r="B402" s="47">
        <v>50.0</v>
      </c>
    </row>
    <row r="403">
      <c r="A403" s="47" t="s">
        <v>1320</v>
      </c>
      <c r="B403" s="47">
        <v>50.0</v>
      </c>
    </row>
    <row r="404">
      <c r="A404" s="47" t="s">
        <v>1321</v>
      </c>
      <c r="B404" s="47">
        <v>61.0</v>
      </c>
    </row>
    <row r="405">
      <c r="A405" s="47" t="s">
        <v>1322</v>
      </c>
      <c r="B405" s="47">
        <v>39.0</v>
      </c>
    </row>
    <row r="406">
      <c r="A406" s="47" t="s">
        <v>1323</v>
      </c>
      <c r="B406" s="47">
        <v>56.0</v>
      </c>
    </row>
    <row r="407">
      <c r="A407" s="47" t="s">
        <v>1324</v>
      </c>
      <c r="B407" s="47">
        <v>54.0</v>
      </c>
    </row>
    <row r="408">
      <c r="A408" s="47" t="s">
        <v>1325</v>
      </c>
      <c r="B408" s="47">
        <v>50.0</v>
      </c>
    </row>
    <row r="409">
      <c r="A409" s="47" t="s">
        <v>1326</v>
      </c>
      <c r="B409" s="47">
        <v>54.0</v>
      </c>
    </row>
    <row r="410">
      <c r="A410" s="47" t="s">
        <v>1327</v>
      </c>
      <c r="B410" s="49">
        <v>50.0</v>
      </c>
    </row>
    <row r="411">
      <c r="A411" s="47" t="s">
        <v>1328</v>
      </c>
      <c r="B411" s="47">
        <v>8.0</v>
      </c>
    </row>
    <row r="412">
      <c r="A412" s="47" t="s">
        <v>1329</v>
      </c>
      <c r="B412" s="47">
        <v>50.0</v>
      </c>
    </row>
    <row r="413">
      <c r="A413" s="47" t="s">
        <v>1330</v>
      </c>
      <c r="B413" s="47">
        <v>59.0</v>
      </c>
    </row>
    <row r="414">
      <c r="A414" s="47" t="s">
        <v>1331</v>
      </c>
      <c r="B414" s="47">
        <v>54.0</v>
      </c>
    </row>
    <row r="415">
      <c r="A415" s="47" t="s">
        <v>1345</v>
      </c>
      <c r="B415" s="47">
        <v>56.0</v>
      </c>
    </row>
    <row r="416">
      <c r="A416" s="48" t="s">
        <v>138</v>
      </c>
      <c r="B416" s="47">
        <v>50.0</v>
      </c>
    </row>
    <row r="417">
      <c r="A417" s="48" t="s">
        <v>139</v>
      </c>
      <c r="B417" s="48">
        <v>60.0</v>
      </c>
    </row>
    <row r="418">
      <c r="A418" s="48" t="s">
        <v>140</v>
      </c>
      <c r="B418" s="48">
        <v>60.0</v>
      </c>
    </row>
    <row r="419">
      <c r="A419" s="48" t="s">
        <v>141</v>
      </c>
      <c r="B419" s="48">
        <v>34.0</v>
      </c>
    </row>
    <row r="420">
      <c r="A420" s="48" t="s">
        <v>142</v>
      </c>
      <c r="B420" s="47">
        <v>50.0</v>
      </c>
    </row>
    <row r="421">
      <c r="A421" s="48" t="s">
        <v>143</v>
      </c>
      <c r="B421" s="48">
        <v>69.0</v>
      </c>
    </row>
    <row r="422">
      <c r="A422" s="48" t="s">
        <v>145</v>
      </c>
      <c r="B422" s="48">
        <v>12.0</v>
      </c>
    </row>
    <row r="423">
      <c r="A423" s="48" t="s">
        <v>146</v>
      </c>
      <c r="B423" s="47">
        <v>45.0</v>
      </c>
    </row>
    <row r="424">
      <c r="A424" s="48" t="s">
        <v>147</v>
      </c>
      <c r="B424" s="47">
        <v>50.0</v>
      </c>
    </row>
    <row r="425">
      <c r="A425" s="48" t="s">
        <v>148</v>
      </c>
      <c r="B425" s="48">
        <v>70.0</v>
      </c>
    </row>
    <row r="426">
      <c r="A426" s="48" t="s">
        <v>149</v>
      </c>
      <c r="B426" s="48">
        <v>64.0</v>
      </c>
    </row>
    <row r="427">
      <c r="A427" s="48" t="s">
        <v>150</v>
      </c>
      <c r="B427" s="48">
        <v>53.0</v>
      </c>
    </row>
    <row r="428">
      <c r="A428" s="48" t="s">
        <v>151</v>
      </c>
      <c r="B428" s="47">
        <v>33.0</v>
      </c>
    </row>
    <row r="429">
      <c r="A429" s="48" t="s">
        <v>152</v>
      </c>
      <c r="B429" s="47">
        <v>50.0</v>
      </c>
    </row>
    <row r="430">
      <c r="A430" s="48" t="s">
        <v>153</v>
      </c>
      <c r="B430" s="48">
        <v>50.0</v>
      </c>
    </row>
    <row r="431">
      <c r="A431" s="48" t="s">
        <v>154</v>
      </c>
      <c r="B431" s="47">
        <v>11.0</v>
      </c>
    </row>
    <row r="432">
      <c r="A432" s="48" t="s">
        <v>155</v>
      </c>
      <c r="B432" s="48">
        <v>72.0</v>
      </c>
    </row>
    <row r="433">
      <c r="A433" s="48" t="s">
        <v>156</v>
      </c>
      <c r="B433" s="48">
        <v>72.0</v>
      </c>
    </row>
    <row r="434">
      <c r="A434" s="48" t="s">
        <v>157</v>
      </c>
      <c r="B434" s="47">
        <v>33.0</v>
      </c>
    </row>
    <row r="435">
      <c r="A435" s="48" t="s">
        <v>158</v>
      </c>
      <c r="B435" s="47">
        <v>50.0</v>
      </c>
    </row>
    <row r="436">
      <c r="A436" s="48" t="s">
        <v>159</v>
      </c>
      <c r="B436" s="47">
        <v>50.0</v>
      </c>
    </row>
    <row r="437">
      <c r="A437" s="48" t="s">
        <v>160</v>
      </c>
      <c r="B437" s="48">
        <v>58.0</v>
      </c>
    </row>
    <row r="438">
      <c r="A438" s="48" t="s">
        <v>161</v>
      </c>
      <c r="B438" s="48">
        <v>53.0</v>
      </c>
    </row>
    <row r="439">
      <c r="A439" s="48" t="s">
        <v>162</v>
      </c>
      <c r="B439" s="48">
        <v>59.0</v>
      </c>
    </row>
    <row r="440">
      <c r="A440" s="48" t="s">
        <v>163</v>
      </c>
      <c r="B440" s="47">
        <v>34.0</v>
      </c>
    </row>
    <row r="441">
      <c r="A441" s="48" t="s">
        <v>164</v>
      </c>
      <c r="B441" s="48">
        <v>50.0</v>
      </c>
    </row>
    <row r="442">
      <c r="A442" s="48" t="s">
        <v>165</v>
      </c>
      <c r="B442" s="48">
        <v>78.0</v>
      </c>
    </row>
    <row r="443">
      <c r="A443" s="48" t="s">
        <v>166</v>
      </c>
      <c r="B443" s="48">
        <v>50.0</v>
      </c>
    </row>
    <row r="444">
      <c r="A444" s="48" t="s">
        <v>167</v>
      </c>
      <c r="B444" s="48">
        <v>53.0</v>
      </c>
    </row>
    <row r="445">
      <c r="A445" s="48" t="s">
        <v>168</v>
      </c>
      <c r="B445" s="48">
        <v>68.0</v>
      </c>
    </row>
    <row r="446">
      <c r="A446" s="48" t="s">
        <v>169</v>
      </c>
      <c r="B446" s="47">
        <v>44.0</v>
      </c>
    </row>
    <row r="447">
      <c r="A447" s="48" t="s">
        <v>170</v>
      </c>
      <c r="B447" s="48">
        <v>57.0</v>
      </c>
    </row>
    <row r="448">
      <c r="A448" s="48" t="s">
        <v>171</v>
      </c>
      <c r="B448" s="48">
        <v>52.0</v>
      </c>
    </row>
    <row r="449">
      <c r="A449" s="48" t="s">
        <v>172</v>
      </c>
      <c r="B449" s="48">
        <v>62.0</v>
      </c>
    </row>
    <row r="450">
      <c r="A450" s="48" t="s">
        <v>173</v>
      </c>
      <c r="B450" s="47">
        <v>50.0</v>
      </c>
    </row>
    <row r="451">
      <c r="A451" s="48" t="s">
        <v>174</v>
      </c>
      <c r="B451" s="48">
        <v>83.0</v>
      </c>
    </row>
    <row r="452">
      <c r="A452" s="48" t="s">
        <v>175</v>
      </c>
      <c r="B452" s="48">
        <v>50.0</v>
      </c>
    </row>
    <row r="453">
      <c r="A453" s="48" t="s">
        <v>177</v>
      </c>
      <c r="B453" s="47">
        <v>20.0</v>
      </c>
    </row>
    <row r="454">
      <c r="A454" s="48" t="s">
        <v>178</v>
      </c>
      <c r="B454" s="48">
        <v>50.0</v>
      </c>
    </row>
    <row r="455">
      <c r="A455" s="48" t="s">
        <v>179</v>
      </c>
      <c r="B455" s="48">
        <v>64.0</v>
      </c>
    </row>
    <row r="456">
      <c r="A456" s="48" t="s">
        <v>180</v>
      </c>
      <c r="B456" s="47">
        <v>50.0</v>
      </c>
    </row>
    <row r="457">
      <c r="A457" s="48" t="s">
        <v>181</v>
      </c>
      <c r="B457" s="48">
        <v>60.0</v>
      </c>
    </row>
    <row r="458">
      <c r="A458" s="48" t="s">
        <v>182</v>
      </c>
      <c r="B458" s="47">
        <v>50.0</v>
      </c>
    </row>
    <row r="459">
      <c r="A459" s="48" t="s">
        <v>183</v>
      </c>
      <c r="B459" s="48">
        <v>52.0</v>
      </c>
    </row>
    <row r="460">
      <c r="A460" s="48" t="s">
        <v>184</v>
      </c>
      <c r="B460" s="47">
        <v>50.0</v>
      </c>
    </row>
    <row r="461">
      <c r="A461" s="48" t="s">
        <v>185</v>
      </c>
      <c r="B461" s="47">
        <v>20.0</v>
      </c>
    </row>
    <row r="462">
      <c r="A462" s="48" t="s">
        <v>186</v>
      </c>
      <c r="B462" s="48">
        <v>50.0</v>
      </c>
    </row>
    <row r="463">
      <c r="A463" s="48" t="s">
        <v>187</v>
      </c>
      <c r="B463" s="47">
        <v>50.0</v>
      </c>
    </row>
    <row r="464">
      <c r="A464" s="48" t="s">
        <v>188</v>
      </c>
      <c r="B464" s="47">
        <v>10.0</v>
      </c>
    </row>
    <row r="465">
      <c r="A465" s="48" t="s">
        <v>189</v>
      </c>
      <c r="B465" s="48">
        <v>64.0</v>
      </c>
    </row>
    <row r="466">
      <c r="A466" s="48" t="s">
        <v>190</v>
      </c>
      <c r="B466" s="47">
        <v>25.0</v>
      </c>
    </row>
    <row r="467">
      <c r="A467" s="48" t="s">
        <v>191</v>
      </c>
      <c r="B467" s="47">
        <v>50.0</v>
      </c>
    </row>
    <row r="468">
      <c r="A468" s="48" t="s">
        <v>192</v>
      </c>
      <c r="B468" s="47">
        <v>50.0</v>
      </c>
    </row>
    <row r="469">
      <c r="A469" s="48" t="s">
        <v>193</v>
      </c>
      <c r="B469" s="48">
        <v>56.0</v>
      </c>
    </row>
    <row r="470">
      <c r="A470" s="48" t="s">
        <v>194</v>
      </c>
      <c r="B470" s="48">
        <v>50.0</v>
      </c>
    </row>
    <row r="471">
      <c r="A471" s="48" t="s">
        <v>195</v>
      </c>
      <c r="B471" s="48">
        <v>50.0</v>
      </c>
    </row>
    <row r="472">
      <c r="A472" s="48" t="s">
        <v>196</v>
      </c>
      <c r="B472" s="47">
        <v>39.0</v>
      </c>
    </row>
    <row r="473">
      <c r="A473" s="48" t="s">
        <v>197</v>
      </c>
      <c r="B473" s="48">
        <v>50.0</v>
      </c>
    </row>
    <row r="474">
      <c r="A474" s="48" t="s">
        <v>198</v>
      </c>
      <c r="B474" s="48">
        <v>20.0</v>
      </c>
    </row>
    <row r="475">
      <c r="A475" s="48" t="s">
        <v>199</v>
      </c>
      <c r="B475" s="47">
        <v>50.0</v>
      </c>
    </row>
    <row r="476">
      <c r="A476" s="48" t="s">
        <v>201</v>
      </c>
      <c r="B476" s="48">
        <v>63.0</v>
      </c>
    </row>
    <row r="477">
      <c r="A477" s="48" t="s">
        <v>202</v>
      </c>
      <c r="B477" s="48">
        <v>61.0</v>
      </c>
    </row>
    <row r="478">
      <c r="A478" s="48" t="s">
        <v>203</v>
      </c>
      <c r="B478" s="48">
        <v>50.0</v>
      </c>
    </row>
    <row r="479">
      <c r="A479" s="48" t="s">
        <v>204</v>
      </c>
      <c r="B479" s="48">
        <v>67.0</v>
      </c>
    </row>
    <row r="480">
      <c r="A480" s="48" t="s">
        <v>205</v>
      </c>
      <c r="B480" s="48">
        <v>50.0</v>
      </c>
    </row>
    <row r="481">
      <c r="A481" s="48" t="s">
        <v>206</v>
      </c>
      <c r="B481" s="48">
        <v>60.0</v>
      </c>
    </row>
    <row r="482">
      <c r="A482" s="48" t="s">
        <v>207</v>
      </c>
      <c r="B482" s="47">
        <v>25.0</v>
      </c>
    </row>
    <row r="483">
      <c r="A483" s="48" t="s">
        <v>208</v>
      </c>
      <c r="B483" s="48">
        <v>64.0</v>
      </c>
    </row>
    <row r="484">
      <c r="A484" s="48" t="s">
        <v>209</v>
      </c>
      <c r="B484" s="47">
        <v>50.0</v>
      </c>
    </row>
    <row r="485">
      <c r="A485" s="48" t="s">
        <v>210</v>
      </c>
      <c r="B485" s="48">
        <v>31.0</v>
      </c>
    </row>
    <row r="486">
      <c r="A486" s="48" t="s">
        <v>211</v>
      </c>
      <c r="B486" s="48">
        <v>30.0</v>
      </c>
    </row>
    <row r="487">
      <c r="A487" s="48" t="s">
        <v>212</v>
      </c>
      <c r="B487" s="48">
        <v>62.0</v>
      </c>
    </row>
    <row r="488">
      <c r="A488" s="48" t="s">
        <v>213</v>
      </c>
      <c r="B488" s="47">
        <v>6.0</v>
      </c>
    </row>
    <row r="489">
      <c r="A489" s="48" t="s">
        <v>214</v>
      </c>
      <c r="B489" s="48">
        <v>77.0</v>
      </c>
    </row>
    <row r="490">
      <c r="A490" s="48" t="s">
        <v>215</v>
      </c>
      <c r="B490" s="48">
        <v>58.0</v>
      </c>
    </row>
    <row r="491">
      <c r="A491" s="48" t="s">
        <v>216</v>
      </c>
      <c r="B491" s="48">
        <v>53.0</v>
      </c>
    </row>
    <row r="492">
      <c r="A492" s="48" t="s">
        <v>217</v>
      </c>
      <c r="B492" s="47">
        <v>37.0</v>
      </c>
    </row>
    <row r="493">
      <c r="A493" s="48" t="s">
        <v>218</v>
      </c>
      <c r="B493" s="48">
        <v>50.0</v>
      </c>
    </row>
    <row r="494">
      <c r="A494" s="48" t="s">
        <v>219</v>
      </c>
      <c r="B494" s="48">
        <v>46.0</v>
      </c>
    </row>
    <row r="495">
      <c r="A495" s="48" t="s">
        <v>220</v>
      </c>
      <c r="B495" s="48">
        <v>50.0</v>
      </c>
    </row>
    <row r="496">
      <c r="A496" s="48" t="s">
        <v>221</v>
      </c>
      <c r="B496" s="47">
        <v>41.0</v>
      </c>
    </row>
    <row r="497">
      <c r="A497" s="48" t="s">
        <v>222</v>
      </c>
      <c r="B497" s="48">
        <v>70.0</v>
      </c>
    </row>
    <row r="498">
      <c r="A498" s="48" t="s">
        <v>223</v>
      </c>
      <c r="B498" s="47">
        <v>32.0</v>
      </c>
    </row>
    <row r="499">
      <c r="A499" s="48" t="s">
        <v>224</v>
      </c>
      <c r="B499" s="47">
        <v>44.0</v>
      </c>
    </row>
    <row r="500">
      <c r="A500" s="48" t="s">
        <v>225</v>
      </c>
      <c r="B500" s="47">
        <v>40.0</v>
      </c>
    </row>
    <row r="501">
      <c r="A501" s="48" t="s">
        <v>226</v>
      </c>
      <c r="B501" s="48">
        <v>56.0</v>
      </c>
    </row>
    <row r="502">
      <c r="A502" s="48" t="s">
        <v>227</v>
      </c>
      <c r="B502" s="47">
        <v>50.0</v>
      </c>
    </row>
    <row r="503">
      <c r="A503" s="48" t="s">
        <v>228</v>
      </c>
      <c r="B503" s="48">
        <v>75.0</v>
      </c>
    </row>
    <row r="504">
      <c r="A504" s="48" t="s">
        <v>229</v>
      </c>
      <c r="B504" s="48">
        <v>60.0</v>
      </c>
    </row>
    <row r="505">
      <c r="A505" s="48" t="s">
        <v>230</v>
      </c>
      <c r="B505" s="47">
        <v>50.0</v>
      </c>
    </row>
    <row r="506">
      <c r="A506" s="48" t="s">
        <v>231</v>
      </c>
      <c r="B506" s="48">
        <v>54.0</v>
      </c>
    </row>
    <row r="507">
      <c r="A507" s="48" t="s">
        <v>232</v>
      </c>
      <c r="B507" s="47">
        <v>44.0</v>
      </c>
    </row>
    <row r="508">
      <c r="A508" s="48" t="s">
        <v>233</v>
      </c>
      <c r="B508" s="48">
        <v>45.0</v>
      </c>
    </row>
    <row r="509">
      <c r="A509" s="48" t="s">
        <v>236</v>
      </c>
      <c r="B509" s="48">
        <v>73.0</v>
      </c>
    </row>
    <row r="510">
      <c r="A510" s="48" t="s">
        <v>237</v>
      </c>
      <c r="B510" s="47">
        <v>50.0</v>
      </c>
    </row>
    <row r="511">
      <c r="A511" s="48" t="s">
        <v>238</v>
      </c>
      <c r="B511" s="48">
        <v>53.0</v>
      </c>
    </row>
    <row r="512">
      <c r="A512" s="48" t="s">
        <v>239</v>
      </c>
      <c r="B512" s="47">
        <v>50.0</v>
      </c>
    </row>
    <row r="513">
      <c r="A513" s="48" t="s">
        <v>240</v>
      </c>
      <c r="B513" s="47">
        <v>19.0</v>
      </c>
    </row>
    <row r="514">
      <c r="A514" s="48" t="s">
        <v>241</v>
      </c>
      <c r="B514" s="48">
        <v>50.0</v>
      </c>
    </row>
    <row r="515">
      <c r="A515" s="48" t="s">
        <v>242</v>
      </c>
      <c r="B515" s="48">
        <v>50.0</v>
      </c>
    </row>
    <row r="516">
      <c r="A516" s="48" t="s">
        <v>243</v>
      </c>
      <c r="B516" s="47">
        <v>50.0</v>
      </c>
    </row>
    <row r="517">
      <c r="A517" s="48" t="s">
        <v>244</v>
      </c>
      <c r="B517" s="48">
        <v>50.0</v>
      </c>
    </row>
    <row r="518">
      <c r="A518" s="48" t="s">
        <v>245</v>
      </c>
      <c r="B518" s="48">
        <v>63.0</v>
      </c>
    </row>
    <row r="519">
      <c r="A519" s="48" t="s">
        <v>246</v>
      </c>
      <c r="B519" s="48">
        <v>50.0</v>
      </c>
    </row>
    <row r="520">
      <c r="A520" s="48" t="s">
        <v>247</v>
      </c>
      <c r="B520" s="48">
        <v>84.0</v>
      </c>
    </row>
    <row r="521">
      <c r="A521" s="48" t="s">
        <v>248</v>
      </c>
      <c r="B521" s="48">
        <v>50.0</v>
      </c>
    </row>
    <row r="522">
      <c r="A522" s="48" t="s">
        <v>249</v>
      </c>
      <c r="B522" s="48">
        <v>50.0</v>
      </c>
    </row>
    <row r="523">
      <c r="A523" s="48" t="s">
        <v>250</v>
      </c>
      <c r="B523" s="48">
        <v>77.0</v>
      </c>
    </row>
    <row r="524">
      <c r="A524" s="48" t="s">
        <v>251</v>
      </c>
      <c r="B524" s="48">
        <v>51.0</v>
      </c>
    </row>
    <row r="525">
      <c r="A525" s="48" t="s">
        <v>252</v>
      </c>
      <c r="B525" s="48">
        <v>59.0</v>
      </c>
    </row>
    <row r="526">
      <c r="A526" s="48" t="s">
        <v>254</v>
      </c>
      <c r="B526" s="48">
        <v>50.0</v>
      </c>
    </row>
    <row r="527">
      <c r="A527" s="48" t="s">
        <v>255</v>
      </c>
      <c r="B527" s="48">
        <v>58.0</v>
      </c>
    </row>
    <row r="528">
      <c r="A528" s="48" t="s">
        <v>256</v>
      </c>
      <c r="B528" s="48">
        <v>54.0</v>
      </c>
    </row>
    <row r="529">
      <c r="A529" s="48" t="s">
        <v>257</v>
      </c>
      <c r="B529" s="48">
        <v>50.0</v>
      </c>
    </row>
    <row r="530">
      <c r="A530" s="48" t="s">
        <v>258</v>
      </c>
      <c r="B530" s="48">
        <v>60.0</v>
      </c>
    </row>
    <row r="531">
      <c r="A531" s="48" t="s">
        <v>259</v>
      </c>
      <c r="B531" s="48">
        <v>50.0</v>
      </c>
    </row>
    <row r="532">
      <c r="A532" s="48" t="s">
        <v>260</v>
      </c>
      <c r="B532" s="47">
        <v>50.0</v>
      </c>
    </row>
    <row r="533">
      <c r="A533" s="48" t="s">
        <v>261</v>
      </c>
      <c r="B533" s="48">
        <v>5.0</v>
      </c>
    </row>
    <row r="534">
      <c r="A534" s="48" t="s">
        <v>262</v>
      </c>
      <c r="B534" s="48">
        <v>50.0</v>
      </c>
    </row>
    <row r="535">
      <c r="A535" s="48" t="s">
        <v>263</v>
      </c>
      <c r="B535" s="48">
        <v>53.0</v>
      </c>
    </row>
    <row r="536">
      <c r="A536" s="48" t="s">
        <v>264</v>
      </c>
      <c r="B536" s="48">
        <v>42.0</v>
      </c>
    </row>
    <row r="537">
      <c r="A537" s="48" t="s">
        <v>265</v>
      </c>
      <c r="B537" s="48">
        <v>53.0</v>
      </c>
    </row>
    <row r="538">
      <c r="A538" s="48" t="s">
        <v>266</v>
      </c>
      <c r="B538" s="47">
        <v>50.0</v>
      </c>
    </row>
    <row r="539">
      <c r="A539" s="48" t="s">
        <v>267</v>
      </c>
      <c r="B539" s="47">
        <v>50.0</v>
      </c>
    </row>
    <row r="540">
      <c r="A540" s="48" t="s">
        <v>268</v>
      </c>
      <c r="B540" s="48">
        <v>50.0</v>
      </c>
    </row>
    <row r="541">
      <c r="A541" s="48" t="s">
        <v>269</v>
      </c>
      <c r="B541" s="47">
        <v>50.0</v>
      </c>
    </row>
    <row r="542">
      <c r="A542" s="48" t="s">
        <v>270</v>
      </c>
      <c r="B542" s="48">
        <v>63.0</v>
      </c>
    </row>
    <row r="543">
      <c r="A543" s="48" t="s">
        <v>271</v>
      </c>
      <c r="B543" s="48">
        <v>50.0</v>
      </c>
    </row>
    <row r="544">
      <c r="A544" s="48" t="s">
        <v>272</v>
      </c>
      <c r="B544" s="48">
        <v>50.0</v>
      </c>
    </row>
    <row r="545">
      <c r="A545" s="48" t="s">
        <v>273</v>
      </c>
      <c r="B545" s="48">
        <v>20.0</v>
      </c>
    </row>
    <row r="546">
      <c r="A546" s="48" t="s">
        <v>274</v>
      </c>
      <c r="B546" s="48">
        <v>17.0</v>
      </c>
    </row>
    <row r="547">
      <c r="A547" s="48" t="s">
        <v>275</v>
      </c>
      <c r="B547" s="48">
        <v>50.0</v>
      </c>
    </row>
    <row r="548">
      <c r="A548" s="48" t="s">
        <v>276</v>
      </c>
      <c r="B548" s="48">
        <v>61.0</v>
      </c>
    </row>
    <row r="549">
      <c r="A549" s="48" t="s">
        <v>277</v>
      </c>
      <c r="B549" s="48">
        <v>68.0</v>
      </c>
    </row>
    <row r="550">
      <c r="A550" s="48" t="s">
        <v>278</v>
      </c>
      <c r="B550" s="47">
        <v>50.0</v>
      </c>
    </row>
    <row r="551">
      <c r="A551" s="48" t="s">
        <v>279</v>
      </c>
      <c r="B551" s="47">
        <v>39.0</v>
      </c>
    </row>
    <row r="552">
      <c r="A552" s="48" t="s">
        <v>280</v>
      </c>
      <c r="B552" s="48">
        <v>41.0</v>
      </c>
    </row>
    <row r="553">
      <c r="A553" s="48" t="s">
        <v>281</v>
      </c>
      <c r="B553" s="47">
        <v>50.0</v>
      </c>
    </row>
    <row r="554">
      <c r="A554" s="48" t="s">
        <v>282</v>
      </c>
      <c r="B554" s="48">
        <v>50.0</v>
      </c>
    </row>
    <row r="555">
      <c r="A555" s="48" t="s">
        <v>283</v>
      </c>
      <c r="B555" s="47">
        <v>50.0</v>
      </c>
    </row>
    <row r="556">
      <c r="A556" s="48" t="s">
        <v>285</v>
      </c>
      <c r="B556" s="48">
        <v>70.0</v>
      </c>
    </row>
    <row r="557">
      <c r="A557" s="48" t="s">
        <v>286</v>
      </c>
      <c r="B557" s="48">
        <v>67.0</v>
      </c>
    </row>
    <row r="558">
      <c r="A558" s="48" t="s">
        <v>287</v>
      </c>
      <c r="B558" s="47">
        <v>50.0</v>
      </c>
    </row>
    <row r="559">
      <c r="A559" s="48" t="s">
        <v>288</v>
      </c>
      <c r="B559" s="48">
        <v>74.0</v>
      </c>
    </row>
    <row r="560">
      <c r="A560" s="48" t="s">
        <v>290</v>
      </c>
      <c r="B560" s="48">
        <v>58.0</v>
      </c>
    </row>
    <row r="561">
      <c r="A561" s="48" t="s">
        <v>291</v>
      </c>
      <c r="B561" s="48">
        <v>50.0</v>
      </c>
    </row>
    <row r="562">
      <c r="A562" s="48" t="s">
        <v>292</v>
      </c>
      <c r="B562" s="48">
        <v>58.0</v>
      </c>
    </row>
    <row r="563">
      <c r="A563" s="48" t="s">
        <v>293</v>
      </c>
      <c r="B563" s="48">
        <v>51.0</v>
      </c>
    </row>
    <row r="564">
      <c r="A564" s="48" t="s">
        <v>294</v>
      </c>
      <c r="B564" s="48">
        <v>50.0</v>
      </c>
    </row>
    <row r="565">
      <c r="A565" s="48" t="s">
        <v>295</v>
      </c>
      <c r="B565" s="48">
        <v>27.0</v>
      </c>
    </row>
    <row r="566">
      <c r="A566" s="48" t="s">
        <v>296</v>
      </c>
      <c r="B566" s="48">
        <v>54.0</v>
      </c>
    </row>
    <row r="567">
      <c r="A567" s="48" t="s">
        <v>297</v>
      </c>
      <c r="B567" s="47">
        <v>12.0</v>
      </c>
    </row>
    <row r="568">
      <c r="A568" s="48" t="s">
        <v>298</v>
      </c>
      <c r="B568" s="48">
        <v>60.0</v>
      </c>
    </row>
    <row r="569">
      <c r="A569" s="48" t="s">
        <v>299</v>
      </c>
      <c r="B569" s="48">
        <v>50.0</v>
      </c>
    </row>
    <row r="570">
      <c r="A570" s="48" t="s">
        <v>300</v>
      </c>
      <c r="B570" s="48">
        <v>50.0</v>
      </c>
    </row>
    <row r="571">
      <c r="A571" s="48" t="s">
        <v>301</v>
      </c>
      <c r="B571" s="47">
        <v>49.0</v>
      </c>
    </row>
    <row r="572">
      <c r="A572" s="48" t="s">
        <v>302</v>
      </c>
      <c r="B572" s="47">
        <v>33.0</v>
      </c>
    </row>
    <row r="573">
      <c r="A573" s="48" t="s">
        <v>303</v>
      </c>
      <c r="B573" s="48">
        <v>71.0</v>
      </c>
    </row>
    <row r="574">
      <c r="A574" s="48" t="s">
        <v>304</v>
      </c>
      <c r="B574" s="48">
        <v>48.0</v>
      </c>
    </row>
    <row r="575">
      <c r="A575" s="48" t="s">
        <v>305</v>
      </c>
      <c r="B575" s="47">
        <v>50.0</v>
      </c>
    </row>
    <row r="576">
      <c r="A576" s="48" t="s">
        <v>306</v>
      </c>
      <c r="B576" s="47">
        <v>50.0</v>
      </c>
    </row>
    <row r="577">
      <c r="A577" s="48" t="s">
        <v>307</v>
      </c>
      <c r="B577" s="47">
        <v>50.0</v>
      </c>
    </row>
    <row r="578">
      <c r="A578" s="48" t="s">
        <v>308</v>
      </c>
      <c r="B578" s="47">
        <v>29.0</v>
      </c>
    </row>
    <row r="579">
      <c r="A579" s="48" t="s">
        <v>309</v>
      </c>
      <c r="B579" s="48">
        <v>38.0</v>
      </c>
    </row>
    <row r="580">
      <c r="A580" s="48" t="s">
        <v>310</v>
      </c>
      <c r="B580" s="47">
        <v>50.0</v>
      </c>
    </row>
    <row r="581">
      <c r="A581" s="48" t="s">
        <v>311</v>
      </c>
      <c r="B581" s="48">
        <v>52.0</v>
      </c>
    </row>
    <row r="582">
      <c r="A582" s="48" t="s">
        <v>312</v>
      </c>
      <c r="B582" s="47">
        <v>3.0</v>
      </c>
    </row>
    <row r="583">
      <c r="A583" s="48" t="s">
        <v>313</v>
      </c>
      <c r="B583" s="49">
        <v>50.0</v>
      </c>
    </row>
    <row r="584">
      <c r="A584" s="48" t="s">
        <v>314</v>
      </c>
      <c r="B584" s="48">
        <v>27.0</v>
      </c>
    </row>
    <row r="585">
      <c r="A585" s="48" t="s">
        <v>315</v>
      </c>
      <c r="B585" s="48">
        <v>62.0</v>
      </c>
    </row>
    <row r="586">
      <c r="A586" s="48" t="s">
        <v>316</v>
      </c>
      <c r="B586" s="48">
        <v>54.0</v>
      </c>
    </row>
    <row r="587">
      <c r="A587" s="48" t="s">
        <v>317</v>
      </c>
      <c r="B587" s="48">
        <v>75.0</v>
      </c>
    </row>
    <row r="588">
      <c r="A588" s="48" t="s">
        <v>318</v>
      </c>
      <c r="B588" s="48">
        <v>64.0</v>
      </c>
    </row>
    <row r="589">
      <c r="A589" s="48" t="s">
        <v>319</v>
      </c>
      <c r="B589" s="48">
        <v>75.0</v>
      </c>
    </row>
    <row r="590">
      <c r="A590" s="48" t="s">
        <v>320</v>
      </c>
      <c r="B590" s="48">
        <v>60.0</v>
      </c>
    </row>
    <row r="591">
      <c r="A591" s="48" t="s">
        <v>321</v>
      </c>
      <c r="B591" s="48">
        <v>50.0</v>
      </c>
    </row>
    <row r="592">
      <c r="A592" s="48" t="s">
        <v>322</v>
      </c>
      <c r="B592" s="48">
        <v>52.0</v>
      </c>
    </row>
    <row r="593">
      <c r="A593" s="48" t="s">
        <v>323</v>
      </c>
      <c r="B593" s="48">
        <v>75.0</v>
      </c>
    </row>
    <row r="594">
      <c r="A594" s="48" t="s">
        <v>324</v>
      </c>
      <c r="B594" s="48">
        <v>34.0</v>
      </c>
    </row>
    <row r="595">
      <c r="A595" s="48" t="s">
        <v>325</v>
      </c>
      <c r="B595" s="48">
        <v>58.0</v>
      </c>
    </row>
    <row r="596">
      <c r="A596" s="48" t="s">
        <v>326</v>
      </c>
      <c r="B596" s="48">
        <v>63.0</v>
      </c>
    </row>
    <row r="597">
      <c r="A597" s="48" t="s">
        <v>327</v>
      </c>
      <c r="B597" s="48">
        <v>56.0</v>
      </c>
    </row>
    <row r="598">
      <c r="A598" s="48" t="s">
        <v>328</v>
      </c>
      <c r="B598" s="48">
        <v>65.0</v>
      </c>
    </row>
    <row r="599">
      <c r="A599" s="48" t="s">
        <v>329</v>
      </c>
      <c r="B599" s="48">
        <v>80.0</v>
      </c>
    </row>
    <row r="600">
      <c r="A600" s="48" t="s">
        <v>330</v>
      </c>
      <c r="B600" s="47">
        <v>32.0</v>
      </c>
    </row>
    <row r="601">
      <c r="A601" s="48" t="s">
        <v>331</v>
      </c>
      <c r="B601" s="47">
        <v>44.0</v>
      </c>
    </row>
    <row r="602">
      <c r="A602" s="48" t="s">
        <v>332</v>
      </c>
      <c r="B602" s="47">
        <v>1.0</v>
      </c>
    </row>
    <row r="603">
      <c r="A603" s="48" t="s">
        <v>333</v>
      </c>
      <c r="B603" s="47">
        <v>21.0</v>
      </c>
    </row>
    <row r="604">
      <c r="A604" s="48" t="s">
        <v>334</v>
      </c>
      <c r="B604" s="48">
        <v>61.0</v>
      </c>
    </row>
    <row r="605">
      <c r="A605" s="48" t="s">
        <v>335</v>
      </c>
      <c r="B605" s="48">
        <v>59.0</v>
      </c>
    </row>
    <row r="606">
      <c r="A606" s="48" t="s">
        <v>336</v>
      </c>
      <c r="B606" s="48">
        <v>64.0</v>
      </c>
    </row>
    <row r="607">
      <c r="A607" s="48" t="s">
        <v>337</v>
      </c>
      <c r="B607" s="48">
        <v>64.0</v>
      </c>
    </row>
    <row r="608">
      <c r="A608" s="48" t="s">
        <v>338</v>
      </c>
      <c r="B608" s="48">
        <v>67.0</v>
      </c>
    </row>
    <row r="609">
      <c r="A609" s="48" t="s">
        <v>339</v>
      </c>
      <c r="B609" s="47">
        <v>27.0</v>
      </c>
    </row>
    <row r="610">
      <c r="A610" s="48" t="s">
        <v>340</v>
      </c>
      <c r="B610" s="48">
        <v>50.0</v>
      </c>
    </row>
    <row r="611">
      <c r="A611" s="48" t="s">
        <v>341</v>
      </c>
      <c r="B611" s="48">
        <v>59.0</v>
      </c>
    </row>
    <row r="612">
      <c r="A612" s="48" t="s">
        <v>342</v>
      </c>
      <c r="B612" s="47">
        <v>29.0</v>
      </c>
    </row>
    <row r="613">
      <c r="A613" s="48" t="s">
        <v>343</v>
      </c>
      <c r="B613" s="48">
        <v>65.0</v>
      </c>
    </row>
    <row r="614">
      <c r="A614" s="48" t="s">
        <v>344</v>
      </c>
      <c r="B614" s="48">
        <v>63.0</v>
      </c>
    </row>
    <row r="615">
      <c r="A615" s="48" t="s">
        <v>345</v>
      </c>
      <c r="B615" s="47">
        <v>50.0</v>
      </c>
    </row>
    <row r="616">
      <c r="A616" s="48" t="s">
        <v>346</v>
      </c>
      <c r="B616" s="48">
        <v>55.0</v>
      </c>
    </row>
    <row r="617">
      <c r="A617" s="48" t="s">
        <v>347</v>
      </c>
      <c r="B617" s="48">
        <v>52.0</v>
      </c>
    </row>
    <row r="618">
      <c r="A618" s="48" t="s">
        <v>348</v>
      </c>
      <c r="B618" s="48">
        <v>24.0</v>
      </c>
    </row>
    <row r="619">
      <c r="A619" s="48" t="s">
        <v>349</v>
      </c>
      <c r="B619" s="47">
        <v>39.0</v>
      </c>
    </row>
    <row r="620">
      <c r="A620" s="48" t="s">
        <v>350</v>
      </c>
      <c r="B620" s="47">
        <v>50.0</v>
      </c>
    </row>
    <row r="621">
      <c r="A621" s="48" t="s">
        <v>351</v>
      </c>
      <c r="B621" s="47">
        <v>20.0</v>
      </c>
    </row>
    <row r="622">
      <c r="A622" s="48" t="s">
        <v>352</v>
      </c>
      <c r="B622" s="47">
        <v>26.0</v>
      </c>
    </row>
    <row r="623">
      <c r="A623" s="48" t="s">
        <v>353</v>
      </c>
      <c r="B623" s="48">
        <v>25.0</v>
      </c>
    </row>
    <row r="624">
      <c r="A624" s="48" t="s">
        <v>354</v>
      </c>
      <c r="B624" s="47">
        <v>50.0</v>
      </c>
    </row>
    <row r="625">
      <c r="A625" s="48" t="s">
        <v>355</v>
      </c>
      <c r="B625" s="47">
        <v>50.0</v>
      </c>
    </row>
    <row r="626">
      <c r="A626" s="48" t="s">
        <v>356</v>
      </c>
      <c r="B626" s="47">
        <v>45.0</v>
      </c>
    </row>
    <row r="627">
      <c r="A627" s="48" t="s">
        <v>357</v>
      </c>
      <c r="B627" s="48">
        <v>52.0</v>
      </c>
    </row>
    <row r="628">
      <c r="A628" s="48" t="s">
        <v>358</v>
      </c>
      <c r="B628" s="47">
        <v>50.0</v>
      </c>
    </row>
    <row r="629">
      <c r="A629" s="48" t="s">
        <v>359</v>
      </c>
      <c r="B629" s="48">
        <v>83.0</v>
      </c>
    </row>
    <row r="630">
      <c r="A630" s="47" t="s">
        <v>381</v>
      </c>
      <c r="B630" s="47">
        <v>67.0</v>
      </c>
    </row>
    <row r="631">
      <c r="A631" s="47" t="s">
        <v>382</v>
      </c>
      <c r="B631" s="47">
        <v>20.0</v>
      </c>
    </row>
    <row r="632">
      <c r="A632" s="47" t="s">
        <v>383</v>
      </c>
      <c r="B632" s="47">
        <v>41.0</v>
      </c>
    </row>
    <row r="633">
      <c r="A633" s="47" t="s">
        <v>384</v>
      </c>
      <c r="B633" s="47">
        <v>46.0</v>
      </c>
    </row>
    <row r="634">
      <c r="A634" s="47" t="s">
        <v>385</v>
      </c>
      <c r="B634" s="47">
        <v>50.0</v>
      </c>
    </row>
    <row r="635">
      <c r="A635" s="47" t="s">
        <v>386</v>
      </c>
      <c r="B635" s="47">
        <v>52.0</v>
      </c>
    </row>
    <row r="636">
      <c r="A636" s="47" t="s">
        <v>387</v>
      </c>
      <c r="B636" s="47">
        <v>33.0</v>
      </c>
    </row>
    <row r="637">
      <c r="A637" s="47" t="s">
        <v>389</v>
      </c>
      <c r="B637" s="47">
        <v>29.0</v>
      </c>
    </row>
    <row r="638">
      <c r="A638" s="47" t="s">
        <v>390</v>
      </c>
      <c r="B638" s="47">
        <v>50.0</v>
      </c>
    </row>
    <row r="639">
      <c r="A639" s="47" t="s">
        <v>391</v>
      </c>
      <c r="B639" s="47">
        <v>53.0</v>
      </c>
    </row>
    <row r="640">
      <c r="A640" s="47" t="s">
        <v>392</v>
      </c>
      <c r="B640" s="47">
        <v>50.0</v>
      </c>
    </row>
    <row r="641">
      <c r="A641" s="47" t="s">
        <v>393</v>
      </c>
      <c r="B641" s="47">
        <v>69.0</v>
      </c>
    </row>
    <row r="642">
      <c r="A642" s="47" t="s">
        <v>394</v>
      </c>
      <c r="B642" s="47">
        <v>57.0</v>
      </c>
    </row>
    <row r="643">
      <c r="A643" s="47" t="s">
        <v>395</v>
      </c>
      <c r="B643" s="47">
        <v>50.0</v>
      </c>
    </row>
    <row r="644">
      <c r="A644" s="47" t="s">
        <v>396</v>
      </c>
      <c r="B644" s="47">
        <v>18.0</v>
      </c>
    </row>
    <row r="645">
      <c r="A645" s="47" t="s">
        <v>397</v>
      </c>
      <c r="B645" s="47">
        <v>58.0</v>
      </c>
    </row>
    <row r="646">
      <c r="A646" s="47" t="s">
        <v>398</v>
      </c>
      <c r="B646" s="47">
        <v>50.0</v>
      </c>
    </row>
    <row r="647">
      <c r="A647" s="47" t="s">
        <v>399</v>
      </c>
      <c r="B647" s="47">
        <v>52.0</v>
      </c>
    </row>
    <row r="648">
      <c r="A648" s="47" t="s">
        <v>400</v>
      </c>
      <c r="B648" s="47">
        <v>50.0</v>
      </c>
    </row>
    <row r="649">
      <c r="A649" s="47" t="s">
        <v>401</v>
      </c>
      <c r="B649" s="47">
        <v>50.0</v>
      </c>
    </row>
    <row r="650">
      <c r="A650" s="47" t="s">
        <v>402</v>
      </c>
      <c r="B650" s="47">
        <v>32.0</v>
      </c>
    </row>
    <row r="651">
      <c r="A651" s="47" t="s">
        <v>403</v>
      </c>
      <c r="B651" s="47">
        <v>10.0</v>
      </c>
    </row>
    <row r="652">
      <c r="A652" s="47" t="s">
        <v>404</v>
      </c>
      <c r="B652" s="47">
        <v>8.0</v>
      </c>
    </row>
    <row r="653">
      <c r="A653" s="47" t="s">
        <v>405</v>
      </c>
      <c r="B653" s="47">
        <v>75.0</v>
      </c>
    </row>
    <row r="654">
      <c r="A654" s="47" t="s">
        <v>406</v>
      </c>
      <c r="B654" s="47">
        <v>38.0</v>
      </c>
    </row>
    <row r="655">
      <c r="A655" s="47" t="s">
        <v>407</v>
      </c>
      <c r="B655" s="47">
        <v>75.0</v>
      </c>
    </row>
    <row r="656">
      <c r="A656" s="47" t="s">
        <v>408</v>
      </c>
      <c r="B656" s="47">
        <v>50.0</v>
      </c>
    </row>
    <row r="657">
      <c r="A657" s="47" t="s">
        <v>409</v>
      </c>
      <c r="B657" s="47">
        <v>62.0</v>
      </c>
    </row>
    <row r="658">
      <c r="A658" s="47" t="s">
        <v>410</v>
      </c>
      <c r="B658" s="47">
        <v>43.0</v>
      </c>
    </row>
    <row r="659">
      <c r="A659" s="47" t="s">
        <v>411</v>
      </c>
      <c r="B659" s="47">
        <v>50.0</v>
      </c>
    </row>
    <row r="660">
      <c r="A660" s="47" t="s">
        <v>412</v>
      </c>
      <c r="B660" s="47">
        <v>71.0</v>
      </c>
    </row>
    <row r="661">
      <c r="A661" s="47" t="s">
        <v>413</v>
      </c>
      <c r="B661" s="47">
        <v>50.0</v>
      </c>
    </row>
    <row r="662">
      <c r="A662" s="47" t="s">
        <v>414</v>
      </c>
      <c r="B662" s="47">
        <v>71.0</v>
      </c>
    </row>
    <row r="663">
      <c r="A663" s="47" t="s">
        <v>415</v>
      </c>
      <c r="B663" s="47">
        <v>50.0</v>
      </c>
    </row>
    <row r="664">
      <c r="A664" s="47" t="s">
        <v>416</v>
      </c>
      <c r="B664" s="47">
        <v>50.0</v>
      </c>
    </row>
    <row r="665">
      <c r="A665" s="47" t="s">
        <v>417</v>
      </c>
      <c r="B665" s="47">
        <v>33.0</v>
      </c>
    </row>
    <row r="666">
      <c r="A666" s="47" t="s">
        <v>418</v>
      </c>
      <c r="B666" s="47">
        <v>40.0</v>
      </c>
    </row>
    <row r="667">
      <c r="A667" s="47" t="s">
        <v>419</v>
      </c>
      <c r="B667" s="47">
        <v>58.0</v>
      </c>
    </row>
    <row r="668">
      <c r="A668" s="47" t="s">
        <v>420</v>
      </c>
      <c r="B668" s="47">
        <v>88.0</v>
      </c>
    </row>
    <row r="669">
      <c r="A669" s="47" t="s">
        <v>421</v>
      </c>
      <c r="B669" s="47">
        <v>59.0</v>
      </c>
    </row>
    <row r="670">
      <c r="A670" s="47" t="s">
        <v>422</v>
      </c>
      <c r="B670" s="47">
        <v>50.0</v>
      </c>
    </row>
    <row r="671">
      <c r="A671" s="47" t="s">
        <v>423</v>
      </c>
      <c r="B671" s="47">
        <v>50.0</v>
      </c>
    </row>
    <row r="672">
      <c r="A672" s="47" t="s">
        <v>424</v>
      </c>
      <c r="B672" s="47">
        <v>50.0</v>
      </c>
    </row>
    <row r="673">
      <c r="A673" s="47" t="s">
        <v>425</v>
      </c>
      <c r="B673" s="49">
        <v>50.0</v>
      </c>
    </row>
    <row r="674">
      <c r="A674" s="47" t="s">
        <v>426</v>
      </c>
      <c r="B674" s="47">
        <v>65.0</v>
      </c>
    </row>
    <row r="675">
      <c r="A675" s="47" t="s">
        <v>427</v>
      </c>
      <c r="B675" s="47">
        <v>52.0</v>
      </c>
    </row>
    <row r="676">
      <c r="A676" s="47" t="s">
        <v>428</v>
      </c>
      <c r="B676" s="47">
        <v>50.0</v>
      </c>
    </row>
    <row r="677">
      <c r="A677" s="47" t="s">
        <v>429</v>
      </c>
      <c r="B677" s="47">
        <v>66.0</v>
      </c>
    </row>
    <row r="678">
      <c r="A678" s="47" t="s">
        <v>430</v>
      </c>
      <c r="B678" s="47">
        <v>54.0</v>
      </c>
    </row>
    <row r="679">
      <c r="A679" s="47" t="s">
        <v>431</v>
      </c>
      <c r="B679" s="47">
        <v>48.0</v>
      </c>
    </row>
    <row r="680">
      <c r="A680" s="47" t="s">
        <v>432</v>
      </c>
      <c r="B680" s="47">
        <v>50.0</v>
      </c>
    </row>
    <row r="681">
      <c r="A681" s="47" t="s">
        <v>433</v>
      </c>
      <c r="B681" s="47">
        <v>70.0</v>
      </c>
    </row>
    <row r="682">
      <c r="A682" s="47" t="s">
        <v>435</v>
      </c>
      <c r="B682" s="47">
        <v>31.0</v>
      </c>
    </row>
    <row r="683">
      <c r="A683" s="47" t="s">
        <v>436</v>
      </c>
      <c r="B683" s="47">
        <v>50.0</v>
      </c>
    </row>
    <row r="684">
      <c r="A684" s="47" t="s">
        <v>437</v>
      </c>
      <c r="B684" s="47">
        <v>50.0</v>
      </c>
    </row>
    <row r="685">
      <c r="A685" s="47" t="s">
        <v>438</v>
      </c>
      <c r="B685" s="47">
        <v>50.0</v>
      </c>
    </row>
    <row r="686">
      <c r="A686" s="47" t="s">
        <v>439</v>
      </c>
      <c r="B686" s="47">
        <v>61.0</v>
      </c>
    </row>
    <row r="687">
      <c r="A687" s="47" t="s">
        <v>440</v>
      </c>
      <c r="B687" s="47">
        <v>50.0</v>
      </c>
    </row>
    <row r="688">
      <c r="A688" s="47" t="s">
        <v>441</v>
      </c>
      <c r="B688" s="47">
        <v>50.0</v>
      </c>
    </row>
    <row r="689">
      <c r="A689" s="47" t="s">
        <v>442</v>
      </c>
      <c r="B689" s="47">
        <v>50.0</v>
      </c>
    </row>
    <row r="690">
      <c r="A690" s="47" t="s">
        <v>443</v>
      </c>
      <c r="B690" s="47">
        <v>31.0</v>
      </c>
    </row>
    <row r="691">
      <c r="A691" s="47" t="s">
        <v>444</v>
      </c>
      <c r="B691" s="47">
        <v>53.0</v>
      </c>
    </row>
    <row r="692">
      <c r="A692" s="47" t="s">
        <v>445</v>
      </c>
      <c r="B692" s="47">
        <v>18.0</v>
      </c>
    </row>
    <row r="693">
      <c r="A693" s="47" t="s">
        <v>446</v>
      </c>
      <c r="B693" s="47">
        <v>50.0</v>
      </c>
    </row>
    <row r="694">
      <c r="A694" s="47" t="s">
        <v>447</v>
      </c>
      <c r="B694" s="47">
        <v>81.0</v>
      </c>
    </row>
    <row r="695">
      <c r="A695" s="47" t="s">
        <v>448</v>
      </c>
      <c r="B695" s="47">
        <v>51.0</v>
      </c>
    </row>
    <row r="696">
      <c r="A696" s="47" t="s">
        <v>449</v>
      </c>
      <c r="B696" s="47">
        <v>36.0</v>
      </c>
    </row>
    <row r="697">
      <c r="A697" s="47" t="s">
        <v>450</v>
      </c>
      <c r="B697" s="47">
        <v>4.0</v>
      </c>
    </row>
    <row r="698">
      <c r="A698" s="47" t="s">
        <v>451</v>
      </c>
      <c r="B698" s="47">
        <v>21.0</v>
      </c>
    </row>
    <row r="699">
      <c r="A699" s="47" t="s">
        <v>452</v>
      </c>
      <c r="B699" s="47">
        <v>12.0</v>
      </c>
    </row>
    <row r="700">
      <c r="A700" s="47" t="s">
        <v>453</v>
      </c>
      <c r="B700" s="47">
        <v>50.0</v>
      </c>
    </row>
    <row r="701">
      <c r="A701" s="47" t="s">
        <v>454</v>
      </c>
      <c r="B701" s="47">
        <v>50.0</v>
      </c>
    </row>
    <row r="702">
      <c r="A702" s="47" t="s">
        <v>455</v>
      </c>
      <c r="B702" s="47">
        <v>50.0</v>
      </c>
    </row>
    <row r="703">
      <c r="A703" s="47" t="s">
        <v>456</v>
      </c>
      <c r="B703" s="47">
        <v>50.0</v>
      </c>
    </row>
    <row r="704">
      <c r="A704" s="47" t="s">
        <v>457</v>
      </c>
      <c r="B704" s="47">
        <v>50.0</v>
      </c>
    </row>
    <row r="705">
      <c r="A705" s="47" t="s">
        <v>458</v>
      </c>
      <c r="B705" s="47">
        <v>50.0</v>
      </c>
    </row>
    <row r="706">
      <c r="A706" s="47" t="s">
        <v>459</v>
      </c>
      <c r="B706" s="47">
        <v>50.0</v>
      </c>
    </row>
    <row r="707">
      <c r="A707" s="47" t="s">
        <v>460</v>
      </c>
      <c r="B707" s="47">
        <v>18.0</v>
      </c>
    </row>
    <row r="708">
      <c r="A708" s="47" t="s">
        <v>461</v>
      </c>
      <c r="B708" s="47">
        <v>50.0</v>
      </c>
    </row>
    <row r="709">
      <c r="A709" s="47" t="s">
        <v>462</v>
      </c>
      <c r="B709" s="47">
        <v>50.0</v>
      </c>
    </row>
    <row r="710">
      <c r="A710" s="47" t="s">
        <v>463</v>
      </c>
      <c r="B710" s="47">
        <v>31.0</v>
      </c>
    </row>
    <row r="711">
      <c r="A711" s="47" t="s">
        <v>464</v>
      </c>
      <c r="B711" s="47">
        <v>50.0</v>
      </c>
    </row>
    <row r="712">
      <c r="A712" s="47" t="s">
        <v>465</v>
      </c>
      <c r="B712" s="47">
        <v>68.0</v>
      </c>
    </row>
    <row r="713">
      <c r="A713" s="47" t="s">
        <v>466</v>
      </c>
      <c r="B713" s="47">
        <v>50.0</v>
      </c>
    </row>
    <row r="714">
      <c r="A714" s="47" t="s">
        <v>467</v>
      </c>
      <c r="B714" s="47">
        <v>20.0</v>
      </c>
    </row>
    <row r="715">
      <c r="A715" s="47" t="s">
        <v>468</v>
      </c>
      <c r="B715" s="47">
        <v>50.0</v>
      </c>
    </row>
    <row r="716">
      <c r="A716" s="47" t="s">
        <v>469</v>
      </c>
      <c r="B716" s="47">
        <v>20.0</v>
      </c>
    </row>
    <row r="717">
      <c r="A717" s="47" t="s">
        <v>470</v>
      </c>
      <c r="B717" s="47">
        <v>58.0</v>
      </c>
    </row>
    <row r="718">
      <c r="A718" s="47" t="s">
        <v>471</v>
      </c>
      <c r="B718" s="47">
        <v>50.0</v>
      </c>
    </row>
    <row r="719">
      <c r="A719" s="47" t="s">
        <v>472</v>
      </c>
      <c r="B719" s="47">
        <v>50.0</v>
      </c>
    </row>
    <row r="720">
      <c r="A720" s="47" t="s">
        <v>473</v>
      </c>
      <c r="B720" s="47">
        <v>54.0</v>
      </c>
    </row>
    <row r="721">
      <c r="A721" s="47" t="s">
        <v>474</v>
      </c>
      <c r="B721" s="47">
        <v>50.0</v>
      </c>
    </row>
    <row r="722">
      <c r="A722" s="47" t="s">
        <v>476</v>
      </c>
      <c r="B722" s="47">
        <v>50.0</v>
      </c>
    </row>
    <row r="723">
      <c r="A723" s="47" t="s">
        <v>477</v>
      </c>
      <c r="B723" s="47">
        <v>50.0</v>
      </c>
    </row>
    <row r="724">
      <c r="A724" s="47" t="s">
        <v>478</v>
      </c>
      <c r="B724" s="47">
        <v>50.0</v>
      </c>
    </row>
    <row r="725">
      <c r="A725" s="47" t="s">
        <v>479</v>
      </c>
      <c r="B725" s="47">
        <v>50.0</v>
      </c>
    </row>
    <row r="726">
      <c r="A726" s="47" t="s">
        <v>480</v>
      </c>
      <c r="B726" s="47">
        <v>50.0</v>
      </c>
    </row>
    <row r="727">
      <c r="A727" s="47" t="s">
        <v>481</v>
      </c>
      <c r="B727" s="47">
        <v>50.0</v>
      </c>
    </row>
    <row r="728">
      <c r="A728" s="47" t="s">
        <v>482</v>
      </c>
      <c r="B728" s="47">
        <v>50.0</v>
      </c>
    </row>
    <row r="729">
      <c r="A729" s="47" t="s">
        <v>483</v>
      </c>
      <c r="B729" s="47">
        <v>50.0</v>
      </c>
    </row>
    <row r="730">
      <c r="A730" s="47" t="s">
        <v>484</v>
      </c>
      <c r="B730" s="47">
        <v>50.0</v>
      </c>
    </row>
    <row r="731">
      <c r="A731" s="47" t="s">
        <v>485</v>
      </c>
      <c r="B731" s="47">
        <v>72.0</v>
      </c>
    </row>
    <row r="732">
      <c r="A732" s="47" t="s">
        <v>486</v>
      </c>
      <c r="B732" s="47">
        <v>53.0</v>
      </c>
    </row>
    <row r="733">
      <c r="A733" s="47" t="s">
        <v>487</v>
      </c>
      <c r="B733" s="47">
        <v>51.0</v>
      </c>
    </row>
    <row r="734">
      <c r="A734" s="47" t="s">
        <v>488</v>
      </c>
      <c r="B734" s="47">
        <v>26.0</v>
      </c>
    </row>
    <row r="735">
      <c r="A735" s="47" t="s">
        <v>489</v>
      </c>
      <c r="B735" s="47">
        <v>50.0</v>
      </c>
    </row>
    <row r="736">
      <c r="A736" s="47" t="s">
        <v>490</v>
      </c>
      <c r="B736" s="47">
        <v>11.0</v>
      </c>
    </row>
    <row r="737">
      <c r="A737" s="47" t="s">
        <v>492</v>
      </c>
      <c r="B737" s="47">
        <v>44.0</v>
      </c>
    </row>
    <row r="738">
      <c r="A738" s="47" t="s">
        <v>493</v>
      </c>
      <c r="B738" s="47">
        <v>22.0</v>
      </c>
    </row>
    <row r="739">
      <c r="A739" s="47" t="s">
        <v>495</v>
      </c>
      <c r="B739" s="47">
        <v>50.0</v>
      </c>
    </row>
    <row r="740">
      <c r="A740" s="47" t="s">
        <v>496</v>
      </c>
      <c r="B740" s="47">
        <v>50.0</v>
      </c>
    </row>
    <row r="741">
      <c r="A741" s="47" t="s">
        <v>497</v>
      </c>
      <c r="B741" s="47">
        <v>5.0</v>
      </c>
    </row>
    <row r="742">
      <c r="A742" s="47" t="s">
        <v>498</v>
      </c>
      <c r="B742" s="47">
        <v>17.0</v>
      </c>
    </row>
    <row r="743">
      <c r="A743" s="47" t="s">
        <v>499</v>
      </c>
      <c r="B743" s="47">
        <v>24.0</v>
      </c>
    </row>
    <row r="744">
      <c r="A744" s="47" t="s">
        <v>500</v>
      </c>
      <c r="B744" s="47">
        <v>50.0</v>
      </c>
    </row>
    <row r="745">
      <c r="A745" s="47" t="s">
        <v>501</v>
      </c>
      <c r="B745" s="47">
        <v>25.0</v>
      </c>
    </row>
    <row r="746">
      <c r="A746" s="47" t="s">
        <v>502</v>
      </c>
      <c r="B746" s="47">
        <v>5.0</v>
      </c>
    </row>
    <row r="747">
      <c r="A747" s="47" t="s">
        <v>503</v>
      </c>
      <c r="B747" s="47">
        <v>51.0</v>
      </c>
    </row>
    <row r="748">
      <c r="A748" s="47" t="s">
        <v>504</v>
      </c>
      <c r="B748" s="47">
        <v>33.0</v>
      </c>
    </row>
    <row r="749">
      <c r="A749" s="47" t="s">
        <v>505</v>
      </c>
      <c r="B749" s="47">
        <v>45.0</v>
      </c>
    </row>
    <row r="750">
      <c r="A750" s="47" t="s">
        <v>506</v>
      </c>
      <c r="B750" s="47">
        <v>50.0</v>
      </c>
    </row>
    <row r="751">
      <c r="A751" s="47" t="s">
        <v>507</v>
      </c>
      <c r="B751" s="47">
        <v>50.0</v>
      </c>
    </row>
    <row r="752">
      <c r="A752" s="47" t="s">
        <v>508</v>
      </c>
      <c r="B752" s="47">
        <v>64.0</v>
      </c>
    </row>
    <row r="753">
      <c r="A753" s="47" t="s">
        <v>510</v>
      </c>
      <c r="B753" s="47">
        <v>67.0</v>
      </c>
    </row>
    <row r="754">
      <c r="A754" s="47" t="s">
        <v>511</v>
      </c>
      <c r="B754" s="47">
        <v>44.0</v>
      </c>
    </row>
    <row r="755">
      <c r="A755" s="47" t="s">
        <v>512</v>
      </c>
      <c r="B755" s="47">
        <v>52.0</v>
      </c>
    </row>
    <row r="756">
      <c r="A756" s="47" t="s">
        <v>513</v>
      </c>
      <c r="B756" s="47">
        <v>61.0</v>
      </c>
    </row>
    <row r="757">
      <c r="A757" s="47" t="s">
        <v>514</v>
      </c>
      <c r="B757" s="47">
        <v>50.0</v>
      </c>
    </row>
    <row r="758">
      <c r="A758" s="47" t="s">
        <v>515</v>
      </c>
      <c r="B758" s="47">
        <v>50.0</v>
      </c>
    </row>
    <row r="759">
      <c r="A759" s="47" t="s">
        <v>516</v>
      </c>
      <c r="B759" s="47">
        <v>50.0</v>
      </c>
    </row>
    <row r="760">
      <c r="A760" s="47" t="s">
        <v>517</v>
      </c>
      <c r="B760" s="47">
        <v>25.0</v>
      </c>
    </row>
    <row r="761">
      <c r="A761" s="47" t="s">
        <v>518</v>
      </c>
      <c r="B761" s="47">
        <v>50.0</v>
      </c>
    </row>
    <row r="762">
      <c r="A762" s="47" t="s">
        <v>520</v>
      </c>
      <c r="B762" s="47">
        <v>17.0</v>
      </c>
    </row>
    <row r="763">
      <c r="A763" s="47" t="s">
        <v>521</v>
      </c>
      <c r="B763" s="47">
        <v>50.0</v>
      </c>
    </row>
    <row r="764">
      <c r="A764" s="47" t="s">
        <v>522</v>
      </c>
      <c r="B764" s="47">
        <v>13.0</v>
      </c>
    </row>
    <row r="765">
      <c r="A765" s="47" t="s">
        <v>523</v>
      </c>
      <c r="B765" s="47">
        <v>50.0</v>
      </c>
    </row>
    <row r="766">
      <c r="A766" s="47" t="s">
        <v>524</v>
      </c>
      <c r="B766" s="47">
        <v>50.0</v>
      </c>
    </row>
    <row r="767">
      <c r="A767" s="47" t="s">
        <v>525</v>
      </c>
      <c r="B767" s="47">
        <v>50.0</v>
      </c>
    </row>
    <row r="768">
      <c r="A768" s="47" t="s">
        <v>526</v>
      </c>
      <c r="B768" s="47">
        <v>54.0</v>
      </c>
    </row>
    <row r="769">
      <c r="A769" s="47" t="s">
        <v>527</v>
      </c>
      <c r="B769" s="47">
        <v>23.0</v>
      </c>
    </row>
    <row r="770">
      <c r="A770" s="47" t="s">
        <v>528</v>
      </c>
      <c r="B770" s="47">
        <v>47.0</v>
      </c>
    </row>
    <row r="771">
      <c r="A771" s="47" t="s">
        <v>529</v>
      </c>
      <c r="B771" s="47">
        <v>50.0</v>
      </c>
    </row>
    <row r="772">
      <c r="A772" s="47" t="s">
        <v>530</v>
      </c>
      <c r="B772" s="47">
        <v>50.0</v>
      </c>
    </row>
    <row r="773">
      <c r="A773" s="47" t="s">
        <v>531</v>
      </c>
      <c r="B773" s="47">
        <v>66.0</v>
      </c>
    </row>
    <row r="774">
      <c r="A774" s="47" t="s">
        <v>532</v>
      </c>
      <c r="B774" s="47">
        <v>52.0</v>
      </c>
    </row>
    <row r="775">
      <c r="A775" s="47" t="s">
        <v>533</v>
      </c>
      <c r="B775" s="47">
        <v>50.0</v>
      </c>
    </row>
    <row r="776">
      <c r="A776" s="47" t="s">
        <v>534</v>
      </c>
      <c r="B776" s="47">
        <v>50.0</v>
      </c>
    </row>
    <row r="777">
      <c r="A777" s="47" t="s">
        <v>535</v>
      </c>
      <c r="B777" s="47">
        <v>51.0</v>
      </c>
    </row>
    <row r="778">
      <c r="A778" s="47" t="s">
        <v>536</v>
      </c>
      <c r="B778" s="47">
        <v>50.0</v>
      </c>
    </row>
    <row r="779">
      <c r="A779" s="47" t="s">
        <v>537</v>
      </c>
      <c r="B779" s="47">
        <v>47.0</v>
      </c>
    </row>
    <row r="780">
      <c r="A780" s="47" t="s">
        <v>538</v>
      </c>
      <c r="B780" s="47">
        <v>50.0</v>
      </c>
    </row>
    <row r="781">
      <c r="A781" s="47" t="s">
        <v>539</v>
      </c>
      <c r="B781" s="47">
        <v>53.0</v>
      </c>
    </row>
    <row r="782">
      <c r="A782" s="47" t="s">
        <v>540</v>
      </c>
      <c r="B782" s="47">
        <v>53.0</v>
      </c>
    </row>
    <row r="783">
      <c r="A783" s="47" t="s">
        <v>541</v>
      </c>
      <c r="B783" s="47">
        <v>53.0</v>
      </c>
    </row>
    <row r="784">
      <c r="A784" s="47" t="s">
        <v>542</v>
      </c>
      <c r="B784" s="47">
        <v>65.0</v>
      </c>
    </row>
    <row r="785">
      <c r="A785" s="47" t="s">
        <v>543</v>
      </c>
      <c r="B785" s="47">
        <v>50.0</v>
      </c>
    </row>
    <row r="786">
      <c r="A786" s="47" t="s">
        <v>544</v>
      </c>
      <c r="B786" s="47">
        <v>50.0</v>
      </c>
    </row>
    <row r="787">
      <c r="A787" s="47" t="s">
        <v>545</v>
      </c>
      <c r="B787" s="47">
        <v>50.0</v>
      </c>
    </row>
    <row r="788">
      <c r="A788" s="47" t="s">
        <v>546</v>
      </c>
      <c r="B788" s="47">
        <v>50.0</v>
      </c>
    </row>
    <row r="789">
      <c r="A789" s="47" t="s">
        <v>547</v>
      </c>
      <c r="B789" s="47">
        <v>50.0</v>
      </c>
    </row>
    <row r="790">
      <c r="A790" s="47" t="s">
        <v>548</v>
      </c>
      <c r="B790" s="47">
        <v>51.0</v>
      </c>
    </row>
    <row r="791">
      <c r="A791" s="47" t="s">
        <v>549</v>
      </c>
      <c r="B791" s="47">
        <v>50.0</v>
      </c>
    </row>
    <row r="792">
      <c r="A792" s="47" t="s">
        <v>550</v>
      </c>
      <c r="B792" s="47">
        <v>50.0</v>
      </c>
    </row>
    <row r="793">
      <c r="A793" s="47" t="s">
        <v>551</v>
      </c>
      <c r="B793" s="47">
        <v>50.0</v>
      </c>
    </row>
    <row r="794">
      <c r="A794" s="47" t="s">
        <v>552</v>
      </c>
      <c r="B794" s="47">
        <v>50.0</v>
      </c>
    </row>
    <row r="795">
      <c r="A795" s="47" t="s">
        <v>553</v>
      </c>
      <c r="B795" s="47">
        <v>51.0</v>
      </c>
    </row>
    <row r="796">
      <c r="A796" s="47" t="s">
        <v>554</v>
      </c>
      <c r="B796" s="47">
        <v>55.0</v>
      </c>
    </row>
    <row r="797">
      <c r="A797" s="47" t="s">
        <v>555</v>
      </c>
      <c r="B797" s="47">
        <v>50.0</v>
      </c>
    </row>
    <row r="798">
      <c r="A798" s="47" t="s">
        <v>556</v>
      </c>
      <c r="B798" s="47">
        <v>62.0</v>
      </c>
    </row>
    <row r="799">
      <c r="A799" s="47" t="s">
        <v>558</v>
      </c>
      <c r="B799" s="47">
        <v>8.0</v>
      </c>
    </row>
    <row r="800">
      <c r="A800" s="47" t="s">
        <v>559</v>
      </c>
      <c r="B800" s="47">
        <v>50.0</v>
      </c>
    </row>
    <row r="801">
      <c r="A801" s="47" t="s">
        <v>560</v>
      </c>
      <c r="B801" s="47">
        <v>50.0</v>
      </c>
    </row>
    <row r="802">
      <c r="A802" s="47" t="s">
        <v>561</v>
      </c>
      <c r="B802" s="49">
        <v>50.0</v>
      </c>
    </row>
    <row r="803">
      <c r="A803" s="47" t="s">
        <v>563</v>
      </c>
      <c r="B803" s="47">
        <v>57.0</v>
      </c>
    </row>
    <row r="804">
      <c r="A804" s="47" t="s">
        <v>564</v>
      </c>
      <c r="B804" s="47">
        <v>59.0</v>
      </c>
    </row>
    <row r="805">
      <c r="A805" s="47" t="s">
        <v>565</v>
      </c>
      <c r="B805" s="47">
        <v>50.0</v>
      </c>
    </row>
    <row r="806">
      <c r="A806" s="47" t="s">
        <v>566</v>
      </c>
      <c r="B806" s="47">
        <v>50.0</v>
      </c>
    </row>
    <row r="807">
      <c r="A807" s="47" t="s">
        <v>567</v>
      </c>
      <c r="B807" s="47">
        <v>52.0</v>
      </c>
    </row>
    <row r="808">
      <c r="A808" s="47" t="s">
        <v>568</v>
      </c>
      <c r="B808" s="47">
        <v>50.0</v>
      </c>
    </row>
    <row r="809">
      <c r="A809" s="47" t="s">
        <v>569</v>
      </c>
      <c r="B809" s="47">
        <v>62.0</v>
      </c>
    </row>
    <row r="810">
      <c r="A810" s="47" t="s">
        <v>570</v>
      </c>
      <c r="B810" s="47">
        <v>50.0</v>
      </c>
    </row>
    <row r="811">
      <c r="A811" s="47" t="s">
        <v>572</v>
      </c>
      <c r="B811" s="47">
        <v>50.0</v>
      </c>
    </row>
    <row r="812">
      <c r="A812" s="47" t="s">
        <v>573</v>
      </c>
      <c r="B812" s="47">
        <v>50.0</v>
      </c>
    </row>
    <row r="813">
      <c r="A813" s="47" t="s">
        <v>574</v>
      </c>
      <c r="B813" s="47">
        <v>50.0</v>
      </c>
    </row>
    <row r="814">
      <c r="A814" s="47" t="s">
        <v>575</v>
      </c>
      <c r="B814" s="47">
        <v>50.0</v>
      </c>
    </row>
    <row r="815">
      <c r="A815" s="47" t="s">
        <v>576</v>
      </c>
      <c r="B815" s="47">
        <v>28.0</v>
      </c>
    </row>
    <row r="816">
      <c r="A816" s="47" t="s">
        <v>577</v>
      </c>
      <c r="B816" s="47">
        <v>50.0</v>
      </c>
    </row>
    <row r="817">
      <c r="A817" s="47" t="s">
        <v>578</v>
      </c>
      <c r="B817" s="47">
        <v>6.0</v>
      </c>
    </row>
    <row r="818">
      <c r="A818" s="47" t="s">
        <v>579</v>
      </c>
      <c r="B818" s="47">
        <v>50.0</v>
      </c>
    </row>
    <row r="819">
      <c r="A819" s="47" t="s">
        <v>580</v>
      </c>
      <c r="B819" s="47">
        <v>50.0</v>
      </c>
    </row>
    <row r="820">
      <c r="A820" s="47" t="s">
        <v>581</v>
      </c>
      <c r="B820" s="47">
        <v>50.0</v>
      </c>
    </row>
    <row r="821">
      <c r="A821" s="47" t="s">
        <v>582</v>
      </c>
      <c r="B821" s="47">
        <v>30.0</v>
      </c>
    </row>
    <row r="822">
      <c r="A822" s="47" t="s">
        <v>583</v>
      </c>
      <c r="B822" s="47">
        <v>50.0</v>
      </c>
    </row>
    <row r="823">
      <c r="A823" s="47" t="s">
        <v>584</v>
      </c>
      <c r="B823" s="47">
        <v>50.0</v>
      </c>
    </row>
    <row r="824">
      <c r="A824" s="47" t="s">
        <v>585</v>
      </c>
      <c r="B824" s="47">
        <v>50.0</v>
      </c>
    </row>
    <row r="825">
      <c r="A825" s="47" t="s">
        <v>587</v>
      </c>
      <c r="B825" s="47">
        <v>50.0</v>
      </c>
    </row>
    <row r="826">
      <c r="A826" s="47" t="s">
        <v>588</v>
      </c>
      <c r="B826" s="47">
        <v>50.0</v>
      </c>
    </row>
    <row r="827">
      <c r="A827" s="47" t="s">
        <v>589</v>
      </c>
      <c r="B827" s="47">
        <v>55.0</v>
      </c>
    </row>
    <row r="828">
      <c r="A828" s="47" t="s">
        <v>590</v>
      </c>
      <c r="B828" s="47">
        <v>59.0</v>
      </c>
    </row>
    <row r="829">
      <c r="A829" s="47" t="s">
        <v>591</v>
      </c>
      <c r="B829" s="47">
        <v>56.0</v>
      </c>
    </row>
    <row r="830">
      <c r="A830" s="47" t="s">
        <v>592</v>
      </c>
      <c r="B830" s="47">
        <v>27.0</v>
      </c>
    </row>
    <row r="831">
      <c r="A831" s="47" t="s">
        <v>593</v>
      </c>
      <c r="B831" s="47">
        <v>50.0</v>
      </c>
    </row>
    <row r="832">
      <c r="A832" s="47" t="s">
        <v>595</v>
      </c>
      <c r="B832" s="47">
        <v>50.0</v>
      </c>
    </row>
    <row r="833">
      <c r="A833" s="47" t="s">
        <v>596</v>
      </c>
      <c r="B833" s="47">
        <v>50.0</v>
      </c>
    </row>
    <row r="834">
      <c r="A834" s="47" t="s">
        <v>597</v>
      </c>
      <c r="B834" s="47">
        <v>50.0</v>
      </c>
    </row>
    <row r="835">
      <c r="A835" s="47" t="s">
        <v>598</v>
      </c>
      <c r="B835" s="47">
        <v>50.0</v>
      </c>
    </row>
    <row r="836">
      <c r="A836" s="47" t="s">
        <v>599</v>
      </c>
      <c r="B836" s="47">
        <v>50.0</v>
      </c>
    </row>
    <row r="837">
      <c r="A837" s="47" t="s">
        <v>600</v>
      </c>
      <c r="B837" s="47">
        <v>50.0</v>
      </c>
    </row>
    <row r="838">
      <c r="A838" s="47" t="s">
        <v>601</v>
      </c>
      <c r="B838" s="47">
        <v>50.0</v>
      </c>
    </row>
    <row r="839">
      <c r="A839" s="47" t="s">
        <v>602</v>
      </c>
      <c r="B839" s="47">
        <v>50.0</v>
      </c>
    </row>
    <row r="840">
      <c r="A840" s="47" t="s">
        <v>603</v>
      </c>
      <c r="B840" s="47">
        <v>50.0</v>
      </c>
    </row>
    <row r="841">
      <c r="A841" s="47" t="s">
        <v>604</v>
      </c>
      <c r="B841" s="47">
        <v>50.0</v>
      </c>
    </row>
    <row r="842">
      <c r="A842" s="47" t="s">
        <v>605</v>
      </c>
      <c r="B842" s="47">
        <v>50.0</v>
      </c>
    </row>
    <row r="843">
      <c r="A843" s="47" t="s">
        <v>606</v>
      </c>
      <c r="B843" s="47">
        <v>50.0</v>
      </c>
    </row>
    <row r="844">
      <c r="A844" s="47" t="s">
        <v>607</v>
      </c>
      <c r="B844" s="47">
        <v>50.0</v>
      </c>
    </row>
    <row r="845">
      <c r="A845" s="47" t="s">
        <v>608</v>
      </c>
      <c r="B845" s="47">
        <v>25.0</v>
      </c>
    </row>
    <row r="846">
      <c r="A846" s="47" t="s">
        <v>609</v>
      </c>
      <c r="B846" s="47">
        <v>5.0</v>
      </c>
    </row>
    <row r="847">
      <c r="A847" s="47" t="s">
        <v>610</v>
      </c>
      <c r="B847" s="47">
        <v>50.0</v>
      </c>
    </row>
    <row r="848">
      <c r="A848" s="47" t="s">
        <v>611</v>
      </c>
      <c r="B848" s="47">
        <v>50.0</v>
      </c>
    </row>
    <row r="849">
      <c r="A849" s="47" t="s">
        <v>612</v>
      </c>
      <c r="B849" s="47">
        <v>43.0</v>
      </c>
    </row>
    <row r="850">
      <c r="A850" s="47" t="s">
        <v>613</v>
      </c>
      <c r="B850" s="47">
        <v>50.0</v>
      </c>
    </row>
    <row r="851">
      <c r="A851" s="47" t="s">
        <v>614</v>
      </c>
      <c r="B851" s="47">
        <v>50.0</v>
      </c>
    </row>
    <row r="852">
      <c r="A852" s="47" t="s">
        <v>615</v>
      </c>
      <c r="B852" s="47">
        <v>55.0</v>
      </c>
    </row>
    <row r="853">
      <c r="A853" s="47" t="s">
        <v>616</v>
      </c>
      <c r="B853" s="47">
        <v>50.0</v>
      </c>
    </row>
    <row r="854">
      <c r="A854" s="47" t="s">
        <v>617</v>
      </c>
      <c r="B854" s="47">
        <v>50.0</v>
      </c>
    </row>
    <row r="855">
      <c r="A855" s="47" t="s">
        <v>619</v>
      </c>
      <c r="B855" s="47">
        <v>50.0</v>
      </c>
    </row>
    <row r="856">
      <c r="A856" s="47" t="s">
        <v>620</v>
      </c>
      <c r="B856" s="47">
        <v>50.0</v>
      </c>
    </row>
    <row r="857">
      <c r="A857" s="47" t="s">
        <v>622</v>
      </c>
      <c r="B857" s="47">
        <v>50.0</v>
      </c>
    </row>
    <row r="858">
      <c r="A858" s="47" t="s">
        <v>623</v>
      </c>
      <c r="B858" s="47">
        <v>50.0</v>
      </c>
    </row>
    <row r="859">
      <c r="A859" s="47" t="s">
        <v>624</v>
      </c>
      <c r="B859" s="47">
        <v>50.0</v>
      </c>
    </row>
    <row r="860">
      <c r="A860" s="47" t="s">
        <v>625</v>
      </c>
      <c r="B860" s="47">
        <v>32.0</v>
      </c>
    </row>
    <row r="861">
      <c r="A861" s="47" t="s">
        <v>626</v>
      </c>
      <c r="B861" s="47">
        <v>56.0</v>
      </c>
    </row>
    <row r="862">
      <c r="A862" s="47" t="s">
        <v>627</v>
      </c>
      <c r="B862" s="47">
        <v>49.0</v>
      </c>
    </row>
    <row r="863">
      <c r="A863" s="47" t="s">
        <v>628</v>
      </c>
      <c r="B863" s="47">
        <v>50.0</v>
      </c>
    </row>
    <row r="864">
      <c r="A864" s="47" t="s">
        <v>629</v>
      </c>
      <c r="B864" s="47">
        <v>62.0</v>
      </c>
    </row>
    <row r="865">
      <c r="A865" s="47" t="s">
        <v>630</v>
      </c>
      <c r="B865" s="47">
        <v>50.0</v>
      </c>
    </row>
    <row r="866">
      <c r="A866" s="47" t="s">
        <v>631</v>
      </c>
      <c r="B866" s="47">
        <v>50.0</v>
      </c>
    </row>
    <row r="867">
      <c r="A867" s="47" t="s">
        <v>633</v>
      </c>
      <c r="B867" s="47">
        <v>50.0</v>
      </c>
    </row>
    <row r="868">
      <c r="A868" s="47" t="s">
        <v>634</v>
      </c>
      <c r="B868" s="47">
        <v>50.0</v>
      </c>
    </row>
    <row r="869">
      <c r="A869" s="47" t="s">
        <v>635</v>
      </c>
      <c r="B869" s="47">
        <v>50.0</v>
      </c>
    </row>
    <row r="870">
      <c r="A870" s="47" t="s">
        <v>1350</v>
      </c>
      <c r="B870" s="47">
        <v>0.0</v>
      </c>
    </row>
    <row r="871">
      <c r="A871" s="48" t="s">
        <v>659</v>
      </c>
      <c r="B871" s="47">
        <v>5.0</v>
      </c>
    </row>
    <row r="872">
      <c r="A872" s="48" t="s">
        <v>660</v>
      </c>
      <c r="B872" s="48">
        <v>67.0</v>
      </c>
    </row>
    <row r="873">
      <c r="A873" s="48" t="s">
        <v>661</v>
      </c>
      <c r="B873" s="47">
        <v>50.0</v>
      </c>
    </row>
    <row r="874">
      <c r="A874" s="48" t="s">
        <v>662</v>
      </c>
      <c r="B874" s="48">
        <v>50.0</v>
      </c>
    </row>
    <row r="875">
      <c r="A875" s="48" t="s">
        <v>663</v>
      </c>
      <c r="B875" s="48">
        <v>50.0</v>
      </c>
    </row>
    <row r="876">
      <c r="A876" s="48" t="s">
        <v>664</v>
      </c>
      <c r="B876" s="47">
        <v>50.0</v>
      </c>
    </row>
    <row r="877">
      <c r="A877" s="48" t="s">
        <v>665</v>
      </c>
      <c r="B877" s="48">
        <v>50.0</v>
      </c>
    </row>
    <row r="878">
      <c r="A878" s="48" t="s">
        <v>666</v>
      </c>
      <c r="B878" s="48">
        <v>50.0</v>
      </c>
    </row>
    <row r="879">
      <c r="A879" s="48" t="s">
        <v>667</v>
      </c>
      <c r="B879" s="48">
        <v>50.0</v>
      </c>
    </row>
    <row r="880">
      <c r="A880" s="48" t="s">
        <v>668</v>
      </c>
      <c r="B880" s="48">
        <v>50.0</v>
      </c>
    </row>
    <row r="881">
      <c r="A881" s="48" t="s">
        <v>669</v>
      </c>
      <c r="B881" s="47">
        <v>50.0</v>
      </c>
    </row>
    <row r="882">
      <c r="A882" s="48" t="s">
        <v>670</v>
      </c>
      <c r="B882" s="48">
        <v>50.0</v>
      </c>
    </row>
    <row r="883">
      <c r="A883" s="48" t="s">
        <v>671</v>
      </c>
      <c r="B883" s="48">
        <v>50.0</v>
      </c>
    </row>
    <row r="884">
      <c r="A884" s="48" t="s">
        <v>672</v>
      </c>
      <c r="B884" s="48">
        <v>52.0</v>
      </c>
    </row>
    <row r="885">
      <c r="A885" s="48" t="s">
        <v>673</v>
      </c>
      <c r="B885" s="47">
        <v>50.0</v>
      </c>
    </row>
    <row r="886">
      <c r="A886" s="48" t="s">
        <v>674</v>
      </c>
      <c r="B886" s="47">
        <v>44.0</v>
      </c>
    </row>
    <row r="887">
      <c r="A887" s="48" t="s">
        <v>675</v>
      </c>
      <c r="B887" s="47">
        <v>50.0</v>
      </c>
    </row>
    <row r="888">
      <c r="A888" s="48" t="s">
        <v>676</v>
      </c>
      <c r="B888" s="48">
        <v>50.0</v>
      </c>
    </row>
    <row r="889">
      <c r="A889" s="48" t="s">
        <v>677</v>
      </c>
      <c r="B889" s="48">
        <v>50.0</v>
      </c>
    </row>
    <row r="890">
      <c r="A890" s="48" t="s">
        <v>678</v>
      </c>
      <c r="B890" s="47">
        <v>14.0</v>
      </c>
    </row>
    <row r="891">
      <c r="A891" s="48" t="s">
        <v>679</v>
      </c>
      <c r="B891" s="48">
        <v>32.0</v>
      </c>
    </row>
    <row r="892">
      <c r="A892" s="48" t="s">
        <v>680</v>
      </c>
      <c r="B892" s="47">
        <v>50.0</v>
      </c>
    </row>
    <row r="893">
      <c r="A893" s="48" t="s">
        <v>681</v>
      </c>
      <c r="B893" s="49">
        <v>50.0</v>
      </c>
    </row>
    <row r="894">
      <c r="A894" s="48" t="s">
        <v>682</v>
      </c>
      <c r="B894" s="47">
        <v>50.0</v>
      </c>
    </row>
    <row r="895">
      <c r="A895" s="48" t="s">
        <v>683</v>
      </c>
      <c r="B895" s="47">
        <v>50.0</v>
      </c>
    </row>
    <row r="896">
      <c r="A896" s="48" t="s">
        <v>684</v>
      </c>
      <c r="B896" s="48">
        <v>50.0</v>
      </c>
    </row>
    <row r="897">
      <c r="A897" s="48" t="s">
        <v>685</v>
      </c>
      <c r="B897" s="47">
        <v>50.0</v>
      </c>
    </row>
    <row r="898">
      <c r="A898" s="48" t="s">
        <v>686</v>
      </c>
      <c r="B898" s="48">
        <v>64.0</v>
      </c>
    </row>
    <row r="899">
      <c r="A899" s="48" t="s">
        <v>687</v>
      </c>
      <c r="B899" s="48">
        <v>50.0</v>
      </c>
    </row>
    <row r="900">
      <c r="A900" s="48" t="s">
        <v>688</v>
      </c>
      <c r="B900" s="48">
        <v>21.0</v>
      </c>
    </row>
    <row r="901">
      <c r="A901" s="48" t="s">
        <v>689</v>
      </c>
      <c r="B901" s="48">
        <v>28.0</v>
      </c>
    </row>
    <row r="902">
      <c r="A902" s="48" t="s">
        <v>690</v>
      </c>
      <c r="B902" s="48">
        <v>54.0</v>
      </c>
    </row>
    <row r="903">
      <c r="A903" s="48" t="s">
        <v>691</v>
      </c>
      <c r="B903" s="47">
        <v>28.0</v>
      </c>
    </row>
    <row r="904">
      <c r="A904" s="48" t="s">
        <v>692</v>
      </c>
      <c r="B904" s="47">
        <v>50.0</v>
      </c>
    </row>
    <row r="905">
      <c r="A905" s="48" t="s">
        <v>693</v>
      </c>
      <c r="B905" s="47">
        <v>50.0</v>
      </c>
    </row>
    <row r="906">
      <c r="A906" s="48" t="s">
        <v>694</v>
      </c>
      <c r="B906" s="47">
        <v>50.0</v>
      </c>
    </row>
    <row r="907">
      <c r="A907" s="48" t="s">
        <v>695</v>
      </c>
      <c r="B907" s="48">
        <v>50.0</v>
      </c>
    </row>
    <row r="908">
      <c r="A908" s="48" t="s">
        <v>696</v>
      </c>
      <c r="B908" s="47">
        <v>50.0</v>
      </c>
    </row>
    <row r="909">
      <c r="A909" s="48" t="s">
        <v>697</v>
      </c>
      <c r="B909" s="48">
        <v>50.0</v>
      </c>
    </row>
    <row r="910">
      <c r="A910" s="48" t="s">
        <v>698</v>
      </c>
      <c r="B910" s="47">
        <v>50.0</v>
      </c>
    </row>
    <row r="911">
      <c r="A911" s="48" t="s">
        <v>699</v>
      </c>
      <c r="B911" s="47">
        <v>50.0</v>
      </c>
    </row>
    <row r="912">
      <c r="A912" s="48" t="s">
        <v>700</v>
      </c>
      <c r="B912" s="47">
        <v>50.0</v>
      </c>
    </row>
    <row r="913">
      <c r="A913" s="48" t="s">
        <v>701</v>
      </c>
      <c r="B913" s="48">
        <v>50.0</v>
      </c>
    </row>
    <row r="914">
      <c r="A914" s="48" t="s">
        <v>703</v>
      </c>
      <c r="B914" s="47">
        <v>50.0</v>
      </c>
    </row>
    <row r="915">
      <c r="A915" s="48" t="s">
        <v>704</v>
      </c>
      <c r="B915" s="47">
        <v>50.0</v>
      </c>
    </row>
    <row r="916">
      <c r="A916" s="48" t="s">
        <v>705</v>
      </c>
      <c r="B916" s="47">
        <v>12.0</v>
      </c>
    </row>
    <row r="917">
      <c r="A917" s="48" t="s">
        <v>706</v>
      </c>
      <c r="B917" s="47">
        <v>24.0</v>
      </c>
    </row>
    <row r="918">
      <c r="A918" s="48" t="s">
        <v>707</v>
      </c>
      <c r="B918" s="47">
        <v>38.0</v>
      </c>
    </row>
    <row r="919">
      <c r="A919" s="48" t="s">
        <v>708</v>
      </c>
      <c r="B919" s="48">
        <v>50.0</v>
      </c>
    </row>
    <row r="920">
      <c r="A920" s="48" t="s">
        <v>709</v>
      </c>
      <c r="B920" s="48">
        <v>50.0</v>
      </c>
    </row>
    <row r="921">
      <c r="A921" s="48" t="s">
        <v>710</v>
      </c>
      <c r="B921" s="48">
        <v>23.0</v>
      </c>
    </row>
    <row r="922">
      <c r="A922" s="48" t="s">
        <v>711</v>
      </c>
      <c r="B922" s="47">
        <v>25.0</v>
      </c>
    </row>
    <row r="923">
      <c r="A923" s="48" t="s">
        <v>712</v>
      </c>
      <c r="B923" s="48">
        <v>51.0</v>
      </c>
    </row>
    <row r="924">
      <c r="A924" s="48" t="s">
        <v>713</v>
      </c>
      <c r="B924" s="47">
        <v>50.0</v>
      </c>
    </row>
    <row r="925">
      <c r="A925" s="48" t="s">
        <v>714</v>
      </c>
      <c r="B925" s="48">
        <v>40.0</v>
      </c>
    </row>
    <row r="926">
      <c r="A926" s="48" t="s">
        <v>715</v>
      </c>
      <c r="B926" s="48">
        <v>57.0</v>
      </c>
    </row>
    <row r="927">
      <c r="A927" s="48" t="s">
        <v>716</v>
      </c>
      <c r="B927" s="48">
        <v>50.0</v>
      </c>
    </row>
    <row r="928">
      <c r="A928" s="48" t="s">
        <v>717</v>
      </c>
      <c r="B928" s="47">
        <v>6.0</v>
      </c>
    </row>
    <row r="929">
      <c r="A929" s="48" t="s">
        <v>718</v>
      </c>
      <c r="B929" s="48">
        <v>54.0</v>
      </c>
    </row>
    <row r="930">
      <c r="A930" s="48" t="s">
        <v>719</v>
      </c>
      <c r="B930" s="48">
        <v>50.0</v>
      </c>
    </row>
    <row r="931">
      <c r="A931" s="48" t="s">
        <v>720</v>
      </c>
      <c r="B931" s="48">
        <v>77.0</v>
      </c>
    </row>
    <row r="932">
      <c r="A932" s="48" t="s">
        <v>721</v>
      </c>
      <c r="B932" s="47">
        <v>50.0</v>
      </c>
    </row>
    <row r="933">
      <c r="A933" s="48" t="s">
        <v>722</v>
      </c>
      <c r="B933" s="48">
        <v>12.0</v>
      </c>
    </row>
    <row r="934">
      <c r="A934" s="48" t="s">
        <v>723</v>
      </c>
      <c r="B934" s="47">
        <v>0.0</v>
      </c>
    </row>
    <row r="935">
      <c r="A935" s="48" t="s">
        <v>724</v>
      </c>
      <c r="B935" s="49">
        <v>50.0</v>
      </c>
    </row>
    <row r="936">
      <c r="A936" s="48" t="s">
        <v>726</v>
      </c>
      <c r="B936" s="47">
        <v>50.0</v>
      </c>
    </row>
    <row r="937">
      <c r="A937" s="48" t="s">
        <v>727</v>
      </c>
      <c r="B937" s="48">
        <v>50.0</v>
      </c>
    </row>
    <row r="938">
      <c r="A938" s="48" t="s">
        <v>728</v>
      </c>
      <c r="B938" s="48">
        <v>50.0</v>
      </c>
    </row>
    <row r="939">
      <c r="A939" s="48" t="s">
        <v>729</v>
      </c>
      <c r="B939" s="47">
        <v>50.0</v>
      </c>
    </row>
    <row r="940">
      <c r="A940" s="48" t="s">
        <v>730</v>
      </c>
      <c r="B940" s="48">
        <v>50.0</v>
      </c>
    </row>
    <row r="941">
      <c r="A941" s="48" t="s">
        <v>731</v>
      </c>
      <c r="B941" s="48">
        <v>50.0</v>
      </c>
    </row>
    <row r="942">
      <c r="A942" s="48" t="s">
        <v>732</v>
      </c>
      <c r="B942" s="47">
        <v>27.0</v>
      </c>
    </row>
    <row r="943">
      <c r="A943" s="48" t="s">
        <v>733</v>
      </c>
      <c r="B943" s="47">
        <v>50.0</v>
      </c>
    </row>
    <row r="944">
      <c r="A944" s="48" t="s">
        <v>734</v>
      </c>
      <c r="B944" s="47">
        <v>50.0</v>
      </c>
    </row>
    <row r="945">
      <c r="A945" s="48" t="s">
        <v>735</v>
      </c>
      <c r="B945" s="48">
        <v>53.0</v>
      </c>
    </row>
    <row r="946">
      <c r="A946" s="48" t="s">
        <v>736</v>
      </c>
      <c r="B946" s="48">
        <v>50.0</v>
      </c>
    </row>
    <row r="947">
      <c r="A947" s="48" t="s">
        <v>737</v>
      </c>
      <c r="B947" s="48">
        <v>50.0</v>
      </c>
    </row>
    <row r="948">
      <c r="A948" s="48" t="s">
        <v>738</v>
      </c>
      <c r="B948" s="48">
        <v>50.0</v>
      </c>
    </row>
    <row r="949">
      <c r="A949" s="48" t="s">
        <v>739</v>
      </c>
      <c r="B949" s="48">
        <v>50.0</v>
      </c>
    </row>
    <row r="950">
      <c r="A950" s="48" t="s">
        <v>740</v>
      </c>
      <c r="B950" s="48">
        <v>50.0</v>
      </c>
    </row>
    <row r="951">
      <c r="A951" s="48" t="s">
        <v>741</v>
      </c>
      <c r="B951" s="47">
        <v>50.0</v>
      </c>
    </row>
    <row r="952">
      <c r="A952" s="48" t="s">
        <v>742</v>
      </c>
      <c r="B952" s="47">
        <v>29.0</v>
      </c>
    </row>
    <row r="953">
      <c r="A953" s="48" t="s">
        <v>743</v>
      </c>
      <c r="B953" s="48">
        <v>50.0</v>
      </c>
    </row>
    <row r="954">
      <c r="A954" s="48" t="s">
        <v>744</v>
      </c>
      <c r="B954" s="48">
        <v>50.0</v>
      </c>
    </row>
    <row r="955">
      <c r="A955" s="48" t="s">
        <v>745</v>
      </c>
      <c r="B955" s="48">
        <v>50.0</v>
      </c>
    </row>
    <row r="956">
      <c r="A956" s="48" t="s">
        <v>746</v>
      </c>
      <c r="B956" s="48">
        <v>69.0</v>
      </c>
    </row>
    <row r="957">
      <c r="A957" s="48" t="s">
        <v>747</v>
      </c>
      <c r="B957" s="48">
        <v>50.0</v>
      </c>
    </row>
    <row r="958">
      <c r="A958" s="48" t="s">
        <v>748</v>
      </c>
      <c r="B958" s="48">
        <v>50.0</v>
      </c>
    </row>
    <row r="959">
      <c r="A959" s="48" t="s">
        <v>749</v>
      </c>
      <c r="B959" s="48">
        <v>51.0</v>
      </c>
    </row>
    <row r="960">
      <c r="A960" s="48" t="s">
        <v>750</v>
      </c>
      <c r="B960" s="48">
        <v>60.0</v>
      </c>
    </row>
    <row r="961">
      <c r="A961" s="48" t="s">
        <v>751</v>
      </c>
      <c r="B961" s="48">
        <v>63.0</v>
      </c>
    </row>
    <row r="962">
      <c r="A962" s="48" t="s">
        <v>752</v>
      </c>
      <c r="B962" s="48">
        <v>70.0</v>
      </c>
    </row>
    <row r="963">
      <c r="A963" s="48" t="s">
        <v>753</v>
      </c>
      <c r="B963" s="47">
        <v>50.0</v>
      </c>
    </row>
    <row r="964">
      <c r="A964" s="48" t="s">
        <v>754</v>
      </c>
      <c r="B964" s="47">
        <v>50.0</v>
      </c>
    </row>
    <row r="965">
      <c r="A965" s="48" t="s">
        <v>755</v>
      </c>
      <c r="B965" s="48">
        <v>50.0</v>
      </c>
    </row>
    <row r="966">
      <c r="A966" s="48" t="s">
        <v>756</v>
      </c>
      <c r="B966" s="48">
        <v>50.0</v>
      </c>
    </row>
    <row r="967">
      <c r="A967" s="48" t="s">
        <v>757</v>
      </c>
      <c r="B967" s="48">
        <v>50.0</v>
      </c>
    </row>
    <row r="968">
      <c r="A968" s="48" t="s">
        <v>759</v>
      </c>
      <c r="B968" s="47">
        <v>50.0</v>
      </c>
    </row>
    <row r="969">
      <c r="A969" s="48" t="s">
        <v>760</v>
      </c>
      <c r="B969" s="48">
        <v>50.0</v>
      </c>
    </row>
    <row r="970">
      <c r="A970" s="48" t="s">
        <v>761</v>
      </c>
      <c r="B970" s="47">
        <v>50.0</v>
      </c>
    </row>
    <row r="971">
      <c r="A971" s="48" t="s">
        <v>762</v>
      </c>
      <c r="B971" s="48">
        <v>50.0</v>
      </c>
    </row>
    <row r="972">
      <c r="A972" s="48" t="s">
        <v>763</v>
      </c>
      <c r="B972" s="48">
        <v>50.0</v>
      </c>
    </row>
    <row r="973">
      <c r="A973" s="48" t="s">
        <v>764</v>
      </c>
      <c r="B973" s="47">
        <v>50.0</v>
      </c>
    </row>
    <row r="974">
      <c r="A974" s="48" t="s">
        <v>765</v>
      </c>
      <c r="B974" s="48">
        <v>54.0</v>
      </c>
    </row>
    <row r="975">
      <c r="A975" s="48" t="s">
        <v>766</v>
      </c>
      <c r="B975" s="47">
        <v>50.0</v>
      </c>
    </row>
    <row r="976">
      <c r="A976" s="48" t="s">
        <v>767</v>
      </c>
      <c r="B976" s="48">
        <v>50.0</v>
      </c>
    </row>
    <row r="977">
      <c r="A977" s="48" t="s">
        <v>768</v>
      </c>
      <c r="B977" s="48">
        <v>50.0</v>
      </c>
    </row>
    <row r="978">
      <c r="A978" s="48" t="s">
        <v>769</v>
      </c>
      <c r="B978" s="48">
        <v>66.0</v>
      </c>
    </row>
    <row r="979">
      <c r="A979" s="48" t="s">
        <v>770</v>
      </c>
      <c r="B979" s="48">
        <v>50.0</v>
      </c>
    </row>
    <row r="980">
      <c r="A980" s="48" t="s">
        <v>771</v>
      </c>
      <c r="B980" s="48">
        <v>63.0</v>
      </c>
    </row>
    <row r="981">
      <c r="A981" s="48" t="s">
        <v>773</v>
      </c>
      <c r="B981" s="48">
        <v>50.0</v>
      </c>
    </row>
    <row r="982">
      <c r="A982" s="48" t="s">
        <v>774</v>
      </c>
      <c r="B982" s="48">
        <v>74.0</v>
      </c>
    </row>
    <row r="983">
      <c r="A983" s="48" t="s">
        <v>775</v>
      </c>
      <c r="B983" s="48">
        <v>50.0</v>
      </c>
    </row>
    <row r="984">
      <c r="A984" s="48" t="s">
        <v>776</v>
      </c>
      <c r="B984" s="47">
        <v>50.0</v>
      </c>
    </row>
    <row r="985">
      <c r="A985" s="48" t="s">
        <v>777</v>
      </c>
      <c r="B985" s="47">
        <v>50.0</v>
      </c>
    </row>
    <row r="986">
      <c r="A986" s="48" t="s">
        <v>778</v>
      </c>
      <c r="B986" s="48">
        <v>50.0</v>
      </c>
    </row>
    <row r="987">
      <c r="A987" s="48" t="s">
        <v>779</v>
      </c>
      <c r="B987" s="47">
        <v>50.0</v>
      </c>
    </row>
    <row r="988">
      <c r="A988" s="48" t="s">
        <v>780</v>
      </c>
      <c r="B988" s="48">
        <v>50.0</v>
      </c>
    </row>
    <row r="989">
      <c r="A989" s="48" t="s">
        <v>781</v>
      </c>
      <c r="B989" s="47">
        <v>50.0</v>
      </c>
    </row>
    <row r="990">
      <c r="A990" s="48" t="s">
        <v>782</v>
      </c>
      <c r="B990" s="48">
        <v>72.0</v>
      </c>
    </row>
    <row r="991">
      <c r="A991" s="48" t="s">
        <v>783</v>
      </c>
      <c r="B991" s="48">
        <v>50.0</v>
      </c>
    </row>
    <row r="992">
      <c r="A992" s="48" t="s">
        <v>784</v>
      </c>
      <c r="B992" s="47">
        <v>50.0</v>
      </c>
    </row>
    <row r="993">
      <c r="A993" s="48" t="s">
        <v>785</v>
      </c>
      <c r="B993" s="47">
        <v>50.0</v>
      </c>
    </row>
    <row r="994">
      <c r="A994" s="48" t="s">
        <v>786</v>
      </c>
      <c r="B994" s="48">
        <v>50.0</v>
      </c>
    </row>
    <row r="995">
      <c r="A995" s="48" t="s">
        <v>787</v>
      </c>
      <c r="B995" s="48">
        <v>50.0</v>
      </c>
    </row>
    <row r="996">
      <c r="A996" s="48" t="s">
        <v>788</v>
      </c>
      <c r="B996" s="48">
        <v>55.0</v>
      </c>
    </row>
    <row r="997">
      <c r="A997" s="48" t="s">
        <v>789</v>
      </c>
      <c r="B997" s="47">
        <v>50.0</v>
      </c>
    </row>
    <row r="998">
      <c r="A998" s="48" t="s">
        <v>790</v>
      </c>
      <c r="B998" s="47">
        <v>50.0</v>
      </c>
    </row>
    <row r="999">
      <c r="A999" s="48" t="s">
        <v>791</v>
      </c>
      <c r="B999" s="47">
        <v>50.0</v>
      </c>
    </row>
    <row r="1000">
      <c r="A1000" s="48" t="s">
        <v>792</v>
      </c>
      <c r="B1000" s="47">
        <v>50.0</v>
      </c>
    </row>
    <row r="1001">
      <c r="A1001" s="48" t="s">
        <v>793</v>
      </c>
      <c r="B1001" s="48">
        <v>54.0</v>
      </c>
    </row>
    <row r="1002">
      <c r="A1002" s="48" t="s">
        <v>794</v>
      </c>
      <c r="B1002" s="47">
        <v>50.0</v>
      </c>
    </row>
    <row r="1003">
      <c r="A1003" s="48" t="s">
        <v>795</v>
      </c>
      <c r="B1003" s="47">
        <v>50.0</v>
      </c>
    </row>
    <row r="1004">
      <c r="A1004" s="48" t="s">
        <v>796</v>
      </c>
      <c r="B1004" s="47">
        <v>50.0</v>
      </c>
    </row>
    <row r="1005">
      <c r="A1005" s="48" t="s">
        <v>797</v>
      </c>
      <c r="B1005" s="48">
        <v>63.0</v>
      </c>
    </row>
    <row r="1006">
      <c r="A1006" s="48" t="s">
        <v>798</v>
      </c>
      <c r="B1006" s="48">
        <v>50.0</v>
      </c>
    </row>
    <row r="1007">
      <c r="A1007" s="48" t="s">
        <v>799</v>
      </c>
      <c r="B1007" s="47">
        <v>50.0</v>
      </c>
    </row>
    <row r="1008">
      <c r="A1008" s="48" t="s">
        <v>800</v>
      </c>
      <c r="B1008" s="49">
        <v>50.0</v>
      </c>
    </row>
    <row r="1009">
      <c r="A1009" s="48" t="s">
        <v>801</v>
      </c>
      <c r="B1009" s="48">
        <v>55.0</v>
      </c>
    </row>
    <row r="1010">
      <c r="A1010" s="48" t="s">
        <v>802</v>
      </c>
      <c r="B1010" s="47">
        <v>50.0</v>
      </c>
    </row>
    <row r="1011">
      <c r="A1011" s="48" t="s">
        <v>803</v>
      </c>
      <c r="B1011" s="47">
        <v>50.0</v>
      </c>
    </row>
    <row r="1012">
      <c r="A1012" s="48" t="s">
        <v>804</v>
      </c>
      <c r="B1012" s="47">
        <v>50.0</v>
      </c>
    </row>
    <row r="1013">
      <c r="A1013" s="48" t="s">
        <v>805</v>
      </c>
      <c r="B1013" s="48">
        <v>68.0</v>
      </c>
    </row>
    <row r="1014">
      <c r="A1014" s="48" t="s">
        <v>806</v>
      </c>
      <c r="B1014" s="48">
        <v>73.0</v>
      </c>
    </row>
    <row r="1015">
      <c r="A1015" s="48" t="s">
        <v>807</v>
      </c>
      <c r="B1015" s="47">
        <v>50.0</v>
      </c>
    </row>
    <row r="1016">
      <c r="A1016" s="48" t="s">
        <v>809</v>
      </c>
      <c r="B1016" s="47">
        <v>50.0</v>
      </c>
    </row>
    <row r="1017">
      <c r="A1017" s="48" t="s">
        <v>810</v>
      </c>
      <c r="B1017" s="47">
        <v>50.0</v>
      </c>
    </row>
    <row r="1018">
      <c r="A1018" s="48" t="s">
        <v>811</v>
      </c>
      <c r="B1018" s="48">
        <v>50.0</v>
      </c>
    </row>
    <row r="1019">
      <c r="A1019" s="48" t="s">
        <v>812</v>
      </c>
      <c r="B1019" s="47">
        <v>50.0</v>
      </c>
    </row>
    <row r="1020">
      <c r="A1020" s="48" t="s">
        <v>813</v>
      </c>
      <c r="B1020" s="48">
        <v>50.0</v>
      </c>
    </row>
    <row r="1021">
      <c r="A1021" s="48" t="s">
        <v>814</v>
      </c>
      <c r="B1021" s="47">
        <v>21.0</v>
      </c>
    </row>
    <row r="1022">
      <c r="A1022" s="48" t="s">
        <v>816</v>
      </c>
      <c r="B1022" s="47">
        <v>50.0</v>
      </c>
    </row>
    <row r="1023">
      <c r="A1023" s="48" t="s">
        <v>817</v>
      </c>
      <c r="B1023" s="47">
        <v>50.0</v>
      </c>
    </row>
    <row r="1024">
      <c r="A1024" s="48" t="s">
        <v>818</v>
      </c>
      <c r="B1024" s="47">
        <v>50.0</v>
      </c>
    </row>
    <row r="1025">
      <c r="A1025" s="48" t="s">
        <v>819</v>
      </c>
      <c r="B1025" s="47">
        <v>50.0</v>
      </c>
    </row>
    <row r="1026">
      <c r="A1026" s="48" t="s">
        <v>820</v>
      </c>
      <c r="B1026" s="48">
        <v>50.0</v>
      </c>
    </row>
    <row r="1027">
      <c r="A1027" s="48" t="s">
        <v>821</v>
      </c>
      <c r="B1027" s="48">
        <v>65.0</v>
      </c>
    </row>
    <row r="1028">
      <c r="A1028" s="48" t="s">
        <v>822</v>
      </c>
      <c r="B1028" s="48">
        <v>48.0</v>
      </c>
    </row>
    <row r="1029">
      <c r="A1029" s="48" t="s">
        <v>823</v>
      </c>
      <c r="B1029" s="48">
        <v>50.0</v>
      </c>
    </row>
    <row r="1030">
      <c r="A1030" s="48" t="s">
        <v>824</v>
      </c>
      <c r="B1030" s="47">
        <v>50.0</v>
      </c>
    </row>
    <row r="1031">
      <c r="A1031" s="48" t="s">
        <v>825</v>
      </c>
      <c r="B1031" s="47">
        <v>12.0</v>
      </c>
    </row>
    <row r="1032">
      <c r="A1032" s="48" t="s">
        <v>826</v>
      </c>
      <c r="B1032" s="48">
        <v>50.0</v>
      </c>
    </row>
    <row r="1033">
      <c r="A1033" s="48" t="s">
        <v>827</v>
      </c>
      <c r="B1033" s="47">
        <v>50.0</v>
      </c>
    </row>
    <row r="1034">
      <c r="A1034" s="48" t="s">
        <v>828</v>
      </c>
      <c r="B1034" s="48">
        <v>50.0</v>
      </c>
    </row>
    <row r="1035">
      <c r="A1035" s="48" t="s">
        <v>829</v>
      </c>
      <c r="B1035" s="48">
        <v>50.0</v>
      </c>
    </row>
    <row r="1036">
      <c r="A1036" s="48" t="s">
        <v>830</v>
      </c>
      <c r="B1036" s="48">
        <v>72.0</v>
      </c>
    </row>
    <row r="1037">
      <c r="A1037" s="48" t="s">
        <v>831</v>
      </c>
      <c r="B1037" s="47">
        <v>50.0</v>
      </c>
    </row>
    <row r="1038">
      <c r="A1038" s="48" t="s">
        <v>832</v>
      </c>
      <c r="B1038" s="47">
        <v>50.0</v>
      </c>
    </row>
    <row r="1039">
      <c r="A1039" s="48" t="s">
        <v>833</v>
      </c>
      <c r="B1039" s="48">
        <v>15.0</v>
      </c>
    </row>
    <row r="1040">
      <c r="A1040" s="48" t="s">
        <v>834</v>
      </c>
      <c r="B1040" s="47">
        <v>50.0</v>
      </c>
    </row>
    <row r="1041">
      <c r="A1041" s="48" t="s">
        <v>835</v>
      </c>
      <c r="B1041" s="47">
        <v>50.0</v>
      </c>
    </row>
    <row r="1042">
      <c r="A1042" s="48" t="s">
        <v>836</v>
      </c>
      <c r="B1042" s="47">
        <v>14.0</v>
      </c>
    </row>
    <row r="1043">
      <c r="A1043" s="48" t="s">
        <v>837</v>
      </c>
      <c r="B1043" s="47">
        <v>33.0</v>
      </c>
    </row>
    <row r="1044">
      <c r="A1044" s="48" t="s">
        <v>838</v>
      </c>
      <c r="B1044" s="48">
        <v>87.0</v>
      </c>
    </row>
    <row r="1045">
      <c r="A1045" s="48" t="s">
        <v>839</v>
      </c>
      <c r="B1045" s="48">
        <v>62.0</v>
      </c>
    </row>
    <row r="1046">
      <c r="A1046" s="48" t="s">
        <v>840</v>
      </c>
      <c r="B1046" s="47">
        <v>50.0</v>
      </c>
    </row>
    <row r="1047">
      <c r="A1047" s="48" t="s">
        <v>841</v>
      </c>
      <c r="B1047" s="47">
        <v>50.0</v>
      </c>
    </row>
    <row r="1048">
      <c r="A1048" s="48" t="s">
        <v>842</v>
      </c>
      <c r="B1048" s="47">
        <v>50.0</v>
      </c>
    </row>
    <row r="1049">
      <c r="A1049" s="48" t="s">
        <v>843</v>
      </c>
      <c r="B1049" s="49">
        <v>50.0</v>
      </c>
    </row>
    <row r="1050">
      <c r="A1050" s="48" t="s">
        <v>844</v>
      </c>
      <c r="B1050" s="47">
        <v>50.0</v>
      </c>
    </row>
    <row r="1051">
      <c r="A1051" s="48" t="s">
        <v>845</v>
      </c>
      <c r="B1051" s="47">
        <v>31.0</v>
      </c>
    </row>
    <row r="1052">
      <c r="A1052" s="48" t="s">
        <v>846</v>
      </c>
      <c r="B1052" s="47">
        <v>50.0</v>
      </c>
    </row>
    <row r="1053">
      <c r="A1053" s="48" t="s">
        <v>847</v>
      </c>
      <c r="B1053" s="48">
        <v>26.0</v>
      </c>
    </row>
    <row r="1054">
      <c r="A1054" s="48" t="s">
        <v>848</v>
      </c>
      <c r="B1054" s="48">
        <v>29.0</v>
      </c>
    </row>
    <row r="1055">
      <c r="A1055" s="48" t="s">
        <v>849</v>
      </c>
      <c r="B1055" s="47">
        <v>27.0</v>
      </c>
    </row>
    <row r="1056">
      <c r="A1056" s="48" t="s">
        <v>850</v>
      </c>
      <c r="B1056" s="48">
        <v>50.0</v>
      </c>
    </row>
    <row r="1057">
      <c r="A1057" s="48" t="s">
        <v>851</v>
      </c>
      <c r="B1057" s="48">
        <v>50.0</v>
      </c>
    </row>
    <row r="1058">
      <c r="A1058" s="48" t="s">
        <v>853</v>
      </c>
      <c r="B1058" s="47">
        <v>50.0</v>
      </c>
    </row>
    <row r="1059">
      <c r="A1059" s="48" t="s">
        <v>854</v>
      </c>
      <c r="B1059" s="48">
        <v>70.0</v>
      </c>
    </row>
    <row r="1060">
      <c r="A1060" s="48" t="s">
        <v>855</v>
      </c>
      <c r="B1060" s="47">
        <v>24.0</v>
      </c>
    </row>
    <row r="1061">
      <c r="A1061" s="48" t="s">
        <v>857</v>
      </c>
      <c r="B1061" s="47">
        <v>50.0</v>
      </c>
    </row>
    <row r="1062">
      <c r="A1062" s="48" t="s">
        <v>858</v>
      </c>
      <c r="B1062" s="48">
        <v>50.0</v>
      </c>
    </row>
    <row r="1063">
      <c r="A1063" s="48" t="s">
        <v>859</v>
      </c>
      <c r="B1063" s="47">
        <v>50.0</v>
      </c>
    </row>
    <row r="1064">
      <c r="A1064" s="48" t="s">
        <v>860</v>
      </c>
      <c r="B1064" s="48">
        <v>50.0</v>
      </c>
    </row>
    <row r="1065">
      <c r="A1065" s="50" t="s">
        <v>1339</v>
      </c>
      <c r="B1065" s="48">
        <v>50.0</v>
      </c>
    </row>
    <row r="1066">
      <c r="A1066" s="50" t="s">
        <v>1249</v>
      </c>
      <c r="B1066" s="47">
        <v>50.0</v>
      </c>
    </row>
    <row r="1067">
      <c r="A1067" s="48" t="s">
        <v>864</v>
      </c>
      <c r="B1067" s="48">
        <v>62.0</v>
      </c>
    </row>
    <row r="1068">
      <c r="A1068" s="47" t="s">
        <v>861</v>
      </c>
      <c r="B1068" s="48">
        <v>72.0</v>
      </c>
    </row>
    <row r="1069">
      <c r="A1069" s="48" t="s">
        <v>1340</v>
      </c>
      <c r="B1069" s="48">
        <v>50.0</v>
      </c>
    </row>
    <row r="1070">
      <c r="A1070" s="47" t="s">
        <v>1027</v>
      </c>
      <c r="B1070" s="47">
        <v>34.0</v>
      </c>
    </row>
    <row r="1071">
      <c r="A1071" s="47" t="s">
        <v>1343</v>
      </c>
      <c r="B1071" s="47">
        <v>68.0</v>
      </c>
    </row>
    <row r="1072">
      <c r="A1072" s="47" t="s">
        <v>1029</v>
      </c>
      <c r="B1072" s="47">
        <v>71.0</v>
      </c>
    </row>
    <row r="1073">
      <c r="A1073" s="47" t="s">
        <v>1031</v>
      </c>
      <c r="B1073" s="47">
        <v>21.0</v>
      </c>
    </row>
    <row r="1074">
      <c r="A1074" s="47" t="s">
        <v>1030</v>
      </c>
      <c r="B1074" s="47">
        <v>61.0</v>
      </c>
    </row>
    <row r="1075">
      <c r="A1075" s="47" t="s">
        <v>1032</v>
      </c>
      <c r="B1075" s="47">
        <v>19.0</v>
      </c>
    </row>
    <row r="1076">
      <c r="A1076" s="47" t="s">
        <v>1033</v>
      </c>
      <c r="B1076" s="47">
        <v>75.0</v>
      </c>
    </row>
    <row r="1077">
      <c r="A1077" s="47" t="s">
        <v>1034</v>
      </c>
      <c r="B1077" s="47">
        <v>25.0</v>
      </c>
    </row>
    <row r="1078">
      <c r="A1078" s="47" t="s">
        <v>1344</v>
      </c>
      <c r="B1078" s="47">
        <v>21.0</v>
      </c>
    </row>
    <row r="1079">
      <c r="A1079" s="47" t="s">
        <v>1036</v>
      </c>
      <c r="B1079" s="47">
        <v>50.0</v>
      </c>
    </row>
    <row r="1080">
      <c r="A1080" s="47" t="s">
        <v>1038</v>
      </c>
      <c r="B1080" s="47">
        <v>0.0</v>
      </c>
    </row>
    <row r="1081">
      <c r="A1081" s="47" t="s">
        <v>1037</v>
      </c>
      <c r="B1081" s="47">
        <v>0.0</v>
      </c>
    </row>
    <row r="1082">
      <c r="A1082" s="47" t="s">
        <v>1191</v>
      </c>
      <c r="B1082" s="47">
        <v>21.0</v>
      </c>
    </row>
    <row r="1083">
      <c r="A1083" s="47" t="s">
        <v>1188</v>
      </c>
      <c r="B1083" s="47">
        <v>0.0</v>
      </c>
    </row>
    <row r="1084">
      <c r="A1084" s="47" t="s">
        <v>1192</v>
      </c>
      <c r="B1084" s="47">
        <v>26.0</v>
      </c>
    </row>
    <row r="1085">
      <c r="A1085" s="47" t="s">
        <v>1185</v>
      </c>
      <c r="B1085" s="47">
        <v>0.0</v>
      </c>
    </row>
    <row r="1086">
      <c r="A1086" s="47" t="s">
        <v>1189</v>
      </c>
      <c r="B1086" s="47">
        <v>50.0</v>
      </c>
    </row>
    <row r="1087">
      <c r="A1087" s="47" t="s">
        <v>1195</v>
      </c>
      <c r="B1087" s="47">
        <v>17.0</v>
      </c>
    </row>
    <row r="1088">
      <c r="A1088" s="47" t="s">
        <v>1183</v>
      </c>
      <c r="B1088" s="47">
        <v>4.0</v>
      </c>
    </row>
    <row r="1089">
      <c r="A1089" s="47" t="s">
        <v>1186</v>
      </c>
      <c r="B1089" s="47">
        <v>11.0</v>
      </c>
    </row>
    <row r="1090">
      <c r="A1090" s="47" t="s">
        <v>1193</v>
      </c>
      <c r="B1090" s="47">
        <v>50.0</v>
      </c>
    </row>
    <row r="1091">
      <c r="A1091" s="47" t="s">
        <v>1187</v>
      </c>
      <c r="B1091" s="47">
        <v>9.0</v>
      </c>
    </row>
    <row r="1092">
      <c r="A1092" s="47" t="s">
        <v>1184</v>
      </c>
      <c r="B1092" s="47">
        <v>13.0</v>
      </c>
    </row>
    <row r="1093">
      <c r="A1093" s="47" t="s">
        <v>1190</v>
      </c>
      <c r="B1093" s="47">
        <v>17.0</v>
      </c>
    </row>
    <row r="1094">
      <c r="A1094" s="47" t="s">
        <v>1194</v>
      </c>
      <c r="B1094" s="47">
        <v>25.0</v>
      </c>
    </row>
    <row r="1095">
      <c r="A1095" s="47" t="s">
        <v>1268</v>
      </c>
      <c r="B1095" s="47">
        <v>24.0</v>
      </c>
    </row>
    <row r="1096">
      <c r="A1096" s="47" t="s">
        <v>1264</v>
      </c>
      <c r="B1096" s="47">
        <v>21.0</v>
      </c>
    </row>
    <row r="1097">
      <c r="A1097" s="47" t="s">
        <v>1265</v>
      </c>
      <c r="B1097" s="47">
        <v>21.0</v>
      </c>
    </row>
    <row r="1098">
      <c r="A1098" s="47" t="s">
        <v>1263</v>
      </c>
      <c r="B1098" s="47">
        <v>55.0</v>
      </c>
    </row>
    <row r="1099">
      <c r="A1099" s="47" t="s">
        <v>1266</v>
      </c>
      <c r="B1099" s="47">
        <v>75.0</v>
      </c>
    </row>
    <row r="1100">
      <c r="A1100" s="47" t="s">
        <v>1267</v>
      </c>
      <c r="B1100" s="47">
        <v>5.0</v>
      </c>
    </row>
    <row r="1101">
      <c r="A1101" s="47" t="s">
        <v>1337</v>
      </c>
      <c r="B1101" s="47">
        <v>9.0</v>
      </c>
    </row>
    <row r="1102">
      <c r="A1102" s="47" t="s">
        <v>1332</v>
      </c>
      <c r="B1102" s="47">
        <v>7.0</v>
      </c>
    </row>
    <row r="1103">
      <c r="A1103" s="47" t="s">
        <v>1334</v>
      </c>
      <c r="B1103" s="47">
        <v>0.0</v>
      </c>
    </row>
    <row r="1104">
      <c r="A1104" s="47" t="s">
        <v>1333</v>
      </c>
      <c r="B1104" s="47">
        <v>13.0</v>
      </c>
    </row>
    <row r="1105">
      <c r="A1105" s="47" t="s">
        <v>1354</v>
      </c>
      <c r="B1105" s="47">
        <v>17.0</v>
      </c>
    </row>
    <row r="1106">
      <c r="A1106" s="47" t="s">
        <v>1336</v>
      </c>
      <c r="B1106" s="47">
        <v>0.0</v>
      </c>
    </row>
    <row r="1107">
      <c r="A1107" s="48" t="s">
        <v>363</v>
      </c>
      <c r="B1107" s="48">
        <v>21.0</v>
      </c>
    </row>
    <row r="1108">
      <c r="A1108" s="48" t="s">
        <v>370</v>
      </c>
      <c r="B1108" s="48">
        <v>21.0</v>
      </c>
    </row>
    <row r="1109">
      <c r="A1109" s="48" t="s">
        <v>364</v>
      </c>
      <c r="B1109" s="48">
        <v>0.0</v>
      </c>
    </row>
    <row r="1110">
      <c r="A1110" s="48" t="s">
        <v>366</v>
      </c>
      <c r="B1110" s="47">
        <v>50.0</v>
      </c>
    </row>
    <row r="1111">
      <c r="A1111" s="48" t="s">
        <v>368</v>
      </c>
      <c r="B1111" s="48">
        <v>5.0</v>
      </c>
    </row>
    <row r="1112">
      <c r="A1112" s="48" t="s">
        <v>365</v>
      </c>
      <c r="B1112" s="47">
        <v>50.0</v>
      </c>
    </row>
    <row r="1113">
      <c r="A1113" s="48" t="s">
        <v>374</v>
      </c>
      <c r="B1113" s="47">
        <v>0.0</v>
      </c>
    </row>
    <row r="1114">
      <c r="A1114" s="48" t="s">
        <v>376</v>
      </c>
      <c r="B1114" s="47">
        <v>0.0</v>
      </c>
    </row>
    <row r="1115">
      <c r="A1115" s="48" t="s">
        <v>361</v>
      </c>
      <c r="B1115" s="47">
        <v>50.0</v>
      </c>
    </row>
    <row r="1116">
      <c r="A1116" s="48" t="s">
        <v>367</v>
      </c>
      <c r="B1116" s="47">
        <v>50.0</v>
      </c>
    </row>
    <row r="1117">
      <c r="A1117" s="48" t="s">
        <v>372</v>
      </c>
      <c r="B1117" s="47">
        <v>0.0</v>
      </c>
    </row>
    <row r="1118">
      <c r="A1118" s="48" t="s">
        <v>377</v>
      </c>
      <c r="B1118" s="47">
        <v>7.0</v>
      </c>
    </row>
    <row r="1119">
      <c r="A1119" s="48" t="s">
        <v>373</v>
      </c>
      <c r="B1119" s="48">
        <v>20.0</v>
      </c>
    </row>
    <row r="1120">
      <c r="A1120" s="48" t="s">
        <v>362</v>
      </c>
      <c r="B1120" s="47">
        <v>50.0</v>
      </c>
    </row>
    <row r="1121">
      <c r="A1121" s="48" t="s">
        <v>371</v>
      </c>
      <c r="B1121" s="47">
        <v>50.0</v>
      </c>
    </row>
    <row r="1122">
      <c r="A1122" s="48" t="s">
        <v>375</v>
      </c>
      <c r="B1122" s="47">
        <v>50.0</v>
      </c>
    </row>
    <row r="1123">
      <c r="A1123" s="48" t="s">
        <v>360</v>
      </c>
      <c r="B1123" s="47">
        <v>13.0</v>
      </c>
    </row>
    <row r="1124">
      <c r="A1124" s="48" t="s">
        <v>369</v>
      </c>
      <c r="B1124" s="47">
        <v>0.0</v>
      </c>
    </row>
    <row r="1125">
      <c r="A1125" s="47" t="s">
        <v>647</v>
      </c>
      <c r="B1125" s="47">
        <v>10.0</v>
      </c>
    </row>
    <row r="1126">
      <c r="A1126" s="47" t="s">
        <v>637</v>
      </c>
      <c r="B1126" s="47">
        <v>0.0</v>
      </c>
    </row>
    <row r="1127">
      <c r="A1127" s="47" t="s">
        <v>642</v>
      </c>
      <c r="B1127" s="47">
        <v>3.0</v>
      </c>
    </row>
    <row r="1128">
      <c r="A1128" s="47" t="s">
        <v>638</v>
      </c>
      <c r="B1128" s="47">
        <v>3.0</v>
      </c>
    </row>
    <row r="1129">
      <c r="A1129" s="47" t="s">
        <v>639</v>
      </c>
      <c r="B1129" s="47">
        <v>17.0</v>
      </c>
    </row>
    <row r="1130">
      <c r="A1130" s="47" t="s">
        <v>645</v>
      </c>
      <c r="B1130" s="47">
        <v>0.0</v>
      </c>
    </row>
    <row r="1131">
      <c r="A1131" s="47" t="s">
        <v>648</v>
      </c>
      <c r="B1131" s="47">
        <v>28.0</v>
      </c>
    </row>
    <row r="1132">
      <c r="A1132" s="47" t="s">
        <v>644</v>
      </c>
      <c r="B1132" s="47">
        <v>0.0</v>
      </c>
    </row>
    <row r="1133">
      <c r="A1133" s="47" t="s">
        <v>640</v>
      </c>
      <c r="B1133" s="47">
        <v>0.0</v>
      </c>
    </row>
    <row r="1134">
      <c r="A1134" s="47" t="s">
        <v>646</v>
      </c>
      <c r="B1134" s="47">
        <v>15.0</v>
      </c>
    </row>
    <row r="1135">
      <c r="A1135" s="47" t="s">
        <v>641</v>
      </c>
      <c r="B1135" s="47">
        <v>0.0</v>
      </c>
    </row>
    <row r="1136">
      <c r="A1136" s="47" t="s">
        <v>652</v>
      </c>
      <c r="B1136" s="47">
        <v>13.0</v>
      </c>
    </row>
    <row r="1137">
      <c r="A1137" s="47" t="s">
        <v>649</v>
      </c>
      <c r="B1137" s="47">
        <v>3.0</v>
      </c>
    </row>
    <row r="1138">
      <c r="A1138" s="47" t="s">
        <v>650</v>
      </c>
      <c r="B1138" s="47">
        <v>17.0</v>
      </c>
    </row>
    <row r="1139">
      <c r="A1139" s="47" t="s">
        <v>653</v>
      </c>
      <c r="B1139" s="47">
        <v>15.0</v>
      </c>
    </row>
    <row r="1140">
      <c r="A1140" s="47" t="s">
        <v>1351</v>
      </c>
      <c r="B1140" s="47">
        <v>7.0</v>
      </c>
    </row>
    <row r="1141">
      <c r="A1141" s="47" t="s">
        <v>651</v>
      </c>
      <c r="B1141" s="47">
        <v>4.0</v>
      </c>
    </row>
    <row r="1142">
      <c r="A1142" s="47" t="s">
        <v>658</v>
      </c>
      <c r="B1142" s="47">
        <v>12.0</v>
      </c>
    </row>
    <row r="1143">
      <c r="A1143" s="47" t="s">
        <v>657</v>
      </c>
      <c r="B1143" s="47">
        <v>38.0</v>
      </c>
    </row>
    <row r="1144">
      <c r="A1144" s="47" t="s">
        <v>1352</v>
      </c>
      <c r="B1144" s="47">
        <v>0.0</v>
      </c>
    </row>
    <row r="1145">
      <c r="A1145" s="47" t="s">
        <v>654</v>
      </c>
      <c r="B1145" s="47">
        <v>5.0</v>
      </c>
    </row>
    <row r="1146">
      <c r="A1146" s="47" t="s">
        <v>654</v>
      </c>
      <c r="B1146" s="47">
        <v>0.0</v>
      </c>
    </row>
    <row r="1147">
      <c r="A1147" s="47" t="s">
        <v>655</v>
      </c>
      <c r="B1147" s="47">
        <v>5.0</v>
      </c>
    </row>
    <row r="1148">
      <c r="A1148" s="47" t="s">
        <v>643</v>
      </c>
      <c r="B1148" s="47">
        <v>38.0</v>
      </c>
    </row>
    <row r="1149">
      <c r="A1149" s="47" t="s">
        <v>866</v>
      </c>
      <c r="B1149" s="48">
        <v>42.0</v>
      </c>
    </row>
    <row r="1150">
      <c r="A1150" s="47" t="s">
        <v>871</v>
      </c>
      <c r="B1150" s="47">
        <v>5.0</v>
      </c>
    </row>
    <row r="1151">
      <c r="A1151" s="48" t="s">
        <v>867</v>
      </c>
      <c r="B1151" s="48">
        <v>50.0</v>
      </c>
    </row>
    <row r="1152">
      <c r="A1152" s="48" t="s">
        <v>872</v>
      </c>
      <c r="B1152" s="47">
        <v>50.0</v>
      </c>
    </row>
    <row r="1153">
      <c r="A1153" s="48" t="s">
        <v>869</v>
      </c>
      <c r="B1153" s="48">
        <v>75.0</v>
      </c>
    </row>
    <row r="1154">
      <c r="A1154" s="48" t="s">
        <v>1342</v>
      </c>
      <c r="B1154" s="47">
        <v>0.0</v>
      </c>
    </row>
    <row r="1155">
      <c r="A1155" s="48" t="s">
        <v>882</v>
      </c>
      <c r="B1155" s="48">
        <v>75.0</v>
      </c>
    </row>
    <row r="1156">
      <c r="A1156" s="48" t="s">
        <v>873</v>
      </c>
      <c r="B1156" s="48">
        <v>50.0</v>
      </c>
    </row>
    <row r="1157">
      <c r="A1157" s="48" t="s">
        <v>877</v>
      </c>
      <c r="B1157" s="47">
        <v>50.0</v>
      </c>
    </row>
    <row r="1158">
      <c r="A1158" s="48" t="s">
        <v>879</v>
      </c>
      <c r="B1158" s="47">
        <v>0.0</v>
      </c>
    </row>
    <row r="1159">
      <c r="A1159" s="48" t="s">
        <v>870</v>
      </c>
      <c r="B1159" s="48">
        <v>75.0</v>
      </c>
    </row>
    <row r="1160">
      <c r="A1160" s="48" t="s">
        <v>881</v>
      </c>
      <c r="B1160" s="47">
        <v>50.0</v>
      </c>
    </row>
    <row r="1161">
      <c r="A1161" s="48" t="s">
        <v>876</v>
      </c>
      <c r="B1161" s="47">
        <v>5.0</v>
      </c>
    </row>
    <row r="1162">
      <c r="A1162" s="48" t="s">
        <v>878</v>
      </c>
      <c r="B1162" s="47">
        <v>11.0</v>
      </c>
    </row>
    <row r="1163">
      <c r="A1163" s="48" t="s">
        <v>880</v>
      </c>
      <c r="B1163" s="48">
        <v>75.0</v>
      </c>
    </row>
    <row r="1164">
      <c r="A1164" s="48" t="s">
        <v>1341</v>
      </c>
      <c r="B1164" s="47">
        <v>50.0</v>
      </c>
    </row>
    <row r="1165">
      <c r="A1165" s="48" t="s">
        <v>865</v>
      </c>
      <c r="B1165" s="48">
        <v>42.0</v>
      </c>
    </row>
    <row r="1166">
      <c r="A1166" s="7"/>
      <c r="B1166" s="7"/>
    </row>
    <row r="1167">
      <c r="A1167" s="7"/>
      <c r="B1167" s="7"/>
    </row>
    <row r="1168">
      <c r="A1168" s="7"/>
      <c r="B1168" s="7"/>
    </row>
    <row r="1169">
      <c r="A1169" s="7"/>
      <c r="B1169" s="7"/>
    </row>
    <row r="1170">
      <c r="A1170" s="7"/>
      <c r="B1170" s="7"/>
    </row>
    <row r="1171">
      <c r="A1171" s="7"/>
      <c r="B1171" s="7"/>
    </row>
    <row r="1172">
      <c r="A1172" s="7"/>
      <c r="B1172" s="7"/>
    </row>
    <row r="1173">
      <c r="A1173" s="7"/>
      <c r="B1173" s="7"/>
    </row>
    <row r="1174">
      <c r="A1174" s="7"/>
      <c r="B1174" s="7"/>
    </row>
    <row r="1175">
      <c r="A1175" s="7"/>
      <c r="B1175" s="7"/>
    </row>
    <row r="1176">
      <c r="A1176" s="7"/>
      <c r="B1176" s="7"/>
    </row>
    <row r="1177">
      <c r="A1177" s="7"/>
      <c r="B1177" s="7"/>
    </row>
    <row r="1178">
      <c r="A1178" s="7"/>
      <c r="B1178" s="7"/>
    </row>
    <row r="1179">
      <c r="A1179" s="7"/>
      <c r="B1179" s="7"/>
    </row>
    <row r="1180">
      <c r="A1180" s="7"/>
      <c r="B1180" s="7"/>
    </row>
    <row r="1181">
      <c r="A1181" s="7"/>
      <c r="B1181" s="7"/>
    </row>
    <row r="1182">
      <c r="A1182" s="7"/>
      <c r="B1182" s="7"/>
    </row>
    <row r="1183">
      <c r="A1183" s="7"/>
      <c r="B1183" s="7"/>
    </row>
    <row r="1184">
      <c r="A1184" s="7"/>
      <c r="B1184" s="7"/>
    </row>
    <row r="1185">
      <c r="A1185" s="7"/>
      <c r="B1185" s="7"/>
    </row>
    <row r="1186">
      <c r="A1186" s="7"/>
      <c r="B1186" s="7"/>
    </row>
    <row r="1187">
      <c r="A1187" s="7"/>
      <c r="B1187" s="7"/>
    </row>
    <row r="1188">
      <c r="A1188" s="7"/>
      <c r="B1188" s="7"/>
    </row>
    <row r="1189">
      <c r="A1189" s="7"/>
      <c r="B1189" s="7"/>
    </row>
    <row r="1190">
      <c r="A1190" s="7"/>
      <c r="B1190" s="7"/>
    </row>
    <row r="1191">
      <c r="A1191" s="7"/>
      <c r="B1191" s="7"/>
    </row>
    <row r="1192">
      <c r="A1192" s="7"/>
      <c r="B1192" s="7"/>
    </row>
    <row r="1193">
      <c r="A1193" s="7"/>
      <c r="B1193" s="7"/>
    </row>
    <row r="1194">
      <c r="A1194" s="7"/>
      <c r="B1194" s="7"/>
    </row>
    <row r="1195">
      <c r="A1195" s="7"/>
      <c r="B1195" s="7"/>
    </row>
    <row r="1196">
      <c r="A1196" s="7"/>
      <c r="B1196" s="7"/>
    </row>
    <row r="1197">
      <c r="A1197" s="7"/>
      <c r="B1197" s="7"/>
    </row>
    <row r="1198">
      <c r="A1198" s="7"/>
      <c r="B1198" s="7"/>
    </row>
    <row r="1199">
      <c r="A1199" s="7"/>
      <c r="B1199" s="7"/>
    </row>
    <row r="1200">
      <c r="A1200" s="7"/>
      <c r="B1200" s="7"/>
    </row>
    <row r="1201">
      <c r="A1201" s="7"/>
      <c r="B1201" s="7"/>
    </row>
    <row r="1202">
      <c r="A1202" s="7"/>
      <c r="B1202" s="7"/>
    </row>
    <row r="1203">
      <c r="A1203" s="7"/>
      <c r="B1203" s="7"/>
    </row>
    <row r="1204">
      <c r="A1204" s="7"/>
      <c r="B1204" s="7"/>
    </row>
    <row r="1205">
      <c r="A1205" s="7"/>
      <c r="B1205" s="7"/>
    </row>
    <row r="1206">
      <c r="A1206" s="7"/>
      <c r="B1206" s="7"/>
    </row>
    <row r="1207">
      <c r="A1207" s="7"/>
      <c r="B1207" s="7"/>
    </row>
    <row r="1208">
      <c r="A1208" s="7"/>
      <c r="B1208" s="7"/>
    </row>
    <row r="1209">
      <c r="A1209" s="7"/>
      <c r="B1209" s="7"/>
    </row>
    <row r="1210">
      <c r="A1210" s="7"/>
      <c r="B1210" s="7"/>
    </row>
    <row r="1211">
      <c r="A1211" s="7"/>
      <c r="B1211" s="7"/>
    </row>
    <row r="1212">
      <c r="A1212" s="7"/>
      <c r="B1212" s="7"/>
    </row>
    <row r="1213">
      <c r="A1213" s="7"/>
      <c r="B1213" s="7"/>
    </row>
    <row r="1214">
      <c r="A1214" s="7"/>
      <c r="B1214" s="7"/>
    </row>
    <row r="1215">
      <c r="A1215" s="7"/>
      <c r="B1215" s="7"/>
    </row>
    <row r="1216">
      <c r="A1216" s="7"/>
      <c r="B1216" s="7"/>
    </row>
    <row r="1217">
      <c r="A1217" s="7"/>
      <c r="B1217" s="7"/>
    </row>
    <row r="1218">
      <c r="A1218" s="7"/>
      <c r="B1218" s="7"/>
    </row>
    <row r="1219">
      <c r="A1219" s="7"/>
      <c r="B1219" s="7"/>
    </row>
    <row r="1220">
      <c r="A1220" s="7"/>
      <c r="B1220" s="7"/>
    </row>
    <row r="1221">
      <c r="A1221" s="7"/>
      <c r="B1221" s="7"/>
    </row>
    <row r="1222">
      <c r="A1222" s="7"/>
      <c r="B1222" s="7"/>
    </row>
    <row r="1223">
      <c r="A1223" s="7"/>
      <c r="B1223" s="7"/>
    </row>
    <row r="1224">
      <c r="A1224" s="7"/>
      <c r="B1224" s="7"/>
    </row>
    <row r="1225">
      <c r="A1225" s="7"/>
      <c r="B1225" s="7"/>
    </row>
    <row r="1226">
      <c r="A1226" s="7"/>
      <c r="B1226" s="7"/>
    </row>
    <row r="1227">
      <c r="A1227" s="7"/>
      <c r="B1227" s="7"/>
    </row>
    <row r="1228">
      <c r="A1228" s="7"/>
      <c r="B1228" s="7"/>
    </row>
    <row r="1229">
      <c r="A1229" s="7"/>
      <c r="B1229" s="7"/>
    </row>
    <row r="1230">
      <c r="A1230" s="7"/>
      <c r="B1230" s="7"/>
    </row>
    <row r="1231">
      <c r="A1231" s="7"/>
      <c r="B1231" s="7"/>
    </row>
    <row r="1232">
      <c r="A1232" s="7"/>
      <c r="B1232" s="7"/>
    </row>
    <row r="1233">
      <c r="A1233" s="7"/>
      <c r="B1233" s="7"/>
    </row>
    <row r="1234">
      <c r="A1234" s="7"/>
      <c r="B1234" s="7"/>
    </row>
    <row r="1235">
      <c r="A1235" s="7"/>
      <c r="B1235" s="7"/>
    </row>
    <row r="1236">
      <c r="A1236" s="7"/>
      <c r="B1236" s="7"/>
    </row>
    <row r="1237">
      <c r="A1237" s="7"/>
      <c r="B1237" s="7"/>
    </row>
    <row r="1238">
      <c r="A1238" s="7"/>
      <c r="B1238" s="7"/>
    </row>
    <row r="1239">
      <c r="A1239" s="7"/>
      <c r="B1239" s="7"/>
    </row>
    <row r="1240">
      <c r="A1240" s="7"/>
      <c r="B1240" s="7"/>
    </row>
    <row r="1241">
      <c r="A1241" s="7"/>
      <c r="B1241" s="7"/>
    </row>
    <row r="1242">
      <c r="A1242" s="7"/>
      <c r="B1242" s="7"/>
    </row>
    <row r="1243">
      <c r="A1243" s="7"/>
      <c r="B1243" s="7"/>
    </row>
    <row r="1244">
      <c r="A1244" s="7"/>
      <c r="B1244" s="7"/>
    </row>
    <row r="1245">
      <c r="A1245" s="7"/>
      <c r="B1245" s="7"/>
    </row>
    <row r="1246">
      <c r="A1246" s="7"/>
      <c r="B1246" s="7"/>
    </row>
    <row r="1247">
      <c r="A1247" s="7"/>
      <c r="B1247" s="7"/>
    </row>
    <row r="1248">
      <c r="A1248" s="7"/>
      <c r="B1248" s="7"/>
    </row>
    <row r="1249">
      <c r="A1249" s="7"/>
      <c r="B1249" s="7"/>
    </row>
    <row r="1250">
      <c r="A1250" s="7"/>
      <c r="B1250" s="7"/>
    </row>
    <row r="1251">
      <c r="A1251" s="7"/>
      <c r="B1251" s="7"/>
    </row>
    <row r="1252">
      <c r="A1252" s="7"/>
      <c r="B1252" s="7"/>
    </row>
    <row r="1253">
      <c r="A1253" s="7"/>
      <c r="B1253" s="7"/>
    </row>
    <row r="1254">
      <c r="A1254" s="7"/>
      <c r="B1254" s="7"/>
    </row>
    <row r="1255">
      <c r="A1255" s="7"/>
      <c r="B1255" s="7"/>
    </row>
    <row r="1256">
      <c r="A1256" s="7"/>
      <c r="B1256" s="7"/>
    </row>
    <row r="1257">
      <c r="A1257" s="7"/>
      <c r="B1257" s="7"/>
    </row>
    <row r="1258">
      <c r="A1258" s="7"/>
      <c r="B1258" s="7"/>
    </row>
    <row r="1259">
      <c r="A1259" s="7"/>
      <c r="B1259" s="7"/>
    </row>
    <row r="1260">
      <c r="A1260" s="7"/>
      <c r="B1260" s="7"/>
    </row>
    <row r="1261">
      <c r="A1261" s="7"/>
      <c r="B1261" s="7"/>
    </row>
    <row r="1262">
      <c r="A1262" s="7"/>
      <c r="B1262" s="7"/>
    </row>
    <row r="1263">
      <c r="A1263" s="7"/>
      <c r="B1263" s="7"/>
    </row>
    <row r="1264">
      <c r="A1264" s="7"/>
      <c r="B1264" s="7"/>
    </row>
    <row r="1265">
      <c r="A1265" s="7"/>
      <c r="B1265" s="7"/>
    </row>
    <row r="1266">
      <c r="A1266" s="7"/>
      <c r="B1266" s="7"/>
    </row>
    <row r="1267">
      <c r="A1267" s="7"/>
      <c r="B1267" s="7"/>
    </row>
    <row r="1268">
      <c r="A1268" s="7"/>
      <c r="B1268" s="7"/>
    </row>
    <row r="1269">
      <c r="A1269" s="7"/>
      <c r="B1269" s="7"/>
    </row>
    <row r="1270">
      <c r="A1270" s="7"/>
      <c r="B1270" s="7"/>
    </row>
    <row r="1271">
      <c r="A1271" s="7"/>
      <c r="B1271" s="7"/>
    </row>
    <row r="1272">
      <c r="A1272" s="7"/>
      <c r="B1272" s="7"/>
    </row>
    <row r="1273">
      <c r="A1273" s="7"/>
      <c r="B1273" s="7"/>
    </row>
    <row r="1274">
      <c r="A1274" s="7"/>
      <c r="B1274" s="7"/>
    </row>
    <row r="1275">
      <c r="A1275" s="7"/>
      <c r="B1275" s="7"/>
    </row>
    <row r="1276">
      <c r="A1276" s="7"/>
      <c r="B1276" s="7"/>
    </row>
    <row r="1277">
      <c r="A1277" s="7"/>
      <c r="B1277" s="7"/>
    </row>
    <row r="1278">
      <c r="A1278" s="7"/>
      <c r="B1278" s="7"/>
    </row>
    <row r="1279">
      <c r="A1279" s="7"/>
      <c r="B1279" s="7"/>
    </row>
    <row r="1280">
      <c r="A1280" s="7"/>
      <c r="B1280" s="7"/>
    </row>
    <row r="1281">
      <c r="A1281" s="7"/>
      <c r="B1281" s="7"/>
    </row>
    <row r="1282">
      <c r="A1282" s="7"/>
      <c r="B1282" s="7"/>
    </row>
    <row r="1283">
      <c r="A1283" s="7"/>
      <c r="B1283" s="7"/>
    </row>
    <row r="1284">
      <c r="A1284" s="7"/>
      <c r="B1284" s="7"/>
    </row>
    <row r="1285">
      <c r="A1285" s="7"/>
      <c r="B1285" s="7"/>
    </row>
    <row r="1286">
      <c r="A1286" s="7"/>
      <c r="B1286" s="7"/>
    </row>
    <row r="1287">
      <c r="A1287" s="7"/>
      <c r="B1287" s="7"/>
    </row>
    <row r="1288">
      <c r="A1288" s="7"/>
      <c r="B1288" s="7"/>
    </row>
    <row r="1289">
      <c r="A1289" s="7"/>
      <c r="B1289" s="7"/>
    </row>
    <row r="1290">
      <c r="A1290" s="7"/>
      <c r="B1290" s="7"/>
    </row>
    <row r="1291">
      <c r="A1291" s="7"/>
      <c r="B1291" s="7"/>
    </row>
    <row r="1292">
      <c r="A1292" s="7"/>
      <c r="B1292" s="7"/>
    </row>
    <row r="1293">
      <c r="A1293" s="7"/>
      <c r="B1293" s="7"/>
    </row>
    <row r="1294">
      <c r="A1294" s="7"/>
      <c r="B1294" s="7"/>
    </row>
    <row r="1295">
      <c r="A1295" s="7"/>
      <c r="B1295" s="7"/>
    </row>
    <row r="1296">
      <c r="A1296" s="7"/>
      <c r="B1296" s="7"/>
    </row>
    <row r="1297">
      <c r="A1297" s="7"/>
      <c r="B1297" s="7"/>
    </row>
    <row r="1298">
      <c r="A1298" s="7"/>
      <c r="B1298" s="7"/>
    </row>
    <row r="1299">
      <c r="A1299" s="7"/>
      <c r="B1299" s="7"/>
    </row>
    <row r="1300">
      <c r="A1300" s="7"/>
      <c r="B1300" s="7"/>
    </row>
    <row r="1301">
      <c r="A1301" s="7"/>
      <c r="B1301" s="7"/>
    </row>
    <row r="1302">
      <c r="A1302" s="7"/>
      <c r="B1302" s="7"/>
    </row>
    <row r="1303">
      <c r="A1303" s="7"/>
      <c r="B1303" s="7"/>
    </row>
    <row r="1304">
      <c r="A1304" s="7"/>
      <c r="B1304" s="7"/>
    </row>
    <row r="1305">
      <c r="A1305" s="7"/>
      <c r="B1305" s="7"/>
    </row>
    <row r="1306">
      <c r="A1306" s="7"/>
      <c r="B1306" s="7"/>
    </row>
    <row r="1307">
      <c r="A1307" s="7"/>
      <c r="B1307" s="7"/>
    </row>
    <row r="1308">
      <c r="A1308" s="7"/>
      <c r="B1308" s="7"/>
    </row>
    <row r="1309">
      <c r="A1309" s="7"/>
      <c r="B1309" s="7"/>
    </row>
    <row r="1310">
      <c r="A1310" s="7"/>
      <c r="B1310" s="7"/>
    </row>
    <row r="1311">
      <c r="A1311" s="7"/>
      <c r="B1311" s="7"/>
    </row>
    <row r="1312">
      <c r="A1312" s="7"/>
      <c r="B1312" s="7"/>
    </row>
    <row r="1313">
      <c r="A1313" s="7"/>
      <c r="B1313" s="7"/>
    </row>
    <row r="1314">
      <c r="A1314" s="7"/>
      <c r="B1314" s="7"/>
    </row>
    <row r="1315">
      <c r="A1315" s="7"/>
      <c r="B1315" s="7"/>
    </row>
    <row r="1316">
      <c r="A1316" s="7"/>
      <c r="B1316" s="7"/>
    </row>
    <row r="1317">
      <c r="A1317" s="7"/>
      <c r="B1317" s="7"/>
    </row>
    <row r="1318">
      <c r="A1318" s="7"/>
      <c r="B1318" s="7"/>
    </row>
    <row r="1319">
      <c r="A1319" s="7"/>
      <c r="B1319" s="7"/>
    </row>
    <row r="1320">
      <c r="A1320" s="7"/>
      <c r="B1320" s="7"/>
    </row>
    <row r="1321">
      <c r="A1321" s="7"/>
      <c r="B1321" s="7"/>
    </row>
    <row r="1322">
      <c r="A1322" s="7"/>
      <c r="B1322" s="7"/>
    </row>
    <row r="1323">
      <c r="A1323" s="7"/>
      <c r="B1323" s="7"/>
    </row>
    <row r="1324">
      <c r="A1324" s="7"/>
      <c r="B1324" s="7"/>
    </row>
    <row r="1325">
      <c r="A1325" s="7"/>
      <c r="B1325" s="7"/>
    </row>
    <row r="1326">
      <c r="A1326" s="7"/>
      <c r="B1326" s="7"/>
    </row>
    <row r="1327">
      <c r="A1327" s="7"/>
      <c r="B1327" s="7"/>
    </row>
    <row r="1328">
      <c r="A1328" s="7"/>
      <c r="B1328" s="7"/>
    </row>
    <row r="1329">
      <c r="A1329" s="7"/>
      <c r="B1329" s="7"/>
    </row>
    <row r="1330">
      <c r="A1330" s="7"/>
      <c r="B1330" s="7"/>
    </row>
    <row r="1331">
      <c r="A1331" s="7"/>
      <c r="B1331" s="7"/>
    </row>
    <row r="1332">
      <c r="A1332" s="7"/>
      <c r="B1332" s="7"/>
    </row>
    <row r="1333">
      <c r="A1333" s="7"/>
      <c r="B1333" s="7"/>
    </row>
    <row r="1334">
      <c r="A1334" s="7"/>
      <c r="B1334" s="7"/>
    </row>
    <row r="1335">
      <c r="A1335" s="7"/>
      <c r="B1335" s="7"/>
    </row>
    <row r="1336">
      <c r="A1336" s="7"/>
      <c r="B1336" s="7"/>
    </row>
    <row r="1337">
      <c r="A1337" s="7"/>
      <c r="B1337" s="7"/>
    </row>
    <row r="1338">
      <c r="A1338" s="7"/>
      <c r="B1338" s="7"/>
    </row>
    <row r="1339">
      <c r="A1339" s="7"/>
      <c r="B1339" s="7"/>
    </row>
    <row r="1340">
      <c r="A1340" s="7"/>
      <c r="B1340" s="7"/>
    </row>
    <row r="1341">
      <c r="A1341" s="7"/>
      <c r="B1341" s="7"/>
    </row>
    <row r="1342">
      <c r="A1342" s="7"/>
      <c r="B1342" s="7"/>
    </row>
    <row r="1343">
      <c r="A1343" s="7"/>
      <c r="B1343" s="7"/>
    </row>
    <row r="1344">
      <c r="A1344" s="7"/>
      <c r="B1344" s="7"/>
    </row>
    <row r="1345">
      <c r="A1345" s="7"/>
      <c r="B1345" s="7"/>
    </row>
    <row r="1346">
      <c r="A1346" s="7"/>
      <c r="B1346" s="7"/>
    </row>
    <row r="1347">
      <c r="A1347" s="7"/>
      <c r="B1347" s="7"/>
    </row>
    <row r="1348">
      <c r="A1348" s="7"/>
      <c r="B1348" s="7"/>
    </row>
    <row r="1349">
      <c r="A1349" s="7"/>
      <c r="B1349" s="7"/>
    </row>
    <row r="1350">
      <c r="A1350" s="7"/>
      <c r="B1350" s="7"/>
    </row>
    <row r="1351">
      <c r="A1351" s="7"/>
      <c r="B1351" s="7"/>
    </row>
    <row r="1352">
      <c r="A1352" s="7"/>
      <c r="B1352" s="7"/>
    </row>
    <row r="1353">
      <c r="A1353" s="7"/>
      <c r="B1353" s="7"/>
    </row>
    <row r="1354">
      <c r="A1354" s="7"/>
      <c r="B1354" s="7"/>
    </row>
    <row r="1355">
      <c r="A1355" s="7"/>
      <c r="B1355" s="7"/>
    </row>
    <row r="1356">
      <c r="A1356" s="7"/>
      <c r="B1356" s="7"/>
    </row>
    <row r="1357">
      <c r="A1357" s="7"/>
      <c r="B1357" s="7"/>
    </row>
    <row r="1358">
      <c r="A1358" s="7"/>
      <c r="B1358" s="7"/>
    </row>
    <row r="1359">
      <c r="A1359" s="7"/>
      <c r="B1359" s="7"/>
    </row>
    <row r="1360">
      <c r="A1360" s="7"/>
      <c r="B1360" s="7"/>
    </row>
    <row r="1361">
      <c r="A1361" s="7"/>
      <c r="B1361" s="7"/>
    </row>
    <row r="1362">
      <c r="A1362" s="7"/>
      <c r="B1362" s="7"/>
    </row>
    <row r="1363">
      <c r="A1363" s="7"/>
      <c r="B1363" s="7"/>
    </row>
    <row r="1364">
      <c r="A1364" s="7"/>
      <c r="B1364" s="7"/>
    </row>
    <row r="1365">
      <c r="A1365" s="7"/>
      <c r="B1365" s="7"/>
    </row>
    <row r="1366">
      <c r="A1366" s="7"/>
      <c r="B1366" s="7"/>
    </row>
    <row r="1367">
      <c r="A1367" s="7"/>
      <c r="B1367" s="7"/>
    </row>
    <row r="1368">
      <c r="A1368" s="7"/>
      <c r="B1368" s="7"/>
    </row>
    <row r="1369">
      <c r="A1369" s="7"/>
      <c r="B1369" s="7"/>
    </row>
    <row r="1370">
      <c r="A1370" s="7"/>
      <c r="B1370" s="7"/>
    </row>
    <row r="1371">
      <c r="A1371" s="7"/>
      <c r="B1371" s="7"/>
    </row>
    <row r="1372">
      <c r="A1372" s="7"/>
      <c r="B1372" s="7"/>
    </row>
    <row r="1373">
      <c r="A1373" s="7"/>
      <c r="B1373" s="7"/>
    </row>
    <row r="1374">
      <c r="A1374" s="7"/>
      <c r="B1374" s="7"/>
    </row>
    <row r="1375">
      <c r="A1375" s="7"/>
      <c r="B1375" s="7"/>
    </row>
    <row r="1376">
      <c r="A1376" s="7"/>
      <c r="B1376" s="7"/>
    </row>
    <row r="1377">
      <c r="A1377" s="7"/>
      <c r="B1377" s="7"/>
    </row>
    <row r="1378">
      <c r="A1378" s="7"/>
      <c r="B1378" s="7"/>
    </row>
    <row r="1379">
      <c r="A1379" s="7"/>
      <c r="B1379" s="7"/>
    </row>
    <row r="1380">
      <c r="A1380" s="7"/>
      <c r="B1380" s="7"/>
    </row>
    <row r="1381">
      <c r="A1381" s="7"/>
      <c r="B1381" s="7"/>
    </row>
    <row r="1382">
      <c r="A1382" s="7"/>
      <c r="B1382" s="7"/>
    </row>
    <row r="1383">
      <c r="A1383" s="7"/>
      <c r="B1383" s="7"/>
    </row>
    <row r="1384">
      <c r="A1384" s="7"/>
      <c r="B1384" s="7"/>
    </row>
    <row r="1385">
      <c r="A1385" s="7"/>
      <c r="B1385" s="7"/>
    </row>
    <row r="1386">
      <c r="A1386" s="7"/>
      <c r="B1386" s="7"/>
    </row>
    <row r="1387">
      <c r="A1387" s="7"/>
      <c r="B1387" s="7"/>
    </row>
    <row r="1388">
      <c r="A1388" s="7"/>
      <c r="B1388" s="7"/>
    </row>
    <row r="1389">
      <c r="A1389" s="7"/>
      <c r="B1389" s="7"/>
    </row>
    <row r="1390">
      <c r="A1390" s="7"/>
      <c r="B1390" s="7"/>
    </row>
    <row r="1391">
      <c r="A1391" s="7"/>
      <c r="B1391" s="7"/>
    </row>
    <row r="1392">
      <c r="A1392" s="7"/>
      <c r="B1392" s="7"/>
    </row>
    <row r="1393">
      <c r="A1393" s="7"/>
      <c r="B1393" s="7"/>
    </row>
    <row r="1394">
      <c r="A1394" s="7"/>
      <c r="B1394" s="7"/>
    </row>
    <row r="1395">
      <c r="A1395" s="7"/>
      <c r="B1395" s="7"/>
    </row>
    <row r="1396">
      <c r="A1396" s="7"/>
      <c r="B1396" s="7"/>
    </row>
    <row r="1397">
      <c r="A1397" s="7"/>
      <c r="B1397" s="7"/>
    </row>
    <row r="1398">
      <c r="A1398" s="7"/>
      <c r="B1398" s="7"/>
    </row>
    <row r="1399">
      <c r="A1399" s="7"/>
      <c r="B1399" s="7"/>
    </row>
    <row r="1400">
      <c r="A1400" s="7"/>
      <c r="B1400" s="7"/>
    </row>
    <row r="1401">
      <c r="A1401" s="7"/>
      <c r="B1401" s="7"/>
    </row>
    <row r="1402">
      <c r="A1402" s="7"/>
      <c r="B1402" s="7"/>
    </row>
    <row r="1403">
      <c r="A1403" s="7"/>
      <c r="B1403" s="7"/>
    </row>
    <row r="1404">
      <c r="A1404" s="7"/>
      <c r="B1404" s="7"/>
    </row>
    <row r="1405">
      <c r="A1405" s="7"/>
      <c r="B1405" s="7"/>
    </row>
    <row r="1406">
      <c r="A1406" s="7"/>
      <c r="B1406" s="7"/>
    </row>
    <row r="1407">
      <c r="A1407" s="7"/>
      <c r="B1407" s="7"/>
    </row>
    <row r="1408">
      <c r="A1408" s="7"/>
      <c r="B1408" s="7"/>
    </row>
    <row r="1409">
      <c r="A1409" s="7"/>
      <c r="B1409" s="7"/>
    </row>
    <row r="1410">
      <c r="A1410" s="7"/>
      <c r="B1410" s="7"/>
    </row>
    <row r="1411">
      <c r="A1411" s="7"/>
      <c r="B1411" s="7"/>
    </row>
    <row r="1412">
      <c r="A1412" s="7"/>
      <c r="B1412" s="7"/>
    </row>
    <row r="1413">
      <c r="A1413" s="7"/>
      <c r="B1413" s="7"/>
    </row>
    <row r="1414">
      <c r="A1414" s="7"/>
      <c r="B1414" s="7"/>
    </row>
    <row r="1415">
      <c r="A1415" s="7"/>
      <c r="B1415" s="7"/>
    </row>
    <row r="1416">
      <c r="A1416" s="7"/>
      <c r="B1416" s="7"/>
    </row>
    <row r="1417">
      <c r="A1417" s="7"/>
      <c r="B1417" s="7"/>
    </row>
    <row r="1418">
      <c r="A1418" s="7"/>
      <c r="B1418" s="7"/>
    </row>
    <row r="1419">
      <c r="A1419" s="7"/>
      <c r="B1419" s="7"/>
    </row>
    <row r="1420">
      <c r="A1420" s="7"/>
      <c r="B1420" s="7"/>
    </row>
    <row r="1421">
      <c r="A1421" s="7"/>
      <c r="B1421" s="7"/>
    </row>
    <row r="1422">
      <c r="A1422" s="7"/>
      <c r="B1422" s="7"/>
    </row>
    <row r="1423">
      <c r="A1423" s="7"/>
      <c r="B1423" s="7"/>
    </row>
    <row r="1424">
      <c r="A1424" s="7"/>
      <c r="B1424" s="7"/>
    </row>
    <row r="1425">
      <c r="A1425" s="7"/>
      <c r="B1425" s="7"/>
    </row>
    <row r="1426">
      <c r="A1426" s="7"/>
      <c r="B1426" s="7"/>
    </row>
    <row r="1427">
      <c r="A1427" s="7"/>
      <c r="B1427" s="7"/>
    </row>
    <row r="1428">
      <c r="A1428" s="7"/>
      <c r="B1428" s="7"/>
    </row>
    <row r="1429">
      <c r="A1429" s="7"/>
      <c r="B1429" s="7"/>
    </row>
    <row r="1430">
      <c r="A1430" s="7"/>
      <c r="B1430" s="7"/>
    </row>
    <row r="1431">
      <c r="A1431" s="7"/>
      <c r="B1431" s="7"/>
    </row>
    <row r="1432">
      <c r="A1432" s="7"/>
      <c r="B1432" s="7"/>
    </row>
    <row r="1433">
      <c r="A1433" s="7"/>
      <c r="B1433" s="7"/>
    </row>
    <row r="1434">
      <c r="A1434" s="7"/>
      <c r="B1434" s="7"/>
    </row>
    <row r="1435">
      <c r="A1435" s="7"/>
      <c r="B1435" s="7"/>
    </row>
    <row r="1436">
      <c r="A1436" s="7"/>
      <c r="B1436" s="7"/>
    </row>
    <row r="1437">
      <c r="A1437" s="7"/>
      <c r="B1437" s="7"/>
    </row>
    <row r="1438">
      <c r="A1438" s="7"/>
      <c r="B1438" s="7"/>
    </row>
    <row r="1439">
      <c r="A1439" s="7"/>
      <c r="B1439" s="7"/>
    </row>
    <row r="1440">
      <c r="A1440" s="7"/>
      <c r="B1440" s="7"/>
    </row>
    <row r="1441">
      <c r="A1441" s="7"/>
      <c r="B1441" s="7"/>
    </row>
    <row r="1442">
      <c r="A1442" s="7"/>
      <c r="B1442" s="7"/>
    </row>
    <row r="1443">
      <c r="A1443" s="7"/>
      <c r="B1443" s="7"/>
    </row>
    <row r="1444">
      <c r="A1444" s="7"/>
      <c r="B1444" s="7"/>
    </row>
    <row r="1445">
      <c r="A1445" s="7"/>
      <c r="B1445" s="7"/>
    </row>
    <row r="1446">
      <c r="A1446" s="7"/>
      <c r="B1446" s="7"/>
    </row>
    <row r="1447">
      <c r="A1447" s="7"/>
      <c r="B1447" s="7"/>
    </row>
    <row r="1448">
      <c r="A1448" s="7"/>
      <c r="B1448" s="7"/>
    </row>
    <row r="1449">
      <c r="A1449" s="7"/>
      <c r="B1449" s="7"/>
    </row>
    <row r="1450">
      <c r="A1450" s="7"/>
      <c r="B1450" s="7"/>
    </row>
    <row r="1451">
      <c r="A1451" s="7"/>
      <c r="B1451" s="7"/>
    </row>
    <row r="1452">
      <c r="A1452" s="7"/>
      <c r="B1452" s="7"/>
    </row>
    <row r="1453">
      <c r="A1453" s="7"/>
      <c r="B1453" s="7"/>
    </row>
    <row r="1454">
      <c r="A1454" s="7"/>
      <c r="B1454" s="7"/>
    </row>
    <row r="1455">
      <c r="A1455" s="7"/>
      <c r="B1455" s="7"/>
    </row>
    <row r="1456">
      <c r="A1456" s="7"/>
      <c r="B1456" s="7"/>
    </row>
    <row r="1457">
      <c r="A1457" s="7"/>
      <c r="B1457" s="7"/>
    </row>
    <row r="1458">
      <c r="A1458" s="7"/>
      <c r="B1458" s="7"/>
    </row>
    <row r="1459">
      <c r="A1459" s="7"/>
      <c r="B1459" s="7"/>
    </row>
    <row r="1460">
      <c r="A1460" s="7"/>
      <c r="B1460" s="7"/>
    </row>
    <row r="1461">
      <c r="A1461" s="7"/>
      <c r="B1461" s="7"/>
    </row>
    <row r="1462">
      <c r="A1462" s="7"/>
      <c r="B1462" s="7"/>
    </row>
    <row r="1463">
      <c r="A1463" s="7"/>
      <c r="B1463" s="7"/>
    </row>
    <row r="1464">
      <c r="A1464" s="7"/>
      <c r="B1464" s="7"/>
    </row>
    <row r="1465">
      <c r="A1465" s="7"/>
      <c r="B1465" s="7"/>
    </row>
    <row r="1466">
      <c r="A1466" s="7"/>
      <c r="B1466" s="7"/>
    </row>
    <row r="1467">
      <c r="A1467" s="7"/>
      <c r="B1467" s="7"/>
    </row>
    <row r="1468">
      <c r="A1468" s="7"/>
      <c r="B1468" s="7"/>
    </row>
    <row r="1469">
      <c r="A1469" s="7"/>
      <c r="B1469" s="7"/>
    </row>
    <row r="1470">
      <c r="A1470" s="7"/>
      <c r="B1470" s="7"/>
    </row>
    <row r="1471">
      <c r="A1471" s="7"/>
      <c r="B1471" s="7"/>
    </row>
    <row r="1472">
      <c r="A1472" s="7"/>
      <c r="B1472" s="7"/>
    </row>
    <row r="1473">
      <c r="A1473" s="7"/>
      <c r="B1473" s="7"/>
    </row>
    <row r="1474">
      <c r="A1474" s="7"/>
      <c r="B1474" s="7"/>
    </row>
    <row r="1475">
      <c r="A1475" s="7"/>
      <c r="B1475" s="7"/>
    </row>
    <row r="1476">
      <c r="A1476" s="7"/>
      <c r="B1476" s="7"/>
    </row>
    <row r="1477">
      <c r="A1477" s="7"/>
      <c r="B1477" s="7"/>
    </row>
    <row r="1478">
      <c r="A1478" s="7"/>
      <c r="B1478" s="7"/>
    </row>
    <row r="1479">
      <c r="A1479" s="7"/>
      <c r="B1479" s="7"/>
    </row>
    <row r="1480">
      <c r="A1480" s="7"/>
      <c r="B1480" s="7"/>
    </row>
    <row r="1481">
      <c r="A1481" s="7"/>
      <c r="B1481" s="7"/>
    </row>
    <row r="1482">
      <c r="A1482" s="7"/>
      <c r="B1482" s="7"/>
    </row>
    <row r="1483">
      <c r="A1483" s="7"/>
      <c r="B1483" s="7"/>
    </row>
    <row r="1484">
      <c r="A1484" s="7"/>
      <c r="B1484" s="7"/>
    </row>
    <row r="1485">
      <c r="A1485" s="7"/>
      <c r="B1485" s="7"/>
    </row>
    <row r="1486">
      <c r="A1486" s="7"/>
      <c r="B1486" s="7"/>
    </row>
    <row r="1487">
      <c r="A1487" s="7"/>
      <c r="B1487" s="7"/>
    </row>
    <row r="1488">
      <c r="A1488" s="7"/>
      <c r="B1488" s="7"/>
    </row>
    <row r="1489">
      <c r="A1489" s="7"/>
      <c r="B1489" s="7"/>
    </row>
    <row r="1490">
      <c r="A1490" s="7"/>
      <c r="B1490" s="7"/>
    </row>
    <row r="1491">
      <c r="A1491" s="7"/>
      <c r="B1491" s="7"/>
    </row>
    <row r="1492">
      <c r="A1492" s="7"/>
      <c r="B1492" s="7"/>
    </row>
    <row r="1493">
      <c r="A1493" s="7"/>
      <c r="B1493" s="7"/>
    </row>
    <row r="1494">
      <c r="A1494" s="7"/>
      <c r="B1494" s="7"/>
    </row>
    <row r="1495">
      <c r="A1495" s="7"/>
      <c r="B1495" s="7"/>
    </row>
    <row r="1496">
      <c r="A1496" s="7"/>
      <c r="B1496" s="7"/>
    </row>
    <row r="1497">
      <c r="A1497" s="7"/>
      <c r="B1497" s="7"/>
    </row>
    <row r="1498">
      <c r="A1498" s="7"/>
      <c r="B1498" s="7"/>
    </row>
    <row r="1499">
      <c r="A1499" s="7"/>
      <c r="B1499" s="7"/>
    </row>
    <row r="1500">
      <c r="A1500" s="7"/>
      <c r="B1500" s="7"/>
    </row>
    <row r="1501">
      <c r="A1501" s="7"/>
      <c r="B1501" s="7"/>
    </row>
    <row r="1502">
      <c r="A1502" s="7"/>
      <c r="B1502" s="7"/>
    </row>
    <row r="1503">
      <c r="A1503" s="7"/>
      <c r="B1503" s="7"/>
    </row>
    <row r="1504">
      <c r="A1504" s="7"/>
      <c r="B1504" s="7"/>
    </row>
    <row r="1505">
      <c r="A1505" s="7"/>
      <c r="B1505" s="7"/>
    </row>
    <row r="1506">
      <c r="A1506" s="7"/>
      <c r="B1506" s="7"/>
    </row>
    <row r="1507">
      <c r="A1507" s="7"/>
      <c r="B1507" s="7"/>
    </row>
    <row r="1508">
      <c r="A1508" s="7"/>
      <c r="B1508" s="7"/>
    </row>
    <row r="1509">
      <c r="A1509" s="7"/>
      <c r="B1509" s="7"/>
    </row>
    <row r="1510">
      <c r="A1510" s="7"/>
      <c r="B1510" s="7"/>
    </row>
    <row r="1511">
      <c r="A1511" s="7"/>
      <c r="B1511" s="7"/>
    </row>
    <row r="1512">
      <c r="A1512" s="7"/>
      <c r="B1512" s="7"/>
    </row>
    <row r="1513">
      <c r="A1513" s="7"/>
      <c r="B1513" s="7"/>
    </row>
    <row r="1514">
      <c r="A1514" s="7"/>
      <c r="B1514" s="7"/>
    </row>
    <row r="1515">
      <c r="A1515" s="7"/>
      <c r="B1515" s="7"/>
    </row>
    <row r="1516">
      <c r="A1516" s="7"/>
      <c r="B1516" s="7"/>
    </row>
    <row r="1517">
      <c r="A1517" s="7"/>
      <c r="B1517" s="7"/>
    </row>
    <row r="1518">
      <c r="A1518" s="7"/>
      <c r="B1518" s="7"/>
    </row>
    <row r="1519">
      <c r="A1519" s="7"/>
      <c r="B1519" s="7"/>
    </row>
    <row r="1520">
      <c r="A1520" s="7"/>
      <c r="B1520" s="7"/>
    </row>
    <row r="1521">
      <c r="A1521" s="7"/>
      <c r="B1521" s="7"/>
    </row>
    <row r="1522">
      <c r="A1522" s="7"/>
      <c r="B1522" s="7"/>
    </row>
    <row r="1523">
      <c r="A1523" s="7"/>
      <c r="B1523" s="7"/>
    </row>
    <row r="1524">
      <c r="A1524" s="7"/>
      <c r="B1524" s="7"/>
    </row>
    <row r="1525">
      <c r="A1525" s="7"/>
      <c r="B1525" s="7"/>
    </row>
    <row r="1526">
      <c r="A1526" s="7"/>
      <c r="B1526" s="7"/>
    </row>
    <row r="1527">
      <c r="A1527" s="7"/>
      <c r="B1527" s="7"/>
    </row>
    <row r="1528">
      <c r="A1528" s="7"/>
      <c r="B1528" s="7"/>
    </row>
    <row r="1529">
      <c r="A1529" s="7"/>
      <c r="B1529" s="7"/>
    </row>
    <row r="1530">
      <c r="A1530" s="7"/>
      <c r="B1530" s="7"/>
    </row>
    <row r="1531">
      <c r="A1531" s="7"/>
      <c r="B1531" s="7"/>
    </row>
    <row r="1532">
      <c r="A1532" s="7"/>
      <c r="B1532" s="7"/>
    </row>
    <row r="1533">
      <c r="A1533" s="7"/>
      <c r="B1533" s="7"/>
    </row>
    <row r="1534">
      <c r="A1534" s="7"/>
      <c r="B1534" s="7"/>
    </row>
    <row r="1535">
      <c r="A1535" s="7"/>
      <c r="B1535" s="7"/>
    </row>
    <row r="1536">
      <c r="A1536" s="7"/>
      <c r="B1536" s="7"/>
    </row>
    <row r="1537">
      <c r="A1537" s="7"/>
      <c r="B1537" s="7"/>
    </row>
    <row r="1538">
      <c r="A1538" s="7"/>
      <c r="B1538" s="7"/>
    </row>
    <row r="1539">
      <c r="A1539" s="7"/>
      <c r="B1539" s="7"/>
    </row>
    <row r="1540">
      <c r="A1540" s="7"/>
      <c r="B1540" s="7"/>
    </row>
    <row r="1541">
      <c r="A1541" s="7"/>
      <c r="B1541" s="7"/>
    </row>
    <row r="1542">
      <c r="A1542" s="7"/>
      <c r="B1542" s="7"/>
    </row>
    <row r="1543">
      <c r="A1543" s="7"/>
      <c r="B1543" s="7"/>
    </row>
    <row r="1544">
      <c r="A1544" s="7"/>
      <c r="B1544" s="7"/>
    </row>
    <row r="1545">
      <c r="A1545" s="7"/>
      <c r="B1545" s="7"/>
    </row>
    <row r="1546">
      <c r="A1546" s="7"/>
      <c r="B1546" s="7"/>
    </row>
    <row r="1547">
      <c r="A1547" s="7"/>
      <c r="B1547" s="7"/>
    </row>
    <row r="1548">
      <c r="A1548" s="7"/>
      <c r="B1548" s="7"/>
    </row>
    <row r="1549">
      <c r="A1549" s="7"/>
      <c r="B1549" s="7"/>
    </row>
    <row r="1550">
      <c r="A1550" s="7"/>
      <c r="B1550" s="7"/>
    </row>
    <row r="1551">
      <c r="A1551" s="7"/>
      <c r="B1551" s="7"/>
    </row>
    <row r="1552">
      <c r="A1552" s="7"/>
      <c r="B1552" s="7"/>
    </row>
    <row r="1553">
      <c r="A1553" s="7"/>
      <c r="B1553" s="7"/>
    </row>
    <row r="1554">
      <c r="A1554" s="7"/>
      <c r="B1554" s="7"/>
    </row>
    <row r="1555">
      <c r="A1555" s="7"/>
      <c r="B1555" s="7"/>
    </row>
    <row r="1556">
      <c r="A1556" s="7"/>
      <c r="B1556" s="7"/>
    </row>
    <row r="1557">
      <c r="A1557" s="7"/>
      <c r="B1557" s="7"/>
    </row>
    <row r="1558">
      <c r="A1558" s="7"/>
      <c r="B1558" s="7"/>
    </row>
    <row r="1559">
      <c r="A1559" s="7"/>
      <c r="B1559" s="7"/>
    </row>
    <row r="1560">
      <c r="A1560" s="7"/>
      <c r="B1560" s="7"/>
    </row>
    <row r="1561">
      <c r="A1561" s="7"/>
      <c r="B1561" s="7"/>
    </row>
    <row r="1562">
      <c r="A1562" s="7"/>
      <c r="B1562" s="7"/>
    </row>
    <row r="1563">
      <c r="A1563" s="7"/>
      <c r="B1563" s="7"/>
    </row>
    <row r="1564">
      <c r="A1564" s="7"/>
      <c r="B1564" s="7"/>
    </row>
    <row r="1565">
      <c r="A1565" s="7"/>
      <c r="B1565" s="7"/>
    </row>
    <row r="1566">
      <c r="A1566" s="7"/>
      <c r="B1566" s="7"/>
    </row>
    <row r="1567">
      <c r="A1567" s="7"/>
      <c r="B1567" s="7"/>
    </row>
    <row r="1568">
      <c r="A1568" s="7"/>
      <c r="B1568" s="7"/>
    </row>
    <row r="1569">
      <c r="A1569" s="7"/>
      <c r="B1569" s="7"/>
    </row>
    <row r="1570">
      <c r="A1570" s="7"/>
      <c r="B1570" s="7"/>
    </row>
    <row r="1571">
      <c r="A1571" s="7"/>
      <c r="B1571" s="7"/>
    </row>
    <row r="1572">
      <c r="A1572" s="7"/>
      <c r="B1572" s="7"/>
    </row>
    <row r="1573">
      <c r="A1573" s="7"/>
      <c r="B1573" s="7"/>
    </row>
    <row r="1574">
      <c r="A1574" s="7"/>
      <c r="B1574" s="7"/>
    </row>
    <row r="1575">
      <c r="A1575" s="7"/>
      <c r="B1575" s="7"/>
    </row>
    <row r="1576">
      <c r="A1576" s="7"/>
      <c r="B1576" s="7"/>
    </row>
    <row r="1577">
      <c r="A1577" s="7"/>
      <c r="B1577" s="7"/>
    </row>
    <row r="1578">
      <c r="A1578" s="7"/>
      <c r="B1578" s="7"/>
    </row>
    <row r="1579">
      <c r="A1579" s="7"/>
      <c r="B1579" s="7"/>
    </row>
    <row r="1580">
      <c r="A1580" s="7"/>
      <c r="B1580" s="7"/>
    </row>
    <row r="1581">
      <c r="A1581" s="7"/>
      <c r="B1581" s="7"/>
    </row>
    <row r="1582">
      <c r="A1582" s="7"/>
      <c r="B1582" s="7"/>
    </row>
    <row r="1583">
      <c r="A1583" s="7"/>
      <c r="B1583" s="7"/>
    </row>
    <row r="1584">
      <c r="A1584" s="7"/>
      <c r="B1584" s="7"/>
    </row>
    <row r="1585">
      <c r="A1585" s="7"/>
      <c r="B1585" s="7"/>
    </row>
    <row r="1586">
      <c r="A1586" s="7"/>
      <c r="B1586" s="7"/>
    </row>
    <row r="1587">
      <c r="A1587" s="7"/>
      <c r="B1587" s="7"/>
    </row>
    <row r="1588">
      <c r="A1588" s="7"/>
      <c r="B1588" s="7"/>
    </row>
    <row r="1589">
      <c r="A1589" s="7"/>
      <c r="B1589" s="7"/>
    </row>
    <row r="1590">
      <c r="A1590" s="7"/>
      <c r="B1590" s="7"/>
    </row>
    <row r="1591">
      <c r="A1591" s="7"/>
      <c r="B1591" s="7"/>
    </row>
    <row r="1592">
      <c r="A1592" s="7"/>
      <c r="B1592" s="7"/>
    </row>
    <row r="1593">
      <c r="A1593" s="7"/>
      <c r="B1593" s="7"/>
    </row>
    <row r="1594">
      <c r="A1594" s="7"/>
      <c r="B1594" s="7"/>
    </row>
    <row r="1595">
      <c r="A1595" s="7"/>
      <c r="B1595" s="7"/>
    </row>
    <row r="1596">
      <c r="A1596" s="7"/>
      <c r="B1596" s="7"/>
    </row>
    <row r="1597">
      <c r="A1597" s="7"/>
      <c r="B1597" s="7"/>
    </row>
    <row r="1598">
      <c r="A1598" s="7"/>
      <c r="B1598" s="7"/>
    </row>
    <row r="1599">
      <c r="A1599" s="7"/>
      <c r="B1599" s="7"/>
    </row>
    <row r="1600">
      <c r="A1600" s="7"/>
      <c r="B1600" s="7"/>
    </row>
    <row r="1601">
      <c r="A1601" s="7"/>
      <c r="B1601" s="7"/>
    </row>
    <row r="1602">
      <c r="A1602" s="7"/>
      <c r="B1602" s="7"/>
    </row>
    <row r="1603">
      <c r="A1603" s="7"/>
      <c r="B1603" s="7"/>
    </row>
    <row r="1604">
      <c r="A1604" s="7"/>
      <c r="B1604" s="7"/>
    </row>
    <row r="1605">
      <c r="A1605" s="7"/>
      <c r="B1605" s="7"/>
    </row>
    <row r="1606">
      <c r="A1606" s="7"/>
      <c r="B1606" s="7"/>
    </row>
    <row r="1607">
      <c r="A1607" s="7"/>
      <c r="B1607" s="7"/>
    </row>
    <row r="1608">
      <c r="A1608" s="7"/>
      <c r="B1608" s="7"/>
    </row>
    <row r="1609">
      <c r="A1609" s="7"/>
      <c r="B1609" s="7"/>
    </row>
    <row r="1610">
      <c r="A1610" s="7"/>
      <c r="B1610" s="7"/>
    </row>
    <row r="1611">
      <c r="A1611" s="7"/>
      <c r="B1611" s="7"/>
    </row>
    <row r="1612">
      <c r="A1612" s="7"/>
      <c r="B1612" s="7"/>
    </row>
    <row r="1613">
      <c r="A1613" s="7"/>
      <c r="B1613" s="7"/>
    </row>
    <row r="1614">
      <c r="A1614" s="7"/>
      <c r="B1614" s="7"/>
    </row>
    <row r="1615">
      <c r="A1615" s="7"/>
      <c r="B1615" s="7"/>
    </row>
    <row r="1616">
      <c r="A1616" s="7"/>
      <c r="B1616" s="7"/>
    </row>
    <row r="1617">
      <c r="A1617" s="7"/>
      <c r="B1617" s="7"/>
    </row>
    <row r="1618">
      <c r="A1618" s="7"/>
      <c r="B1618" s="7"/>
    </row>
    <row r="1619">
      <c r="A1619" s="7"/>
      <c r="B1619" s="7"/>
    </row>
    <row r="1620">
      <c r="A1620" s="7"/>
      <c r="B1620" s="7"/>
    </row>
    <row r="1621">
      <c r="A1621" s="7"/>
      <c r="B1621" s="7"/>
    </row>
    <row r="1622">
      <c r="A1622" s="7"/>
      <c r="B1622" s="7"/>
    </row>
    <row r="1623">
      <c r="A1623" s="7"/>
      <c r="B1623" s="7"/>
    </row>
    <row r="1624">
      <c r="A1624" s="7"/>
      <c r="B1624" s="7"/>
    </row>
    <row r="1625">
      <c r="A1625" s="7"/>
      <c r="B1625" s="7"/>
    </row>
    <row r="1626">
      <c r="A1626" s="7"/>
      <c r="B1626" s="7"/>
    </row>
    <row r="1627">
      <c r="A1627" s="7"/>
      <c r="B1627" s="7"/>
    </row>
    <row r="1628">
      <c r="A1628" s="7"/>
      <c r="B1628" s="7"/>
    </row>
    <row r="1629">
      <c r="A1629" s="7"/>
      <c r="B1629" s="7"/>
    </row>
    <row r="1630">
      <c r="A1630" s="7"/>
      <c r="B1630" s="7"/>
    </row>
    <row r="1631">
      <c r="A1631" s="7"/>
      <c r="B1631" s="7"/>
    </row>
    <row r="1632">
      <c r="A1632" s="7"/>
      <c r="B1632" s="7"/>
    </row>
    <row r="1633">
      <c r="A1633" s="7"/>
      <c r="B1633" s="7"/>
    </row>
    <row r="1634">
      <c r="A1634" s="7"/>
      <c r="B1634" s="7"/>
    </row>
    <row r="1635">
      <c r="A1635" s="7"/>
      <c r="B1635" s="7"/>
    </row>
    <row r="1636">
      <c r="A1636" s="7"/>
      <c r="B1636" s="7"/>
    </row>
    <row r="1637">
      <c r="A1637" s="7"/>
      <c r="B1637" s="7"/>
    </row>
    <row r="1638">
      <c r="A1638" s="7"/>
      <c r="B1638" s="7"/>
    </row>
    <row r="1639">
      <c r="A1639" s="7"/>
      <c r="B1639" s="7"/>
    </row>
    <row r="1640">
      <c r="A1640" s="7"/>
      <c r="B1640" s="7"/>
    </row>
    <row r="1641">
      <c r="A1641" s="7"/>
      <c r="B1641" s="7"/>
    </row>
    <row r="1642">
      <c r="A1642" s="7"/>
      <c r="B1642" s="7"/>
    </row>
    <row r="1643">
      <c r="A1643" s="7"/>
      <c r="B1643" s="7"/>
    </row>
    <row r="1644">
      <c r="A1644" s="7"/>
      <c r="B1644" s="7"/>
    </row>
    <row r="1645">
      <c r="A1645" s="7"/>
      <c r="B1645" s="7"/>
    </row>
    <row r="1646">
      <c r="A1646" s="7"/>
      <c r="B1646" s="7"/>
    </row>
    <row r="1647">
      <c r="A1647" s="7"/>
      <c r="B1647" s="7"/>
    </row>
    <row r="1648">
      <c r="A1648" s="7"/>
      <c r="B1648" s="7"/>
    </row>
    <row r="1649">
      <c r="A1649" s="7"/>
      <c r="B1649" s="7"/>
    </row>
    <row r="1650">
      <c r="A1650" s="7"/>
      <c r="B1650" s="7"/>
    </row>
    <row r="1651">
      <c r="A1651" s="7"/>
      <c r="B1651" s="7"/>
    </row>
    <row r="1652">
      <c r="A1652" s="7"/>
      <c r="B1652" s="7"/>
    </row>
    <row r="1653">
      <c r="A1653" s="7"/>
      <c r="B1653" s="7"/>
    </row>
    <row r="1654">
      <c r="A1654" s="7"/>
      <c r="B1654" s="7"/>
    </row>
    <row r="1655">
      <c r="A1655" s="7"/>
      <c r="B1655" s="7"/>
    </row>
    <row r="1656">
      <c r="A1656" s="7"/>
      <c r="B1656" s="7"/>
    </row>
    <row r="1657">
      <c r="A1657" s="7"/>
      <c r="B1657" s="7"/>
    </row>
    <row r="1658">
      <c r="A1658" s="7"/>
      <c r="B1658" s="7"/>
    </row>
    <row r="1659">
      <c r="A1659" s="7"/>
      <c r="B1659" s="7"/>
    </row>
    <row r="1660">
      <c r="A1660" s="7"/>
      <c r="B1660" s="7"/>
    </row>
    <row r="1661">
      <c r="A1661" s="7"/>
      <c r="B1661" s="7"/>
    </row>
    <row r="1662">
      <c r="A1662" s="7"/>
      <c r="B1662" s="7"/>
    </row>
    <row r="1663">
      <c r="A1663" s="7"/>
      <c r="B1663" s="7"/>
    </row>
    <row r="1664">
      <c r="A1664" s="7"/>
      <c r="B1664" s="7"/>
    </row>
    <row r="1665">
      <c r="A1665" s="7"/>
      <c r="B1665" s="7"/>
    </row>
    <row r="1666">
      <c r="A1666" s="7"/>
      <c r="B1666" s="7"/>
    </row>
    <row r="1667">
      <c r="A1667" s="7"/>
      <c r="B1667" s="7"/>
    </row>
    <row r="1668">
      <c r="A1668" s="7"/>
      <c r="B1668" s="7"/>
    </row>
    <row r="1669">
      <c r="A1669" s="7"/>
      <c r="B1669" s="7"/>
    </row>
    <row r="1670">
      <c r="A1670" s="7"/>
      <c r="B1670" s="7"/>
    </row>
    <row r="1671">
      <c r="A1671" s="7"/>
      <c r="B1671" s="7"/>
    </row>
    <row r="1672">
      <c r="A1672" s="7"/>
      <c r="B1672" s="7"/>
    </row>
    <row r="1673">
      <c r="A1673" s="7"/>
      <c r="B1673" s="7"/>
    </row>
    <row r="1674">
      <c r="A1674" s="7"/>
      <c r="B1674" s="7"/>
    </row>
    <row r="1675">
      <c r="A1675" s="7"/>
      <c r="B1675" s="7"/>
    </row>
    <row r="1676">
      <c r="A1676" s="7"/>
      <c r="B1676" s="7"/>
    </row>
    <row r="1677">
      <c r="A1677" s="7"/>
      <c r="B1677" s="7"/>
    </row>
    <row r="1678">
      <c r="A1678" s="7"/>
      <c r="B1678" s="7"/>
    </row>
    <row r="1679">
      <c r="A1679" s="7"/>
      <c r="B1679" s="7"/>
    </row>
    <row r="1680">
      <c r="A1680" s="7"/>
      <c r="B1680" s="7"/>
    </row>
    <row r="1681">
      <c r="A1681" s="7"/>
      <c r="B1681" s="7"/>
    </row>
    <row r="1682">
      <c r="A1682" s="7"/>
      <c r="B1682" s="7"/>
    </row>
    <row r="1683">
      <c r="A1683" s="7"/>
      <c r="B1683" s="7"/>
    </row>
    <row r="1684">
      <c r="A1684" s="7"/>
      <c r="B1684" s="7"/>
    </row>
    <row r="1685">
      <c r="A1685" s="7"/>
      <c r="B1685" s="7"/>
    </row>
    <row r="1686">
      <c r="A1686" s="7"/>
      <c r="B1686" s="7"/>
    </row>
    <row r="1687">
      <c r="A1687" s="7"/>
      <c r="B1687" s="7"/>
    </row>
    <row r="1688">
      <c r="A1688" s="7"/>
      <c r="B1688" s="7"/>
    </row>
    <row r="1689">
      <c r="A1689" s="7"/>
      <c r="B1689" s="7"/>
    </row>
    <row r="1690">
      <c r="A1690" s="7"/>
      <c r="B1690" s="7"/>
    </row>
    <row r="1691">
      <c r="A1691" s="7"/>
      <c r="B1691" s="7"/>
    </row>
    <row r="1692">
      <c r="A1692" s="7"/>
      <c r="B1692" s="7"/>
    </row>
    <row r="1693">
      <c r="A1693" s="7"/>
      <c r="B1693" s="7"/>
    </row>
    <row r="1694">
      <c r="A1694" s="7"/>
      <c r="B1694" s="7"/>
    </row>
    <row r="1695">
      <c r="A1695" s="7"/>
      <c r="B1695" s="7"/>
    </row>
    <row r="1696">
      <c r="A1696" s="7"/>
      <c r="B1696" s="7"/>
    </row>
    <row r="1697">
      <c r="A1697" s="7"/>
      <c r="B1697" s="7"/>
    </row>
    <row r="1698">
      <c r="A1698" s="7"/>
      <c r="B1698" s="7"/>
    </row>
    <row r="1699">
      <c r="A1699" s="7"/>
      <c r="B1699" s="7"/>
    </row>
    <row r="1700">
      <c r="A1700" s="7"/>
      <c r="B1700" s="7"/>
    </row>
    <row r="1701">
      <c r="A1701" s="7"/>
      <c r="B1701" s="7"/>
    </row>
    <row r="1702">
      <c r="A1702" s="7"/>
      <c r="B1702" s="7"/>
    </row>
    <row r="1703">
      <c r="A1703" s="7"/>
      <c r="B1703" s="7"/>
    </row>
    <row r="1704">
      <c r="A1704" s="7"/>
      <c r="B1704" s="7"/>
    </row>
    <row r="1705">
      <c r="A1705" s="7"/>
      <c r="B1705" s="7"/>
    </row>
    <row r="1706">
      <c r="A1706" s="7"/>
      <c r="B1706" s="7"/>
    </row>
    <row r="1707">
      <c r="A1707" s="7"/>
      <c r="B1707" s="7"/>
    </row>
    <row r="1708">
      <c r="A1708" s="7"/>
      <c r="B1708" s="7"/>
    </row>
    <row r="1709">
      <c r="A1709" s="7"/>
      <c r="B1709" s="7"/>
    </row>
    <row r="1710">
      <c r="A1710" s="7"/>
      <c r="B1710" s="7"/>
    </row>
    <row r="1711">
      <c r="A1711" s="7"/>
      <c r="B1711" s="7"/>
    </row>
    <row r="1712">
      <c r="A1712" s="7"/>
      <c r="B1712" s="7"/>
    </row>
    <row r="1713">
      <c r="A1713" s="7"/>
      <c r="B1713" s="7"/>
    </row>
    <row r="1714">
      <c r="A1714" s="7"/>
      <c r="B1714" s="7"/>
    </row>
    <row r="1715">
      <c r="A1715" s="7"/>
      <c r="B1715" s="7"/>
    </row>
    <row r="1716">
      <c r="A1716" s="7"/>
      <c r="B1716" s="7"/>
    </row>
    <row r="1717">
      <c r="A1717" s="7"/>
      <c r="B1717" s="7"/>
    </row>
    <row r="1718">
      <c r="A1718" s="7"/>
      <c r="B1718" s="7"/>
    </row>
    <row r="1719">
      <c r="A1719" s="7"/>
      <c r="B1719" s="7"/>
    </row>
    <row r="1720">
      <c r="A1720" s="7"/>
      <c r="B1720" s="7"/>
    </row>
    <row r="1721">
      <c r="A1721" s="7"/>
      <c r="B1721" s="7"/>
    </row>
    <row r="1722">
      <c r="A1722" s="7"/>
      <c r="B1722" s="7"/>
    </row>
    <row r="1723">
      <c r="A1723" s="7"/>
      <c r="B1723" s="7"/>
    </row>
    <row r="1724">
      <c r="A1724" s="7"/>
      <c r="B1724" s="7"/>
    </row>
    <row r="1725">
      <c r="A1725" s="7"/>
      <c r="B1725" s="7"/>
    </row>
    <row r="1726">
      <c r="A1726" s="7"/>
      <c r="B1726" s="7"/>
    </row>
    <row r="1727">
      <c r="A1727" s="7"/>
      <c r="B1727" s="7"/>
    </row>
    <row r="1728">
      <c r="A1728" s="7"/>
      <c r="B1728" s="7"/>
    </row>
    <row r="1729">
      <c r="A1729" s="7"/>
      <c r="B1729" s="7"/>
    </row>
    <row r="1730">
      <c r="A1730" s="7"/>
      <c r="B1730" s="7"/>
    </row>
    <row r="1731">
      <c r="A1731" s="7"/>
      <c r="B1731" s="7"/>
    </row>
    <row r="1732">
      <c r="A1732" s="7"/>
      <c r="B1732" s="7"/>
    </row>
    <row r="1733">
      <c r="A1733" s="7"/>
      <c r="B1733" s="7"/>
    </row>
    <row r="1734">
      <c r="A1734" s="7"/>
      <c r="B1734" s="7"/>
    </row>
    <row r="1735">
      <c r="A1735" s="7"/>
      <c r="B1735" s="7"/>
    </row>
    <row r="1736">
      <c r="A1736" s="7"/>
      <c r="B1736" s="7"/>
    </row>
    <row r="1737">
      <c r="A1737" s="7"/>
      <c r="B1737" s="7"/>
    </row>
    <row r="1738">
      <c r="A1738" s="7"/>
      <c r="B1738" s="7"/>
    </row>
    <row r="1739">
      <c r="A1739" s="7"/>
      <c r="B1739" s="7"/>
    </row>
    <row r="1740">
      <c r="A1740" s="7"/>
      <c r="B1740" s="7"/>
    </row>
    <row r="1741">
      <c r="A1741" s="7"/>
      <c r="B1741" s="7"/>
    </row>
    <row r="1742">
      <c r="A1742" s="7"/>
      <c r="B1742" s="7"/>
    </row>
    <row r="1743">
      <c r="A1743" s="7"/>
      <c r="B1743" s="7"/>
    </row>
    <row r="1744">
      <c r="A1744" s="7"/>
      <c r="B1744" s="7"/>
    </row>
    <row r="1745">
      <c r="A1745" s="7"/>
      <c r="B1745" s="7"/>
    </row>
    <row r="1746">
      <c r="A1746" s="7"/>
      <c r="B1746" s="7"/>
    </row>
    <row r="1747">
      <c r="A1747" s="7"/>
      <c r="B1747" s="7"/>
    </row>
    <row r="1748">
      <c r="A1748" s="7"/>
      <c r="B1748" s="7"/>
    </row>
    <row r="1749">
      <c r="A1749" s="7"/>
      <c r="B1749" s="7"/>
    </row>
    <row r="1750">
      <c r="A1750" s="7"/>
      <c r="B1750" s="7"/>
    </row>
    <row r="1751">
      <c r="A1751" s="7"/>
      <c r="B1751" s="7"/>
    </row>
    <row r="1752">
      <c r="A1752" s="7"/>
      <c r="B1752" s="7"/>
    </row>
    <row r="1753">
      <c r="A1753" s="7"/>
      <c r="B1753" s="7"/>
    </row>
    <row r="1754">
      <c r="A1754" s="7"/>
      <c r="B1754" s="7"/>
    </row>
    <row r="1755">
      <c r="A1755" s="7"/>
      <c r="B1755" s="7"/>
    </row>
    <row r="1756">
      <c r="A1756" s="7"/>
      <c r="B1756" s="7"/>
    </row>
    <row r="1757">
      <c r="A1757" s="7"/>
      <c r="B1757" s="7"/>
    </row>
    <row r="1758">
      <c r="A1758" s="7"/>
      <c r="B1758" s="7"/>
    </row>
    <row r="1759">
      <c r="A1759" s="7"/>
      <c r="B1759" s="7"/>
    </row>
    <row r="1760">
      <c r="A1760" s="7"/>
      <c r="B1760" s="7"/>
    </row>
    <row r="1761">
      <c r="A1761" s="7"/>
      <c r="B1761" s="7"/>
    </row>
    <row r="1762">
      <c r="A1762" s="7"/>
      <c r="B1762" s="7"/>
    </row>
    <row r="1763">
      <c r="A1763" s="7"/>
      <c r="B1763" s="7"/>
    </row>
    <row r="1764">
      <c r="A1764" s="7"/>
      <c r="B1764" s="7"/>
    </row>
    <row r="1765">
      <c r="A1765" s="7"/>
      <c r="B1765" s="7"/>
    </row>
    <row r="1766">
      <c r="A1766" s="7"/>
      <c r="B1766" s="7"/>
    </row>
    <row r="1767">
      <c r="A1767" s="7"/>
      <c r="B1767" s="7"/>
    </row>
    <row r="1768">
      <c r="A1768" s="7"/>
      <c r="B1768" s="7"/>
    </row>
    <row r="1769">
      <c r="A1769" s="7"/>
      <c r="B1769" s="7"/>
    </row>
    <row r="1770">
      <c r="A1770" s="7"/>
      <c r="B1770" s="7"/>
    </row>
    <row r="1771">
      <c r="A1771" s="7"/>
      <c r="B1771" s="7"/>
    </row>
    <row r="1772">
      <c r="A1772" s="7"/>
      <c r="B1772" s="7"/>
    </row>
    <row r="1773">
      <c r="A1773" s="7"/>
      <c r="B1773" s="7"/>
    </row>
    <row r="1774">
      <c r="A1774" s="7"/>
      <c r="B1774" s="7"/>
    </row>
    <row r="1775">
      <c r="A1775" s="7"/>
      <c r="B1775" s="7"/>
    </row>
    <row r="1776">
      <c r="A1776" s="7"/>
      <c r="B1776" s="7"/>
    </row>
    <row r="1777">
      <c r="A1777" s="7"/>
      <c r="B1777" s="7"/>
    </row>
    <row r="1778">
      <c r="A1778" s="7"/>
      <c r="B1778" s="7"/>
    </row>
    <row r="1779">
      <c r="A1779" s="7"/>
      <c r="B1779" s="7"/>
    </row>
    <row r="1780">
      <c r="A1780" s="7"/>
      <c r="B1780" s="7"/>
    </row>
    <row r="1781">
      <c r="A1781" s="7"/>
      <c r="B1781" s="7"/>
    </row>
    <row r="1782">
      <c r="A1782" s="7"/>
      <c r="B1782" s="7"/>
    </row>
    <row r="1783">
      <c r="A1783" s="7"/>
      <c r="B1783" s="7"/>
    </row>
    <row r="1784">
      <c r="A1784" s="7"/>
      <c r="B1784" s="7"/>
    </row>
    <row r="1785">
      <c r="A1785" s="7"/>
      <c r="B1785" s="7"/>
    </row>
    <row r="1786">
      <c r="A1786" s="7"/>
      <c r="B1786" s="7"/>
    </row>
    <row r="1787">
      <c r="A1787" s="7"/>
      <c r="B1787" s="7"/>
    </row>
    <row r="1788">
      <c r="A1788" s="7"/>
      <c r="B1788" s="7"/>
    </row>
    <row r="1789">
      <c r="A1789" s="7"/>
      <c r="B1789" s="7"/>
    </row>
    <row r="1790">
      <c r="A1790" s="7"/>
      <c r="B1790" s="7"/>
    </row>
    <row r="1791">
      <c r="A1791" s="7"/>
      <c r="B1791" s="7"/>
    </row>
    <row r="1792">
      <c r="A1792" s="7"/>
      <c r="B1792" s="7"/>
    </row>
    <row r="1793">
      <c r="A1793" s="7"/>
      <c r="B1793" s="7"/>
    </row>
    <row r="1794">
      <c r="A1794" s="7"/>
      <c r="B1794" s="7"/>
    </row>
    <row r="1795">
      <c r="A1795" s="7"/>
      <c r="B1795" s="7"/>
    </row>
    <row r="1796">
      <c r="A1796" s="7"/>
      <c r="B1796" s="7"/>
    </row>
    <row r="1797">
      <c r="A1797" s="7"/>
      <c r="B1797" s="7"/>
    </row>
    <row r="1798">
      <c r="A1798" s="7"/>
      <c r="B1798" s="7"/>
    </row>
    <row r="1799">
      <c r="A1799" s="7"/>
      <c r="B1799" s="7"/>
    </row>
    <row r="1800">
      <c r="A1800" s="7"/>
      <c r="B1800" s="7"/>
    </row>
    <row r="1801">
      <c r="A1801" s="7"/>
      <c r="B1801" s="7"/>
    </row>
    <row r="1802">
      <c r="A1802" s="7"/>
      <c r="B1802" s="7"/>
    </row>
    <row r="1803">
      <c r="A1803" s="7"/>
      <c r="B1803" s="7"/>
    </row>
    <row r="1804">
      <c r="A1804" s="7"/>
      <c r="B1804" s="7"/>
    </row>
    <row r="1805">
      <c r="A1805" s="7"/>
      <c r="B1805" s="7"/>
    </row>
    <row r="1806">
      <c r="A1806" s="7"/>
      <c r="B1806" s="7"/>
    </row>
    <row r="1807">
      <c r="A1807" s="7"/>
      <c r="B1807" s="7"/>
    </row>
    <row r="1808">
      <c r="A1808" s="7"/>
      <c r="B1808" s="7"/>
    </row>
    <row r="1809">
      <c r="A1809" s="7"/>
      <c r="B1809" s="7"/>
    </row>
    <row r="1810">
      <c r="A1810" s="7"/>
      <c r="B1810" s="7"/>
    </row>
    <row r="1811">
      <c r="A1811" s="7"/>
      <c r="B1811" s="7"/>
    </row>
    <row r="1812">
      <c r="A1812" s="7"/>
      <c r="B1812" s="7"/>
    </row>
    <row r="1813">
      <c r="A1813" s="7"/>
      <c r="B1813" s="7"/>
    </row>
    <row r="1814">
      <c r="A1814" s="7"/>
      <c r="B1814" s="7"/>
    </row>
    <row r="1815">
      <c r="A1815" s="7"/>
      <c r="B1815" s="7"/>
    </row>
    <row r="1816">
      <c r="A1816" s="7"/>
      <c r="B1816" s="7"/>
    </row>
    <row r="1817">
      <c r="A1817" s="7"/>
      <c r="B1817" s="7"/>
    </row>
    <row r="1818">
      <c r="A1818" s="7"/>
      <c r="B1818" s="7"/>
    </row>
    <row r="1819">
      <c r="A1819" s="7"/>
      <c r="B1819" s="7"/>
    </row>
    <row r="1820">
      <c r="A1820" s="7"/>
      <c r="B1820" s="7"/>
    </row>
    <row r="1821">
      <c r="A1821" s="7"/>
      <c r="B1821" s="7"/>
    </row>
    <row r="1822">
      <c r="A1822" s="7"/>
      <c r="B1822" s="7"/>
    </row>
    <row r="1823">
      <c r="A1823" s="7"/>
      <c r="B1823" s="7"/>
    </row>
    <row r="1824">
      <c r="A1824" s="7"/>
      <c r="B1824" s="7"/>
    </row>
    <row r="1825">
      <c r="A1825" s="7"/>
      <c r="B1825" s="7"/>
    </row>
    <row r="1826">
      <c r="A1826" s="7"/>
      <c r="B1826" s="7"/>
    </row>
    <row r="1827">
      <c r="A1827" s="7"/>
      <c r="B1827" s="7"/>
    </row>
    <row r="1828">
      <c r="A1828" s="7"/>
      <c r="B1828" s="7"/>
    </row>
    <row r="1829">
      <c r="A1829" s="7"/>
      <c r="B1829" s="7"/>
    </row>
    <row r="1830">
      <c r="A1830" s="7"/>
      <c r="B1830" s="7"/>
    </row>
    <row r="1831">
      <c r="A1831" s="7"/>
      <c r="B1831" s="7"/>
    </row>
    <row r="1832">
      <c r="A1832" s="7"/>
      <c r="B1832" s="7"/>
    </row>
    <row r="1833">
      <c r="A1833" s="7"/>
      <c r="B1833" s="7"/>
    </row>
    <row r="1834">
      <c r="A1834" s="7"/>
      <c r="B1834" s="7"/>
    </row>
    <row r="1835">
      <c r="A1835" s="7"/>
      <c r="B1835" s="7"/>
    </row>
    <row r="1836">
      <c r="A1836" s="7"/>
      <c r="B1836" s="7"/>
    </row>
    <row r="1837">
      <c r="A1837" s="7"/>
      <c r="B1837" s="7"/>
    </row>
    <row r="1838">
      <c r="A1838" s="7"/>
      <c r="B1838" s="7"/>
    </row>
    <row r="1839">
      <c r="A1839" s="7"/>
      <c r="B1839" s="7"/>
    </row>
    <row r="1840">
      <c r="A1840" s="7"/>
      <c r="B1840" s="7"/>
    </row>
    <row r="1841">
      <c r="A1841" s="7"/>
      <c r="B1841" s="7"/>
    </row>
    <row r="1842">
      <c r="A1842" s="7"/>
      <c r="B1842" s="7"/>
    </row>
    <row r="1843">
      <c r="A1843" s="7"/>
      <c r="B1843" s="7"/>
    </row>
    <row r="1844">
      <c r="A1844" s="7"/>
      <c r="B1844" s="7"/>
    </row>
    <row r="1845">
      <c r="A1845" s="7"/>
      <c r="B1845" s="7"/>
    </row>
    <row r="1846">
      <c r="A1846" s="7"/>
      <c r="B1846" s="7"/>
    </row>
    <row r="1847">
      <c r="A1847" s="7"/>
      <c r="B1847" s="7"/>
    </row>
    <row r="1848">
      <c r="A1848" s="7"/>
      <c r="B1848" s="7"/>
    </row>
    <row r="1849">
      <c r="A1849" s="7"/>
      <c r="B1849" s="7"/>
    </row>
    <row r="1850">
      <c r="A1850" s="7"/>
      <c r="B1850" s="7"/>
    </row>
    <row r="1851">
      <c r="A1851" s="7"/>
      <c r="B1851" s="7"/>
    </row>
    <row r="1852">
      <c r="A1852" s="7"/>
      <c r="B1852" s="7"/>
    </row>
    <row r="1853">
      <c r="A1853" s="7"/>
      <c r="B1853" s="7"/>
    </row>
    <row r="1854">
      <c r="A1854" s="7"/>
      <c r="B1854" s="7"/>
    </row>
    <row r="1855">
      <c r="A1855" s="7"/>
      <c r="B1855" s="7"/>
    </row>
    <row r="1856">
      <c r="A1856" s="7"/>
      <c r="B1856" s="7"/>
    </row>
    <row r="1857">
      <c r="A1857" s="7"/>
      <c r="B1857" s="7"/>
    </row>
    <row r="1858">
      <c r="A1858" s="7"/>
      <c r="B1858" s="7"/>
    </row>
    <row r="1859">
      <c r="A1859" s="7"/>
      <c r="B1859" s="7"/>
    </row>
    <row r="1860">
      <c r="A1860" s="7"/>
      <c r="B1860" s="7"/>
    </row>
    <row r="1861">
      <c r="A1861" s="7"/>
      <c r="B1861" s="7"/>
    </row>
    <row r="1862">
      <c r="A1862" s="7"/>
      <c r="B1862" s="7"/>
    </row>
    <row r="1863">
      <c r="A1863" s="7"/>
      <c r="B1863" s="7"/>
    </row>
    <row r="1864">
      <c r="A1864" s="7"/>
      <c r="B1864" s="7"/>
    </row>
    <row r="1865">
      <c r="A1865" s="7"/>
      <c r="B1865" s="7"/>
    </row>
    <row r="1866">
      <c r="A1866" s="7"/>
      <c r="B1866" s="7"/>
    </row>
    <row r="1867">
      <c r="A1867" s="7"/>
      <c r="B1867" s="7"/>
    </row>
    <row r="1868">
      <c r="A1868" s="7"/>
      <c r="B1868" s="7"/>
    </row>
    <row r="1869">
      <c r="A1869" s="7"/>
      <c r="B1869" s="7"/>
    </row>
    <row r="1870">
      <c r="A1870" s="7"/>
      <c r="B1870" s="7"/>
    </row>
    <row r="1871">
      <c r="A1871" s="7"/>
      <c r="B1871" s="7"/>
    </row>
    <row r="1872">
      <c r="A1872" s="7"/>
      <c r="B1872" s="7"/>
    </row>
    <row r="1873">
      <c r="A1873" s="7"/>
      <c r="B1873" s="7"/>
    </row>
    <row r="1874">
      <c r="A1874" s="7"/>
      <c r="B1874" s="7"/>
    </row>
    <row r="1875">
      <c r="A1875" s="7"/>
      <c r="B1875" s="7"/>
    </row>
    <row r="1876">
      <c r="A1876" s="7"/>
      <c r="B1876" s="7"/>
    </row>
    <row r="1877">
      <c r="A1877" s="7"/>
      <c r="B1877" s="7"/>
    </row>
    <row r="1878">
      <c r="A1878" s="7"/>
      <c r="B1878" s="7"/>
    </row>
    <row r="1879">
      <c r="A1879" s="7"/>
      <c r="B1879" s="7"/>
    </row>
    <row r="1880">
      <c r="A1880" s="7"/>
      <c r="B1880" s="7"/>
    </row>
    <row r="1881">
      <c r="A1881" s="7"/>
      <c r="B1881" s="7"/>
    </row>
    <row r="1882">
      <c r="A1882" s="7"/>
      <c r="B1882" s="7"/>
    </row>
    <row r="1883">
      <c r="A1883" s="7"/>
      <c r="B1883" s="7"/>
    </row>
    <row r="1884">
      <c r="A1884" s="7"/>
      <c r="B1884" s="7"/>
    </row>
    <row r="1885">
      <c r="A1885" s="7"/>
      <c r="B1885" s="7"/>
    </row>
    <row r="1886">
      <c r="A1886" s="7"/>
      <c r="B1886" s="7"/>
    </row>
    <row r="1887">
      <c r="A1887" s="7"/>
      <c r="B1887" s="7"/>
    </row>
    <row r="1888">
      <c r="A1888" s="7"/>
      <c r="B1888" s="7"/>
    </row>
    <row r="1889">
      <c r="A1889" s="7"/>
      <c r="B1889" s="7"/>
    </row>
    <row r="1890">
      <c r="A1890" s="7"/>
      <c r="B1890" s="7"/>
    </row>
    <row r="1891">
      <c r="A1891" s="7"/>
      <c r="B1891" s="7"/>
    </row>
    <row r="1892">
      <c r="A1892" s="7"/>
      <c r="B1892" s="7"/>
    </row>
    <row r="1893">
      <c r="A1893" s="7"/>
      <c r="B1893" s="7"/>
    </row>
    <row r="1894">
      <c r="A1894" s="7"/>
      <c r="B1894" s="7"/>
    </row>
    <row r="1895">
      <c r="A1895" s="7"/>
      <c r="B1895" s="7"/>
    </row>
    <row r="1896">
      <c r="A1896" s="7"/>
      <c r="B1896" s="7"/>
    </row>
    <row r="1897">
      <c r="A1897" s="7"/>
      <c r="B1897" s="7"/>
    </row>
    <row r="1898">
      <c r="A1898" s="7"/>
      <c r="B1898" s="7"/>
    </row>
    <row r="1899">
      <c r="A1899" s="7"/>
      <c r="B1899" s="7"/>
    </row>
    <row r="1900">
      <c r="A1900" s="7"/>
      <c r="B1900" s="7"/>
    </row>
    <row r="1901">
      <c r="A1901" s="7"/>
      <c r="B1901" s="7"/>
    </row>
    <row r="1902">
      <c r="A1902" s="7"/>
      <c r="B1902" s="7"/>
    </row>
    <row r="1903">
      <c r="A1903" s="7"/>
      <c r="B1903" s="7"/>
    </row>
    <row r="1904">
      <c r="A1904" s="7"/>
      <c r="B1904" s="7"/>
    </row>
    <row r="1905">
      <c r="A1905" s="7"/>
      <c r="B1905" s="7"/>
    </row>
    <row r="1906">
      <c r="A1906" s="7"/>
      <c r="B1906" s="7"/>
    </row>
    <row r="1907">
      <c r="A1907" s="7"/>
      <c r="B1907" s="7"/>
    </row>
    <row r="1908">
      <c r="A1908" s="7"/>
      <c r="B1908" s="7"/>
    </row>
    <row r="1909">
      <c r="A1909" s="7"/>
      <c r="B1909" s="7"/>
    </row>
    <row r="1910">
      <c r="A1910" s="7"/>
      <c r="B1910" s="7"/>
    </row>
    <row r="1911">
      <c r="A1911" s="7"/>
      <c r="B1911" s="7"/>
    </row>
    <row r="1912">
      <c r="A1912" s="7"/>
      <c r="B1912" s="7"/>
    </row>
    <row r="1913">
      <c r="A1913" s="7"/>
      <c r="B1913" s="7"/>
    </row>
    <row r="1914">
      <c r="A1914" s="7"/>
      <c r="B1914" s="7"/>
    </row>
    <row r="1915">
      <c r="A1915" s="7"/>
      <c r="B1915" s="7"/>
    </row>
    <row r="1916">
      <c r="A1916" s="7"/>
      <c r="B1916" s="7"/>
    </row>
    <row r="1917">
      <c r="A1917" s="7"/>
      <c r="B1917" s="7"/>
    </row>
    <row r="1918">
      <c r="A1918" s="7"/>
      <c r="B1918" s="7"/>
    </row>
    <row r="1919">
      <c r="A1919" s="7"/>
      <c r="B1919" s="7"/>
    </row>
    <row r="1920">
      <c r="A1920" s="7"/>
      <c r="B1920" s="7"/>
    </row>
    <row r="1921">
      <c r="A1921" s="7"/>
      <c r="B1921" s="7"/>
    </row>
    <row r="1922">
      <c r="A1922" s="7"/>
      <c r="B1922" s="7"/>
    </row>
    <row r="1923">
      <c r="A1923" s="7"/>
      <c r="B1923" s="7"/>
    </row>
    <row r="1924">
      <c r="A1924" s="7"/>
      <c r="B1924" s="7"/>
    </row>
    <row r="1925">
      <c r="A1925" s="7"/>
      <c r="B1925" s="7"/>
    </row>
    <row r="1926">
      <c r="A1926" s="7"/>
      <c r="B1926" s="7"/>
    </row>
    <row r="1927">
      <c r="A1927" s="7"/>
      <c r="B1927" s="7"/>
    </row>
    <row r="1928">
      <c r="A1928" s="7"/>
      <c r="B1928" s="7"/>
    </row>
    <row r="1929">
      <c r="A1929" s="7"/>
      <c r="B1929" s="7"/>
    </row>
    <row r="1930">
      <c r="A1930" s="7"/>
      <c r="B1930" s="7"/>
    </row>
    <row r="1931">
      <c r="A1931" s="7"/>
      <c r="B1931" s="7"/>
    </row>
    <row r="1932">
      <c r="A1932" s="7"/>
      <c r="B1932" s="7"/>
    </row>
    <row r="1933">
      <c r="A1933" s="7"/>
      <c r="B1933" s="7"/>
    </row>
    <row r="1934">
      <c r="A1934" s="7"/>
      <c r="B1934" s="7"/>
    </row>
    <row r="1935">
      <c r="A1935" s="7"/>
      <c r="B1935" s="7"/>
    </row>
    <row r="1936">
      <c r="A1936" s="7"/>
      <c r="B1936" s="7"/>
    </row>
    <row r="1937">
      <c r="A1937" s="7"/>
      <c r="B1937" s="7"/>
    </row>
    <row r="1938">
      <c r="A1938" s="7"/>
      <c r="B1938" s="7"/>
    </row>
    <row r="1939">
      <c r="A1939" s="7"/>
      <c r="B1939" s="7"/>
    </row>
    <row r="1940">
      <c r="A1940" s="7"/>
      <c r="B1940" s="7"/>
    </row>
    <row r="1941">
      <c r="A1941" s="7"/>
      <c r="B1941" s="7"/>
    </row>
    <row r="1942">
      <c r="A1942" s="7"/>
      <c r="B1942" s="7"/>
    </row>
    <row r="1943">
      <c r="A1943" s="7"/>
      <c r="B1943" s="7"/>
    </row>
    <row r="1944">
      <c r="A1944" s="7"/>
      <c r="B1944" s="7"/>
    </row>
    <row r="1945">
      <c r="A1945" s="7"/>
      <c r="B1945" s="7"/>
    </row>
    <row r="1946">
      <c r="A1946" s="7"/>
      <c r="B1946" s="7"/>
    </row>
    <row r="1947">
      <c r="A1947" s="7"/>
      <c r="B1947" s="7"/>
    </row>
    <row r="1948">
      <c r="A1948" s="7"/>
      <c r="B1948" s="7"/>
    </row>
    <row r="1949">
      <c r="A1949" s="7"/>
      <c r="B1949" s="7"/>
    </row>
    <row r="1950">
      <c r="A1950" s="7"/>
      <c r="B1950" s="7"/>
    </row>
    <row r="1951">
      <c r="A1951" s="7"/>
      <c r="B1951" s="7"/>
    </row>
    <row r="1952">
      <c r="A1952" s="7"/>
      <c r="B1952" s="7"/>
    </row>
    <row r="1953">
      <c r="A1953" s="7"/>
      <c r="B1953" s="7"/>
    </row>
    <row r="1954">
      <c r="A1954" s="7"/>
      <c r="B1954" s="7"/>
    </row>
    <row r="1955">
      <c r="A1955" s="7"/>
      <c r="B1955" s="7"/>
    </row>
    <row r="1956">
      <c r="A1956" s="7"/>
      <c r="B1956" s="7"/>
    </row>
    <row r="1957">
      <c r="A1957" s="7"/>
      <c r="B1957" s="7"/>
    </row>
    <row r="1958">
      <c r="A1958" s="7"/>
      <c r="B1958" s="7"/>
    </row>
    <row r="1959">
      <c r="A1959" s="7"/>
      <c r="B1959" s="7"/>
    </row>
    <row r="1960">
      <c r="A1960" s="7"/>
      <c r="B1960" s="7"/>
    </row>
    <row r="1961">
      <c r="A1961" s="7"/>
      <c r="B1961" s="7"/>
    </row>
    <row r="1962">
      <c r="A1962" s="7"/>
      <c r="B1962" s="7"/>
    </row>
    <row r="1963">
      <c r="A1963" s="7"/>
      <c r="B1963" s="7"/>
    </row>
    <row r="1964">
      <c r="A1964" s="7"/>
      <c r="B1964" s="7"/>
    </row>
    <row r="1965">
      <c r="A1965" s="7"/>
      <c r="B1965" s="7"/>
    </row>
    <row r="1966">
      <c r="A1966" s="7"/>
      <c r="B1966" s="7"/>
    </row>
    <row r="1967">
      <c r="A1967" s="7"/>
      <c r="B1967" s="7"/>
    </row>
    <row r="1968">
      <c r="A1968" s="7"/>
      <c r="B1968" s="7"/>
    </row>
    <row r="1969">
      <c r="A1969" s="7"/>
      <c r="B1969" s="7"/>
    </row>
    <row r="1970">
      <c r="A1970" s="7"/>
      <c r="B1970" s="7"/>
    </row>
    <row r="1971">
      <c r="A1971" s="7"/>
      <c r="B1971" s="7"/>
    </row>
    <row r="1972">
      <c r="A1972" s="7"/>
      <c r="B1972" s="7"/>
    </row>
    <row r="1973">
      <c r="A1973" s="7"/>
      <c r="B1973" s="7"/>
    </row>
    <row r="1974">
      <c r="A1974" s="7"/>
      <c r="B1974" s="7"/>
    </row>
    <row r="1975">
      <c r="A1975" s="7"/>
      <c r="B1975" s="7"/>
    </row>
    <row r="1976">
      <c r="A1976" s="7"/>
      <c r="B1976" s="7"/>
    </row>
    <row r="1977">
      <c r="A1977" s="7"/>
      <c r="B1977" s="7"/>
    </row>
    <row r="1978">
      <c r="A1978" s="7"/>
      <c r="B1978" s="7"/>
    </row>
    <row r="1979">
      <c r="A1979" s="7"/>
      <c r="B1979" s="7"/>
    </row>
    <row r="1980">
      <c r="A1980" s="7"/>
      <c r="B1980" s="7"/>
    </row>
    <row r="1981">
      <c r="A1981" s="7"/>
      <c r="B1981" s="7"/>
    </row>
    <row r="1982">
      <c r="A1982" s="7"/>
      <c r="B1982" s="7"/>
    </row>
    <row r="1983">
      <c r="A1983" s="7"/>
      <c r="B1983" s="7"/>
    </row>
    <row r="1984">
      <c r="A1984" s="7"/>
      <c r="B1984" s="7"/>
    </row>
    <row r="1985">
      <c r="A1985" s="7"/>
      <c r="B1985" s="7"/>
    </row>
    <row r="1986">
      <c r="A1986" s="7"/>
      <c r="B1986" s="7"/>
    </row>
    <row r="1987">
      <c r="A1987" s="7"/>
      <c r="B1987" s="7"/>
    </row>
    <row r="1988">
      <c r="A1988" s="7"/>
      <c r="B1988" s="7"/>
    </row>
    <row r="1989">
      <c r="A1989" s="7"/>
      <c r="B1989" s="7"/>
    </row>
    <row r="1990">
      <c r="A1990" s="7"/>
      <c r="B1990" s="7"/>
    </row>
    <row r="1991">
      <c r="A1991" s="7"/>
      <c r="B1991" s="7"/>
    </row>
    <row r="1992">
      <c r="A1992" s="7"/>
      <c r="B1992" s="7"/>
    </row>
    <row r="1993">
      <c r="A1993" s="7"/>
      <c r="B1993" s="7"/>
    </row>
    <row r="1994">
      <c r="A1994" s="7"/>
      <c r="B1994" s="7"/>
    </row>
    <row r="1995">
      <c r="A1995" s="7"/>
      <c r="B1995" s="7"/>
    </row>
    <row r="1996">
      <c r="A1996" s="7"/>
      <c r="B1996" s="7"/>
    </row>
    <row r="1997">
      <c r="A1997" s="7"/>
      <c r="B1997" s="7"/>
    </row>
    <row r="1998">
      <c r="A1998" s="7"/>
      <c r="B1998" s="7"/>
    </row>
    <row r="1999">
      <c r="A1999" s="7"/>
      <c r="B1999" s="7"/>
    </row>
    <row r="2000">
      <c r="A2000" s="7"/>
      <c r="B2000" s="7"/>
    </row>
    <row r="2001">
      <c r="A2001" s="7"/>
      <c r="B2001" s="7"/>
    </row>
    <row r="2002">
      <c r="A2002" s="7"/>
      <c r="B2002" s="7"/>
    </row>
    <row r="2003">
      <c r="A2003" s="7"/>
      <c r="B2003" s="7"/>
    </row>
    <row r="2004">
      <c r="A2004" s="7"/>
      <c r="B2004" s="7"/>
    </row>
    <row r="2005">
      <c r="A2005" s="7"/>
      <c r="B2005" s="7"/>
    </row>
    <row r="2006">
      <c r="A2006" s="7"/>
      <c r="B2006" s="7"/>
    </row>
    <row r="2007">
      <c r="A2007" s="7"/>
      <c r="B2007" s="7"/>
    </row>
    <row r="2008">
      <c r="A2008" s="7"/>
      <c r="B2008" s="7"/>
    </row>
    <row r="2009">
      <c r="A2009" s="7"/>
      <c r="B2009" s="7"/>
    </row>
    <row r="2010">
      <c r="A2010" s="7"/>
      <c r="B2010" s="7"/>
    </row>
    <row r="2011">
      <c r="A2011" s="7"/>
      <c r="B2011" s="7"/>
    </row>
    <row r="2012">
      <c r="A2012" s="7"/>
      <c r="B2012" s="7"/>
    </row>
    <row r="2013">
      <c r="A2013" s="7"/>
      <c r="B2013" s="7"/>
    </row>
    <row r="2014">
      <c r="A2014" s="7"/>
      <c r="B2014" s="7"/>
    </row>
    <row r="2015">
      <c r="A2015" s="7"/>
      <c r="B2015" s="7"/>
    </row>
    <row r="2016">
      <c r="A2016" s="7"/>
      <c r="B2016" s="7"/>
    </row>
    <row r="2017">
      <c r="A2017" s="7"/>
      <c r="B2017" s="7"/>
    </row>
    <row r="2018">
      <c r="A2018" s="7"/>
      <c r="B2018" s="7"/>
    </row>
    <row r="2019">
      <c r="A2019" s="7"/>
      <c r="B2019" s="7"/>
    </row>
    <row r="2020">
      <c r="A2020" s="7"/>
      <c r="B2020" s="7"/>
    </row>
    <row r="2021">
      <c r="A2021" s="7"/>
      <c r="B2021" s="7"/>
    </row>
    <row r="2022">
      <c r="A2022" s="7"/>
      <c r="B2022" s="7"/>
    </row>
    <row r="2023">
      <c r="A2023" s="7"/>
      <c r="B2023" s="7"/>
    </row>
    <row r="2024">
      <c r="A2024" s="7"/>
      <c r="B2024" s="7"/>
    </row>
    <row r="2025">
      <c r="A2025" s="7"/>
      <c r="B2025" s="7"/>
    </row>
    <row r="2026">
      <c r="A2026" s="7"/>
      <c r="B2026" s="7"/>
    </row>
    <row r="2027">
      <c r="A2027" s="7"/>
      <c r="B2027" s="7"/>
    </row>
    <row r="2028">
      <c r="A2028" s="7"/>
      <c r="B2028" s="7"/>
    </row>
    <row r="2029">
      <c r="A2029" s="7"/>
      <c r="B2029" s="7"/>
    </row>
    <row r="2030">
      <c r="A2030" s="7"/>
      <c r="B2030" s="7"/>
    </row>
    <row r="2031">
      <c r="A2031" s="7"/>
      <c r="B2031" s="7"/>
    </row>
    <row r="2032">
      <c r="A2032" s="7"/>
      <c r="B2032" s="7"/>
    </row>
    <row r="2033">
      <c r="A2033" s="7"/>
      <c r="B2033" s="7"/>
    </row>
    <row r="2034">
      <c r="A2034" s="7"/>
      <c r="B2034" s="7"/>
    </row>
    <row r="2035">
      <c r="A2035" s="7"/>
      <c r="B2035" s="7"/>
    </row>
    <row r="2036">
      <c r="A2036" s="7"/>
      <c r="B2036" s="7"/>
    </row>
    <row r="2037">
      <c r="A2037" s="7"/>
      <c r="B2037" s="7"/>
    </row>
    <row r="2038">
      <c r="A2038" s="7"/>
      <c r="B2038" s="7"/>
    </row>
    <row r="2039">
      <c r="A2039" s="7"/>
      <c r="B2039" s="7"/>
    </row>
    <row r="2040">
      <c r="A2040" s="7"/>
      <c r="B2040" s="7"/>
    </row>
    <row r="2041">
      <c r="A2041" s="7"/>
      <c r="B2041" s="7"/>
    </row>
    <row r="2042">
      <c r="A2042" s="7"/>
      <c r="B2042" s="7"/>
    </row>
    <row r="2043">
      <c r="A2043" s="7"/>
      <c r="B2043" s="7"/>
    </row>
    <row r="2044">
      <c r="A2044" s="7"/>
      <c r="B2044" s="7"/>
    </row>
    <row r="2045">
      <c r="A2045" s="7"/>
      <c r="B2045" s="7"/>
    </row>
    <row r="2046">
      <c r="A2046" s="7"/>
      <c r="B2046" s="7"/>
    </row>
    <row r="2047">
      <c r="A2047" s="7"/>
      <c r="B2047" s="7"/>
    </row>
    <row r="2048">
      <c r="A2048" s="7"/>
      <c r="B2048" s="7"/>
    </row>
    <row r="2049">
      <c r="A2049" s="7"/>
      <c r="B2049" s="7"/>
    </row>
    <row r="2050">
      <c r="A2050" s="7"/>
      <c r="B2050" s="7"/>
    </row>
    <row r="2051">
      <c r="A2051" s="7"/>
      <c r="B2051" s="7"/>
    </row>
    <row r="2052">
      <c r="A2052" s="7"/>
      <c r="B2052" s="7"/>
    </row>
    <row r="2053">
      <c r="A2053" s="7"/>
      <c r="B2053" s="7"/>
    </row>
    <row r="2054">
      <c r="A2054" s="7"/>
      <c r="B2054" s="7"/>
    </row>
    <row r="2055">
      <c r="A2055" s="7"/>
      <c r="B2055" s="7"/>
    </row>
    <row r="2056">
      <c r="A2056" s="7"/>
      <c r="B2056" s="7"/>
    </row>
    <row r="2057">
      <c r="A2057" s="7"/>
      <c r="B2057" s="7"/>
    </row>
    <row r="2058">
      <c r="A2058" s="7"/>
      <c r="B2058" s="7"/>
    </row>
    <row r="2059">
      <c r="A2059" s="7"/>
      <c r="B2059" s="7"/>
    </row>
    <row r="2060">
      <c r="A2060" s="7"/>
      <c r="B2060" s="7"/>
    </row>
    <row r="2061">
      <c r="A2061" s="7"/>
      <c r="B2061" s="7"/>
    </row>
    <row r="2062">
      <c r="A2062" s="7"/>
      <c r="B2062" s="7"/>
    </row>
    <row r="2063">
      <c r="A2063" s="7"/>
      <c r="B2063" s="7"/>
    </row>
    <row r="2064">
      <c r="A2064" s="7"/>
      <c r="B2064" s="7"/>
    </row>
    <row r="2065">
      <c r="A2065" s="7"/>
      <c r="B2065" s="7"/>
    </row>
    <row r="2066">
      <c r="A2066" s="7"/>
      <c r="B2066" s="7"/>
    </row>
    <row r="2067">
      <c r="A2067" s="7"/>
      <c r="B2067" s="7"/>
    </row>
    <row r="2068">
      <c r="A2068" s="7"/>
      <c r="B2068" s="7"/>
    </row>
    <row r="2069">
      <c r="A2069" s="7"/>
      <c r="B2069" s="7"/>
    </row>
    <row r="2070">
      <c r="A2070" s="7"/>
      <c r="B2070" s="7"/>
    </row>
    <row r="2071">
      <c r="A2071" s="7"/>
      <c r="B2071" s="7"/>
    </row>
    <row r="2072">
      <c r="A2072" s="7"/>
      <c r="B2072" s="7"/>
    </row>
    <row r="2073">
      <c r="A2073" s="7"/>
      <c r="B2073" s="7"/>
    </row>
    <row r="2074">
      <c r="A2074" s="7"/>
      <c r="B2074" s="7"/>
    </row>
    <row r="2075">
      <c r="A2075" s="7"/>
      <c r="B2075" s="7"/>
    </row>
    <row r="2076">
      <c r="A2076" s="7"/>
      <c r="B2076" s="7"/>
    </row>
    <row r="2077">
      <c r="A2077" s="7"/>
      <c r="B2077" s="7"/>
    </row>
    <row r="2078">
      <c r="A2078" s="7"/>
      <c r="B2078" s="7"/>
    </row>
    <row r="2079">
      <c r="A2079" s="7"/>
      <c r="B2079" s="7"/>
    </row>
    <row r="2080">
      <c r="A2080" s="7"/>
      <c r="B2080" s="7"/>
    </row>
    <row r="2081">
      <c r="A2081" s="7"/>
      <c r="B2081" s="7"/>
    </row>
    <row r="2082">
      <c r="A2082" s="7"/>
      <c r="B2082" s="7"/>
    </row>
    <row r="2083">
      <c r="A2083" s="7"/>
      <c r="B2083" s="7"/>
    </row>
    <row r="2084">
      <c r="A2084" s="7"/>
      <c r="B2084" s="7"/>
    </row>
    <row r="2085">
      <c r="A2085" s="7"/>
      <c r="B2085" s="7"/>
    </row>
    <row r="2086">
      <c r="A2086" s="7"/>
      <c r="B2086" s="7"/>
    </row>
    <row r="2087">
      <c r="A2087" s="7"/>
      <c r="B2087" s="7"/>
    </row>
    <row r="2088">
      <c r="A2088" s="7"/>
      <c r="B2088" s="7"/>
    </row>
    <row r="2089">
      <c r="A2089" s="7"/>
      <c r="B2089" s="7"/>
    </row>
    <row r="2090">
      <c r="A2090" s="7"/>
      <c r="B2090" s="7"/>
    </row>
    <row r="2091">
      <c r="A2091" s="7"/>
      <c r="B2091" s="7"/>
    </row>
    <row r="2092">
      <c r="A2092" s="7"/>
      <c r="B2092" s="7"/>
    </row>
    <row r="2093">
      <c r="A2093" s="7"/>
      <c r="B2093" s="7"/>
    </row>
    <row r="2094">
      <c r="A2094" s="7"/>
      <c r="B2094" s="7"/>
    </row>
    <row r="2095">
      <c r="A2095" s="7"/>
      <c r="B2095" s="7"/>
    </row>
    <row r="2096">
      <c r="A2096" s="7"/>
      <c r="B2096" s="7"/>
    </row>
  </sheetData>
  <autoFilter ref="$A$1:$B$1165">
    <sortState ref="A1:B1165">
      <sortCondition ref="A1:A1165"/>
    </sortState>
  </autoFil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</cols>
  <sheetData>
    <row r="1">
      <c r="A1" s="51" t="s">
        <v>1358</v>
      </c>
      <c r="B1" s="52" t="s">
        <v>659</v>
      </c>
    </row>
    <row r="2">
      <c r="A2" s="53" t="s">
        <v>1359</v>
      </c>
      <c r="B2" s="54" t="s">
        <v>660</v>
      </c>
    </row>
    <row r="3">
      <c r="A3" s="53" t="s">
        <v>1360</v>
      </c>
      <c r="B3" s="54" t="s">
        <v>661</v>
      </c>
    </row>
    <row r="4">
      <c r="A4" s="53" t="s">
        <v>1361</v>
      </c>
      <c r="B4" s="54" t="s">
        <v>662</v>
      </c>
    </row>
    <row r="5">
      <c r="A5" s="53" t="s">
        <v>1362</v>
      </c>
      <c r="B5" s="54" t="s">
        <v>663</v>
      </c>
    </row>
    <row r="6">
      <c r="A6" s="53" t="s">
        <v>1363</v>
      </c>
      <c r="B6" s="54" t="s">
        <v>665</v>
      </c>
    </row>
    <row r="7">
      <c r="A7" s="53" t="s">
        <v>1364</v>
      </c>
      <c r="B7" s="54" t="s">
        <v>666</v>
      </c>
    </row>
    <row r="8">
      <c r="A8" s="53" t="s">
        <v>1365</v>
      </c>
      <c r="B8" s="54" t="s">
        <v>667</v>
      </c>
    </row>
    <row r="9">
      <c r="A9" s="53" t="s">
        <v>1366</v>
      </c>
      <c r="B9" s="54" t="s">
        <v>670</v>
      </c>
    </row>
    <row r="10">
      <c r="A10" s="53" t="s">
        <v>1367</v>
      </c>
      <c r="B10" s="54" t="s">
        <v>671</v>
      </c>
    </row>
    <row r="11">
      <c r="A11" s="53" t="s">
        <v>1368</v>
      </c>
      <c r="B11" s="54" t="s">
        <v>672</v>
      </c>
    </row>
    <row r="12">
      <c r="A12" s="53" t="s">
        <v>1369</v>
      </c>
      <c r="B12" s="54" t="s">
        <v>673</v>
      </c>
    </row>
    <row r="13">
      <c r="A13" s="53" t="s">
        <v>1370</v>
      </c>
      <c r="B13" s="54" t="s">
        <v>674</v>
      </c>
    </row>
    <row r="14">
      <c r="A14" s="53" t="s">
        <v>1371</v>
      </c>
      <c r="B14" s="54" t="s">
        <v>676</v>
      </c>
    </row>
    <row r="15">
      <c r="A15" s="53" t="s">
        <v>1372</v>
      </c>
      <c r="B15" s="54" t="s">
        <v>677</v>
      </c>
    </row>
    <row r="16">
      <c r="A16" s="53" t="s">
        <v>1373</v>
      </c>
      <c r="B16" s="54" t="s">
        <v>679</v>
      </c>
    </row>
    <row r="17">
      <c r="A17" s="53" t="s">
        <v>1374</v>
      </c>
      <c r="B17" s="54" t="s">
        <v>680</v>
      </c>
    </row>
    <row r="18">
      <c r="A18" s="53" t="s">
        <v>1375</v>
      </c>
      <c r="B18" s="54" t="s">
        <v>681</v>
      </c>
    </row>
    <row r="19">
      <c r="A19" s="53" t="s">
        <v>1376</v>
      </c>
      <c r="B19" s="54" t="s">
        <v>684</v>
      </c>
    </row>
    <row r="20">
      <c r="A20" s="53" t="s">
        <v>1377</v>
      </c>
      <c r="B20" s="54" t="s">
        <v>686</v>
      </c>
    </row>
    <row r="21">
      <c r="A21" s="53" t="s">
        <v>1378</v>
      </c>
      <c r="B21" s="54" t="s">
        <v>689</v>
      </c>
    </row>
    <row r="22">
      <c r="A22" s="53" t="s">
        <v>1379</v>
      </c>
      <c r="B22" s="54" t="s">
        <v>692</v>
      </c>
    </row>
    <row r="23">
      <c r="A23" s="53" t="s">
        <v>1380</v>
      </c>
      <c r="B23" s="54" t="s">
        <v>693</v>
      </c>
    </row>
    <row r="24">
      <c r="A24" s="53" t="s">
        <v>94</v>
      </c>
      <c r="B24" s="54" t="s">
        <v>696</v>
      </c>
    </row>
    <row r="25">
      <c r="A25" s="53" t="s">
        <v>1381</v>
      </c>
      <c r="B25" s="54" t="s">
        <v>698</v>
      </c>
    </row>
    <row r="26">
      <c r="A26" s="53" t="s">
        <v>1382</v>
      </c>
      <c r="B26" s="54" t="s">
        <v>700</v>
      </c>
    </row>
    <row r="27">
      <c r="A27" s="53" t="s">
        <v>1383</v>
      </c>
      <c r="B27" s="54" t="s">
        <v>703</v>
      </c>
    </row>
    <row r="28">
      <c r="A28" s="53" t="s">
        <v>1384</v>
      </c>
      <c r="B28" s="54" t="s">
        <v>707</v>
      </c>
    </row>
    <row r="29">
      <c r="A29" s="53" t="s">
        <v>1385</v>
      </c>
      <c r="B29" s="54" t="s">
        <v>708</v>
      </c>
    </row>
    <row r="30">
      <c r="A30" s="53" t="s">
        <v>1386</v>
      </c>
      <c r="B30" s="54" t="s">
        <v>709</v>
      </c>
    </row>
    <row r="31">
      <c r="A31" s="53" t="s">
        <v>1387</v>
      </c>
      <c r="B31" s="54" t="s">
        <v>711</v>
      </c>
    </row>
    <row r="32">
      <c r="A32" s="53" t="s">
        <v>1388</v>
      </c>
      <c r="B32" s="54" t="s">
        <v>712</v>
      </c>
    </row>
    <row r="33">
      <c r="A33" s="53" t="s">
        <v>1389</v>
      </c>
      <c r="B33" s="54" t="s">
        <v>713</v>
      </c>
    </row>
    <row r="34">
      <c r="A34" s="53" t="s">
        <v>1390</v>
      </c>
      <c r="B34" s="54" t="s">
        <v>716</v>
      </c>
    </row>
    <row r="35">
      <c r="A35" s="53" t="s">
        <v>1391</v>
      </c>
      <c r="B35" s="54" t="s">
        <v>718</v>
      </c>
    </row>
    <row r="36">
      <c r="A36" s="53" t="s">
        <v>1392</v>
      </c>
      <c r="B36" s="54" t="s">
        <v>719</v>
      </c>
    </row>
    <row r="37">
      <c r="A37" s="53" t="s">
        <v>1393</v>
      </c>
      <c r="B37" s="54" t="s">
        <v>720</v>
      </c>
    </row>
    <row r="38">
      <c r="A38" s="53" t="s">
        <v>1394</v>
      </c>
      <c r="B38" s="54" t="s">
        <v>721</v>
      </c>
    </row>
    <row r="39">
      <c r="A39" s="53" t="s">
        <v>1395</v>
      </c>
      <c r="B39" s="54" t="s">
        <v>695</v>
      </c>
    </row>
    <row r="40">
      <c r="A40" s="53" t="s">
        <v>1396</v>
      </c>
      <c r="B40" s="54" t="s">
        <v>699</v>
      </c>
    </row>
    <row r="41">
      <c r="A41" s="53" t="s">
        <v>1397</v>
      </c>
      <c r="B41" s="54" t="s">
        <v>668</v>
      </c>
    </row>
    <row r="42">
      <c r="A42" s="53" t="s">
        <v>1398</v>
      </c>
      <c r="B42" s="54" t="s">
        <v>724</v>
      </c>
    </row>
    <row r="43">
      <c r="A43" s="53" t="s">
        <v>1399</v>
      </c>
      <c r="B43" s="54" t="s">
        <v>678</v>
      </c>
    </row>
    <row r="44">
      <c r="A44" s="55" t="s">
        <v>1400</v>
      </c>
      <c r="B44" s="54" t="s">
        <v>807</v>
      </c>
    </row>
    <row r="45">
      <c r="A45" s="55" t="s">
        <v>1401</v>
      </c>
      <c r="B45" s="54" t="s">
        <v>717</v>
      </c>
    </row>
    <row r="46">
      <c r="A46" s="55" t="s">
        <v>1402</v>
      </c>
      <c r="B46" s="54" t="s">
        <v>705</v>
      </c>
    </row>
    <row r="47">
      <c r="A47" s="55" t="s">
        <v>1403</v>
      </c>
      <c r="B47" s="54" t="s">
        <v>664</v>
      </c>
    </row>
    <row r="48">
      <c r="A48" s="53" t="s">
        <v>1404</v>
      </c>
      <c r="B48" s="54" t="s">
        <v>690</v>
      </c>
    </row>
    <row r="49">
      <c r="A49" s="53" t="s">
        <v>135</v>
      </c>
      <c r="B49" s="54" t="s">
        <v>714</v>
      </c>
    </row>
    <row r="50">
      <c r="A50" s="53" t="s">
        <v>1405</v>
      </c>
      <c r="B50" s="54" t="s">
        <v>688</v>
      </c>
    </row>
    <row r="51">
      <c r="A51" s="53" t="s">
        <v>1406</v>
      </c>
      <c r="B51" s="54" t="s">
        <v>669</v>
      </c>
    </row>
    <row r="52">
      <c r="A52" s="53" t="s">
        <v>1407</v>
      </c>
      <c r="B52" s="54" t="s">
        <v>685</v>
      </c>
    </row>
    <row r="53">
      <c r="A53" s="53" t="s">
        <v>1408</v>
      </c>
      <c r="B53" s="54" t="s">
        <v>731</v>
      </c>
    </row>
    <row r="54">
      <c r="A54" s="53" t="s">
        <v>1409</v>
      </c>
      <c r="B54" s="54" t="s">
        <v>738</v>
      </c>
    </row>
    <row r="55">
      <c r="A55" s="53" t="s">
        <v>1410</v>
      </c>
      <c r="B55" s="54" t="s">
        <v>723</v>
      </c>
    </row>
    <row r="56">
      <c r="A56" s="53" t="s">
        <v>1411</v>
      </c>
      <c r="B56" s="54" t="s">
        <v>744</v>
      </c>
    </row>
    <row r="57">
      <c r="A57" s="53" t="s">
        <v>1412</v>
      </c>
      <c r="B57" s="54" t="s">
        <v>682</v>
      </c>
    </row>
    <row r="58">
      <c r="A58" s="56" t="s">
        <v>1413</v>
      </c>
      <c r="B58" s="54" t="s">
        <v>792</v>
      </c>
    </row>
    <row r="59">
      <c r="A59" s="57" t="s">
        <v>1414</v>
      </c>
      <c r="B59" s="54" t="s">
        <v>855</v>
      </c>
    </row>
    <row r="60">
      <c r="A60" s="53" t="s">
        <v>1415</v>
      </c>
      <c r="B60" s="54" t="s">
        <v>781</v>
      </c>
    </row>
    <row r="61">
      <c r="A61" s="53" t="s">
        <v>1416</v>
      </c>
      <c r="B61" s="54" t="s">
        <v>675</v>
      </c>
    </row>
    <row r="62">
      <c r="A62" s="53" t="s">
        <v>1417</v>
      </c>
      <c r="B62" s="54" t="s">
        <v>704</v>
      </c>
    </row>
    <row r="63">
      <c r="A63" s="53" t="s">
        <v>1418</v>
      </c>
      <c r="B63" s="54" t="s">
        <v>697</v>
      </c>
    </row>
    <row r="64">
      <c r="A64" s="53" t="s">
        <v>1419</v>
      </c>
      <c r="B64" s="54" t="s">
        <v>826</v>
      </c>
    </row>
    <row r="65">
      <c r="A65" s="53" t="s">
        <v>1420</v>
      </c>
      <c r="B65" s="54" t="s">
        <v>859</v>
      </c>
    </row>
    <row r="66">
      <c r="A66" s="53" t="s">
        <v>1421</v>
      </c>
      <c r="B66" s="54" t="s">
        <v>742</v>
      </c>
    </row>
    <row r="67">
      <c r="A67" s="58" t="s">
        <v>1422</v>
      </c>
      <c r="B67" s="54" t="s">
        <v>733</v>
      </c>
    </row>
    <row r="68">
      <c r="A68" s="53" t="s">
        <v>1423</v>
      </c>
      <c r="B68" s="54" t="s">
        <v>722</v>
      </c>
    </row>
    <row r="69">
      <c r="A69" s="53" t="s">
        <v>1424</v>
      </c>
      <c r="B69" s="54" t="s">
        <v>725</v>
      </c>
    </row>
    <row r="70">
      <c r="A70" s="53" t="s">
        <v>1425</v>
      </c>
      <c r="B70" s="54" t="s">
        <v>726</v>
      </c>
    </row>
    <row r="71">
      <c r="A71" s="53" t="s">
        <v>1426</v>
      </c>
      <c r="B71" s="54" t="s">
        <v>728</v>
      </c>
    </row>
    <row r="72">
      <c r="A72" s="53" t="s">
        <v>1427</v>
      </c>
      <c r="B72" s="54" t="s">
        <v>729</v>
      </c>
    </row>
    <row r="73">
      <c r="A73" s="53" t="s">
        <v>1428</v>
      </c>
      <c r="B73" s="54" t="s">
        <v>730</v>
      </c>
    </row>
    <row r="74">
      <c r="A74" s="53" t="s">
        <v>1429</v>
      </c>
      <c r="B74" s="54" t="s">
        <v>732</v>
      </c>
    </row>
    <row r="75">
      <c r="A75" s="53" t="s">
        <v>1430</v>
      </c>
      <c r="B75" s="54" t="s">
        <v>736</v>
      </c>
    </row>
    <row r="76">
      <c r="A76" s="53" t="s">
        <v>1431</v>
      </c>
      <c r="B76" s="54" t="s">
        <v>737</v>
      </c>
    </row>
    <row r="77">
      <c r="A77" s="53" t="s">
        <v>1432</v>
      </c>
      <c r="B77" s="54" t="s">
        <v>739</v>
      </c>
    </row>
    <row r="78">
      <c r="A78" s="53" t="s">
        <v>1433</v>
      </c>
      <c r="B78" s="54" t="s">
        <v>741</v>
      </c>
    </row>
    <row r="79">
      <c r="A79" s="53" t="s">
        <v>1434</v>
      </c>
      <c r="B79" s="54" t="s">
        <v>743</v>
      </c>
    </row>
    <row r="80">
      <c r="A80" s="53" t="s">
        <v>1435</v>
      </c>
      <c r="B80" s="54" t="s">
        <v>745</v>
      </c>
    </row>
    <row r="81">
      <c r="A81" s="53" t="s">
        <v>1436</v>
      </c>
      <c r="B81" s="54" t="s">
        <v>746</v>
      </c>
    </row>
    <row r="82">
      <c r="A82" s="53" t="s">
        <v>1437</v>
      </c>
      <c r="B82" s="54" t="s">
        <v>748</v>
      </c>
    </row>
    <row r="83">
      <c r="A83" s="53" t="s">
        <v>1438</v>
      </c>
      <c r="B83" s="54" t="s">
        <v>749</v>
      </c>
    </row>
    <row r="84">
      <c r="A84" s="53" t="s">
        <v>1439</v>
      </c>
      <c r="B84" s="54" t="s">
        <v>750</v>
      </c>
    </row>
    <row r="85">
      <c r="A85" s="53" t="s">
        <v>1440</v>
      </c>
      <c r="B85" s="54" t="s">
        <v>751</v>
      </c>
    </row>
    <row r="86">
      <c r="A86" s="53" t="s">
        <v>1441</v>
      </c>
      <c r="B86" s="54" t="s">
        <v>752</v>
      </c>
    </row>
    <row r="87">
      <c r="A87" s="53" t="s">
        <v>1442</v>
      </c>
      <c r="B87" s="54" t="s">
        <v>757</v>
      </c>
    </row>
    <row r="88">
      <c r="A88" s="53" t="s">
        <v>1443</v>
      </c>
      <c r="B88" s="54" t="s">
        <v>758</v>
      </c>
    </row>
    <row r="89">
      <c r="A89" s="53" t="s">
        <v>1444</v>
      </c>
      <c r="B89" s="54" t="s">
        <v>762</v>
      </c>
    </row>
    <row r="90">
      <c r="A90" s="53" t="s">
        <v>1445</v>
      </c>
      <c r="B90" s="54" t="s">
        <v>764</v>
      </c>
    </row>
    <row r="91">
      <c r="A91" s="53" t="s">
        <v>1446</v>
      </c>
      <c r="B91" s="54" t="s">
        <v>766</v>
      </c>
    </row>
    <row r="92">
      <c r="A92" s="53" t="s">
        <v>1447</v>
      </c>
      <c r="B92" s="54" t="s">
        <v>768</v>
      </c>
    </row>
    <row r="93">
      <c r="A93" s="53" t="s">
        <v>1448</v>
      </c>
      <c r="B93" s="54" t="s">
        <v>769</v>
      </c>
    </row>
    <row r="94">
      <c r="A94" s="53" t="s">
        <v>1449</v>
      </c>
      <c r="B94" s="54" t="s">
        <v>770</v>
      </c>
    </row>
    <row r="95">
      <c r="A95" s="53" t="s">
        <v>1450</v>
      </c>
      <c r="B95" s="54" t="s">
        <v>771</v>
      </c>
    </row>
    <row r="96">
      <c r="A96" s="53" t="s">
        <v>1451</v>
      </c>
      <c r="B96" s="54" t="s">
        <v>772</v>
      </c>
    </row>
    <row r="97">
      <c r="A97" s="53" t="s">
        <v>1452</v>
      </c>
      <c r="B97" s="54" t="s">
        <v>774</v>
      </c>
    </row>
    <row r="98">
      <c r="A98" s="53" t="s">
        <v>1453</v>
      </c>
      <c r="B98" s="54" t="s">
        <v>776</v>
      </c>
    </row>
    <row r="99">
      <c r="A99" s="53" t="s">
        <v>1454</v>
      </c>
      <c r="B99" s="54" t="s">
        <v>779</v>
      </c>
    </row>
    <row r="100">
      <c r="A100" s="53" t="s">
        <v>1455</v>
      </c>
      <c r="B100" s="54" t="s">
        <v>782</v>
      </c>
    </row>
    <row r="101">
      <c r="A101" s="53" t="s">
        <v>1456</v>
      </c>
      <c r="B101" s="54" t="s">
        <v>785</v>
      </c>
    </row>
    <row r="102">
      <c r="A102" s="53" t="s">
        <v>1457</v>
      </c>
      <c r="B102" s="54" t="s">
        <v>786</v>
      </c>
    </row>
    <row r="103">
      <c r="A103" s="53" t="s">
        <v>1458</v>
      </c>
      <c r="B103" s="54" t="s">
        <v>787</v>
      </c>
    </row>
    <row r="104">
      <c r="A104" s="53" t="s">
        <v>1459</v>
      </c>
      <c r="B104" s="54" t="s">
        <v>788</v>
      </c>
    </row>
    <row r="105">
      <c r="A105" s="59" t="s">
        <v>1460</v>
      </c>
      <c r="B105" s="54" t="s">
        <v>753</v>
      </c>
    </row>
    <row r="106">
      <c r="A106" s="59" t="s">
        <v>1461</v>
      </c>
      <c r="B106" s="54" t="s">
        <v>761</v>
      </c>
    </row>
    <row r="107">
      <c r="A107" s="59" t="s">
        <v>1462</v>
      </c>
      <c r="B107" s="54" t="s">
        <v>789</v>
      </c>
    </row>
    <row r="108">
      <c r="A108" s="53" t="s">
        <v>1463</v>
      </c>
      <c r="B108" s="54" t="s">
        <v>790</v>
      </c>
    </row>
    <row r="109">
      <c r="A109" s="53" t="s">
        <v>1464</v>
      </c>
      <c r="B109" s="54" t="s">
        <v>821</v>
      </c>
    </row>
    <row r="110">
      <c r="A110" s="53" t="s">
        <v>1465</v>
      </c>
      <c r="B110" s="54" t="s">
        <v>710</v>
      </c>
    </row>
    <row r="111">
      <c r="A111" s="58" t="s">
        <v>1466</v>
      </c>
      <c r="B111" s="54" t="s">
        <v>754</v>
      </c>
    </row>
    <row r="112">
      <c r="A112" s="58" t="s">
        <v>1467</v>
      </c>
      <c r="B112" s="54" t="s">
        <v>777</v>
      </c>
    </row>
    <row r="113">
      <c r="A113" s="58" t="s">
        <v>1468</v>
      </c>
      <c r="B113" s="54" t="s">
        <v>740</v>
      </c>
    </row>
    <row r="114">
      <c r="A114" s="53" t="s">
        <v>1469</v>
      </c>
      <c r="B114" s="54" t="s">
        <v>791</v>
      </c>
    </row>
    <row r="115">
      <c r="A115" s="58" t="s">
        <v>1470</v>
      </c>
      <c r="B115" s="54" t="s">
        <v>735</v>
      </c>
    </row>
    <row r="116">
      <c r="A116" s="58" t="s">
        <v>1471</v>
      </c>
      <c r="B116" s="54" t="s">
        <v>759</v>
      </c>
    </row>
    <row r="117">
      <c r="A117" s="58" t="s">
        <v>1472</v>
      </c>
      <c r="B117" s="54" t="s">
        <v>715</v>
      </c>
    </row>
    <row r="118">
      <c r="A118" s="58" t="s">
        <v>1473</v>
      </c>
      <c r="B118" s="54" t="s">
        <v>706</v>
      </c>
    </row>
    <row r="119">
      <c r="A119" s="58" t="s">
        <v>1474</v>
      </c>
      <c r="B119" s="54" t="s">
        <v>727</v>
      </c>
    </row>
    <row r="120">
      <c r="A120" s="58" t="s">
        <v>1475</v>
      </c>
      <c r="B120" s="54" t="s">
        <v>778</v>
      </c>
    </row>
    <row r="121">
      <c r="A121" s="58" t="s">
        <v>1476</v>
      </c>
      <c r="B121" s="54" t="s">
        <v>793</v>
      </c>
    </row>
    <row r="122">
      <c r="A122" s="58" t="s">
        <v>1477</v>
      </c>
      <c r="B122" s="54" t="s">
        <v>780</v>
      </c>
    </row>
    <row r="123">
      <c r="A123" s="58" t="s">
        <v>1478</v>
      </c>
      <c r="B123" s="54" t="s">
        <v>763</v>
      </c>
    </row>
    <row r="124">
      <c r="A124" s="58" t="s">
        <v>1479</v>
      </c>
      <c r="B124" s="54" t="s">
        <v>687</v>
      </c>
    </row>
    <row r="125">
      <c r="A125" s="58" t="s">
        <v>1480</v>
      </c>
      <c r="B125" s="54" t="s">
        <v>783</v>
      </c>
    </row>
    <row r="126">
      <c r="A126" s="58" t="s">
        <v>1481</v>
      </c>
      <c r="B126" s="54" t="s">
        <v>756</v>
      </c>
    </row>
    <row r="127">
      <c r="A127" s="58" t="s">
        <v>1482</v>
      </c>
      <c r="B127" s="54" t="s">
        <v>765</v>
      </c>
    </row>
    <row r="128">
      <c r="A128" s="58" t="s">
        <v>1483</v>
      </c>
      <c r="B128" s="54" t="s">
        <v>829</v>
      </c>
    </row>
    <row r="129">
      <c r="A129" s="58" t="s">
        <v>1484</v>
      </c>
      <c r="B129" s="54" t="s">
        <v>775</v>
      </c>
    </row>
    <row r="130">
      <c r="A130" s="58" t="s">
        <v>1485</v>
      </c>
      <c r="B130" s="54" t="s">
        <v>683</v>
      </c>
    </row>
    <row r="131">
      <c r="A131" s="58" t="s">
        <v>1486</v>
      </c>
      <c r="B131" s="54" t="s">
        <v>702</v>
      </c>
    </row>
    <row r="132">
      <c r="A132" s="53" t="s">
        <v>82</v>
      </c>
      <c r="B132" s="54" t="s">
        <v>795</v>
      </c>
    </row>
    <row r="133">
      <c r="A133" s="58" t="s">
        <v>1487</v>
      </c>
      <c r="B133" s="54" t="s">
        <v>691</v>
      </c>
    </row>
    <row r="134">
      <c r="A134" s="53" t="s">
        <v>1488</v>
      </c>
      <c r="B134" s="54" t="s">
        <v>796</v>
      </c>
    </row>
    <row r="135">
      <c r="A135" s="53" t="s">
        <v>1489</v>
      </c>
      <c r="B135" s="54" t="s">
        <v>794</v>
      </c>
    </row>
    <row r="136">
      <c r="A136" s="53" t="s">
        <v>1490</v>
      </c>
      <c r="B136" s="54" t="s">
        <v>797</v>
      </c>
    </row>
    <row r="137">
      <c r="A137" s="53" t="s">
        <v>1491</v>
      </c>
      <c r="B137" s="54" t="s">
        <v>798</v>
      </c>
    </row>
    <row r="138">
      <c r="A138" s="53" t="s">
        <v>1492</v>
      </c>
      <c r="B138" s="54" t="s">
        <v>801</v>
      </c>
    </row>
    <row r="139">
      <c r="A139" s="53" t="s">
        <v>1493</v>
      </c>
      <c r="B139" s="54" t="s">
        <v>747</v>
      </c>
    </row>
    <row r="140">
      <c r="A140" s="57" t="s">
        <v>1494</v>
      </c>
      <c r="B140" s="54" t="s">
        <v>802</v>
      </c>
    </row>
    <row r="141">
      <c r="A141" s="53" t="s">
        <v>1495</v>
      </c>
      <c r="B141" s="54" t="s">
        <v>803</v>
      </c>
    </row>
    <row r="142">
      <c r="A142" s="53" t="s">
        <v>1496</v>
      </c>
      <c r="B142" s="54" t="s">
        <v>804</v>
      </c>
    </row>
    <row r="143">
      <c r="A143" s="53" t="s">
        <v>1497</v>
      </c>
      <c r="B143" s="54" t="s">
        <v>805</v>
      </c>
    </row>
    <row r="144">
      <c r="A144" s="53" t="s">
        <v>1498</v>
      </c>
      <c r="B144" s="54" t="s">
        <v>806</v>
      </c>
    </row>
    <row r="145">
      <c r="A145" s="53" t="s">
        <v>1499</v>
      </c>
      <c r="B145" s="54" t="s">
        <v>808</v>
      </c>
    </row>
    <row r="146">
      <c r="A146" s="53" t="s">
        <v>1500</v>
      </c>
      <c r="B146" s="54" t="s">
        <v>810</v>
      </c>
    </row>
    <row r="147">
      <c r="A147" s="53" t="s">
        <v>1501</v>
      </c>
      <c r="B147" s="54" t="s">
        <v>811</v>
      </c>
    </row>
    <row r="148">
      <c r="A148" s="53" t="s">
        <v>1502</v>
      </c>
      <c r="B148" s="54" t="s">
        <v>813</v>
      </c>
    </row>
    <row r="149">
      <c r="A149" s="53" t="s">
        <v>1503</v>
      </c>
      <c r="B149" s="54" t="s">
        <v>814</v>
      </c>
    </row>
    <row r="150">
      <c r="A150" s="53" t="s">
        <v>1504</v>
      </c>
      <c r="B150" s="54" t="s">
        <v>815</v>
      </c>
    </row>
    <row r="151">
      <c r="A151" s="53" t="s">
        <v>1505</v>
      </c>
      <c r="B151" s="54" t="s">
        <v>816</v>
      </c>
    </row>
    <row r="152">
      <c r="A152" s="53" t="s">
        <v>1506</v>
      </c>
      <c r="B152" s="54" t="s">
        <v>818</v>
      </c>
    </row>
    <row r="153">
      <c r="A153" s="53" t="s">
        <v>1507</v>
      </c>
      <c r="B153" s="54" t="s">
        <v>819</v>
      </c>
    </row>
    <row r="154">
      <c r="A154" s="53" t="s">
        <v>1508</v>
      </c>
      <c r="B154" s="54" t="s">
        <v>822</v>
      </c>
    </row>
    <row r="155">
      <c r="A155" s="53" t="s">
        <v>1509</v>
      </c>
      <c r="B155" s="54" t="s">
        <v>824</v>
      </c>
    </row>
    <row r="156">
      <c r="A156" s="53" t="s">
        <v>1510</v>
      </c>
      <c r="B156" s="54" t="s">
        <v>828</v>
      </c>
    </row>
    <row r="157">
      <c r="A157" s="53" t="s">
        <v>1511</v>
      </c>
      <c r="B157" s="54" t="s">
        <v>830</v>
      </c>
    </row>
    <row r="158">
      <c r="A158" s="53" t="s">
        <v>1512</v>
      </c>
      <c r="B158" s="54" t="s">
        <v>840</v>
      </c>
    </row>
    <row r="159">
      <c r="A159" s="53" t="s">
        <v>1513</v>
      </c>
      <c r="B159" s="54" t="s">
        <v>841</v>
      </c>
    </row>
    <row r="160">
      <c r="A160" s="55" t="s">
        <v>1514</v>
      </c>
      <c r="B160" s="54" t="s">
        <v>845</v>
      </c>
    </row>
    <row r="161">
      <c r="A161" s="53" t="s">
        <v>1515</v>
      </c>
      <c r="B161" s="54" t="s">
        <v>846</v>
      </c>
    </row>
    <row r="162">
      <c r="A162" s="53" t="s">
        <v>1516</v>
      </c>
      <c r="B162" s="54" t="s">
        <v>847</v>
      </c>
    </row>
    <row r="163">
      <c r="A163" s="53" t="s">
        <v>1517</v>
      </c>
      <c r="B163" s="54" t="s">
        <v>848</v>
      </c>
    </row>
    <row r="164">
      <c r="A164" s="53" t="s">
        <v>1518</v>
      </c>
      <c r="B164" s="54" t="s">
        <v>849</v>
      </c>
    </row>
    <row r="165">
      <c r="A165" s="57" t="s">
        <v>1519</v>
      </c>
      <c r="B165" s="54" t="s">
        <v>851</v>
      </c>
    </row>
    <row r="166">
      <c r="A166" s="53" t="s">
        <v>1520</v>
      </c>
      <c r="B166" s="54" t="s">
        <v>852</v>
      </c>
    </row>
    <row r="167">
      <c r="A167" s="53" t="s">
        <v>1521</v>
      </c>
      <c r="B167" s="54" t="s">
        <v>853</v>
      </c>
    </row>
    <row r="168">
      <c r="A168" s="53" t="s">
        <v>1522</v>
      </c>
      <c r="B168" s="54" t="s">
        <v>854</v>
      </c>
    </row>
    <row r="169">
      <c r="A169" s="53" t="s">
        <v>1523</v>
      </c>
      <c r="B169" s="54" t="s">
        <v>858</v>
      </c>
    </row>
    <row r="170">
      <c r="A170" s="53" t="s">
        <v>1524</v>
      </c>
      <c r="B170" s="54" t="s">
        <v>860</v>
      </c>
    </row>
    <row r="171">
      <c r="A171" s="53" t="s">
        <v>1525</v>
      </c>
      <c r="B171" s="54" t="s">
        <v>831</v>
      </c>
    </row>
    <row r="172">
      <c r="A172" s="53" t="s">
        <v>1526</v>
      </c>
      <c r="B172" s="54" t="s">
        <v>835</v>
      </c>
    </row>
    <row r="173">
      <c r="A173" s="53" t="s">
        <v>1527</v>
      </c>
      <c r="B173" s="54" t="s">
        <v>839</v>
      </c>
    </row>
    <row r="174">
      <c r="A174" s="53" t="s">
        <v>1528</v>
      </c>
      <c r="B174" s="54" t="s">
        <v>856</v>
      </c>
    </row>
    <row r="175">
      <c r="A175" s="53" t="s">
        <v>1529</v>
      </c>
      <c r="B175" s="54" t="s">
        <v>857</v>
      </c>
    </row>
    <row r="176">
      <c r="A176" s="55" t="s">
        <v>1530</v>
      </c>
      <c r="B176" s="54" t="s">
        <v>850</v>
      </c>
    </row>
    <row r="177">
      <c r="A177" s="53" t="s">
        <v>1531</v>
      </c>
      <c r="B177" s="54" t="s">
        <v>734</v>
      </c>
    </row>
    <row r="178">
      <c r="A178" s="55" t="s">
        <v>1532</v>
      </c>
      <c r="B178" s="54" t="s">
        <v>825</v>
      </c>
    </row>
    <row r="179">
      <c r="A179" s="55" t="s">
        <v>25</v>
      </c>
      <c r="B179" s="54" t="s">
        <v>809</v>
      </c>
    </row>
    <row r="180">
      <c r="A180" s="53" t="s">
        <v>1533</v>
      </c>
      <c r="B180" s="54" t="s">
        <v>800</v>
      </c>
    </row>
    <row r="181">
      <c r="A181" s="53" t="s">
        <v>1534</v>
      </c>
      <c r="B181" s="54" t="s">
        <v>823</v>
      </c>
    </row>
    <row r="182">
      <c r="A182" s="53" t="s">
        <v>1535</v>
      </c>
      <c r="B182" s="54" t="s">
        <v>799</v>
      </c>
    </row>
    <row r="183">
      <c r="A183" s="53" t="s">
        <v>1536</v>
      </c>
      <c r="B183" s="54" t="s">
        <v>838</v>
      </c>
    </row>
    <row r="184">
      <c r="A184" s="53" t="s">
        <v>1537</v>
      </c>
      <c r="B184" s="54" t="s">
        <v>827</v>
      </c>
    </row>
    <row r="185">
      <c r="A185" s="53" t="s">
        <v>1538</v>
      </c>
      <c r="B185" s="54" t="s">
        <v>844</v>
      </c>
    </row>
    <row r="186">
      <c r="A186" s="53" t="s">
        <v>1539</v>
      </c>
      <c r="B186" s="54" t="s">
        <v>820</v>
      </c>
    </row>
    <row r="187">
      <c r="A187" s="53" t="s">
        <v>1540</v>
      </c>
      <c r="B187" s="54" t="s">
        <v>833</v>
      </c>
    </row>
    <row r="188">
      <c r="A188" s="53" t="s">
        <v>1541</v>
      </c>
      <c r="B188" s="54" t="s">
        <v>842</v>
      </c>
    </row>
    <row r="189">
      <c r="A189" s="53" t="s">
        <v>1542</v>
      </c>
      <c r="B189" s="54" t="s">
        <v>832</v>
      </c>
    </row>
    <row r="190">
      <c r="A190" s="53" t="s">
        <v>1543</v>
      </c>
      <c r="B190" s="54" t="s">
        <v>812</v>
      </c>
    </row>
    <row r="191">
      <c r="A191" s="53" t="s">
        <v>1544</v>
      </c>
      <c r="B191" s="54" t="s">
        <v>837</v>
      </c>
    </row>
    <row r="192">
      <c r="A192" s="53" t="s">
        <v>1545</v>
      </c>
      <c r="B192" s="54" t="s">
        <v>834</v>
      </c>
    </row>
    <row r="193">
      <c r="A193" s="56" t="s">
        <v>1546</v>
      </c>
      <c r="B193" s="54" t="s">
        <v>701</v>
      </c>
    </row>
    <row r="194">
      <c r="A194" s="56" t="s">
        <v>1547</v>
      </c>
      <c r="B194" s="54" t="s">
        <v>773</v>
      </c>
    </row>
    <row r="195">
      <c r="A195" s="56" t="s">
        <v>1548</v>
      </c>
      <c r="B195" s="54" t="s">
        <v>784</v>
      </c>
    </row>
    <row r="196">
      <c r="A196" s="56" t="s">
        <v>1549</v>
      </c>
      <c r="B196" s="54" t="s">
        <v>767</v>
      </c>
    </row>
    <row r="197">
      <c r="A197" s="53" t="s">
        <v>1550</v>
      </c>
      <c r="B197" s="54" t="s">
        <v>760</v>
      </c>
    </row>
    <row r="198">
      <c r="A198" s="53" t="s">
        <v>1551</v>
      </c>
      <c r="B198" s="54" t="s">
        <v>843</v>
      </c>
    </row>
    <row r="199">
      <c r="A199" s="58" t="s">
        <v>1552</v>
      </c>
      <c r="B199" s="54" t="s">
        <v>694</v>
      </c>
    </row>
    <row r="200">
      <c r="A200" s="53" t="s">
        <v>1553</v>
      </c>
      <c r="B200" s="54" t="s">
        <v>836</v>
      </c>
    </row>
    <row r="201">
      <c r="A201" s="53" t="s">
        <v>1554</v>
      </c>
      <c r="B201" s="54" t="s">
        <v>817</v>
      </c>
    </row>
    <row r="202">
      <c r="A202" s="53" t="s">
        <v>1555</v>
      </c>
      <c r="B202" s="54" t="s">
        <v>755</v>
      </c>
    </row>
    <row r="203">
      <c r="A203" s="53" t="s">
        <v>1556</v>
      </c>
      <c r="B203" s="60" t="s">
        <v>1270</v>
      </c>
    </row>
    <row r="204">
      <c r="A204" s="53" t="s">
        <v>1557</v>
      </c>
      <c r="B204" s="60" t="s">
        <v>1271</v>
      </c>
    </row>
    <row r="205">
      <c r="A205" s="53" t="s">
        <v>1558</v>
      </c>
      <c r="B205" s="60" t="s">
        <v>1273</v>
      </c>
    </row>
    <row r="206">
      <c r="A206" s="53" t="s">
        <v>1559</v>
      </c>
      <c r="B206" s="60" t="s">
        <v>1274</v>
      </c>
    </row>
    <row r="207">
      <c r="A207" s="53" t="s">
        <v>128</v>
      </c>
      <c r="B207" s="60" t="s">
        <v>1275</v>
      </c>
    </row>
    <row r="208">
      <c r="A208" s="53" t="s">
        <v>1560</v>
      </c>
      <c r="B208" s="60" t="s">
        <v>1276</v>
      </c>
    </row>
    <row r="209">
      <c r="A209" s="53" t="s">
        <v>1561</v>
      </c>
      <c r="B209" s="60" t="s">
        <v>1278</v>
      </c>
    </row>
    <row r="210">
      <c r="A210" s="53" t="s">
        <v>1562</v>
      </c>
      <c r="B210" s="60" t="s">
        <v>1296</v>
      </c>
    </row>
    <row r="211">
      <c r="A211" s="53" t="s">
        <v>1563</v>
      </c>
      <c r="B211" s="60" t="s">
        <v>1280</v>
      </c>
    </row>
    <row r="212">
      <c r="A212" s="53" t="s">
        <v>1564</v>
      </c>
      <c r="B212" s="60" t="s">
        <v>1283</v>
      </c>
    </row>
    <row r="213">
      <c r="A213" s="53" t="s">
        <v>1565</v>
      </c>
      <c r="B213" s="60" t="s">
        <v>1284</v>
      </c>
    </row>
    <row r="214">
      <c r="A214" s="53" t="s">
        <v>1566</v>
      </c>
      <c r="B214" s="60" t="s">
        <v>1285</v>
      </c>
    </row>
    <row r="215">
      <c r="A215" s="53" t="s">
        <v>1567</v>
      </c>
      <c r="B215" s="60" t="s">
        <v>1286</v>
      </c>
    </row>
    <row r="216">
      <c r="A216" s="53" t="s">
        <v>1568</v>
      </c>
      <c r="B216" s="60" t="s">
        <v>1288</v>
      </c>
    </row>
    <row r="217">
      <c r="A217" s="53" t="s">
        <v>1569</v>
      </c>
      <c r="B217" s="60" t="s">
        <v>1289</v>
      </c>
    </row>
    <row r="218">
      <c r="A218" s="53" t="s">
        <v>1570</v>
      </c>
      <c r="B218" s="60" t="s">
        <v>1290</v>
      </c>
    </row>
    <row r="219">
      <c r="A219" s="53" t="s">
        <v>1571</v>
      </c>
      <c r="B219" s="60" t="s">
        <v>1291</v>
      </c>
    </row>
    <row r="220">
      <c r="A220" s="53" t="s">
        <v>1572</v>
      </c>
      <c r="B220" s="60" t="s">
        <v>1292</v>
      </c>
    </row>
    <row r="221">
      <c r="A221" s="53" t="s">
        <v>1573</v>
      </c>
      <c r="B221" s="60" t="s">
        <v>1294</v>
      </c>
    </row>
    <row r="222">
      <c r="A222" s="53" t="s">
        <v>1574</v>
      </c>
      <c r="B222" s="60" t="s">
        <v>1298</v>
      </c>
    </row>
    <row r="223">
      <c r="A223" s="53" t="s">
        <v>1575</v>
      </c>
      <c r="B223" s="60" t="s">
        <v>1302</v>
      </c>
    </row>
    <row r="224">
      <c r="A224" s="53" t="s">
        <v>1576</v>
      </c>
      <c r="B224" s="60" t="s">
        <v>1303</v>
      </c>
    </row>
    <row r="225">
      <c r="A225" s="53" t="s">
        <v>1577</v>
      </c>
      <c r="B225" s="60" t="s">
        <v>1304</v>
      </c>
    </row>
    <row r="226">
      <c r="A226" s="53" t="s">
        <v>1578</v>
      </c>
      <c r="B226" s="60" t="s">
        <v>1306</v>
      </c>
    </row>
    <row r="227">
      <c r="A227" s="53" t="s">
        <v>1579</v>
      </c>
      <c r="B227" s="60" t="s">
        <v>1307</v>
      </c>
    </row>
    <row r="228">
      <c r="A228" s="53" t="s">
        <v>1580</v>
      </c>
      <c r="B228" s="60" t="s">
        <v>1309</v>
      </c>
    </row>
    <row r="229">
      <c r="A229" s="53" t="s">
        <v>1581</v>
      </c>
      <c r="B229" s="60" t="s">
        <v>1311</v>
      </c>
    </row>
    <row r="230">
      <c r="A230" s="53" t="s">
        <v>1582</v>
      </c>
      <c r="B230" s="60" t="s">
        <v>1313</v>
      </c>
    </row>
    <row r="231">
      <c r="A231" s="53" t="s">
        <v>1583</v>
      </c>
      <c r="B231" s="60" t="s">
        <v>1316</v>
      </c>
    </row>
    <row r="232">
      <c r="A232" s="53" t="s">
        <v>1584</v>
      </c>
      <c r="B232" s="60" t="s">
        <v>1317</v>
      </c>
    </row>
    <row r="233">
      <c r="A233" s="53" t="s">
        <v>1585</v>
      </c>
      <c r="B233" s="60" t="s">
        <v>1318</v>
      </c>
    </row>
    <row r="234">
      <c r="A234" s="53" t="s">
        <v>1586</v>
      </c>
      <c r="B234" s="60" t="s">
        <v>1319</v>
      </c>
    </row>
    <row r="235">
      <c r="A235" s="53" t="s">
        <v>1587</v>
      </c>
      <c r="B235" s="60" t="s">
        <v>1321</v>
      </c>
    </row>
    <row r="236">
      <c r="A236" s="53" t="s">
        <v>1588</v>
      </c>
      <c r="B236" s="60" t="s">
        <v>1324</v>
      </c>
    </row>
    <row r="237">
      <c r="A237" s="53" t="s">
        <v>1589</v>
      </c>
      <c r="B237" s="60" t="s">
        <v>1326</v>
      </c>
    </row>
    <row r="238">
      <c r="A238" s="53" t="s">
        <v>1590</v>
      </c>
      <c r="B238" s="60" t="s">
        <v>1328</v>
      </c>
    </row>
    <row r="239">
      <c r="A239" s="53" t="s">
        <v>1591</v>
      </c>
      <c r="B239" s="60" t="s">
        <v>1329</v>
      </c>
    </row>
    <row r="240">
      <c r="A240" s="53" t="s">
        <v>34</v>
      </c>
      <c r="B240" s="60" t="s">
        <v>1281</v>
      </c>
    </row>
    <row r="241">
      <c r="A241" s="53" t="s">
        <v>1592</v>
      </c>
      <c r="B241" s="60" t="s">
        <v>1297</v>
      </c>
    </row>
    <row r="242">
      <c r="A242" s="53" t="s">
        <v>1593</v>
      </c>
      <c r="B242" s="60" t="s">
        <v>1331</v>
      </c>
    </row>
    <row r="243">
      <c r="A243" s="53" t="s">
        <v>1594</v>
      </c>
      <c r="B243" s="60" t="s">
        <v>1272</v>
      </c>
    </row>
    <row r="244">
      <c r="A244" s="53" t="s">
        <v>1595</v>
      </c>
      <c r="B244" s="60" t="s">
        <v>1312</v>
      </c>
    </row>
    <row r="245">
      <c r="A245" s="53" t="s">
        <v>1596</v>
      </c>
      <c r="B245" s="60" t="s">
        <v>1315</v>
      </c>
    </row>
    <row r="246">
      <c r="A246" s="53" t="s">
        <v>1597</v>
      </c>
      <c r="B246" s="60" t="s">
        <v>1327</v>
      </c>
    </row>
    <row r="247">
      <c r="A247" s="53" t="s">
        <v>1598</v>
      </c>
      <c r="B247" s="60" t="s">
        <v>1300</v>
      </c>
    </row>
    <row r="248">
      <c r="A248" s="55" t="s">
        <v>1599</v>
      </c>
      <c r="B248" s="60" t="s">
        <v>1277</v>
      </c>
    </row>
    <row r="249">
      <c r="A249" s="55" t="s">
        <v>1600</v>
      </c>
      <c r="B249" s="60" t="s">
        <v>1322</v>
      </c>
    </row>
    <row r="250">
      <c r="A250" s="53" t="s">
        <v>1601</v>
      </c>
      <c r="B250" s="60" t="s">
        <v>1301</v>
      </c>
    </row>
    <row r="251">
      <c r="A251" s="55" t="s">
        <v>1602</v>
      </c>
      <c r="B251" s="60" t="s">
        <v>1305</v>
      </c>
    </row>
    <row r="252">
      <c r="A252" s="53" t="s">
        <v>1603</v>
      </c>
      <c r="B252" s="60" t="s">
        <v>1279</v>
      </c>
    </row>
    <row r="253">
      <c r="A253" s="53" t="s">
        <v>1604</v>
      </c>
      <c r="B253" s="60" t="s">
        <v>1310</v>
      </c>
    </row>
    <row r="254">
      <c r="A254" s="53" t="s">
        <v>1605</v>
      </c>
      <c r="B254" s="60" t="s">
        <v>1269</v>
      </c>
    </row>
    <row r="255">
      <c r="A255" s="53" t="s">
        <v>1606</v>
      </c>
      <c r="B255" s="60" t="s">
        <v>1320</v>
      </c>
    </row>
    <row r="256">
      <c r="A256" s="53" t="s">
        <v>1607</v>
      </c>
      <c r="B256" s="60" t="s">
        <v>1308</v>
      </c>
    </row>
    <row r="257">
      <c r="A257" s="53" t="s">
        <v>1608</v>
      </c>
      <c r="B257" s="60" t="s">
        <v>1323</v>
      </c>
    </row>
    <row r="258">
      <c r="A258" s="61" t="s">
        <v>1609</v>
      </c>
      <c r="B258" s="60" t="s">
        <v>1282</v>
      </c>
    </row>
    <row r="259">
      <c r="A259" s="53" t="s">
        <v>1610</v>
      </c>
      <c r="B259" s="60" t="s">
        <v>1295</v>
      </c>
    </row>
    <row r="260">
      <c r="A260" s="53" t="s">
        <v>1611</v>
      </c>
      <c r="B260" s="60" t="s">
        <v>1314</v>
      </c>
    </row>
    <row r="261">
      <c r="A261" s="53" t="s">
        <v>1612</v>
      </c>
      <c r="B261" s="60" t="s">
        <v>1299</v>
      </c>
    </row>
    <row r="262">
      <c r="A262" s="53" t="s">
        <v>129</v>
      </c>
      <c r="B262" s="60" t="s">
        <v>1325</v>
      </c>
    </row>
    <row r="263">
      <c r="A263" s="53" t="s">
        <v>1613</v>
      </c>
      <c r="B263" s="60" t="s">
        <v>1287</v>
      </c>
    </row>
    <row r="264">
      <c r="A264" s="53" t="s">
        <v>1614</v>
      </c>
      <c r="B264" s="60" t="s">
        <v>1330</v>
      </c>
    </row>
    <row r="265">
      <c r="A265" s="53" t="s">
        <v>1615</v>
      </c>
      <c r="B265" s="60" t="s">
        <v>1293</v>
      </c>
    </row>
    <row r="266">
      <c r="A266" s="53" t="s">
        <v>1616</v>
      </c>
      <c r="B266" s="60" t="s">
        <v>1039</v>
      </c>
    </row>
    <row r="267">
      <c r="A267" s="53" t="s">
        <v>1617</v>
      </c>
      <c r="B267" s="60" t="s">
        <v>1040</v>
      </c>
    </row>
    <row r="268">
      <c r="A268" s="53" t="s">
        <v>1618</v>
      </c>
      <c r="B268" s="60" t="s">
        <v>1041</v>
      </c>
    </row>
    <row r="269">
      <c r="A269" s="53" t="s">
        <v>1619</v>
      </c>
      <c r="B269" s="60" t="s">
        <v>1046</v>
      </c>
    </row>
    <row r="270">
      <c r="A270" s="53" t="s">
        <v>1620</v>
      </c>
      <c r="B270" s="60" t="s">
        <v>1047</v>
      </c>
    </row>
    <row r="271">
      <c r="A271" s="53" t="s">
        <v>1621</v>
      </c>
      <c r="B271" s="60" t="s">
        <v>1048</v>
      </c>
    </row>
    <row r="272">
      <c r="A272" s="53" t="s">
        <v>1622</v>
      </c>
      <c r="B272" s="60" t="s">
        <v>1049</v>
      </c>
    </row>
    <row r="273">
      <c r="A273" s="53" t="s">
        <v>1623</v>
      </c>
      <c r="B273" s="60" t="s">
        <v>1051</v>
      </c>
    </row>
    <row r="274">
      <c r="A274" s="53" t="s">
        <v>1624</v>
      </c>
      <c r="B274" s="60" t="s">
        <v>1052</v>
      </c>
    </row>
    <row r="275">
      <c r="A275" s="53" t="s">
        <v>1625</v>
      </c>
      <c r="B275" s="60" t="s">
        <v>1053</v>
      </c>
    </row>
    <row r="276">
      <c r="A276" s="53" t="s">
        <v>1626</v>
      </c>
      <c r="B276" s="60" t="s">
        <v>1055</v>
      </c>
    </row>
    <row r="277">
      <c r="A277" s="53" t="s">
        <v>1627</v>
      </c>
      <c r="B277" s="60" t="s">
        <v>1063</v>
      </c>
    </row>
    <row r="278">
      <c r="A278" s="53" t="s">
        <v>1628</v>
      </c>
      <c r="B278" s="60" t="s">
        <v>1064</v>
      </c>
    </row>
    <row r="279">
      <c r="A279" s="53" t="s">
        <v>1629</v>
      </c>
      <c r="B279" s="60" t="s">
        <v>1065</v>
      </c>
    </row>
    <row r="280">
      <c r="A280" s="53" t="s">
        <v>1630</v>
      </c>
      <c r="B280" s="60" t="s">
        <v>1068</v>
      </c>
    </row>
    <row r="281">
      <c r="A281" s="53" t="s">
        <v>1631</v>
      </c>
      <c r="B281" s="60" t="s">
        <v>1070</v>
      </c>
    </row>
    <row r="282">
      <c r="A282" s="53" t="s">
        <v>1632</v>
      </c>
      <c r="B282" s="60" t="s">
        <v>1071</v>
      </c>
    </row>
    <row r="283">
      <c r="A283" s="53" t="s">
        <v>1633</v>
      </c>
      <c r="B283" s="60" t="s">
        <v>1072</v>
      </c>
    </row>
    <row r="284">
      <c r="A284" s="53" t="s">
        <v>1634</v>
      </c>
      <c r="B284" s="60" t="s">
        <v>1074</v>
      </c>
    </row>
    <row r="285">
      <c r="A285" s="53" t="s">
        <v>1635</v>
      </c>
      <c r="B285" s="60" t="s">
        <v>1077</v>
      </c>
    </row>
    <row r="286">
      <c r="A286" s="53" t="s">
        <v>1636</v>
      </c>
      <c r="B286" s="60" t="s">
        <v>1079</v>
      </c>
    </row>
    <row r="287">
      <c r="A287" s="53" t="s">
        <v>1637</v>
      </c>
      <c r="B287" s="60" t="s">
        <v>1083</v>
      </c>
    </row>
    <row r="288">
      <c r="A288" s="53" t="s">
        <v>1638</v>
      </c>
      <c r="B288" s="60" t="s">
        <v>1084</v>
      </c>
    </row>
    <row r="289">
      <c r="A289" s="53" t="s">
        <v>1639</v>
      </c>
      <c r="B289" s="60" t="s">
        <v>1086</v>
      </c>
    </row>
    <row r="290">
      <c r="A290" s="53" t="s">
        <v>1640</v>
      </c>
      <c r="B290" s="60" t="s">
        <v>1090</v>
      </c>
    </row>
    <row r="291">
      <c r="A291" s="53" t="s">
        <v>1641</v>
      </c>
      <c r="B291" s="60" t="s">
        <v>1091</v>
      </c>
    </row>
    <row r="292">
      <c r="A292" s="53" t="s">
        <v>1642</v>
      </c>
      <c r="B292" s="60" t="s">
        <v>1092</v>
      </c>
    </row>
    <row r="293">
      <c r="A293" s="53" t="s">
        <v>1643</v>
      </c>
      <c r="B293" s="60" t="s">
        <v>1096</v>
      </c>
    </row>
    <row r="294">
      <c r="A294" s="53" t="s">
        <v>1644</v>
      </c>
      <c r="B294" s="60" t="s">
        <v>1098</v>
      </c>
    </row>
    <row r="295">
      <c r="A295" s="53" t="s">
        <v>1645</v>
      </c>
      <c r="B295" s="60" t="s">
        <v>1100</v>
      </c>
    </row>
    <row r="296">
      <c r="A296" s="53" t="s">
        <v>1646</v>
      </c>
      <c r="B296" s="60" t="s">
        <v>1101</v>
      </c>
    </row>
    <row r="297">
      <c r="A297" s="53" t="s">
        <v>1647</v>
      </c>
      <c r="B297" s="60" t="s">
        <v>1102</v>
      </c>
    </row>
    <row r="298">
      <c r="A298" s="53" t="s">
        <v>1648</v>
      </c>
      <c r="B298" s="60" t="s">
        <v>1104</v>
      </c>
    </row>
    <row r="299">
      <c r="A299" s="53" t="s">
        <v>1649</v>
      </c>
      <c r="B299" s="60" t="s">
        <v>1106</v>
      </c>
    </row>
    <row r="300">
      <c r="A300" s="53" t="s">
        <v>1650</v>
      </c>
      <c r="B300" s="60" t="s">
        <v>1110</v>
      </c>
    </row>
    <row r="301">
      <c r="A301" s="53" t="s">
        <v>1651</v>
      </c>
      <c r="B301" s="60" t="s">
        <v>1045</v>
      </c>
    </row>
    <row r="302">
      <c r="A302" s="53" t="s">
        <v>1652</v>
      </c>
      <c r="B302" s="60" t="s">
        <v>1057</v>
      </c>
    </row>
    <row r="303">
      <c r="A303" s="53" t="s">
        <v>1653</v>
      </c>
      <c r="B303" s="60" t="s">
        <v>1066</v>
      </c>
    </row>
    <row r="304">
      <c r="A304" s="53" t="s">
        <v>1654</v>
      </c>
      <c r="B304" s="60" t="s">
        <v>1095</v>
      </c>
    </row>
    <row r="305">
      <c r="A305" s="53" t="s">
        <v>1655</v>
      </c>
      <c r="B305" s="60" t="s">
        <v>1081</v>
      </c>
    </row>
    <row r="306">
      <c r="A306" s="55" t="s">
        <v>1656</v>
      </c>
      <c r="B306" s="60" t="s">
        <v>1044</v>
      </c>
    </row>
    <row r="307">
      <c r="A307" s="55" t="s">
        <v>1657</v>
      </c>
      <c r="B307" s="60" t="s">
        <v>1113</v>
      </c>
    </row>
    <row r="308">
      <c r="A308" s="55" t="s">
        <v>1658</v>
      </c>
      <c r="B308" s="60" t="s">
        <v>1094</v>
      </c>
    </row>
    <row r="309">
      <c r="A309" s="53" t="s">
        <v>1659</v>
      </c>
      <c r="B309" s="60" t="s">
        <v>1050</v>
      </c>
    </row>
    <row r="310">
      <c r="A310" s="53" t="s">
        <v>1660</v>
      </c>
      <c r="B310" s="60" t="s">
        <v>1138</v>
      </c>
    </row>
    <row r="311">
      <c r="A311" s="55" t="s">
        <v>1661</v>
      </c>
      <c r="B311" s="60" t="s">
        <v>1080</v>
      </c>
    </row>
    <row r="312">
      <c r="A312" s="55" t="s">
        <v>1662</v>
      </c>
      <c r="B312" s="60" t="s">
        <v>1078</v>
      </c>
    </row>
    <row r="313">
      <c r="A313" s="55" t="s">
        <v>1663</v>
      </c>
      <c r="B313" s="60" t="s">
        <v>1056</v>
      </c>
    </row>
    <row r="314">
      <c r="A314" s="55" t="s">
        <v>1664</v>
      </c>
      <c r="B314" s="60" t="s">
        <v>1105</v>
      </c>
    </row>
    <row r="315">
      <c r="A315" s="55" t="s">
        <v>1665</v>
      </c>
      <c r="B315" s="60" t="s">
        <v>1075</v>
      </c>
    </row>
    <row r="316">
      <c r="A316" s="53" t="s">
        <v>1666</v>
      </c>
      <c r="B316" s="60" t="s">
        <v>1140</v>
      </c>
    </row>
    <row r="317">
      <c r="A317" s="55" t="s">
        <v>1667</v>
      </c>
      <c r="B317" s="60" t="s">
        <v>1085</v>
      </c>
    </row>
    <row r="318">
      <c r="A318" s="55" t="s">
        <v>1668</v>
      </c>
      <c r="B318" s="60" t="s">
        <v>1087</v>
      </c>
    </row>
    <row r="319">
      <c r="A319" s="59" t="s">
        <v>1669</v>
      </c>
      <c r="B319" s="60" t="s">
        <v>1153</v>
      </c>
    </row>
    <row r="320">
      <c r="A320" s="62" t="s">
        <v>1670</v>
      </c>
      <c r="B320" s="60" t="s">
        <v>1054</v>
      </c>
    </row>
    <row r="321">
      <c r="A321" s="55" t="s">
        <v>1671</v>
      </c>
      <c r="B321" s="60" t="s">
        <v>1069</v>
      </c>
    </row>
    <row r="322">
      <c r="A322" s="55" t="s">
        <v>1672</v>
      </c>
      <c r="B322" s="60" t="s">
        <v>1093</v>
      </c>
    </row>
    <row r="323">
      <c r="A323" s="53" t="s">
        <v>1673</v>
      </c>
      <c r="B323" s="60" t="s">
        <v>1060</v>
      </c>
    </row>
    <row r="324">
      <c r="A324" s="53" t="s">
        <v>1674</v>
      </c>
      <c r="B324" s="60" t="s">
        <v>1136</v>
      </c>
    </row>
    <row r="325">
      <c r="A325" s="53" t="s">
        <v>1675</v>
      </c>
      <c r="B325" s="60" t="s">
        <v>1062</v>
      </c>
    </row>
    <row r="326">
      <c r="A326" s="53" t="s">
        <v>1676</v>
      </c>
      <c r="B326" s="60" t="s">
        <v>1059</v>
      </c>
    </row>
    <row r="327">
      <c r="A327" s="53" t="s">
        <v>1677</v>
      </c>
      <c r="B327" s="60" t="s">
        <v>1089</v>
      </c>
    </row>
    <row r="328">
      <c r="A328" s="53" t="s">
        <v>1678</v>
      </c>
      <c r="B328" s="60" t="s">
        <v>1076</v>
      </c>
    </row>
    <row r="329">
      <c r="A329" s="53" t="s">
        <v>1679</v>
      </c>
      <c r="B329" s="60" t="s">
        <v>1155</v>
      </c>
    </row>
    <row r="330">
      <c r="A330" s="56" t="s">
        <v>1680</v>
      </c>
      <c r="B330" s="60" t="s">
        <v>1082</v>
      </c>
    </row>
    <row r="331">
      <c r="A331" s="53" t="s">
        <v>1681</v>
      </c>
      <c r="B331" s="60" t="s">
        <v>1061</v>
      </c>
    </row>
    <row r="332">
      <c r="A332" s="61" t="s">
        <v>1682</v>
      </c>
      <c r="B332" s="60" t="s">
        <v>1154</v>
      </c>
    </row>
    <row r="333">
      <c r="A333" s="53" t="s">
        <v>1683</v>
      </c>
      <c r="B333" s="60" t="s">
        <v>1123</v>
      </c>
    </row>
    <row r="334">
      <c r="A334" s="53" t="s">
        <v>1684</v>
      </c>
      <c r="B334" s="60" t="s">
        <v>1158</v>
      </c>
    </row>
    <row r="335">
      <c r="A335" s="53" t="s">
        <v>1685</v>
      </c>
      <c r="B335" s="60" t="s">
        <v>1179</v>
      </c>
    </row>
    <row r="336">
      <c r="A336" s="53" t="s">
        <v>80</v>
      </c>
      <c r="B336" s="60" t="s">
        <v>1058</v>
      </c>
    </row>
    <row r="337">
      <c r="A337" s="53" t="s">
        <v>1686</v>
      </c>
      <c r="B337" s="60" t="s">
        <v>1112</v>
      </c>
    </row>
    <row r="338">
      <c r="A338" s="53" t="s">
        <v>1687</v>
      </c>
      <c r="B338" s="60" t="s">
        <v>1115</v>
      </c>
    </row>
    <row r="339">
      <c r="A339" s="53" t="s">
        <v>1688</v>
      </c>
      <c r="B339" s="60" t="s">
        <v>1117</v>
      </c>
    </row>
    <row r="340">
      <c r="A340" s="53" t="s">
        <v>1689</v>
      </c>
      <c r="B340" s="60" t="s">
        <v>1120</v>
      </c>
    </row>
    <row r="341">
      <c r="A341" s="53" t="s">
        <v>1690</v>
      </c>
      <c r="B341" s="60" t="s">
        <v>1121</v>
      </c>
    </row>
    <row r="342">
      <c r="A342" s="53" t="s">
        <v>1691</v>
      </c>
      <c r="B342" s="60" t="s">
        <v>1122</v>
      </c>
    </row>
    <row r="343">
      <c r="A343" s="53" t="s">
        <v>1692</v>
      </c>
      <c r="B343" s="60" t="s">
        <v>1125</v>
      </c>
    </row>
    <row r="344">
      <c r="A344" s="53" t="s">
        <v>126</v>
      </c>
      <c r="B344" s="60" t="s">
        <v>1126</v>
      </c>
    </row>
    <row r="345">
      <c r="A345" s="53" t="s">
        <v>1693</v>
      </c>
      <c r="B345" s="60" t="s">
        <v>1127</v>
      </c>
    </row>
    <row r="346">
      <c r="A346" s="53" t="s">
        <v>1694</v>
      </c>
      <c r="B346" s="60" t="s">
        <v>1128</v>
      </c>
    </row>
    <row r="347">
      <c r="A347" s="53" t="s">
        <v>1695</v>
      </c>
      <c r="B347" s="60" t="s">
        <v>1131</v>
      </c>
    </row>
    <row r="348">
      <c r="A348" s="53" t="s">
        <v>1696</v>
      </c>
      <c r="B348" s="60" t="s">
        <v>1132</v>
      </c>
    </row>
    <row r="349">
      <c r="A349" s="53" t="s">
        <v>1697</v>
      </c>
      <c r="B349" s="60" t="s">
        <v>1133</v>
      </c>
    </row>
    <row r="350">
      <c r="A350" s="53" t="s">
        <v>1698</v>
      </c>
      <c r="B350" s="60" t="s">
        <v>1134</v>
      </c>
    </row>
    <row r="351">
      <c r="A351" s="53" t="s">
        <v>1699</v>
      </c>
      <c r="B351" s="60" t="s">
        <v>1139</v>
      </c>
    </row>
    <row r="352">
      <c r="A352" s="53" t="s">
        <v>62</v>
      </c>
      <c r="B352" s="60" t="s">
        <v>1142</v>
      </c>
    </row>
    <row r="353">
      <c r="A353" s="53" t="s">
        <v>1700</v>
      </c>
      <c r="B353" s="60" t="s">
        <v>1143</v>
      </c>
    </row>
    <row r="354">
      <c r="A354" s="53" t="s">
        <v>1701</v>
      </c>
      <c r="B354" s="60" t="s">
        <v>1144</v>
      </c>
    </row>
    <row r="355">
      <c r="A355" s="53" t="s">
        <v>1702</v>
      </c>
      <c r="B355" s="60" t="s">
        <v>1146</v>
      </c>
    </row>
    <row r="356">
      <c r="A356" s="53" t="s">
        <v>1703</v>
      </c>
      <c r="B356" s="60" t="s">
        <v>1147</v>
      </c>
    </row>
    <row r="357">
      <c r="A357" s="53" t="s">
        <v>1704</v>
      </c>
      <c r="B357" s="60" t="s">
        <v>1148</v>
      </c>
    </row>
    <row r="358">
      <c r="A358" s="53" t="s">
        <v>1705</v>
      </c>
      <c r="B358" s="60" t="s">
        <v>1149</v>
      </c>
    </row>
    <row r="359">
      <c r="A359" s="53" t="s">
        <v>1706</v>
      </c>
      <c r="B359" s="60" t="s">
        <v>1151</v>
      </c>
    </row>
    <row r="360">
      <c r="A360" s="53" t="s">
        <v>1707</v>
      </c>
      <c r="B360" s="60" t="s">
        <v>1152</v>
      </c>
    </row>
    <row r="361">
      <c r="A361" s="53" t="s">
        <v>1708</v>
      </c>
      <c r="B361" s="60" t="s">
        <v>1157</v>
      </c>
    </row>
    <row r="362">
      <c r="A362" s="53" t="s">
        <v>1709</v>
      </c>
      <c r="B362" s="60" t="s">
        <v>1159</v>
      </c>
    </row>
    <row r="363">
      <c r="A363" s="53" t="s">
        <v>1710</v>
      </c>
      <c r="B363" s="60" t="s">
        <v>1164</v>
      </c>
    </row>
    <row r="364">
      <c r="A364" s="53" t="s">
        <v>1711</v>
      </c>
      <c r="B364" s="60" t="s">
        <v>1166</v>
      </c>
    </row>
    <row r="365">
      <c r="A365" s="53" t="s">
        <v>1712</v>
      </c>
      <c r="B365" s="60" t="s">
        <v>1167</v>
      </c>
    </row>
    <row r="366">
      <c r="A366" s="53" t="s">
        <v>1713</v>
      </c>
      <c r="B366" s="60" t="s">
        <v>1170</v>
      </c>
    </row>
    <row r="367">
      <c r="A367" s="53" t="s">
        <v>1714</v>
      </c>
      <c r="B367" s="60" t="s">
        <v>1173</v>
      </c>
    </row>
    <row r="368">
      <c r="A368" s="53" t="s">
        <v>1715</v>
      </c>
      <c r="B368" s="60" t="s">
        <v>1174</v>
      </c>
    </row>
    <row r="369">
      <c r="A369" s="53" t="s">
        <v>1716</v>
      </c>
      <c r="B369" s="60" t="s">
        <v>1176</v>
      </c>
    </row>
    <row r="370">
      <c r="A370" s="53" t="s">
        <v>1717</v>
      </c>
      <c r="B370" s="60" t="s">
        <v>1130</v>
      </c>
    </row>
    <row r="371">
      <c r="A371" s="53" t="s">
        <v>1718</v>
      </c>
      <c r="B371" s="60" t="s">
        <v>1150</v>
      </c>
    </row>
    <row r="372">
      <c r="A372" s="53" t="s">
        <v>1719</v>
      </c>
      <c r="B372" s="60" t="s">
        <v>1169</v>
      </c>
    </row>
    <row r="373">
      <c r="A373" s="53" t="s">
        <v>1720</v>
      </c>
      <c r="B373" s="60" t="s">
        <v>1172</v>
      </c>
    </row>
    <row r="374">
      <c r="A374" s="53" t="s">
        <v>1721</v>
      </c>
      <c r="B374" s="60" t="s">
        <v>1129</v>
      </c>
    </row>
    <row r="375">
      <c r="A375" s="53" t="s">
        <v>1722</v>
      </c>
      <c r="B375" s="60" t="s">
        <v>1162</v>
      </c>
    </row>
    <row r="376">
      <c r="A376" s="53" t="s">
        <v>1723</v>
      </c>
      <c r="B376" s="60" t="s">
        <v>1165</v>
      </c>
    </row>
    <row r="377">
      <c r="A377" s="53" t="s">
        <v>1724</v>
      </c>
      <c r="B377" s="60" t="s">
        <v>1178</v>
      </c>
    </row>
    <row r="378">
      <c r="A378" s="53" t="s">
        <v>1725</v>
      </c>
      <c r="B378" s="60" t="s">
        <v>1180</v>
      </c>
    </row>
    <row r="379">
      <c r="A379" s="55" t="s">
        <v>1726</v>
      </c>
      <c r="B379" s="60" t="s">
        <v>1109</v>
      </c>
    </row>
    <row r="380">
      <c r="A380" s="55" t="s">
        <v>1727</v>
      </c>
      <c r="B380" s="60" t="s">
        <v>1161</v>
      </c>
    </row>
    <row r="381">
      <c r="A381" s="55" t="s">
        <v>1728</v>
      </c>
      <c r="B381" s="60" t="s">
        <v>1175</v>
      </c>
    </row>
    <row r="382">
      <c r="A382" s="55" t="s">
        <v>1729</v>
      </c>
      <c r="B382" s="60" t="s">
        <v>1156</v>
      </c>
    </row>
    <row r="383">
      <c r="A383" s="55" t="s">
        <v>1730</v>
      </c>
      <c r="B383" s="60" t="s">
        <v>1181</v>
      </c>
    </row>
    <row r="384">
      <c r="A384" s="55" t="s">
        <v>1731</v>
      </c>
      <c r="B384" s="60" t="s">
        <v>1171</v>
      </c>
    </row>
    <row r="385">
      <c r="A385" s="55" t="s">
        <v>1732</v>
      </c>
      <c r="B385" s="60" t="s">
        <v>1108</v>
      </c>
    </row>
    <row r="386">
      <c r="A386" s="53" t="s">
        <v>1733</v>
      </c>
      <c r="B386" s="60" t="s">
        <v>1168</v>
      </c>
    </row>
    <row r="387">
      <c r="A387" s="53" t="s">
        <v>78</v>
      </c>
      <c r="B387" s="60" t="s">
        <v>1043</v>
      </c>
    </row>
    <row r="388">
      <c r="A388" s="53" t="s">
        <v>1734</v>
      </c>
      <c r="B388" s="60" t="s">
        <v>1067</v>
      </c>
    </row>
    <row r="389">
      <c r="A389" s="53" t="s">
        <v>1735</v>
      </c>
      <c r="B389" s="60" t="s">
        <v>1145</v>
      </c>
    </row>
    <row r="390">
      <c r="A390" s="53" t="s">
        <v>1736</v>
      </c>
      <c r="B390" s="60" t="s">
        <v>1073</v>
      </c>
    </row>
    <row r="391">
      <c r="A391" s="53" t="s">
        <v>1737</v>
      </c>
      <c r="B391" s="60" t="s">
        <v>1107</v>
      </c>
    </row>
    <row r="392">
      <c r="A392" s="53" t="s">
        <v>1738</v>
      </c>
      <c r="B392" s="60" t="s">
        <v>1118</v>
      </c>
    </row>
    <row r="393">
      <c r="A393" s="53" t="s">
        <v>1739</v>
      </c>
      <c r="B393" s="60" t="s">
        <v>1137</v>
      </c>
    </row>
    <row r="394">
      <c r="A394" s="53" t="s">
        <v>1740</v>
      </c>
      <c r="B394" s="60" t="s">
        <v>1177</v>
      </c>
    </row>
    <row r="395">
      <c r="A395" s="53" t="s">
        <v>1741</v>
      </c>
      <c r="B395" s="60" t="s">
        <v>1099</v>
      </c>
    </row>
    <row r="396">
      <c r="A396" s="53" t="s">
        <v>1742</v>
      </c>
      <c r="B396" s="60" t="s">
        <v>1103</v>
      </c>
    </row>
    <row r="397">
      <c r="A397" s="53" t="s">
        <v>1743</v>
      </c>
      <c r="B397" s="60" t="s">
        <v>1119</v>
      </c>
    </row>
    <row r="398">
      <c r="A398" s="53" t="s">
        <v>1744</v>
      </c>
      <c r="B398" s="60" t="s">
        <v>1135</v>
      </c>
    </row>
    <row r="399">
      <c r="A399" s="53" t="s">
        <v>1745</v>
      </c>
      <c r="B399" s="60" t="s">
        <v>1141</v>
      </c>
    </row>
    <row r="400">
      <c r="A400" s="53" t="s">
        <v>1746</v>
      </c>
      <c r="B400" s="60" t="s">
        <v>1114</v>
      </c>
    </row>
    <row r="401">
      <c r="A401" s="56" t="s">
        <v>1747</v>
      </c>
      <c r="B401" s="60" t="s">
        <v>1160</v>
      </c>
    </row>
    <row r="402">
      <c r="A402" s="53" t="s">
        <v>1748</v>
      </c>
      <c r="B402" s="60" t="s">
        <v>1097</v>
      </c>
    </row>
    <row r="403">
      <c r="A403" s="53" t="s">
        <v>1749</v>
      </c>
      <c r="B403" s="60" t="s">
        <v>1042</v>
      </c>
    </row>
    <row r="404">
      <c r="A404" s="53" t="s">
        <v>15</v>
      </c>
      <c r="B404" s="60" t="s">
        <v>1116</v>
      </c>
    </row>
    <row r="405">
      <c r="A405" s="53" t="s">
        <v>1750</v>
      </c>
      <c r="B405" s="60" t="s">
        <v>1124</v>
      </c>
    </row>
    <row r="406">
      <c r="A406" s="53" t="s">
        <v>1751</v>
      </c>
      <c r="B406" s="60" t="s">
        <v>1111</v>
      </c>
    </row>
    <row r="407">
      <c r="A407" s="53" t="s">
        <v>1752</v>
      </c>
      <c r="B407" s="60" t="s">
        <v>1163</v>
      </c>
    </row>
    <row r="408">
      <c r="A408" s="53" t="s">
        <v>1753</v>
      </c>
      <c r="B408" s="60" t="s">
        <v>1088</v>
      </c>
    </row>
    <row r="409">
      <c r="A409" s="53" t="s">
        <v>1754</v>
      </c>
      <c r="B409" s="54" t="s">
        <v>883</v>
      </c>
    </row>
    <row r="410">
      <c r="A410" s="53" t="s">
        <v>1755</v>
      </c>
      <c r="B410" s="54" t="s">
        <v>886</v>
      </c>
    </row>
    <row r="411">
      <c r="A411" s="53" t="s">
        <v>1756</v>
      </c>
      <c r="B411" s="54" t="s">
        <v>887</v>
      </c>
    </row>
    <row r="412">
      <c r="A412" s="53" t="s">
        <v>65</v>
      </c>
      <c r="B412" s="54" t="s">
        <v>889</v>
      </c>
    </row>
    <row r="413">
      <c r="A413" s="53" t="s">
        <v>1757</v>
      </c>
      <c r="B413" s="54" t="s">
        <v>893</v>
      </c>
    </row>
    <row r="414">
      <c r="A414" s="53" t="s">
        <v>1758</v>
      </c>
      <c r="B414" s="54" t="s">
        <v>894</v>
      </c>
    </row>
    <row r="415">
      <c r="A415" s="53" t="s">
        <v>1759</v>
      </c>
      <c r="B415" s="54" t="s">
        <v>895</v>
      </c>
    </row>
    <row r="416">
      <c r="A416" s="53" t="s">
        <v>1760</v>
      </c>
      <c r="B416" s="54" t="s">
        <v>899</v>
      </c>
    </row>
    <row r="417">
      <c r="A417" s="53" t="s">
        <v>123</v>
      </c>
      <c r="B417" s="54" t="s">
        <v>900</v>
      </c>
    </row>
    <row r="418">
      <c r="A418" s="53" t="s">
        <v>1761</v>
      </c>
      <c r="B418" s="54" t="s">
        <v>902</v>
      </c>
    </row>
    <row r="419">
      <c r="A419" s="53" t="s">
        <v>1762</v>
      </c>
      <c r="B419" s="54" t="s">
        <v>903</v>
      </c>
    </row>
    <row r="420">
      <c r="A420" s="53" t="s">
        <v>1763</v>
      </c>
      <c r="B420" s="54" t="s">
        <v>904</v>
      </c>
    </row>
    <row r="421">
      <c r="A421" s="53" t="s">
        <v>1764</v>
      </c>
      <c r="B421" s="54" t="s">
        <v>906</v>
      </c>
    </row>
    <row r="422">
      <c r="A422" s="53" t="s">
        <v>1765</v>
      </c>
      <c r="B422" s="54" t="s">
        <v>907</v>
      </c>
    </row>
    <row r="423">
      <c r="A423" s="53" t="s">
        <v>1766</v>
      </c>
      <c r="B423" s="54" t="s">
        <v>909</v>
      </c>
    </row>
    <row r="424">
      <c r="A424" s="53" t="s">
        <v>1767</v>
      </c>
      <c r="B424" s="54" t="s">
        <v>911</v>
      </c>
    </row>
    <row r="425">
      <c r="A425" s="53" t="s">
        <v>1768</v>
      </c>
      <c r="B425" s="54" t="s">
        <v>914</v>
      </c>
    </row>
    <row r="426">
      <c r="A426" s="53" t="s">
        <v>1769</v>
      </c>
      <c r="B426" s="54" t="s">
        <v>915</v>
      </c>
    </row>
    <row r="427">
      <c r="A427" s="53" t="s">
        <v>1770</v>
      </c>
      <c r="B427" s="54" t="s">
        <v>916</v>
      </c>
    </row>
    <row r="428">
      <c r="A428" s="53" t="s">
        <v>1771</v>
      </c>
      <c r="B428" s="54" t="s">
        <v>918</v>
      </c>
    </row>
    <row r="429">
      <c r="A429" s="53" t="s">
        <v>1772</v>
      </c>
      <c r="B429" s="54" t="s">
        <v>919</v>
      </c>
    </row>
    <row r="430">
      <c r="A430" s="53" t="s">
        <v>1773</v>
      </c>
      <c r="B430" s="54" t="s">
        <v>920</v>
      </c>
    </row>
    <row r="431">
      <c r="A431" s="53" t="s">
        <v>1774</v>
      </c>
      <c r="B431" s="54" t="s">
        <v>921</v>
      </c>
    </row>
    <row r="432">
      <c r="A432" s="53" t="s">
        <v>1775</v>
      </c>
      <c r="B432" s="54" t="s">
        <v>922</v>
      </c>
    </row>
    <row r="433">
      <c r="A433" s="53" t="s">
        <v>1776</v>
      </c>
      <c r="B433" s="54" t="s">
        <v>925</v>
      </c>
    </row>
    <row r="434">
      <c r="A434" s="53" t="s">
        <v>1777</v>
      </c>
      <c r="B434" s="54" t="s">
        <v>930</v>
      </c>
    </row>
    <row r="435">
      <c r="A435" s="53" t="s">
        <v>1778</v>
      </c>
      <c r="B435" s="54" t="s">
        <v>932</v>
      </c>
    </row>
    <row r="436">
      <c r="A436" s="53" t="s">
        <v>1779</v>
      </c>
      <c r="B436" s="54" t="s">
        <v>934</v>
      </c>
    </row>
    <row r="437">
      <c r="A437" s="53" t="s">
        <v>1780</v>
      </c>
      <c r="B437" s="54" t="s">
        <v>936</v>
      </c>
    </row>
    <row r="438">
      <c r="A438" s="53" t="s">
        <v>1781</v>
      </c>
      <c r="B438" s="54" t="s">
        <v>937</v>
      </c>
    </row>
    <row r="439">
      <c r="A439" s="53" t="s">
        <v>1782</v>
      </c>
      <c r="B439" s="54" t="s">
        <v>938</v>
      </c>
    </row>
    <row r="440">
      <c r="A440" s="53" t="s">
        <v>1783</v>
      </c>
      <c r="B440" s="54" t="s">
        <v>941</v>
      </c>
    </row>
    <row r="441">
      <c r="A441" s="53" t="s">
        <v>1784</v>
      </c>
      <c r="B441" s="54" t="s">
        <v>942</v>
      </c>
    </row>
    <row r="442">
      <c r="A442" s="53" t="s">
        <v>1785</v>
      </c>
      <c r="B442" s="54" t="s">
        <v>944</v>
      </c>
    </row>
    <row r="443">
      <c r="A443" s="53" t="s">
        <v>1786</v>
      </c>
      <c r="B443" s="54" t="s">
        <v>945</v>
      </c>
    </row>
    <row r="444">
      <c r="A444" s="53" t="s">
        <v>1787</v>
      </c>
      <c r="B444" s="54" t="s">
        <v>946</v>
      </c>
    </row>
    <row r="445">
      <c r="A445" s="53" t="s">
        <v>1788</v>
      </c>
      <c r="B445" s="54" t="s">
        <v>948</v>
      </c>
    </row>
    <row r="446">
      <c r="A446" s="53" t="s">
        <v>1789</v>
      </c>
      <c r="B446" s="54" t="s">
        <v>896</v>
      </c>
    </row>
    <row r="447">
      <c r="A447" s="53" t="s">
        <v>1790</v>
      </c>
      <c r="B447" s="54" t="s">
        <v>924</v>
      </c>
    </row>
    <row r="448">
      <c r="A448" s="53" t="s">
        <v>1791</v>
      </c>
      <c r="B448" s="54" t="s">
        <v>927</v>
      </c>
    </row>
    <row r="449">
      <c r="A449" s="53" t="s">
        <v>1792</v>
      </c>
      <c r="B449" s="54" t="s">
        <v>939</v>
      </c>
    </row>
    <row r="450">
      <c r="A450" s="53" t="s">
        <v>1793</v>
      </c>
      <c r="B450" s="54" t="s">
        <v>959</v>
      </c>
    </row>
    <row r="451">
      <c r="A451" s="53" t="s">
        <v>1794</v>
      </c>
      <c r="B451" s="54" t="s">
        <v>968</v>
      </c>
    </row>
    <row r="452">
      <c r="A452" s="53" t="s">
        <v>1795</v>
      </c>
      <c r="B452" s="54" t="s">
        <v>898</v>
      </c>
    </row>
    <row r="453">
      <c r="A453" s="53" t="s">
        <v>1796</v>
      </c>
      <c r="B453" s="54" t="s">
        <v>908</v>
      </c>
    </row>
    <row r="454">
      <c r="A454" s="53" t="s">
        <v>1797</v>
      </c>
      <c r="B454" s="54" t="s">
        <v>917</v>
      </c>
    </row>
    <row r="455">
      <c r="A455" s="53" t="s">
        <v>1798</v>
      </c>
      <c r="B455" s="54" t="s">
        <v>901</v>
      </c>
    </row>
    <row r="456">
      <c r="A456" s="53" t="s">
        <v>1799</v>
      </c>
      <c r="B456" s="54" t="s">
        <v>947</v>
      </c>
    </row>
    <row r="457">
      <c r="A457" s="53" t="s">
        <v>1800</v>
      </c>
      <c r="B457" s="54" t="s">
        <v>923</v>
      </c>
    </row>
    <row r="458">
      <c r="A458" s="55" t="s">
        <v>1801</v>
      </c>
      <c r="B458" s="54" t="s">
        <v>961</v>
      </c>
    </row>
    <row r="459">
      <c r="A459" s="55" t="s">
        <v>1802</v>
      </c>
      <c r="B459" s="54" t="s">
        <v>884</v>
      </c>
    </row>
    <row r="460">
      <c r="A460" s="55" t="s">
        <v>1803</v>
      </c>
      <c r="B460" s="54" t="s">
        <v>986</v>
      </c>
    </row>
    <row r="461">
      <c r="A461" s="53" t="s">
        <v>1804</v>
      </c>
      <c r="B461" s="54" t="s">
        <v>935</v>
      </c>
    </row>
    <row r="462">
      <c r="A462" s="55" t="s">
        <v>1805</v>
      </c>
      <c r="B462" s="54" t="s">
        <v>933</v>
      </c>
    </row>
    <row r="463">
      <c r="A463" s="55" t="s">
        <v>1806</v>
      </c>
      <c r="B463" s="54" t="s">
        <v>888</v>
      </c>
    </row>
    <row r="464">
      <c r="A464" s="55" t="s">
        <v>1807</v>
      </c>
      <c r="B464" s="54" t="s">
        <v>905</v>
      </c>
    </row>
    <row r="465">
      <c r="A465" s="53" t="s">
        <v>31</v>
      </c>
      <c r="B465" s="54" t="s">
        <v>910</v>
      </c>
    </row>
    <row r="466">
      <c r="A466" s="53" t="s">
        <v>1808</v>
      </c>
      <c r="B466" s="54" t="s">
        <v>1007</v>
      </c>
    </row>
    <row r="467">
      <c r="A467" s="53" t="s">
        <v>1809</v>
      </c>
      <c r="B467" s="54" t="s">
        <v>992</v>
      </c>
    </row>
    <row r="468">
      <c r="A468" s="53" t="s">
        <v>16</v>
      </c>
      <c r="B468" s="54" t="s">
        <v>997</v>
      </c>
    </row>
    <row r="469">
      <c r="A469" s="53" t="s">
        <v>1810</v>
      </c>
      <c r="B469" s="54" t="s">
        <v>913</v>
      </c>
    </row>
    <row r="470">
      <c r="A470" s="53" t="s">
        <v>1811</v>
      </c>
      <c r="B470" s="54" t="s">
        <v>931</v>
      </c>
    </row>
    <row r="471">
      <c r="A471" s="53" t="s">
        <v>1812</v>
      </c>
      <c r="B471" s="54" t="s">
        <v>940</v>
      </c>
    </row>
    <row r="472">
      <c r="A472" s="53" t="s">
        <v>1813</v>
      </c>
      <c r="B472" s="54" t="s">
        <v>929</v>
      </c>
    </row>
    <row r="473">
      <c r="A473" s="53" t="s">
        <v>1814</v>
      </c>
      <c r="B473" s="54" t="s">
        <v>960</v>
      </c>
    </row>
    <row r="474">
      <c r="A474" s="53" t="s">
        <v>1815</v>
      </c>
      <c r="B474" s="54" t="s">
        <v>890</v>
      </c>
    </row>
    <row r="475">
      <c r="A475" s="53" t="s">
        <v>1816</v>
      </c>
      <c r="B475" s="54" t="s">
        <v>885</v>
      </c>
    </row>
    <row r="476">
      <c r="A476" s="53" t="s">
        <v>1817</v>
      </c>
      <c r="B476" s="54" t="s">
        <v>892</v>
      </c>
    </row>
    <row r="477">
      <c r="A477" s="53" t="s">
        <v>1818</v>
      </c>
      <c r="B477" s="54" t="s">
        <v>926</v>
      </c>
    </row>
    <row r="478">
      <c r="A478" s="53" t="s">
        <v>1819</v>
      </c>
      <c r="B478" s="54" t="s">
        <v>1009</v>
      </c>
    </row>
    <row r="479">
      <c r="A479" s="53" t="s">
        <v>1820</v>
      </c>
      <c r="B479" s="54" t="s">
        <v>1005</v>
      </c>
    </row>
    <row r="480">
      <c r="A480" s="53" t="s">
        <v>1821</v>
      </c>
      <c r="B480" s="54" t="s">
        <v>995</v>
      </c>
    </row>
    <row r="481">
      <c r="A481" s="53" t="s">
        <v>1822</v>
      </c>
      <c r="B481" s="54" t="s">
        <v>949</v>
      </c>
    </row>
    <row r="482">
      <c r="A482" s="53" t="s">
        <v>1823</v>
      </c>
      <c r="B482" s="54" t="s">
        <v>950</v>
      </c>
    </row>
    <row r="483">
      <c r="A483" s="53" t="s">
        <v>1824</v>
      </c>
      <c r="B483" s="54" t="s">
        <v>951</v>
      </c>
    </row>
    <row r="484">
      <c r="A484" s="53" t="s">
        <v>1825</v>
      </c>
      <c r="B484" s="54" t="s">
        <v>982</v>
      </c>
    </row>
    <row r="485">
      <c r="A485" s="53" t="s">
        <v>1826</v>
      </c>
      <c r="B485" s="54" t="s">
        <v>954</v>
      </c>
    </row>
    <row r="486">
      <c r="A486" s="53" t="s">
        <v>109</v>
      </c>
      <c r="B486" s="54" t="s">
        <v>957</v>
      </c>
    </row>
    <row r="487">
      <c r="A487" s="53" t="s">
        <v>1827</v>
      </c>
      <c r="B487" s="54" t="s">
        <v>962</v>
      </c>
    </row>
    <row r="488">
      <c r="A488" s="53" t="s">
        <v>1828</v>
      </c>
      <c r="B488" s="54" t="s">
        <v>966</v>
      </c>
    </row>
    <row r="489">
      <c r="A489" s="53" t="s">
        <v>1829</v>
      </c>
      <c r="B489" s="54" t="s">
        <v>967</v>
      </c>
    </row>
    <row r="490">
      <c r="A490" s="53" t="s">
        <v>1830</v>
      </c>
      <c r="B490" s="54" t="s">
        <v>969</v>
      </c>
    </row>
    <row r="491">
      <c r="A491" s="53" t="s">
        <v>1831</v>
      </c>
      <c r="B491" s="54" t="s">
        <v>973</v>
      </c>
    </row>
    <row r="492">
      <c r="A492" s="53" t="s">
        <v>1832</v>
      </c>
      <c r="B492" s="54" t="s">
        <v>974</v>
      </c>
    </row>
    <row r="493">
      <c r="A493" s="53" t="s">
        <v>1833</v>
      </c>
      <c r="B493" s="54" t="s">
        <v>975</v>
      </c>
    </row>
    <row r="494">
      <c r="A494" s="53" t="s">
        <v>1834</v>
      </c>
      <c r="B494" s="54" t="s">
        <v>977</v>
      </c>
    </row>
    <row r="495">
      <c r="A495" s="53" t="s">
        <v>61</v>
      </c>
      <c r="B495" s="54" t="s">
        <v>981</v>
      </c>
    </row>
    <row r="496">
      <c r="A496" s="53" t="s">
        <v>1835</v>
      </c>
      <c r="B496" s="63" t="s">
        <v>983</v>
      </c>
    </row>
    <row r="497">
      <c r="A497" s="53" t="s">
        <v>40</v>
      </c>
      <c r="B497" s="54" t="s">
        <v>985</v>
      </c>
    </row>
    <row r="498">
      <c r="A498" s="53" t="s">
        <v>1836</v>
      </c>
      <c r="B498" s="54" t="s">
        <v>991</v>
      </c>
    </row>
    <row r="499">
      <c r="A499" s="53" t="s">
        <v>1837</v>
      </c>
      <c r="B499" s="54" t="s">
        <v>994</v>
      </c>
    </row>
    <row r="500">
      <c r="A500" s="53" t="s">
        <v>1838</v>
      </c>
      <c r="B500" s="54" t="s">
        <v>996</v>
      </c>
    </row>
    <row r="501">
      <c r="A501" s="53" t="s">
        <v>1839</v>
      </c>
      <c r="B501" s="54" t="s">
        <v>998</v>
      </c>
    </row>
    <row r="502">
      <c r="A502" s="53" t="s">
        <v>1840</v>
      </c>
      <c r="B502" s="54" t="s">
        <v>999</v>
      </c>
    </row>
    <row r="503">
      <c r="A503" s="53" t="s">
        <v>1841</v>
      </c>
      <c r="B503" s="54" t="s">
        <v>1000</v>
      </c>
    </row>
    <row r="504">
      <c r="A504" s="53" t="s">
        <v>79</v>
      </c>
      <c r="B504" s="54" t="s">
        <v>1001</v>
      </c>
    </row>
    <row r="505">
      <c r="A505" s="53" t="s">
        <v>1842</v>
      </c>
      <c r="B505" s="54" t="s">
        <v>1003</v>
      </c>
    </row>
    <row r="506">
      <c r="A506" s="53" t="s">
        <v>1843</v>
      </c>
      <c r="B506" s="54" t="s">
        <v>1004</v>
      </c>
    </row>
    <row r="507">
      <c r="A507" s="53" t="s">
        <v>48</v>
      </c>
      <c r="B507" s="54" t="s">
        <v>1008</v>
      </c>
    </row>
    <row r="508">
      <c r="A508" s="53" t="s">
        <v>1844</v>
      </c>
      <c r="B508" s="54" t="s">
        <v>1010</v>
      </c>
    </row>
    <row r="509">
      <c r="A509" s="53" t="s">
        <v>1845</v>
      </c>
      <c r="B509" s="54" t="s">
        <v>1011</v>
      </c>
    </row>
    <row r="510">
      <c r="A510" s="53" t="s">
        <v>1846</v>
      </c>
      <c r="B510" s="54" t="s">
        <v>1012</v>
      </c>
    </row>
    <row r="511">
      <c r="A511" s="53" t="s">
        <v>55</v>
      </c>
      <c r="B511" s="54" t="s">
        <v>1014</v>
      </c>
    </row>
    <row r="512">
      <c r="A512" s="53" t="s">
        <v>1847</v>
      </c>
      <c r="B512" s="54" t="s">
        <v>1016</v>
      </c>
    </row>
    <row r="513">
      <c r="A513" s="53" t="s">
        <v>1848</v>
      </c>
      <c r="B513" s="54" t="s">
        <v>1017</v>
      </c>
    </row>
    <row r="514">
      <c r="A514" s="53" t="s">
        <v>1849</v>
      </c>
      <c r="B514" s="54" t="s">
        <v>1019</v>
      </c>
    </row>
    <row r="515">
      <c r="A515" s="53" t="s">
        <v>1850</v>
      </c>
      <c r="B515" s="54" t="s">
        <v>1020</v>
      </c>
    </row>
    <row r="516">
      <c r="A516" s="61" t="s">
        <v>1851</v>
      </c>
      <c r="B516" s="54" t="s">
        <v>1021</v>
      </c>
    </row>
    <row r="517">
      <c r="A517" s="53" t="s">
        <v>1852</v>
      </c>
      <c r="B517" s="54" t="s">
        <v>1022</v>
      </c>
    </row>
    <row r="518">
      <c r="A518" s="53" t="s">
        <v>1853</v>
      </c>
      <c r="B518" s="54" t="s">
        <v>1023</v>
      </c>
    </row>
    <row r="519">
      <c r="A519" s="53" t="s">
        <v>1854</v>
      </c>
      <c r="B519" s="54" t="s">
        <v>1024</v>
      </c>
    </row>
    <row r="520">
      <c r="A520" s="53" t="s">
        <v>85</v>
      </c>
      <c r="B520" s="54" t="s">
        <v>972</v>
      </c>
    </row>
    <row r="521">
      <c r="A521" s="53" t="s">
        <v>1855</v>
      </c>
      <c r="B521" s="54" t="s">
        <v>980</v>
      </c>
    </row>
    <row r="522">
      <c r="A522" s="53" t="s">
        <v>1856</v>
      </c>
      <c r="B522" s="54" t="s">
        <v>990</v>
      </c>
    </row>
    <row r="523">
      <c r="A523" s="53" t="s">
        <v>1857</v>
      </c>
      <c r="B523" s="54" t="s">
        <v>993</v>
      </c>
    </row>
    <row r="524">
      <c r="A524" s="53" t="s">
        <v>1858</v>
      </c>
      <c r="B524" s="54" t="s">
        <v>1018</v>
      </c>
    </row>
    <row r="525">
      <c r="A525" s="53" t="s">
        <v>1859</v>
      </c>
      <c r="B525" s="54" t="s">
        <v>953</v>
      </c>
    </row>
    <row r="526">
      <c r="A526" s="53" t="s">
        <v>1860</v>
      </c>
      <c r="B526" s="54" t="s">
        <v>963</v>
      </c>
    </row>
    <row r="527">
      <c r="A527" s="53" t="s">
        <v>1861</v>
      </c>
      <c r="B527" s="54" t="s">
        <v>964</v>
      </c>
    </row>
    <row r="528">
      <c r="A528" s="53" t="s">
        <v>1862</v>
      </c>
      <c r="B528" s="54" t="s">
        <v>970</v>
      </c>
    </row>
    <row r="529">
      <c r="A529" s="62" t="s">
        <v>1863</v>
      </c>
      <c r="B529" s="54" t="s">
        <v>989</v>
      </c>
    </row>
    <row r="530">
      <c r="A530" s="55" t="s">
        <v>1864</v>
      </c>
      <c r="B530" s="54" t="s">
        <v>956</v>
      </c>
    </row>
    <row r="531">
      <c r="A531" s="55" t="s">
        <v>1865</v>
      </c>
      <c r="B531" s="54" t="s">
        <v>958</v>
      </c>
    </row>
    <row r="532">
      <c r="A532" s="55" t="s">
        <v>1866</v>
      </c>
      <c r="B532" s="54" t="s">
        <v>971</v>
      </c>
    </row>
    <row r="533">
      <c r="A533" s="55" t="s">
        <v>1867</v>
      </c>
      <c r="B533" s="54" t="s">
        <v>943</v>
      </c>
    </row>
    <row r="534">
      <c r="A534" s="53" t="s">
        <v>1868</v>
      </c>
      <c r="B534" s="54" t="s">
        <v>988</v>
      </c>
    </row>
    <row r="535">
      <c r="A535" s="53" t="s">
        <v>1869</v>
      </c>
      <c r="B535" s="54" t="s">
        <v>979</v>
      </c>
    </row>
    <row r="536">
      <c r="A536" s="53" t="s">
        <v>99</v>
      </c>
      <c r="B536" s="54" t="s">
        <v>1025</v>
      </c>
    </row>
    <row r="537">
      <c r="A537" s="53" t="s">
        <v>1870</v>
      </c>
      <c r="B537" s="54" t="s">
        <v>978</v>
      </c>
    </row>
    <row r="538">
      <c r="A538" s="53" t="s">
        <v>1871</v>
      </c>
      <c r="B538" s="54" t="s">
        <v>952</v>
      </c>
    </row>
    <row r="539">
      <c r="A539" s="53" t="s">
        <v>1872</v>
      </c>
      <c r="B539" s="54" t="s">
        <v>912</v>
      </c>
    </row>
    <row r="540">
      <c r="A540" s="53" t="s">
        <v>1873</v>
      </c>
      <c r="B540" s="54" t="s">
        <v>1013</v>
      </c>
    </row>
    <row r="541">
      <c r="A541" s="53" t="s">
        <v>1874</v>
      </c>
      <c r="B541" s="54" t="s">
        <v>965</v>
      </c>
    </row>
    <row r="542">
      <c r="A542" s="53" t="s">
        <v>1875</v>
      </c>
      <c r="B542" s="54" t="s">
        <v>984</v>
      </c>
    </row>
    <row r="543">
      <c r="A543" s="53" t="s">
        <v>1876</v>
      </c>
      <c r="B543" s="54" t="s">
        <v>1002</v>
      </c>
    </row>
    <row r="544">
      <c r="A544" s="53" t="s">
        <v>1877</v>
      </c>
      <c r="B544" s="54" t="s">
        <v>955</v>
      </c>
    </row>
    <row r="545">
      <c r="A545" s="56" t="s">
        <v>1878</v>
      </c>
      <c r="B545" s="54" t="s">
        <v>928</v>
      </c>
    </row>
    <row r="546">
      <c r="A546" s="56" t="s">
        <v>1879</v>
      </c>
      <c r="B546" s="54" t="s">
        <v>1015</v>
      </c>
    </row>
    <row r="547">
      <c r="A547" s="64" t="s">
        <v>1880</v>
      </c>
      <c r="B547" s="54" t="s">
        <v>1006</v>
      </c>
    </row>
    <row r="548">
      <c r="A548" s="53" t="s">
        <v>1881</v>
      </c>
      <c r="B548" s="54" t="s">
        <v>976</v>
      </c>
    </row>
    <row r="549">
      <c r="A549" s="53" t="s">
        <v>1882</v>
      </c>
      <c r="B549" s="54" t="s">
        <v>891</v>
      </c>
    </row>
    <row r="550">
      <c r="A550" s="53" t="s">
        <v>1883</v>
      </c>
      <c r="B550" s="54" t="s">
        <v>897</v>
      </c>
    </row>
    <row r="551">
      <c r="A551" s="53" t="s">
        <v>1884</v>
      </c>
      <c r="B551" s="54" t="s">
        <v>987</v>
      </c>
    </row>
    <row r="552">
      <c r="A552" s="55" t="s">
        <v>1885</v>
      </c>
      <c r="B552" s="54" t="s">
        <v>139</v>
      </c>
    </row>
    <row r="553">
      <c r="A553" s="55" t="s">
        <v>1886</v>
      </c>
      <c r="B553" s="54" t="s">
        <v>142</v>
      </c>
    </row>
    <row r="554">
      <c r="A554" s="55" t="s">
        <v>1887</v>
      </c>
      <c r="B554" s="54" t="s">
        <v>143</v>
      </c>
    </row>
    <row r="555">
      <c r="A555" s="55" t="s">
        <v>1888</v>
      </c>
      <c r="B555" s="54" t="s">
        <v>151</v>
      </c>
    </row>
    <row r="556">
      <c r="A556" s="55" t="s">
        <v>1889</v>
      </c>
      <c r="B556" s="54" t="s">
        <v>153</v>
      </c>
    </row>
    <row r="557">
      <c r="A557" s="55" t="s">
        <v>1890</v>
      </c>
      <c r="B557" s="54" t="s">
        <v>155</v>
      </c>
    </row>
    <row r="558">
      <c r="A558" s="55" t="s">
        <v>1891</v>
      </c>
      <c r="B558" s="54" t="s">
        <v>156</v>
      </c>
    </row>
    <row r="559">
      <c r="A559" s="55" t="s">
        <v>1892</v>
      </c>
      <c r="B559" s="54" t="s">
        <v>157</v>
      </c>
    </row>
    <row r="560">
      <c r="A560" s="55" t="s">
        <v>1893</v>
      </c>
      <c r="B560" s="54" t="s">
        <v>162</v>
      </c>
    </row>
    <row r="561">
      <c r="A561" s="55" t="s">
        <v>1894</v>
      </c>
      <c r="B561" s="54" t="s">
        <v>165</v>
      </c>
    </row>
    <row r="562">
      <c r="A562" s="55" t="s">
        <v>1895</v>
      </c>
      <c r="B562" s="54" t="s">
        <v>166</v>
      </c>
    </row>
    <row r="563">
      <c r="A563" s="55" t="s">
        <v>1896</v>
      </c>
      <c r="B563" s="54" t="s">
        <v>168</v>
      </c>
    </row>
    <row r="564">
      <c r="A564" s="55" t="s">
        <v>1897</v>
      </c>
      <c r="B564" s="54" t="s">
        <v>169</v>
      </c>
    </row>
    <row r="565">
      <c r="A565" s="55" t="s">
        <v>1898</v>
      </c>
      <c r="B565" s="54" t="s">
        <v>170</v>
      </c>
    </row>
    <row r="566">
      <c r="A566" s="55" t="s">
        <v>1899</v>
      </c>
      <c r="B566" s="54" t="s">
        <v>171</v>
      </c>
    </row>
    <row r="567">
      <c r="A567" s="55" t="s">
        <v>1900</v>
      </c>
      <c r="B567" s="54" t="s">
        <v>172</v>
      </c>
    </row>
    <row r="568">
      <c r="A568" s="55" t="s">
        <v>1901</v>
      </c>
      <c r="B568" s="54" t="s">
        <v>174</v>
      </c>
    </row>
    <row r="569">
      <c r="A569" s="55" t="s">
        <v>1902</v>
      </c>
      <c r="B569" s="54" t="s">
        <v>206</v>
      </c>
    </row>
    <row r="570">
      <c r="A570" s="55" t="s">
        <v>1903</v>
      </c>
      <c r="B570" s="54" t="s">
        <v>179</v>
      </c>
    </row>
    <row r="571">
      <c r="A571" s="55" t="s">
        <v>1904</v>
      </c>
      <c r="B571" s="54" t="s">
        <v>181</v>
      </c>
    </row>
    <row r="572">
      <c r="A572" s="55" t="s">
        <v>1905</v>
      </c>
      <c r="B572" s="54" t="s">
        <v>183</v>
      </c>
    </row>
    <row r="573">
      <c r="A573" s="55" t="s">
        <v>1906</v>
      </c>
      <c r="B573" s="54" t="s">
        <v>185</v>
      </c>
    </row>
    <row r="574">
      <c r="A574" s="55" t="s">
        <v>1907</v>
      </c>
      <c r="B574" s="54" t="s">
        <v>186</v>
      </c>
    </row>
    <row r="575">
      <c r="A575" s="55" t="s">
        <v>1908</v>
      </c>
      <c r="B575" s="54" t="s">
        <v>189</v>
      </c>
    </row>
    <row r="576">
      <c r="A576" s="55" t="s">
        <v>1909</v>
      </c>
      <c r="B576" s="54" t="s">
        <v>190</v>
      </c>
    </row>
    <row r="577">
      <c r="A577" s="55" t="s">
        <v>1910</v>
      </c>
      <c r="B577" s="54" t="s">
        <v>191</v>
      </c>
    </row>
    <row r="578">
      <c r="A578" s="65" t="s">
        <v>1911</v>
      </c>
      <c r="B578" s="54" t="s">
        <v>193</v>
      </c>
    </row>
    <row r="579">
      <c r="A579" s="55" t="s">
        <v>1912</v>
      </c>
      <c r="B579" s="54" t="s">
        <v>196</v>
      </c>
    </row>
    <row r="580">
      <c r="A580" s="55" t="s">
        <v>1913</v>
      </c>
      <c r="B580" s="54" t="s">
        <v>197</v>
      </c>
    </row>
    <row r="581">
      <c r="A581" s="55" t="s">
        <v>1914</v>
      </c>
      <c r="B581" s="54" t="s">
        <v>198</v>
      </c>
    </row>
    <row r="582">
      <c r="A582" s="55" t="s">
        <v>1915</v>
      </c>
      <c r="B582" s="54" t="s">
        <v>199</v>
      </c>
    </row>
    <row r="583">
      <c r="A583" s="55" t="s">
        <v>1916</v>
      </c>
      <c r="B583" s="54" t="s">
        <v>201</v>
      </c>
    </row>
    <row r="584">
      <c r="A584" s="55" t="s">
        <v>1917</v>
      </c>
      <c r="B584" s="54" t="s">
        <v>204</v>
      </c>
    </row>
    <row r="585">
      <c r="A585" s="55" t="s">
        <v>1918</v>
      </c>
      <c r="B585" s="54" t="s">
        <v>207</v>
      </c>
    </row>
    <row r="586">
      <c r="A586" s="55" t="s">
        <v>1919</v>
      </c>
      <c r="B586" s="54" t="s">
        <v>208</v>
      </c>
    </row>
    <row r="587">
      <c r="A587" s="55" t="s">
        <v>1920</v>
      </c>
      <c r="B587" s="54" t="s">
        <v>211</v>
      </c>
    </row>
    <row r="588">
      <c r="A588" s="55" t="s">
        <v>1921</v>
      </c>
      <c r="B588" s="54" t="s">
        <v>212</v>
      </c>
    </row>
    <row r="589">
      <c r="A589" s="55" t="s">
        <v>1922</v>
      </c>
      <c r="B589" s="54" t="s">
        <v>213</v>
      </c>
    </row>
    <row r="590">
      <c r="A590" s="55" t="s">
        <v>1923</v>
      </c>
      <c r="B590" s="54" t="s">
        <v>214</v>
      </c>
    </row>
    <row r="591">
      <c r="A591" s="55" t="s">
        <v>1924</v>
      </c>
      <c r="B591" s="54" t="s">
        <v>216</v>
      </c>
    </row>
    <row r="592">
      <c r="A592" s="55" t="s">
        <v>1925</v>
      </c>
      <c r="B592" s="54" t="s">
        <v>173</v>
      </c>
    </row>
    <row r="593">
      <c r="A593" s="55" t="s">
        <v>1926</v>
      </c>
      <c r="B593" s="54" t="s">
        <v>175</v>
      </c>
    </row>
    <row r="594">
      <c r="A594" s="55" t="s">
        <v>1927</v>
      </c>
      <c r="B594" s="54" t="s">
        <v>178</v>
      </c>
    </row>
    <row r="595">
      <c r="A595" s="65" t="s">
        <v>1928</v>
      </c>
      <c r="B595" s="54" t="s">
        <v>138</v>
      </c>
    </row>
    <row r="596">
      <c r="A596" s="55" t="s">
        <v>1929</v>
      </c>
      <c r="B596" s="54" t="s">
        <v>161</v>
      </c>
    </row>
    <row r="597">
      <c r="A597" s="55" t="s">
        <v>1930</v>
      </c>
      <c r="B597" s="54" t="s">
        <v>184</v>
      </c>
    </row>
    <row r="598">
      <c r="A598" s="55" t="s">
        <v>1931</v>
      </c>
      <c r="B598" s="54" t="s">
        <v>188</v>
      </c>
    </row>
    <row r="599">
      <c r="A599" s="55" t="s">
        <v>1932</v>
      </c>
      <c r="B599" s="54" t="s">
        <v>141</v>
      </c>
    </row>
    <row r="600">
      <c r="A600" s="55" t="s">
        <v>1933</v>
      </c>
      <c r="B600" s="54" t="s">
        <v>140</v>
      </c>
    </row>
    <row r="601">
      <c r="A601" s="55" t="s">
        <v>1934</v>
      </c>
      <c r="B601" s="54" t="s">
        <v>221</v>
      </c>
    </row>
    <row r="602">
      <c r="A602" s="55" t="s">
        <v>1935</v>
      </c>
      <c r="B602" s="54" t="s">
        <v>230</v>
      </c>
    </row>
    <row r="603">
      <c r="A603" s="55" t="s">
        <v>1936</v>
      </c>
      <c r="B603" s="54" t="s">
        <v>148</v>
      </c>
    </row>
    <row r="604">
      <c r="A604" s="55" t="s">
        <v>1937</v>
      </c>
      <c r="B604" s="54" t="s">
        <v>152</v>
      </c>
    </row>
    <row r="605">
      <c r="A605" s="55" t="s">
        <v>1938</v>
      </c>
      <c r="B605" s="54" t="s">
        <v>297</v>
      </c>
    </row>
    <row r="606">
      <c r="A606" s="55" t="s">
        <v>1939</v>
      </c>
      <c r="B606" s="54" t="s">
        <v>202</v>
      </c>
    </row>
    <row r="607">
      <c r="A607" s="55" t="s">
        <v>1940</v>
      </c>
      <c r="B607" s="54" t="s">
        <v>176</v>
      </c>
    </row>
    <row r="608">
      <c r="A608" s="55" t="s">
        <v>1941</v>
      </c>
      <c r="B608" s="54" t="s">
        <v>223</v>
      </c>
    </row>
    <row r="609">
      <c r="A609" s="55" t="s">
        <v>1942</v>
      </c>
      <c r="B609" s="54" t="s">
        <v>237</v>
      </c>
    </row>
    <row r="610">
      <c r="A610" s="55" t="s">
        <v>1943</v>
      </c>
      <c r="B610" s="54" t="s">
        <v>200</v>
      </c>
    </row>
    <row r="611">
      <c r="A611" s="65" t="s">
        <v>1944</v>
      </c>
      <c r="B611" s="54" t="s">
        <v>146</v>
      </c>
    </row>
    <row r="612">
      <c r="A612" s="55" t="s">
        <v>1945</v>
      </c>
      <c r="B612" s="54" t="s">
        <v>177</v>
      </c>
    </row>
    <row r="613">
      <c r="A613" s="65" t="s">
        <v>1946</v>
      </c>
      <c r="B613" s="54" t="s">
        <v>159</v>
      </c>
    </row>
    <row r="614">
      <c r="A614" s="65" t="s">
        <v>1947</v>
      </c>
      <c r="B614" s="54" t="s">
        <v>203</v>
      </c>
    </row>
    <row r="615">
      <c r="A615" s="65" t="s">
        <v>1948</v>
      </c>
      <c r="B615" s="54" t="s">
        <v>187</v>
      </c>
    </row>
    <row r="616">
      <c r="A616" s="65" t="s">
        <v>1949</v>
      </c>
      <c r="B616" s="54" t="s">
        <v>192</v>
      </c>
    </row>
    <row r="617">
      <c r="A617" s="65" t="s">
        <v>1950</v>
      </c>
      <c r="B617" s="54" t="s">
        <v>194</v>
      </c>
    </row>
    <row r="618">
      <c r="A618" s="55" t="s">
        <v>1951</v>
      </c>
      <c r="B618" s="54" t="s">
        <v>225</v>
      </c>
    </row>
    <row r="619">
      <c r="A619" s="65" t="s">
        <v>1952</v>
      </c>
      <c r="B619" s="54" t="s">
        <v>273</v>
      </c>
    </row>
    <row r="620">
      <c r="A620" s="55" t="s">
        <v>1953</v>
      </c>
      <c r="B620" s="54" t="s">
        <v>160</v>
      </c>
    </row>
    <row r="621">
      <c r="A621" s="65" t="s">
        <v>1954</v>
      </c>
      <c r="B621" s="54" t="s">
        <v>259</v>
      </c>
    </row>
    <row r="622">
      <c r="A622" s="55" t="s">
        <v>1955</v>
      </c>
      <c r="B622" s="54" t="s">
        <v>209</v>
      </c>
    </row>
    <row r="623">
      <c r="A623" s="55" t="s">
        <v>1956</v>
      </c>
      <c r="B623" s="54" t="s">
        <v>158</v>
      </c>
    </row>
    <row r="624">
      <c r="A624" s="55" t="s">
        <v>1957</v>
      </c>
      <c r="B624" s="54" t="s">
        <v>311</v>
      </c>
    </row>
    <row r="625">
      <c r="A625" s="55" t="s">
        <v>1958</v>
      </c>
      <c r="B625" s="54" t="s">
        <v>217</v>
      </c>
    </row>
    <row r="626">
      <c r="A626" s="55" t="s">
        <v>1959</v>
      </c>
      <c r="B626" s="54" t="s">
        <v>218</v>
      </c>
    </row>
    <row r="627">
      <c r="A627" s="55" t="s">
        <v>125</v>
      </c>
      <c r="B627" s="54" t="s">
        <v>219</v>
      </c>
    </row>
    <row r="628">
      <c r="A628" s="55" t="s">
        <v>1960</v>
      </c>
      <c r="B628" s="54" t="s">
        <v>222</v>
      </c>
    </row>
    <row r="629">
      <c r="A629" s="55" t="s">
        <v>1961</v>
      </c>
      <c r="B629" s="54" t="s">
        <v>228</v>
      </c>
    </row>
    <row r="630">
      <c r="A630" s="55" t="s">
        <v>1962</v>
      </c>
      <c r="B630" s="54" t="s">
        <v>229</v>
      </c>
    </row>
    <row r="631">
      <c r="A631" s="55" t="s">
        <v>1963</v>
      </c>
      <c r="B631" s="54" t="s">
        <v>231</v>
      </c>
    </row>
    <row r="632">
      <c r="A632" s="55" t="s">
        <v>1964</v>
      </c>
      <c r="B632" s="54" t="s">
        <v>232</v>
      </c>
    </row>
    <row r="633">
      <c r="A633" s="55" t="s">
        <v>121</v>
      </c>
      <c r="B633" s="54" t="s">
        <v>233</v>
      </c>
    </row>
    <row r="634">
      <c r="A634" s="55" t="s">
        <v>1965</v>
      </c>
      <c r="B634" s="54" t="s">
        <v>235</v>
      </c>
    </row>
    <row r="635">
      <c r="A635" s="55" t="s">
        <v>1966</v>
      </c>
      <c r="B635" s="54" t="s">
        <v>236</v>
      </c>
    </row>
    <row r="636">
      <c r="A636" s="55" t="s">
        <v>1967</v>
      </c>
      <c r="B636" s="54" t="s">
        <v>238</v>
      </c>
    </row>
    <row r="637">
      <c r="A637" s="55" t="s">
        <v>1968</v>
      </c>
      <c r="B637" s="54" t="s">
        <v>241</v>
      </c>
    </row>
    <row r="638">
      <c r="A638" s="55" t="s">
        <v>1969</v>
      </c>
      <c r="B638" s="54" t="s">
        <v>242</v>
      </c>
    </row>
    <row r="639">
      <c r="A639" s="55" t="s">
        <v>1970</v>
      </c>
      <c r="B639" s="54" t="s">
        <v>244</v>
      </c>
    </row>
    <row r="640">
      <c r="A640" s="55" t="s">
        <v>1971</v>
      </c>
      <c r="B640" s="54" t="s">
        <v>245</v>
      </c>
    </row>
    <row r="641">
      <c r="A641" s="55" t="s">
        <v>1972</v>
      </c>
      <c r="B641" s="54" t="s">
        <v>247</v>
      </c>
    </row>
    <row r="642">
      <c r="A642" s="55" t="s">
        <v>1973</v>
      </c>
      <c r="B642" s="54" t="s">
        <v>249</v>
      </c>
    </row>
    <row r="643">
      <c r="A643" s="55" t="s">
        <v>1974</v>
      </c>
      <c r="B643" s="54" t="s">
        <v>337</v>
      </c>
    </row>
    <row r="644">
      <c r="A644" s="55" t="s">
        <v>1975</v>
      </c>
      <c r="B644" s="54" t="s">
        <v>250</v>
      </c>
    </row>
    <row r="645">
      <c r="A645" s="55" t="s">
        <v>1976</v>
      </c>
      <c r="B645" s="54" t="s">
        <v>251</v>
      </c>
    </row>
    <row r="646">
      <c r="A646" s="55" t="s">
        <v>1977</v>
      </c>
      <c r="B646" s="54" t="s">
        <v>255</v>
      </c>
    </row>
    <row r="647">
      <c r="A647" s="55" t="s">
        <v>1978</v>
      </c>
      <c r="B647" s="54" t="s">
        <v>256</v>
      </c>
    </row>
    <row r="648">
      <c r="A648" s="55" t="s">
        <v>1979</v>
      </c>
      <c r="B648" s="54" t="s">
        <v>261</v>
      </c>
    </row>
    <row r="649">
      <c r="A649" s="55" t="s">
        <v>1980</v>
      </c>
      <c r="B649" s="54" t="s">
        <v>264</v>
      </c>
    </row>
    <row r="650">
      <c r="A650" s="55" t="s">
        <v>1981</v>
      </c>
      <c r="B650" s="54" t="s">
        <v>354</v>
      </c>
    </row>
    <row r="651">
      <c r="A651" s="55" t="s">
        <v>1982</v>
      </c>
      <c r="B651" s="54" t="s">
        <v>274</v>
      </c>
    </row>
    <row r="652">
      <c r="A652" s="55" t="s">
        <v>1983</v>
      </c>
      <c r="B652" s="54" t="s">
        <v>275</v>
      </c>
    </row>
    <row r="653">
      <c r="A653" s="55" t="s">
        <v>1984</v>
      </c>
      <c r="B653" s="54" t="s">
        <v>276</v>
      </c>
    </row>
    <row r="654">
      <c r="A654" s="55" t="s">
        <v>1985</v>
      </c>
      <c r="B654" s="54" t="s">
        <v>277</v>
      </c>
    </row>
    <row r="655">
      <c r="A655" s="55" t="s">
        <v>1986</v>
      </c>
      <c r="B655" s="54" t="s">
        <v>279</v>
      </c>
    </row>
    <row r="656">
      <c r="A656" s="55" t="s">
        <v>1987</v>
      </c>
      <c r="B656" s="54" t="s">
        <v>280</v>
      </c>
    </row>
    <row r="657">
      <c r="A657" s="55" t="s">
        <v>1988</v>
      </c>
      <c r="B657" s="54" t="s">
        <v>283</v>
      </c>
    </row>
    <row r="658">
      <c r="A658" s="55" t="s">
        <v>1989</v>
      </c>
      <c r="B658" s="54" t="s">
        <v>286</v>
      </c>
    </row>
    <row r="659">
      <c r="A659" s="55" t="s">
        <v>1990</v>
      </c>
      <c r="B659" s="54" t="s">
        <v>288</v>
      </c>
    </row>
    <row r="660">
      <c r="A660" s="55" t="s">
        <v>1991</v>
      </c>
      <c r="B660" s="54" t="s">
        <v>289</v>
      </c>
    </row>
    <row r="661">
      <c r="A661" s="55" t="s">
        <v>1992</v>
      </c>
      <c r="B661" s="54" t="s">
        <v>290</v>
      </c>
    </row>
    <row r="662">
      <c r="A662" s="55" t="s">
        <v>1993</v>
      </c>
      <c r="B662" s="54" t="s">
        <v>292</v>
      </c>
    </row>
    <row r="663">
      <c r="A663" s="55" t="s">
        <v>1994</v>
      </c>
      <c r="B663" s="54" t="s">
        <v>293</v>
      </c>
    </row>
    <row r="664">
      <c r="A664" s="55" t="s">
        <v>1995</v>
      </c>
      <c r="B664" s="54" t="s">
        <v>294</v>
      </c>
    </row>
    <row r="665">
      <c r="A665" s="55" t="s">
        <v>1996</v>
      </c>
      <c r="B665" s="54" t="s">
        <v>210</v>
      </c>
    </row>
    <row r="666">
      <c r="A666" s="55" t="s">
        <v>1997</v>
      </c>
      <c r="B666" s="54" t="s">
        <v>215</v>
      </c>
    </row>
    <row r="667">
      <c r="A667" s="55" t="s">
        <v>1998</v>
      </c>
      <c r="B667" s="54" t="s">
        <v>226</v>
      </c>
    </row>
    <row r="668">
      <c r="A668" s="55" t="s">
        <v>1999</v>
      </c>
      <c r="B668" s="54" t="s">
        <v>234</v>
      </c>
    </row>
    <row r="669">
      <c r="A669" s="55" t="s">
        <v>2000</v>
      </c>
      <c r="B669" s="54" t="s">
        <v>269</v>
      </c>
    </row>
    <row r="670">
      <c r="A670" s="55" t="s">
        <v>2001</v>
      </c>
      <c r="B670" s="54" t="s">
        <v>272</v>
      </c>
    </row>
    <row r="671">
      <c r="A671" s="55" t="s">
        <v>2002</v>
      </c>
      <c r="B671" s="54" t="s">
        <v>287</v>
      </c>
    </row>
    <row r="672">
      <c r="A672" s="55" t="s">
        <v>2003</v>
      </c>
      <c r="B672" s="54" t="s">
        <v>224</v>
      </c>
    </row>
    <row r="673">
      <c r="A673" s="55" t="s">
        <v>2004</v>
      </c>
      <c r="B673" s="54" t="s">
        <v>333</v>
      </c>
    </row>
    <row r="674">
      <c r="A674" s="55" t="s">
        <v>2005</v>
      </c>
      <c r="B674" s="54" t="s">
        <v>154</v>
      </c>
    </row>
    <row r="675">
      <c r="A675" s="55" t="s">
        <v>2006</v>
      </c>
      <c r="B675" s="54" t="s">
        <v>147</v>
      </c>
    </row>
    <row r="676">
      <c r="A676" s="55" t="s">
        <v>2007</v>
      </c>
      <c r="B676" s="54" t="s">
        <v>265</v>
      </c>
    </row>
    <row r="677">
      <c r="A677" s="55" t="s">
        <v>2008</v>
      </c>
      <c r="B677" s="54" t="s">
        <v>258</v>
      </c>
    </row>
    <row r="678">
      <c r="A678" s="55" t="s">
        <v>2009</v>
      </c>
      <c r="B678" s="54" t="s">
        <v>266</v>
      </c>
    </row>
    <row r="679">
      <c r="A679" s="55" t="s">
        <v>2010</v>
      </c>
      <c r="B679" s="54" t="s">
        <v>149</v>
      </c>
    </row>
    <row r="680">
      <c r="A680" s="55" t="s">
        <v>2011</v>
      </c>
      <c r="B680" s="54" t="s">
        <v>180</v>
      </c>
    </row>
    <row r="681">
      <c r="A681" s="55" t="s">
        <v>2012</v>
      </c>
      <c r="B681" s="54" t="s">
        <v>240</v>
      </c>
    </row>
    <row r="682">
      <c r="A682" s="55" t="s">
        <v>2013</v>
      </c>
      <c r="B682" s="54" t="s">
        <v>285</v>
      </c>
    </row>
    <row r="683">
      <c r="A683" s="55" t="s">
        <v>2014</v>
      </c>
      <c r="B683" s="54" t="s">
        <v>262</v>
      </c>
    </row>
    <row r="684">
      <c r="A684" s="55" t="s">
        <v>2015</v>
      </c>
      <c r="B684" s="54" t="s">
        <v>284</v>
      </c>
    </row>
    <row r="685">
      <c r="A685" s="55" t="s">
        <v>2016</v>
      </c>
      <c r="B685" s="54" t="s">
        <v>246</v>
      </c>
    </row>
    <row r="686">
      <c r="A686" s="55" t="s">
        <v>2017</v>
      </c>
      <c r="B686" s="54" t="s">
        <v>205</v>
      </c>
    </row>
    <row r="687">
      <c r="A687" s="55" t="s">
        <v>2018</v>
      </c>
      <c r="B687" s="54" t="s">
        <v>278</v>
      </c>
    </row>
    <row r="688">
      <c r="A688" s="55" t="s">
        <v>2019</v>
      </c>
      <c r="B688" s="54" t="s">
        <v>271</v>
      </c>
    </row>
    <row r="689">
      <c r="A689" s="55" t="s">
        <v>2020</v>
      </c>
      <c r="B689" s="54" t="s">
        <v>243</v>
      </c>
    </row>
    <row r="690">
      <c r="A690" s="55" t="s">
        <v>2021</v>
      </c>
      <c r="B690" s="54" t="s">
        <v>195</v>
      </c>
    </row>
    <row r="691">
      <c r="A691" s="55" t="s">
        <v>2022</v>
      </c>
      <c r="B691" s="54" t="s">
        <v>164</v>
      </c>
    </row>
    <row r="692">
      <c r="A692" s="55" t="s">
        <v>2023</v>
      </c>
      <c r="B692" s="54" t="s">
        <v>358</v>
      </c>
    </row>
    <row r="693">
      <c r="A693" s="55" t="s">
        <v>2024</v>
      </c>
      <c r="B693" s="54" t="s">
        <v>254</v>
      </c>
    </row>
    <row r="694">
      <c r="A694" s="55" t="s">
        <v>2025</v>
      </c>
      <c r="B694" s="54" t="s">
        <v>252</v>
      </c>
    </row>
    <row r="695">
      <c r="A695" s="55" t="s">
        <v>2026</v>
      </c>
      <c r="B695" s="54" t="s">
        <v>315</v>
      </c>
    </row>
    <row r="696">
      <c r="A696" s="55" t="s">
        <v>2027</v>
      </c>
      <c r="B696" s="54" t="s">
        <v>145</v>
      </c>
    </row>
    <row r="697">
      <c r="A697" s="55" t="s">
        <v>2028</v>
      </c>
      <c r="B697" s="54" t="s">
        <v>304</v>
      </c>
    </row>
    <row r="698">
      <c r="A698" s="66" t="s">
        <v>2029</v>
      </c>
      <c r="B698" s="54" t="s">
        <v>295</v>
      </c>
    </row>
    <row r="699">
      <c r="A699" s="66" t="s">
        <v>2030</v>
      </c>
      <c r="B699" s="54" t="s">
        <v>296</v>
      </c>
    </row>
    <row r="700">
      <c r="A700" s="66" t="s">
        <v>2031</v>
      </c>
      <c r="B700" s="54" t="s">
        <v>298</v>
      </c>
    </row>
    <row r="701">
      <c r="A701" s="66" t="s">
        <v>2032</v>
      </c>
      <c r="B701" s="54" t="s">
        <v>302</v>
      </c>
    </row>
    <row r="702">
      <c r="A702" s="66" t="s">
        <v>2033</v>
      </c>
      <c r="B702" s="54" t="s">
        <v>303</v>
      </c>
    </row>
    <row r="703">
      <c r="A703" s="66" t="s">
        <v>2034</v>
      </c>
      <c r="B703" s="54" t="s">
        <v>307</v>
      </c>
    </row>
    <row r="704">
      <c r="A704" s="66" t="s">
        <v>2035</v>
      </c>
      <c r="B704" s="54" t="s">
        <v>308</v>
      </c>
    </row>
    <row r="705">
      <c r="A705" s="66" t="s">
        <v>2036</v>
      </c>
      <c r="B705" s="54" t="s">
        <v>309</v>
      </c>
    </row>
    <row r="706">
      <c r="A706" s="66" t="s">
        <v>2037</v>
      </c>
      <c r="B706" s="54" t="s">
        <v>312</v>
      </c>
    </row>
    <row r="707">
      <c r="A707" s="66" t="s">
        <v>2038</v>
      </c>
      <c r="B707" s="54" t="s">
        <v>313</v>
      </c>
    </row>
    <row r="708">
      <c r="A708" s="66" t="s">
        <v>2039</v>
      </c>
      <c r="B708" s="54" t="s">
        <v>316</v>
      </c>
    </row>
    <row r="709">
      <c r="A709" s="66" t="s">
        <v>2040</v>
      </c>
      <c r="B709" s="54" t="s">
        <v>317</v>
      </c>
    </row>
    <row r="710">
      <c r="A710" s="66" t="s">
        <v>2041</v>
      </c>
      <c r="B710" s="54" t="s">
        <v>318</v>
      </c>
    </row>
    <row r="711">
      <c r="A711" s="66" t="s">
        <v>2042</v>
      </c>
      <c r="B711" s="54" t="s">
        <v>319</v>
      </c>
    </row>
    <row r="712">
      <c r="A712" s="66" t="s">
        <v>2043</v>
      </c>
      <c r="B712" s="54" t="s">
        <v>321</v>
      </c>
    </row>
    <row r="713">
      <c r="A713" s="66" t="s">
        <v>2044</v>
      </c>
      <c r="B713" s="54" t="s">
        <v>325</v>
      </c>
    </row>
    <row r="714">
      <c r="A714" s="66" t="s">
        <v>2045</v>
      </c>
      <c r="B714" s="54" t="s">
        <v>326</v>
      </c>
    </row>
    <row r="715">
      <c r="A715" s="66" t="s">
        <v>2046</v>
      </c>
      <c r="B715" s="54" t="s">
        <v>327</v>
      </c>
    </row>
    <row r="716">
      <c r="A716" s="66" t="s">
        <v>2047</v>
      </c>
      <c r="B716" s="54" t="s">
        <v>328</v>
      </c>
    </row>
    <row r="717">
      <c r="A717" s="66" t="s">
        <v>2048</v>
      </c>
      <c r="B717" s="54" t="s">
        <v>329</v>
      </c>
    </row>
    <row r="718">
      <c r="A718" s="66" t="s">
        <v>2049</v>
      </c>
      <c r="B718" s="54" t="s">
        <v>330</v>
      </c>
    </row>
    <row r="719">
      <c r="A719" s="66" t="s">
        <v>2050</v>
      </c>
      <c r="B719" s="54" t="s">
        <v>332</v>
      </c>
    </row>
    <row r="720">
      <c r="A720" s="66" t="s">
        <v>2051</v>
      </c>
      <c r="B720" s="54" t="s">
        <v>334</v>
      </c>
    </row>
    <row r="721">
      <c r="A721" s="66" t="s">
        <v>2052</v>
      </c>
      <c r="B721" s="54" t="s">
        <v>335</v>
      </c>
    </row>
    <row r="722">
      <c r="A722" s="66" t="s">
        <v>2053</v>
      </c>
      <c r="B722" s="54" t="s">
        <v>336</v>
      </c>
    </row>
    <row r="723">
      <c r="A723" s="66" t="s">
        <v>2054</v>
      </c>
      <c r="B723" s="54" t="s">
        <v>338</v>
      </c>
    </row>
    <row r="724">
      <c r="A724" s="66" t="s">
        <v>2055</v>
      </c>
      <c r="B724" s="54" t="s">
        <v>339</v>
      </c>
    </row>
    <row r="725">
      <c r="A725" s="66" t="s">
        <v>2056</v>
      </c>
      <c r="B725" s="54" t="s">
        <v>342</v>
      </c>
    </row>
    <row r="726">
      <c r="A726" s="66" t="s">
        <v>2057</v>
      </c>
      <c r="B726" s="54" t="s">
        <v>343</v>
      </c>
    </row>
    <row r="727">
      <c r="A727" s="66" t="s">
        <v>2058</v>
      </c>
      <c r="B727" s="54" t="s">
        <v>346</v>
      </c>
    </row>
    <row r="728">
      <c r="A728" s="66" t="s">
        <v>2059</v>
      </c>
      <c r="B728" s="54" t="s">
        <v>348</v>
      </c>
    </row>
    <row r="729">
      <c r="A729" s="66" t="s">
        <v>2060</v>
      </c>
      <c r="B729" s="54" t="s">
        <v>351</v>
      </c>
    </row>
    <row r="730">
      <c r="A730" s="66" t="s">
        <v>2061</v>
      </c>
      <c r="B730" s="54" t="s">
        <v>353</v>
      </c>
    </row>
    <row r="731">
      <c r="A731" s="66" t="s">
        <v>2062</v>
      </c>
      <c r="B731" s="54" t="s">
        <v>356</v>
      </c>
    </row>
    <row r="732">
      <c r="A732" s="66" t="s">
        <v>2063</v>
      </c>
      <c r="B732" s="54" t="s">
        <v>359</v>
      </c>
    </row>
    <row r="733">
      <c r="A733" s="55" t="s">
        <v>134</v>
      </c>
      <c r="B733" s="54" t="s">
        <v>227</v>
      </c>
    </row>
    <row r="734">
      <c r="A734" s="55" t="s">
        <v>2064</v>
      </c>
      <c r="B734" s="54" t="s">
        <v>248</v>
      </c>
    </row>
    <row r="735">
      <c r="A735" s="55" t="s">
        <v>2065</v>
      </c>
      <c r="B735" s="54" t="s">
        <v>260</v>
      </c>
    </row>
    <row r="736">
      <c r="A736" s="55" t="s">
        <v>2066</v>
      </c>
      <c r="B736" s="54" t="s">
        <v>263</v>
      </c>
    </row>
    <row r="737">
      <c r="A737" s="55" t="s">
        <v>2067</v>
      </c>
      <c r="B737" s="54" t="s">
        <v>270</v>
      </c>
    </row>
    <row r="738">
      <c r="A738" s="55" t="s">
        <v>2068</v>
      </c>
      <c r="B738" s="54" t="s">
        <v>281</v>
      </c>
    </row>
    <row r="739">
      <c r="A739" s="55" t="s">
        <v>2069</v>
      </c>
      <c r="B739" s="54" t="s">
        <v>282</v>
      </c>
    </row>
    <row r="740">
      <c r="A740" s="55" t="s">
        <v>2070</v>
      </c>
      <c r="B740" s="54" t="s">
        <v>305</v>
      </c>
    </row>
    <row r="741">
      <c r="A741" s="55" t="s">
        <v>2071</v>
      </c>
      <c r="B741" s="54" t="s">
        <v>300</v>
      </c>
    </row>
    <row r="742">
      <c r="A742" s="55" t="s">
        <v>2072</v>
      </c>
      <c r="B742" s="54" t="s">
        <v>324</v>
      </c>
    </row>
    <row r="743">
      <c r="A743" s="55" t="s">
        <v>2073</v>
      </c>
      <c r="B743" s="54" t="s">
        <v>350</v>
      </c>
    </row>
    <row r="744">
      <c r="A744" s="55" t="s">
        <v>2074</v>
      </c>
      <c r="B744" s="54" t="s">
        <v>352</v>
      </c>
    </row>
    <row r="745">
      <c r="A745" s="55" t="s">
        <v>2075</v>
      </c>
      <c r="B745" s="54" t="s">
        <v>355</v>
      </c>
    </row>
    <row r="746">
      <c r="A746" s="55" t="s">
        <v>2076</v>
      </c>
      <c r="B746" s="54" t="s">
        <v>345</v>
      </c>
    </row>
    <row r="747">
      <c r="A747" s="55" t="s">
        <v>130</v>
      </c>
      <c r="B747" s="54" t="s">
        <v>239</v>
      </c>
    </row>
    <row r="748">
      <c r="A748" s="55" t="s">
        <v>2077</v>
      </c>
      <c r="B748" s="54" t="s">
        <v>349</v>
      </c>
    </row>
    <row r="749">
      <c r="A749" s="55" t="s">
        <v>2078</v>
      </c>
      <c r="B749" s="54" t="s">
        <v>306</v>
      </c>
    </row>
    <row r="750">
      <c r="A750" s="55" t="s">
        <v>2079</v>
      </c>
      <c r="B750" s="54" t="s">
        <v>331</v>
      </c>
    </row>
    <row r="751">
      <c r="A751" s="55" t="s">
        <v>2080</v>
      </c>
      <c r="B751" s="54" t="s">
        <v>310</v>
      </c>
    </row>
    <row r="752">
      <c r="A752" s="55" t="s">
        <v>2081</v>
      </c>
      <c r="B752" s="54" t="s">
        <v>301</v>
      </c>
    </row>
    <row r="753">
      <c r="A753" s="55" t="s">
        <v>2082</v>
      </c>
      <c r="B753" s="54" t="s">
        <v>220</v>
      </c>
    </row>
    <row r="754">
      <c r="A754" s="55" t="s">
        <v>2083</v>
      </c>
      <c r="B754" s="54" t="s">
        <v>257</v>
      </c>
    </row>
    <row r="755">
      <c r="A755" s="55" t="s">
        <v>2084</v>
      </c>
      <c r="B755" s="54" t="s">
        <v>323</v>
      </c>
    </row>
    <row r="756">
      <c r="A756" s="55" t="s">
        <v>2085</v>
      </c>
      <c r="B756" s="54" t="s">
        <v>163</v>
      </c>
    </row>
    <row r="757">
      <c r="A757" s="55" t="s">
        <v>2086</v>
      </c>
      <c r="B757" s="54" t="s">
        <v>291</v>
      </c>
    </row>
    <row r="758">
      <c r="A758" s="55" t="s">
        <v>2087</v>
      </c>
      <c r="B758" s="54" t="s">
        <v>341</v>
      </c>
    </row>
    <row r="759">
      <c r="A759" s="55" t="s">
        <v>2088</v>
      </c>
      <c r="B759" s="54" t="s">
        <v>150</v>
      </c>
    </row>
    <row r="760">
      <c r="A760" s="55" t="s">
        <v>2089</v>
      </c>
      <c r="B760" s="54" t="s">
        <v>322</v>
      </c>
    </row>
    <row r="761">
      <c r="A761" s="55" t="s">
        <v>2090</v>
      </c>
      <c r="B761" s="54" t="s">
        <v>299</v>
      </c>
    </row>
    <row r="762">
      <c r="A762" s="55" t="s">
        <v>2091</v>
      </c>
      <c r="B762" s="54" t="s">
        <v>167</v>
      </c>
    </row>
    <row r="763">
      <c r="A763" s="55" t="s">
        <v>2092</v>
      </c>
      <c r="B763" s="54" t="s">
        <v>267</v>
      </c>
    </row>
    <row r="764">
      <c r="A764" s="55" t="s">
        <v>2093</v>
      </c>
      <c r="B764" s="54" t="s">
        <v>344</v>
      </c>
    </row>
    <row r="765">
      <c r="A765" s="55" t="s">
        <v>2094</v>
      </c>
      <c r="B765" s="54" t="s">
        <v>268</v>
      </c>
    </row>
    <row r="766">
      <c r="A766" s="55" t="s">
        <v>2095</v>
      </c>
      <c r="B766" s="54" t="s">
        <v>357</v>
      </c>
    </row>
    <row r="767">
      <c r="A767" s="55" t="s">
        <v>2096</v>
      </c>
      <c r="B767" s="54" t="s">
        <v>314</v>
      </c>
    </row>
    <row r="768">
      <c r="A768" s="55" t="s">
        <v>2097</v>
      </c>
      <c r="B768" s="54" t="s">
        <v>320</v>
      </c>
    </row>
    <row r="769">
      <c r="A769" s="55" t="s">
        <v>2098</v>
      </c>
      <c r="B769" s="54" t="s">
        <v>340</v>
      </c>
    </row>
    <row r="770">
      <c r="A770" s="55" t="s">
        <v>2099</v>
      </c>
      <c r="B770" s="54" t="s">
        <v>347</v>
      </c>
    </row>
    <row r="771">
      <c r="A771" s="58" t="s">
        <v>2100</v>
      </c>
      <c r="B771" s="54" t="s">
        <v>182</v>
      </c>
    </row>
    <row r="772">
      <c r="A772" s="55" t="s">
        <v>2101</v>
      </c>
      <c r="B772" s="60" t="s">
        <v>1196</v>
      </c>
    </row>
    <row r="773">
      <c r="A773" s="55" t="s">
        <v>2102</v>
      </c>
      <c r="B773" s="60" t="s">
        <v>1198</v>
      </c>
    </row>
    <row r="774">
      <c r="A774" s="55" t="s">
        <v>2103</v>
      </c>
      <c r="B774" s="60" t="s">
        <v>1201</v>
      </c>
    </row>
    <row r="775">
      <c r="A775" s="55" t="s">
        <v>2104</v>
      </c>
      <c r="B775" s="60" t="s">
        <v>1204</v>
      </c>
    </row>
    <row r="776">
      <c r="A776" s="55" t="s">
        <v>2105</v>
      </c>
      <c r="B776" s="60" t="s">
        <v>1206</v>
      </c>
    </row>
    <row r="777">
      <c r="A777" s="55" t="s">
        <v>2106</v>
      </c>
      <c r="B777" s="60" t="s">
        <v>1208</v>
      </c>
    </row>
    <row r="778">
      <c r="A778" s="55" t="s">
        <v>2107</v>
      </c>
      <c r="B778" s="60" t="s">
        <v>1210</v>
      </c>
    </row>
    <row r="779">
      <c r="A779" s="55" t="s">
        <v>2108</v>
      </c>
      <c r="B779" s="60" t="s">
        <v>1214</v>
      </c>
    </row>
    <row r="780">
      <c r="A780" s="55" t="s">
        <v>2109</v>
      </c>
      <c r="B780" s="60" t="s">
        <v>1217</v>
      </c>
    </row>
    <row r="781">
      <c r="A781" s="55" t="s">
        <v>2110</v>
      </c>
      <c r="B781" s="60" t="s">
        <v>1219</v>
      </c>
    </row>
    <row r="782">
      <c r="A782" s="55" t="s">
        <v>2111</v>
      </c>
      <c r="B782" s="60" t="s">
        <v>1220</v>
      </c>
    </row>
    <row r="783">
      <c r="A783" s="55" t="s">
        <v>2112</v>
      </c>
      <c r="B783" s="60" t="s">
        <v>1224</v>
      </c>
    </row>
    <row r="784">
      <c r="A784" s="55" t="s">
        <v>2113</v>
      </c>
      <c r="B784" s="60" t="s">
        <v>1225</v>
      </c>
    </row>
    <row r="785">
      <c r="A785" s="55" t="s">
        <v>2114</v>
      </c>
      <c r="B785" s="60" t="s">
        <v>1227</v>
      </c>
    </row>
    <row r="786">
      <c r="A786" s="55" t="s">
        <v>2115</v>
      </c>
      <c r="B786" s="60" t="s">
        <v>1228</v>
      </c>
    </row>
    <row r="787">
      <c r="A787" s="55" t="s">
        <v>2116</v>
      </c>
      <c r="B787" s="60" t="s">
        <v>1229</v>
      </c>
    </row>
    <row r="788">
      <c r="A788" s="55" t="s">
        <v>2117</v>
      </c>
      <c r="B788" s="60" t="s">
        <v>1230</v>
      </c>
    </row>
    <row r="789">
      <c r="A789" s="55" t="s">
        <v>2118</v>
      </c>
      <c r="B789" s="60" t="s">
        <v>1231</v>
      </c>
    </row>
    <row r="790">
      <c r="A790" s="55" t="s">
        <v>2119</v>
      </c>
      <c r="B790" s="60" t="s">
        <v>1232</v>
      </c>
    </row>
    <row r="791">
      <c r="A791" s="55" t="s">
        <v>2120</v>
      </c>
      <c r="B791" s="60" t="s">
        <v>1233</v>
      </c>
    </row>
    <row r="792">
      <c r="A792" s="55" t="s">
        <v>2121</v>
      </c>
      <c r="B792" s="60" t="s">
        <v>1234</v>
      </c>
    </row>
    <row r="793">
      <c r="A793" s="55" t="s">
        <v>2122</v>
      </c>
      <c r="B793" s="60" t="s">
        <v>1209</v>
      </c>
    </row>
    <row r="794">
      <c r="A794" s="55" t="s">
        <v>2123</v>
      </c>
      <c r="B794" s="60" t="s">
        <v>1236</v>
      </c>
    </row>
    <row r="795">
      <c r="A795" s="55" t="s">
        <v>2124</v>
      </c>
      <c r="B795" s="60" t="s">
        <v>1238</v>
      </c>
    </row>
    <row r="796">
      <c r="A796" s="55" t="s">
        <v>2125</v>
      </c>
      <c r="B796" s="60" t="s">
        <v>1239</v>
      </c>
    </row>
    <row r="797">
      <c r="A797" s="55" t="s">
        <v>2126</v>
      </c>
      <c r="B797" s="60" t="s">
        <v>1240</v>
      </c>
    </row>
    <row r="798">
      <c r="A798" s="55" t="s">
        <v>2127</v>
      </c>
      <c r="B798" s="60" t="s">
        <v>1241</v>
      </c>
    </row>
    <row r="799">
      <c r="A799" s="55" t="s">
        <v>2128</v>
      </c>
      <c r="B799" s="60" t="s">
        <v>1242</v>
      </c>
    </row>
    <row r="800">
      <c r="A800" s="55" t="s">
        <v>2129</v>
      </c>
      <c r="B800" s="60" t="s">
        <v>1243</v>
      </c>
    </row>
    <row r="801">
      <c r="A801" s="55" t="s">
        <v>2130</v>
      </c>
      <c r="B801" s="60" t="s">
        <v>1244</v>
      </c>
    </row>
    <row r="802">
      <c r="A802" s="55" t="s">
        <v>2131</v>
      </c>
      <c r="B802" s="60" t="s">
        <v>1245</v>
      </c>
    </row>
    <row r="803">
      <c r="A803" s="55" t="s">
        <v>2132</v>
      </c>
      <c r="B803" s="60" t="s">
        <v>1247</v>
      </c>
    </row>
    <row r="804">
      <c r="A804" s="55" t="s">
        <v>2133</v>
      </c>
      <c r="B804" s="60" t="s">
        <v>1248</v>
      </c>
    </row>
    <row r="805">
      <c r="A805" s="55" t="s">
        <v>2134</v>
      </c>
      <c r="B805" s="60" t="s">
        <v>1251</v>
      </c>
    </row>
    <row r="806">
      <c r="A806" s="55" t="s">
        <v>2135</v>
      </c>
      <c r="B806" s="60" t="s">
        <v>1254</v>
      </c>
    </row>
    <row r="807">
      <c r="A807" s="55" t="s">
        <v>2136</v>
      </c>
      <c r="B807" s="60" t="s">
        <v>1256</v>
      </c>
    </row>
    <row r="808">
      <c r="A808" s="55" t="s">
        <v>2137</v>
      </c>
      <c r="B808" s="60" t="s">
        <v>1257</v>
      </c>
    </row>
    <row r="809">
      <c r="A809" s="55" t="s">
        <v>2138</v>
      </c>
      <c r="B809" s="60" t="s">
        <v>1199</v>
      </c>
    </row>
    <row r="810">
      <c r="A810" s="55" t="s">
        <v>2139</v>
      </c>
      <c r="B810" s="60" t="s">
        <v>1202</v>
      </c>
    </row>
    <row r="811">
      <c r="A811" s="65" t="s">
        <v>2140</v>
      </c>
      <c r="B811" s="60" t="s">
        <v>1218</v>
      </c>
    </row>
    <row r="812">
      <c r="A812" s="55" t="s">
        <v>2141</v>
      </c>
      <c r="B812" s="60" t="s">
        <v>1237</v>
      </c>
    </row>
    <row r="813">
      <c r="A813" s="55" t="s">
        <v>2142</v>
      </c>
      <c r="B813" s="60" t="s">
        <v>1255</v>
      </c>
    </row>
    <row r="814">
      <c r="A814" s="55" t="s">
        <v>2143</v>
      </c>
      <c r="B814" s="60" t="s">
        <v>1221</v>
      </c>
    </row>
    <row r="815">
      <c r="A815" s="55" t="s">
        <v>2144</v>
      </c>
      <c r="B815" s="60" t="s">
        <v>1216</v>
      </c>
    </row>
    <row r="816">
      <c r="A816" s="55" t="s">
        <v>2145</v>
      </c>
      <c r="B816" s="60" t="s">
        <v>1223</v>
      </c>
    </row>
    <row r="817">
      <c r="A817" s="55" t="s">
        <v>2146</v>
      </c>
      <c r="B817" s="60" t="s">
        <v>1235</v>
      </c>
    </row>
    <row r="818">
      <c r="A818" s="55" t="s">
        <v>2147</v>
      </c>
      <c r="B818" s="60" t="s">
        <v>1215</v>
      </c>
    </row>
    <row r="819">
      <c r="A819" s="55" t="s">
        <v>2148</v>
      </c>
      <c r="B819" s="60" t="s">
        <v>1222</v>
      </c>
    </row>
    <row r="820">
      <c r="A820" s="55" t="s">
        <v>136</v>
      </c>
      <c r="B820" s="60" t="s">
        <v>1200</v>
      </c>
    </row>
    <row r="821">
      <c r="A821" s="55" t="s">
        <v>2149</v>
      </c>
      <c r="B821" s="60" t="s">
        <v>1252</v>
      </c>
    </row>
    <row r="822">
      <c r="A822" s="55" t="s">
        <v>2150</v>
      </c>
      <c r="B822" s="60" t="s">
        <v>1258</v>
      </c>
    </row>
    <row r="823">
      <c r="A823" s="55" t="s">
        <v>2151</v>
      </c>
      <c r="B823" s="60" t="s">
        <v>1246</v>
      </c>
    </row>
    <row r="824">
      <c r="A824" s="55" t="s">
        <v>2152</v>
      </c>
      <c r="B824" s="60" t="s">
        <v>1203</v>
      </c>
    </row>
    <row r="825">
      <c r="A825" s="55" t="s">
        <v>2153</v>
      </c>
      <c r="B825" s="60" t="s">
        <v>1253</v>
      </c>
    </row>
    <row r="826">
      <c r="A826" s="55" t="s">
        <v>2154</v>
      </c>
      <c r="B826" s="60" t="s">
        <v>862</v>
      </c>
    </row>
    <row r="827">
      <c r="A827" s="55" t="s">
        <v>2155</v>
      </c>
      <c r="B827" s="60" t="s">
        <v>1211</v>
      </c>
    </row>
    <row r="828">
      <c r="A828" s="55" t="s">
        <v>2156</v>
      </c>
      <c r="B828" s="60" t="s">
        <v>1213</v>
      </c>
    </row>
    <row r="829">
      <c r="A829" s="55" t="s">
        <v>2157</v>
      </c>
      <c r="B829" s="60" t="s">
        <v>1250</v>
      </c>
    </row>
    <row r="830">
      <c r="A830" s="55" t="s">
        <v>2158</v>
      </c>
      <c r="B830" s="60" t="s">
        <v>1197</v>
      </c>
    </row>
    <row r="831">
      <c r="A831" s="55" t="s">
        <v>2159</v>
      </c>
      <c r="B831" s="60" t="s">
        <v>1226</v>
      </c>
    </row>
    <row r="832">
      <c r="A832" s="55" t="s">
        <v>2160</v>
      </c>
      <c r="B832" s="60" t="s">
        <v>1212</v>
      </c>
    </row>
    <row r="833">
      <c r="A833" s="55" t="s">
        <v>2161</v>
      </c>
      <c r="B833" s="60" t="s">
        <v>1205</v>
      </c>
    </row>
    <row r="834">
      <c r="A834" s="55" t="s">
        <v>2162</v>
      </c>
      <c r="B834" s="60" t="s">
        <v>1207</v>
      </c>
    </row>
    <row r="835">
      <c r="A835" s="53" t="s">
        <v>2163</v>
      </c>
      <c r="B835" s="54" t="s">
        <v>381</v>
      </c>
    </row>
    <row r="836">
      <c r="A836" s="53" t="s">
        <v>2164</v>
      </c>
      <c r="B836" s="54" t="s">
        <v>382</v>
      </c>
    </row>
    <row r="837">
      <c r="A837" s="53" t="s">
        <v>2165</v>
      </c>
      <c r="B837" s="54" t="s">
        <v>386</v>
      </c>
    </row>
    <row r="838">
      <c r="A838" s="53" t="s">
        <v>2166</v>
      </c>
      <c r="B838" s="54" t="s">
        <v>387</v>
      </c>
    </row>
    <row r="839">
      <c r="A839" s="53" t="s">
        <v>2167</v>
      </c>
      <c r="B839" s="54" t="s">
        <v>388</v>
      </c>
    </row>
    <row r="840">
      <c r="A840" s="53" t="s">
        <v>2168</v>
      </c>
      <c r="B840" s="54" t="s">
        <v>389</v>
      </c>
    </row>
    <row r="841">
      <c r="A841" s="53" t="s">
        <v>2169</v>
      </c>
      <c r="B841" s="54" t="s">
        <v>391</v>
      </c>
    </row>
    <row r="842">
      <c r="A842" s="53" t="s">
        <v>2170</v>
      </c>
      <c r="B842" s="54" t="s">
        <v>393</v>
      </c>
    </row>
    <row r="843">
      <c r="A843" s="53" t="s">
        <v>2171</v>
      </c>
      <c r="B843" s="54" t="s">
        <v>394</v>
      </c>
    </row>
    <row r="844">
      <c r="A844" s="53" t="s">
        <v>2172</v>
      </c>
      <c r="B844" s="54" t="s">
        <v>396</v>
      </c>
    </row>
    <row r="845">
      <c r="A845" s="53" t="s">
        <v>2173</v>
      </c>
      <c r="B845" s="54" t="s">
        <v>397</v>
      </c>
    </row>
    <row r="846">
      <c r="A846" s="53" t="s">
        <v>2174</v>
      </c>
      <c r="B846" s="54" t="s">
        <v>398</v>
      </c>
    </row>
    <row r="847">
      <c r="A847" s="53" t="s">
        <v>2175</v>
      </c>
      <c r="B847" s="54" t="s">
        <v>400</v>
      </c>
    </row>
    <row r="848">
      <c r="A848" s="53" t="s">
        <v>2176</v>
      </c>
      <c r="B848" s="54" t="s">
        <v>403</v>
      </c>
    </row>
    <row r="849">
      <c r="A849" s="53" t="s">
        <v>2177</v>
      </c>
      <c r="B849" s="54" t="s">
        <v>405</v>
      </c>
    </row>
    <row r="850">
      <c r="A850" s="53" t="s">
        <v>2178</v>
      </c>
      <c r="B850" s="54" t="s">
        <v>406</v>
      </c>
    </row>
    <row r="851">
      <c r="A851" s="53" t="s">
        <v>2179</v>
      </c>
      <c r="B851" s="54" t="s">
        <v>407</v>
      </c>
    </row>
    <row r="852">
      <c r="A852" s="53" t="s">
        <v>2180</v>
      </c>
      <c r="B852" s="54" t="s">
        <v>408</v>
      </c>
    </row>
    <row r="853">
      <c r="A853" s="53" t="s">
        <v>2181</v>
      </c>
      <c r="B853" s="54" t="s">
        <v>409</v>
      </c>
    </row>
    <row r="854">
      <c r="A854" s="53" t="s">
        <v>2182</v>
      </c>
      <c r="B854" s="54" t="s">
        <v>410</v>
      </c>
    </row>
    <row r="855">
      <c r="A855" s="53" t="s">
        <v>2183</v>
      </c>
      <c r="B855" s="54" t="s">
        <v>411</v>
      </c>
    </row>
    <row r="856">
      <c r="A856" s="53" t="s">
        <v>2184</v>
      </c>
      <c r="B856" s="54" t="s">
        <v>412</v>
      </c>
    </row>
    <row r="857">
      <c r="A857" s="53" t="s">
        <v>2185</v>
      </c>
      <c r="B857" s="54" t="s">
        <v>414</v>
      </c>
    </row>
    <row r="858">
      <c r="A858" s="53" t="s">
        <v>2186</v>
      </c>
      <c r="B858" s="54" t="s">
        <v>417</v>
      </c>
    </row>
    <row r="859">
      <c r="A859" s="53" t="s">
        <v>2187</v>
      </c>
      <c r="B859" s="54" t="s">
        <v>418</v>
      </c>
    </row>
    <row r="860">
      <c r="A860" s="53" t="s">
        <v>2188</v>
      </c>
      <c r="B860" s="54" t="s">
        <v>419</v>
      </c>
    </row>
    <row r="861">
      <c r="A861" s="53" t="s">
        <v>2189</v>
      </c>
      <c r="B861" s="54" t="s">
        <v>420</v>
      </c>
    </row>
    <row r="862">
      <c r="A862" s="53" t="s">
        <v>2190</v>
      </c>
      <c r="B862" s="54" t="s">
        <v>421</v>
      </c>
    </row>
    <row r="863">
      <c r="A863" s="53" t="s">
        <v>2191</v>
      </c>
      <c r="B863" s="54" t="s">
        <v>423</v>
      </c>
    </row>
    <row r="864">
      <c r="A864" s="53" t="s">
        <v>2192</v>
      </c>
      <c r="B864" s="54" t="s">
        <v>425</v>
      </c>
    </row>
    <row r="865">
      <c r="A865" s="53" t="s">
        <v>2193</v>
      </c>
      <c r="B865" s="54" t="s">
        <v>426</v>
      </c>
    </row>
    <row r="866">
      <c r="A866" s="53" t="s">
        <v>2194</v>
      </c>
      <c r="B866" s="54" t="s">
        <v>430</v>
      </c>
    </row>
    <row r="867">
      <c r="A867" s="53" t="s">
        <v>2195</v>
      </c>
      <c r="B867" s="54" t="s">
        <v>435</v>
      </c>
    </row>
    <row r="868">
      <c r="A868" s="53" t="s">
        <v>2196</v>
      </c>
      <c r="B868" s="54" t="s">
        <v>436</v>
      </c>
    </row>
    <row r="869">
      <c r="A869" s="53" t="s">
        <v>2197</v>
      </c>
      <c r="B869" s="54" t="s">
        <v>437</v>
      </c>
    </row>
    <row r="870">
      <c r="A870" s="53" t="s">
        <v>2198</v>
      </c>
      <c r="B870" s="54" t="s">
        <v>439</v>
      </c>
    </row>
    <row r="871">
      <c r="A871" s="53" t="s">
        <v>2199</v>
      </c>
      <c r="B871" s="54" t="s">
        <v>442</v>
      </c>
    </row>
    <row r="872">
      <c r="A872" s="53" t="s">
        <v>2200</v>
      </c>
      <c r="B872" s="54" t="s">
        <v>384</v>
      </c>
    </row>
    <row r="873">
      <c r="A873" s="53" t="s">
        <v>2201</v>
      </c>
      <c r="B873" s="54" t="s">
        <v>395</v>
      </c>
    </row>
    <row r="874">
      <c r="A874" s="53" t="s">
        <v>2202</v>
      </c>
      <c r="B874" s="54" t="s">
        <v>399</v>
      </c>
    </row>
    <row r="875">
      <c r="A875" s="53" t="s">
        <v>2203</v>
      </c>
      <c r="B875" s="54" t="s">
        <v>383</v>
      </c>
    </row>
    <row r="876">
      <c r="A876" s="53" t="s">
        <v>2204</v>
      </c>
      <c r="B876" s="54" t="s">
        <v>431</v>
      </c>
    </row>
    <row r="877">
      <c r="A877" s="53" t="s">
        <v>2205</v>
      </c>
      <c r="B877" s="54" t="s">
        <v>441</v>
      </c>
    </row>
    <row r="878">
      <c r="A878" s="53" t="s">
        <v>2206</v>
      </c>
      <c r="B878" s="54" t="s">
        <v>444</v>
      </c>
    </row>
    <row r="879">
      <c r="A879" s="55" t="s">
        <v>2207</v>
      </c>
      <c r="B879" s="54" t="s">
        <v>427</v>
      </c>
    </row>
    <row r="880">
      <c r="A880" s="55" t="s">
        <v>2208</v>
      </c>
      <c r="B880" s="54" t="s">
        <v>447</v>
      </c>
    </row>
    <row r="881">
      <c r="A881" s="55" t="s">
        <v>2209</v>
      </c>
      <c r="B881" s="54" t="s">
        <v>392</v>
      </c>
    </row>
    <row r="882">
      <c r="A882" s="55" t="s">
        <v>2210</v>
      </c>
      <c r="B882" s="54" t="s">
        <v>433</v>
      </c>
    </row>
    <row r="883">
      <c r="A883" s="55" t="s">
        <v>2211</v>
      </c>
      <c r="B883" s="54" t="s">
        <v>429</v>
      </c>
    </row>
    <row r="884">
      <c r="A884" s="55" t="s">
        <v>2212</v>
      </c>
      <c r="B884" s="54" t="s">
        <v>621</v>
      </c>
    </row>
    <row r="885">
      <c r="A885" s="55" t="s">
        <v>2213</v>
      </c>
      <c r="B885" s="54" t="s">
        <v>473</v>
      </c>
    </row>
    <row r="886">
      <c r="A886" s="55" t="s">
        <v>2214</v>
      </c>
      <c r="B886" s="54" t="s">
        <v>457</v>
      </c>
    </row>
    <row r="887">
      <c r="A887" s="55" t="s">
        <v>2215</v>
      </c>
      <c r="B887" s="54" t="s">
        <v>448</v>
      </c>
    </row>
    <row r="888">
      <c r="A888" s="53" t="s">
        <v>2216</v>
      </c>
      <c r="B888" s="54" t="s">
        <v>536</v>
      </c>
    </row>
    <row r="889">
      <c r="A889" s="53" t="s">
        <v>2217</v>
      </c>
      <c r="B889" s="54" t="s">
        <v>466</v>
      </c>
    </row>
    <row r="890">
      <c r="A890" s="53" t="s">
        <v>2218</v>
      </c>
      <c r="B890" s="54" t="s">
        <v>523</v>
      </c>
    </row>
    <row r="891">
      <c r="A891" s="53" t="s">
        <v>2219</v>
      </c>
      <c r="B891" s="54" t="s">
        <v>575</v>
      </c>
    </row>
    <row r="892">
      <c r="A892" s="53" t="s">
        <v>2220</v>
      </c>
      <c r="B892" s="54" t="s">
        <v>390</v>
      </c>
    </row>
    <row r="893">
      <c r="A893" s="53" t="s">
        <v>2221</v>
      </c>
      <c r="B893" s="54" t="s">
        <v>507</v>
      </c>
    </row>
    <row r="894">
      <c r="A894" s="53" t="s">
        <v>2222</v>
      </c>
      <c r="B894" s="54" t="s">
        <v>613</v>
      </c>
    </row>
    <row r="895">
      <c r="A895" s="53" t="s">
        <v>2223</v>
      </c>
      <c r="B895" s="54" t="s">
        <v>541</v>
      </c>
    </row>
    <row r="896">
      <c r="A896" s="53" t="s">
        <v>2224</v>
      </c>
      <c r="B896" s="54" t="s">
        <v>516</v>
      </c>
    </row>
    <row r="897">
      <c r="A897" s="56" t="s">
        <v>124</v>
      </c>
      <c r="B897" s="54" t="s">
        <v>535</v>
      </c>
    </row>
    <row r="898">
      <c r="A898" s="53" t="s">
        <v>2225</v>
      </c>
      <c r="B898" s="54" t="s">
        <v>543</v>
      </c>
    </row>
    <row r="899">
      <c r="A899" s="53" t="s">
        <v>2226</v>
      </c>
      <c r="B899" s="54" t="s">
        <v>443</v>
      </c>
    </row>
    <row r="900">
      <c r="A900" s="53" t="s">
        <v>2227</v>
      </c>
      <c r="B900" s="54" t="s">
        <v>445</v>
      </c>
    </row>
    <row r="901">
      <c r="A901" s="53" t="s">
        <v>2228</v>
      </c>
      <c r="B901" s="54" t="s">
        <v>446</v>
      </c>
    </row>
    <row r="902">
      <c r="A902" s="53" t="s">
        <v>2229</v>
      </c>
      <c r="B902" s="54" t="s">
        <v>449</v>
      </c>
    </row>
    <row r="903">
      <c r="A903" s="53" t="s">
        <v>2230</v>
      </c>
      <c r="B903" s="54" t="s">
        <v>450</v>
      </c>
    </row>
    <row r="904">
      <c r="A904" s="53" t="s">
        <v>2231</v>
      </c>
      <c r="B904" s="54" t="s">
        <v>452</v>
      </c>
    </row>
    <row r="905">
      <c r="A905" s="53" t="s">
        <v>2232</v>
      </c>
      <c r="B905" s="54" t="s">
        <v>453</v>
      </c>
    </row>
    <row r="906">
      <c r="A906" s="53" t="s">
        <v>2233</v>
      </c>
      <c r="B906" s="54" t="s">
        <v>454</v>
      </c>
    </row>
    <row r="907">
      <c r="A907" s="53" t="s">
        <v>2234</v>
      </c>
      <c r="B907" s="54" t="s">
        <v>456</v>
      </c>
    </row>
    <row r="908">
      <c r="A908" s="53" t="s">
        <v>2235</v>
      </c>
      <c r="B908" s="54" t="s">
        <v>458</v>
      </c>
    </row>
    <row r="909">
      <c r="A909" s="53" t="s">
        <v>2236</v>
      </c>
      <c r="B909" s="54" t="s">
        <v>459</v>
      </c>
    </row>
    <row r="910">
      <c r="A910" s="53" t="s">
        <v>2237</v>
      </c>
      <c r="B910" s="54" t="s">
        <v>460</v>
      </c>
    </row>
    <row r="911">
      <c r="A911" s="53" t="s">
        <v>133</v>
      </c>
      <c r="B911" s="54" t="s">
        <v>461</v>
      </c>
    </row>
    <row r="912">
      <c r="A912" s="53" t="s">
        <v>137</v>
      </c>
      <c r="B912" s="54" t="s">
        <v>462</v>
      </c>
    </row>
    <row r="913">
      <c r="A913" s="53" t="s">
        <v>132</v>
      </c>
      <c r="B913" s="54" t="s">
        <v>464</v>
      </c>
    </row>
    <row r="914">
      <c r="A914" s="53" t="s">
        <v>2238</v>
      </c>
      <c r="B914" s="54" t="s">
        <v>465</v>
      </c>
    </row>
    <row r="915">
      <c r="A915" s="53" t="s">
        <v>131</v>
      </c>
      <c r="B915" s="54" t="s">
        <v>467</v>
      </c>
    </row>
    <row r="916">
      <c r="A916" s="53" t="s">
        <v>2239</v>
      </c>
      <c r="B916" s="54" t="s">
        <v>470</v>
      </c>
    </row>
    <row r="917">
      <c r="A917" s="53" t="s">
        <v>127</v>
      </c>
      <c r="B917" s="54" t="s">
        <v>471</v>
      </c>
    </row>
    <row r="918">
      <c r="A918" s="53" t="s">
        <v>2240</v>
      </c>
      <c r="B918" s="54" t="s">
        <v>474</v>
      </c>
    </row>
    <row r="919">
      <c r="A919" s="53" t="s">
        <v>2241</v>
      </c>
      <c r="B919" s="54" t="s">
        <v>477</v>
      </c>
    </row>
    <row r="920">
      <c r="A920" s="53" t="s">
        <v>2242</v>
      </c>
      <c r="B920" s="54" t="s">
        <v>478</v>
      </c>
    </row>
    <row r="921">
      <c r="A921" s="53" t="s">
        <v>2243</v>
      </c>
      <c r="B921" s="54" t="s">
        <v>479</v>
      </c>
    </row>
    <row r="922">
      <c r="A922" s="53" t="s">
        <v>2244</v>
      </c>
      <c r="B922" s="54" t="s">
        <v>480</v>
      </c>
    </row>
    <row r="923">
      <c r="A923" s="53" t="s">
        <v>2245</v>
      </c>
      <c r="B923" s="54" t="s">
        <v>481</v>
      </c>
    </row>
    <row r="924">
      <c r="A924" s="53" t="s">
        <v>2246</v>
      </c>
      <c r="B924" s="54" t="s">
        <v>482</v>
      </c>
    </row>
    <row r="925">
      <c r="A925" s="53" t="s">
        <v>2247</v>
      </c>
      <c r="B925" s="54" t="s">
        <v>483</v>
      </c>
    </row>
    <row r="926">
      <c r="A926" s="53" t="s">
        <v>2248</v>
      </c>
      <c r="B926" s="54" t="s">
        <v>484</v>
      </c>
    </row>
    <row r="927">
      <c r="A927" s="53" t="s">
        <v>2249</v>
      </c>
      <c r="B927" s="54" t="s">
        <v>485</v>
      </c>
    </row>
    <row r="928">
      <c r="A928" s="53" t="s">
        <v>2250</v>
      </c>
      <c r="B928" s="54" t="s">
        <v>486</v>
      </c>
    </row>
    <row r="929">
      <c r="A929" s="53" t="s">
        <v>2251</v>
      </c>
      <c r="B929" s="54" t="s">
        <v>489</v>
      </c>
    </row>
    <row r="930">
      <c r="A930" s="53" t="s">
        <v>2252</v>
      </c>
      <c r="B930" s="54" t="s">
        <v>490</v>
      </c>
    </row>
    <row r="931">
      <c r="A931" s="53" t="s">
        <v>2253</v>
      </c>
      <c r="B931" s="54" t="s">
        <v>493</v>
      </c>
    </row>
    <row r="932">
      <c r="A932" s="53" t="s">
        <v>2254</v>
      </c>
      <c r="B932" s="54" t="s">
        <v>494</v>
      </c>
    </row>
    <row r="933">
      <c r="A933" s="53" t="s">
        <v>2253</v>
      </c>
      <c r="B933" s="54" t="s">
        <v>495</v>
      </c>
    </row>
    <row r="934">
      <c r="A934" s="53" t="s">
        <v>2255</v>
      </c>
      <c r="B934" s="54" t="s">
        <v>496</v>
      </c>
    </row>
    <row r="935">
      <c r="A935" s="53" t="s">
        <v>2256</v>
      </c>
      <c r="B935" s="54" t="s">
        <v>499</v>
      </c>
    </row>
    <row r="936">
      <c r="A936" s="53" t="s">
        <v>2257</v>
      </c>
      <c r="B936" s="54" t="s">
        <v>469</v>
      </c>
    </row>
    <row r="937">
      <c r="A937" s="53" t="s">
        <v>2258</v>
      </c>
      <c r="B937" s="54" t="s">
        <v>501</v>
      </c>
    </row>
    <row r="938">
      <c r="A938" s="53" t="s">
        <v>2259</v>
      </c>
      <c r="B938" s="54" t="s">
        <v>451</v>
      </c>
    </row>
    <row r="939">
      <c r="A939" s="53" t="s">
        <v>2260</v>
      </c>
      <c r="B939" s="54" t="s">
        <v>468</v>
      </c>
    </row>
    <row r="940">
      <c r="A940" s="53" t="s">
        <v>2261</v>
      </c>
      <c r="B940" s="54" t="s">
        <v>472</v>
      </c>
    </row>
    <row r="941">
      <c r="A941" s="53" t="s">
        <v>2262</v>
      </c>
      <c r="B941" s="54" t="s">
        <v>476</v>
      </c>
    </row>
    <row r="942">
      <c r="A942" s="55" t="s">
        <v>2263</v>
      </c>
      <c r="B942" s="54" t="s">
        <v>475</v>
      </c>
    </row>
    <row r="943">
      <c r="A943" s="53" t="s">
        <v>2264</v>
      </c>
      <c r="B943" s="54" t="s">
        <v>522</v>
      </c>
    </row>
    <row r="944">
      <c r="A944" s="53" t="s">
        <v>2265</v>
      </c>
      <c r="B944" s="54" t="s">
        <v>413</v>
      </c>
    </row>
    <row r="945">
      <c r="A945" s="53" t="s">
        <v>2266</v>
      </c>
      <c r="B945" s="54" t="s">
        <v>404</v>
      </c>
    </row>
    <row r="946">
      <c r="A946" s="53" t="s">
        <v>2267</v>
      </c>
      <c r="B946" s="54" t="s">
        <v>463</v>
      </c>
    </row>
    <row r="947">
      <c r="A947" s="53" t="s">
        <v>2268</v>
      </c>
      <c r="B947" s="54" t="s">
        <v>502</v>
      </c>
    </row>
    <row r="948">
      <c r="A948" s="53" t="s">
        <v>2269</v>
      </c>
      <c r="B948" s="54" t="s">
        <v>415</v>
      </c>
    </row>
    <row r="949">
      <c r="A949" s="53" t="s">
        <v>2270</v>
      </c>
      <c r="B949" s="54" t="s">
        <v>432</v>
      </c>
    </row>
    <row r="950">
      <c r="A950" s="53" t="s">
        <v>2271</v>
      </c>
      <c r="B950" s="54" t="s">
        <v>504</v>
      </c>
    </row>
    <row r="951">
      <c r="A951" s="53" t="s">
        <v>2272</v>
      </c>
      <c r="B951" s="54" t="s">
        <v>424</v>
      </c>
    </row>
    <row r="952">
      <c r="A952" s="53" t="s">
        <v>2273</v>
      </c>
      <c r="B952" s="54" t="s">
        <v>422</v>
      </c>
    </row>
    <row r="953">
      <c r="A953" s="56" t="s">
        <v>2274</v>
      </c>
      <c r="B953" s="54" t="s">
        <v>491</v>
      </c>
    </row>
    <row r="954">
      <c r="A954" s="53" t="s">
        <v>2275</v>
      </c>
      <c r="B954" s="54" t="s">
        <v>582</v>
      </c>
    </row>
    <row r="955">
      <c r="A955" s="53" t="s">
        <v>2276</v>
      </c>
      <c r="B955" s="54" t="s">
        <v>498</v>
      </c>
    </row>
    <row r="956">
      <c r="A956" s="53" t="s">
        <v>2277</v>
      </c>
      <c r="B956" s="54" t="s">
        <v>438</v>
      </c>
    </row>
    <row r="957">
      <c r="A957" s="53" t="s">
        <v>2278</v>
      </c>
      <c r="B957" s="54" t="s">
        <v>497</v>
      </c>
    </row>
    <row r="958">
      <c r="A958" s="53" t="s">
        <v>2279</v>
      </c>
      <c r="B958" s="54" t="s">
        <v>440</v>
      </c>
    </row>
    <row r="959">
      <c r="A959" s="53" t="s">
        <v>2280</v>
      </c>
      <c r="B959" s="54" t="s">
        <v>544</v>
      </c>
    </row>
    <row r="960">
      <c r="A960" s="53" t="s">
        <v>2281</v>
      </c>
      <c r="B960" s="54" t="s">
        <v>562</v>
      </c>
    </row>
    <row r="961">
      <c r="A961" s="53" t="s">
        <v>2282</v>
      </c>
      <c r="B961" s="54" t="s">
        <v>558</v>
      </c>
    </row>
    <row r="962">
      <c r="A962" s="53" t="s">
        <v>2283</v>
      </c>
      <c r="B962" s="54" t="s">
        <v>434</v>
      </c>
    </row>
    <row r="963">
      <c r="A963" s="53" t="s">
        <v>2284</v>
      </c>
      <c r="B963" s="54" t="s">
        <v>500</v>
      </c>
    </row>
    <row r="964">
      <c r="A964" s="53" t="s">
        <v>2285</v>
      </c>
      <c r="B964" s="54" t="s">
        <v>503</v>
      </c>
    </row>
    <row r="965">
      <c r="A965" s="53" t="s">
        <v>2286</v>
      </c>
      <c r="B965" s="54" t="s">
        <v>506</v>
      </c>
    </row>
    <row r="966">
      <c r="A966" s="53" t="s">
        <v>2287</v>
      </c>
      <c r="B966" s="54" t="s">
        <v>508</v>
      </c>
    </row>
    <row r="967">
      <c r="A967" s="53" t="s">
        <v>2288</v>
      </c>
      <c r="B967" s="54" t="s">
        <v>509</v>
      </c>
    </row>
    <row r="968">
      <c r="A968" s="53" t="s">
        <v>2289</v>
      </c>
      <c r="B968" s="54" t="s">
        <v>510</v>
      </c>
    </row>
    <row r="969">
      <c r="A969" s="53" t="s">
        <v>2290</v>
      </c>
      <c r="B969" s="54" t="s">
        <v>511</v>
      </c>
    </row>
    <row r="970">
      <c r="A970" s="53" t="s">
        <v>2291</v>
      </c>
      <c r="B970" s="54" t="s">
        <v>512</v>
      </c>
    </row>
    <row r="971">
      <c r="A971" s="53" t="s">
        <v>2292</v>
      </c>
      <c r="B971" s="54" t="s">
        <v>514</v>
      </c>
    </row>
    <row r="972">
      <c r="A972" s="53" t="s">
        <v>2293</v>
      </c>
      <c r="B972" s="54" t="s">
        <v>515</v>
      </c>
    </row>
    <row r="973">
      <c r="A973" s="53" t="s">
        <v>2294</v>
      </c>
      <c r="B973" s="54" t="s">
        <v>517</v>
      </c>
    </row>
    <row r="974">
      <c r="A974" s="53" t="s">
        <v>2295</v>
      </c>
      <c r="B974" s="54" t="s">
        <v>519</v>
      </c>
    </row>
    <row r="975">
      <c r="A975" s="53" t="s">
        <v>2296</v>
      </c>
      <c r="B975" s="54" t="s">
        <v>520</v>
      </c>
    </row>
    <row r="976">
      <c r="A976" s="53" t="s">
        <v>2297</v>
      </c>
      <c r="B976" s="54" t="s">
        <v>524</v>
      </c>
    </row>
    <row r="977">
      <c r="A977" s="53" t="s">
        <v>2298</v>
      </c>
      <c r="B977" s="54" t="s">
        <v>542</v>
      </c>
    </row>
    <row r="978">
      <c r="A978" s="53" t="s">
        <v>2299</v>
      </c>
      <c r="B978" s="54" t="s">
        <v>525</v>
      </c>
    </row>
    <row r="979">
      <c r="A979" s="53" t="s">
        <v>2300</v>
      </c>
      <c r="B979" s="54" t="s">
        <v>526</v>
      </c>
    </row>
    <row r="980">
      <c r="A980" s="53" t="s">
        <v>2301</v>
      </c>
      <c r="B980" s="54" t="s">
        <v>527</v>
      </c>
    </row>
    <row r="981">
      <c r="A981" s="53" t="s">
        <v>2302</v>
      </c>
      <c r="B981" s="54" t="s">
        <v>528</v>
      </c>
    </row>
    <row r="982">
      <c r="A982" s="53" t="s">
        <v>2303</v>
      </c>
      <c r="B982" s="54" t="s">
        <v>529</v>
      </c>
    </row>
    <row r="983">
      <c r="A983" s="53" t="s">
        <v>2304</v>
      </c>
      <c r="B983" s="54" t="s">
        <v>530</v>
      </c>
    </row>
    <row r="984">
      <c r="A984" s="53" t="s">
        <v>2305</v>
      </c>
      <c r="B984" s="54" t="s">
        <v>531</v>
      </c>
    </row>
    <row r="985">
      <c r="A985" s="53" t="s">
        <v>2306</v>
      </c>
      <c r="B985" s="54" t="s">
        <v>532</v>
      </c>
    </row>
    <row r="986">
      <c r="A986" s="53" t="s">
        <v>2307</v>
      </c>
      <c r="B986" s="54" t="s">
        <v>538</v>
      </c>
    </row>
    <row r="987">
      <c r="A987" s="53" t="s">
        <v>2308</v>
      </c>
      <c r="B987" s="54" t="s">
        <v>539</v>
      </c>
    </row>
    <row r="988">
      <c r="A988" s="53" t="s">
        <v>2309</v>
      </c>
      <c r="B988" s="54" t="s">
        <v>540</v>
      </c>
    </row>
    <row r="989">
      <c r="A989" s="53" t="s">
        <v>2310</v>
      </c>
      <c r="B989" s="54" t="s">
        <v>546</v>
      </c>
    </row>
    <row r="990">
      <c r="A990" s="53" t="s">
        <v>2311</v>
      </c>
      <c r="B990" s="54" t="s">
        <v>548</v>
      </c>
    </row>
    <row r="991">
      <c r="A991" s="53" t="s">
        <v>2312</v>
      </c>
      <c r="B991" s="54" t="s">
        <v>550</v>
      </c>
    </row>
    <row r="992">
      <c r="A992" s="53" t="s">
        <v>2313</v>
      </c>
      <c r="B992" s="54" t="s">
        <v>552</v>
      </c>
    </row>
    <row r="993">
      <c r="A993" s="53" t="s">
        <v>2314</v>
      </c>
      <c r="B993" s="54" t="s">
        <v>553</v>
      </c>
    </row>
    <row r="994">
      <c r="A994" s="53" t="s">
        <v>2315</v>
      </c>
      <c r="B994" s="54" t="s">
        <v>557</v>
      </c>
    </row>
    <row r="995">
      <c r="A995" s="53" t="s">
        <v>2316</v>
      </c>
      <c r="B995" s="54" t="s">
        <v>560</v>
      </c>
    </row>
    <row r="996">
      <c r="A996" s="53" t="s">
        <v>2317</v>
      </c>
      <c r="B996" s="54" t="s">
        <v>561</v>
      </c>
    </row>
    <row r="997">
      <c r="A997" s="53" t="s">
        <v>2318</v>
      </c>
      <c r="B997" s="54" t="s">
        <v>563</v>
      </c>
    </row>
    <row r="998">
      <c r="A998" s="53" t="s">
        <v>2319</v>
      </c>
      <c r="B998" s="54" t="s">
        <v>564</v>
      </c>
    </row>
    <row r="999">
      <c r="A999" s="53" t="s">
        <v>2320</v>
      </c>
      <c r="B999" s="54" t="s">
        <v>534</v>
      </c>
    </row>
    <row r="1000">
      <c r="A1000" s="53" t="s">
        <v>2321</v>
      </c>
      <c r="B1000" s="54" t="s">
        <v>555</v>
      </c>
    </row>
    <row r="1001">
      <c r="A1001" s="53" t="s">
        <v>2322</v>
      </c>
      <c r="B1001" s="54" t="s">
        <v>492</v>
      </c>
    </row>
    <row r="1002">
      <c r="A1002" s="53" t="s">
        <v>2323</v>
      </c>
      <c r="B1002" s="54" t="s">
        <v>554</v>
      </c>
    </row>
    <row r="1003">
      <c r="A1003" s="53" t="s">
        <v>2324</v>
      </c>
      <c r="B1003" s="54" t="s">
        <v>568</v>
      </c>
    </row>
    <row r="1004">
      <c r="A1004" s="53" t="s">
        <v>2325</v>
      </c>
      <c r="B1004" s="54" t="s">
        <v>573</v>
      </c>
    </row>
    <row r="1005">
      <c r="A1005" s="55" t="s">
        <v>2306</v>
      </c>
      <c r="B1005" s="54" t="s">
        <v>533</v>
      </c>
    </row>
    <row r="1006">
      <c r="A1006" s="55" t="s">
        <v>2326</v>
      </c>
      <c r="B1006" s="54" t="s">
        <v>566</v>
      </c>
    </row>
    <row r="1007">
      <c r="A1007" s="55" t="s">
        <v>2327</v>
      </c>
      <c r="B1007" s="54" t="s">
        <v>545</v>
      </c>
    </row>
    <row r="1008">
      <c r="A1008" s="53" t="s">
        <v>2328</v>
      </c>
      <c r="B1008" s="54" t="s">
        <v>569</v>
      </c>
    </row>
    <row r="1009">
      <c r="A1009" s="53" t="s">
        <v>2329</v>
      </c>
      <c r="B1009" s="54" t="s">
        <v>556</v>
      </c>
    </row>
    <row r="1010">
      <c r="A1010" s="53" t="s">
        <v>2330</v>
      </c>
      <c r="B1010" s="54" t="s">
        <v>592</v>
      </c>
    </row>
    <row r="1011">
      <c r="A1011" s="53" t="s">
        <v>2331</v>
      </c>
      <c r="B1011" s="54" t="s">
        <v>585</v>
      </c>
    </row>
    <row r="1012">
      <c r="A1012" s="53" t="s">
        <v>2332</v>
      </c>
      <c r="B1012" s="54" t="s">
        <v>537</v>
      </c>
    </row>
    <row r="1013">
      <c r="A1013" s="53" t="s">
        <v>2333</v>
      </c>
      <c r="B1013" s="54" t="s">
        <v>567</v>
      </c>
    </row>
    <row r="1014">
      <c r="A1014" s="53" t="s">
        <v>2334</v>
      </c>
      <c r="B1014" s="54" t="s">
        <v>572</v>
      </c>
    </row>
    <row r="1015">
      <c r="A1015" s="56" t="s">
        <v>2335</v>
      </c>
      <c r="B1015" s="54" t="s">
        <v>619</v>
      </c>
    </row>
    <row r="1016">
      <c r="A1016" s="53" t="s">
        <v>2336</v>
      </c>
      <c r="B1016" s="54" t="s">
        <v>488</v>
      </c>
    </row>
    <row r="1017">
      <c r="A1017" s="53" t="s">
        <v>2337</v>
      </c>
      <c r="B1017" s="54" t="s">
        <v>559</v>
      </c>
    </row>
    <row r="1018">
      <c r="A1018" s="53" t="s">
        <v>2338</v>
      </c>
      <c r="B1018" s="54" t="s">
        <v>605</v>
      </c>
    </row>
    <row r="1019">
      <c r="A1019" s="53" t="s">
        <v>2339</v>
      </c>
      <c r="B1019" s="54" t="s">
        <v>455</v>
      </c>
    </row>
    <row r="1020">
      <c r="A1020" s="53" t="s">
        <v>2340</v>
      </c>
      <c r="B1020" s="54" t="s">
        <v>518</v>
      </c>
    </row>
    <row r="1021">
      <c r="A1021" s="53" t="s">
        <v>2341</v>
      </c>
      <c r="B1021" s="54" t="s">
        <v>549</v>
      </c>
    </row>
    <row r="1022">
      <c r="A1022" s="53" t="s">
        <v>2292</v>
      </c>
      <c r="B1022" s="54" t="s">
        <v>513</v>
      </c>
    </row>
    <row r="1023">
      <c r="A1023" s="53" t="s">
        <v>2342</v>
      </c>
      <c r="B1023" s="54" t="s">
        <v>416</v>
      </c>
    </row>
    <row r="1024">
      <c r="A1024" s="53" t="s">
        <v>2343</v>
      </c>
      <c r="B1024" s="54" t="s">
        <v>428</v>
      </c>
    </row>
    <row r="1025">
      <c r="A1025" s="53" t="s">
        <v>2344</v>
      </c>
      <c r="B1025" s="54" t="s">
        <v>487</v>
      </c>
    </row>
    <row r="1026">
      <c r="A1026" s="53" t="s">
        <v>2345</v>
      </c>
      <c r="B1026" s="54" t="s">
        <v>570</v>
      </c>
    </row>
    <row r="1027">
      <c r="A1027" s="53" t="s">
        <v>2346</v>
      </c>
      <c r="B1027" s="54" t="s">
        <v>571</v>
      </c>
    </row>
    <row r="1028">
      <c r="A1028" s="53" t="s">
        <v>2347</v>
      </c>
      <c r="B1028" s="54" t="s">
        <v>574</v>
      </c>
    </row>
    <row r="1029">
      <c r="A1029" s="53" t="s">
        <v>2348</v>
      </c>
      <c r="B1029" s="54" t="s">
        <v>576</v>
      </c>
    </row>
    <row r="1030">
      <c r="A1030" s="53" t="s">
        <v>2349</v>
      </c>
      <c r="B1030" s="54" t="s">
        <v>577</v>
      </c>
    </row>
    <row r="1031">
      <c r="A1031" s="53" t="s">
        <v>2350</v>
      </c>
      <c r="B1031" s="54" t="s">
        <v>579</v>
      </c>
    </row>
    <row r="1032">
      <c r="A1032" s="53" t="s">
        <v>2351</v>
      </c>
      <c r="B1032" s="54" t="s">
        <v>580</v>
      </c>
    </row>
    <row r="1033">
      <c r="A1033" s="53" t="s">
        <v>2352</v>
      </c>
      <c r="B1033" s="54" t="s">
        <v>581</v>
      </c>
    </row>
    <row r="1034">
      <c r="A1034" s="53" t="s">
        <v>2353</v>
      </c>
      <c r="B1034" s="54" t="s">
        <v>584</v>
      </c>
    </row>
    <row r="1035">
      <c r="A1035" s="53" t="s">
        <v>2354</v>
      </c>
      <c r="B1035" s="54" t="s">
        <v>586</v>
      </c>
    </row>
    <row r="1036">
      <c r="A1036" s="53" t="s">
        <v>2355</v>
      </c>
      <c r="B1036" s="54" t="s">
        <v>588</v>
      </c>
    </row>
    <row r="1037">
      <c r="A1037" s="53" t="s">
        <v>2356</v>
      </c>
      <c r="B1037" s="54" t="s">
        <v>591</v>
      </c>
    </row>
    <row r="1038">
      <c r="A1038" s="53" t="s">
        <v>2357</v>
      </c>
      <c r="B1038" s="54" t="s">
        <v>593</v>
      </c>
    </row>
    <row r="1039">
      <c r="A1039" s="53" t="s">
        <v>2358</v>
      </c>
      <c r="B1039" s="54" t="s">
        <v>594</v>
      </c>
    </row>
    <row r="1040">
      <c r="A1040" s="53" t="s">
        <v>2359</v>
      </c>
      <c r="B1040" s="54" t="s">
        <v>595</v>
      </c>
    </row>
    <row r="1041">
      <c r="A1041" s="53" t="s">
        <v>2360</v>
      </c>
      <c r="B1041" s="54" t="s">
        <v>596</v>
      </c>
    </row>
    <row r="1042">
      <c r="A1042" s="53" t="s">
        <v>2361</v>
      </c>
      <c r="B1042" s="54" t="s">
        <v>598</v>
      </c>
    </row>
    <row r="1043">
      <c r="A1043" s="53" t="s">
        <v>2362</v>
      </c>
      <c r="B1043" s="54" t="s">
        <v>599</v>
      </c>
    </row>
    <row r="1044">
      <c r="A1044" s="53" t="s">
        <v>2363</v>
      </c>
      <c r="B1044" s="54" t="s">
        <v>600</v>
      </c>
    </row>
    <row r="1045">
      <c r="A1045" s="53" t="s">
        <v>2364</v>
      </c>
      <c r="B1045" s="54" t="s">
        <v>602</v>
      </c>
    </row>
    <row r="1046">
      <c r="A1046" s="53" t="s">
        <v>2365</v>
      </c>
      <c r="B1046" s="54" t="s">
        <v>603</v>
      </c>
    </row>
    <row r="1047">
      <c r="A1047" s="53" t="s">
        <v>2366</v>
      </c>
      <c r="B1047" s="54" t="s">
        <v>604</v>
      </c>
    </row>
    <row r="1048">
      <c r="A1048" s="53" t="s">
        <v>2367</v>
      </c>
      <c r="B1048" s="54" t="s">
        <v>606</v>
      </c>
    </row>
    <row r="1049">
      <c r="A1049" s="53" t="s">
        <v>2368</v>
      </c>
      <c r="B1049" s="54" t="s">
        <v>607</v>
      </c>
    </row>
    <row r="1050">
      <c r="A1050" s="53" t="s">
        <v>2369</v>
      </c>
      <c r="B1050" s="54" t="s">
        <v>609</v>
      </c>
    </row>
    <row r="1051">
      <c r="A1051" s="53" t="s">
        <v>2370</v>
      </c>
      <c r="B1051" s="54" t="s">
        <v>610</v>
      </c>
    </row>
    <row r="1052">
      <c r="A1052" s="53" t="s">
        <v>2371</v>
      </c>
      <c r="B1052" s="54" t="s">
        <v>616</v>
      </c>
    </row>
    <row r="1053">
      <c r="A1053" s="53" t="s">
        <v>2372</v>
      </c>
      <c r="B1053" s="54" t="s">
        <v>620</v>
      </c>
    </row>
    <row r="1054">
      <c r="A1054" s="53" t="s">
        <v>2373</v>
      </c>
      <c r="B1054" s="54" t="s">
        <v>622</v>
      </c>
    </row>
    <row r="1055">
      <c r="A1055" s="53" t="s">
        <v>2374</v>
      </c>
      <c r="B1055" s="54" t="s">
        <v>623</v>
      </c>
    </row>
    <row r="1056">
      <c r="A1056" s="53" t="s">
        <v>2375</v>
      </c>
      <c r="B1056" s="54" t="s">
        <v>627</v>
      </c>
    </row>
    <row r="1057">
      <c r="A1057" s="53" t="s">
        <v>2376</v>
      </c>
      <c r="B1057" s="54" t="s">
        <v>626</v>
      </c>
    </row>
    <row r="1058">
      <c r="A1058" s="53" t="s">
        <v>2377</v>
      </c>
      <c r="B1058" s="54" t="s">
        <v>628</v>
      </c>
    </row>
    <row r="1059">
      <c r="A1059" s="53" t="s">
        <v>2378</v>
      </c>
      <c r="B1059" s="54" t="s">
        <v>630</v>
      </c>
    </row>
    <row r="1060">
      <c r="A1060" s="53" t="s">
        <v>2379</v>
      </c>
      <c r="B1060" s="54" t="s">
        <v>632</v>
      </c>
    </row>
    <row r="1061">
      <c r="A1061" s="53" t="s">
        <v>2380</v>
      </c>
      <c r="B1061" s="54" t="s">
        <v>633</v>
      </c>
    </row>
    <row r="1062">
      <c r="A1062" s="53" t="s">
        <v>122</v>
      </c>
      <c r="B1062" s="54" t="s">
        <v>601</v>
      </c>
    </row>
    <row r="1063">
      <c r="A1063" s="53" t="s">
        <v>2381</v>
      </c>
      <c r="B1063" s="54" t="s">
        <v>615</v>
      </c>
    </row>
    <row r="1064">
      <c r="A1064" s="53" t="s">
        <v>2382</v>
      </c>
      <c r="B1064" s="54" t="s">
        <v>617</v>
      </c>
    </row>
    <row r="1065">
      <c r="A1065" s="53" t="s">
        <v>2383</v>
      </c>
      <c r="B1065" s="54" t="s">
        <v>578</v>
      </c>
    </row>
    <row r="1066">
      <c r="A1066" s="53" t="s">
        <v>2384</v>
      </c>
      <c r="B1066" s="54" t="s">
        <v>583</v>
      </c>
    </row>
    <row r="1067">
      <c r="A1067" s="53" t="s">
        <v>2385</v>
      </c>
      <c r="B1067" s="54" t="s">
        <v>587</v>
      </c>
    </row>
    <row r="1068">
      <c r="A1068" s="53" t="s">
        <v>2386</v>
      </c>
      <c r="B1068" s="54" t="s">
        <v>589</v>
      </c>
    </row>
    <row r="1069">
      <c r="A1069" s="55" t="s">
        <v>2387</v>
      </c>
      <c r="B1069" s="54" t="s">
        <v>618</v>
      </c>
    </row>
    <row r="1070">
      <c r="A1070" s="55" t="s">
        <v>2388</v>
      </c>
      <c r="B1070" s="54" t="s">
        <v>629</v>
      </c>
    </row>
    <row r="1071">
      <c r="A1071" s="55" t="s">
        <v>2389</v>
      </c>
      <c r="B1071" s="54" t="s">
        <v>614</v>
      </c>
    </row>
    <row r="1072">
      <c r="A1072" s="53" t="s">
        <v>27</v>
      </c>
      <c r="B1072" s="54" t="s">
        <v>608</v>
      </c>
    </row>
    <row r="1073">
      <c r="A1073" s="53" t="s">
        <v>2390</v>
      </c>
      <c r="B1073" s="54" t="s">
        <v>612</v>
      </c>
    </row>
    <row r="1074">
      <c r="A1074" s="53" t="s">
        <v>2391</v>
      </c>
      <c r="B1074" s="54" t="s">
        <v>624</v>
      </c>
    </row>
    <row r="1075">
      <c r="A1075" s="53" t="s">
        <v>2392</v>
      </c>
      <c r="B1075" s="54" t="s">
        <v>590</v>
      </c>
    </row>
    <row r="1076">
      <c r="A1076" s="53" t="s">
        <v>2393</v>
      </c>
      <c r="B1076" s="54" t="s">
        <v>611</v>
      </c>
    </row>
    <row r="1077">
      <c r="A1077" s="56" t="s">
        <v>2394</v>
      </c>
      <c r="B1077" s="54" t="s">
        <v>402</v>
      </c>
    </row>
    <row r="1078">
      <c r="A1078" s="56" t="s">
        <v>2395</v>
      </c>
      <c r="B1078" s="54" t="s">
        <v>625</v>
      </c>
    </row>
    <row r="1079">
      <c r="A1079" s="56" t="s">
        <v>2396</v>
      </c>
      <c r="B1079" s="54" t="s">
        <v>385</v>
      </c>
    </row>
    <row r="1080">
      <c r="A1080" s="56" t="s">
        <v>2397</v>
      </c>
      <c r="B1080" s="54" t="s">
        <v>551</v>
      </c>
    </row>
    <row r="1081">
      <c r="A1081" s="56" t="s">
        <v>2398</v>
      </c>
      <c r="B1081" s="54" t="s">
        <v>547</v>
      </c>
    </row>
    <row r="1082">
      <c r="A1082" s="56" t="s">
        <v>2399</v>
      </c>
      <c r="B1082" s="54" t="s">
        <v>521</v>
      </c>
    </row>
    <row r="1083">
      <c r="A1083" s="53" t="s">
        <v>2400</v>
      </c>
      <c r="B1083" s="54" t="s">
        <v>401</v>
      </c>
    </row>
    <row r="1084">
      <c r="A1084" s="53" t="s">
        <v>2401</v>
      </c>
      <c r="B1084" s="54" t="s">
        <v>505</v>
      </c>
    </row>
    <row r="1085">
      <c r="A1085" s="53" t="s">
        <v>2402</v>
      </c>
      <c r="B1085" s="54" t="s">
        <v>634</v>
      </c>
    </row>
    <row r="1086">
      <c r="A1086" s="53" t="s">
        <v>2403</v>
      </c>
      <c r="B1086" s="54" t="s">
        <v>565</v>
      </c>
    </row>
    <row r="1087">
      <c r="A1087" s="53" t="s">
        <v>2404</v>
      </c>
      <c r="B1087" s="54" t="s">
        <v>631</v>
      </c>
    </row>
    <row r="1088">
      <c r="A1088" s="53" t="s">
        <v>2405</v>
      </c>
      <c r="B1088" s="54" t="s">
        <v>597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381</v>
      </c>
      <c r="B1" s="15">
        <v>51.5</v>
      </c>
    </row>
    <row r="2">
      <c r="A2" s="15" t="s">
        <v>382</v>
      </c>
      <c r="B2" s="15">
        <v>43.5</v>
      </c>
    </row>
    <row r="3">
      <c r="A3" s="15" t="s">
        <v>383</v>
      </c>
      <c r="B3" s="15">
        <v>27.0</v>
      </c>
    </row>
    <row r="4">
      <c r="A4" s="15" t="s">
        <v>384</v>
      </c>
      <c r="B4" s="15">
        <v>0.0</v>
      </c>
    </row>
    <row r="5">
      <c r="A5" s="15" t="s">
        <v>385</v>
      </c>
      <c r="B5" s="15">
        <v>4.5</v>
      </c>
    </row>
    <row r="6">
      <c r="A6" s="15" t="s">
        <v>386</v>
      </c>
      <c r="B6" s="15">
        <v>6.0</v>
      </c>
    </row>
    <row r="7">
      <c r="A7" s="15" t="s">
        <v>387</v>
      </c>
      <c r="B7" s="15">
        <v>20.0</v>
      </c>
    </row>
    <row r="8">
      <c r="A8" s="15" t="s">
        <v>388</v>
      </c>
      <c r="B8" s="15">
        <v>0.0</v>
      </c>
    </row>
    <row r="9">
      <c r="A9" s="15" t="s">
        <v>389</v>
      </c>
      <c r="B9" s="15">
        <v>14.5</v>
      </c>
    </row>
    <row r="10">
      <c r="A10" s="15" t="s">
        <v>390</v>
      </c>
      <c r="B10" s="15">
        <v>9.0</v>
      </c>
    </row>
    <row r="11">
      <c r="A11" s="15" t="s">
        <v>391</v>
      </c>
      <c r="B11" s="15">
        <v>36.5</v>
      </c>
    </row>
    <row r="12">
      <c r="A12" s="15" t="s">
        <v>392</v>
      </c>
      <c r="B12" s="15">
        <v>9.5</v>
      </c>
    </row>
    <row r="13">
      <c r="A13" s="15" t="s">
        <v>393</v>
      </c>
      <c r="B13" s="15">
        <v>38.0</v>
      </c>
    </row>
    <row r="14">
      <c r="A14" s="15" t="s">
        <v>394</v>
      </c>
      <c r="B14" s="15">
        <v>15.5</v>
      </c>
    </row>
    <row r="15">
      <c r="A15" s="15" t="s">
        <v>395</v>
      </c>
      <c r="B15" s="15">
        <v>10.5</v>
      </c>
    </row>
    <row r="16">
      <c r="A16" s="15" t="s">
        <v>396</v>
      </c>
      <c r="B16" s="15">
        <v>34.0</v>
      </c>
    </row>
    <row r="17">
      <c r="A17" s="15" t="s">
        <v>397</v>
      </c>
      <c r="B17" s="15">
        <v>46.5</v>
      </c>
    </row>
    <row r="18">
      <c r="A18" s="15" t="s">
        <v>398</v>
      </c>
      <c r="B18" s="15">
        <v>42.0</v>
      </c>
    </row>
    <row r="19">
      <c r="A19" s="15" t="s">
        <v>399</v>
      </c>
      <c r="B19" s="15">
        <v>23.0</v>
      </c>
    </row>
    <row r="20">
      <c r="A20" s="15" t="s">
        <v>400</v>
      </c>
      <c r="B20" s="15">
        <v>12.5</v>
      </c>
    </row>
    <row r="21">
      <c r="A21" s="15" t="s">
        <v>401</v>
      </c>
      <c r="B21" s="15">
        <v>4.0</v>
      </c>
    </row>
    <row r="22">
      <c r="A22" s="15" t="s">
        <v>402</v>
      </c>
      <c r="B22" s="15">
        <v>6.5</v>
      </c>
    </row>
    <row r="23">
      <c r="A23" s="15" t="s">
        <v>403</v>
      </c>
      <c r="B23" s="15">
        <v>10.5</v>
      </c>
    </row>
    <row r="24">
      <c r="A24" s="15" t="s">
        <v>404</v>
      </c>
      <c r="B24" s="15">
        <v>0.0</v>
      </c>
    </row>
    <row r="25">
      <c r="A25" s="15" t="s">
        <v>405</v>
      </c>
      <c r="B25" s="15">
        <v>60.5</v>
      </c>
    </row>
    <row r="26">
      <c r="A26" s="15" t="s">
        <v>406</v>
      </c>
      <c r="B26" s="15">
        <v>20.0</v>
      </c>
    </row>
    <row r="27">
      <c r="A27" s="15" t="s">
        <v>407</v>
      </c>
      <c r="B27" s="15">
        <v>16.0</v>
      </c>
    </row>
    <row r="28">
      <c r="A28" s="15" t="s">
        <v>408</v>
      </c>
      <c r="B28" s="15">
        <v>4.0</v>
      </c>
    </row>
    <row r="29">
      <c r="A29" s="15" t="s">
        <v>409</v>
      </c>
      <c r="B29" s="15">
        <v>8.0</v>
      </c>
    </row>
    <row r="30">
      <c r="A30" s="15" t="s">
        <v>410</v>
      </c>
      <c r="B30" s="15">
        <v>15.0</v>
      </c>
    </row>
    <row r="31">
      <c r="A31" s="15" t="s">
        <v>411</v>
      </c>
      <c r="B31" s="15">
        <v>0.0</v>
      </c>
    </row>
    <row r="32">
      <c r="A32" s="15" t="s">
        <v>412</v>
      </c>
      <c r="B32" s="15">
        <v>25.0</v>
      </c>
    </row>
    <row r="33">
      <c r="A33" s="15" t="s">
        <v>413</v>
      </c>
      <c r="B33" s="15">
        <v>7.0</v>
      </c>
    </row>
    <row r="34">
      <c r="A34" s="15" t="s">
        <v>414</v>
      </c>
      <c r="B34" s="15">
        <v>-1.5</v>
      </c>
    </row>
    <row r="35">
      <c r="A35" s="15" t="s">
        <v>415</v>
      </c>
      <c r="B35" s="15">
        <v>6.5</v>
      </c>
    </row>
    <row r="36">
      <c r="A36" s="15" t="s">
        <v>416</v>
      </c>
      <c r="B36" s="15">
        <v>10.0</v>
      </c>
    </row>
    <row r="37">
      <c r="A37" s="15" t="s">
        <v>417</v>
      </c>
      <c r="B37" s="15">
        <v>4.5</v>
      </c>
    </row>
    <row r="38">
      <c r="A38" s="15" t="s">
        <v>418</v>
      </c>
      <c r="B38" s="15">
        <v>14.0</v>
      </c>
    </row>
    <row r="39">
      <c r="A39" s="15" t="s">
        <v>419</v>
      </c>
      <c r="B39" s="15">
        <v>34.5</v>
      </c>
    </row>
    <row r="40">
      <c r="A40" s="15" t="s">
        <v>420</v>
      </c>
      <c r="B40" s="15">
        <v>20.0</v>
      </c>
    </row>
    <row r="41">
      <c r="A41" s="15" t="s">
        <v>421</v>
      </c>
      <c r="B41" s="15">
        <v>11.0</v>
      </c>
    </row>
    <row r="42">
      <c r="A42" s="15" t="s">
        <v>422</v>
      </c>
      <c r="B42" s="15">
        <v>15.0</v>
      </c>
    </row>
    <row r="43">
      <c r="A43" s="15" t="s">
        <v>423</v>
      </c>
      <c r="B43" s="15">
        <v>16.0</v>
      </c>
    </row>
    <row r="44">
      <c r="A44" s="15" t="s">
        <v>424</v>
      </c>
      <c r="B44" s="15">
        <v>12.0</v>
      </c>
    </row>
    <row r="45">
      <c r="A45" s="15" t="s">
        <v>425</v>
      </c>
      <c r="B45" s="15">
        <v>28.0</v>
      </c>
    </row>
    <row r="46">
      <c r="A46" s="15" t="s">
        <v>426</v>
      </c>
      <c r="B46" s="15">
        <v>25.0</v>
      </c>
    </row>
    <row r="47">
      <c r="A47" s="15" t="s">
        <v>427</v>
      </c>
      <c r="B47" s="15">
        <v>2.5</v>
      </c>
    </row>
    <row r="48">
      <c r="A48" s="15" t="s">
        <v>428</v>
      </c>
      <c r="B48" s="15">
        <v>9.0</v>
      </c>
    </row>
    <row r="49">
      <c r="A49" s="15" t="s">
        <v>429</v>
      </c>
      <c r="B49" s="15">
        <v>11.0</v>
      </c>
    </row>
    <row r="50">
      <c r="A50" s="15" t="s">
        <v>430</v>
      </c>
      <c r="B50" s="15">
        <v>19.0</v>
      </c>
    </row>
    <row r="51">
      <c r="A51" s="15" t="s">
        <v>431</v>
      </c>
      <c r="B51" s="15">
        <v>20.0</v>
      </c>
    </row>
    <row r="52">
      <c r="A52" s="15" t="s">
        <v>432</v>
      </c>
      <c r="B52" s="15">
        <v>10.0</v>
      </c>
    </row>
    <row r="53">
      <c r="A53" s="15" t="s">
        <v>433</v>
      </c>
      <c r="B53" s="15">
        <v>35.0</v>
      </c>
    </row>
    <row r="54">
      <c r="A54" s="15" t="s">
        <v>434</v>
      </c>
      <c r="B54" s="15">
        <v>15.0</v>
      </c>
    </row>
    <row r="55">
      <c r="A55" s="15" t="s">
        <v>435</v>
      </c>
      <c r="B55" s="15">
        <v>12.0</v>
      </c>
    </row>
    <row r="56">
      <c r="A56" s="15" t="s">
        <v>436</v>
      </c>
      <c r="B56" s="15">
        <v>15.5</v>
      </c>
    </row>
    <row r="57">
      <c r="A57" s="15" t="s">
        <v>437</v>
      </c>
      <c r="B57" s="15">
        <v>5.5</v>
      </c>
    </row>
    <row r="58">
      <c r="A58" s="15" t="s">
        <v>438</v>
      </c>
      <c r="B58" s="15">
        <v>7.0</v>
      </c>
    </row>
    <row r="59">
      <c r="A59" s="15" t="s">
        <v>439</v>
      </c>
      <c r="B59" s="15">
        <v>16.0</v>
      </c>
    </row>
    <row r="60">
      <c r="A60" s="15" t="s">
        <v>440</v>
      </c>
      <c r="B60" s="15">
        <v>0.0</v>
      </c>
    </row>
    <row r="61">
      <c r="A61" s="15" t="s">
        <v>441</v>
      </c>
      <c r="B61" s="15">
        <v>20.0</v>
      </c>
    </row>
    <row r="62">
      <c r="A62" s="15" t="s">
        <v>442</v>
      </c>
      <c r="B62" s="15">
        <v>0.0</v>
      </c>
    </row>
    <row r="63">
      <c r="A63" s="15" t="s">
        <v>443</v>
      </c>
      <c r="B63" s="15">
        <v>17.5</v>
      </c>
    </row>
    <row r="64">
      <c r="A64" s="15" t="s">
        <v>444</v>
      </c>
      <c r="B64" s="15">
        <v>5.5</v>
      </c>
    </row>
    <row r="65">
      <c r="A65" s="15" t="s">
        <v>445</v>
      </c>
      <c r="B65" s="15">
        <v>9.5</v>
      </c>
    </row>
    <row r="66">
      <c r="A66" s="15" t="s">
        <v>446</v>
      </c>
      <c r="B66" s="15">
        <v>25.5</v>
      </c>
    </row>
    <row r="67">
      <c r="A67" s="15" t="s">
        <v>447</v>
      </c>
      <c r="B67" s="15">
        <v>44.0</v>
      </c>
    </row>
    <row r="68">
      <c r="A68" s="15" t="s">
        <v>448</v>
      </c>
      <c r="B68" s="15">
        <v>10.0</v>
      </c>
    </row>
    <row r="69">
      <c r="A69" s="15" t="s">
        <v>449</v>
      </c>
      <c r="B69" s="15">
        <v>31.0</v>
      </c>
    </row>
    <row r="70">
      <c r="A70" s="15" t="s">
        <v>450</v>
      </c>
      <c r="B70" s="15">
        <v>17.0</v>
      </c>
    </row>
    <row r="71">
      <c r="A71" s="15" t="s">
        <v>451</v>
      </c>
      <c r="B71" s="15">
        <v>20.0</v>
      </c>
    </row>
    <row r="72">
      <c r="A72" s="15" t="s">
        <v>452</v>
      </c>
      <c r="B72" s="15">
        <v>17.0</v>
      </c>
    </row>
    <row r="73">
      <c r="A73" s="15" t="s">
        <v>453</v>
      </c>
      <c r="B73" s="15">
        <v>20.0</v>
      </c>
    </row>
    <row r="74">
      <c r="A74" s="15" t="s">
        <v>454</v>
      </c>
      <c r="B74" s="15">
        <v>6.0</v>
      </c>
    </row>
    <row r="75">
      <c r="A75" s="15" t="s">
        <v>455</v>
      </c>
      <c r="B75" s="15">
        <v>4.5</v>
      </c>
    </row>
    <row r="76">
      <c r="A76" s="15" t="s">
        <v>456</v>
      </c>
      <c r="B76" s="15">
        <v>10.0</v>
      </c>
    </row>
    <row r="77">
      <c r="A77" s="15" t="s">
        <v>457</v>
      </c>
      <c r="B77" s="15">
        <v>13.5</v>
      </c>
    </row>
    <row r="78">
      <c r="A78" s="15" t="s">
        <v>458</v>
      </c>
      <c r="B78" s="15">
        <v>14.0</v>
      </c>
    </row>
    <row r="79">
      <c r="A79" s="15" t="s">
        <v>459</v>
      </c>
      <c r="B79" s="15">
        <v>6.0</v>
      </c>
    </row>
    <row r="80">
      <c r="A80" s="15" t="s">
        <v>460</v>
      </c>
      <c r="B80" s="15">
        <v>12.0</v>
      </c>
    </row>
    <row r="81">
      <c r="A81" s="15" t="s">
        <v>461</v>
      </c>
      <c r="B81" s="15">
        <v>12.5</v>
      </c>
    </row>
    <row r="82">
      <c r="A82" s="15" t="s">
        <v>462</v>
      </c>
      <c r="B82" s="15">
        <v>12.5</v>
      </c>
    </row>
    <row r="83">
      <c r="A83" s="15" t="s">
        <v>463</v>
      </c>
      <c r="B83" s="15">
        <v>12.5</v>
      </c>
    </row>
    <row r="84">
      <c r="A84" s="15" t="s">
        <v>464</v>
      </c>
      <c r="B84" s="15">
        <v>6.0</v>
      </c>
    </row>
    <row r="85">
      <c r="A85" s="15" t="s">
        <v>465</v>
      </c>
      <c r="B85" s="15">
        <v>21.5</v>
      </c>
    </row>
    <row r="86">
      <c r="A86" s="15" t="s">
        <v>466</v>
      </c>
      <c r="B86" s="15">
        <v>0.0</v>
      </c>
    </row>
    <row r="87">
      <c r="A87" s="15" t="s">
        <v>467</v>
      </c>
      <c r="B87" s="15">
        <v>6.0</v>
      </c>
    </row>
    <row r="88">
      <c r="A88" s="15" t="s">
        <v>468</v>
      </c>
      <c r="B88" s="15">
        <v>12.0</v>
      </c>
    </row>
    <row r="89">
      <c r="A89" s="15" t="s">
        <v>469</v>
      </c>
      <c r="B89" s="15">
        <v>12.5</v>
      </c>
    </row>
    <row r="90">
      <c r="A90" s="15" t="s">
        <v>470</v>
      </c>
      <c r="B90" s="15">
        <v>35.5</v>
      </c>
    </row>
    <row r="91">
      <c r="A91" s="15" t="s">
        <v>471</v>
      </c>
      <c r="B91" s="15">
        <v>6.0</v>
      </c>
    </row>
    <row r="92">
      <c r="A92" s="15" t="s">
        <v>472</v>
      </c>
      <c r="B92" s="15">
        <v>8.0</v>
      </c>
    </row>
    <row r="93">
      <c r="A93" s="15" t="s">
        <v>473</v>
      </c>
      <c r="B93" s="15">
        <v>31.5</v>
      </c>
    </row>
    <row r="94">
      <c r="A94" s="15" t="s">
        <v>474</v>
      </c>
      <c r="B94" s="15">
        <v>10.0</v>
      </c>
    </row>
    <row r="95">
      <c r="A95" s="15" t="s">
        <v>475</v>
      </c>
      <c r="B95" s="15">
        <v>0.0</v>
      </c>
    </row>
    <row r="96">
      <c r="A96" s="15" t="s">
        <v>476</v>
      </c>
      <c r="B96" s="15">
        <v>12.5</v>
      </c>
    </row>
    <row r="97">
      <c r="A97" s="15" t="s">
        <v>477</v>
      </c>
      <c r="B97" s="15">
        <v>15.5</v>
      </c>
    </row>
    <row r="98">
      <c r="A98" s="15" t="s">
        <v>478</v>
      </c>
      <c r="B98" s="15">
        <v>25.0</v>
      </c>
    </row>
    <row r="99">
      <c r="A99" s="15" t="s">
        <v>479</v>
      </c>
      <c r="B99" s="15">
        <v>11.0</v>
      </c>
    </row>
    <row r="100">
      <c r="A100" s="15" t="s">
        <v>480</v>
      </c>
      <c r="B100" s="15">
        <v>22.5</v>
      </c>
    </row>
    <row r="101">
      <c r="A101" s="15" t="s">
        <v>481</v>
      </c>
      <c r="B101" s="15">
        <v>7.5</v>
      </c>
    </row>
    <row r="102">
      <c r="A102" s="15" t="s">
        <v>482</v>
      </c>
      <c r="B102" s="15">
        <v>7.5</v>
      </c>
    </row>
    <row r="103">
      <c r="A103" s="15" t="s">
        <v>483</v>
      </c>
      <c r="B103" s="15">
        <v>13.0</v>
      </c>
    </row>
    <row r="104">
      <c r="A104" s="15" t="s">
        <v>484</v>
      </c>
      <c r="B104" s="15">
        <v>19.0</v>
      </c>
    </row>
    <row r="105">
      <c r="A105" s="15" t="s">
        <v>485</v>
      </c>
      <c r="B105" s="15">
        <v>12.5</v>
      </c>
    </row>
    <row r="106">
      <c r="A106" s="15" t="s">
        <v>486</v>
      </c>
      <c r="B106" s="15">
        <v>12.5</v>
      </c>
    </row>
    <row r="107">
      <c r="A107" s="15" t="s">
        <v>487</v>
      </c>
      <c r="B107" s="15">
        <v>0.0</v>
      </c>
    </row>
    <row r="108">
      <c r="A108" s="15" t="s">
        <v>488</v>
      </c>
      <c r="B108" s="15">
        <v>12.5</v>
      </c>
    </row>
    <row r="109">
      <c r="A109" s="15" t="s">
        <v>489</v>
      </c>
      <c r="B109" s="15">
        <v>26.0</v>
      </c>
    </row>
    <row r="110">
      <c r="A110" s="15" t="s">
        <v>490</v>
      </c>
      <c r="B110" s="15">
        <v>15.0</v>
      </c>
    </row>
    <row r="111">
      <c r="A111" s="15" t="s">
        <v>491</v>
      </c>
      <c r="B111" s="15">
        <v>0.0</v>
      </c>
    </row>
    <row r="112">
      <c r="A112" s="15" t="s">
        <v>492</v>
      </c>
      <c r="B112" s="15">
        <v>7.5</v>
      </c>
    </row>
    <row r="113">
      <c r="A113" s="15" t="s">
        <v>493</v>
      </c>
      <c r="B113" s="15">
        <v>12.5</v>
      </c>
    </row>
    <row r="114">
      <c r="A114" s="15" t="s">
        <v>494</v>
      </c>
      <c r="B114" s="15">
        <v>0.0</v>
      </c>
    </row>
    <row r="115">
      <c r="A115" s="15" t="s">
        <v>495</v>
      </c>
      <c r="B115" s="15">
        <v>12.5</v>
      </c>
    </row>
    <row r="116">
      <c r="A116" s="15" t="s">
        <v>496</v>
      </c>
      <c r="B116" s="15">
        <v>7.5</v>
      </c>
    </row>
    <row r="117">
      <c r="A117" s="15" t="s">
        <v>497</v>
      </c>
      <c r="B117" s="15">
        <v>0.0</v>
      </c>
    </row>
    <row r="118">
      <c r="A118" s="15" t="s">
        <v>498</v>
      </c>
      <c r="B118" s="15">
        <v>0.0</v>
      </c>
    </row>
    <row r="119">
      <c r="A119" s="15" t="s">
        <v>499</v>
      </c>
      <c r="B119" s="15">
        <v>10.0</v>
      </c>
    </row>
    <row r="120">
      <c r="A120" s="15" t="s">
        <v>500</v>
      </c>
      <c r="B120" s="15">
        <v>22.5</v>
      </c>
    </row>
    <row r="121">
      <c r="A121" s="15" t="s">
        <v>501</v>
      </c>
      <c r="B121" s="15">
        <v>17.5</v>
      </c>
    </row>
    <row r="122">
      <c r="A122" s="15" t="s">
        <v>502</v>
      </c>
      <c r="B122" s="15">
        <v>0.0</v>
      </c>
    </row>
    <row r="123">
      <c r="A123" s="15" t="s">
        <v>503</v>
      </c>
      <c r="B123" s="15">
        <v>38.5</v>
      </c>
    </row>
    <row r="124">
      <c r="A124" s="15" t="s">
        <v>504</v>
      </c>
      <c r="B124" s="15">
        <v>-2.5</v>
      </c>
    </row>
    <row r="125">
      <c r="A125" s="15" t="s">
        <v>505</v>
      </c>
      <c r="B125" s="15">
        <v>61.0</v>
      </c>
    </row>
    <row r="126">
      <c r="A126" s="15" t="s">
        <v>506</v>
      </c>
      <c r="B126" s="15">
        <v>7.5</v>
      </c>
    </row>
    <row r="127">
      <c r="A127" s="15" t="s">
        <v>507</v>
      </c>
      <c r="B127" s="15">
        <v>4.5</v>
      </c>
    </row>
    <row r="128">
      <c r="A128" s="15" t="s">
        <v>508</v>
      </c>
      <c r="B128" s="15">
        <v>53.0</v>
      </c>
    </row>
    <row r="129">
      <c r="A129" s="15" t="s">
        <v>509</v>
      </c>
      <c r="B129" s="15">
        <v>0.0</v>
      </c>
    </row>
    <row r="130">
      <c r="A130" s="15" t="s">
        <v>510</v>
      </c>
      <c r="B130" s="15">
        <v>15.0</v>
      </c>
    </row>
    <row r="131">
      <c r="A131" s="15" t="s">
        <v>511</v>
      </c>
      <c r="B131" s="15">
        <v>21.5</v>
      </c>
    </row>
    <row r="132">
      <c r="A132" s="15" t="s">
        <v>512</v>
      </c>
      <c r="B132" s="15">
        <v>10.0</v>
      </c>
    </row>
    <row r="133">
      <c r="A133" s="15" t="s">
        <v>513</v>
      </c>
      <c r="B133" s="15">
        <v>10.5</v>
      </c>
    </row>
    <row r="134">
      <c r="A134" s="15" t="s">
        <v>514</v>
      </c>
      <c r="B134" s="15">
        <v>4.0</v>
      </c>
    </row>
    <row r="135">
      <c r="A135" s="15" t="s">
        <v>515</v>
      </c>
      <c r="B135" s="15">
        <v>14.5</v>
      </c>
    </row>
    <row r="136">
      <c r="A136" s="15" t="s">
        <v>516</v>
      </c>
      <c r="B136" s="15">
        <v>12.5</v>
      </c>
    </row>
    <row r="137">
      <c r="A137" s="15" t="s">
        <v>517</v>
      </c>
      <c r="B137" s="15">
        <v>0.0</v>
      </c>
    </row>
    <row r="138">
      <c r="A138" s="15" t="s">
        <v>518</v>
      </c>
      <c r="B138" s="15">
        <v>8.0</v>
      </c>
    </row>
    <row r="139">
      <c r="A139" s="15" t="s">
        <v>519</v>
      </c>
      <c r="B139" s="15">
        <v>0.0</v>
      </c>
    </row>
    <row r="140">
      <c r="A140" s="15" t="s">
        <v>520</v>
      </c>
      <c r="B140" s="15">
        <v>0.0</v>
      </c>
    </row>
    <row r="141">
      <c r="A141" s="15" t="s">
        <v>521</v>
      </c>
      <c r="B141" s="15">
        <v>6.0</v>
      </c>
    </row>
    <row r="142">
      <c r="A142" s="15" t="s">
        <v>522</v>
      </c>
      <c r="B142" s="15">
        <v>25.0</v>
      </c>
    </row>
    <row r="143">
      <c r="A143" s="15" t="s">
        <v>523</v>
      </c>
      <c r="B143" s="15">
        <v>10.0</v>
      </c>
    </row>
    <row r="144">
      <c r="A144" s="15" t="s">
        <v>524</v>
      </c>
      <c r="B144" s="15">
        <v>21.5</v>
      </c>
    </row>
    <row r="145">
      <c r="A145" s="15" t="s">
        <v>525</v>
      </c>
      <c r="B145" s="15">
        <v>-2.5</v>
      </c>
    </row>
    <row r="146">
      <c r="A146" s="15" t="s">
        <v>526</v>
      </c>
      <c r="B146" s="15">
        <v>0.0</v>
      </c>
    </row>
    <row r="147">
      <c r="A147" s="15" t="s">
        <v>527</v>
      </c>
      <c r="B147" s="15">
        <v>10.0</v>
      </c>
    </row>
    <row r="148">
      <c r="A148" s="15" t="s">
        <v>528</v>
      </c>
      <c r="B148" s="15">
        <v>12.5</v>
      </c>
    </row>
    <row r="149">
      <c r="A149" s="15" t="s">
        <v>529</v>
      </c>
      <c r="B149" s="15">
        <v>12.5</v>
      </c>
    </row>
    <row r="150">
      <c r="A150" s="15" t="s">
        <v>530</v>
      </c>
      <c r="B150" s="15">
        <v>15.0</v>
      </c>
    </row>
    <row r="151">
      <c r="A151" s="15" t="s">
        <v>531</v>
      </c>
      <c r="B151" s="15">
        <v>7.0</v>
      </c>
    </row>
    <row r="152">
      <c r="A152" s="15" t="s">
        <v>532</v>
      </c>
      <c r="B152" s="15">
        <v>0.0</v>
      </c>
    </row>
    <row r="153">
      <c r="A153" s="15" t="s">
        <v>533</v>
      </c>
      <c r="B153" s="15">
        <v>0.0</v>
      </c>
    </row>
    <row r="154">
      <c r="A154" s="15" t="s">
        <v>534</v>
      </c>
      <c r="B154" s="15">
        <v>10.0</v>
      </c>
    </row>
    <row r="155">
      <c r="A155" s="15" t="s">
        <v>535</v>
      </c>
      <c r="B155" s="15">
        <v>10.0</v>
      </c>
    </row>
    <row r="156">
      <c r="A156" s="15" t="s">
        <v>536</v>
      </c>
      <c r="B156" s="15">
        <v>30.5</v>
      </c>
    </row>
    <row r="157">
      <c r="A157" s="15" t="s">
        <v>537</v>
      </c>
      <c r="B157" s="15">
        <v>2.5</v>
      </c>
    </row>
    <row r="158">
      <c r="A158" s="15" t="s">
        <v>538</v>
      </c>
      <c r="B158" s="15">
        <v>14.0</v>
      </c>
    </row>
    <row r="159">
      <c r="A159" s="15" t="s">
        <v>539</v>
      </c>
      <c r="B159" s="15">
        <v>44.0</v>
      </c>
    </row>
    <row r="160">
      <c r="A160" s="15" t="s">
        <v>540</v>
      </c>
      <c r="B160" s="15">
        <v>16.0</v>
      </c>
    </row>
    <row r="161">
      <c r="A161" s="15" t="s">
        <v>541</v>
      </c>
      <c r="B161" s="15">
        <v>27.5</v>
      </c>
    </row>
    <row r="162">
      <c r="A162" s="15" t="s">
        <v>542</v>
      </c>
      <c r="B162" s="15">
        <v>16.0</v>
      </c>
    </row>
    <row r="163">
      <c r="A163" s="15" t="s">
        <v>543</v>
      </c>
      <c r="B163" s="15">
        <v>24.0</v>
      </c>
    </row>
    <row r="164">
      <c r="A164" s="15" t="s">
        <v>544</v>
      </c>
      <c r="B164" s="15">
        <v>22.5</v>
      </c>
    </row>
    <row r="165">
      <c r="A165" s="15" t="s">
        <v>545</v>
      </c>
      <c r="B165" s="15">
        <v>7.5</v>
      </c>
    </row>
    <row r="166">
      <c r="A166" s="15" t="s">
        <v>546</v>
      </c>
      <c r="B166" s="15">
        <v>14.0</v>
      </c>
    </row>
    <row r="167">
      <c r="A167" s="15" t="s">
        <v>547</v>
      </c>
      <c r="B167" s="15">
        <v>10.0</v>
      </c>
    </row>
    <row r="168">
      <c r="A168" s="15" t="s">
        <v>548</v>
      </c>
      <c r="B168" s="15">
        <v>11.5</v>
      </c>
    </row>
    <row r="169">
      <c r="A169" s="15" t="s">
        <v>549</v>
      </c>
      <c r="B169" s="15">
        <v>8.0</v>
      </c>
    </row>
    <row r="170">
      <c r="A170" s="15" t="s">
        <v>550</v>
      </c>
      <c r="B170" s="15">
        <v>20.0</v>
      </c>
    </row>
    <row r="171">
      <c r="A171" s="15" t="s">
        <v>551</v>
      </c>
      <c r="B171" s="15">
        <v>12.5</v>
      </c>
    </row>
    <row r="172">
      <c r="A172" s="15" t="s">
        <v>552</v>
      </c>
      <c r="B172" s="15">
        <v>12.5</v>
      </c>
    </row>
    <row r="173">
      <c r="A173" s="15" t="s">
        <v>553</v>
      </c>
      <c r="B173" s="15">
        <v>15.5</v>
      </c>
    </row>
    <row r="174">
      <c r="A174" s="15" t="s">
        <v>554</v>
      </c>
      <c r="B174" s="15">
        <v>18.5</v>
      </c>
    </row>
    <row r="175">
      <c r="A175" s="15" t="s">
        <v>555</v>
      </c>
      <c r="B175" s="15">
        <v>8.0</v>
      </c>
    </row>
    <row r="176">
      <c r="A176" s="15" t="s">
        <v>556</v>
      </c>
      <c r="B176" s="15">
        <v>27.5</v>
      </c>
    </row>
    <row r="177">
      <c r="A177" s="15" t="s">
        <v>557</v>
      </c>
      <c r="B177" s="15">
        <v>0.0</v>
      </c>
    </row>
    <row r="178">
      <c r="A178" s="15" t="s">
        <v>558</v>
      </c>
      <c r="B178" s="15">
        <v>2.5</v>
      </c>
    </row>
    <row r="179">
      <c r="A179" s="15" t="s">
        <v>559</v>
      </c>
      <c r="B179" s="15">
        <v>14.5</v>
      </c>
    </row>
    <row r="180">
      <c r="A180" s="15" t="s">
        <v>560</v>
      </c>
      <c r="B180" s="15">
        <v>20.0</v>
      </c>
    </row>
    <row r="181">
      <c r="A181" s="15" t="s">
        <v>561</v>
      </c>
      <c r="B181" s="15">
        <v>31.5</v>
      </c>
    </row>
    <row r="182">
      <c r="A182" s="15" t="s">
        <v>562</v>
      </c>
      <c r="B182" s="15">
        <v>0.0</v>
      </c>
    </row>
    <row r="183">
      <c r="A183" s="15" t="s">
        <v>563</v>
      </c>
      <c r="B183" s="15">
        <v>14.0</v>
      </c>
    </row>
    <row r="184">
      <c r="A184" s="15" t="s">
        <v>564</v>
      </c>
      <c r="B184" s="15">
        <v>10.0</v>
      </c>
    </row>
    <row r="185">
      <c r="A185" s="15" t="s">
        <v>565</v>
      </c>
      <c r="B185" s="15">
        <v>10.0</v>
      </c>
    </row>
    <row r="186">
      <c r="A186" s="15" t="s">
        <v>566</v>
      </c>
      <c r="B186" s="15">
        <v>9.5</v>
      </c>
    </row>
    <row r="187">
      <c r="A187" s="15" t="s">
        <v>567</v>
      </c>
      <c r="B187" s="15">
        <v>7.5</v>
      </c>
    </row>
    <row r="188">
      <c r="A188" s="15" t="s">
        <v>568</v>
      </c>
      <c r="B188" s="15">
        <v>14.0</v>
      </c>
    </row>
    <row r="189">
      <c r="A189" s="15" t="s">
        <v>569</v>
      </c>
      <c r="B189" s="15">
        <v>0.0</v>
      </c>
    </row>
    <row r="190">
      <c r="A190" s="15" t="s">
        <v>570</v>
      </c>
      <c r="B190" s="15">
        <v>4.0</v>
      </c>
    </row>
    <row r="191">
      <c r="A191" s="15" t="s">
        <v>571</v>
      </c>
      <c r="B191" s="15">
        <v>20.0</v>
      </c>
    </row>
    <row r="192">
      <c r="A192" s="15" t="s">
        <v>572</v>
      </c>
      <c r="B192" s="15">
        <v>7.0</v>
      </c>
    </row>
    <row r="193">
      <c r="A193" s="15" t="s">
        <v>573</v>
      </c>
      <c r="B193" s="15">
        <v>16.0</v>
      </c>
    </row>
    <row r="194">
      <c r="A194" s="15" t="s">
        <v>574</v>
      </c>
      <c r="B194" s="15">
        <v>18.0</v>
      </c>
    </row>
    <row r="195">
      <c r="A195" s="15" t="s">
        <v>575</v>
      </c>
      <c r="B195" s="15">
        <v>12.0</v>
      </c>
    </row>
    <row r="196">
      <c r="A196" s="15" t="s">
        <v>576</v>
      </c>
      <c r="B196" s="15">
        <v>18.0</v>
      </c>
    </row>
    <row r="197">
      <c r="A197" s="15" t="s">
        <v>577</v>
      </c>
      <c r="B197" s="15">
        <v>12.5</v>
      </c>
    </row>
    <row r="198">
      <c r="A198" s="15" t="s">
        <v>578</v>
      </c>
      <c r="B198" s="15">
        <v>8.0</v>
      </c>
    </row>
    <row r="199">
      <c r="A199" s="15" t="s">
        <v>579</v>
      </c>
      <c r="B199" s="15">
        <v>8.5</v>
      </c>
    </row>
    <row r="200">
      <c r="A200" s="15" t="s">
        <v>580</v>
      </c>
      <c r="B200" s="15">
        <v>7.5</v>
      </c>
    </row>
    <row r="201">
      <c r="A201" s="15" t="s">
        <v>581</v>
      </c>
      <c r="B201" s="15">
        <v>17.5</v>
      </c>
    </row>
    <row r="202">
      <c r="A202" s="15" t="s">
        <v>582</v>
      </c>
      <c r="B202" s="15">
        <v>10.0</v>
      </c>
    </row>
    <row r="203">
      <c r="A203" s="15" t="s">
        <v>583</v>
      </c>
      <c r="B203" s="15">
        <v>24.0</v>
      </c>
    </row>
    <row r="204">
      <c r="A204" s="15" t="s">
        <v>584</v>
      </c>
      <c r="B204" s="15">
        <v>15.0</v>
      </c>
    </row>
    <row r="205">
      <c r="A205" s="15" t="s">
        <v>585</v>
      </c>
      <c r="B205" s="15">
        <v>25.5</v>
      </c>
    </row>
    <row r="206">
      <c r="A206" s="15" t="s">
        <v>586</v>
      </c>
      <c r="B206" s="15">
        <v>0.0</v>
      </c>
    </row>
    <row r="207">
      <c r="A207" s="15" t="s">
        <v>587</v>
      </c>
      <c r="B207" s="15">
        <v>11.5</v>
      </c>
    </row>
    <row r="208">
      <c r="A208" s="15" t="s">
        <v>588</v>
      </c>
      <c r="B208" s="15">
        <v>10.5</v>
      </c>
    </row>
    <row r="209">
      <c r="A209" s="15" t="s">
        <v>589</v>
      </c>
      <c r="B209" s="15">
        <v>7.5</v>
      </c>
    </row>
    <row r="210">
      <c r="A210" s="15" t="s">
        <v>590</v>
      </c>
      <c r="B210" s="15">
        <v>7.0</v>
      </c>
    </row>
    <row r="211">
      <c r="A211" s="15" t="s">
        <v>591</v>
      </c>
      <c r="B211" s="15">
        <v>9.0</v>
      </c>
    </row>
    <row r="212">
      <c r="A212" s="15" t="s">
        <v>592</v>
      </c>
      <c r="B212" s="15">
        <v>14.5</v>
      </c>
    </row>
    <row r="213">
      <c r="A213" s="15" t="s">
        <v>593</v>
      </c>
      <c r="B213" s="15">
        <v>0.0</v>
      </c>
    </row>
    <row r="214">
      <c r="A214" s="15" t="s">
        <v>594</v>
      </c>
      <c r="B214" s="15">
        <v>0.0</v>
      </c>
    </row>
    <row r="215">
      <c r="A215" s="15" t="s">
        <v>595</v>
      </c>
      <c r="B215" s="15">
        <v>9.5</v>
      </c>
    </row>
    <row r="216">
      <c r="A216" s="15" t="s">
        <v>596</v>
      </c>
      <c r="B216" s="15">
        <v>22.5</v>
      </c>
    </row>
    <row r="217">
      <c r="A217" s="15" t="s">
        <v>597</v>
      </c>
      <c r="B217" s="15">
        <v>0.0</v>
      </c>
    </row>
    <row r="218">
      <c r="A218" s="15" t="s">
        <v>598</v>
      </c>
      <c r="B218" s="15">
        <v>9.5</v>
      </c>
    </row>
    <row r="219">
      <c r="A219" s="15" t="s">
        <v>599</v>
      </c>
      <c r="B219" s="15">
        <v>2.5</v>
      </c>
    </row>
    <row r="220">
      <c r="A220" s="15" t="s">
        <v>600</v>
      </c>
      <c r="B220" s="15">
        <v>12.5</v>
      </c>
    </row>
    <row r="221">
      <c r="A221" s="15" t="s">
        <v>601</v>
      </c>
      <c r="B221" s="15">
        <v>0.0</v>
      </c>
    </row>
    <row r="222">
      <c r="A222" s="15" t="s">
        <v>602</v>
      </c>
      <c r="B222" s="15">
        <v>11.0</v>
      </c>
    </row>
    <row r="223">
      <c r="A223" s="15" t="s">
        <v>603</v>
      </c>
      <c r="B223" s="15">
        <v>10.5</v>
      </c>
    </row>
    <row r="224">
      <c r="A224" s="15" t="s">
        <v>604</v>
      </c>
      <c r="B224" s="15">
        <v>15.5</v>
      </c>
    </row>
    <row r="225">
      <c r="A225" s="15" t="s">
        <v>605</v>
      </c>
      <c r="B225" s="15">
        <v>3.0</v>
      </c>
    </row>
    <row r="226">
      <c r="A226" s="15" t="s">
        <v>606</v>
      </c>
      <c r="B226" s="15">
        <v>7.5</v>
      </c>
    </row>
    <row r="227">
      <c r="A227" s="15" t="s">
        <v>607</v>
      </c>
      <c r="B227" s="15">
        <v>2.0</v>
      </c>
    </row>
    <row r="228">
      <c r="A228" s="15" t="s">
        <v>608</v>
      </c>
      <c r="B228" s="15">
        <v>8.0</v>
      </c>
    </row>
    <row r="229">
      <c r="A229" s="15" t="s">
        <v>609</v>
      </c>
      <c r="B229" s="15">
        <v>0.0</v>
      </c>
    </row>
    <row r="230">
      <c r="A230" s="15" t="s">
        <v>610</v>
      </c>
      <c r="B230" s="15">
        <v>7.0</v>
      </c>
    </row>
    <row r="231">
      <c r="A231" s="15" t="s">
        <v>611</v>
      </c>
      <c r="B231" s="15">
        <v>12.5</v>
      </c>
    </row>
    <row r="232">
      <c r="A232" s="15" t="s">
        <v>612</v>
      </c>
      <c r="B232" s="15">
        <v>19.5</v>
      </c>
    </row>
    <row r="233">
      <c r="A233" s="15" t="s">
        <v>613</v>
      </c>
      <c r="B233" s="15">
        <v>21.0</v>
      </c>
    </row>
    <row r="234">
      <c r="A234" s="15" t="s">
        <v>614</v>
      </c>
      <c r="B234" s="15">
        <v>15.5</v>
      </c>
    </row>
    <row r="235">
      <c r="A235" s="15" t="s">
        <v>615</v>
      </c>
      <c r="B235" s="15">
        <v>18.0</v>
      </c>
    </row>
    <row r="236">
      <c r="A236" s="15" t="s">
        <v>616</v>
      </c>
      <c r="B236" s="15">
        <v>19.5</v>
      </c>
    </row>
    <row r="237">
      <c r="A237" s="15" t="s">
        <v>617</v>
      </c>
      <c r="B237" s="15">
        <v>2.5</v>
      </c>
    </row>
    <row r="238">
      <c r="A238" s="15" t="s">
        <v>618</v>
      </c>
      <c r="B238" s="15">
        <v>0.0</v>
      </c>
    </row>
    <row r="239">
      <c r="A239" s="15" t="s">
        <v>619</v>
      </c>
      <c r="B239" s="15">
        <v>18.0</v>
      </c>
    </row>
    <row r="240">
      <c r="A240" s="15" t="s">
        <v>620</v>
      </c>
      <c r="B240" s="15">
        <v>20.0</v>
      </c>
    </row>
    <row r="241">
      <c r="A241" s="15" t="s">
        <v>621</v>
      </c>
      <c r="B241" s="15">
        <v>0.0</v>
      </c>
    </row>
    <row r="242">
      <c r="A242" s="15" t="s">
        <v>622</v>
      </c>
      <c r="B242" s="15">
        <v>12.0</v>
      </c>
    </row>
    <row r="243">
      <c r="A243" s="15" t="s">
        <v>623</v>
      </c>
      <c r="B243" s="15">
        <v>12.5</v>
      </c>
    </row>
    <row r="244">
      <c r="A244" s="15" t="s">
        <v>624</v>
      </c>
      <c r="B244" s="15">
        <v>13.5</v>
      </c>
    </row>
    <row r="245">
      <c r="A245" s="15" t="s">
        <v>625</v>
      </c>
      <c r="B245" s="15">
        <v>8.0</v>
      </c>
    </row>
    <row r="246">
      <c r="A246" s="15" t="s">
        <v>626</v>
      </c>
      <c r="B246" s="15">
        <v>18.5</v>
      </c>
    </row>
    <row r="247">
      <c r="A247" s="15" t="s">
        <v>627</v>
      </c>
      <c r="B247" s="15">
        <v>0.0</v>
      </c>
    </row>
    <row r="248">
      <c r="A248" s="15" t="s">
        <v>628</v>
      </c>
      <c r="B248" s="15">
        <v>21.0</v>
      </c>
    </row>
    <row r="249">
      <c r="A249" s="15" t="s">
        <v>629</v>
      </c>
      <c r="B249" s="15">
        <v>10.0</v>
      </c>
    </row>
    <row r="250">
      <c r="A250" s="15" t="s">
        <v>630</v>
      </c>
      <c r="B250" s="15">
        <v>11.5</v>
      </c>
    </row>
    <row r="251">
      <c r="A251" s="15" t="s">
        <v>631</v>
      </c>
      <c r="B251" s="15">
        <v>0.0</v>
      </c>
    </row>
    <row r="252">
      <c r="A252" s="15" t="s">
        <v>632</v>
      </c>
      <c r="B252" s="15">
        <v>0.0</v>
      </c>
    </row>
    <row r="253">
      <c r="A253" s="15" t="s">
        <v>633</v>
      </c>
      <c r="B253" s="15">
        <v>-2.5</v>
      </c>
    </row>
    <row r="254">
      <c r="A254" s="15" t="s">
        <v>634</v>
      </c>
      <c r="B254" s="15">
        <v>7.5</v>
      </c>
    </row>
    <row r="255">
      <c r="A255" s="15" t="s">
        <v>359</v>
      </c>
      <c r="B255" s="15">
        <v>57.0</v>
      </c>
    </row>
    <row r="256">
      <c r="A256" s="15" t="s">
        <v>358</v>
      </c>
      <c r="B256" s="15">
        <v>15.0</v>
      </c>
    </row>
    <row r="257">
      <c r="A257" s="15" t="s">
        <v>357</v>
      </c>
      <c r="B257" s="15">
        <v>20.0</v>
      </c>
    </row>
    <row r="258">
      <c r="A258" s="15" t="s">
        <v>356</v>
      </c>
      <c r="B258" s="15">
        <v>27.5</v>
      </c>
    </row>
    <row r="259">
      <c r="A259" s="15" t="s">
        <v>355</v>
      </c>
      <c r="B259" s="15">
        <v>10.0</v>
      </c>
    </row>
    <row r="260">
      <c r="A260" s="15" t="s">
        <v>354</v>
      </c>
      <c r="B260" s="15">
        <v>0.0</v>
      </c>
    </row>
    <row r="261">
      <c r="A261" s="15" t="s">
        <v>353</v>
      </c>
      <c r="B261" s="15">
        <v>0.0</v>
      </c>
    </row>
    <row r="262">
      <c r="A262" s="15" t="s">
        <v>352</v>
      </c>
      <c r="B262" s="15">
        <v>5.5</v>
      </c>
    </row>
    <row r="263">
      <c r="A263" s="15" t="s">
        <v>351</v>
      </c>
      <c r="B263" s="15">
        <v>5.5</v>
      </c>
    </row>
    <row r="264">
      <c r="A264" s="15" t="s">
        <v>350</v>
      </c>
      <c r="B264" s="15">
        <v>0.0</v>
      </c>
    </row>
    <row r="265">
      <c r="A265" s="15" t="s">
        <v>349</v>
      </c>
      <c r="B265" s="15">
        <v>7.5</v>
      </c>
    </row>
    <row r="266">
      <c r="A266" s="15" t="s">
        <v>348</v>
      </c>
      <c r="B266" s="15">
        <v>8.0</v>
      </c>
    </row>
    <row r="267">
      <c r="A267" s="15" t="s">
        <v>347</v>
      </c>
      <c r="B267" s="15">
        <v>4.0</v>
      </c>
    </row>
    <row r="268">
      <c r="A268" s="15" t="s">
        <v>346</v>
      </c>
      <c r="B268" s="15">
        <v>10.0</v>
      </c>
    </row>
    <row r="269">
      <c r="A269" s="15" t="s">
        <v>345</v>
      </c>
      <c r="B269" s="15">
        <v>17.5</v>
      </c>
    </row>
    <row r="270">
      <c r="A270" s="15" t="s">
        <v>344</v>
      </c>
      <c r="B270" s="15">
        <v>36.5</v>
      </c>
    </row>
    <row r="271">
      <c r="A271" s="15" t="s">
        <v>343</v>
      </c>
      <c r="B271" s="15">
        <v>29.0</v>
      </c>
    </row>
    <row r="272">
      <c r="A272" s="15" t="s">
        <v>342</v>
      </c>
      <c r="B272" s="15">
        <v>0.0</v>
      </c>
    </row>
    <row r="273">
      <c r="A273" s="15" t="s">
        <v>341</v>
      </c>
      <c r="B273" s="15">
        <v>57.0</v>
      </c>
    </row>
    <row r="274">
      <c r="A274" s="15" t="s">
        <v>340</v>
      </c>
      <c r="B274" s="15">
        <v>30.0</v>
      </c>
    </row>
    <row r="275">
      <c r="A275" s="15" t="s">
        <v>339</v>
      </c>
      <c r="B275" s="15">
        <v>0.0</v>
      </c>
    </row>
    <row r="276">
      <c r="A276" s="15" t="s">
        <v>338</v>
      </c>
      <c r="B276" s="15">
        <v>28.0</v>
      </c>
    </row>
    <row r="277">
      <c r="A277" s="15" t="s">
        <v>337</v>
      </c>
      <c r="B277" s="15">
        <v>17.5</v>
      </c>
    </row>
    <row r="278">
      <c r="A278" s="15" t="s">
        <v>336</v>
      </c>
      <c r="B278" s="15">
        <v>7.5</v>
      </c>
    </row>
    <row r="279">
      <c r="A279" s="15" t="s">
        <v>335</v>
      </c>
      <c r="B279" s="15">
        <v>0.0</v>
      </c>
    </row>
    <row r="280">
      <c r="A280" s="15" t="s">
        <v>334</v>
      </c>
      <c r="B280" s="15">
        <v>61.5</v>
      </c>
    </row>
    <row r="281">
      <c r="A281" s="15" t="s">
        <v>333</v>
      </c>
      <c r="B281" s="15">
        <v>0.0</v>
      </c>
    </row>
    <row r="282">
      <c r="A282" s="15" t="s">
        <v>332</v>
      </c>
      <c r="B282" s="15">
        <v>9.5</v>
      </c>
    </row>
    <row r="283">
      <c r="A283" s="15" t="s">
        <v>331</v>
      </c>
      <c r="B283" s="15">
        <v>0.0</v>
      </c>
    </row>
    <row r="284">
      <c r="A284" s="15" t="s">
        <v>330</v>
      </c>
      <c r="B284" s="15">
        <v>3.5</v>
      </c>
    </row>
    <row r="285">
      <c r="A285" s="15" t="s">
        <v>329</v>
      </c>
      <c r="B285" s="15">
        <v>60.5</v>
      </c>
    </row>
    <row r="286">
      <c r="A286" s="15" t="s">
        <v>328</v>
      </c>
      <c r="B286" s="15">
        <v>52.5</v>
      </c>
    </row>
    <row r="287">
      <c r="A287" s="15" t="s">
        <v>327</v>
      </c>
      <c r="B287" s="15">
        <v>37.5</v>
      </c>
    </row>
    <row r="288">
      <c r="A288" s="15" t="s">
        <v>326</v>
      </c>
      <c r="B288" s="15">
        <v>18.0</v>
      </c>
    </row>
    <row r="289">
      <c r="A289" s="15" t="s">
        <v>325</v>
      </c>
      <c r="B289" s="15">
        <v>5.5</v>
      </c>
    </row>
    <row r="290">
      <c r="A290" s="15" t="s">
        <v>324</v>
      </c>
      <c r="B290" s="15">
        <v>4.5</v>
      </c>
    </row>
    <row r="291">
      <c r="A291" s="15" t="s">
        <v>323</v>
      </c>
      <c r="B291" s="15">
        <v>22.5</v>
      </c>
    </row>
    <row r="292">
      <c r="A292" s="15" t="s">
        <v>322</v>
      </c>
      <c r="B292" s="15">
        <v>25.0</v>
      </c>
    </row>
    <row r="293">
      <c r="A293" s="15" t="s">
        <v>321</v>
      </c>
      <c r="B293" s="15">
        <v>22.5</v>
      </c>
    </row>
    <row r="294">
      <c r="A294" s="15" t="s">
        <v>320</v>
      </c>
      <c r="B294" s="15">
        <v>13.5</v>
      </c>
    </row>
    <row r="295">
      <c r="A295" s="15" t="s">
        <v>319</v>
      </c>
      <c r="B295" s="15">
        <v>29.0</v>
      </c>
    </row>
    <row r="296">
      <c r="A296" s="15" t="s">
        <v>318</v>
      </c>
      <c r="B296" s="15">
        <v>32.5</v>
      </c>
    </row>
    <row r="297">
      <c r="A297" s="15" t="s">
        <v>317</v>
      </c>
      <c r="B297" s="15">
        <v>35.5</v>
      </c>
    </row>
    <row r="298">
      <c r="A298" s="15" t="s">
        <v>316</v>
      </c>
      <c r="B298" s="15">
        <v>17.5</v>
      </c>
    </row>
    <row r="299">
      <c r="A299" s="15" t="s">
        <v>315</v>
      </c>
      <c r="B299" s="15">
        <v>47.0</v>
      </c>
    </row>
    <row r="300">
      <c r="A300" s="15" t="s">
        <v>314</v>
      </c>
      <c r="B300" s="15">
        <v>16.0</v>
      </c>
    </row>
    <row r="301">
      <c r="A301" s="15" t="s">
        <v>313</v>
      </c>
      <c r="B301" s="15">
        <v>17.5</v>
      </c>
    </row>
    <row r="302">
      <c r="A302" s="15" t="s">
        <v>312</v>
      </c>
      <c r="B302" s="15">
        <v>30.0</v>
      </c>
    </row>
    <row r="303">
      <c r="A303" s="15" t="s">
        <v>311</v>
      </c>
      <c r="B303" s="15">
        <v>12.0</v>
      </c>
    </row>
    <row r="304">
      <c r="A304" s="15" t="s">
        <v>310</v>
      </c>
      <c r="B304" s="15">
        <v>18.5</v>
      </c>
    </row>
    <row r="305">
      <c r="A305" s="15" t="s">
        <v>309</v>
      </c>
      <c r="B305" s="15">
        <v>12.0</v>
      </c>
    </row>
    <row r="306">
      <c r="A306" s="15" t="s">
        <v>308</v>
      </c>
      <c r="B306" s="15">
        <v>27.5</v>
      </c>
    </row>
    <row r="307">
      <c r="A307" s="15" t="s">
        <v>307</v>
      </c>
      <c r="B307" s="15">
        <v>17.5</v>
      </c>
    </row>
    <row r="308">
      <c r="A308" s="15" t="s">
        <v>306</v>
      </c>
      <c r="B308" s="15">
        <v>22.5</v>
      </c>
    </row>
    <row r="309">
      <c r="A309" s="15" t="s">
        <v>305</v>
      </c>
      <c r="B309" s="15">
        <v>18.0</v>
      </c>
    </row>
    <row r="310">
      <c r="A310" s="15" t="s">
        <v>304</v>
      </c>
      <c r="B310" s="15">
        <v>3.0</v>
      </c>
    </row>
    <row r="311">
      <c r="A311" s="15" t="s">
        <v>303</v>
      </c>
      <c r="B311" s="15">
        <v>35.5</v>
      </c>
    </row>
    <row r="312">
      <c r="A312" s="15" t="s">
        <v>302</v>
      </c>
      <c r="B312" s="15">
        <v>0.0</v>
      </c>
    </row>
    <row r="313">
      <c r="A313" s="15" t="s">
        <v>301</v>
      </c>
      <c r="B313" s="15">
        <v>12.5</v>
      </c>
    </row>
    <row r="314">
      <c r="A314" s="15" t="s">
        <v>300</v>
      </c>
      <c r="B314" s="15">
        <v>18.5</v>
      </c>
    </row>
    <row r="315">
      <c r="A315" s="15" t="s">
        <v>299</v>
      </c>
      <c r="B315" s="15">
        <v>10.5</v>
      </c>
    </row>
    <row r="316">
      <c r="A316" s="15" t="s">
        <v>298</v>
      </c>
      <c r="B316" s="15">
        <v>47.5</v>
      </c>
    </row>
    <row r="317">
      <c r="A317" s="15" t="s">
        <v>297</v>
      </c>
      <c r="B317" s="15">
        <v>20.0</v>
      </c>
    </row>
    <row r="318">
      <c r="A318" s="15" t="s">
        <v>296</v>
      </c>
      <c r="B318" s="15">
        <v>15.5</v>
      </c>
    </row>
    <row r="319">
      <c r="A319" s="15" t="s">
        <v>295</v>
      </c>
      <c r="B319" s="15">
        <v>13.0</v>
      </c>
    </row>
    <row r="320">
      <c r="A320" s="15" t="s">
        <v>294</v>
      </c>
      <c r="B320" s="15">
        <v>-2.5</v>
      </c>
    </row>
    <row r="321">
      <c r="A321" s="15" t="s">
        <v>293</v>
      </c>
      <c r="B321" s="15">
        <v>12.5</v>
      </c>
    </row>
    <row r="322">
      <c r="A322" s="15" t="s">
        <v>292</v>
      </c>
      <c r="B322" s="15">
        <v>16.5</v>
      </c>
    </row>
    <row r="323">
      <c r="A323" s="15" t="s">
        <v>291</v>
      </c>
      <c r="B323" s="15">
        <v>7.0</v>
      </c>
    </row>
    <row r="324">
      <c r="A324" s="15" t="s">
        <v>290</v>
      </c>
      <c r="B324" s="15">
        <v>21.5</v>
      </c>
    </row>
    <row r="325">
      <c r="A325" s="15" t="s">
        <v>289</v>
      </c>
      <c r="B325" s="15">
        <v>0.0</v>
      </c>
    </row>
    <row r="326">
      <c r="A326" s="15" t="s">
        <v>288</v>
      </c>
      <c r="B326" s="15">
        <v>40.0</v>
      </c>
    </row>
    <row r="327">
      <c r="A327" s="15" t="s">
        <v>287</v>
      </c>
      <c r="B327" s="15">
        <v>34.5</v>
      </c>
    </row>
    <row r="328">
      <c r="A328" s="15" t="s">
        <v>286</v>
      </c>
      <c r="B328" s="15">
        <v>4.5</v>
      </c>
    </row>
    <row r="329">
      <c r="A329" s="15" t="s">
        <v>285</v>
      </c>
      <c r="B329" s="15">
        <v>7.5</v>
      </c>
    </row>
    <row r="330">
      <c r="A330" s="15" t="s">
        <v>284</v>
      </c>
      <c r="B330" s="15">
        <v>0.0</v>
      </c>
    </row>
    <row r="331">
      <c r="A331" s="15" t="s">
        <v>283</v>
      </c>
      <c r="B331" s="15">
        <v>0.0</v>
      </c>
    </row>
    <row r="332">
      <c r="A332" s="15" t="s">
        <v>282</v>
      </c>
      <c r="B332" s="15">
        <v>15.0</v>
      </c>
    </row>
    <row r="333">
      <c r="A333" s="15" t="s">
        <v>281</v>
      </c>
      <c r="B333" s="15">
        <v>13.5</v>
      </c>
    </row>
    <row r="334">
      <c r="A334" s="15" t="s">
        <v>280</v>
      </c>
      <c r="B334" s="15">
        <v>23.0</v>
      </c>
    </row>
    <row r="335">
      <c r="A335" s="15" t="s">
        <v>279</v>
      </c>
      <c r="B335" s="15">
        <v>6.0</v>
      </c>
    </row>
    <row r="336">
      <c r="A336" s="15" t="s">
        <v>278</v>
      </c>
      <c r="B336" s="15">
        <v>15.0</v>
      </c>
    </row>
    <row r="337">
      <c r="A337" s="15" t="s">
        <v>277</v>
      </c>
      <c r="B337" s="15">
        <v>6.5</v>
      </c>
    </row>
    <row r="338">
      <c r="A338" s="15" t="s">
        <v>276</v>
      </c>
      <c r="B338" s="15">
        <v>0.0</v>
      </c>
    </row>
    <row r="339">
      <c r="A339" s="15" t="s">
        <v>275</v>
      </c>
      <c r="B339" s="15">
        <v>12.0</v>
      </c>
    </row>
    <row r="340">
      <c r="A340" s="15" t="s">
        <v>274</v>
      </c>
      <c r="B340" s="15">
        <v>1.0</v>
      </c>
    </row>
    <row r="341">
      <c r="A341" s="15" t="s">
        <v>273</v>
      </c>
      <c r="B341" s="15">
        <v>20.0</v>
      </c>
    </row>
    <row r="342">
      <c r="A342" s="15" t="s">
        <v>272</v>
      </c>
      <c r="B342" s="15">
        <v>19.0</v>
      </c>
    </row>
    <row r="343">
      <c r="A343" s="15" t="s">
        <v>271</v>
      </c>
      <c r="B343" s="15">
        <v>18.5</v>
      </c>
    </row>
    <row r="344">
      <c r="A344" s="15" t="s">
        <v>270</v>
      </c>
      <c r="B344" s="15">
        <v>26.0</v>
      </c>
    </row>
    <row r="345">
      <c r="A345" s="15" t="s">
        <v>269</v>
      </c>
      <c r="B345" s="15">
        <v>9.0</v>
      </c>
    </row>
    <row r="346">
      <c r="A346" s="15" t="s">
        <v>268</v>
      </c>
      <c r="B346" s="15">
        <v>17.5</v>
      </c>
    </row>
    <row r="347">
      <c r="A347" s="15" t="s">
        <v>267</v>
      </c>
      <c r="B347" s="15">
        <v>23.0</v>
      </c>
    </row>
    <row r="348">
      <c r="A348" s="15" t="s">
        <v>266</v>
      </c>
      <c r="B348" s="15">
        <v>15.0</v>
      </c>
    </row>
    <row r="349">
      <c r="A349" s="15" t="s">
        <v>265</v>
      </c>
      <c r="B349" s="15">
        <v>9.5</v>
      </c>
    </row>
    <row r="350">
      <c r="A350" s="15" t="s">
        <v>264</v>
      </c>
      <c r="B350" s="15">
        <v>17.5</v>
      </c>
    </row>
    <row r="351">
      <c r="A351" s="15" t="s">
        <v>263</v>
      </c>
      <c r="B351" s="15">
        <v>9.0</v>
      </c>
    </row>
    <row r="352">
      <c r="A352" s="15" t="s">
        <v>262</v>
      </c>
      <c r="B352" s="15">
        <v>17.5</v>
      </c>
    </row>
    <row r="353">
      <c r="A353" s="15" t="s">
        <v>261</v>
      </c>
      <c r="B353" s="15">
        <v>30.0</v>
      </c>
    </row>
    <row r="354">
      <c r="A354" s="15" t="s">
        <v>260</v>
      </c>
      <c r="B354" s="15">
        <v>22.5</v>
      </c>
    </row>
    <row r="355">
      <c r="A355" s="15" t="s">
        <v>259</v>
      </c>
      <c r="B355" s="15">
        <v>48.0</v>
      </c>
    </row>
    <row r="356">
      <c r="A356" s="15" t="s">
        <v>258</v>
      </c>
      <c r="B356" s="15">
        <v>12.0</v>
      </c>
    </row>
    <row r="357">
      <c r="A357" s="15" t="s">
        <v>257</v>
      </c>
      <c r="B357" s="15">
        <v>14.5</v>
      </c>
    </row>
    <row r="358">
      <c r="A358" s="15" t="s">
        <v>256</v>
      </c>
      <c r="B358" s="15">
        <v>25.0</v>
      </c>
    </row>
    <row r="359">
      <c r="A359" s="15" t="s">
        <v>255</v>
      </c>
      <c r="B359" s="15">
        <v>16.5</v>
      </c>
    </row>
    <row r="360">
      <c r="A360" s="15" t="s">
        <v>254</v>
      </c>
      <c r="B360" s="15">
        <v>12.0</v>
      </c>
    </row>
    <row r="361">
      <c r="A361" s="15" t="s">
        <v>252</v>
      </c>
      <c r="B361" s="15">
        <v>32.0</v>
      </c>
    </row>
    <row r="362">
      <c r="A362" s="15" t="s">
        <v>251</v>
      </c>
      <c r="B362" s="15">
        <v>28.0</v>
      </c>
    </row>
    <row r="363">
      <c r="A363" s="15" t="s">
        <v>250</v>
      </c>
      <c r="B363" s="15">
        <v>65.5</v>
      </c>
    </row>
    <row r="364">
      <c r="A364" s="15" t="s">
        <v>249</v>
      </c>
      <c r="B364" s="15">
        <v>15.5</v>
      </c>
    </row>
    <row r="365">
      <c r="A365" s="15" t="s">
        <v>248</v>
      </c>
      <c r="B365" s="15">
        <v>21.0</v>
      </c>
    </row>
    <row r="366">
      <c r="A366" s="15" t="s">
        <v>247</v>
      </c>
      <c r="B366" s="15">
        <v>73.0</v>
      </c>
    </row>
    <row r="367">
      <c r="A367" s="15" t="s">
        <v>246</v>
      </c>
      <c r="B367" s="15">
        <v>19.0</v>
      </c>
    </row>
    <row r="368">
      <c r="A368" s="15" t="s">
        <v>245</v>
      </c>
      <c r="B368" s="15">
        <v>10.5</v>
      </c>
    </row>
    <row r="369">
      <c r="A369" s="15" t="s">
        <v>244</v>
      </c>
      <c r="B369" s="15">
        <v>0.0</v>
      </c>
    </row>
    <row r="370">
      <c r="A370" s="15" t="s">
        <v>243</v>
      </c>
      <c r="B370" s="15">
        <v>18.0</v>
      </c>
    </row>
    <row r="371">
      <c r="A371" s="15" t="s">
        <v>242</v>
      </c>
      <c r="B371" s="15">
        <v>8.5</v>
      </c>
    </row>
    <row r="372">
      <c r="A372" s="15" t="s">
        <v>241</v>
      </c>
      <c r="B372" s="15">
        <v>13.0</v>
      </c>
    </row>
    <row r="373">
      <c r="A373" s="15" t="s">
        <v>240</v>
      </c>
      <c r="B373" s="15">
        <v>0.0</v>
      </c>
    </row>
    <row r="374">
      <c r="A374" s="15" t="s">
        <v>239</v>
      </c>
      <c r="B374" s="15">
        <v>9.5</v>
      </c>
    </row>
    <row r="375">
      <c r="A375" s="15" t="s">
        <v>238</v>
      </c>
      <c r="B375" s="15">
        <v>10.5</v>
      </c>
    </row>
    <row r="376">
      <c r="A376" s="15" t="s">
        <v>237</v>
      </c>
      <c r="B376" s="15">
        <v>19.0</v>
      </c>
    </row>
    <row r="377">
      <c r="A377" s="15" t="s">
        <v>236</v>
      </c>
      <c r="B377" s="15">
        <v>51.5</v>
      </c>
    </row>
    <row r="378">
      <c r="A378" s="15" t="s">
        <v>235</v>
      </c>
      <c r="B378" s="15">
        <v>10.5</v>
      </c>
    </row>
    <row r="379">
      <c r="A379" s="15" t="s">
        <v>234</v>
      </c>
      <c r="B379" s="15">
        <v>0.0</v>
      </c>
    </row>
    <row r="380">
      <c r="A380" s="15" t="s">
        <v>233</v>
      </c>
      <c r="B380" s="15">
        <v>0.0</v>
      </c>
    </row>
    <row r="381">
      <c r="A381" s="15" t="s">
        <v>232</v>
      </c>
      <c r="B381" s="15">
        <v>18.5</v>
      </c>
    </row>
    <row r="382">
      <c r="A382" s="15" t="s">
        <v>231</v>
      </c>
      <c r="B382" s="15">
        <v>8.5</v>
      </c>
    </row>
    <row r="383">
      <c r="A383" s="15" t="s">
        <v>230</v>
      </c>
      <c r="B383" s="15">
        <v>7.5</v>
      </c>
    </row>
    <row r="384">
      <c r="A384" s="15" t="s">
        <v>229</v>
      </c>
      <c r="B384" s="15">
        <v>32.5</v>
      </c>
    </row>
    <row r="385">
      <c r="A385" s="15" t="s">
        <v>228</v>
      </c>
      <c r="B385" s="15">
        <v>39.0</v>
      </c>
    </row>
    <row r="386">
      <c r="A386" s="15" t="s">
        <v>227</v>
      </c>
      <c r="B386" s="15">
        <v>12.5</v>
      </c>
    </row>
    <row r="387">
      <c r="A387" s="15" t="s">
        <v>226</v>
      </c>
      <c r="B387" s="15">
        <v>33.5</v>
      </c>
    </row>
    <row r="388">
      <c r="A388" s="15" t="s">
        <v>225</v>
      </c>
      <c r="B388" s="15">
        <v>6.0</v>
      </c>
    </row>
    <row r="389">
      <c r="A389" s="15" t="s">
        <v>224</v>
      </c>
      <c r="B389" s="15">
        <v>25.0</v>
      </c>
    </row>
    <row r="390">
      <c r="A390" s="15" t="s">
        <v>223</v>
      </c>
      <c r="B390" s="15">
        <v>33.0</v>
      </c>
    </row>
    <row r="391">
      <c r="A391" s="15" t="s">
        <v>222</v>
      </c>
      <c r="B391" s="15">
        <v>16.5</v>
      </c>
    </row>
    <row r="392">
      <c r="A392" s="15" t="s">
        <v>221</v>
      </c>
      <c r="B392" s="15">
        <v>3.0</v>
      </c>
    </row>
    <row r="393">
      <c r="A393" s="15" t="s">
        <v>220</v>
      </c>
      <c r="B393" s="15">
        <v>0.0</v>
      </c>
    </row>
    <row r="394">
      <c r="A394" s="15" t="s">
        <v>219</v>
      </c>
      <c r="B394" s="15">
        <v>22.0</v>
      </c>
    </row>
    <row r="395">
      <c r="A395" s="15" t="s">
        <v>218</v>
      </c>
      <c r="B395" s="15">
        <v>20.0</v>
      </c>
    </row>
    <row r="396">
      <c r="A396" s="15" t="s">
        <v>217</v>
      </c>
      <c r="B396" s="15">
        <v>17.5</v>
      </c>
    </row>
    <row r="397">
      <c r="A397" s="15" t="s">
        <v>216</v>
      </c>
      <c r="B397" s="15">
        <v>53.0</v>
      </c>
    </row>
    <row r="398">
      <c r="A398" s="15" t="s">
        <v>215</v>
      </c>
      <c r="B398" s="15">
        <v>7.5</v>
      </c>
    </row>
    <row r="399">
      <c r="A399" s="15" t="s">
        <v>214</v>
      </c>
      <c r="B399" s="15">
        <v>34.5</v>
      </c>
    </row>
    <row r="400">
      <c r="A400" s="15" t="s">
        <v>213</v>
      </c>
      <c r="B400" s="15">
        <v>0.0</v>
      </c>
    </row>
    <row r="401">
      <c r="A401" s="15" t="s">
        <v>212</v>
      </c>
      <c r="B401" s="15">
        <v>32.5</v>
      </c>
    </row>
    <row r="402">
      <c r="A402" s="15" t="s">
        <v>211</v>
      </c>
      <c r="B402" s="15">
        <v>14.0</v>
      </c>
    </row>
    <row r="403">
      <c r="A403" s="15" t="s">
        <v>210</v>
      </c>
      <c r="B403" s="15">
        <v>46.5</v>
      </c>
    </row>
    <row r="404">
      <c r="A404" s="15" t="s">
        <v>209</v>
      </c>
      <c r="B404" s="15">
        <v>12.5</v>
      </c>
    </row>
    <row r="405">
      <c r="A405" s="15" t="s">
        <v>208</v>
      </c>
      <c r="B405" s="15">
        <v>24.5</v>
      </c>
    </row>
    <row r="406">
      <c r="A406" s="15" t="s">
        <v>207</v>
      </c>
      <c r="B406" s="15">
        <v>25.0</v>
      </c>
    </row>
    <row r="407">
      <c r="A407" s="15" t="s">
        <v>206</v>
      </c>
      <c r="B407" s="15">
        <v>30.5</v>
      </c>
    </row>
    <row r="408">
      <c r="A408" s="15" t="s">
        <v>205</v>
      </c>
      <c r="B408" s="15">
        <v>36.0</v>
      </c>
    </row>
    <row r="409">
      <c r="A409" s="15" t="s">
        <v>204</v>
      </c>
      <c r="B409" s="15">
        <v>40.0</v>
      </c>
    </row>
    <row r="410">
      <c r="A410" s="15" t="s">
        <v>203</v>
      </c>
      <c r="B410" s="15">
        <v>49.5</v>
      </c>
    </row>
    <row r="411">
      <c r="A411" s="15" t="s">
        <v>202</v>
      </c>
      <c r="B411" s="15">
        <v>7.5</v>
      </c>
    </row>
    <row r="412">
      <c r="A412" s="15" t="s">
        <v>201</v>
      </c>
      <c r="B412" s="15">
        <v>20.0</v>
      </c>
    </row>
    <row r="413">
      <c r="A413" s="15" t="s">
        <v>200</v>
      </c>
      <c r="B413" s="15">
        <v>0.0</v>
      </c>
    </row>
    <row r="414">
      <c r="A414" s="15" t="s">
        <v>199</v>
      </c>
      <c r="B414" s="15">
        <v>12.5</v>
      </c>
    </row>
    <row r="415">
      <c r="A415" s="15" t="s">
        <v>198</v>
      </c>
      <c r="B415" s="15">
        <v>2.0</v>
      </c>
    </row>
    <row r="416">
      <c r="A416" s="15" t="s">
        <v>197</v>
      </c>
      <c r="B416" s="15">
        <v>22.0</v>
      </c>
    </row>
    <row r="417">
      <c r="A417" s="15" t="s">
        <v>196</v>
      </c>
      <c r="B417" s="15">
        <v>14.5</v>
      </c>
    </row>
    <row r="418">
      <c r="A418" s="15" t="s">
        <v>195</v>
      </c>
      <c r="B418" s="15">
        <v>26.0</v>
      </c>
    </row>
    <row r="419">
      <c r="A419" s="15" t="s">
        <v>194</v>
      </c>
      <c r="B419" s="15">
        <v>54.5</v>
      </c>
    </row>
    <row r="420">
      <c r="A420" s="15" t="s">
        <v>193</v>
      </c>
      <c r="B420" s="15">
        <v>67.0</v>
      </c>
    </row>
    <row r="421">
      <c r="A421" s="15" t="s">
        <v>192</v>
      </c>
      <c r="B421" s="15">
        <v>29.0</v>
      </c>
    </row>
    <row r="422">
      <c r="A422" s="15" t="s">
        <v>191</v>
      </c>
      <c r="B422" s="15">
        <v>21.5</v>
      </c>
    </row>
    <row r="423">
      <c r="A423" s="15" t="s">
        <v>190</v>
      </c>
      <c r="B423" s="15">
        <v>10.0</v>
      </c>
    </row>
    <row r="424">
      <c r="A424" s="15" t="s">
        <v>189</v>
      </c>
      <c r="B424" s="15">
        <v>53.5</v>
      </c>
    </row>
    <row r="425">
      <c r="A425" s="15" t="s">
        <v>188</v>
      </c>
      <c r="B425" s="15">
        <v>26.5</v>
      </c>
    </row>
    <row r="426">
      <c r="A426" s="15" t="s">
        <v>187</v>
      </c>
      <c r="B426" s="15">
        <v>12.5</v>
      </c>
    </row>
    <row r="427">
      <c r="A427" s="15" t="s">
        <v>186</v>
      </c>
      <c r="B427" s="15">
        <v>26.5</v>
      </c>
    </row>
    <row r="428">
      <c r="A428" s="15" t="s">
        <v>185</v>
      </c>
      <c r="B428" s="15">
        <v>0.0</v>
      </c>
    </row>
    <row r="429">
      <c r="A429" s="15" t="s">
        <v>184</v>
      </c>
      <c r="B429" s="15">
        <v>16.0</v>
      </c>
    </row>
    <row r="430">
      <c r="A430" s="15" t="s">
        <v>183</v>
      </c>
      <c r="B430" s="15">
        <v>16.5</v>
      </c>
    </row>
    <row r="431">
      <c r="A431" s="15" t="s">
        <v>182</v>
      </c>
      <c r="B431" s="15">
        <v>12.5</v>
      </c>
    </row>
    <row r="432">
      <c r="A432" s="15" t="s">
        <v>181</v>
      </c>
      <c r="B432" s="15">
        <v>13.5</v>
      </c>
    </row>
    <row r="433">
      <c r="A433" s="15" t="s">
        <v>180</v>
      </c>
      <c r="B433" s="15">
        <v>20.0</v>
      </c>
    </row>
    <row r="434">
      <c r="A434" s="15" t="s">
        <v>179</v>
      </c>
      <c r="B434" s="15">
        <v>23.0</v>
      </c>
    </row>
    <row r="435">
      <c r="A435" s="15" t="s">
        <v>178</v>
      </c>
      <c r="B435" s="15">
        <v>26.0</v>
      </c>
    </row>
    <row r="436">
      <c r="A436" s="15" t="s">
        <v>177</v>
      </c>
      <c r="B436" s="15">
        <v>0.0</v>
      </c>
    </row>
    <row r="437">
      <c r="A437" s="15" t="s">
        <v>176</v>
      </c>
      <c r="B437" s="15">
        <v>0.0</v>
      </c>
    </row>
    <row r="438">
      <c r="A438" s="15" t="s">
        <v>175</v>
      </c>
      <c r="B438" s="15">
        <v>46.5</v>
      </c>
    </row>
    <row r="439">
      <c r="A439" s="15" t="s">
        <v>174</v>
      </c>
      <c r="B439" s="15">
        <v>46.0</v>
      </c>
    </row>
    <row r="440">
      <c r="A440" s="15" t="s">
        <v>173</v>
      </c>
      <c r="B440" s="15">
        <v>17.0</v>
      </c>
    </row>
    <row r="441">
      <c r="A441" s="15" t="s">
        <v>172</v>
      </c>
      <c r="B441" s="15">
        <v>31.0</v>
      </c>
    </row>
    <row r="442">
      <c r="A442" s="15" t="s">
        <v>171</v>
      </c>
      <c r="B442" s="15">
        <v>22.5</v>
      </c>
    </row>
    <row r="443">
      <c r="A443" s="15" t="s">
        <v>170</v>
      </c>
      <c r="B443" s="15">
        <v>16.5</v>
      </c>
    </row>
    <row r="444">
      <c r="A444" s="15" t="s">
        <v>169</v>
      </c>
      <c r="B444" s="15">
        <v>14.0</v>
      </c>
    </row>
    <row r="445">
      <c r="A445" s="15" t="s">
        <v>168</v>
      </c>
      <c r="B445" s="15">
        <v>52.5</v>
      </c>
    </row>
    <row r="446">
      <c r="A446" s="15" t="s">
        <v>167</v>
      </c>
      <c r="B446" s="15">
        <v>15.0</v>
      </c>
    </row>
    <row r="447">
      <c r="A447" s="15" t="s">
        <v>166</v>
      </c>
      <c r="B447" s="15">
        <v>22.0</v>
      </c>
    </row>
    <row r="448">
      <c r="A448" s="15" t="s">
        <v>165</v>
      </c>
      <c r="B448" s="15">
        <v>42.0</v>
      </c>
    </row>
    <row r="449">
      <c r="A449" s="15" t="s">
        <v>164</v>
      </c>
      <c r="B449" s="15">
        <v>9.5</v>
      </c>
    </row>
    <row r="450">
      <c r="A450" s="15" t="s">
        <v>163</v>
      </c>
      <c r="B450" s="15">
        <v>15.0</v>
      </c>
    </row>
    <row r="451">
      <c r="A451" s="15" t="s">
        <v>162</v>
      </c>
      <c r="B451" s="15">
        <v>25.0</v>
      </c>
    </row>
    <row r="452">
      <c r="A452" s="15" t="s">
        <v>161</v>
      </c>
      <c r="B452" s="15">
        <v>14.5</v>
      </c>
    </row>
    <row r="453">
      <c r="A453" s="15" t="s">
        <v>160</v>
      </c>
      <c r="B453" s="15">
        <v>25.0</v>
      </c>
    </row>
    <row r="454">
      <c r="A454" s="15" t="s">
        <v>159</v>
      </c>
      <c r="B454" s="15">
        <v>28.0</v>
      </c>
    </row>
    <row r="455">
      <c r="A455" s="15" t="s">
        <v>158</v>
      </c>
      <c r="B455" s="15">
        <v>13.0</v>
      </c>
    </row>
    <row r="456">
      <c r="A456" s="15" t="s">
        <v>157</v>
      </c>
      <c r="B456" s="15">
        <v>-3.5</v>
      </c>
    </row>
    <row r="457">
      <c r="A457" s="15" t="s">
        <v>156</v>
      </c>
      <c r="B457" s="15">
        <v>29.5</v>
      </c>
    </row>
    <row r="458">
      <c r="A458" s="15" t="s">
        <v>155</v>
      </c>
      <c r="B458" s="15">
        <v>3.5</v>
      </c>
    </row>
    <row r="459">
      <c r="A459" s="15" t="s">
        <v>154</v>
      </c>
      <c r="B459" s="15">
        <v>7.0</v>
      </c>
    </row>
    <row r="460">
      <c r="A460" s="15" t="s">
        <v>153</v>
      </c>
      <c r="B460" s="15">
        <v>1.5</v>
      </c>
    </row>
    <row r="461">
      <c r="A461" s="15" t="s">
        <v>152</v>
      </c>
      <c r="B461" s="15">
        <v>19.5</v>
      </c>
    </row>
    <row r="462">
      <c r="A462" s="15" t="s">
        <v>151</v>
      </c>
      <c r="B462" s="15">
        <v>0.0</v>
      </c>
    </row>
    <row r="463">
      <c r="A463" s="15" t="s">
        <v>150</v>
      </c>
      <c r="B463" s="15">
        <v>15.0</v>
      </c>
    </row>
    <row r="464">
      <c r="A464" s="15" t="s">
        <v>149</v>
      </c>
      <c r="B464" s="15">
        <v>0.0</v>
      </c>
    </row>
    <row r="465">
      <c r="A465" s="15" t="s">
        <v>148</v>
      </c>
      <c r="B465" s="15">
        <v>10.5</v>
      </c>
    </row>
    <row r="466">
      <c r="A466" s="15" t="s">
        <v>147</v>
      </c>
      <c r="B466" s="15">
        <v>25.5</v>
      </c>
    </row>
    <row r="467">
      <c r="A467" s="15" t="s">
        <v>146</v>
      </c>
      <c r="B467" s="15">
        <v>18.5</v>
      </c>
    </row>
    <row r="468">
      <c r="A468" s="15" t="s">
        <v>145</v>
      </c>
      <c r="B468" s="15">
        <v>35.0</v>
      </c>
    </row>
    <row r="469">
      <c r="A469" s="15" t="s">
        <v>143</v>
      </c>
      <c r="B469" s="15">
        <v>64.0</v>
      </c>
    </row>
    <row r="470">
      <c r="A470" s="15" t="s">
        <v>142</v>
      </c>
      <c r="B470" s="15">
        <v>46.5</v>
      </c>
    </row>
    <row r="471">
      <c r="A471" s="15" t="s">
        <v>141</v>
      </c>
      <c r="B471" s="15">
        <v>17.5</v>
      </c>
    </row>
    <row r="472">
      <c r="A472" s="15" t="s">
        <v>140</v>
      </c>
      <c r="B472" s="15">
        <v>13.0</v>
      </c>
    </row>
    <row r="473">
      <c r="A473" s="15" t="s">
        <v>139</v>
      </c>
      <c r="B473" s="15">
        <v>18.5</v>
      </c>
    </row>
    <row r="474">
      <c r="A474" s="15" t="s">
        <v>138</v>
      </c>
      <c r="B474" s="15">
        <v>12.5</v>
      </c>
    </row>
    <row r="475">
      <c r="A475" s="15" t="s">
        <v>380</v>
      </c>
      <c r="B475" s="15">
        <v>15.0</v>
      </c>
    </row>
    <row r="476">
      <c r="A476" s="15" t="s">
        <v>378</v>
      </c>
      <c r="B476" s="15">
        <v>22.5</v>
      </c>
    </row>
    <row r="477">
      <c r="A477" s="15" t="s">
        <v>379</v>
      </c>
      <c r="B477" s="15">
        <v>12.5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7" t="s">
        <v>1355</v>
      </c>
      <c r="B1" s="68" t="s">
        <v>2406</v>
      </c>
    </row>
    <row r="2">
      <c r="A2" s="69" t="s">
        <v>139</v>
      </c>
      <c r="B2" s="70">
        <v>60.0</v>
      </c>
    </row>
    <row r="3">
      <c r="A3" s="69" t="s">
        <v>142</v>
      </c>
      <c r="B3" s="70">
        <v>37.0</v>
      </c>
    </row>
    <row r="4">
      <c r="A4" s="69" t="s">
        <v>143</v>
      </c>
      <c r="B4" s="70">
        <v>69.0</v>
      </c>
    </row>
    <row r="5">
      <c r="A5" s="69" t="s">
        <v>151</v>
      </c>
      <c r="B5" s="70">
        <v>33.0</v>
      </c>
    </row>
    <row r="6">
      <c r="A6" s="69" t="s">
        <v>153</v>
      </c>
      <c r="B6" s="70">
        <v>39.0</v>
      </c>
    </row>
    <row r="7">
      <c r="A7" s="69" t="s">
        <v>155</v>
      </c>
      <c r="B7" s="70">
        <v>72.0</v>
      </c>
    </row>
    <row r="8">
      <c r="A8" s="69" t="s">
        <v>156</v>
      </c>
      <c r="B8" s="70">
        <v>72.0</v>
      </c>
    </row>
    <row r="9">
      <c r="A9" s="69" t="s">
        <v>157</v>
      </c>
      <c r="B9" s="70">
        <v>33.0</v>
      </c>
    </row>
    <row r="10">
      <c r="A10" s="69" t="s">
        <v>162</v>
      </c>
      <c r="B10" s="70">
        <v>59.0</v>
      </c>
    </row>
    <row r="11">
      <c r="A11" s="69" t="s">
        <v>165</v>
      </c>
      <c r="B11" s="70">
        <v>78.0</v>
      </c>
      <c r="I11" s="15" t="s">
        <v>2407</v>
      </c>
    </row>
    <row r="12">
      <c r="A12" s="69" t="s">
        <v>166</v>
      </c>
      <c r="B12" s="70">
        <v>27.0</v>
      </c>
    </row>
    <row r="13">
      <c r="A13" s="69" t="s">
        <v>168</v>
      </c>
      <c r="B13" s="70">
        <v>68.0</v>
      </c>
    </row>
    <row r="14">
      <c r="A14" s="69" t="s">
        <v>169</v>
      </c>
      <c r="B14" s="70">
        <v>44.0</v>
      </c>
    </row>
    <row r="15">
      <c r="A15" s="69" t="s">
        <v>170</v>
      </c>
      <c r="B15" s="70">
        <v>57.0</v>
      </c>
    </row>
    <row r="16">
      <c r="A16" s="69" t="s">
        <v>171</v>
      </c>
      <c r="B16" s="70">
        <v>52.0</v>
      </c>
    </row>
    <row r="17">
      <c r="A17" s="69" t="s">
        <v>172</v>
      </c>
      <c r="B17" s="70">
        <v>62.0</v>
      </c>
    </row>
    <row r="18">
      <c r="A18" s="69" t="s">
        <v>174</v>
      </c>
      <c r="B18" s="70">
        <v>83.0</v>
      </c>
    </row>
    <row r="19">
      <c r="A19" s="69" t="s">
        <v>206</v>
      </c>
      <c r="B19" s="70">
        <v>60.0</v>
      </c>
    </row>
    <row r="20">
      <c r="A20" s="69" t="s">
        <v>179</v>
      </c>
      <c r="B20" s="70">
        <v>64.0</v>
      </c>
    </row>
    <row r="21">
      <c r="A21" s="69" t="s">
        <v>181</v>
      </c>
      <c r="B21" s="70">
        <v>60.0</v>
      </c>
    </row>
    <row r="22">
      <c r="A22" s="69" t="s">
        <v>183</v>
      </c>
      <c r="B22" s="70">
        <v>52.0</v>
      </c>
    </row>
    <row r="23">
      <c r="A23" s="69" t="s">
        <v>185</v>
      </c>
      <c r="B23" s="70">
        <v>20.0</v>
      </c>
    </row>
    <row r="24">
      <c r="A24" s="69" t="s">
        <v>186</v>
      </c>
      <c r="B24" s="70">
        <v>44.0</v>
      </c>
    </row>
    <row r="25">
      <c r="A25" s="69" t="s">
        <v>189</v>
      </c>
      <c r="B25" s="70">
        <v>64.0</v>
      </c>
    </row>
    <row r="26">
      <c r="A26" s="69" t="s">
        <v>190</v>
      </c>
      <c r="B26" s="70">
        <v>25.0</v>
      </c>
    </row>
    <row r="27">
      <c r="A27" s="69" t="s">
        <v>191</v>
      </c>
      <c r="B27" s="70">
        <v>45.0</v>
      </c>
    </row>
    <row r="28">
      <c r="A28" s="69" t="s">
        <v>193</v>
      </c>
      <c r="B28" s="70">
        <v>40.0</v>
      </c>
    </row>
    <row r="29">
      <c r="A29" s="69" t="s">
        <v>196</v>
      </c>
      <c r="B29" s="70">
        <v>39.0</v>
      </c>
    </row>
    <row r="30">
      <c r="A30" s="69" t="s">
        <v>197</v>
      </c>
      <c r="B30" s="70">
        <v>48.0</v>
      </c>
    </row>
    <row r="31">
      <c r="A31" s="69" t="s">
        <v>198</v>
      </c>
      <c r="B31" s="70">
        <v>20.0</v>
      </c>
    </row>
    <row r="32">
      <c r="A32" s="69" t="s">
        <v>199</v>
      </c>
      <c r="B32" s="70">
        <v>47.0</v>
      </c>
    </row>
    <row r="33">
      <c r="A33" s="69" t="s">
        <v>201</v>
      </c>
      <c r="B33" s="70">
        <v>63.0</v>
      </c>
    </row>
    <row r="34">
      <c r="A34" s="69" t="s">
        <v>204</v>
      </c>
      <c r="B34" s="70">
        <v>67.0</v>
      </c>
    </row>
    <row r="35">
      <c r="A35" s="69" t="s">
        <v>207</v>
      </c>
      <c r="B35" s="70">
        <v>25.0</v>
      </c>
    </row>
    <row r="36">
      <c r="A36" s="69" t="s">
        <v>208</v>
      </c>
      <c r="B36" s="70">
        <v>64.0</v>
      </c>
    </row>
    <row r="37">
      <c r="A37" s="69" t="s">
        <v>211</v>
      </c>
      <c r="B37" s="70">
        <v>30.0</v>
      </c>
    </row>
    <row r="38">
      <c r="A38" s="69" t="s">
        <v>212</v>
      </c>
      <c r="B38" s="70">
        <v>62.0</v>
      </c>
    </row>
    <row r="39">
      <c r="A39" s="69" t="s">
        <v>213</v>
      </c>
      <c r="B39" s="70">
        <v>6.0</v>
      </c>
    </row>
    <row r="40">
      <c r="A40" s="69" t="s">
        <v>214</v>
      </c>
      <c r="B40" s="70">
        <v>77.0</v>
      </c>
    </row>
    <row r="41">
      <c r="A41" s="69" t="s">
        <v>216</v>
      </c>
      <c r="B41" s="70">
        <v>53.0</v>
      </c>
    </row>
    <row r="42">
      <c r="A42" s="69" t="s">
        <v>173</v>
      </c>
      <c r="B42" s="70">
        <v>32.0</v>
      </c>
    </row>
    <row r="43">
      <c r="A43" s="69" t="s">
        <v>175</v>
      </c>
      <c r="B43" s="70">
        <v>18.0</v>
      </c>
    </row>
    <row r="44">
      <c r="A44" s="69" t="s">
        <v>178</v>
      </c>
      <c r="B44" s="70">
        <v>29.0</v>
      </c>
    </row>
    <row r="45">
      <c r="A45" s="69" t="s">
        <v>138</v>
      </c>
      <c r="B45" s="70">
        <v>30.0</v>
      </c>
    </row>
    <row r="46">
      <c r="A46" s="69" t="s">
        <v>161</v>
      </c>
      <c r="B46" s="70">
        <v>53.0</v>
      </c>
    </row>
    <row r="47">
      <c r="A47" s="69" t="s">
        <v>184</v>
      </c>
      <c r="B47" s="70">
        <v>40.0</v>
      </c>
    </row>
    <row r="48">
      <c r="A48" s="69" t="s">
        <v>188</v>
      </c>
      <c r="B48" s="70">
        <v>10.0</v>
      </c>
    </row>
    <row r="49">
      <c r="A49" s="69" t="s">
        <v>141</v>
      </c>
      <c r="B49" s="70">
        <v>34.0</v>
      </c>
    </row>
    <row r="50">
      <c r="A50" s="69" t="s">
        <v>140</v>
      </c>
      <c r="B50" s="70">
        <v>60.0</v>
      </c>
    </row>
    <row r="51">
      <c r="A51" s="69" t="s">
        <v>221</v>
      </c>
      <c r="B51" s="70">
        <v>41.0</v>
      </c>
    </row>
    <row r="52">
      <c r="A52" s="69" t="s">
        <v>230</v>
      </c>
      <c r="B52" s="70">
        <v>41.0</v>
      </c>
    </row>
    <row r="53">
      <c r="A53" s="69" t="s">
        <v>148</v>
      </c>
      <c r="B53" s="70">
        <v>70.0</v>
      </c>
    </row>
    <row r="54">
      <c r="A54" s="69" t="s">
        <v>152</v>
      </c>
      <c r="B54" s="70">
        <v>21.0</v>
      </c>
    </row>
    <row r="55">
      <c r="A55" s="69" t="s">
        <v>297</v>
      </c>
      <c r="B55" s="70">
        <v>12.0</v>
      </c>
    </row>
    <row r="56">
      <c r="A56" s="69" t="s">
        <v>202</v>
      </c>
      <c r="B56" s="70">
        <v>61.0</v>
      </c>
    </row>
    <row r="57">
      <c r="A57" s="69" t="s">
        <v>176</v>
      </c>
      <c r="B57" s="70">
        <v>29.0</v>
      </c>
    </row>
    <row r="58">
      <c r="A58" s="69" t="s">
        <v>223</v>
      </c>
      <c r="B58" s="70">
        <v>32.0</v>
      </c>
    </row>
    <row r="59">
      <c r="A59" s="69" t="s">
        <v>237</v>
      </c>
      <c r="B59" s="70">
        <v>47.0</v>
      </c>
    </row>
    <row r="60">
      <c r="A60" s="69" t="s">
        <v>200</v>
      </c>
      <c r="B60" s="70">
        <v>7.0</v>
      </c>
    </row>
    <row r="61">
      <c r="A61" s="69" t="s">
        <v>146</v>
      </c>
      <c r="B61" s="70">
        <v>45.0</v>
      </c>
    </row>
    <row r="62">
      <c r="A62" s="69" t="s">
        <v>177</v>
      </c>
      <c r="B62" s="70">
        <v>20.0</v>
      </c>
    </row>
    <row r="63">
      <c r="A63" s="69" t="s">
        <v>159</v>
      </c>
      <c r="B63" s="70">
        <v>33.0</v>
      </c>
    </row>
    <row r="64">
      <c r="A64" s="69" t="s">
        <v>203</v>
      </c>
      <c r="B64" s="70">
        <v>40.0</v>
      </c>
    </row>
    <row r="65">
      <c r="A65" s="69" t="s">
        <v>187</v>
      </c>
      <c r="B65" s="70">
        <v>20.0</v>
      </c>
    </row>
    <row r="66">
      <c r="A66" s="69" t="s">
        <v>192</v>
      </c>
      <c r="B66" s="70">
        <v>30.0</v>
      </c>
    </row>
    <row r="67">
      <c r="A67" s="69" t="s">
        <v>194</v>
      </c>
      <c r="B67" s="70">
        <v>0.0</v>
      </c>
    </row>
    <row r="68">
      <c r="A68" s="69" t="s">
        <v>225</v>
      </c>
      <c r="B68" s="70">
        <v>40.0</v>
      </c>
    </row>
    <row r="69">
      <c r="A69" s="69" t="s">
        <v>273</v>
      </c>
      <c r="B69" s="70">
        <v>20.0</v>
      </c>
    </row>
    <row r="70">
      <c r="A70" s="69" t="s">
        <v>160</v>
      </c>
      <c r="B70" s="70">
        <v>58.0</v>
      </c>
    </row>
    <row r="71">
      <c r="A71" s="69" t="s">
        <v>259</v>
      </c>
      <c r="B71" s="70">
        <v>30.0</v>
      </c>
    </row>
    <row r="72">
      <c r="A72" s="69" t="s">
        <v>209</v>
      </c>
      <c r="B72" s="70">
        <v>6.0</v>
      </c>
    </row>
    <row r="73">
      <c r="A73" s="69" t="s">
        <v>158</v>
      </c>
      <c r="B73" s="70">
        <v>40.0</v>
      </c>
    </row>
    <row r="74">
      <c r="A74" s="69" t="s">
        <v>311</v>
      </c>
      <c r="B74" s="70">
        <v>52.0</v>
      </c>
    </row>
    <row r="75">
      <c r="A75" s="69" t="s">
        <v>217</v>
      </c>
      <c r="B75" s="71">
        <v>37.0</v>
      </c>
    </row>
    <row r="76">
      <c r="A76" s="69" t="s">
        <v>218</v>
      </c>
      <c r="B76" s="70">
        <v>16.0</v>
      </c>
    </row>
    <row r="77">
      <c r="A77" s="69" t="s">
        <v>219</v>
      </c>
      <c r="B77" s="70">
        <v>46.0</v>
      </c>
    </row>
    <row r="78">
      <c r="A78" s="69" t="s">
        <v>222</v>
      </c>
      <c r="B78" s="70">
        <v>70.0</v>
      </c>
    </row>
    <row r="79">
      <c r="A79" s="69" t="s">
        <v>228</v>
      </c>
      <c r="B79" s="70">
        <v>75.0</v>
      </c>
    </row>
    <row r="80">
      <c r="A80" s="69" t="s">
        <v>229</v>
      </c>
      <c r="B80" s="70">
        <v>60.0</v>
      </c>
    </row>
    <row r="81">
      <c r="A81" s="69" t="s">
        <v>231</v>
      </c>
      <c r="B81" s="70">
        <v>54.0</v>
      </c>
    </row>
    <row r="82">
      <c r="A82" s="69" t="s">
        <v>232</v>
      </c>
      <c r="B82" s="70">
        <v>44.0</v>
      </c>
    </row>
    <row r="83">
      <c r="A83" s="69" t="s">
        <v>233</v>
      </c>
      <c r="B83" s="70">
        <v>45.0</v>
      </c>
    </row>
    <row r="84">
      <c r="A84" s="69" t="s">
        <v>235</v>
      </c>
      <c r="B84" s="70">
        <v>15.0</v>
      </c>
    </row>
    <row r="85">
      <c r="A85" s="69" t="s">
        <v>236</v>
      </c>
      <c r="B85" s="70">
        <v>73.0</v>
      </c>
    </row>
    <row r="86">
      <c r="A86" s="69" t="s">
        <v>238</v>
      </c>
      <c r="B86" s="70">
        <v>53.0</v>
      </c>
    </row>
    <row r="87">
      <c r="A87" s="69" t="s">
        <v>241</v>
      </c>
      <c r="B87" s="70">
        <v>28.0</v>
      </c>
    </row>
    <row r="88">
      <c r="A88" s="69" t="s">
        <v>242</v>
      </c>
      <c r="B88" s="70">
        <v>19.0</v>
      </c>
    </row>
    <row r="89">
      <c r="A89" s="69" t="s">
        <v>244</v>
      </c>
      <c r="B89" s="70">
        <v>20.0</v>
      </c>
    </row>
    <row r="90">
      <c r="A90" s="69" t="s">
        <v>245</v>
      </c>
      <c r="B90" s="70">
        <v>63.0</v>
      </c>
    </row>
    <row r="91">
      <c r="A91" s="69" t="s">
        <v>247</v>
      </c>
      <c r="B91" s="70">
        <v>84.0</v>
      </c>
    </row>
    <row r="92">
      <c r="A92" s="69" t="s">
        <v>249</v>
      </c>
      <c r="B92" s="70">
        <v>42.0</v>
      </c>
    </row>
    <row r="93">
      <c r="A93" s="69" t="s">
        <v>337</v>
      </c>
      <c r="B93" s="70">
        <v>64.0</v>
      </c>
    </row>
    <row r="94">
      <c r="A94" s="69" t="s">
        <v>250</v>
      </c>
      <c r="B94" s="70">
        <v>77.0</v>
      </c>
    </row>
    <row r="95">
      <c r="A95" s="69" t="s">
        <v>251</v>
      </c>
      <c r="B95" s="70">
        <v>51.0</v>
      </c>
    </row>
    <row r="96">
      <c r="A96" s="69" t="s">
        <v>255</v>
      </c>
      <c r="B96" s="70">
        <v>58.0</v>
      </c>
    </row>
    <row r="97">
      <c r="A97" s="69" t="s">
        <v>256</v>
      </c>
      <c r="B97" s="70">
        <v>54.0</v>
      </c>
    </row>
    <row r="98">
      <c r="A98" s="69" t="s">
        <v>261</v>
      </c>
      <c r="B98" s="70">
        <v>5.0</v>
      </c>
    </row>
    <row r="99">
      <c r="A99" s="69" t="s">
        <v>264</v>
      </c>
      <c r="B99" s="70">
        <v>42.0</v>
      </c>
    </row>
    <row r="100">
      <c r="A100" s="69" t="s">
        <v>354</v>
      </c>
      <c r="B100" s="70">
        <v>33.0</v>
      </c>
    </row>
    <row r="101">
      <c r="A101" s="69" t="s">
        <v>274</v>
      </c>
      <c r="B101" s="70">
        <v>17.0</v>
      </c>
    </row>
    <row r="102">
      <c r="A102" s="69" t="s">
        <v>275</v>
      </c>
      <c r="B102" s="70">
        <v>45.0</v>
      </c>
    </row>
    <row r="103">
      <c r="A103" s="69" t="s">
        <v>276</v>
      </c>
      <c r="B103" s="70">
        <v>61.0</v>
      </c>
    </row>
    <row r="104">
      <c r="A104" s="69" t="s">
        <v>277</v>
      </c>
      <c r="B104" s="70">
        <v>68.0</v>
      </c>
    </row>
    <row r="105">
      <c r="A105" s="69" t="s">
        <v>279</v>
      </c>
      <c r="B105" s="70">
        <v>39.0</v>
      </c>
    </row>
    <row r="106">
      <c r="A106" s="69" t="s">
        <v>280</v>
      </c>
      <c r="B106" s="70">
        <v>41.0</v>
      </c>
    </row>
    <row r="107">
      <c r="A107" s="69" t="s">
        <v>283</v>
      </c>
      <c r="B107" s="70">
        <v>0.0</v>
      </c>
    </row>
    <row r="108">
      <c r="A108" s="69" t="s">
        <v>286</v>
      </c>
      <c r="B108" s="70">
        <v>67.0</v>
      </c>
    </row>
    <row r="109">
      <c r="A109" s="69" t="s">
        <v>288</v>
      </c>
      <c r="B109" s="70">
        <v>74.0</v>
      </c>
    </row>
    <row r="110">
      <c r="A110" s="69" t="s">
        <v>289</v>
      </c>
      <c r="B110" s="70">
        <v>36.0</v>
      </c>
    </row>
    <row r="111">
      <c r="A111" s="69" t="s">
        <v>290</v>
      </c>
      <c r="B111" s="70">
        <v>58.0</v>
      </c>
    </row>
    <row r="112">
      <c r="A112" s="69" t="s">
        <v>292</v>
      </c>
      <c r="B112" s="70">
        <v>58.0</v>
      </c>
    </row>
    <row r="113">
      <c r="A113" s="69" t="s">
        <v>293</v>
      </c>
      <c r="B113" s="70">
        <v>51.0</v>
      </c>
    </row>
    <row r="114">
      <c r="A114" s="69" t="s">
        <v>294</v>
      </c>
      <c r="B114" s="70">
        <v>48.0</v>
      </c>
    </row>
    <row r="115">
      <c r="A115" s="69" t="s">
        <v>210</v>
      </c>
      <c r="B115" s="70">
        <v>31.0</v>
      </c>
    </row>
    <row r="116">
      <c r="A116" s="69" t="s">
        <v>215</v>
      </c>
      <c r="B116" s="70">
        <v>58.0</v>
      </c>
    </row>
    <row r="117">
      <c r="A117" s="69" t="s">
        <v>226</v>
      </c>
      <c r="B117" s="70">
        <v>56.0</v>
      </c>
    </row>
    <row r="118">
      <c r="A118" s="69" t="s">
        <v>234</v>
      </c>
      <c r="B118" s="70">
        <v>28.0</v>
      </c>
    </row>
    <row r="119">
      <c r="A119" s="69" t="s">
        <v>269</v>
      </c>
      <c r="B119" s="70">
        <v>47.0</v>
      </c>
    </row>
    <row r="120">
      <c r="A120" s="69" t="s">
        <v>272</v>
      </c>
      <c r="B120" s="70">
        <v>37.0</v>
      </c>
    </row>
    <row r="121">
      <c r="A121" s="69" t="s">
        <v>287</v>
      </c>
      <c r="B121" s="70">
        <v>22.0</v>
      </c>
    </row>
    <row r="122">
      <c r="A122" s="69" t="s">
        <v>224</v>
      </c>
      <c r="B122" s="70">
        <v>44.0</v>
      </c>
    </row>
    <row r="123">
      <c r="A123" s="69" t="s">
        <v>333</v>
      </c>
      <c r="B123" s="70">
        <v>21.0</v>
      </c>
    </row>
    <row r="124">
      <c r="A124" s="69" t="s">
        <v>154</v>
      </c>
      <c r="B124" s="70">
        <v>11.0</v>
      </c>
    </row>
    <row r="125">
      <c r="A125" s="69" t="s">
        <v>147</v>
      </c>
      <c r="B125" s="70">
        <v>23.0</v>
      </c>
    </row>
    <row r="126">
      <c r="A126" s="69" t="s">
        <v>265</v>
      </c>
      <c r="B126" s="70">
        <v>53.0</v>
      </c>
    </row>
    <row r="127">
      <c r="A127" s="69" t="s">
        <v>258</v>
      </c>
      <c r="B127" s="70">
        <v>60.0</v>
      </c>
    </row>
    <row r="128">
      <c r="A128" s="69" t="s">
        <v>266</v>
      </c>
      <c r="B128" s="70">
        <v>25.0</v>
      </c>
    </row>
    <row r="129">
      <c r="A129" s="69" t="s">
        <v>149</v>
      </c>
      <c r="B129" s="70">
        <v>64.0</v>
      </c>
    </row>
    <row r="130">
      <c r="A130" s="69" t="s">
        <v>180</v>
      </c>
      <c r="B130" s="70">
        <v>48.0</v>
      </c>
    </row>
    <row r="131">
      <c r="A131" s="69" t="s">
        <v>240</v>
      </c>
      <c r="B131" s="70">
        <v>19.0</v>
      </c>
    </row>
    <row r="132">
      <c r="A132" s="69" t="s">
        <v>285</v>
      </c>
      <c r="B132" s="70">
        <v>70.0</v>
      </c>
    </row>
    <row r="133">
      <c r="A133" s="69" t="s">
        <v>262</v>
      </c>
      <c r="B133" s="70">
        <v>24.0</v>
      </c>
    </row>
    <row r="134">
      <c r="A134" s="69" t="s">
        <v>284</v>
      </c>
      <c r="B134" s="70">
        <v>64.0</v>
      </c>
    </row>
    <row r="135">
      <c r="A135" s="69" t="s">
        <v>246</v>
      </c>
      <c r="B135" s="70">
        <v>37.0</v>
      </c>
    </row>
    <row r="136">
      <c r="A136" s="69" t="s">
        <v>205</v>
      </c>
      <c r="B136" s="70">
        <v>2.0</v>
      </c>
    </row>
    <row r="137">
      <c r="A137" s="69" t="s">
        <v>278</v>
      </c>
      <c r="B137" s="70">
        <v>49.0</v>
      </c>
    </row>
    <row r="138">
      <c r="A138" s="69" t="s">
        <v>271</v>
      </c>
      <c r="B138" s="70">
        <v>49.0</v>
      </c>
    </row>
    <row r="139">
      <c r="A139" s="69" t="s">
        <v>243</v>
      </c>
      <c r="B139" s="70">
        <v>48.0</v>
      </c>
    </row>
    <row r="140">
      <c r="A140" s="69" t="s">
        <v>195</v>
      </c>
      <c r="B140" s="70">
        <v>35.0</v>
      </c>
    </row>
    <row r="141">
      <c r="A141" s="69" t="s">
        <v>164</v>
      </c>
      <c r="B141" s="70">
        <v>50.0</v>
      </c>
    </row>
    <row r="142">
      <c r="A142" s="69" t="s">
        <v>358</v>
      </c>
      <c r="B142" s="70">
        <v>15.0</v>
      </c>
    </row>
    <row r="143">
      <c r="A143" s="69" t="s">
        <v>254</v>
      </c>
      <c r="B143" s="70">
        <v>43.0</v>
      </c>
    </row>
    <row r="144">
      <c r="A144" s="69" t="s">
        <v>252</v>
      </c>
      <c r="B144" s="70">
        <v>59.0</v>
      </c>
    </row>
    <row r="145">
      <c r="A145" s="69" t="s">
        <v>315</v>
      </c>
      <c r="B145" s="70">
        <v>62.0</v>
      </c>
    </row>
    <row r="146">
      <c r="A146" s="69" t="s">
        <v>145</v>
      </c>
      <c r="B146" s="70">
        <v>12.0</v>
      </c>
    </row>
    <row r="147">
      <c r="A147" s="69" t="s">
        <v>304</v>
      </c>
      <c r="B147" s="70">
        <v>48.0</v>
      </c>
    </row>
    <row r="148">
      <c r="A148" s="69" t="s">
        <v>295</v>
      </c>
      <c r="B148" s="71">
        <v>27.0</v>
      </c>
    </row>
    <row r="149">
      <c r="A149" s="69" t="s">
        <v>296</v>
      </c>
      <c r="B149" s="70">
        <v>54.0</v>
      </c>
    </row>
    <row r="150">
      <c r="A150" s="69" t="s">
        <v>298</v>
      </c>
      <c r="B150" s="70">
        <v>60.0</v>
      </c>
    </row>
    <row r="151">
      <c r="A151" s="69" t="s">
        <v>302</v>
      </c>
      <c r="B151" s="70">
        <v>33.0</v>
      </c>
    </row>
    <row r="152">
      <c r="A152" s="69" t="s">
        <v>303</v>
      </c>
      <c r="B152" s="70">
        <v>71.0</v>
      </c>
    </row>
    <row r="153">
      <c r="A153" s="69" t="s">
        <v>307</v>
      </c>
      <c r="B153" s="70">
        <v>6.0</v>
      </c>
    </row>
    <row r="154">
      <c r="A154" s="69" t="s">
        <v>308</v>
      </c>
      <c r="B154" s="70">
        <v>29.0</v>
      </c>
    </row>
    <row r="155">
      <c r="A155" s="69" t="s">
        <v>309</v>
      </c>
      <c r="B155" s="70">
        <v>38.0</v>
      </c>
    </row>
    <row r="156">
      <c r="A156" s="69" t="s">
        <v>312</v>
      </c>
      <c r="B156" s="70">
        <v>3.0</v>
      </c>
    </row>
    <row r="157">
      <c r="A157" s="69" t="s">
        <v>313</v>
      </c>
      <c r="B157" s="70">
        <v>32.0</v>
      </c>
    </row>
    <row r="158">
      <c r="A158" s="69" t="s">
        <v>316</v>
      </c>
      <c r="B158" s="70">
        <v>54.0</v>
      </c>
    </row>
    <row r="159">
      <c r="A159" s="69" t="s">
        <v>317</v>
      </c>
      <c r="B159" s="70">
        <v>75.0</v>
      </c>
    </row>
    <row r="160">
      <c r="A160" s="69" t="s">
        <v>318</v>
      </c>
      <c r="B160" s="70">
        <v>64.0</v>
      </c>
    </row>
    <row r="161">
      <c r="A161" s="69" t="s">
        <v>319</v>
      </c>
      <c r="B161" s="70">
        <v>75.0</v>
      </c>
    </row>
    <row r="162">
      <c r="A162" s="69" t="s">
        <v>321</v>
      </c>
      <c r="B162" s="70">
        <v>50.0</v>
      </c>
    </row>
    <row r="163">
      <c r="A163" s="69" t="s">
        <v>325</v>
      </c>
      <c r="B163" s="70">
        <v>58.0</v>
      </c>
    </row>
    <row r="164">
      <c r="A164" s="69" t="s">
        <v>326</v>
      </c>
      <c r="B164" s="70">
        <v>63.0</v>
      </c>
    </row>
    <row r="165">
      <c r="A165" s="69" t="s">
        <v>327</v>
      </c>
      <c r="B165" s="70">
        <v>56.0</v>
      </c>
    </row>
    <row r="166">
      <c r="A166" s="69" t="s">
        <v>328</v>
      </c>
      <c r="B166" s="70">
        <v>65.0</v>
      </c>
    </row>
    <row r="167">
      <c r="A167" s="69" t="s">
        <v>329</v>
      </c>
      <c r="B167" s="70">
        <v>80.0</v>
      </c>
    </row>
    <row r="168">
      <c r="A168" s="69" t="s">
        <v>330</v>
      </c>
      <c r="B168" s="70">
        <v>32.0</v>
      </c>
    </row>
    <row r="169">
      <c r="A169" s="69" t="s">
        <v>332</v>
      </c>
      <c r="B169" s="70">
        <v>1.0</v>
      </c>
    </row>
    <row r="170">
      <c r="A170" s="69" t="s">
        <v>334</v>
      </c>
      <c r="B170" s="70">
        <v>61.0</v>
      </c>
    </row>
    <row r="171">
      <c r="A171" s="69" t="s">
        <v>335</v>
      </c>
      <c r="B171" s="70">
        <v>59.0</v>
      </c>
    </row>
    <row r="172">
      <c r="A172" s="69" t="s">
        <v>336</v>
      </c>
      <c r="B172" s="70">
        <v>64.0</v>
      </c>
    </row>
    <row r="173">
      <c r="A173" s="69" t="s">
        <v>338</v>
      </c>
      <c r="B173" s="70">
        <v>67.0</v>
      </c>
    </row>
    <row r="174">
      <c r="A174" s="69" t="s">
        <v>339</v>
      </c>
      <c r="B174" s="70">
        <v>27.0</v>
      </c>
    </row>
    <row r="175">
      <c r="A175" s="69" t="s">
        <v>342</v>
      </c>
      <c r="B175" s="70">
        <v>29.0</v>
      </c>
    </row>
    <row r="176">
      <c r="A176" s="69" t="s">
        <v>343</v>
      </c>
      <c r="B176" s="70">
        <v>65.0</v>
      </c>
    </row>
    <row r="177">
      <c r="A177" s="69" t="s">
        <v>346</v>
      </c>
      <c r="B177" s="70">
        <v>55.0</v>
      </c>
    </row>
    <row r="178">
      <c r="A178" s="69" t="s">
        <v>348</v>
      </c>
      <c r="B178" s="70">
        <v>24.0</v>
      </c>
    </row>
    <row r="179">
      <c r="A179" s="69" t="s">
        <v>351</v>
      </c>
      <c r="B179" s="70">
        <v>20.0</v>
      </c>
    </row>
    <row r="180">
      <c r="A180" s="69" t="s">
        <v>353</v>
      </c>
      <c r="B180" s="70">
        <v>25.0</v>
      </c>
    </row>
    <row r="181">
      <c r="A181" s="69" t="s">
        <v>356</v>
      </c>
      <c r="B181" s="70">
        <v>45.0</v>
      </c>
    </row>
    <row r="182">
      <c r="A182" s="69" t="s">
        <v>359</v>
      </c>
      <c r="B182" s="70">
        <v>83.0</v>
      </c>
    </row>
    <row r="183">
      <c r="A183" s="69" t="s">
        <v>227</v>
      </c>
      <c r="B183" s="70">
        <v>16.0</v>
      </c>
    </row>
    <row r="184">
      <c r="A184" s="69" t="s">
        <v>248</v>
      </c>
      <c r="B184" s="70">
        <v>50.0</v>
      </c>
    </row>
    <row r="185">
      <c r="A185" s="69" t="s">
        <v>260</v>
      </c>
      <c r="B185" s="70">
        <v>46.0</v>
      </c>
    </row>
    <row r="186">
      <c r="A186" s="69" t="s">
        <v>263</v>
      </c>
      <c r="B186" s="70">
        <v>53.0</v>
      </c>
    </row>
    <row r="187">
      <c r="A187" s="69" t="s">
        <v>270</v>
      </c>
      <c r="B187" s="70">
        <v>63.0</v>
      </c>
    </row>
    <row r="188">
      <c r="A188" s="69" t="s">
        <v>281</v>
      </c>
      <c r="B188" s="70">
        <v>31.0</v>
      </c>
    </row>
    <row r="189">
      <c r="A189" s="69" t="s">
        <v>282</v>
      </c>
      <c r="B189" s="70">
        <v>44.0</v>
      </c>
    </row>
    <row r="190">
      <c r="A190" s="69" t="s">
        <v>305</v>
      </c>
      <c r="B190" s="70">
        <v>42.0</v>
      </c>
    </row>
    <row r="191">
      <c r="A191" s="69" t="s">
        <v>300</v>
      </c>
      <c r="B191" s="70">
        <v>35.0</v>
      </c>
    </row>
    <row r="192">
      <c r="A192" s="69" t="s">
        <v>324</v>
      </c>
      <c r="B192" s="70">
        <v>34.0</v>
      </c>
    </row>
    <row r="193">
      <c r="A193" s="69" t="s">
        <v>350</v>
      </c>
      <c r="B193" s="70">
        <v>25.0</v>
      </c>
    </row>
    <row r="194">
      <c r="A194" s="69" t="s">
        <v>352</v>
      </c>
      <c r="B194" s="70">
        <v>26.0</v>
      </c>
    </row>
    <row r="195">
      <c r="A195" s="69" t="s">
        <v>355</v>
      </c>
      <c r="B195" s="70">
        <v>0.0</v>
      </c>
    </row>
    <row r="196">
      <c r="A196" s="69" t="s">
        <v>345</v>
      </c>
      <c r="B196" s="70">
        <v>49.0</v>
      </c>
    </row>
    <row r="197">
      <c r="A197" s="69" t="s">
        <v>239</v>
      </c>
      <c r="B197" s="70">
        <v>27.0</v>
      </c>
    </row>
    <row r="198">
      <c r="A198" s="69" t="s">
        <v>349</v>
      </c>
      <c r="B198" s="70">
        <v>39.0</v>
      </c>
    </row>
    <row r="199">
      <c r="A199" s="69" t="s">
        <v>306</v>
      </c>
      <c r="B199" s="70">
        <v>43.0</v>
      </c>
    </row>
    <row r="200">
      <c r="A200" s="69" t="s">
        <v>331</v>
      </c>
      <c r="B200" s="70">
        <v>44.0</v>
      </c>
    </row>
    <row r="201">
      <c r="A201" s="69" t="s">
        <v>310</v>
      </c>
      <c r="B201" s="70">
        <v>37.0</v>
      </c>
    </row>
    <row r="202">
      <c r="A202" s="69" t="s">
        <v>301</v>
      </c>
      <c r="B202" s="70">
        <v>49.0</v>
      </c>
    </row>
    <row r="203">
      <c r="A203" s="69" t="s">
        <v>220</v>
      </c>
      <c r="B203" s="70">
        <v>26.0</v>
      </c>
    </row>
    <row r="204">
      <c r="A204" s="69" t="s">
        <v>257</v>
      </c>
      <c r="B204" s="70">
        <v>32.0</v>
      </c>
    </row>
    <row r="205">
      <c r="A205" s="69" t="s">
        <v>323</v>
      </c>
      <c r="B205" s="70">
        <v>75.0</v>
      </c>
    </row>
    <row r="206">
      <c r="A206" s="69" t="s">
        <v>163</v>
      </c>
      <c r="B206" s="70">
        <v>34.0</v>
      </c>
    </row>
    <row r="207">
      <c r="A207" s="69" t="s">
        <v>291</v>
      </c>
      <c r="B207" s="70">
        <v>40.0</v>
      </c>
    </row>
    <row r="208">
      <c r="A208" s="69" t="s">
        <v>341</v>
      </c>
      <c r="B208" s="70">
        <v>59.0</v>
      </c>
    </row>
    <row r="209">
      <c r="A209" s="69" t="s">
        <v>150</v>
      </c>
      <c r="B209" s="70">
        <v>53.0</v>
      </c>
    </row>
    <row r="210">
      <c r="A210" s="69" t="s">
        <v>322</v>
      </c>
      <c r="B210" s="70">
        <v>52.0</v>
      </c>
    </row>
    <row r="211">
      <c r="A211" s="69" t="s">
        <v>299</v>
      </c>
      <c r="B211" s="70">
        <v>42.0</v>
      </c>
    </row>
    <row r="212">
      <c r="A212" s="69" t="s">
        <v>167</v>
      </c>
      <c r="B212" s="70">
        <v>53.0</v>
      </c>
    </row>
    <row r="213">
      <c r="A213" s="69" t="s">
        <v>267</v>
      </c>
      <c r="B213" s="70">
        <v>42.0</v>
      </c>
    </row>
    <row r="214">
      <c r="A214" s="69" t="s">
        <v>344</v>
      </c>
      <c r="B214" s="70">
        <v>63.0</v>
      </c>
    </row>
    <row r="215">
      <c r="A215" s="69" t="s">
        <v>268</v>
      </c>
      <c r="B215" s="70">
        <v>19.0</v>
      </c>
    </row>
    <row r="216">
      <c r="A216" s="69" t="s">
        <v>357</v>
      </c>
      <c r="B216" s="70">
        <v>52.0</v>
      </c>
    </row>
    <row r="217">
      <c r="A217" s="69" t="s">
        <v>314</v>
      </c>
      <c r="B217" s="70">
        <v>27.0</v>
      </c>
    </row>
    <row r="218">
      <c r="A218" s="69" t="s">
        <v>320</v>
      </c>
      <c r="B218" s="70">
        <v>60.0</v>
      </c>
    </row>
    <row r="219">
      <c r="A219" s="69" t="s">
        <v>340</v>
      </c>
      <c r="B219" s="70">
        <v>33.0</v>
      </c>
    </row>
    <row r="220">
      <c r="A220" s="69" t="s">
        <v>347</v>
      </c>
      <c r="B220" s="70">
        <v>52.0</v>
      </c>
    </row>
    <row r="221">
      <c r="A221" s="69" t="s">
        <v>182</v>
      </c>
      <c r="B221" s="70">
        <v>38.0</v>
      </c>
    </row>
    <row r="222">
      <c r="A222" s="69" t="s">
        <v>1196</v>
      </c>
      <c r="B222" s="71">
        <v>76.0</v>
      </c>
    </row>
    <row r="223">
      <c r="A223" s="69" t="s">
        <v>1198</v>
      </c>
      <c r="B223" s="70">
        <v>10.0</v>
      </c>
    </row>
    <row r="224">
      <c r="A224" s="69" t="s">
        <v>1201</v>
      </c>
      <c r="B224" s="70">
        <v>67.0</v>
      </c>
    </row>
    <row r="225">
      <c r="A225" s="69" t="s">
        <v>1204</v>
      </c>
      <c r="B225" s="70">
        <v>57.0</v>
      </c>
    </row>
    <row r="226">
      <c r="A226" s="69" t="s">
        <v>1206</v>
      </c>
      <c r="B226" s="70">
        <v>58.0</v>
      </c>
    </row>
    <row r="227">
      <c r="A227" s="69" t="s">
        <v>1208</v>
      </c>
      <c r="B227" s="70">
        <v>35.0</v>
      </c>
    </row>
    <row r="228">
      <c r="A228" s="69" t="s">
        <v>1210</v>
      </c>
      <c r="B228" s="70">
        <v>71.0</v>
      </c>
    </row>
    <row r="229">
      <c r="A229" s="69" t="s">
        <v>1214</v>
      </c>
      <c r="B229" s="70">
        <v>47.0</v>
      </c>
    </row>
    <row r="230">
      <c r="A230" s="69" t="s">
        <v>1217</v>
      </c>
      <c r="B230" s="70">
        <v>40.0</v>
      </c>
    </row>
    <row r="231">
      <c r="A231" s="69" t="s">
        <v>1219</v>
      </c>
      <c r="B231" s="70">
        <v>68.0</v>
      </c>
    </row>
    <row r="232">
      <c r="A232" s="69" t="s">
        <v>1220</v>
      </c>
      <c r="B232" s="70">
        <v>69.0</v>
      </c>
    </row>
    <row r="233">
      <c r="A233" s="69" t="s">
        <v>1224</v>
      </c>
      <c r="B233" s="70">
        <v>75.0</v>
      </c>
    </row>
    <row r="234">
      <c r="A234" s="69" t="s">
        <v>1225</v>
      </c>
      <c r="B234" s="70">
        <v>40.0</v>
      </c>
    </row>
    <row r="235">
      <c r="A235" s="69" t="s">
        <v>1227</v>
      </c>
      <c r="B235" s="70">
        <v>34.0</v>
      </c>
    </row>
    <row r="236">
      <c r="A236" s="69" t="s">
        <v>1228</v>
      </c>
      <c r="B236" s="70">
        <v>37.0</v>
      </c>
    </row>
    <row r="237">
      <c r="A237" s="69" t="s">
        <v>1229</v>
      </c>
      <c r="B237" s="70">
        <v>43.0</v>
      </c>
    </row>
    <row r="238">
      <c r="A238" s="69" t="s">
        <v>1230</v>
      </c>
      <c r="B238" s="70">
        <v>59.0</v>
      </c>
    </row>
    <row r="239">
      <c r="A239" s="69" t="s">
        <v>1231</v>
      </c>
      <c r="B239" s="70">
        <v>38.0</v>
      </c>
    </row>
    <row r="240">
      <c r="A240" s="69" t="s">
        <v>1232</v>
      </c>
      <c r="B240" s="70">
        <v>56.0</v>
      </c>
    </row>
    <row r="241">
      <c r="A241" s="69" t="s">
        <v>1233</v>
      </c>
      <c r="B241" s="70">
        <v>78.0</v>
      </c>
    </row>
    <row r="242">
      <c r="A242" s="69" t="s">
        <v>1234</v>
      </c>
      <c r="B242" s="70">
        <v>39.0</v>
      </c>
    </row>
    <row r="243">
      <c r="A243" s="69" t="s">
        <v>1209</v>
      </c>
      <c r="B243" s="70">
        <v>36.0</v>
      </c>
    </row>
    <row r="244">
      <c r="A244" s="69" t="s">
        <v>1236</v>
      </c>
      <c r="B244" s="70">
        <v>48.0</v>
      </c>
    </row>
    <row r="245">
      <c r="A245" s="69" t="s">
        <v>1238</v>
      </c>
      <c r="B245" s="70">
        <v>45.0</v>
      </c>
    </row>
    <row r="246">
      <c r="A246" s="69" t="s">
        <v>1239</v>
      </c>
      <c r="B246" s="70">
        <v>35.0</v>
      </c>
    </row>
    <row r="247">
      <c r="A247" s="69" t="s">
        <v>1240</v>
      </c>
      <c r="B247" s="70">
        <v>5.0</v>
      </c>
    </row>
    <row r="248">
      <c r="A248" s="69" t="s">
        <v>1241</v>
      </c>
      <c r="B248" s="70">
        <v>80.0</v>
      </c>
    </row>
    <row r="249">
      <c r="A249" s="69" t="s">
        <v>1242</v>
      </c>
      <c r="B249" s="70">
        <v>48.0</v>
      </c>
    </row>
    <row r="250">
      <c r="A250" s="69" t="s">
        <v>1243</v>
      </c>
      <c r="B250" s="70">
        <v>47.0</v>
      </c>
    </row>
    <row r="251">
      <c r="A251" s="69" t="s">
        <v>1244</v>
      </c>
      <c r="B251" s="70">
        <v>32.0</v>
      </c>
    </row>
    <row r="252">
      <c r="A252" s="69" t="s">
        <v>1245</v>
      </c>
      <c r="B252" s="70">
        <v>52.0</v>
      </c>
    </row>
    <row r="253">
      <c r="A253" s="69" t="s">
        <v>1247</v>
      </c>
      <c r="B253" s="70">
        <v>50.0</v>
      </c>
    </row>
    <row r="254">
      <c r="A254" s="69" t="s">
        <v>1248</v>
      </c>
      <c r="B254" s="70">
        <v>38.0</v>
      </c>
    </row>
    <row r="255">
      <c r="A255" s="69" t="s">
        <v>1251</v>
      </c>
      <c r="B255" s="70">
        <v>25.0</v>
      </c>
    </row>
    <row r="256">
      <c r="A256" s="69" t="s">
        <v>1254</v>
      </c>
      <c r="B256" s="70">
        <v>77.0</v>
      </c>
    </row>
    <row r="257">
      <c r="A257" s="69" t="s">
        <v>1256</v>
      </c>
      <c r="B257" s="70">
        <v>35.0</v>
      </c>
    </row>
    <row r="258">
      <c r="A258" s="69" t="s">
        <v>1257</v>
      </c>
      <c r="B258" s="70">
        <v>43.0</v>
      </c>
    </row>
    <row r="259">
      <c r="A259" s="69" t="s">
        <v>1199</v>
      </c>
      <c r="B259" s="70">
        <v>13.0</v>
      </c>
    </row>
    <row r="260">
      <c r="A260" s="69" t="s">
        <v>1202</v>
      </c>
      <c r="B260" s="70">
        <v>33.0</v>
      </c>
    </row>
    <row r="261">
      <c r="A261" s="69" t="s">
        <v>1218</v>
      </c>
      <c r="B261" s="70">
        <v>45.0</v>
      </c>
    </row>
    <row r="262">
      <c r="A262" s="69" t="s">
        <v>1237</v>
      </c>
      <c r="B262" s="70">
        <v>33.0</v>
      </c>
    </row>
    <row r="263">
      <c r="A263" s="69" t="s">
        <v>1255</v>
      </c>
      <c r="B263" s="70">
        <v>77.0</v>
      </c>
    </row>
    <row r="264">
      <c r="A264" s="69" t="s">
        <v>1221</v>
      </c>
      <c r="B264" s="70">
        <v>33.0</v>
      </c>
    </row>
    <row r="265">
      <c r="A265" s="69" t="s">
        <v>1216</v>
      </c>
      <c r="B265" s="70">
        <v>30.0</v>
      </c>
    </row>
    <row r="266">
      <c r="A266" s="69" t="s">
        <v>1223</v>
      </c>
      <c r="B266" s="70">
        <v>36.0</v>
      </c>
    </row>
    <row r="267">
      <c r="A267" s="69" t="s">
        <v>1235</v>
      </c>
      <c r="B267" s="70">
        <v>29.0</v>
      </c>
    </row>
    <row r="268">
      <c r="A268" s="69" t="s">
        <v>1215</v>
      </c>
      <c r="B268" s="70">
        <v>43.0</v>
      </c>
    </row>
    <row r="269">
      <c r="A269" s="69" t="s">
        <v>1222</v>
      </c>
      <c r="B269" s="70">
        <v>61.0</v>
      </c>
    </row>
    <row r="270">
      <c r="A270" s="69" t="s">
        <v>1200</v>
      </c>
      <c r="B270" s="70">
        <v>35.0</v>
      </c>
    </row>
    <row r="271">
      <c r="A271" s="69" t="s">
        <v>1252</v>
      </c>
      <c r="B271" s="70">
        <v>62.0</v>
      </c>
    </row>
    <row r="272">
      <c r="A272" s="69" t="s">
        <v>1258</v>
      </c>
      <c r="B272" s="70">
        <v>50.0</v>
      </c>
    </row>
    <row r="273">
      <c r="A273" s="69" t="s">
        <v>1246</v>
      </c>
      <c r="B273" s="70">
        <v>52.0</v>
      </c>
    </row>
    <row r="274">
      <c r="A274" s="69" t="s">
        <v>1203</v>
      </c>
      <c r="B274" s="70">
        <v>76.0</v>
      </c>
    </row>
    <row r="275">
      <c r="A275" s="69" t="s">
        <v>1253</v>
      </c>
      <c r="B275" s="70">
        <v>44.0</v>
      </c>
    </row>
    <row r="276">
      <c r="A276" s="69" t="s">
        <v>862</v>
      </c>
      <c r="B276" s="70">
        <v>6.0</v>
      </c>
    </row>
    <row r="277">
      <c r="A277" s="69" t="s">
        <v>1211</v>
      </c>
      <c r="B277" s="70">
        <v>46.0</v>
      </c>
    </row>
    <row r="278">
      <c r="A278" s="69" t="s">
        <v>1213</v>
      </c>
      <c r="B278" s="70">
        <v>10.0</v>
      </c>
    </row>
    <row r="279">
      <c r="A279" s="69" t="s">
        <v>1250</v>
      </c>
      <c r="B279" s="70">
        <v>63.0</v>
      </c>
    </row>
    <row r="280">
      <c r="A280" s="69" t="s">
        <v>1197</v>
      </c>
      <c r="B280" s="70">
        <v>41.0</v>
      </c>
    </row>
    <row r="281">
      <c r="A281" s="69" t="s">
        <v>1226</v>
      </c>
      <c r="B281" s="70">
        <v>61.0</v>
      </c>
    </row>
    <row r="282">
      <c r="A282" s="69" t="s">
        <v>1212</v>
      </c>
      <c r="B282" s="70">
        <v>61.0</v>
      </c>
    </row>
    <row r="283">
      <c r="A283" s="69" t="s">
        <v>1205</v>
      </c>
      <c r="B283" s="70">
        <v>68.0</v>
      </c>
    </row>
    <row r="284">
      <c r="A284" s="69" t="s">
        <v>1207</v>
      </c>
      <c r="B284" s="70">
        <v>25.0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4.0" topLeftCell="H5" activePane="bottomRight" state="frozen"/>
      <selection activeCell="H1" sqref="H1" pane="topRight"/>
      <selection activeCell="A5" sqref="A5" pane="bottomLeft"/>
      <selection activeCell="H5" sqref="H5" pane="bottomRight"/>
    </sheetView>
  </sheetViews>
  <sheetFormatPr customHeight="1" defaultColWidth="12.63" defaultRowHeight="15.75"/>
  <cols>
    <col customWidth="1" min="1" max="1" width="5.63"/>
    <col customWidth="1" min="2" max="2" width="20.88"/>
    <col customWidth="1" min="3" max="3" width="20.0"/>
    <col customWidth="1" min="4" max="5" width="13.88"/>
    <col customWidth="1" min="6" max="6" width="8.88"/>
    <col customWidth="1" min="7" max="7" width="9.25"/>
    <col customWidth="1" min="8" max="11" width="9.75"/>
    <col customWidth="1" min="12" max="34" width="12.63"/>
    <col customWidth="1" min="35" max="36" width="15.13"/>
  </cols>
  <sheetData>
    <row r="1">
      <c r="A1" s="72" t="s">
        <v>2408</v>
      </c>
      <c r="B1" s="73" t="s">
        <v>2409</v>
      </c>
      <c r="C1" s="73" t="s">
        <v>2410</v>
      </c>
      <c r="D1" s="74" t="s">
        <v>2411</v>
      </c>
      <c r="E1" s="75" t="s">
        <v>2412</v>
      </c>
      <c r="F1" s="76" t="s">
        <v>2413</v>
      </c>
      <c r="G1" s="74" t="s">
        <v>2414</v>
      </c>
      <c r="H1" s="77" t="s">
        <v>2415</v>
      </c>
      <c r="I1" s="78"/>
      <c r="J1" s="78"/>
      <c r="K1" s="79"/>
      <c r="L1" s="80" t="s">
        <v>2416</v>
      </c>
      <c r="M1" s="78"/>
      <c r="N1" s="78"/>
      <c r="O1" s="79"/>
      <c r="P1" s="81" t="s">
        <v>2417</v>
      </c>
      <c r="Q1" s="78"/>
      <c r="R1" s="79"/>
      <c r="S1" s="82"/>
      <c r="T1" s="83" t="s">
        <v>2418</v>
      </c>
      <c r="U1" s="78"/>
      <c r="V1" s="78"/>
      <c r="W1" s="78"/>
      <c r="X1" s="78"/>
      <c r="Y1" s="78"/>
      <c r="Z1" s="79"/>
      <c r="AA1" s="84" t="s">
        <v>2419</v>
      </c>
      <c r="AB1" s="78"/>
      <c r="AC1" s="78"/>
      <c r="AD1" s="78"/>
      <c r="AE1" s="78"/>
      <c r="AF1" s="78"/>
      <c r="AG1" s="78"/>
      <c r="AH1" s="79"/>
      <c r="AI1" s="75"/>
      <c r="AJ1" s="85"/>
      <c r="AK1" s="86" t="s">
        <v>2420</v>
      </c>
      <c r="AL1" s="86" t="s">
        <v>2421</v>
      </c>
      <c r="AM1" s="86" t="s">
        <v>2422</v>
      </c>
      <c r="AN1" s="86" t="s">
        <v>2423</v>
      </c>
      <c r="AO1" s="87" t="s">
        <v>2424</v>
      </c>
      <c r="AP1" s="88"/>
      <c r="AQ1" s="88"/>
    </row>
    <row r="2" ht="42.0" customHeight="1">
      <c r="A2" s="73"/>
      <c r="B2" s="73" t="s">
        <v>2425</v>
      </c>
      <c r="C2" s="73" t="s">
        <v>2426</v>
      </c>
      <c r="D2" s="89"/>
      <c r="E2" s="75" t="s">
        <v>2427</v>
      </c>
      <c r="F2" s="89"/>
      <c r="G2" s="89"/>
      <c r="H2" s="90" t="s">
        <v>2428</v>
      </c>
      <c r="I2" s="90" t="s">
        <v>2429</v>
      </c>
      <c r="J2" s="90" t="s">
        <v>2430</v>
      </c>
      <c r="K2" s="90" t="s">
        <v>2431</v>
      </c>
      <c r="L2" s="91" t="s">
        <v>2432</v>
      </c>
      <c r="M2" s="91" t="s">
        <v>2433</v>
      </c>
      <c r="N2" s="91" t="s">
        <v>2434</v>
      </c>
      <c r="O2" s="91" t="s">
        <v>2435</v>
      </c>
      <c r="P2" s="92" t="s">
        <v>2436</v>
      </c>
      <c r="Q2" s="92" t="s">
        <v>2437</v>
      </c>
      <c r="R2" s="92" t="s">
        <v>2438</v>
      </c>
      <c r="S2" s="92" t="s">
        <v>2439</v>
      </c>
      <c r="T2" s="93" t="s">
        <v>2440</v>
      </c>
      <c r="U2" s="93" t="s">
        <v>2441</v>
      </c>
      <c r="V2" s="93" t="s">
        <v>2442</v>
      </c>
      <c r="W2" s="93" t="s">
        <v>2443</v>
      </c>
      <c r="X2" s="93" t="s">
        <v>2444</v>
      </c>
      <c r="Y2" s="93" t="s">
        <v>2445</v>
      </c>
      <c r="Z2" s="93" t="s">
        <v>2446</v>
      </c>
      <c r="AA2" s="94" t="s">
        <v>2447</v>
      </c>
      <c r="AB2" s="94" t="s">
        <v>2448</v>
      </c>
      <c r="AC2" s="94" t="s">
        <v>2449</v>
      </c>
      <c r="AD2" s="94" t="s">
        <v>2450</v>
      </c>
      <c r="AE2" s="94" t="s">
        <v>2451</v>
      </c>
      <c r="AF2" s="94" t="s">
        <v>2452</v>
      </c>
      <c r="AG2" s="94" t="s">
        <v>2453</v>
      </c>
      <c r="AH2" s="94" t="s">
        <v>2454</v>
      </c>
      <c r="AI2" s="94" t="s">
        <v>2455</v>
      </c>
      <c r="AJ2" s="95" t="s">
        <v>2456</v>
      </c>
      <c r="AK2" s="96" t="s">
        <v>2457</v>
      </c>
      <c r="AL2" s="96" t="s">
        <v>2457</v>
      </c>
      <c r="AM2" s="96" t="s">
        <v>2457</v>
      </c>
      <c r="AN2" s="96" t="s">
        <v>2457</v>
      </c>
      <c r="AO2" s="96" t="s">
        <v>2457</v>
      </c>
      <c r="AP2" s="88"/>
      <c r="AQ2" s="88"/>
    </row>
    <row r="3">
      <c r="A3" s="97"/>
      <c r="B3" s="98" t="s">
        <v>2458</v>
      </c>
      <c r="C3" s="78"/>
      <c r="D3" s="79"/>
      <c r="E3" s="99"/>
      <c r="F3" s="78"/>
      <c r="G3" s="79"/>
      <c r="H3" s="100">
        <v>100.0</v>
      </c>
      <c r="I3" s="100">
        <v>100.0</v>
      </c>
      <c r="J3" s="100">
        <v>100.0</v>
      </c>
      <c r="K3" s="100">
        <v>100.0</v>
      </c>
      <c r="L3" s="100">
        <v>100.0</v>
      </c>
      <c r="M3" s="100">
        <v>100.0</v>
      </c>
      <c r="N3" s="100">
        <v>100.0</v>
      </c>
      <c r="O3" s="100">
        <v>100.0</v>
      </c>
      <c r="P3" s="100">
        <v>100.0</v>
      </c>
      <c r="Q3" s="100">
        <v>100.0</v>
      </c>
      <c r="R3" s="100">
        <v>100.0</v>
      </c>
      <c r="S3" s="101">
        <v>100.0</v>
      </c>
      <c r="T3" s="102">
        <v>25.0</v>
      </c>
      <c r="U3" s="100">
        <v>25.0</v>
      </c>
      <c r="V3" s="100">
        <v>100.0</v>
      </c>
      <c r="W3" s="100">
        <v>100.0</v>
      </c>
      <c r="X3" s="100">
        <v>100.0</v>
      </c>
      <c r="Y3" s="100">
        <v>100.0</v>
      </c>
      <c r="Z3" s="100">
        <v>100.0</v>
      </c>
      <c r="AA3" s="102">
        <v>100.0</v>
      </c>
      <c r="AB3" s="102">
        <v>100.0</v>
      </c>
      <c r="AC3" s="102">
        <v>100.0</v>
      </c>
      <c r="AD3" s="102">
        <v>100.0</v>
      </c>
      <c r="AE3" s="102">
        <v>100.0</v>
      </c>
      <c r="AF3" s="102">
        <v>100.0</v>
      </c>
      <c r="AG3" s="103">
        <v>100.0</v>
      </c>
      <c r="AH3" s="104">
        <v>100.0</v>
      </c>
      <c r="AI3" s="105">
        <v>100.0</v>
      </c>
      <c r="AJ3" s="105"/>
      <c r="AK3" s="106"/>
      <c r="AL3" s="106"/>
      <c r="AM3" s="106"/>
      <c r="AN3" s="106"/>
      <c r="AO3" s="106"/>
      <c r="AP3" s="88"/>
      <c r="AQ3" s="88"/>
    </row>
    <row r="4">
      <c r="A4" s="97"/>
      <c r="B4" s="98" t="s">
        <v>2459</v>
      </c>
      <c r="C4" s="78"/>
      <c r="D4" s="79"/>
      <c r="E4" s="99"/>
      <c r="F4" s="78"/>
      <c r="G4" s="79"/>
      <c r="H4" s="100">
        <v>65.0</v>
      </c>
      <c r="I4" s="100">
        <v>65.0</v>
      </c>
      <c r="J4" s="100">
        <v>70.0</v>
      </c>
      <c r="K4" s="100">
        <v>70.0</v>
      </c>
      <c r="L4" s="107">
        <v>50.0</v>
      </c>
      <c r="M4" s="107">
        <v>50.0</v>
      </c>
      <c r="N4" s="107">
        <v>50.0</v>
      </c>
      <c r="O4" s="108">
        <v>50.0</v>
      </c>
      <c r="P4" s="107">
        <v>50.0</v>
      </c>
      <c r="Q4" s="107">
        <v>50.0</v>
      </c>
      <c r="R4" s="107">
        <v>50.0</v>
      </c>
      <c r="S4" s="109">
        <v>50.0</v>
      </c>
      <c r="T4" s="110">
        <v>10.0</v>
      </c>
      <c r="U4" s="108">
        <v>10.0</v>
      </c>
      <c r="V4" s="108">
        <v>50.0</v>
      </c>
      <c r="W4" s="108">
        <v>50.0</v>
      </c>
      <c r="X4" s="107">
        <v>50.0</v>
      </c>
      <c r="Y4" s="107">
        <v>50.0</v>
      </c>
      <c r="Z4" s="111">
        <v>50.0</v>
      </c>
      <c r="AA4" s="112">
        <v>50.0</v>
      </c>
      <c r="AB4" s="112">
        <v>50.0</v>
      </c>
      <c r="AC4" s="112">
        <v>60.0</v>
      </c>
      <c r="AD4" s="112">
        <v>60.0</v>
      </c>
      <c r="AE4" s="110">
        <v>70.0</v>
      </c>
      <c r="AF4" s="110">
        <v>70.0</v>
      </c>
      <c r="AG4" s="102">
        <v>70.0</v>
      </c>
      <c r="AH4" s="113">
        <v>70.0</v>
      </c>
      <c r="AI4" s="105">
        <v>50.0</v>
      </c>
      <c r="AJ4" s="105"/>
      <c r="AK4" s="106"/>
      <c r="AL4" s="106"/>
      <c r="AM4" s="106"/>
      <c r="AN4" s="106"/>
      <c r="AO4" s="106"/>
      <c r="AP4" s="88"/>
      <c r="AQ4" s="88"/>
    </row>
    <row r="5">
      <c r="A5" s="114">
        <v>1.0</v>
      </c>
      <c r="B5" s="114" t="s">
        <v>1928</v>
      </c>
      <c r="C5" s="115" t="s">
        <v>2460</v>
      </c>
      <c r="D5" s="116" t="str">
        <f>VLOOKUP(B5,USN!$1:$1088,2,FALSE)</f>
        <v>1CR23CS001</v>
      </c>
      <c r="E5" s="116">
        <v>9.663561099E9</v>
      </c>
      <c r="F5" s="117" t="s">
        <v>2461</v>
      </c>
      <c r="G5" s="118"/>
      <c r="H5" s="119">
        <v>72.0</v>
      </c>
      <c r="I5" s="119">
        <v>77.0</v>
      </c>
      <c r="J5" s="120">
        <f>IFNA(VLOOKUP(D5,'L3'!$1:$2060,2,False),0)</f>
        <v>70</v>
      </c>
      <c r="K5" s="120">
        <f>VLOOKUP(D5,'L4'!$1:$2059,2,FALSE)</f>
        <v>71</v>
      </c>
      <c r="L5" s="121">
        <f>VLOOKUP(D5,'A1 RETEST 5 DEC'!$1:$2096,2,FALSE)</f>
        <v>50</v>
      </c>
      <c r="M5" s="121">
        <f>VLOOKUP(D5,'A2 RETEST 4 DEC'!$1:$2096,2,FALSE)</f>
        <v>13</v>
      </c>
      <c r="N5" s="122">
        <v>50.0</v>
      </c>
      <c r="O5" s="121"/>
      <c r="P5" s="123">
        <f>IFNA(VLOOKUP(D5,'S1'!$1:$1325,2,False),0)</f>
        <v>50</v>
      </c>
      <c r="Q5" s="123">
        <f>IFNA(vlookup(D5,'S2'!A1:B1203,2,False),0)</f>
        <v>50</v>
      </c>
      <c r="R5" s="123">
        <f>ifna(vlookup(D5,'S3'!$1:$1311,2,False),0)</f>
        <v>88</v>
      </c>
      <c r="S5" s="123"/>
      <c r="T5" s="124">
        <v>17.0</v>
      </c>
      <c r="U5" s="125">
        <v>12.0</v>
      </c>
      <c r="V5" s="125">
        <v>84.0</v>
      </c>
      <c r="W5" s="125"/>
      <c r="X5" s="125">
        <v>80.0</v>
      </c>
      <c r="Y5" s="125"/>
      <c r="Z5" s="126"/>
      <c r="AA5" s="127">
        <v>40.0</v>
      </c>
      <c r="AB5" s="26">
        <v>100.0</v>
      </c>
      <c r="AC5" s="128">
        <v>96.5</v>
      </c>
      <c r="AD5" s="129">
        <v>100.0</v>
      </c>
      <c r="AE5" s="130">
        <v>70.0</v>
      </c>
      <c r="AF5" s="129"/>
      <c r="AG5" s="129">
        <v>61.0</v>
      </c>
      <c r="AH5" s="129"/>
      <c r="AI5" s="131"/>
      <c r="AJ5" s="131"/>
      <c r="AK5" s="132">
        <f t="shared" ref="AK5:AK240" si="1">IF(H5&gt;=$H$4, 
    IF(I5&gt;=$I$4, 
        IF(J5&gt;=$J$4, 
            IF(K5&gt;=$K$4, 4, 3), 
            2), 
        1), 
    0)
</f>
        <v>4</v>
      </c>
      <c r="AL5" s="132">
        <f t="shared" ref="AL5:AL241" si="2">IF(L5&gt;=$L$4, 
    IF(M5&gt;=$M$4, 
        IF(N5&gt;=$N$4, 
            IF(O5&gt;=$O$4, 4, 3), 
            2), 
        1), 
    0)
</f>
        <v>1</v>
      </c>
      <c r="AM5" s="133">
        <f t="shared" ref="AM5:AM240" si="3">IF(AND(U5&gt;=$U$4, W5&gt;=$W$4, Y5&gt;=$Y$4, Z5&lt;&gt;"", Z5&gt;=$Z$4), 5,
 IF(AND(U5&gt;=$U$4, W5&gt;=$W$4, Y5&gt;=$Y$4), 4,
  IF(AND(U5&gt;=$U$4, W5&gt;=$W$4), 3,
   IF(AND(T5&gt;=$T$4, U5&gt;=$U$4), 2,
    0
   )
  )
 )
)
</f>
        <v>2</v>
      </c>
      <c r="AN5" s="132" t="str">
        <f t="shared" ref="AN5:AN240" si="4">IF(AB5&gt;=$AB$4, 
    IF(OR(AC5&gt;=$AC$4, AD5&gt;=$AD$4), 
        IF(AND(AE5&gt;=$AE$4, AF5&gt;=$AF$4, OR(AG5&gt;=$AG$4, AH5&gt;=$AH$4)), "4", 
            IF(OR(AE5&gt;=$AE$4, AF5&gt;=$AF$4), "3.5", 
                "3")), 
        "2"), 
    "0")</f>
        <v>3.5</v>
      </c>
      <c r="AO5" s="132">
        <f t="shared" ref="AO5:AO240" si="5">IF(P5&gt;=$P$4,
        IF(Q5&gt;=$Q$4,
             IF(R5&gt;=$R$4,
                  IF(S5&gt;=$S$4,4,3),
                  2),
             1),
         0)
</f>
        <v>3</v>
      </c>
      <c r="AP5" s="88"/>
      <c r="AQ5" s="88"/>
    </row>
    <row r="6">
      <c r="A6" s="114">
        <v>2.0</v>
      </c>
      <c r="B6" s="115" t="s">
        <v>1885</v>
      </c>
      <c r="C6" s="115" t="s">
        <v>2462</v>
      </c>
      <c r="D6" s="116" t="str">
        <f>VLOOKUP(B6,USN!$1:$1088,2,FALSE)</f>
        <v>1CR23CS002</v>
      </c>
      <c r="E6" s="116">
        <v>8.527939636E9</v>
      </c>
      <c r="F6" s="117" t="s">
        <v>2461</v>
      </c>
      <c r="G6" s="118"/>
      <c r="H6" s="119">
        <v>76.0</v>
      </c>
      <c r="I6" s="116">
        <v>90.0</v>
      </c>
      <c r="J6" s="120">
        <f>IFNA(VLOOKUP(D6,'L3'!$1:$2060,2,False),0)</f>
        <v>82</v>
      </c>
      <c r="K6" s="120">
        <f>VLOOKUP(D6,'L4'!$1:$2059,2,FALSE)</f>
        <v>73</v>
      </c>
      <c r="L6" s="121">
        <f>VLOOKUP(D6,'A1 RETEST 5 DEC'!$1:$2096,2,FALSE)</f>
        <v>60</v>
      </c>
      <c r="M6" s="121">
        <f>VLOOKUP(D6,'A2 RETEST 4 DEC'!$1:$2096,2,FALSE)</f>
        <v>50</v>
      </c>
      <c r="N6" s="122">
        <v>50.0</v>
      </c>
      <c r="O6" s="121"/>
      <c r="P6" s="123">
        <f>IFNA(VLOOKUP(D6,'S1'!$1:$1325,2,False),0)</f>
        <v>75</v>
      </c>
      <c r="Q6" s="123">
        <f>IFNA(vlookup(D6,'S2'!A2:B1204,2,False),0)</f>
        <v>50</v>
      </c>
      <c r="R6" s="123">
        <f>ifna(vlookup(D6,'S3'!$1:$1311,2,False),0)</f>
        <v>74</v>
      </c>
      <c r="S6" s="123"/>
      <c r="T6" s="124">
        <v>22.0</v>
      </c>
      <c r="U6" s="125">
        <v>17.0</v>
      </c>
      <c r="V6" s="125">
        <v>64.0</v>
      </c>
      <c r="W6" s="125">
        <v>52.0</v>
      </c>
      <c r="X6" s="125">
        <v>72.0</v>
      </c>
      <c r="Y6" s="125"/>
      <c r="Z6" s="126"/>
      <c r="AA6" s="127">
        <v>80.0</v>
      </c>
      <c r="AB6" s="26">
        <v>96.25</v>
      </c>
      <c r="AC6" s="128">
        <v>60.0</v>
      </c>
      <c r="AD6" s="129">
        <v>18.0</v>
      </c>
      <c r="AE6" s="130">
        <v>23.0</v>
      </c>
      <c r="AF6" s="129"/>
      <c r="AG6" s="129">
        <v>20.0</v>
      </c>
      <c r="AH6" s="129"/>
      <c r="AI6" s="131"/>
      <c r="AJ6" s="131"/>
      <c r="AK6" s="132">
        <f t="shared" si="1"/>
        <v>4</v>
      </c>
      <c r="AL6" s="132">
        <f t="shared" si="2"/>
        <v>3</v>
      </c>
      <c r="AM6" s="133">
        <f t="shared" si="3"/>
        <v>3</v>
      </c>
      <c r="AN6" s="132" t="str">
        <f t="shared" si="4"/>
        <v>3</v>
      </c>
      <c r="AO6" s="132">
        <f t="shared" si="5"/>
        <v>3</v>
      </c>
      <c r="AP6" s="88"/>
      <c r="AQ6" s="88"/>
    </row>
    <row r="7">
      <c r="A7" s="114">
        <v>3.0</v>
      </c>
      <c r="B7" s="115" t="s">
        <v>1933</v>
      </c>
      <c r="C7" s="115" t="s">
        <v>2462</v>
      </c>
      <c r="D7" s="116" t="str">
        <f>VLOOKUP(B7,USN!$1:$1088,2,FALSE)</f>
        <v>1CR23CS003</v>
      </c>
      <c r="E7" s="134">
        <v>9.77982E12</v>
      </c>
      <c r="F7" s="117" t="s">
        <v>2461</v>
      </c>
      <c r="G7" s="118"/>
      <c r="H7" s="119">
        <v>81.0</v>
      </c>
      <c r="I7" s="116">
        <v>86.0</v>
      </c>
      <c r="J7" s="120">
        <f>IFNA(VLOOKUP(D7,'L3'!$1:$2060,2,False),0)</f>
        <v>70</v>
      </c>
      <c r="K7" s="120">
        <f>VLOOKUP(D7,'L4'!$1:$2059,2,FALSE)</f>
        <v>70</v>
      </c>
      <c r="L7" s="121">
        <f>VLOOKUP(D7,'A1 RETEST 5 DEC'!$1:$2096,2,FALSE)</f>
        <v>60</v>
      </c>
      <c r="M7" s="121">
        <f>VLOOKUP(D7,'A2 RETEST 4 DEC'!$1:$2096,2,FALSE)</f>
        <v>50</v>
      </c>
      <c r="N7" s="122">
        <v>50.0</v>
      </c>
      <c r="O7" s="121"/>
      <c r="P7" s="123">
        <f>IFNA(VLOOKUP(D7,'S1'!$1:$1325,2,False),0)</f>
        <v>72</v>
      </c>
      <c r="Q7" s="123">
        <f>IFNA(vlookup(D7,'S2'!A3:B1205,2,False),0)</f>
        <v>63</v>
      </c>
      <c r="R7" s="123">
        <f>ifna(vlookup(D7,'S3'!$1:$1311,2,False),0)</f>
        <v>90</v>
      </c>
      <c r="S7" s="123"/>
      <c r="T7" s="124">
        <v>20.0</v>
      </c>
      <c r="U7" s="125">
        <v>21.0</v>
      </c>
      <c r="V7" s="125">
        <v>72.0</v>
      </c>
      <c r="W7" s="125">
        <v>24.0</v>
      </c>
      <c r="X7" s="125">
        <v>80.0</v>
      </c>
      <c r="Y7" s="125"/>
      <c r="Z7" s="126"/>
      <c r="AA7" s="127">
        <v>94.0</v>
      </c>
      <c r="AB7" s="26">
        <v>97.5</v>
      </c>
      <c r="AC7" s="128">
        <v>75.0</v>
      </c>
      <c r="AD7" s="129">
        <v>60.0</v>
      </c>
      <c r="AE7" s="130">
        <v>70.0</v>
      </c>
      <c r="AF7" s="129"/>
      <c r="AG7" s="129">
        <v>88.0</v>
      </c>
      <c r="AH7" s="129"/>
      <c r="AI7" s="131"/>
      <c r="AJ7" s="131"/>
      <c r="AK7" s="132">
        <f t="shared" si="1"/>
        <v>4</v>
      </c>
      <c r="AL7" s="132">
        <f t="shared" si="2"/>
        <v>3</v>
      </c>
      <c r="AM7" s="133">
        <f t="shared" si="3"/>
        <v>2</v>
      </c>
      <c r="AN7" s="132" t="str">
        <f t="shared" si="4"/>
        <v>3.5</v>
      </c>
      <c r="AO7" s="132">
        <f t="shared" si="5"/>
        <v>3</v>
      </c>
      <c r="AP7" s="88"/>
      <c r="AQ7" s="88"/>
    </row>
    <row r="8">
      <c r="A8" s="114">
        <v>4.0</v>
      </c>
      <c r="B8" s="115" t="s">
        <v>1932</v>
      </c>
      <c r="C8" s="115" t="s">
        <v>2463</v>
      </c>
      <c r="D8" s="116" t="str">
        <f>VLOOKUP(B8,USN!$1:$1088,2,FALSE)</f>
        <v>1CR23CS004</v>
      </c>
      <c r="E8" s="116">
        <v>7.033933902E9</v>
      </c>
      <c r="F8" s="117" t="s">
        <v>2461</v>
      </c>
      <c r="G8" s="118"/>
      <c r="H8" s="119">
        <v>78.0</v>
      </c>
      <c r="I8" s="116">
        <v>85.0</v>
      </c>
      <c r="J8" s="120">
        <f>IFNA(VLOOKUP(D8,'L3'!$1:$2060,2,False),0)</f>
        <v>49</v>
      </c>
      <c r="K8" s="120">
        <f>VLOOKUP(D8,'L4'!$1:$2059,2,FALSE)</f>
        <v>70</v>
      </c>
      <c r="L8" s="121">
        <f>VLOOKUP(D8,'A1 RETEST 5 DEC'!$1:$2096,2,FALSE)</f>
        <v>34</v>
      </c>
      <c r="M8" s="121">
        <f>VLOOKUP(D8,'A2 RETEST 4 DEC'!$1:$2096,2,FALSE)</f>
        <v>18</v>
      </c>
      <c r="N8" s="122">
        <v>40.0</v>
      </c>
      <c r="O8" s="121"/>
      <c r="P8" s="123">
        <f>IFNA(VLOOKUP(D8,'S1'!$1:$1325,2,False),0)</f>
        <v>50</v>
      </c>
      <c r="Q8" s="123">
        <f>IFNA(vlookup(D8,'S2'!A4:B1206,2,False),0)</f>
        <v>63</v>
      </c>
      <c r="R8" s="123">
        <f>ifna(vlookup(D8,'S3'!$1:$1311,2,False),0)</f>
        <v>86</v>
      </c>
      <c r="S8" s="123"/>
      <c r="T8" s="124">
        <v>20.0</v>
      </c>
      <c r="U8" s="125">
        <v>12.0</v>
      </c>
      <c r="V8" s="125">
        <v>56.0</v>
      </c>
      <c r="W8" s="125">
        <v>32.0</v>
      </c>
      <c r="X8" s="125">
        <v>76.0</v>
      </c>
      <c r="Y8" s="125"/>
      <c r="Z8" s="126"/>
      <c r="AA8" s="127">
        <v>0.0</v>
      </c>
      <c r="AB8" s="26">
        <v>93.75</v>
      </c>
      <c r="AC8" s="128">
        <v>22.0</v>
      </c>
      <c r="AD8" s="129">
        <v>70.0</v>
      </c>
      <c r="AE8" s="130">
        <v>35.0</v>
      </c>
      <c r="AF8" s="129"/>
      <c r="AG8" s="129">
        <v>26.0</v>
      </c>
      <c r="AH8" s="129"/>
      <c r="AI8" s="131"/>
      <c r="AJ8" s="131"/>
      <c r="AK8" s="132">
        <f t="shared" si="1"/>
        <v>2</v>
      </c>
      <c r="AL8" s="132">
        <f t="shared" si="2"/>
        <v>0</v>
      </c>
      <c r="AM8" s="133">
        <f t="shared" si="3"/>
        <v>2</v>
      </c>
      <c r="AN8" s="132" t="str">
        <f t="shared" si="4"/>
        <v>3</v>
      </c>
      <c r="AO8" s="132">
        <f t="shared" si="5"/>
        <v>3</v>
      </c>
      <c r="AP8" s="88"/>
      <c r="AQ8" s="88"/>
    </row>
    <row r="9">
      <c r="A9" s="114">
        <v>5.0</v>
      </c>
      <c r="B9" s="115" t="s">
        <v>1886</v>
      </c>
      <c r="C9" s="115" t="s">
        <v>2464</v>
      </c>
      <c r="D9" s="116" t="str">
        <f>VLOOKUP(B9,USN!$1:$1088,2,FALSE)</f>
        <v>1CR23CS005</v>
      </c>
      <c r="E9" s="116">
        <v>9.508931008E9</v>
      </c>
      <c r="F9" s="117" t="s">
        <v>2461</v>
      </c>
      <c r="G9" s="118"/>
      <c r="H9" s="119">
        <v>75.0</v>
      </c>
      <c r="I9" s="116">
        <v>83.0</v>
      </c>
      <c r="J9" s="120">
        <f>IFNA(VLOOKUP(D9,'L3'!$1:$2060,2,False),0)</f>
        <v>70</v>
      </c>
      <c r="K9" s="120">
        <f>VLOOKUP(D9,'L4'!$1:$2059,2,FALSE)</f>
        <v>70</v>
      </c>
      <c r="L9" s="121">
        <f>VLOOKUP(D9,'A1 RETEST 5 DEC'!$1:$2096,2,FALSE)</f>
        <v>50</v>
      </c>
      <c r="M9" s="121">
        <f>VLOOKUP(D9,'A2 RETEST 4 DEC'!$1:$2096,2,FALSE)</f>
        <v>50</v>
      </c>
      <c r="N9" s="122">
        <v>51.0</v>
      </c>
      <c r="O9" s="121"/>
      <c r="P9" s="123">
        <f>IFNA(VLOOKUP(D9,'S1'!$1:$1325,2,False),0)</f>
        <v>82</v>
      </c>
      <c r="Q9" s="123">
        <f>IFNA(vlookup(D9,'S2'!A5:B1207,2,False),0)</f>
        <v>63</v>
      </c>
      <c r="R9" s="123">
        <f>ifna(vlookup(D9,'S3'!$1:$1311,2,False),0)</f>
        <v>86</v>
      </c>
      <c r="S9" s="123"/>
      <c r="T9" s="124">
        <v>12.0</v>
      </c>
      <c r="U9" s="125">
        <v>21.0</v>
      </c>
      <c r="V9" s="125">
        <v>72.0</v>
      </c>
      <c r="W9" s="125">
        <v>32.0</v>
      </c>
      <c r="X9" s="125">
        <v>80.0</v>
      </c>
      <c r="Y9" s="125"/>
      <c r="Z9" s="125"/>
      <c r="AA9" s="127">
        <v>94.0</v>
      </c>
      <c r="AB9" s="26">
        <v>97.5</v>
      </c>
      <c r="AC9" s="135">
        <v>80.0</v>
      </c>
      <c r="AD9" s="129">
        <v>60.0</v>
      </c>
      <c r="AE9" s="130">
        <v>70.0</v>
      </c>
      <c r="AF9" s="129"/>
      <c r="AG9" s="129">
        <v>86.0</v>
      </c>
      <c r="AH9" s="129"/>
      <c r="AI9" s="131"/>
      <c r="AJ9" s="131"/>
      <c r="AK9" s="132">
        <f t="shared" si="1"/>
        <v>4</v>
      </c>
      <c r="AL9" s="132">
        <f t="shared" si="2"/>
        <v>3</v>
      </c>
      <c r="AM9" s="133">
        <f t="shared" si="3"/>
        <v>2</v>
      </c>
      <c r="AN9" s="132" t="str">
        <f t="shared" si="4"/>
        <v>3.5</v>
      </c>
      <c r="AO9" s="132">
        <f t="shared" si="5"/>
        <v>3</v>
      </c>
      <c r="AP9" s="88"/>
      <c r="AQ9" s="88"/>
    </row>
    <row r="10">
      <c r="A10" s="114">
        <v>6.0</v>
      </c>
      <c r="B10" s="115" t="s">
        <v>1887</v>
      </c>
      <c r="C10" s="115" t="s">
        <v>2465</v>
      </c>
      <c r="D10" s="116" t="str">
        <f>VLOOKUP(B10,USN!$1:$1088,2,FALSE)</f>
        <v>1CR23CS006</v>
      </c>
      <c r="E10" s="116">
        <v>7.624945805E9</v>
      </c>
      <c r="F10" s="117" t="s">
        <v>2461</v>
      </c>
      <c r="G10" s="118"/>
      <c r="H10" s="119">
        <v>85.0</v>
      </c>
      <c r="I10" s="116">
        <v>83.0</v>
      </c>
      <c r="J10" s="120">
        <f>IFNA(VLOOKUP(D10,'L3'!$1:$2060,2,False),0)</f>
        <v>54</v>
      </c>
      <c r="K10" s="120">
        <f>VLOOKUP(D10,'L4'!$1:$2059,2,FALSE)</f>
        <v>70</v>
      </c>
      <c r="L10" s="121">
        <f>VLOOKUP(D10,'A1 RETEST 5 DEC'!$1:$2096,2,FALSE)</f>
        <v>69</v>
      </c>
      <c r="M10" s="121">
        <f>VLOOKUP(D10,'A2 RETEST 4 DEC'!$1:$2096,2,FALSE)</f>
        <v>64</v>
      </c>
      <c r="N10" s="122">
        <v>50.0</v>
      </c>
      <c r="O10" s="121"/>
      <c r="P10" s="123">
        <f>IFNA(VLOOKUP(D10,'S1'!$1:$1325,2,False),0)</f>
        <v>75</v>
      </c>
      <c r="Q10" s="123">
        <f>IFNA(vlookup(D10,'S2'!A6:B1208,2,False),0)</f>
        <v>62</v>
      </c>
      <c r="R10" s="123">
        <f>ifna(vlookup(D10,'S3'!$1:$1311,2,False),0)</f>
        <v>50</v>
      </c>
      <c r="S10" s="123"/>
      <c r="T10" s="124">
        <v>12.0</v>
      </c>
      <c r="U10" s="125">
        <v>17.0</v>
      </c>
      <c r="V10" s="125">
        <v>95.0</v>
      </c>
      <c r="W10" s="125">
        <v>40.0</v>
      </c>
      <c r="X10" s="125">
        <v>84.0</v>
      </c>
      <c r="Y10" s="125"/>
      <c r="Z10" s="126"/>
      <c r="AA10" s="127">
        <v>88.0</v>
      </c>
      <c r="AB10" s="26">
        <v>100.0</v>
      </c>
      <c r="AC10" s="135">
        <v>0.0</v>
      </c>
      <c r="AD10" s="129">
        <v>90.0</v>
      </c>
      <c r="AE10" s="130">
        <v>70.0</v>
      </c>
      <c r="AF10" s="129"/>
      <c r="AG10" s="129">
        <v>19.0</v>
      </c>
      <c r="AH10" s="129"/>
      <c r="AI10" s="131"/>
      <c r="AJ10" s="131"/>
      <c r="AK10" s="132">
        <f t="shared" si="1"/>
        <v>2</v>
      </c>
      <c r="AL10" s="132">
        <f t="shared" si="2"/>
        <v>3</v>
      </c>
      <c r="AM10" s="133">
        <f t="shared" si="3"/>
        <v>2</v>
      </c>
      <c r="AN10" s="132" t="str">
        <f t="shared" si="4"/>
        <v>3.5</v>
      </c>
      <c r="AO10" s="132">
        <f t="shared" si="5"/>
        <v>3</v>
      </c>
      <c r="AP10" s="88"/>
      <c r="AQ10" s="88"/>
    </row>
    <row r="11">
      <c r="A11" s="114">
        <v>7.0</v>
      </c>
      <c r="B11" s="115" t="s">
        <v>2027</v>
      </c>
      <c r="C11" s="115" t="s">
        <v>2466</v>
      </c>
      <c r="D11" s="116" t="str">
        <f>VLOOKUP(B11,USN!$1:$1088,2,FALSE)</f>
        <v>1CR23CS007</v>
      </c>
      <c r="E11" s="116">
        <v>9.955584833E9</v>
      </c>
      <c r="F11" s="117" t="s">
        <v>2461</v>
      </c>
      <c r="G11" s="118"/>
      <c r="H11" s="119">
        <v>75.0</v>
      </c>
      <c r="I11" s="116">
        <v>70.0</v>
      </c>
      <c r="J11" s="120">
        <f>IFNA(VLOOKUP(D11,'L3'!$1:$2060,2,False),0)</f>
        <v>70</v>
      </c>
      <c r="K11" s="120">
        <f>VLOOKUP(D11,'L4'!$1:$2059,2,FALSE)</f>
        <v>70</v>
      </c>
      <c r="L11" s="121">
        <f>VLOOKUP(D11,'A1 RETEST 5 DEC'!$1:$2096,2,FALSE)</f>
        <v>12</v>
      </c>
      <c r="M11" s="121">
        <f>VLOOKUP(D11,'A2 RETEST 4 DEC'!$1:$2096,2,FALSE)</f>
        <v>35</v>
      </c>
      <c r="N11" s="122">
        <v>45.0</v>
      </c>
      <c r="O11" s="121"/>
      <c r="P11" s="123">
        <f>IFNA(VLOOKUP(D11,'S1'!$1:$1325,2,False),0)</f>
        <v>0</v>
      </c>
      <c r="Q11" s="123">
        <f>IFNA(vlookup(D11,'S2'!A7:B1209,2,False),0)</f>
        <v>50</v>
      </c>
      <c r="R11" s="123">
        <f>ifna(vlookup(D11,'S3'!$1:$1311,2,False),0)</f>
        <v>0</v>
      </c>
      <c r="S11" s="123"/>
      <c r="T11" s="124">
        <v>18.0</v>
      </c>
      <c r="U11" s="125">
        <v>22.0</v>
      </c>
      <c r="V11" s="125">
        <v>84.0</v>
      </c>
      <c r="W11" s="125">
        <v>40.0</v>
      </c>
      <c r="X11" s="125">
        <v>86.0</v>
      </c>
      <c r="Y11" s="125"/>
      <c r="Z11" s="126"/>
      <c r="AA11" s="127">
        <v>79.6</v>
      </c>
      <c r="AB11" s="26">
        <v>78.0</v>
      </c>
      <c r="AC11" s="135">
        <v>70.5</v>
      </c>
      <c r="AD11" s="129">
        <v>60.0</v>
      </c>
      <c r="AE11" s="130">
        <v>73.0</v>
      </c>
      <c r="AF11" s="129"/>
      <c r="AG11" s="129">
        <v>48.0</v>
      </c>
      <c r="AH11" s="129"/>
      <c r="AI11" s="131"/>
      <c r="AJ11" s="131"/>
      <c r="AK11" s="132">
        <f t="shared" si="1"/>
        <v>4</v>
      </c>
      <c r="AL11" s="132">
        <f t="shared" si="2"/>
        <v>0</v>
      </c>
      <c r="AM11" s="133">
        <f t="shared" si="3"/>
        <v>2</v>
      </c>
      <c r="AN11" s="132" t="str">
        <f t="shared" si="4"/>
        <v>3.5</v>
      </c>
      <c r="AO11" s="132">
        <f t="shared" si="5"/>
        <v>0</v>
      </c>
      <c r="AP11" s="88"/>
      <c r="AQ11" s="88"/>
    </row>
    <row r="12">
      <c r="A12" s="114">
        <v>8.0</v>
      </c>
      <c r="B12" s="136" t="s">
        <v>1944</v>
      </c>
      <c r="C12" s="115" t="s">
        <v>2467</v>
      </c>
      <c r="D12" s="116" t="str">
        <f>VLOOKUP(B12,USN!$1:$1088,2,FALSE)</f>
        <v>1CR23CS008</v>
      </c>
      <c r="E12" s="116">
        <v>7.483247816E9</v>
      </c>
      <c r="F12" s="117" t="s">
        <v>2461</v>
      </c>
      <c r="G12" s="118"/>
      <c r="H12" s="119">
        <v>85.0</v>
      </c>
      <c r="I12" s="116">
        <v>82.0</v>
      </c>
      <c r="J12" s="120">
        <f>IFNA(VLOOKUP(D12,'L3'!$1:$2060,2,False),0)</f>
        <v>70</v>
      </c>
      <c r="K12" s="120">
        <f>VLOOKUP(D12,'L4'!$1:$2059,2,FALSE)</f>
        <v>70</v>
      </c>
      <c r="L12" s="121">
        <f>VLOOKUP(D12,'A1 RETEST 5 DEC'!$1:$2096,2,FALSE)</f>
        <v>45</v>
      </c>
      <c r="M12" s="121">
        <f>VLOOKUP(D12,'A2 RETEST 4 DEC'!$1:$2096,2,FALSE)</f>
        <v>19</v>
      </c>
      <c r="N12" s="122">
        <v>0.0</v>
      </c>
      <c r="O12" s="121"/>
      <c r="P12" s="123">
        <f>IFNA(VLOOKUP(D12,'S1'!$1:$1325,2,False),0)</f>
        <v>87</v>
      </c>
      <c r="Q12" s="123">
        <f>IFNA(vlookup(D12,'S2'!A8:B1210,2,False),0)</f>
        <v>63</v>
      </c>
      <c r="R12" s="123">
        <f>ifna(vlookup(D12,'S3'!$1:$1311,2,False),0)</f>
        <v>0</v>
      </c>
      <c r="S12" s="123"/>
      <c r="T12" s="124">
        <v>19.0</v>
      </c>
      <c r="U12" s="125">
        <v>17.0</v>
      </c>
      <c r="V12" s="125">
        <v>72.0</v>
      </c>
      <c r="W12" s="125"/>
      <c r="X12" s="125"/>
      <c r="Y12" s="125"/>
      <c r="Z12" s="126"/>
      <c r="AA12" s="127">
        <v>15.0</v>
      </c>
      <c r="AB12" s="26">
        <v>98.75</v>
      </c>
      <c r="AC12" s="135">
        <v>82.5</v>
      </c>
      <c r="AD12" s="129">
        <v>60.0</v>
      </c>
      <c r="AE12" s="130">
        <v>10.0</v>
      </c>
      <c r="AF12" s="129"/>
      <c r="AG12" s="129">
        <v>5.0</v>
      </c>
      <c r="AH12" s="129"/>
      <c r="AI12" s="131"/>
      <c r="AJ12" s="131"/>
      <c r="AK12" s="132">
        <f t="shared" si="1"/>
        <v>4</v>
      </c>
      <c r="AL12" s="132">
        <f t="shared" si="2"/>
        <v>0</v>
      </c>
      <c r="AM12" s="133">
        <f t="shared" si="3"/>
        <v>2</v>
      </c>
      <c r="AN12" s="132" t="str">
        <f t="shared" si="4"/>
        <v>3</v>
      </c>
      <c r="AO12" s="132">
        <f t="shared" si="5"/>
        <v>2</v>
      </c>
      <c r="AP12" s="88"/>
      <c r="AQ12" s="88"/>
    </row>
    <row r="13">
      <c r="A13" s="114">
        <v>9.0</v>
      </c>
      <c r="B13" s="115" t="s">
        <v>2006</v>
      </c>
      <c r="C13" s="115" t="s">
        <v>2468</v>
      </c>
      <c r="D13" s="116" t="str">
        <f>VLOOKUP(B13,USN!$1:$1088,2,FALSE)</f>
        <v>1CR23CS009</v>
      </c>
      <c r="E13" s="116">
        <v>9.811541341E9</v>
      </c>
      <c r="F13" s="117" t="s">
        <v>2461</v>
      </c>
      <c r="G13" s="118"/>
      <c r="H13" s="119">
        <v>75.0</v>
      </c>
      <c r="I13" s="116">
        <v>83.0</v>
      </c>
      <c r="J13" s="120">
        <f>IFNA(VLOOKUP(D13,'L3'!$1:$2060,2,False),0)</f>
        <v>70</v>
      </c>
      <c r="K13" s="120">
        <f>VLOOKUP(D13,'L4'!$1:$2059,2,FALSE)</f>
        <v>70</v>
      </c>
      <c r="L13" s="121">
        <f>VLOOKUP(D13,'A1 RETEST 5 DEC'!$1:$2096,2,FALSE)</f>
        <v>50</v>
      </c>
      <c r="M13" s="121">
        <f>VLOOKUP(D13,'A2 RETEST 4 DEC'!$1:$2096,2,FALSE)</f>
        <v>50</v>
      </c>
      <c r="N13" s="122">
        <v>50.0</v>
      </c>
      <c r="O13" s="121"/>
      <c r="P13" s="123">
        <f>IFNA(VLOOKUP(D13,'S1'!$1:$1325,2,False),0)</f>
        <v>50</v>
      </c>
      <c r="Q13" s="123">
        <f>IFNA(vlookup(D13,'S2'!A9:B1211,2,False),0)</f>
        <v>50</v>
      </c>
      <c r="R13" s="123">
        <f>ifna(vlookup(D13,'S3'!$1:$1311,2,False),0)</f>
        <v>50</v>
      </c>
      <c r="S13" s="123"/>
      <c r="T13" s="124">
        <v>18.0</v>
      </c>
      <c r="U13" s="125">
        <v>19.0</v>
      </c>
      <c r="V13" s="125">
        <v>84.0</v>
      </c>
      <c r="W13" s="125">
        <v>40.0</v>
      </c>
      <c r="X13" s="125">
        <v>84.0</v>
      </c>
      <c r="Y13" s="125"/>
      <c r="Z13" s="126"/>
      <c r="AA13" s="127">
        <v>83.19999999999999</v>
      </c>
      <c r="AB13" s="26">
        <v>50.0</v>
      </c>
      <c r="AC13" s="135">
        <v>80.5</v>
      </c>
      <c r="AD13" s="129">
        <v>60.0</v>
      </c>
      <c r="AE13" s="130">
        <v>82.0</v>
      </c>
      <c r="AF13" s="129"/>
      <c r="AG13" s="129">
        <v>76.0</v>
      </c>
      <c r="AH13" s="129"/>
      <c r="AI13" s="131"/>
      <c r="AJ13" s="131"/>
      <c r="AK13" s="132">
        <f t="shared" si="1"/>
        <v>4</v>
      </c>
      <c r="AL13" s="132">
        <f t="shared" si="2"/>
        <v>3</v>
      </c>
      <c r="AM13" s="133">
        <f t="shared" si="3"/>
        <v>2</v>
      </c>
      <c r="AN13" s="132" t="str">
        <f t="shared" si="4"/>
        <v>3.5</v>
      </c>
      <c r="AO13" s="132">
        <f t="shared" si="5"/>
        <v>3</v>
      </c>
      <c r="AP13" s="88"/>
      <c r="AQ13" s="88"/>
    </row>
    <row r="14">
      <c r="A14" s="114">
        <v>10.0</v>
      </c>
      <c r="B14" s="115" t="s">
        <v>1936</v>
      </c>
      <c r="C14" s="115" t="s">
        <v>2469</v>
      </c>
      <c r="D14" s="116" t="str">
        <f>VLOOKUP(B14,USN!$1:$1088,2,FALSE)</f>
        <v>1CR23CS010</v>
      </c>
      <c r="E14" s="116">
        <v>9.76686964E9</v>
      </c>
      <c r="F14" s="117" t="s">
        <v>2461</v>
      </c>
      <c r="G14" s="118"/>
      <c r="H14" s="119">
        <v>85.0</v>
      </c>
      <c r="I14" s="116">
        <v>84.0</v>
      </c>
      <c r="J14" s="120">
        <f>IFNA(VLOOKUP(D14,'L3'!$1:$2060,2,False),0)</f>
        <v>78</v>
      </c>
      <c r="K14" s="120">
        <f>VLOOKUP(D14,'L4'!$1:$2059,2,FALSE)</f>
        <v>80</v>
      </c>
      <c r="L14" s="121">
        <f>VLOOKUP(D14,'A1 RETEST 5 DEC'!$1:$2096,2,FALSE)</f>
        <v>70</v>
      </c>
      <c r="M14" s="121">
        <f>VLOOKUP(D14,'A2 RETEST 4 DEC'!$1:$2096,2,FALSE)</f>
        <v>50</v>
      </c>
      <c r="N14" s="122">
        <v>56.0</v>
      </c>
      <c r="O14" s="121"/>
      <c r="P14" s="123">
        <f>IFNA(VLOOKUP(D14,'S1'!$1:$1325,2,False),0)</f>
        <v>50</v>
      </c>
      <c r="Q14" s="123">
        <f>IFNA(vlookup(D14,'S2'!A10:B1212,2,False),0)</f>
        <v>68</v>
      </c>
      <c r="R14" s="123">
        <f>ifna(vlookup(D14,'S3'!$1:$1311,2,False),0)</f>
        <v>87</v>
      </c>
      <c r="S14" s="123"/>
      <c r="T14" s="124">
        <v>20.0</v>
      </c>
      <c r="U14" s="125">
        <v>22.0</v>
      </c>
      <c r="V14" s="125">
        <v>72.0</v>
      </c>
      <c r="W14" s="125">
        <v>36.0</v>
      </c>
      <c r="X14" s="125">
        <v>86.0</v>
      </c>
      <c r="Y14" s="125"/>
      <c r="Z14" s="126"/>
      <c r="AA14" s="127">
        <v>100.0</v>
      </c>
      <c r="AB14" s="26">
        <v>100.0</v>
      </c>
      <c r="AC14" s="135">
        <v>99.0</v>
      </c>
      <c r="AD14" s="129">
        <v>100.0</v>
      </c>
      <c r="AE14" s="130">
        <v>70.0</v>
      </c>
      <c r="AF14" s="129"/>
      <c r="AG14" s="129">
        <v>70.0</v>
      </c>
      <c r="AH14" s="129"/>
      <c r="AI14" s="131"/>
      <c r="AJ14" s="131"/>
      <c r="AK14" s="132">
        <f t="shared" si="1"/>
        <v>4</v>
      </c>
      <c r="AL14" s="132">
        <f t="shared" si="2"/>
        <v>3</v>
      </c>
      <c r="AM14" s="133">
        <f t="shared" si="3"/>
        <v>2</v>
      </c>
      <c r="AN14" s="132" t="str">
        <f t="shared" si="4"/>
        <v>3.5</v>
      </c>
      <c r="AO14" s="132">
        <f t="shared" si="5"/>
        <v>3</v>
      </c>
      <c r="AP14" s="88"/>
      <c r="AQ14" s="88"/>
    </row>
    <row r="15">
      <c r="A15" s="114">
        <v>11.0</v>
      </c>
      <c r="B15" s="115" t="s">
        <v>2010</v>
      </c>
      <c r="C15" s="115" t="s">
        <v>2470</v>
      </c>
      <c r="D15" s="116" t="str">
        <f>VLOOKUP(B15,USN!$1:$1088,2,FALSE)</f>
        <v>1CR23CS011</v>
      </c>
      <c r="E15" s="116" t="s">
        <v>2471</v>
      </c>
      <c r="F15" s="117" t="s">
        <v>2461</v>
      </c>
      <c r="G15" s="118"/>
      <c r="H15" s="119">
        <v>88.0</v>
      </c>
      <c r="I15" s="116">
        <v>88.0</v>
      </c>
      <c r="J15" s="120">
        <f>IFNA(VLOOKUP(D15,'L3'!$1:$2060,2,False),0)</f>
        <v>6</v>
      </c>
      <c r="K15" s="120">
        <f>VLOOKUP(D15,'L4'!$1:$2059,2,FALSE)</f>
        <v>70</v>
      </c>
      <c r="L15" s="121">
        <f>VLOOKUP(D15,'A1 RETEST 5 DEC'!$1:$2096,2,FALSE)</f>
        <v>64</v>
      </c>
      <c r="M15" s="121">
        <f>VLOOKUP(D15,'A2 RETEST 4 DEC'!$1:$2096,2,FALSE)</f>
        <v>0</v>
      </c>
      <c r="N15" s="122">
        <v>18.0</v>
      </c>
      <c r="O15" s="121"/>
      <c r="P15" s="123">
        <f>IFNA(VLOOKUP(D15,'S1'!$1:$1325,2,False),0)</f>
        <v>50</v>
      </c>
      <c r="Q15" s="123">
        <f>IFNA(vlookup(D15,'S2'!A11:B1213,2,False),0)</f>
        <v>50</v>
      </c>
      <c r="R15" s="123">
        <f>ifna(vlookup(D15,'S3'!$1:$1311,2,False),0)</f>
        <v>0</v>
      </c>
      <c r="S15" s="123"/>
      <c r="T15" s="124">
        <v>10.0</v>
      </c>
      <c r="U15" s="125">
        <v>20.0</v>
      </c>
      <c r="V15" s="125"/>
      <c r="W15" s="125">
        <v>32.0</v>
      </c>
      <c r="X15" s="125"/>
      <c r="Y15" s="125"/>
      <c r="Z15" s="126"/>
      <c r="AA15" s="127">
        <v>97.6</v>
      </c>
      <c r="AB15" s="26">
        <v>84.0</v>
      </c>
      <c r="AC15" s="135">
        <v>50.0</v>
      </c>
      <c r="AD15" s="129">
        <v>60.0</v>
      </c>
      <c r="AE15" s="130">
        <v>15.0</v>
      </c>
      <c r="AF15" s="129"/>
      <c r="AG15" s="129">
        <v>10.0</v>
      </c>
      <c r="AH15" s="129"/>
      <c r="AI15" s="131"/>
      <c r="AJ15" s="131"/>
      <c r="AK15" s="132">
        <f t="shared" si="1"/>
        <v>2</v>
      </c>
      <c r="AL15" s="132">
        <f t="shared" si="2"/>
        <v>1</v>
      </c>
      <c r="AM15" s="133">
        <f t="shared" si="3"/>
        <v>2</v>
      </c>
      <c r="AN15" s="132" t="str">
        <f t="shared" si="4"/>
        <v>3</v>
      </c>
      <c r="AO15" s="132">
        <f t="shared" si="5"/>
        <v>2</v>
      </c>
      <c r="AP15" s="88"/>
      <c r="AQ15" s="88"/>
    </row>
    <row r="16">
      <c r="A16" s="114">
        <v>12.0</v>
      </c>
      <c r="B16" s="137" t="s">
        <v>2088</v>
      </c>
      <c r="C16" s="137" t="s">
        <v>2472</v>
      </c>
      <c r="D16" s="116" t="str">
        <f>VLOOKUP(B16,USN!$1:$1088,2,FALSE)</f>
        <v>1CR23CS012</v>
      </c>
      <c r="E16" s="138">
        <v>8.217585639E9</v>
      </c>
      <c r="F16" s="117" t="s">
        <v>2461</v>
      </c>
      <c r="G16" s="118"/>
      <c r="H16" s="119">
        <v>80.0</v>
      </c>
      <c r="I16" s="116">
        <v>79.0</v>
      </c>
      <c r="J16" s="120">
        <f>IFNA(VLOOKUP(D16,'L3'!$1:$2060,2,False),0)</f>
        <v>72</v>
      </c>
      <c r="K16" s="120">
        <f>VLOOKUP(D16,'L4'!$1:$2059,2,FALSE)</f>
        <v>70</v>
      </c>
      <c r="L16" s="121">
        <f>VLOOKUP(D16,'A1 RETEST 5 DEC'!$1:$2096,2,FALSE)</f>
        <v>53</v>
      </c>
      <c r="M16" s="121">
        <f>VLOOKUP(D16,'A2 RETEST 4 DEC'!$1:$2096,2,FALSE)</f>
        <v>50</v>
      </c>
      <c r="N16" s="122">
        <v>50.0</v>
      </c>
      <c r="O16" s="121"/>
      <c r="P16" s="123">
        <f>IFNA(VLOOKUP(D16,'S1'!$1:$1325,2,False),0)</f>
        <v>72</v>
      </c>
      <c r="Q16" s="123">
        <f>IFNA(vlookup(D16,'S2'!A12:B1214,2,False),0)</f>
        <v>50</v>
      </c>
      <c r="R16" s="123">
        <f>ifna(vlookup(D16,'S3'!$1:$1311,2,False),0)</f>
        <v>74</v>
      </c>
      <c r="S16" s="123"/>
      <c r="T16" s="124">
        <v>21.0</v>
      </c>
      <c r="U16" s="125">
        <v>22.0</v>
      </c>
      <c r="V16" s="125">
        <v>80.0</v>
      </c>
      <c r="W16" s="125">
        <v>72.0</v>
      </c>
      <c r="X16" s="125">
        <v>88.0</v>
      </c>
      <c r="Y16" s="125"/>
      <c r="Z16" s="126"/>
      <c r="AA16" s="127">
        <v>50.0</v>
      </c>
      <c r="AB16" s="26">
        <v>82.5</v>
      </c>
      <c r="AC16" s="135">
        <v>100.0</v>
      </c>
      <c r="AD16" s="129">
        <v>81.0</v>
      </c>
      <c r="AE16" s="130">
        <v>70.0</v>
      </c>
      <c r="AF16" s="129"/>
      <c r="AG16" s="129">
        <v>73.0</v>
      </c>
      <c r="AH16" s="129"/>
      <c r="AI16" s="131"/>
      <c r="AJ16" s="131"/>
      <c r="AK16" s="132">
        <f t="shared" si="1"/>
        <v>4</v>
      </c>
      <c r="AL16" s="132">
        <f t="shared" si="2"/>
        <v>3</v>
      </c>
      <c r="AM16" s="133">
        <f t="shared" si="3"/>
        <v>3</v>
      </c>
      <c r="AN16" s="132" t="str">
        <f t="shared" si="4"/>
        <v>3.5</v>
      </c>
      <c r="AO16" s="132">
        <f t="shared" si="5"/>
        <v>3</v>
      </c>
      <c r="AP16" s="88"/>
      <c r="AQ16" s="88"/>
    </row>
    <row r="17">
      <c r="A17" s="114"/>
      <c r="B17" s="115" t="s">
        <v>1888</v>
      </c>
      <c r="C17" s="139" t="s">
        <v>2473</v>
      </c>
      <c r="D17" s="116" t="str">
        <f>VLOOKUP(B17,USN!$1:$1088,2,FALSE)</f>
        <v>1CR23CS013</v>
      </c>
      <c r="E17" s="116">
        <v>9.108687358E9</v>
      </c>
      <c r="F17" s="117" t="s">
        <v>2461</v>
      </c>
      <c r="G17" s="118"/>
      <c r="H17" s="119">
        <v>75.0</v>
      </c>
      <c r="I17" s="116">
        <v>74.0</v>
      </c>
      <c r="J17" s="120">
        <f>IFNA(VLOOKUP(D17,'L3'!$1:$2060,2,False),0)</f>
        <v>21</v>
      </c>
      <c r="K17" s="120">
        <f>VLOOKUP(D17,'L4'!$1:$2059,2,FALSE)</f>
        <v>6</v>
      </c>
      <c r="L17" s="121">
        <f>VLOOKUP(D17,'A1 RETEST 5 DEC'!$1:$2096,2,FALSE)</f>
        <v>33</v>
      </c>
      <c r="M17" s="121">
        <f>VLOOKUP(D17,'A2 RETEST 4 DEC'!$1:$2096,2,FALSE)</f>
        <v>0</v>
      </c>
      <c r="N17" s="122">
        <v>0.0</v>
      </c>
      <c r="O17" s="121"/>
      <c r="P17" s="123">
        <f>IFNA(VLOOKUP(D17,'S1'!$1:$1325,2,False),0)</f>
        <v>0</v>
      </c>
      <c r="Q17" s="123">
        <f>IFNA(vlookup(D17,'S2'!A13:B1215,2,False),0)</f>
        <v>0</v>
      </c>
      <c r="R17" s="123">
        <f>ifna(vlookup(D17,'S3'!$1:$1311,2,False),0)</f>
        <v>0</v>
      </c>
      <c r="S17" s="123"/>
      <c r="T17" s="124">
        <v>17.0</v>
      </c>
      <c r="U17" s="125">
        <v>18.0</v>
      </c>
      <c r="V17" s="125"/>
      <c r="W17" s="125"/>
      <c r="X17" s="125"/>
      <c r="Y17" s="125"/>
      <c r="Z17" s="126"/>
      <c r="AA17" s="127">
        <v>88.0</v>
      </c>
      <c r="AB17" s="26">
        <v>90.0</v>
      </c>
      <c r="AC17" s="135">
        <v>0.0</v>
      </c>
      <c r="AD17" s="129">
        <v>0.0</v>
      </c>
      <c r="AE17" s="130">
        <v>10.0</v>
      </c>
      <c r="AF17" s="129"/>
      <c r="AG17" s="129">
        <v>0.0</v>
      </c>
      <c r="AH17" s="129"/>
      <c r="AI17" s="131"/>
      <c r="AJ17" s="131"/>
      <c r="AK17" s="132">
        <f t="shared" si="1"/>
        <v>2</v>
      </c>
      <c r="AL17" s="132">
        <f t="shared" si="2"/>
        <v>0</v>
      </c>
      <c r="AM17" s="133">
        <f t="shared" si="3"/>
        <v>2</v>
      </c>
      <c r="AN17" s="132" t="str">
        <f t="shared" si="4"/>
        <v>2</v>
      </c>
      <c r="AO17" s="132">
        <f t="shared" si="5"/>
        <v>0</v>
      </c>
      <c r="AP17" s="88"/>
      <c r="AQ17" s="88"/>
    </row>
    <row r="18">
      <c r="A18" s="114">
        <v>13.0</v>
      </c>
      <c r="B18" s="115" t="s">
        <v>1937</v>
      </c>
      <c r="C18" s="115" t="s">
        <v>2474</v>
      </c>
      <c r="D18" s="116" t="str">
        <f>VLOOKUP(B18,USN!$1:$1088,2,FALSE)</f>
        <v>1CR23CS014</v>
      </c>
      <c r="E18" s="116">
        <v>7.328048027E9</v>
      </c>
      <c r="F18" s="117" t="s">
        <v>2461</v>
      </c>
      <c r="G18" s="118"/>
      <c r="H18" s="119">
        <v>86.0</v>
      </c>
      <c r="I18" s="116">
        <v>87.0</v>
      </c>
      <c r="J18" s="120">
        <f>IFNA(VLOOKUP(D18,'L3'!$1:$2060,2,False),0)</f>
        <v>75</v>
      </c>
      <c r="K18" s="120">
        <f>VLOOKUP(D18,'L4'!$1:$2059,2,FALSE)</f>
        <v>70</v>
      </c>
      <c r="L18" s="121">
        <f>VLOOKUP(D18,'A1 RETEST 5 DEC'!$1:$2096,2,FALSE)</f>
        <v>50</v>
      </c>
      <c r="M18" s="121">
        <f>VLOOKUP(D18,'A2 RETEST 4 DEC'!$1:$2096,2,FALSE)</f>
        <v>50</v>
      </c>
      <c r="N18" s="122">
        <v>61.0</v>
      </c>
      <c r="O18" s="121"/>
      <c r="P18" s="123">
        <f>IFNA(VLOOKUP(D18,'S1'!$1:$1325,2,False),0)</f>
        <v>81</v>
      </c>
      <c r="Q18" s="123">
        <f>IFNA(vlookup(D18,'S2'!A14:B1216,2,False),0)</f>
        <v>50</v>
      </c>
      <c r="R18" s="123">
        <f>ifna(vlookup(D18,'S3'!$1:$1311,2,False),0)</f>
        <v>86</v>
      </c>
      <c r="S18" s="123"/>
      <c r="T18" s="124">
        <v>13.0</v>
      </c>
      <c r="U18" s="125">
        <v>19.0</v>
      </c>
      <c r="V18" s="125">
        <v>44.0</v>
      </c>
      <c r="W18" s="125">
        <v>40.0</v>
      </c>
      <c r="X18" s="125">
        <v>50.0</v>
      </c>
      <c r="Y18" s="125"/>
      <c r="Z18" s="126"/>
      <c r="AA18" s="127">
        <v>100.0</v>
      </c>
      <c r="AB18" s="26">
        <v>100.0</v>
      </c>
      <c r="AC18" s="135">
        <v>0.0</v>
      </c>
      <c r="AD18" s="129">
        <v>60.0</v>
      </c>
      <c r="AE18" s="130">
        <v>23.0</v>
      </c>
      <c r="AF18" s="129"/>
      <c r="AG18" s="129">
        <v>36.0</v>
      </c>
      <c r="AH18" s="129"/>
      <c r="AI18" s="131"/>
      <c r="AJ18" s="131"/>
      <c r="AK18" s="132">
        <f t="shared" si="1"/>
        <v>4</v>
      </c>
      <c r="AL18" s="132">
        <f t="shared" si="2"/>
        <v>3</v>
      </c>
      <c r="AM18" s="133">
        <f t="shared" si="3"/>
        <v>2</v>
      </c>
      <c r="AN18" s="132" t="str">
        <f t="shared" si="4"/>
        <v>3</v>
      </c>
      <c r="AO18" s="132">
        <f t="shared" si="5"/>
        <v>3</v>
      </c>
      <c r="AP18" s="88"/>
      <c r="AQ18" s="88"/>
    </row>
    <row r="19">
      <c r="A19" s="114">
        <v>14.0</v>
      </c>
      <c r="B19" s="115" t="s">
        <v>1889</v>
      </c>
      <c r="C19" s="115" t="s">
        <v>2475</v>
      </c>
      <c r="D19" s="116" t="str">
        <f>VLOOKUP(B19,USN!$1:$1088,2,FALSE)</f>
        <v>1CR23CS015</v>
      </c>
      <c r="E19" s="116">
        <v>9.008729574E9</v>
      </c>
      <c r="F19" s="117" t="s">
        <v>2461</v>
      </c>
      <c r="G19" s="118"/>
      <c r="H19" s="119">
        <v>76.0</v>
      </c>
      <c r="I19" s="116">
        <v>74.0</v>
      </c>
      <c r="J19" s="120">
        <f>IFNA(VLOOKUP(D19,'L3'!$1:$2060,2,False),0)</f>
        <v>71</v>
      </c>
      <c r="K19" s="120">
        <f>VLOOKUP(D19,'L4'!$1:$2059,2,FALSE)</f>
        <v>78</v>
      </c>
      <c r="L19" s="121">
        <f>VLOOKUP(D19,'A1 RETEST 5 DEC'!$1:$2096,2,FALSE)</f>
        <v>50</v>
      </c>
      <c r="M19" s="121">
        <f>VLOOKUP(D19,'A2 RETEST 4 DEC'!$1:$2096,2,FALSE)</f>
        <v>50</v>
      </c>
      <c r="N19" s="122">
        <v>54.0</v>
      </c>
      <c r="O19" s="121"/>
      <c r="P19" s="123">
        <f>IFNA(VLOOKUP(D19,'S1'!$1:$1325,2,False),0)</f>
        <v>77</v>
      </c>
      <c r="Q19" s="123">
        <f>IFNA(vlookup(D19,'S2'!A15:B1217,2,False),0)</f>
        <v>65</v>
      </c>
      <c r="R19" s="123">
        <f>ifna(vlookup(D19,'S3'!$1:$1311,2,False),0)</f>
        <v>91</v>
      </c>
      <c r="S19" s="123"/>
      <c r="T19" s="124">
        <v>14.0</v>
      </c>
      <c r="U19" s="125">
        <v>16.0</v>
      </c>
      <c r="V19" s="125">
        <v>68.0</v>
      </c>
      <c r="W19" s="125">
        <v>56.0</v>
      </c>
      <c r="X19" s="125">
        <v>82.0</v>
      </c>
      <c r="Y19" s="125"/>
      <c r="Z19" s="126"/>
      <c r="AA19" s="127">
        <v>78.0</v>
      </c>
      <c r="AB19" s="26">
        <v>95.0</v>
      </c>
      <c r="AC19" s="135">
        <v>98.0</v>
      </c>
      <c r="AD19" s="129">
        <v>100.0</v>
      </c>
      <c r="AE19" s="130">
        <v>81.0</v>
      </c>
      <c r="AF19" s="129"/>
      <c r="AG19" s="129">
        <v>78.0</v>
      </c>
      <c r="AH19" s="129"/>
      <c r="AI19" s="131"/>
      <c r="AJ19" s="131"/>
      <c r="AK19" s="132">
        <f t="shared" si="1"/>
        <v>4</v>
      </c>
      <c r="AL19" s="132">
        <f t="shared" si="2"/>
        <v>3</v>
      </c>
      <c r="AM19" s="133">
        <f t="shared" si="3"/>
        <v>3</v>
      </c>
      <c r="AN19" s="132" t="str">
        <f t="shared" si="4"/>
        <v>3.5</v>
      </c>
      <c r="AO19" s="132">
        <f t="shared" si="5"/>
        <v>3</v>
      </c>
      <c r="AP19" s="88"/>
      <c r="AQ19" s="88"/>
    </row>
    <row r="20">
      <c r="A20" s="114">
        <v>15.0</v>
      </c>
      <c r="B20" s="115" t="s">
        <v>2005</v>
      </c>
      <c r="C20" s="115" t="s">
        <v>2476</v>
      </c>
      <c r="D20" s="116" t="str">
        <f>VLOOKUP(B20,USN!$1:$1088,2,FALSE)</f>
        <v>1CR23CS016</v>
      </c>
      <c r="E20" s="116">
        <f>+9779765503446</f>
        <v>9779765503446</v>
      </c>
      <c r="F20" s="117" t="s">
        <v>2461</v>
      </c>
      <c r="G20" s="118"/>
      <c r="H20" s="119">
        <v>79.0</v>
      </c>
      <c r="I20" s="116">
        <v>72.0</v>
      </c>
      <c r="J20" s="120">
        <f>IFNA(VLOOKUP(D20,'L3'!$1:$2060,2,False),0)</f>
        <v>33</v>
      </c>
      <c r="K20" s="120">
        <f>VLOOKUP(D20,'L4'!$1:$2059,2,FALSE)</f>
        <v>6</v>
      </c>
      <c r="L20" s="121">
        <f>VLOOKUP(D20,'A1 RETEST 5 DEC'!$1:$2096,2,FALSE)</f>
        <v>11</v>
      </c>
      <c r="M20" s="121">
        <f>VLOOKUP(D20,'A2 RETEST 4 DEC'!$1:$2096,2,FALSE)</f>
        <v>7</v>
      </c>
      <c r="N20" s="122">
        <v>0.0</v>
      </c>
      <c r="O20" s="121"/>
      <c r="P20" s="123">
        <f>IFNA(VLOOKUP(D20,'S1'!$1:$1325,2,False),0)</f>
        <v>0</v>
      </c>
      <c r="Q20" s="123">
        <f>IFNA(vlookup(D20,'S2'!A16:B1218,2,False),0)</f>
        <v>0</v>
      </c>
      <c r="R20" s="123">
        <f>ifna(vlookup(D20,'S3'!$1:$1311,2,False),0)</f>
        <v>0</v>
      </c>
      <c r="S20" s="123"/>
      <c r="T20" s="124">
        <v>11.0</v>
      </c>
      <c r="U20" s="125" t="s">
        <v>2477</v>
      </c>
      <c r="V20" s="125">
        <v>76.0</v>
      </c>
      <c r="W20" s="125"/>
      <c r="X20" s="125"/>
      <c r="Y20" s="125"/>
      <c r="Z20" s="126"/>
      <c r="AA20" s="127">
        <v>0.0</v>
      </c>
      <c r="AB20" s="26">
        <v>38.0</v>
      </c>
      <c r="AC20" s="135">
        <v>0.0</v>
      </c>
      <c r="AD20" s="129">
        <v>0.0</v>
      </c>
      <c r="AE20" s="130">
        <v>10.0</v>
      </c>
      <c r="AF20" s="129"/>
      <c r="AG20" s="129">
        <v>10.0</v>
      </c>
      <c r="AH20" s="129"/>
      <c r="AI20" s="131"/>
      <c r="AJ20" s="131"/>
      <c r="AK20" s="132">
        <f t="shared" si="1"/>
        <v>2</v>
      </c>
      <c r="AL20" s="132">
        <f t="shared" si="2"/>
        <v>0</v>
      </c>
      <c r="AM20" s="133">
        <f t="shared" si="3"/>
        <v>2</v>
      </c>
      <c r="AN20" s="132" t="str">
        <f t="shared" si="4"/>
        <v>0</v>
      </c>
      <c r="AO20" s="132">
        <f t="shared" si="5"/>
        <v>0</v>
      </c>
      <c r="AP20" s="88"/>
      <c r="AQ20" s="88"/>
    </row>
    <row r="21">
      <c r="A21" s="114">
        <v>16.0</v>
      </c>
      <c r="B21" s="115" t="s">
        <v>1890</v>
      </c>
      <c r="C21" s="115" t="s">
        <v>2478</v>
      </c>
      <c r="D21" s="116" t="str">
        <f>VLOOKUP(B21,USN!$1:$1088,2,FALSE)</f>
        <v>1CR23CS017</v>
      </c>
      <c r="E21" s="116">
        <v>8.969143681E9</v>
      </c>
      <c r="F21" s="117" t="s">
        <v>2461</v>
      </c>
      <c r="G21" s="118"/>
      <c r="H21" s="119">
        <v>79.0</v>
      </c>
      <c r="I21" s="116">
        <v>83.0</v>
      </c>
      <c r="J21" s="120">
        <f>IFNA(VLOOKUP(D21,'L3'!$1:$2060,2,False),0)</f>
        <v>70</v>
      </c>
      <c r="K21" s="120">
        <f>VLOOKUP(D21,'L4'!$1:$2059,2,FALSE)</f>
        <v>70</v>
      </c>
      <c r="L21" s="121">
        <f>VLOOKUP(D21,'A1 RETEST 5 DEC'!$1:$2096,2,FALSE)</f>
        <v>72</v>
      </c>
      <c r="M21" s="121">
        <f>VLOOKUP(D21,'A2 RETEST 4 DEC'!$1:$2096,2,FALSE)</f>
        <v>4</v>
      </c>
      <c r="N21" s="122">
        <v>52.0</v>
      </c>
      <c r="O21" s="121"/>
      <c r="P21" s="123">
        <f>IFNA(VLOOKUP(D21,'S1'!$1:$1325,2,False),0)</f>
        <v>0</v>
      </c>
      <c r="Q21" s="123">
        <f>IFNA(vlookup(D21,'S2'!A17:B1219,2,False),0)</f>
        <v>63</v>
      </c>
      <c r="R21" s="123">
        <f>ifna(vlookup(D21,'S3'!$1:$1311,2,False),0)</f>
        <v>80</v>
      </c>
      <c r="S21" s="123"/>
      <c r="T21" s="124">
        <v>10.0</v>
      </c>
      <c r="U21" s="125">
        <v>22.0</v>
      </c>
      <c r="V21" s="125">
        <v>84.0</v>
      </c>
      <c r="W21" s="125">
        <v>32.0</v>
      </c>
      <c r="X21" s="125">
        <v>78.0</v>
      </c>
      <c r="Y21" s="125"/>
      <c r="Z21" s="126"/>
      <c r="AA21" s="127">
        <v>74.0</v>
      </c>
      <c r="AB21" s="26">
        <v>100.0</v>
      </c>
      <c r="AC21" s="135">
        <v>75.0</v>
      </c>
      <c r="AD21" s="129">
        <v>75.0</v>
      </c>
      <c r="AE21" s="130">
        <v>72.0</v>
      </c>
      <c r="AF21" s="129"/>
      <c r="AG21" s="129">
        <v>40.0</v>
      </c>
      <c r="AH21" s="129"/>
      <c r="AI21" s="131"/>
      <c r="AJ21" s="131"/>
      <c r="AK21" s="132">
        <f t="shared" si="1"/>
        <v>4</v>
      </c>
      <c r="AL21" s="132">
        <f t="shared" si="2"/>
        <v>1</v>
      </c>
      <c r="AM21" s="133">
        <f t="shared" si="3"/>
        <v>2</v>
      </c>
      <c r="AN21" s="132" t="str">
        <f t="shared" si="4"/>
        <v>3.5</v>
      </c>
      <c r="AO21" s="132">
        <f t="shared" si="5"/>
        <v>0</v>
      </c>
      <c r="AP21" s="88"/>
      <c r="AQ21" s="88"/>
    </row>
    <row r="22">
      <c r="A22" s="114">
        <v>17.0</v>
      </c>
      <c r="B22" s="115" t="s">
        <v>1891</v>
      </c>
      <c r="C22" s="115" t="s">
        <v>2479</v>
      </c>
      <c r="D22" s="116" t="str">
        <f>VLOOKUP(B22,USN!$1:$1088,2,FALSE)</f>
        <v>1CR23CS018</v>
      </c>
      <c r="E22" s="116">
        <v>9.686313405E9</v>
      </c>
      <c r="F22" s="117" t="s">
        <v>2461</v>
      </c>
      <c r="G22" s="118"/>
      <c r="H22" s="119">
        <v>89.0</v>
      </c>
      <c r="I22" s="116">
        <v>89.0</v>
      </c>
      <c r="J22" s="120">
        <f>IFNA(VLOOKUP(D22,'L3'!$1:$2060,2,False),0)</f>
        <v>88</v>
      </c>
      <c r="K22" s="120">
        <f>VLOOKUP(D22,'L4'!$1:$2059,2,FALSE)</f>
        <v>72</v>
      </c>
      <c r="L22" s="121">
        <f>VLOOKUP(D22,'A1 RETEST 5 DEC'!$1:$2096,2,FALSE)</f>
        <v>72</v>
      </c>
      <c r="M22" s="121">
        <f>VLOOKUP(D22,'A2 RETEST 4 DEC'!$1:$2096,2,FALSE)</f>
        <v>50</v>
      </c>
      <c r="N22" s="122">
        <v>50.0</v>
      </c>
      <c r="O22" s="121"/>
      <c r="P22" s="123">
        <f>IFNA(VLOOKUP(D22,'S1'!$1:$1325,2,False),0)</f>
        <v>78</v>
      </c>
      <c r="Q22" s="123">
        <f>IFNA(vlookup(D22,'S2'!A18:B1220,2,False),0)</f>
        <v>73</v>
      </c>
      <c r="R22" s="123">
        <f>ifna(vlookup(D22,'S3'!$1:$1311,2,False),0)</f>
        <v>84</v>
      </c>
      <c r="S22" s="123"/>
      <c r="T22" s="124">
        <v>14.0</v>
      </c>
      <c r="U22" s="125">
        <v>18.0</v>
      </c>
      <c r="V22" s="125">
        <v>75.0</v>
      </c>
      <c r="W22" s="125">
        <v>56.0</v>
      </c>
      <c r="X22" s="125">
        <v>86.0</v>
      </c>
      <c r="Y22" s="125"/>
      <c r="Z22" s="126"/>
      <c r="AA22" s="127">
        <v>99.0</v>
      </c>
      <c r="AB22" s="26">
        <v>100.0</v>
      </c>
      <c r="AC22" s="135">
        <v>98.5</v>
      </c>
      <c r="AD22" s="129">
        <v>74.0</v>
      </c>
      <c r="AE22" s="130">
        <v>87.0</v>
      </c>
      <c r="AF22" s="129"/>
      <c r="AG22" s="129">
        <v>73.0</v>
      </c>
      <c r="AH22" s="129"/>
      <c r="AI22" s="131"/>
      <c r="AJ22" s="131"/>
      <c r="AK22" s="132">
        <f t="shared" si="1"/>
        <v>4</v>
      </c>
      <c r="AL22" s="132">
        <f t="shared" si="2"/>
        <v>3</v>
      </c>
      <c r="AM22" s="133">
        <f t="shared" si="3"/>
        <v>3</v>
      </c>
      <c r="AN22" s="132" t="str">
        <f t="shared" si="4"/>
        <v>3.5</v>
      </c>
      <c r="AO22" s="132">
        <f t="shared" si="5"/>
        <v>3</v>
      </c>
      <c r="AP22" s="88"/>
      <c r="AQ22" s="88"/>
    </row>
    <row r="23">
      <c r="A23" s="114">
        <v>18.0</v>
      </c>
      <c r="B23" s="115" t="s">
        <v>1892</v>
      </c>
      <c r="C23" s="115" t="s">
        <v>2480</v>
      </c>
      <c r="D23" s="116" t="str">
        <f>VLOOKUP(B23,USN!$1:$1088,2,FALSE)</f>
        <v>1CR23CS019</v>
      </c>
      <c r="E23" s="116">
        <v>8.792477272E9</v>
      </c>
      <c r="F23" s="117" t="s">
        <v>2461</v>
      </c>
      <c r="G23" s="118"/>
      <c r="H23" s="119">
        <v>89.0</v>
      </c>
      <c r="I23" s="116">
        <v>78.0</v>
      </c>
      <c r="J23" s="120">
        <f>IFNA(VLOOKUP(D23,'L3'!$1:$2060,2,False),0)</f>
        <v>60</v>
      </c>
      <c r="K23" s="120">
        <f>VLOOKUP(D23,'L4'!$1:$2059,2,FALSE)</f>
        <v>37</v>
      </c>
      <c r="L23" s="121">
        <f>VLOOKUP(D23,'A1 RETEST 5 DEC'!$1:$2096,2,FALSE)</f>
        <v>33</v>
      </c>
      <c r="M23" s="121">
        <f>VLOOKUP(D23,'A2 RETEST 4 DEC'!$1:$2096,2,FALSE)</f>
        <v>0</v>
      </c>
      <c r="N23" s="122">
        <v>6.0</v>
      </c>
      <c r="O23" s="121"/>
      <c r="P23" s="123">
        <f>IFNA(VLOOKUP(D23,'S1'!$1:$1325,2,False),0)</f>
        <v>0</v>
      </c>
      <c r="Q23" s="123">
        <f>IFNA(vlookup(D23,'S2'!A19:B1221,2,False),0)</f>
        <v>0</v>
      </c>
      <c r="R23" s="123">
        <f>ifna(vlookup(D23,'S3'!$1:$1311,2,False),0)</f>
        <v>0</v>
      </c>
      <c r="S23" s="123"/>
      <c r="T23" s="124">
        <v>14.0</v>
      </c>
      <c r="U23" s="125">
        <v>15.0</v>
      </c>
      <c r="V23" s="125">
        <v>32.0</v>
      </c>
      <c r="W23" s="125">
        <v>44.0</v>
      </c>
      <c r="X23" s="125"/>
      <c r="Y23" s="125"/>
      <c r="Z23" s="126"/>
      <c r="AA23" s="127">
        <v>54.0</v>
      </c>
      <c r="AB23" s="26">
        <v>35.0</v>
      </c>
      <c r="AC23" s="135">
        <v>0.0</v>
      </c>
      <c r="AD23" s="129">
        <v>0.0</v>
      </c>
      <c r="AE23" s="130">
        <v>10.0</v>
      </c>
      <c r="AF23" s="129"/>
      <c r="AG23" s="129">
        <v>0.0</v>
      </c>
      <c r="AH23" s="129"/>
      <c r="AI23" s="131"/>
      <c r="AJ23" s="131"/>
      <c r="AK23" s="132">
        <f t="shared" si="1"/>
        <v>2</v>
      </c>
      <c r="AL23" s="132">
        <f t="shared" si="2"/>
        <v>0</v>
      </c>
      <c r="AM23" s="133">
        <f t="shared" si="3"/>
        <v>2</v>
      </c>
      <c r="AN23" s="132" t="str">
        <f t="shared" si="4"/>
        <v>0</v>
      </c>
      <c r="AO23" s="132">
        <f t="shared" si="5"/>
        <v>0</v>
      </c>
      <c r="AP23" s="88"/>
      <c r="AQ23" s="88"/>
    </row>
    <row r="24">
      <c r="A24" s="114">
        <v>19.0</v>
      </c>
      <c r="B24" s="137" t="s">
        <v>1956</v>
      </c>
      <c r="C24" s="115" t="s">
        <v>2481</v>
      </c>
      <c r="D24" s="116" t="str">
        <f>VLOOKUP(B24,USN!$1:$1088,2,FALSE)</f>
        <v>1CR23CS020</v>
      </c>
      <c r="E24" s="138">
        <v>9.01910593E9</v>
      </c>
      <c r="F24" s="117" t="s">
        <v>2461</v>
      </c>
      <c r="G24" s="118"/>
      <c r="H24" s="119">
        <v>71.0</v>
      </c>
      <c r="I24" s="116">
        <v>74.0</v>
      </c>
      <c r="J24" s="120">
        <f>IFNA(VLOOKUP(D24,'L3'!$1:$2060,2,False),0)</f>
        <v>70</v>
      </c>
      <c r="K24" s="120">
        <f>VLOOKUP(D24,'L4'!$1:$2059,2,FALSE)</f>
        <v>70</v>
      </c>
      <c r="L24" s="121">
        <f>VLOOKUP(D24,'A1 RETEST 5 DEC'!$1:$2096,2,FALSE)</f>
        <v>50</v>
      </c>
      <c r="M24" s="121">
        <f>VLOOKUP(D24,'A2 RETEST 4 DEC'!$1:$2096,2,FALSE)</f>
        <v>13</v>
      </c>
      <c r="N24" s="122">
        <v>50.0</v>
      </c>
      <c r="O24" s="121"/>
      <c r="P24" s="123">
        <f>IFNA(VLOOKUP(D24,'S1'!$1:$1325,2,False),0)</f>
        <v>87</v>
      </c>
      <c r="Q24" s="123">
        <f>IFNA(vlookup(D24,'S2'!A20:B1222,2,False),0)</f>
        <v>66</v>
      </c>
      <c r="R24" s="123">
        <f>ifna(vlookup(D24,'S3'!$1:$1311,2,False),0)</f>
        <v>83</v>
      </c>
      <c r="S24" s="123"/>
      <c r="T24" s="124">
        <v>12.0</v>
      </c>
      <c r="U24" s="125">
        <v>17.0</v>
      </c>
      <c r="V24" s="125">
        <v>85.0</v>
      </c>
      <c r="W24" s="125">
        <v>40.0</v>
      </c>
      <c r="X24" s="125">
        <v>86.0</v>
      </c>
      <c r="Y24" s="125"/>
      <c r="Z24" s="126"/>
      <c r="AA24" s="127">
        <v>100.0</v>
      </c>
      <c r="AB24" s="26">
        <v>97.5</v>
      </c>
      <c r="AC24" s="135">
        <v>62.5</v>
      </c>
      <c r="AD24" s="129">
        <v>100.0</v>
      </c>
      <c r="AE24" s="130">
        <v>25.0</v>
      </c>
      <c r="AF24" s="129"/>
      <c r="AG24" s="129">
        <v>71.0</v>
      </c>
      <c r="AH24" s="129"/>
      <c r="AI24" s="131"/>
      <c r="AJ24" s="131"/>
      <c r="AK24" s="132">
        <f t="shared" si="1"/>
        <v>4</v>
      </c>
      <c r="AL24" s="132">
        <f t="shared" si="2"/>
        <v>1</v>
      </c>
      <c r="AM24" s="133">
        <f t="shared" si="3"/>
        <v>2</v>
      </c>
      <c r="AN24" s="132" t="str">
        <f t="shared" si="4"/>
        <v>3</v>
      </c>
      <c r="AO24" s="132">
        <f t="shared" si="5"/>
        <v>3</v>
      </c>
      <c r="AP24" s="88"/>
      <c r="AQ24" s="88"/>
    </row>
    <row r="25">
      <c r="A25" s="114">
        <v>20.0</v>
      </c>
      <c r="B25" s="136" t="s">
        <v>1946</v>
      </c>
      <c r="C25" s="115" t="s">
        <v>2482</v>
      </c>
      <c r="D25" s="116" t="str">
        <f>VLOOKUP(B25,USN!$1:$1088,2,FALSE)</f>
        <v>1CR23CS021</v>
      </c>
      <c r="E25" s="138">
        <v>8.296162379E9</v>
      </c>
      <c r="F25" s="117" t="s">
        <v>2461</v>
      </c>
      <c r="G25" s="118"/>
      <c r="H25" s="119">
        <v>88.0</v>
      </c>
      <c r="I25" s="116">
        <v>90.0</v>
      </c>
      <c r="J25" s="120">
        <f>IFNA(VLOOKUP(D25,'L3'!$1:$2060,2,False),0)</f>
        <v>92</v>
      </c>
      <c r="K25" s="120">
        <f>VLOOKUP(D25,'L4'!$1:$2059,2,FALSE)</f>
        <v>77</v>
      </c>
      <c r="L25" s="121">
        <f>VLOOKUP(D25,'A1 RETEST 5 DEC'!$1:$2096,2,FALSE)</f>
        <v>50</v>
      </c>
      <c r="M25" s="121">
        <f>VLOOKUP(D25,'A2 RETEST 4 DEC'!$1:$2096,2,FALSE)</f>
        <v>28</v>
      </c>
      <c r="N25" s="122">
        <v>50.0</v>
      </c>
      <c r="O25" s="121"/>
      <c r="P25" s="123">
        <f>IFNA(VLOOKUP(D25,'S1'!$1:$1325,2,False),0)</f>
        <v>77</v>
      </c>
      <c r="Q25" s="123">
        <f>IFNA(vlookup(D25,'S2'!A21:B1223,2,False),0)</f>
        <v>73</v>
      </c>
      <c r="R25" s="123">
        <f>ifna(vlookup(D25,'S3'!$1:$1311,2,False),0)</f>
        <v>93</v>
      </c>
      <c r="S25" s="123"/>
      <c r="T25" s="124">
        <v>10.0</v>
      </c>
      <c r="U25" s="125">
        <v>20.0</v>
      </c>
      <c r="V25" s="125">
        <v>80.0</v>
      </c>
      <c r="W25" s="125">
        <v>56.0</v>
      </c>
      <c r="X25" s="125">
        <v>88.0</v>
      </c>
      <c r="Y25" s="125"/>
      <c r="Z25" s="126"/>
      <c r="AA25" s="127">
        <v>94.0</v>
      </c>
      <c r="AB25" s="26">
        <v>100.0</v>
      </c>
      <c r="AC25" s="135">
        <v>63.5</v>
      </c>
      <c r="AD25" s="129">
        <v>68.0</v>
      </c>
      <c r="AE25" s="130">
        <v>77.0</v>
      </c>
      <c r="AF25" s="129"/>
      <c r="AG25" s="129">
        <v>63.0</v>
      </c>
      <c r="AH25" s="129"/>
      <c r="AI25" s="131"/>
      <c r="AJ25" s="131"/>
      <c r="AK25" s="132">
        <f t="shared" si="1"/>
        <v>4</v>
      </c>
      <c r="AL25" s="132">
        <f t="shared" si="2"/>
        <v>1</v>
      </c>
      <c r="AM25" s="133">
        <f t="shared" si="3"/>
        <v>3</v>
      </c>
      <c r="AN25" s="132" t="str">
        <f t="shared" si="4"/>
        <v>3.5</v>
      </c>
      <c r="AO25" s="132">
        <f t="shared" si="5"/>
        <v>3</v>
      </c>
      <c r="AP25" s="88"/>
      <c r="AQ25" s="88"/>
    </row>
    <row r="26">
      <c r="A26" s="114">
        <v>21.0</v>
      </c>
      <c r="B26" s="137" t="s">
        <v>1953</v>
      </c>
      <c r="C26" s="140" t="s">
        <v>2483</v>
      </c>
      <c r="D26" s="116" t="str">
        <f>VLOOKUP(B26,USN!$1:$1088,2,FALSE)</f>
        <v>1CR23CS022</v>
      </c>
      <c r="E26" s="138">
        <v>8.830894731E9</v>
      </c>
      <c r="F26" s="117" t="s">
        <v>2461</v>
      </c>
      <c r="G26" s="118"/>
      <c r="H26" s="119">
        <v>73.0</v>
      </c>
      <c r="I26" s="116">
        <v>75.0</v>
      </c>
      <c r="J26" s="120">
        <f>IFNA(VLOOKUP(D26,'L3'!$1:$2060,2,False),0)</f>
        <v>61</v>
      </c>
      <c r="K26" s="120">
        <f>VLOOKUP(D26,'L4'!$1:$2059,2,FALSE)</f>
        <v>70</v>
      </c>
      <c r="L26" s="121">
        <f>VLOOKUP(D26,'A1 RETEST 5 DEC'!$1:$2096,2,FALSE)</f>
        <v>58</v>
      </c>
      <c r="M26" s="121">
        <f>VLOOKUP(D26,'A2 RETEST 4 DEC'!$1:$2096,2,FALSE)</f>
        <v>25</v>
      </c>
      <c r="N26" s="122">
        <v>13.0</v>
      </c>
      <c r="O26" s="121"/>
      <c r="P26" s="123">
        <f>IFNA(VLOOKUP(D26,'S1'!$1:$1325,2,False),0)</f>
        <v>50</v>
      </c>
      <c r="Q26" s="123">
        <f>IFNA(vlookup(D26,'S2'!A22:B1224,2,False),0)</f>
        <v>0</v>
      </c>
      <c r="R26" s="123">
        <f>ifna(vlookup(D26,'S3'!$1:$1311,2,False),0)</f>
        <v>50</v>
      </c>
      <c r="S26" s="123"/>
      <c r="T26" s="124">
        <v>20.0</v>
      </c>
      <c r="U26" s="125">
        <v>17.0</v>
      </c>
      <c r="V26" s="125">
        <v>68.0</v>
      </c>
      <c r="W26" s="125">
        <v>40.0</v>
      </c>
      <c r="X26" s="125">
        <v>88.0</v>
      </c>
      <c r="Y26" s="125"/>
      <c r="Z26" s="126"/>
      <c r="AA26" s="127">
        <v>42.0</v>
      </c>
      <c r="AB26" s="26">
        <v>55.0</v>
      </c>
      <c r="AC26" s="135">
        <v>12.5</v>
      </c>
      <c r="AD26" s="129">
        <v>70.0</v>
      </c>
      <c r="AE26" s="130">
        <v>24.0</v>
      </c>
      <c r="AF26" s="129"/>
      <c r="AG26" s="129">
        <v>5.0</v>
      </c>
      <c r="AH26" s="129"/>
      <c r="AI26" s="131"/>
      <c r="AJ26" s="131"/>
      <c r="AK26" s="132">
        <f t="shared" si="1"/>
        <v>2</v>
      </c>
      <c r="AL26" s="132">
        <f t="shared" si="2"/>
        <v>1</v>
      </c>
      <c r="AM26" s="133">
        <f t="shared" si="3"/>
        <v>2</v>
      </c>
      <c r="AN26" s="132" t="str">
        <f t="shared" si="4"/>
        <v>3</v>
      </c>
      <c r="AO26" s="132">
        <f t="shared" si="5"/>
        <v>1</v>
      </c>
      <c r="AP26" s="88"/>
      <c r="AQ26" s="88"/>
    </row>
    <row r="27">
      <c r="A27" s="114">
        <v>22.0</v>
      </c>
      <c r="B27" s="115" t="s">
        <v>1929</v>
      </c>
      <c r="C27" s="115" t="s">
        <v>2484</v>
      </c>
      <c r="D27" s="116" t="str">
        <f>VLOOKUP(B27,USN!$1:$1088,2,FALSE)</f>
        <v>1CR23CS023</v>
      </c>
      <c r="E27" s="116">
        <v>9.019841504E9</v>
      </c>
      <c r="F27" s="117" t="s">
        <v>2461</v>
      </c>
      <c r="G27" s="118"/>
      <c r="H27" s="119">
        <v>74.0</v>
      </c>
      <c r="I27" s="116">
        <v>76.0</v>
      </c>
      <c r="J27" s="120">
        <f>IFNA(VLOOKUP(D27,'L3'!$1:$2060,2,False),0)</f>
        <v>70</v>
      </c>
      <c r="K27" s="120">
        <f>VLOOKUP(D27,'L4'!$1:$2059,2,FALSE)</f>
        <v>75</v>
      </c>
      <c r="L27" s="121">
        <f>VLOOKUP(D27,'A1 RETEST 5 DEC'!$1:$2096,2,FALSE)</f>
        <v>53</v>
      </c>
      <c r="M27" s="121">
        <f>VLOOKUP(D27,'A2 RETEST 4 DEC'!$1:$2096,2,FALSE)</f>
        <v>50</v>
      </c>
      <c r="N27" s="122">
        <v>52.0</v>
      </c>
      <c r="O27" s="121"/>
      <c r="P27" s="123">
        <f>IFNA(VLOOKUP(D27,'S1'!$1:$1325,2,False),0)</f>
        <v>75</v>
      </c>
      <c r="Q27" s="123">
        <f>IFNA(vlookup(D27,'S2'!A23:B1225,2,False),0)</f>
        <v>62</v>
      </c>
      <c r="R27" s="123">
        <f>ifna(vlookup(D27,'S3'!$1:$1311,2,False),0)</f>
        <v>80</v>
      </c>
      <c r="S27" s="123"/>
      <c r="T27" s="124">
        <v>20.0</v>
      </c>
      <c r="U27" s="125">
        <v>18.0</v>
      </c>
      <c r="V27" s="125">
        <v>64.0</v>
      </c>
      <c r="W27" s="125">
        <v>64.0</v>
      </c>
      <c r="X27" s="125">
        <v>86.0</v>
      </c>
      <c r="Y27" s="125"/>
      <c r="Z27" s="126"/>
      <c r="AA27" s="127">
        <v>100.0</v>
      </c>
      <c r="AB27" s="26">
        <v>60.0</v>
      </c>
      <c r="AC27" s="135">
        <v>100.0</v>
      </c>
      <c r="AD27" s="129">
        <v>88.0</v>
      </c>
      <c r="AE27" s="130">
        <v>80.0</v>
      </c>
      <c r="AF27" s="129"/>
      <c r="AG27" s="129">
        <v>76.0</v>
      </c>
      <c r="AH27" s="129"/>
      <c r="AI27" s="131"/>
      <c r="AJ27" s="131"/>
      <c r="AK27" s="132">
        <f t="shared" si="1"/>
        <v>4</v>
      </c>
      <c r="AL27" s="132">
        <f t="shared" si="2"/>
        <v>3</v>
      </c>
      <c r="AM27" s="133">
        <f t="shared" si="3"/>
        <v>3</v>
      </c>
      <c r="AN27" s="132" t="str">
        <f t="shared" si="4"/>
        <v>3.5</v>
      </c>
      <c r="AO27" s="132">
        <f t="shared" si="5"/>
        <v>3</v>
      </c>
      <c r="AP27" s="88"/>
      <c r="AQ27" s="88"/>
    </row>
    <row r="28">
      <c r="A28" s="114">
        <v>23.0</v>
      </c>
      <c r="B28" s="115" t="s">
        <v>1893</v>
      </c>
      <c r="C28" s="115" t="s">
        <v>2485</v>
      </c>
      <c r="D28" s="116" t="str">
        <f>VLOOKUP(B28,USN!$1:$1088,2,FALSE)</f>
        <v>1CR23CS024</v>
      </c>
      <c r="E28" s="116">
        <v>7.022615568E9</v>
      </c>
      <c r="F28" s="117" t="s">
        <v>2461</v>
      </c>
      <c r="G28" s="118"/>
      <c r="H28" s="119">
        <v>77.0</v>
      </c>
      <c r="I28" s="116">
        <v>82.0</v>
      </c>
      <c r="J28" s="120">
        <f>IFNA(VLOOKUP(D28,'L3'!$1:$2060,2,False),0)</f>
        <v>70</v>
      </c>
      <c r="K28" s="120">
        <f>VLOOKUP(D28,'L4'!$1:$2059,2,FALSE)</f>
        <v>75</v>
      </c>
      <c r="L28" s="121">
        <f>VLOOKUP(D28,'A1 RETEST 5 DEC'!$1:$2096,2,FALSE)</f>
        <v>59</v>
      </c>
      <c r="M28" s="121">
        <f>VLOOKUP(D28,'A2 RETEST 4 DEC'!$1:$2096,2,FALSE)</f>
        <v>25</v>
      </c>
      <c r="N28" s="122">
        <v>0.0</v>
      </c>
      <c r="O28" s="121"/>
      <c r="P28" s="123">
        <f>IFNA(VLOOKUP(D28,'S1'!$1:$1325,2,False),0)</f>
        <v>77</v>
      </c>
      <c r="Q28" s="123">
        <f>IFNA(vlookup(D28,'S2'!A24:B1226,2,False),0)</f>
        <v>62</v>
      </c>
      <c r="R28" s="123">
        <f>ifna(vlookup(D28,'S3'!$1:$1311,2,False),0)</f>
        <v>0</v>
      </c>
      <c r="S28" s="123"/>
      <c r="T28" s="124">
        <v>12.0</v>
      </c>
      <c r="U28" s="125">
        <v>17.0</v>
      </c>
      <c r="V28" s="125">
        <v>68.0</v>
      </c>
      <c r="W28" s="125">
        <v>48.0</v>
      </c>
      <c r="X28" s="125"/>
      <c r="Y28" s="125"/>
      <c r="Z28" s="126"/>
      <c r="AA28" s="127">
        <v>98.0</v>
      </c>
      <c r="AB28" s="26">
        <v>100.0</v>
      </c>
      <c r="AC28" s="135">
        <v>60.0</v>
      </c>
      <c r="AD28" s="129">
        <v>62.0</v>
      </c>
      <c r="AE28" s="130">
        <v>10.0</v>
      </c>
      <c r="AF28" s="129"/>
      <c r="AG28" s="129">
        <v>5.0</v>
      </c>
      <c r="AH28" s="129"/>
      <c r="AI28" s="131"/>
      <c r="AJ28" s="131"/>
      <c r="AK28" s="132">
        <f t="shared" si="1"/>
        <v>4</v>
      </c>
      <c r="AL28" s="132">
        <f t="shared" si="2"/>
        <v>1</v>
      </c>
      <c r="AM28" s="133">
        <f t="shared" si="3"/>
        <v>2</v>
      </c>
      <c r="AN28" s="132" t="str">
        <f t="shared" si="4"/>
        <v>3</v>
      </c>
      <c r="AO28" s="132">
        <f t="shared" si="5"/>
        <v>2</v>
      </c>
      <c r="AP28" s="88"/>
      <c r="AQ28" s="88"/>
    </row>
    <row r="29">
      <c r="A29" s="114">
        <v>24.0</v>
      </c>
      <c r="B29" s="137" t="s">
        <v>2085</v>
      </c>
      <c r="C29" s="137" t="s">
        <v>2486</v>
      </c>
      <c r="D29" s="116" t="str">
        <f>VLOOKUP(B29,USN!$1:$1088,2,FALSE)</f>
        <v>1CR23CS025</v>
      </c>
      <c r="E29" s="141">
        <v>7.349119348E9</v>
      </c>
      <c r="F29" s="117" t="s">
        <v>2461</v>
      </c>
      <c r="G29" s="118"/>
      <c r="H29" s="119">
        <v>71.0</v>
      </c>
      <c r="I29" s="116">
        <v>69.0</v>
      </c>
      <c r="J29" s="120">
        <f>IFNA(VLOOKUP(D29,'L3'!$1:$2060,2,False),0)</f>
        <v>45</v>
      </c>
      <c r="K29" s="120">
        <f>VLOOKUP(D29,'L4'!$1:$2059,2,FALSE)</f>
        <v>24</v>
      </c>
      <c r="L29" s="121">
        <f>VLOOKUP(D29,'A1 RETEST 5 DEC'!$1:$2096,2,FALSE)</f>
        <v>34</v>
      </c>
      <c r="M29" s="121">
        <f>VLOOKUP(D29,'A2 RETEST 4 DEC'!$1:$2096,2,FALSE)</f>
        <v>15</v>
      </c>
      <c r="N29" s="122">
        <v>0.0</v>
      </c>
      <c r="O29" s="121"/>
      <c r="P29" s="123">
        <f>IFNA(VLOOKUP(D29,'S1'!$1:$1325,2,False),0)</f>
        <v>0</v>
      </c>
      <c r="Q29" s="123">
        <f>IFNA(vlookup(D29,'S2'!A25:B1227,2,False),0)</f>
        <v>0</v>
      </c>
      <c r="R29" s="123">
        <f>ifna(vlookup(D29,'S3'!$1:$1311,2,False),0)</f>
        <v>0</v>
      </c>
      <c r="S29" s="123"/>
      <c r="T29" s="124">
        <v>18.0</v>
      </c>
      <c r="U29" s="125">
        <v>20.0</v>
      </c>
      <c r="V29" s="125">
        <v>76.0</v>
      </c>
      <c r="W29" s="125">
        <v>28.0</v>
      </c>
      <c r="X29" s="125">
        <v>82.0</v>
      </c>
      <c r="Y29" s="125"/>
      <c r="Z29" s="126"/>
      <c r="AA29" s="127">
        <v>20.0</v>
      </c>
      <c r="AB29" s="26">
        <v>78.75</v>
      </c>
      <c r="AC29" s="135">
        <v>0.0</v>
      </c>
      <c r="AD29" s="129">
        <v>76.0</v>
      </c>
      <c r="AE29" s="130">
        <v>10.0</v>
      </c>
      <c r="AF29" s="129"/>
      <c r="AG29" s="129">
        <v>0.0</v>
      </c>
      <c r="AH29" s="129"/>
      <c r="AI29" s="131"/>
      <c r="AJ29" s="131"/>
      <c r="AK29" s="132">
        <f t="shared" si="1"/>
        <v>2</v>
      </c>
      <c r="AL29" s="132">
        <f t="shared" si="2"/>
        <v>0</v>
      </c>
      <c r="AM29" s="133">
        <f t="shared" si="3"/>
        <v>2</v>
      </c>
      <c r="AN29" s="132" t="str">
        <f t="shared" si="4"/>
        <v>3</v>
      </c>
      <c r="AO29" s="132">
        <f t="shared" si="5"/>
        <v>0</v>
      </c>
      <c r="AP29" s="88"/>
      <c r="AQ29" s="88"/>
    </row>
    <row r="30">
      <c r="A30" s="114">
        <v>25.0</v>
      </c>
      <c r="B30" s="115" t="s">
        <v>2022</v>
      </c>
      <c r="C30" s="115" t="s">
        <v>2487</v>
      </c>
      <c r="D30" s="116" t="str">
        <f>VLOOKUP(B30,USN!$1:$1088,2,FALSE)</f>
        <v>1CR23CS026</v>
      </c>
      <c r="E30" s="142">
        <v>9.916845777E9</v>
      </c>
      <c r="F30" s="117" t="s">
        <v>2461</v>
      </c>
      <c r="G30" s="118"/>
      <c r="H30" s="119">
        <v>83.0</v>
      </c>
      <c r="I30" s="116">
        <v>89.0</v>
      </c>
      <c r="J30" s="120">
        <f>IFNA(VLOOKUP(D30,'L3'!$1:$2060,2,False),0)</f>
        <v>70</v>
      </c>
      <c r="K30" s="120">
        <f>VLOOKUP(D30,'L4'!$1:$2059,2,FALSE)</f>
        <v>73</v>
      </c>
      <c r="L30" s="121">
        <f>VLOOKUP(D30,'A1 RETEST 5 DEC'!$1:$2096,2,FALSE)</f>
        <v>50</v>
      </c>
      <c r="M30" s="121">
        <f>VLOOKUP(D30,'A2 RETEST 4 DEC'!$1:$2096,2,FALSE)</f>
        <v>50</v>
      </c>
      <c r="N30" s="122">
        <v>50.0</v>
      </c>
      <c r="O30" s="121"/>
      <c r="P30" s="123">
        <f>IFNA(VLOOKUP(D30,'S1'!$1:$1325,2,False),0)</f>
        <v>78</v>
      </c>
      <c r="Q30" s="123">
        <f>IFNA(vlookup(D30,'S2'!A26:B1228,2,False),0)</f>
        <v>66</v>
      </c>
      <c r="R30" s="123">
        <f>ifna(vlookup(D30,'S3'!$1:$1311,2,False),0)</f>
        <v>89</v>
      </c>
      <c r="S30" s="123"/>
      <c r="T30" s="124">
        <v>18.0</v>
      </c>
      <c r="U30" s="125">
        <v>22.0</v>
      </c>
      <c r="V30" s="125">
        <v>72.0</v>
      </c>
      <c r="W30" s="125">
        <v>40.0</v>
      </c>
      <c r="X30" s="125">
        <v>82.0</v>
      </c>
      <c r="Y30" s="125"/>
      <c r="Z30" s="126"/>
      <c r="AA30" s="127">
        <v>100.0</v>
      </c>
      <c r="AB30" s="26">
        <v>100.0</v>
      </c>
      <c r="AC30" s="135">
        <v>80.0</v>
      </c>
      <c r="AD30" s="129">
        <v>100.0</v>
      </c>
      <c r="AE30" s="130">
        <v>76.0</v>
      </c>
      <c r="AF30" s="129"/>
      <c r="AG30" s="129">
        <v>78.0</v>
      </c>
      <c r="AH30" s="129"/>
      <c r="AI30" s="131"/>
      <c r="AJ30" s="131"/>
      <c r="AK30" s="132">
        <f t="shared" si="1"/>
        <v>4</v>
      </c>
      <c r="AL30" s="132">
        <f t="shared" si="2"/>
        <v>3</v>
      </c>
      <c r="AM30" s="133">
        <f t="shared" si="3"/>
        <v>2</v>
      </c>
      <c r="AN30" s="132" t="str">
        <f t="shared" si="4"/>
        <v>3.5</v>
      </c>
      <c r="AO30" s="132">
        <f t="shared" si="5"/>
        <v>3</v>
      </c>
      <c r="AP30" s="88"/>
      <c r="AQ30" s="88"/>
    </row>
    <row r="31">
      <c r="A31" s="114">
        <v>26.0</v>
      </c>
      <c r="B31" s="115" t="s">
        <v>1894</v>
      </c>
      <c r="C31" s="115" t="s">
        <v>2488</v>
      </c>
      <c r="D31" s="116" t="str">
        <f>VLOOKUP(B31,USN!$1:$1088,2,FALSE)</f>
        <v>1CR23CS027</v>
      </c>
      <c r="E31" s="116">
        <v>8.885303717E9</v>
      </c>
      <c r="F31" s="117" t="s">
        <v>2461</v>
      </c>
      <c r="G31" s="118"/>
      <c r="H31" s="119">
        <v>87.0</v>
      </c>
      <c r="I31" s="116">
        <v>89.0</v>
      </c>
      <c r="J31" s="120">
        <f>IFNA(VLOOKUP(D31,'L3'!$1:$2060,2,False),0)</f>
        <v>79</v>
      </c>
      <c r="K31" s="120">
        <f>VLOOKUP(D31,'L4'!$1:$2059,2,FALSE)</f>
        <v>70</v>
      </c>
      <c r="L31" s="121">
        <f>VLOOKUP(D31,'A1 RETEST 5 DEC'!$1:$2096,2,FALSE)</f>
        <v>78</v>
      </c>
      <c r="M31" s="121">
        <f>VLOOKUP(D31,'A2 RETEST 4 DEC'!$1:$2096,2,FALSE)</f>
        <v>50</v>
      </c>
      <c r="N31" s="122">
        <v>50.0</v>
      </c>
      <c r="O31" s="121"/>
      <c r="P31" s="123">
        <f>IFNA(VLOOKUP(D31,'S1'!$1:$1325,2,False),0)</f>
        <v>83</v>
      </c>
      <c r="Q31" s="123">
        <f>IFNA(vlookup(D31,'S2'!A27:B1229,2,False),0)</f>
        <v>65</v>
      </c>
      <c r="R31" s="123">
        <f>ifna(vlookup(D31,'S3'!$1:$1311,2,False),0)</f>
        <v>92</v>
      </c>
      <c r="S31" s="123"/>
      <c r="T31" s="124">
        <v>11.0</v>
      </c>
      <c r="U31" s="125">
        <v>22.0</v>
      </c>
      <c r="V31" s="125">
        <v>72.0</v>
      </c>
      <c r="W31" s="125">
        <v>28.0</v>
      </c>
      <c r="X31" s="125">
        <v>92.0</v>
      </c>
      <c r="Y31" s="125"/>
      <c r="Z31" s="126"/>
      <c r="AA31" s="127">
        <v>50.0</v>
      </c>
      <c r="AB31" s="26">
        <v>77.5</v>
      </c>
      <c r="AC31" s="135">
        <v>60.0</v>
      </c>
      <c r="AD31" s="129">
        <v>75.0</v>
      </c>
      <c r="AE31" s="130">
        <v>33.0</v>
      </c>
      <c r="AF31" s="129"/>
      <c r="AG31" s="129">
        <v>46.0</v>
      </c>
      <c r="AH31" s="129"/>
      <c r="AI31" s="131"/>
      <c r="AJ31" s="131"/>
      <c r="AK31" s="132">
        <f t="shared" si="1"/>
        <v>4</v>
      </c>
      <c r="AL31" s="132">
        <f t="shared" si="2"/>
        <v>3</v>
      </c>
      <c r="AM31" s="133">
        <f t="shared" si="3"/>
        <v>2</v>
      </c>
      <c r="AN31" s="132" t="str">
        <f t="shared" si="4"/>
        <v>3</v>
      </c>
      <c r="AO31" s="132">
        <f t="shared" si="5"/>
        <v>3</v>
      </c>
      <c r="AP31" s="88"/>
      <c r="AQ31" s="88"/>
    </row>
    <row r="32">
      <c r="A32" s="114">
        <v>27.0</v>
      </c>
      <c r="B32" s="115" t="s">
        <v>1895</v>
      </c>
      <c r="C32" s="115" t="s">
        <v>2489</v>
      </c>
      <c r="D32" s="116" t="str">
        <f>VLOOKUP(B32,USN!$1:$1088,2,FALSE)</f>
        <v>1CR23CS028</v>
      </c>
      <c r="E32" s="116">
        <v>9.620590906E9</v>
      </c>
      <c r="F32" s="117" t="s">
        <v>2461</v>
      </c>
      <c r="G32" s="118"/>
      <c r="H32" s="119">
        <v>75.0</v>
      </c>
      <c r="I32" s="116">
        <v>80.0</v>
      </c>
      <c r="J32" s="120">
        <f>IFNA(VLOOKUP(D32,'L3'!$1:$2060,2,False),0)</f>
        <v>48</v>
      </c>
      <c r="K32" s="120">
        <f>VLOOKUP(D32,'L4'!$1:$2059,2,FALSE)</f>
        <v>70</v>
      </c>
      <c r="L32" s="121">
        <f>VLOOKUP(D32,'A1 RETEST 5 DEC'!$1:$2096,2,FALSE)</f>
        <v>50</v>
      </c>
      <c r="M32" s="121">
        <f>VLOOKUP(D32,'A2 RETEST 4 DEC'!$1:$2096,2,FALSE)</f>
        <v>50</v>
      </c>
      <c r="N32" s="122">
        <v>0.0</v>
      </c>
      <c r="O32" s="121"/>
      <c r="P32" s="123">
        <f>IFNA(VLOOKUP(D32,'S1'!$1:$1325,2,False),0)</f>
        <v>50</v>
      </c>
      <c r="Q32" s="123">
        <f>IFNA(vlookup(D32,'S2'!A28:B1230,2,False),0)</f>
        <v>0</v>
      </c>
      <c r="R32" s="123">
        <f>ifna(vlookup(D32,'S3'!$1:$1311,2,False),0)</f>
        <v>0</v>
      </c>
      <c r="S32" s="123"/>
      <c r="T32" s="124">
        <v>18.0</v>
      </c>
      <c r="U32" s="125">
        <v>19.0</v>
      </c>
      <c r="V32" s="125"/>
      <c r="W32" s="125">
        <v>24.0</v>
      </c>
      <c r="X32" s="125">
        <v>80.0</v>
      </c>
      <c r="Y32" s="125"/>
      <c r="Z32" s="126"/>
      <c r="AA32" s="127">
        <v>30.0</v>
      </c>
      <c r="AB32" s="26">
        <v>17.5</v>
      </c>
      <c r="AC32" s="135">
        <v>80.0</v>
      </c>
      <c r="AD32" s="129">
        <v>100.0</v>
      </c>
      <c r="AE32" s="130">
        <v>14.0</v>
      </c>
      <c r="AF32" s="129"/>
      <c r="AG32" s="129">
        <v>0.0</v>
      </c>
      <c r="AH32" s="129"/>
      <c r="AI32" s="131"/>
      <c r="AJ32" s="131"/>
      <c r="AK32" s="132">
        <f t="shared" si="1"/>
        <v>2</v>
      </c>
      <c r="AL32" s="132">
        <f t="shared" si="2"/>
        <v>2</v>
      </c>
      <c r="AM32" s="133">
        <f t="shared" si="3"/>
        <v>2</v>
      </c>
      <c r="AN32" s="132" t="str">
        <f t="shared" si="4"/>
        <v>0</v>
      </c>
      <c r="AO32" s="132">
        <f t="shared" si="5"/>
        <v>1</v>
      </c>
      <c r="AP32" s="88"/>
      <c r="AQ32" s="88"/>
    </row>
    <row r="33">
      <c r="A33" s="114">
        <v>28.0</v>
      </c>
      <c r="B33" s="137" t="s">
        <v>2091</v>
      </c>
      <c r="C33" s="137" t="s">
        <v>2490</v>
      </c>
      <c r="D33" s="116" t="str">
        <f>VLOOKUP(B33,USN!$1:$1088,2,FALSE)</f>
        <v>1CR23CS029</v>
      </c>
      <c r="E33" s="138" t="s">
        <v>2491</v>
      </c>
      <c r="F33" s="117" t="s">
        <v>2461</v>
      </c>
      <c r="G33" s="118"/>
      <c r="H33" s="119">
        <v>72.0</v>
      </c>
      <c r="I33" s="142">
        <v>70.0</v>
      </c>
      <c r="J33" s="120">
        <f>IFNA(VLOOKUP(D33,'L3'!$1:$2060,2,False),0)</f>
        <v>31</v>
      </c>
      <c r="K33" s="120">
        <f>VLOOKUP(D33,'L4'!$1:$2059,2,FALSE)</f>
        <v>70</v>
      </c>
      <c r="L33" s="121">
        <f>VLOOKUP(D33,'A1 RETEST 5 DEC'!$1:$2096,2,FALSE)</f>
        <v>53</v>
      </c>
      <c r="M33" s="121">
        <f>VLOOKUP(D33,'A2 RETEST 4 DEC'!$1:$2096,2,FALSE)</f>
        <v>15</v>
      </c>
      <c r="N33" s="122">
        <v>9.0</v>
      </c>
      <c r="O33" s="121"/>
      <c r="P33" s="123">
        <f>IFNA(VLOOKUP(D33,'S1'!$1:$1325,2,False),0)</f>
        <v>0</v>
      </c>
      <c r="Q33" s="123">
        <f>IFNA(vlookup(D33,'S2'!A29:B1231,2,False),0)</f>
        <v>0</v>
      </c>
      <c r="R33" s="123">
        <f>ifna(vlookup(D33,'S3'!$1:$1311,2,False),0)</f>
        <v>0</v>
      </c>
      <c r="S33" s="123"/>
      <c r="T33" s="124">
        <v>19.0</v>
      </c>
      <c r="U33" s="125">
        <v>17.0</v>
      </c>
      <c r="V33" s="125"/>
      <c r="W33" s="125">
        <v>20.0</v>
      </c>
      <c r="X33" s="125">
        <v>90.0</v>
      </c>
      <c r="Y33" s="125"/>
      <c r="Z33" s="126"/>
      <c r="AA33" s="127">
        <v>28.0</v>
      </c>
      <c r="AB33" s="26">
        <v>85.0</v>
      </c>
      <c r="AC33" s="135">
        <v>0.0</v>
      </c>
      <c r="AD33" s="129">
        <v>26.0</v>
      </c>
      <c r="AE33" s="130">
        <v>10.0</v>
      </c>
      <c r="AF33" s="129"/>
      <c r="AG33" s="129">
        <v>18.0</v>
      </c>
      <c r="AH33" s="129"/>
      <c r="AI33" s="131"/>
      <c r="AJ33" s="131"/>
      <c r="AK33" s="132">
        <f t="shared" si="1"/>
        <v>2</v>
      </c>
      <c r="AL33" s="132">
        <f t="shared" si="2"/>
        <v>1</v>
      </c>
      <c r="AM33" s="133">
        <f t="shared" si="3"/>
        <v>2</v>
      </c>
      <c r="AN33" s="132" t="str">
        <f t="shared" si="4"/>
        <v>2</v>
      </c>
      <c r="AO33" s="132">
        <f t="shared" si="5"/>
        <v>0</v>
      </c>
      <c r="AP33" s="88"/>
      <c r="AQ33" s="88"/>
    </row>
    <row r="34">
      <c r="A34" s="114">
        <v>29.0</v>
      </c>
      <c r="B34" s="115" t="s">
        <v>1896</v>
      </c>
      <c r="C34" s="115" t="s">
        <v>2492</v>
      </c>
      <c r="D34" s="116" t="str">
        <f>VLOOKUP(B34,USN!$1:$1088,2,FALSE)</f>
        <v>1CR23CS030</v>
      </c>
      <c r="E34" s="116">
        <v>9.546969009E9</v>
      </c>
      <c r="F34" s="117" t="s">
        <v>2461</v>
      </c>
      <c r="G34" s="118"/>
      <c r="H34" s="119">
        <v>85.0</v>
      </c>
      <c r="I34" s="116">
        <v>79.0</v>
      </c>
      <c r="J34" s="120">
        <f>IFNA(VLOOKUP(D34,'L3'!$1:$2060,2,False),0)</f>
        <v>61</v>
      </c>
      <c r="K34" s="120">
        <f>VLOOKUP(D34,'L4'!$1:$2059,2,FALSE)</f>
        <v>70</v>
      </c>
      <c r="L34" s="121">
        <f>VLOOKUP(D34,'A1 RETEST 5 DEC'!$1:$2096,2,FALSE)</f>
        <v>68</v>
      </c>
      <c r="M34" s="121">
        <f>VLOOKUP(D34,'A2 RETEST 4 DEC'!$1:$2096,2,FALSE)</f>
        <v>53</v>
      </c>
      <c r="N34" s="122">
        <v>0.0</v>
      </c>
      <c r="O34" s="121"/>
      <c r="P34" s="123">
        <f>IFNA(VLOOKUP(D34,'S1'!$1:$1325,2,False),0)</f>
        <v>50</v>
      </c>
      <c r="Q34" s="123">
        <f>IFNA(vlookup(D34,'S2'!A30:B1232,2,False),0)</f>
        <v>68</v>
      </c>
      <c r="R34" s="123">
        <f>ifna(vlookup(D34,'S3'!$1:$1311,2,False),0)</f>
        <v>50</v>
      </c>
      <c r="S34" s="123"/>
      <c r="T34" s="124">
        <v>10.0</v>
      </c>
      <c r="U34" s="125">
        <v>18.0</v>
      </c>
      <c r="V34" s="125">
        <v>64.0</v>
      </c>
      <c r="W34" s="125"/>
      <c r="X34" s="125"/>
      <c r="Y34" s="125"/>
      <c r="Z34" s="126"/>
      <c r="AA34" s="127">
        <v>50.0</v>
      </c>
      <c r="AB34" s="26">
        <v>75.0</v>
      </c>
      <c r="AC34" s="135">
        <v>0.0</v>
      </c>
      <c r="AD34" s="129">
        <v>4.0</v>
      </c>
      <c r="AE34" s="130">
        <v>10.0</v>
      </c>
      <c r="AF34" s="129"/>
      <c r="AG34" s="129">
        <v>0.0</v>
      </c>
      <c r="AH34" s="129"/>
      <c r="AI34" s="131"/>
      <c r="AJ34" s="131"/>
      <c r="AK34" s="132">
        <f t="shared" si="1"/>
        <v>2</v>
      </c>
      <c r="AL34" s="132">
        <f t="shared" si="2"/>
        <v>2</v>
      </c>
      <c r="AM34" s="133">
        <f t="shared" si="3"/>
        <v>2</v>
      </c>
      <c r="AN34" s="132" t="str">
        <f t="shared" si="4"/>
        <v>2</v>
      </c>
      <c r="AO34" s="132">
        <f t="shared" si="5"/>
        <v>3</v>
      </c>
      <c r="AP34" s="88"/>
      <c r="AQ34" s="88"/>
    </row>
    <row r="35">
      <c r="A35" s="114">
        <v>30.0</v>
      </c>
      <c r="B35" s="115" t="s">
        <v>1897</v>
      </c>
      <c r="C35" s="115" t="s">
        <v>2493</v>
      </c>
      <c r="D35" s="116" t="str">
        <f>VLOOKUP(B35,USN!$1:$1088,2,FALSE)</f>
        <v>1CR23CS031</v>
      </c>
      <c r="E35" s="116">
        <v>9.148696928E9</v>
      </c>
      <c r="F35" s="117" t="s">
        <v>2461</v>
      </c>
      <c r="G35" s="118"/>
      <c r="H35" s="119">
        <v>88.0</v>
      </c>
      <c r="I35" s="116">
        <v>94.0</v>
      </c>
      <c r="J35" s="120">
        <f>IFNA(VLOOKUP(D35,'L3'!$1:$2060,2,False),0)</f>
        <v>89</v>
      </c>
      <c r="K35" s="120">
        <f>VLOOKUP(D35,'L4'!$1:$2059,2,FALSE)</f>
        <v>78</v>
      </c>
      <c r="L35" s="121">
        <f>VLOOKUP(D35,'A1 RETEST 5 DEC'!$1:$2096,2,FALSE)</f>
        <v>44</v>
      </c>
      <c r="M35" s="121">
        <f>VLOOKUP(D35,'A2 RETEST 4 DEC'!$1:$2096,2,FALSE)</f>
        <v>14</v>
      </c>
      <c r="N35" s="122">
        <v>12.0</v>
      </c>
      <c r="O35" s="121"/>
      <c r="P35" s="123">
        <f>IFNA(VLOOKUP(D35,'S1'!$1:$1325,2,False),0)</f>
        <v>76</v>
      </c>
      <c r="Q35" s="123">
        <f>IFNA(vlookup(D35,'S2'!A31:B1233,2,False),0)</f>
        <v>73</v>
      </c>
      <c r="R35" s="123">
        <f>ifna(vlookup(D35,'S3'!$1:$1311,2,False),0)</f>
        <v>0</v>
      </c>
      <c r="S35" s="123"/>
      <c r="T35" s="124">
        <v>12.0</v>
      </c>
      <c r="U35" s="125">
        <v>19.0</v>
      </c>
      <c r="V35" s="125"/>
      <c r="W35" s="125">
        <v>52.0</v>
      </c>
      <c r="X35" s="125">
        <v>50.0</v>
      </c>
      <c r="Y35" s="125"/>
      <c r="Z35" s="126"/>
      <c r="AA35" s="127">
        <v>70.0</v>
      </c>
      <c r="AB35" s="26">
        <v>92.5</v>
      </c>
      <c r="AC35" s="135">
        <v>15.0</v>
      </c>
      <c r="AD35" s="129">
        <v>0.0</v>
      </c>
      <c r="AE35" s="130">
        <v>10.0</v>
      </c>
      <c r="AF35" s="129"/>
      <c r="AG35" s="129">
        <v>5.0</v>
      </c>
      <c r="AH35" s="129"/>
      <c r="AI35" s="131"/>
      <c r="AJ35" s="131"/>
      <c r="AK35" s="132">
        <f t="shared" si="1"/>
        <v>4</v>
      </c>
      <c r="AL35" s="132">
        <f t="shared" si="2"/>
        <v>0</v>
      </c>
      <c r="AM35" s="133">
        <f t="shared" si="3"/>
        <v>3</v>
      </c>
      <c r="AN35" s="132" t="str">
        <f t="shared" si="4"/>
        <v>2</v>
      </c>
      <c r="AO35" s="132">
        <f t="shared" si="5"/>
        <v>2</v>
      </c>
      <c r="AP35" s="88"/>
      <c r="AQ35" s="88"/>
    </row>
    <row r="36">
      <c r="A36" s="114">
        <v>31.0</v>
      </c>
      <c r="B36" s="115" t="s">
        <v>1898</v>
      </c>
      <c r="C36" s="115" t="s">
        <v>2494</v>
      </c>
      <c r="D36" s="116" t="str">
        <f>VLOOKUP(B36,USN!$1:$1088,2,FALSE)</f>
        <v>1CR23CS032</v>
      </c>
      <c r="E36" s="116">
        <v>9.986266664E9</v>
      </c>
      <c r="F36" s="117" t="s">
        <v>2461</v>
      </c>
      <c r="G36" s="118"/>
      <c r="H36" s="119">
        <v>88.0</v>
      </c>
      <c r="I36" s="116">
        <v>89.0</v>
      </c>
      <c r="J36" s="120">
        <f>IFNA(VLOOKUP(D36,'L3'!$1:$2060,2,False),0)</f>
        <v>80</v>
      </c>
      <c r="K36" s="120">
        <f>VLOOKUP(D36,'L4'!$1:$2059,2,FALSE)</f>
        <v>82</v>
      </c>
      <c r="L36" s="121">
        <f>VLOOKUP(D36,'A1 RETEST 5 DEC'!$1:$2096,2,FALSE)</f>
        <v>57</v>
      </c>
      <c r="M36" s="121">
        <f>VLOOKUP(D36,'A2 RETEST 4 DEC'!$1:$2096,2,FALSE)</f>
        <v>17</v>
      </c>
      <c r="N36" s="122">
        <v>50.0</v>
      </c>
      <c r="O36" s="121"/>
      <c r="P36" s="123">
        <f>IFNA(VLOOKUP(D36,'S1'!$1:$1325,2,False),0)</f>
        <v>74</v>
      </c>
      <c r="Q36" s="123">
        <f>IFNA(vlookup(D36,'S2'!A32:B1234,2,False),0)</f>
        <v>90</v>
      </c>
      <c r="R36" s="123">
        <f>ifna(vlookup(D36,'S3'!$1:$1311,2,False),0)</f>
        <v>96</v>
      </c>
      <c r="S36" s="123"/>
      <c r="T36" s="124">
        <v>14.0</v>
      </c>
      <c r="U36" s="125">
        <v>18.0</v>
      </c>
      <c r="V36" s="125">
        <v>52.0</v>
      </c>
      <c r="W36" s="125">
        <v>44.0</v>
      </c>
      <c r="X36" s="125">
        <v>84.0</v>
      </c>
      <c r="Y36" s="125"/>
      <c r="Z36" s="126"/>
      <c r="AA36" s="127">
        <v>90.0</v>
      </c>
      <c r="AB36" s="26">
        <v>100.0</v>
      </c>
      <c r="AC36" s="135">
        <v>83.5</v>
      </c>
      <c r="AD36" s="129">
        <v>100.0</v>
      </c>
      <c r="AE36" s="130">
        <v>88.0</v>
      </c>
      <c r="AF36" s="129"/>
      <c r="AG36" s="129">
        <v>61.0</v>
      </c>
      <c r="AH36" s="129"/>
      <c r="AI36" s="131"/>
      <c r="AJ36" s="131"/>
      <c r="AK36" s="132">
        <f t="shared" si="1"/>
        <v>4</v>
      </c>
      <c r="AL36" s="132">
        <f t="shared" si="2"/>
        <v>1</v>
      </c>
      <c r="AM36" s="133">
        <f t="shared" si="3"/>
        <v>2</v>
      </c>
      <c r="AN36" s="132" t="str">
        <f t="shared" si="4"/>
        <v>3.5</v>
      </c>
      <c r="AO36" s="132">
        <f t="shared" si="5"/>
        <v>3</v>
      </c>
      <c r="AP36" s="88"/>
      <c r="AQ36" s="88"/>
    </row>
    <row r="37">
      <c r="A37" s="114">
        <v>32.0</v>
      </c>
      <c r="B37" s="115" t="s">
        <v>1899</v>
      </c>
      <c r="C37" s="115" t="s">
        <v>2495</v>
      </c>
      <c r="D37" s="116" t="str">
        <f>VLOOKUP(B37,USN!$1:$1088,2,FALSE)</f>
        <v>1CR23CS033</v>
      </c>
      <c r="E37" s="116">
        <v>6.362495768E9</v>
      </c>
      <c r="F37" s="117" t="s">
        <v>2461</v>
      </c>
      <c r="G37" s="118"/>
      <c r="H37" s="119">
        <v>80.0</v>
      </c>
      <c r="I37" s="116">
        <v>85.0</v>
      </c>
      <c r="J37" s="120">
        <f>IFNA(VLOOKUP(D37,'L3'!$1:$2060,2,False),0)</f>
        <v>83</v>
      </c>
      <c r="K37" s="120">
        <f>VLOOKUP(D37,'L4'!$1:$2059,2,FALSE)</f>
        <v>78</v>
      </c>
      <c r="L37" s="121">
        <f>VLOOKUP(D37,'A1 RETEST 5 DEC'!$1:$2096,2,FALSE)</f>
        <v>52</v>
      </c>
      <c r="M37" s="121">
        <f>VLOOKUP(D37,'A2 RETEST 4 DEC'!$1:$2096,2,FALSE)</f>
        <v>23</v>
      </c>
      <c r="N37" s="122">
        <v>27.0</v>
      </c>
      <c r="O37" s="121"/>
      <c r="P37" s="123">
        <f>IFNA(VLOOKUP(D37,'S1'!$1:$1325,2,False),0)</f>
        <v>87</v>
      </c>
      <c r="Q37" s="123">
        <f>IFNA(vlookup(D37,'S2'!A33:B1235,2,False),0)</f>
        <v>90</v>
      </c>
      <c r="R37" s="123">
        <f>ifna(vlookup(D37,'S3'!$1:$1311,2,False),0)</f>
        <v>96</v>
      </c>
      <c r="S37" s="123"/>
      <c r="T37" s="124">
        <v>13.0</v>
      </c>
      <c r="U37" s="125">
        <v>20.0</v>
      </c>
      <c r="V37" s="125">
        <v>75.0</v>
      </c>
      <c r="W37" s="125">
        <v>32.0</v>
      </c>
      <c r="X37" s="125">
        <v>82.0</v>
      </c>
      <c r="Y37" s="125"/>
      <c r="Z37" s="126"/>
      <c r="AA37" s="127">
        <v>85.0</v>
      </c>
      <c r="AB37" s="26">
        <v>90.0</v>
      </c>
      <c r="AC37" s="135">
        <v>84.0</v>
      </c>
      <c r="AD37" s="129">
        <v>100.0</v>
      </c>
      <c r="AE37" s="130">
        <v>71.0</v>
      </c>
      <c r="AF37" s="129"/>
      <c r="AG37" s="129">
        <v>70.0</v>
      </c>
      <c r="AH37" s="129"/>
      <c r="AI37" s="131"/>
      <c r="AJ37" s="131"/>
      <c r="AK37" s="132">
        <f t="shared" si="1"/>
        <v>4</v>
      </c>
      <c r="AL37" s="132">
        <f t="shared" si="2"/>
        <v>1</v>
      </c>
      <c r="AM37" s="133">
        <f t="shared" si="3"/>
        <v>2</v>
      </c>
      <c r="AN37" s="132" t="str">
        <f t="shared" si="4"/>
        <v>3.5</v>
      </c>
      <c r="AO37" s="132">
        <f t="shared" si="5"/>
        <v>3</v>
      </c>
      <c r="AP37" s="88"/>
      <c r="AQ37" s="88"/>
    </row>
    <row r="38">
      <c r="A38" s="114">
        <v>33.0</v>
      </c>
      <c r="B38" s="115" t="s">
        <v>1900</v>
      </c>
      <c r="C38" s="115" t="s">
        <v>2496</v>
      </c>
      <c r="D38" s="116" t="str">
        <f>VLOOKUP(B38,USN!$1:$1088,2,FALSE)</f>
        <v>1CR23CS034</v>
      </c>
      <c r="E38" s="116">
        <v>7.619415579E9</v>
      </c>
      <c r="F38" s="117" t="s">
        <v>2461</v>
      </c>
      <c r="G38" s="118"/>
      <c r="H38" s="119">
        <v>86.0</v>
      </c>
      <c r="I38" s="116">
        <v>86.0</v>
      </c>
      <c r="J38" s="120">
        <f>IFNA(VLOOKUP(D38,'L3'!$1:$2060,2,False),0)</f>
        <v>80</v>
      </c>
      <c r="K38" s="120">
        <f>VLOOKUP(D38,'L4'!$1:$2059,2,FALSE)</f>
        <v>70</v>
      </c>
      <c r="L38" s="121">
        <f>VLOOKUP(D38,'A1 RETEST 5 DEC'!$1:$2096,2,FALSE)</f>
        <v>62</v>
      </c>
      <c r="M38" s="121">
        <f>VLOOKUP(D38,'A2 RETEST 4 DEC'!$1:$2096,2,FALSE)</f>
        <v>50</v>
      </c>
      <c r="N38" s="122">
        <v>61.0</v>
      </c>
      <c r="O38" s="121"/>
      <c r="P38" s="123">
        <f>IFNA(VLOOKUP(D38,'S1'!$1:$1325,2,False),0)</f>
        <v>50</v>
      </c>
      <c r="Q38" s="123">
        <f>IFNA(vlookup(D38,'S2'!A34:B1236,2,False),0)</f>
        <v>65</v>
      </c>
      <c r="R38" s="123">
        <f>ifna(vlookup(D38,'S3'!$1:$1311,2,False),0)</f>
        <v>75</v>
      </c>
      <c r="S38" s="123"/>
      <c r="T38" s="124">
        <v>15.0</v>
      </c>
      <c r="U38" s="125">
        <v>18.0</v>
      </c>
      <c r="V38" s="125">
        <v>56.0</v>
      </c>
      <c r="W38" s="125">
        <v>44.0</v>
      </c>
      <c r="X38" s="125">
        <v>84.0</v>
      </c>
      <c r="Y38" s="125"/>
      <c r="Z38" s="126"/>
      <c r="AA38" s="127">
        <v>82.0</v>
      </c>
      <c r="AB38" s="26">
        <v>96.25</v>
      </c>
      <c r="AC38" s="135">
        <v>100.0</v>
      </c>
      <c r="AD38" s="129">
        <v>100.0</v>
      </c>
      <c r="AE38" s="130">
        <v>70.0</v>
      </c>
      <c r="AF38" s="129"/>
      <c r="AG38" s="129">
        <v>27.0</v>
      </c>
      <c r="AH38" s="129"/>
      <c r="AI38" s="131"/>
      <c r="AJ38" s="131"/>
      <c r="AK38" s="132">
        <f t="shared" si="1"/>
        <v>4</v>
      </c>
      <c r="AL38" s="132">
        <f t="shared" si="2"/>
        <v>3</v>
      </c>
      <c r="AM38" s="133">
        <f t="shared" si="3"/>
        <v>2</v>
      </c>
      <c r="AN38" s="132" t="str">
        <f t="shared" si="4"/>
        <v>3.5</v>
      </c>
      <c r="AO38" s="132">
        <f t="shared" si="5"/>
        <v>3</v>
      </c>
      <c r="AP38" s="88"/>
      <c r="AQ38" s="88"/>
    </row>
    <row r="39">
      <c r="A39" s="114">
        <v>34.0</v>
      </c>
      <c r="B39" s="115" t="s">
        <v>1925</v>
      </c>
      <c r="C39" s="115" t="s">
        <v>2497</v>
      </c>
      <c r="D39" s="116" t="str">
        <f>VLOOKUP(B39,USN!$1:$1088,2,FALSE)</f>
        <v>1CR23CS035</v>
      </c>
      <c r="E39" s="142">
        <v>8.792061225E9</v>
      </c>
      <c r="F39" s="117" t="s">
        <v>2461</v>
      </c>
      <c r="G39" s="118"/>
      <c r="H39" s="119">
        <v>87.0</v>
      </c>
      <c r="I39" s="116">
        <v>85.0</v>
      </c>
      <c r="J39" s="120">
        <f>IFNA(VLOOKUP(D39,'L3'!$1:$2060,2,False),0)</f>
        <v>70</v>
      </c>
      <c r="K39" s="120">
        <f>VLOOKUP(D39,'L4'!$1:$2059,2,FALSE)</f>
        <v>70</v>
      </c>
      <c r="L39" s="121">
        <f>VLOOKUP(D39,'A1 RETEST 5 DEC'!$1:$2096,2,FALSE)</f>
        <v>50</v>
      </c>
      <c r="M39" s="121">
        <f>VLOOKUP(D39,'A2 RETEST 4 DEC'!$1:$2096,2,FALSE)</f>
        <v>17</v>
      </c>
      <c r="N39" s="122">
        <v>50.0</v>
      </c>
      <c r="O39" s="121"/>
      <c r="P39" s="123">
        <f>IFNA(VLOOKUP(D39,'S1'!$1:$1325,2,False),0)</f>
        <v>76</v>
      </c>
      <c r="Q39" s="123">
        <f>IFNA(vlookup(D39,'S2'!A35:B1237,2,False),0)</f>
        <v>66</v>
      </c>
      <c r="R39" s="123">
        <f>ifna(vlookup(D39,'S3'!$1:$1311,2,False),0)</f>
        <v>85</v>
      </c>
      <c r="S39" s="123"/>
      <c r="T39" s="124">
        <v>10.0</v>
      </c>
      <c r="U39" s="125">
        <v>23.0</v>
      </c>
      <c r="V39" s="125">
        <v>64.0</v>
      </c>
      <c r="W39" s="125">
        <v>52.0</v>
      </c>
      <c r="X39" s="125">
        <v>86.0</v>
      </c>
      <c r="Y39" s="125"/>
      <c r="Z39" s="126"/>
      <c r="AA39" s="127">
        <v>80.0</v>
      </c>
      <c r="AB39" s="26">
        <v>91.25</v>
      </c>
      <c r="AC39" s="135">
        <v>60.0</v>
      </c>
      <c r="AD39" s="129">
        <v>100.0</v>
      </c>
      <c r="AE39" s="130">
        <v>70.0</v>
      </c>
      <c r="AF39" s="129"/>
      <c r="AG39" s="129">
        <v>71.0</v>
      </c>
      <c r="AH39" s="129"/>
      <c r="AI39" s="131"/>
      <c r="AJ39" s="131"/>
      <c r="AK39" s="132">
        <f t="shared" si="1"/>
        <v>4</v>
      </c>
      <c r="AL39" s="132">
        <f t="shared" si="2"/>
        <v>1</v>
      </c>
      <c r="AM39" s="133">
        <f t="shared" si="3"/>
        <v>3</v>
      </c>
      <c r="AN39" s="132" t="str">
        <f t="shared" si="4"/>
        <v>3.5</v>
      </c>
      <c r="AO39" s="132">
        <f t="shared" si="5"/>
        <v>3</v>
      </c>
      <c r="AP39" s="88"/>
      <c r="AQ39" s="88"/>
    </row>
    <row r="40">
      <c r="A40" s="114">
        <v>35.0</v>
      </c>
      <c r="B40" s="115" t="s">
        <v>1901</v>
      </c>
      <c r="C40" s="115" t="s">
        <v>2498</v>
      </c>
      <c r="D40" s="116" t="str">
        <f>VLOOKUP(B40,USN!$1:$1088,2,FALSE)</f>
        <v>1CR23CS036</v>
      </c>
      <c r="E40" s="116">
        <v>8.210060969E9</v>
      </c>
      <c r="F40" s="117" t="s">
        <v>2461</v>
      </c>
      <c r="G40" s="118"/>
      <c r="H40" s="119">
        <v>86.0</v>
      </c>
      <c r="I40" s="116">
        <v>88.0</v>
      </c>
      <c r="J40" s="120">
        <f>IFNA(VLOOKUP(D40,'L3'!$1:$2060,2,False),0)</f>
        <v>70</v>
      </c>
      <c r="K40" s="120">
        <f>VLOOKUP(D40,'L4'!$1:$2059,2,FALSE)</f>
        <v>70</v>
      </c>
      <c r="L40" s="121">
        <f>VLOOKUP(D40,'A1 RETEST 5 DEC'!$1:$2096,2,FALSE)</f>
        <v>83</v>
      </c>
      <c r="M40" s="121">
        <f>VLOOKUP(D40,'A2 RETEST 4 DEC'!$1:$2096,2,FALSE)</f>
        <v>50</v>
      </c>
      <c r="N40" s="122">
        <v>53.0</v>
      </c>
      <c r="O40" s="121"/>
      <c r="P40" s="123">
        <f>IFNA(VLOOKUP(D40,'S1'!$1:$1325,2,False),0)</f>
        <v>82</v>
      </c>
      <c r="Q40" s="123">
        <f>IFNA(vlookup(D40,'S2'!A36:B1238,2,False),0)</f>
        <v>63</v>
      </c>
      <c r="R40" s="123">
        <f>ifna(vlookup(D40,'S3'!$1:$1311,2,False),0)</f>
        <v>88</v>
      </c>
      <c r="S40" s="123"/>
      <c r="T40" s="124">
        <v>11.0</v>
      </c>
      <c r="U40" s="125">
        <v>19.0</v>
      </c>
      <c r="V40" s="125">
        <v>72.0</v>
      </c>
      <c r="W40" s="125">
        <v>52.0</v>
      </c>
      <c r="X40" s="125">
        <v>86.0</v>
      </c>
      <c r="Y40" s="125"/>
      <c r="Z40" s="126"/>
      <c r="AA40" s="127">
        <v>100.0</v>
      </c>
      <c r="AB40" s="26">
        <v>100.0</v>
      </c>
      <c r="AC40" s="135">
        <v>84.0</v>
      </c>
      <c r="AD40" s="129">
        <v>60.0</v>
      </c>
      <c r="AE40" s="130">
        <v>80.0</v>
      </c>
      <c r="AF40" s="129"/>
      <c r="AG40" s="129">
        <v>70.0</v>
      </c>
      <c r="AH40" s="129"/>
      <c r="AI40" s="131"/>
      <c r="AJ40" s="131"/>
      <c r="AK40" s="132">
        <f t="shared" si="1"/>
        <v>4</v>
      </c>
      <c r="AL40" s="132">
        <f t="shared" si="2"/>
        <v>3</v>
      </c>
      <c r="AM40" s="133">
        <f t="shared" si="3"/>
        <v>3</v>
      </c>
      <c r="AN40" s="132" t="str">
        <f t="shared" si="4"/>
        <v>3.5</v>
      </c>
      <c r="AO40" s="132">
        <f t="shared" si="5"/>
        <v>3</v>
      </c>
      <c r="AP40" s="88"/>
      <c r="AQ40" s="88"/>
    </row>
    <row r="41">
      <c r="A41" s="114">
        <v>36.0</v>
      </c>
      <c r="B41" s="115" t="s">
        <v>1926</v>
      </c>
      <c r="C41" s="115" t="s">
        <v>2499</v>
      </c>
      <c r="D41" s="116" t="str">
        <f>VLOOKUP(B41,USN!$1:$1088,2,FALSE)</f>
        <v>1CR23CS037</v>
      </c>
      <c r="E41" s="116">
        <v>9.986689394E9</v>
      </c>
      <c r="F41" s="117" t="s">
        <v>2461</v>
      </c>
      <c r="G41" s="118"/>
      <c r="H41" s="119">
        <v>80.0</v>
      </c>
      <c r="I41" s="116">
        <v>86.0</v>
      </c>
      <c r="J41" s="120">
        <f>IFNA(VLOOKUP(D41,'L3'!$1:$2060,2,False),0)</f>
        <v>78</v>
      </c>
      <c r="K41" s="120">
        <f>VLOOKUP(D41,'L4'!$1:$2059,2,FALSE)</f>
        <v>79</v>
      </c>
      <c r="L41" s="121">
        <f>VLOOKUP(D41,'A1 RETEST 5 DEC'!$1:$2096,2,FALSE)</f>
        <v>50</v>
      </c>
      <c r="M41" s="121">
        <f>VLOOKUP(D41,'A2 RETEST 4 DEC'!$1:$2096,2,FALSE)</f>
        <v>50</v>
      </c>
      <c r="N41" s="122">
        <v>66.0</v>
      </c>
      <c r="O41" s="121"/>
      <c r="P41" s="123">
        <f>IFNA(VLOOKUP(D41,'S1'!$1:$1325,2,False),0)</f>
        <v>77</v>
      </c>
      <c r="Q41" s="123">
        <f>IFNA(vlookup(D41,'S2'!A37:B1239,2,False),0)</f>
        <v>65</v>
      </c>
      <c r="R41" s="123">
        <f>ifna(vlookup(D41,'S3'!$1:$1311,2,False),0)</f>
        <v>88</v>
      </c>
      <c r="S41" s="123"/>
      <c r="T41" s="124">
        <v>22.0</v>
      </c>
      <c r="U41" s="125">
        <v>18.0</v>
      </c>
      <c r="V41" s="125">
        <v>84.0</v>
      </c>
      <c r="W41" s="125">
        <v>36.0</v>
      </c>
      <c r="X41" s="125">
        <v>86.0</v>
      </c>
      <c r="Y41" s="125"/>
      <c r="Z41" s="126"/>
      <c r="AA41" s="127">
        <v>97.6</v>
      </c>
      <c r="AB41" s="26">
        <v>99.25</v>
      </c>
      <c r="AC41" s="135">
        <v>95.0</v>
      </c>
      <c r="AD41" s="129">
        <v>88.0</v>
      </c>
      <c r="AE41" s="130">
        <v>92.0</v>
      </c>
      <c r="AF41" s="129"/>
      <c r="AG41" s="129">
        <v>37.0</v>
      </c>
      <c r="AH41" s="129"/>
      <c r="AI41" s="131"/>
      <c r="AJ41" s="131"/>
      <c r="AK41" s="132">
        <f t="shared" si="1"/>
        <v>4</v>
      </c>
      <c r="AL41" s="132">
        <f t="shared" si="2"/>
        <v>3</v>
      </c>
      <c r="AM41" s="133">
        <f t="shared" si="3"/>
        <v>2</v>
      </c>
      <c r="AN41" s="132" t="str">
        <f t="shared" si="4"/>
        <v>3.5</v>
      </c>
      <c r="AO41" s="132">
        <f t="shared" si="5"/>
        <v>3</v>
      </c>
      <c r="AP41" s="88"/>
      <c r="AQ41" s="88"/>
    </row>
    <row r="42">
      <c r="A42" s="114">
        <v>37.0</v>
      </c>
      <c r="B42" s="137" t="s">
        <v>1945</v>
      </c>
      <c r="C42" s="115" t="s">
        <v>2500</v>
      </c>
      <c r="D42" s="116" t="str">
        <f>VLOOKUP(B42,USN!$1:$1088,2,FALSE)</f>
        <v>1CR23CS039</v>
      </c>
      <c r="E42" s="116">
        <v>8.10543512E9</v>
      </c>
      <c r="F42" s="117" t="s">
        <v>2461</v>
      </c>
      <c r="G42" s="118"/>
      <c r="H42" s="119">
        <v>77.0</v>
      </c>
      <c r="I42" s="116">
        <v>77.0</v>
      </c>
      <c r="J42" s="120">
        <f>IFNA(VLOOKUP(D42,'L3'!$1:$2060,2,False),0)</f>
        <v>3</v>
      </c>
      <c r="K42" s="120">
        <f>VLOOKUP(D42,'L4'!$1:$2059,2,FALSE)</f>
        <v>6</v>
      </c>
      <c r="L42" s="121">
        <f>VLOOKUP(D42,'A1 RETEST 5 DEC'!$1:$2096,2,FALSE)</f>
        <v>20</v>
      </c>
      <c r="M42" s="121">
        <f>VLOOKUP(D42,'A2 RETEST 4 DEC'!$1:$2096,2,FALSE)</f>
        <v>0</v>
      </c>
      <c r="N42" s="122">
        <v>0.0</v>
      </c>
      <c r="O42" s="121"/>
      <c r="P42" s="123">
        <f>IFNA(VLOOKUP(D42,'S1'!$1:$1325,2,False),0)</f>
        <v>0</v>
      </c>
      <c r="Q42" s="123">
        <f>IFNA(vlookup(D42,'S2'!A38:B1240,2,False),0)</f>
        <v>0</v>
      </c>
      <c r="R42" s="123">
        <f>ifna(vlookup(D42,'S3'!$1:$1311,2,False),0)</f>
        <v>0</v>
      </c>
      <c r="S42" s="123"/>
      <c r="T42" s="124">
        <v>20.0</v>
      </c>
      <c r="U42" s="125">
        <v>20.0</v>
      </c>
      <c r="V42" s="125"/>
      <c r="W42" s="125"/>
      <c r="X42" s="125"/>
      <c r="Y42" s="125"/>
      <c r="Z42" s="126"/>
      <c r="AA42" s="127">
        <v>0.0</v>
      </c>
      <c r="AB42" s="26">
        <v>78.75</v>
      </c>
      <c r="AC42" s="135">
        <v>0.0</v>
      </c>
      <c r="AD42" s="129">
        <v>0.0</v>
      </c>
      <c r="AE42" s="130">
        <v>10.0</v>
      </c>
      <c r="AF42" s="129"/>
      <c r="AG42" s="129">
        <v>0.0</v>
      </c>
      <c r="AH42" s="129"/>
      <c r="AI42" s="131"/>
      <c r="AJ42" s="131"/>
      <c r="AK42" s="132">
        <f t="shared" si="1"/>
        <v>2</v>
      </c>
      <c r="AL42" s="132">
        <f t="shared" si="2"/>
        <v>0</v>
      </c>
      <c r="AM42" s="133">
        <f t="shared" si="3"/>
        <v>2</v>
      </c>
      <c r="AN42" s="132" t="str">
        <f t="shared" si="4"/>
        <v>2</v>
      </c>
      <c r="AO42" s="132">
        <f t="shared" si="5"/>
        <v>0</v>
      </c>
      <c r="AP42" s="88"/>
      <c r="AQ42" s="88"/>
    </row>
    <row r="43">
      <c r="A43" s="114">
        <v>38.0</v>
      </c>
      <c r="B43" s="115" t="s">
        <v>1927</v>
      </c>
      <c r="C43" s="115" t="s">
        <v>2501</v>
      </c>
      <c r="D43" s="116" t="str">
        <f>VLOOKUP(B43,USN!$1:$1088,2,FALSE)</f>
        <v>1CR23CS040</v>
      </c>
      <c r="E43" s="116">
        <v>7.676603265E9</v>
      </c>
      <c r="F43" s="117" t="s">
        <v>2461</v>
      </c>
      <c r="G43" s="118"/>
      <c r="H43" s="119">
        <v>76.0</v>
      </c>
      <c r="I43" s="116">
        <v>67.0</v>
      </c>
      <c r="J43" s="120">
        <f>IFNA(VLOOKUP(D43,'L3'!$1:$2060,2,False),0)</f>
        <v>47</v>
      </c>
      <c r="K43" s="120">
        <f>VLOOKUP(D43,'L4'!$1:$2059,2,FALSE)</f>
        <v>40</v>
      </c>
      <c r="L43" s="121">
        <f>VLOOKUP(D43,'A1 RETEST 5 DEC'!$1:$2096,2,FALSE)</f>
        <v>50</v>
      </c>
      <c r="M43" s="121">
        <f>VLOOKUP(D43,'A2 RETEST 4 DEC'!$1:$2096,2,FALSE)</f>
        <v>26</v>
      </c>
      <c r="N43" s="122">
        <v>0.0</v>
      </c>
      <c r="O43" s="121"/>
      <c r="P43" s="123">
        <f>IFNA(VLOOKUP(D43,'S1'!$1:$1325,2,False),0)</f>
        <v>0</v>
      </c>
      <c r="Q43" s="123">
        <f>IFNA(vlookup(D43,'S2'!A39:B1241,2,False),0)</f>
        <v>50</v>
      </c>
      <c r="R43" s="123">
        <f>ifna(vlookup(D43,'S3'!$1:$1311,2,False),0)</f>
        <v>0</v>
      </c>
      <c r="S43" s="123"/>
      <c r="T43" s="124">
        <v>20.0</v>
      </c>
      <c r="U43" s="125">
        <v>16.0</v>
      </c>
      <c r="V43" s="125">
        <v>76.0</v>
      </c>
      <c r="W43" s="125">
        <v>36.0</v>
      </c>
      <c r="X43" s="125"/>
      <c r="Y43" s="125"/>
      <c r="Z43" s="126"/>
      <c r="AA43" s="127">
        <v>0.0</v>
      </c>
      <c r="AB43" s="26">
        <v>65.0</v>
      </c>
      <c r="AC43" s="135">
        <v>21.0</v>
      </c>
      <c r="AD43" s="129">
        <v>100.0</v>
      </c>
      <c r="AE43" s="130">
        <v>15.0</v>
      </c>
      <c r="AF43" s="129"/>
      <c r="AG43" s="129">
        <v>0.0</v>
      </c>
      <c r="AH43" s="129"/>
      <c r="AI43" s="131"/>
      <c r="AJ43" s="131"/>
      <c r="AK43" s="132">
        <f t="shared" si="1"/>
        <v>2</v>
      </c>
      <c r="AL43" s="132">
        <f t="shared" si="2"/>
        <v>1</v>
      </c>
      <c r="AM43" s="133">
        <f t="shared" si="3"/>
        <v>2</v>
      </c>
      <c r="AN43" s="132" t="str">
        <f t="shared" si="4"/>
        <v>3</v>
      </c>
      <c r="AO43" s="132">
        <f t="shared" si="5"/>
        <v>0</v>
      </c>
      <c r="AP43" s="88"/>
      <c r="AQ43" s="88"/>
    </row>
    <row r="44">
      <c r="A44" s="114">
        <v>39.0</v>
      </c>
      <c r="B44" s="115" t="s">
        <v>1903</v>
      </c>
      <c r="C44" s="115" t="s">
        <v>2502</v>
      </c>
      <c r="D44" s="116" t="str">
        <f>VLOOKUP(B44,USN!$1:$1088,2,FALSE)</f>
        <v>1CR23CS041</v>
      </c>
      <c r="E44" s="116">
        <v>9.113031549E9</v>
      </c>
      <c r="F44" s="117" t="s">
        <v>2461</v>
      </c>
      <c r="G44" s="118"/>
      <c r="H44" s="119">
        <v>82.0</v>
      </c>
      <c r="I44" s="116">
        <v>93.0</v>
      </c>
      <c r="J44" s="120">
        <f>IFNA(VLOOKUP(D44,'L3'!$1:$2060,2,False),0)</f>
        <v>82</v>
      </c>
      <c r="K44" s="120">
        <f>VLOOKUP(D44,'L4'!$1:$2059,2,FALSE)</f>
        <v>81</v>
      </c>
      <c r="L44" s="121">
        <f>VLOOKUP(D44,'A1 RETEST 5 DEC'!$1:$2096,2,FALSE)</f>
        <v>64</v>
      </c>
      <c r="M44" s="121">
        <f>VLOOKUP(D44,'A2 RETEST 4 DEC'!$1:$2096,2,FALSE)</f>
        <v>23</v>
      </c>
      <c r="N44" s="122">
        <v>50.0</v>
      </c>
      <c r="O44" s="121"/>
      <c r="P44" s="123">
        <f>IFNA(VLOOKUP(D44,'S1'!$1:$1325,2,False),0)</f>
        <v>76</v>
      </c>
      <c r="Q44" s="123">
        <f>IFNA(vlookup(D44,'S2'!A40:B1242,2,False),0)</f>
        <v>90</v>
      </c>
      <c r="R44" s="123">
        <f>ifna(vlookup(D44,'S3'!$1:$1311,2,False),0)</f>
        <v>93</v>
      </c>
      <c r="S44" s="123"/>
      <c r="T44" s="124">
        <v>14.0</v>
      </c>
      <c r="U44" s="125">
        <v>14.0</v>
      </c>
      <c r="V44" s="125">
        <v>60.0</v>
      </c>
      <c r="W44" s="125">
        <v>52.0</v>
      </c>
      <c r="X44" s="125">
        <v>66.0</v>
      </c>
      <c r="Y44" s="125"/>
      <c r="Z44" s="126"/>
      <c r="AA44" s="127">
        <v>93.4</v>
      </c>
      <c r="AB44" s="26">
        <v>100.0</v>
      </c>
      <c r="AC44" s="135">
        <v>98.0</v>
      </c>
      <c r="AD44" s="129">
        <v>60.0</v>
      </c>
      <c r="AE44" s="130">
        <v>90.0</v>
      </c>
      <c r="AF44" s="129"/>
      <c r="AG44" s="129">
        <v>70.0</v>
      </c>
      <c r="AH44" s="129"/>
      <c r="AI44" s="131"/>
      <c r="AJ44" s="131"/>
      <c r="AK44" s="132">
        <f t="shared" si="1"/>
        <v>4</v>
      </c>
      <c r="AL44" s="132">
        <f t="shared" si="2"/>
        <v>1</v>
      </c>
      <c r="AM44" s="133">
        <f t="shared" si="3"/>
        <v>3</v>
      </c>
      <c r="AN44" s="132" t="str">
        <f t="shared" si="4"/>
        <v>3.5</v>
      </c>
      <c r="AO44" s="132">
        <f t="shared" si="5"/>
        <v>3</v>
      </c>
      <c r="AP44" s="88"/>
      <c r="AQ44" s="88"/>
    </row>
    <row r="45">
      <c r="A45" s="114">
        <v>40.0</v>
      </c>
      <c r="B45" s="115" t="s">
        <v>2011</v>
      </c>
      <c r="C45" s="140" t="s">
        <v>2503</v>
      </c>
      <c r="D45" s="116" t="str">
        <f>VLOOKUP(B45,USN!$1:$1088,2,FALSE)</f>
        <v>1CR23CS042</v>
      </c>
      <c r="E45" s="116">
        <v>9.866290733E9</v>
      </c>
      <c r="F45" s="117" t="s">
        <v>2461</v>
      </c>
      <c r="G45" s="118"/>
      <c r="H45" s="119">
        <v>78.0</v>
      </c>
      <c r="I45" s="116">
        <v>72.0</v>
      </c>
      <c r="J45" s="120">
        <f>IFNA(VLOOKUP(D45,'L3'!$1:$2060,2,False),0)</f>
        <v>70</v>
      </c>
      <c r="K45" s="120">
        <f>VLOOKUP(D45,'L4'!$1:$2059,2,FALSE)</f>
        <v>76</v>
      </c>
      <c r="L45" s="121">
        <f>VLOOKUP(D45,'A1 RETEST 5 DEC'!$1:$2096,2,FALSE)</f>
        <v>50</v>
      </c>
      <c r="M45" s="121">
        <f>VLOOKUP(D45,'A2 RETEST 4 DEC'!$1:$2096,2,FALSE)</f>
        <v>20</v>
      </c>
      <c r="N45" s="122">
        <v>50.0</v>
      </c>
      <c r="O45" s="121"/>
      <c r="P45" s="123">
        <f>IFNA(VLOOKUP(D45,'S1'!$1:$1325,2,False),0)</f>
        <v>50</v>
      </c>
      <c r="Q45" s="123">
        <f>IFNA(vlookup(D45,'S2'!A41:B1243,2,False),0)</f>
        <v>65</v>
      </c>
      <c r="R45" s="123">
        <f>ifna(vlookup(D45,'S3'!$1:$1311,2,False),0)</f>
        <v>67</v>
      </c>
      <c r="S45" s="123"/>
      <c r="T45" s="124">
        <v>12.0</v>
      </c>
      <c r="U45" s="125">
        <v>20.0</v>
      </c>
      <c r="V45" s="125">
        <v>64.0</v>
      </c>
      <c r="W45" s="125">
        <v>60.0</v>
      </c>
      <c r="X45" s="125">
        <v>90.0</v>
      </c>
      <c r="Y45" s="125"/>
      <c r="Z45" s="126"/>
      <c r="AA45" s="127">
        <v>100.0</v>
      </c>
      <c r="AB45" s="26">
        <v>72.0</v>
      </c>
      <c r="AC45" s="135">
        <v>60.0</v>
      </c>
      <c r="AD45" s="129">
        <v>100.0</v>
      </c>
      <c r="AE45" s="130">
        <v>100.0</v>
      </c>
      <c r="AF45" s="129"/>
      <c r="AG45" s="129">
        <v>70.0</v>
      </c>
      <c r="AH45" s="129"/>
      <c r="AI45" s="131"/>
      <c r="AJ45" s="131"/>
      <c r="AK45" s="132">
        <f t="shared" si="1"/>
        <v>4</v>
      </c>
      <c r="AL45" s="132">
        <f t="shared" si="2"/>
        <v>1</v>
      </c>
      <c r="AM45" s="133">
        <f t="shared" si="3"/>
        <v>3</v>
      </c>
      <c r="AN45" s="132" t="str">
        <f t="shared" si="4"/>
        <v>3.5</v>
      </c>
      <c r="AO45" s="132">
        <f t="shared" si="5"/>
        <v>3</v>
      </c>
      <c r="AP45" s="88"/>
      <c r="AQ45" s="88"/>
    </row>
    <row r="46">
      <c r="A46" s="114">
        <v>41.0</v>
      </c>
      <c r="B46" s="115" t="s">
        <v>1904</v>
      </c>
      <c r="C46" s="115" t="s">
        <v>2504</v>
      </c>
      <c r="D46" s="116" t="str">
        <f>VLOOKUP(B46,USN!$1:$1088,2,FALSE)</f>
        <v>1CR23CS043</v>
      </c>
      <c r="E46" s="116">
        <v>8.07338051E9</v>
      </c>
      <c r="F46" s="117" t="s">
        <v>2461</v>
      </c>
      <c r="G46" s="118"/>
      <c r="H46" s="119">
        <v>88.0</v>
      </c>
      <c r="I46" s="116">
        <v>88.0</v>
      </c>
      <c r="J46" s="120">
        <f>IFNA(VLOOKUP(D46,'L3'!$1:$2060,2,False),0)</f>
        <v>86</v>
      </c>
      <c r="K46" s="120">
        <f>VLOOKUP(D46,'L4'!$1:$2059,2,FALSE)</f>
        <v>88</v>
      </c>
      <c r="L46" s="121">
        <f>VLOOKUP(D46,'A1 RETEST 5 DEC'!$1:$2096,2,FALSE)</f>
        <v>60</v>
      </c>
      <c r="M46" s="121">
        <f>VLOOKUP(D46,'A2 RETEST 4 DEC'!$1:$2096,2,FALSE)</f>
        <v>14</v>
      </c>
      <c r="N46" s="122">
        <v>50.0</v>
      </c>
      <c r="O46" s="121"/>
      <c r="P46" s="123">
        <f>IFNA(VLOOKUP(D46,'S1'!$1:$1325,2,False),0)</f>
        <v>87</v>
      </c>
      <c r="Q46" s="123">
        <f>IFNA(vlookup(D46,'S2'!A42:B1244,2,False),0)</f>
        <v>90</v>
      </c>
      <c r="R46" s="123">
        <f>ifna(vlookup(D46,'S3'!$1:$1311,2,False),0)</f>
        <v>94</v>
      </c>
      <c r="S46" s="123"/>
      <c r="T46" s="124">
        <v>12.0</v>
      </c>
      <c r="U46" s="125">
        <v>20.0</v>
      </c>
      <c r="V46" s="125">
        <v>56.0</v>
      </c>
      <c r="W46" s="125">
        <v>56.0</v>
      </c>
      <c r="X46" s="125">
        <v>86.0</v>
      </c>
      <c r="Y46" s="125"/>
      <c r="Z46" s="126"/>
      <c r="AA46" s="127">
        <v>86.0</v>
      </c>
      <c r="AB46" s="26">
        <v>92.5</v>
      </c>
      <c r="AC46" s="135">
        <v>64.0</v>
      </c>
      <c r="AD46" s="129">
        <v>100.0</v>
      </c>
      <c r="AE46" s="130">
        <v>76.0</v>
      </c>
      <c r="AF46" s="129"/>
      <c r="AG46" s="129">
        <v>71.0</v>
      </c>
      <c r="AH46" s="129"/>
      <c r="AI46" s="131"/>
      <c r="AJ46" s="131"/>
      <c r="AK46" s="132">
        <f t="shared" si="1"/>
        <v>4</v>
      </c>
      <c r="AL46" s="132">
        <f t="shared" si="2"/>
        <v>1</v>
      </c>
      <c r="AM46" s="133">
        <f t="shared" si="3"/>
        <v>3</v>
      </c>
      <c r="AN46" s="132" t="str">
        <f t="shared" si="4"/>
        <v>3.5</v>
      </c>
      <c r="AO46" s="132">
        <f t="shared" si="5"/>
        <v>3</v>
      </c>
      <c r="AP46" s="88"/>
      <c r="AQ46" s="88"/>
    </row>
    <row r="47">
      <c r="A47" s="114">
        <v>42.0</v>
      </c>
      <c r="B47" s="25" t="s">
        <v>2100</v>
      </c>
      <c r="C47" s="25" t="s">
        <v>2505</v>
      </c>
      <c r="D47" s="116" t="str">
        <f>VLOOKUP(B47,USN!$1:$1088,2,FALSE)</f>
        <v>1CR23CS044</v>
      </c>
      <c r="E47" s="143">
        <v>9.198709984E9</v>
      </c>
      <c r="F47" s="117" t="s">
        <v>2461</v>
      </c>
      <c r="G47" s="118"/>
      <c r="H47" s="119">
        <v>70.0</v>
      </c>
      <c r="I47" s="116">
        <v>71.0</v>
      </c>
      <c r="J47" s="120">
        <f>IFNA(VLOOKUP(D47,'L3'!$1:$2060,2,False),0)</f>
        <v>70</v>
      </c>
      <c r="K47" s="120">
        <f>VLOOKUP(D47,'L4'!$1:$2059,2,FALSE)</f>
        <v>70</v>
      </c>
      <c r="L47" s="121">
        <f>VLOOKUP(D47,'A1 RETEST 5 DEC'!$1:$2096,2,FALSE)</f>
        <v>50</v>
      </c>
      <c r="M47" s="121">
        <f>VLOOKUP(D47,'A2 RETEST 4 DEC'!$1:$2096,2,FALSE)</f>
        <v>13</v>
      </c>
      <c r="N47" s="122">
        <v>4.0</v>
      </c>
      <c r="O47" s="121"/>
      <c r="P47" s="123">
        <f>IFNA(VLOOKUP(D47,'S1'!$1:$1325,2,False),0)</f>
        <v>72</v>
      </c>
      <c r="Q47" s="123">
        <f>IFNA(vlookup(D47,'S2'!A43:B1245,2,False),0)</f>
        <v>50</v>
      </c>
      <c r="R47" s="123">
        <f>ifna(vlookup(D47,'S3'!$1:$1311,2,False),0)</f>
        <v>88</v>
      </c>
      <c r="S47" s="123"/>
      <c r="T47" s="124">
        <v>19.0</v>
      </c>
      <c r="U47" s="125">
        <v>15.0</v>
      </c>
      <c r="V47" s="125">
        <v>80.0</v>
      </c>
      <c r="W47" s="125">
        <v>32.0</v>
      </c>
      <c r="X47" s="125">
        <v>90.0</v>
      </c>
      <c r="Y47" s="125"/>
      <c r="Z47" s="126"/>
      <c r="AA47" s="127">
        <v>100.0</v>
      </c>
      <c r="AB47" s="26">
        <v>67.5</v>
      </c>
      <c r="AC47" s="135">
        <v>80.0</v>
      </c>
      <c r="AD47" s="129">
        <v>100.0</v>
      </c>
      <c r="AE47" s="130">
        <v>20.0</v>
      </c>
      <c r="AF47" s="129"/>
      <c r="AG47" s="129">
        <v>37.0</v>
      </c>
      <c r="AH47" s="129"/>
      <c r="AI47" s="88"/>
      <c r="AJ47" s="88"/>
      <c r="AK47" s="132">
        <f t="shared" si="1"/>
        <v>4</v>
      </c>
      <c r="AL47" s="132">
        <f t="shared" si="2"/>
        <v>1</v>
      </c>
      <c r="AM47" s="133">
        <f t="shared" si="3"/>
        <v>2</v>
      </c>
      <c r="AN47" s="132" t="str">
        <f t="shared" si="4"/>
        <v>3</v>
      </c>
      <c r="AO47" s="132">
        <f t="shared" si="5"/>
        <v>3</v>
      </c>
      <c r="AP47" s="88"/>
      <c r="AQ47" s="88"/>
    </row>
    <row r="48">
      <c r="A48" s="114">
        <v>43.0</v>
      </c>
      <c r="B48" s="115" t="s">
        <v>1905</v>
      </c>
      <c r="C48" s="115" t="s">
        <v>2506</v>
      </c>
      <c r="D48" s="116" t="str">
        <f>VLOOKUP(B48,USN!$1:$1088,2,FALSE)</f>
        <v>1CR23CS045</v>
      </c>
      <c r="E48" s="116">
        <v>8.837275757E9</v>
      </c>
      <c r="F48" s="117" t="s">
        <v>2461</v>
      </c>
      <c r="G48" s="118"/>
      <c r="H48" s="119">
        <v>82.0</v>
      </c>
      <c r="I48" s="116">
        <v>78.0</v>
      </c>
      <c r="J48" s="120">
        <f>IFNA(VLOOKUP(D48,'L3'!$1:$2060,2,False),0)</f>
        <v>70</v>
      </c>
      <c r="K48" s="120">
        <f>VLOOKUP(D48,'L4'!$1:$2059,2,FALSE)</f>
        <v>70</v>
      </c>
      <c r="L48" s="121">
        <f>VLOOKUP(D48,'A1 RETEST 5 DEC'!$1:$2096,2,FALSE)</f>
        <v>52</v>
      </c>
      <c r="M48" s="121">
        <f>VLOOKUP(D48,'A2 RETEST 4 DEC'!$1:$2096,2,FALSE)</f>
        <v>17</v>
      </c>
      <c r="N48" s="122">
        <v>28.0</v>
      </c>
      <c r="O48" s="121"/>
      <c r="P48" s="123">
        <f>IFNA(VLOOKUP(D48,'S1'!$1:$1325,2,False),0)</f>
        <v>76</v>
      </c>
      <c r="Q48" s="123">
        <f>IFNA(vlookup(D48,'S2'!A44:B1246,2,False),0)</f>
        <v>73</v>
      </c>
      <c r="R48" s="123">
        <f>ifna(vlookup(D48,'S3'!$1:$1311,2,False),0)</f>
        <v>65</v>
      </c>
      <c r="S48" s="123"/>
      <c r="T48" s="124">
        <v>11.0</v>
      </c>
      <c r="U48" s="125">
        <v>16.0</v>
      </c>
      <c r="V48" s="125">
        <v>80.0</v>
      </c>
      <c r="W48" s="125">
        <v>40.0</v>
      </c>
      <c r="X48" s="125">
        <v>82.0</v>
      </c>
      <c r="Y48" s="125"/>
      <c r="Z48" s="126"/>
      <c r="AA48" s="127">
        <v>62.0</v>
      </c>
      <c r="AB48" s="26">
        <v>97.5</v>
      </c>
      <c r="AC48" s="135">
        <v>0.0</v>
      </c>
      <c r="AD48" s="129">
        <v>100.0</v>
      </c>
      <c r="AE48" s="130">
        <v>17.0</v>
      </c>
      <c r="AF48" s="129"/>
      <c r="AG48" s="129">
        <v>38.0</v>
      </c>
      <c r="AH48" s="129"/>
      <c r="AI48" s="131"/>
      <c r="AJ48" s="131"/>
      <c r="AK48" s="132">
        <f t="shared" si="1"/>
        <v>4</v>
      </c>
      <c r="AL48" s="132">
        <f t="shared" si="2"/>
        <v>1</v>
      </c>
      <c r="AM48" s="133">
        <f t="shared" si="3"/>
        <v>2</v>
      </c>
      <c r="AN48" s="132" t="str">
        <f t="shared" si="4"/>
        <v>3</v>
      </c>
      <c r="AO48" s="132">
        <f t="shared" si="5"/>
        <v>3</v>
      </c>
      <c r="AP48" s="88"/>
      <c r="AQ48" s="88"/>
    </row>
    <row r="49">
      <c r="A49" s="114">
        <v>44.0</v>
      </c>
      <c r="B49" s="115" t="s">
        <v>1930</v>
      </c>
      <c r="C49" s="115" t="s">
        <v>2507</v>
      </c>
      <c r="D49" s="116" t="str">
        <f>VLOOKUP(B49,USN!$1:$1088,2,FALSE)</f>
        <v>1CR23CS046</v>
      </c>
      <c r="E49" s="116">
        <v>9.353765503E9</v>
      </c>
      <c r="F49" s="117" t="s">
        <v>2461</v>
      </c>
      <c r="G49" s="118"/>
      <c r="H49" s="119">
        <v>73.0</v>
      </c>
      <c r="I49" s="116">
        <v>77.0</v>
      </c>
      <c r="J49" s="120">
        <f>IFNA(VLOOKUP(D49,'L3'!$1:$2060,2,False),0)</f>
        <v>70</v>
      </c>
      <c r="K49" s="120">
        <f>VLOOKUP(D49,'L4'!$1:$2059,2,FALSE)</f>
        <v>79</v>
      </c>
      <c r="L49" s="121">
        <f>VLOOKUP(D49,'A1 RETEST 5 DEC'!$1:$2096,2,FALSE)</f>
        <v>50</v>
      </c>
      <c r="M49" s="121">
        <f>VLOOKUP(D49,'A2 RETEST 4 DEC'!$1:$2096,2,FALSE)</f>
        <v>16</v>
      </c>
      <c r="N49" s="122">
        <v>55.0</v>
      </c>
      <c r="O49" s="121"/>
      <c r="P49" s="123">
        <f>IFNA(VLOOKUP(D49,'S1'!$1:$1325,2,False),0)</f>
        <v>74</v>
      </c>
      <c r="Q49" s="123">
        <f>IFNA(vlookup(D49,'S2'!A45:B1247,2,False),0)</f>
        <v>66</v>
      </c>
      <c r="R49" s="123">
        <f>ifna(vlookup(D49,'S3'!$1:$1311,2,False),0)</f>
        <v>94</v>
      </c>
      <c r="S49" s="123"/>
      <c r="T49" s="124">
        <v>20.0</v>
      </c>
      <c r="U49" s="125">
        <v>22.0</v>
      </c>
      <c r="V49" s="125">
        <v>92.0</v>
      </c>
      <c r="W49" s="125"/>
      <c r="X49" s="125">
        <v>86.0</v>
      </c>
      <c r="Y49" s="125"/>
      <c r="Z49" s="126"/>
      <c r="AA49" s="127">
        <v>96.0</v>
      </c>
      <c r="AB49" s="26">
        <v>93.0</v>
      </c>
      <c r="AC49" s="135">
        <v>68.5</v>
      </c>
      <c r="AD49" s="129">
        <v>100.0</v>
      </c>
      <c r="AE49" s="130">
        <v>80.0</v>
      </c>
      <c r="AF49" s="129"/>
      <c r="AG49" s="129">
        <v>74.0</v>
      </c>
      <c r="AH49" s="129"/>
      <c r="AI49" s="131"/>
      <c r="AJ49" s="131"/>
      <c r="AK49" s="132">
        <f t="shared" si="1"/>
        <v>4</v>
      </c>
      <c r="AL49" s="132">
        <f t="shared" si="2"/>
        <v>1</v>
      </c>
      <c r="AM49" s="133">
        <f t="shared" si="3"/>
        <v>2</v>
      </c>
      <c r="AN49" s="132" t="str">
        <f t="shared" si="4"/>
        <v>3.5</v>
      </c>
      <c r="AO49" s="132">
        <f t="shared" si="5"/>
        <v>3</v>
      </c>
      <c r="AP49" s="88"/>
      <c r="AQ49" s="88"/>
    </row>
    <row r="50">
      <c r="A50" s="114">
        <v>45.0</v>
      </c>
      <c r="B50" s="115" t="s">
        <v>1906</v>
      </c>
      <c r="C50" s="115" t="s">
        <v>2508</v>
      </c>
      <c r="D50" s="116" t="str">
        <f>VLOOKUP(B50,USN!$1:$1088,2,FALSE)</f>
        <v>1CR23CS047</v>
      </c>
      <c r="E50" s="116">
        <v>8.618726599E9</v>
      </c>
      <c r="F50" s="117" t="s">
        <v>2461</v>
      </c>
      <c r="G50" s="118"/>
      <c r="H50" s="119">
        <v>78.0</v>
      </c>
      <c r="I50" s="116">
        <v>70.0</v>
      </c>
      <c r="J50" s="120">
        <f>IFNA(VLOOKUP(D50,'L3'!$1:$2060,2,False),0)</f>
        <v>15</v>
      </c>
      <c r="K50" s="120">
        <f>VLOOKUP(D50,'L4'!$1:$2059,2,FALSE)</f>
        <v>70</v>
      </c>
      <c r="L50" s="121">
        <f>VLOOKUP(D50,'A1 RETEST 5 DEC'!$1:$2096,2,FALSE)</f>
        <v>20</v>
      </c>
      <c r="M50" s="121">
        <f>VLOOKUP(D50,'A2 RETEST 4 DEC'!$1:$2096,2,FALSE)</f>
        <v>0</v>
      </c>
      <c r="N50" s="122">
        <v>0.0</v>
      </c>
      <c r="O50" s="121"/>
      <c r="P50" s="123">
        <f>IFNA(VLOOKUP(D50,'S1'!$1:$1325,2,False),0)</f>
        <v>0</v>
      </c>
      <c r="Q50" s="123">
        <f>IFNA(vlookup(D50,'S2'!A46:B1248,2,False),0)</f>
        <v>0</v>
      </c>
      <c r="R50" s="123">
        <f>ifna(vlookup(D50,'S3'!$1:$1311,2,False),0)</f>
        <v>0</v>
      </c>
      <c r="S50" s="123"/>
      <c r="T50" s="124">
        <v>14.0</v>
      </c>
      <c r="U50" s="125" t="s">
        <v>2477</v>
      </c>
      <c r="V50" s="125"/>
      <c r="W50" s="125"/>
      <c r="X50" s="125">
        <v>78.0</v>
      </c>
      <c r="Y50" s="125"/>
      <c r="Z50" s="126"/>
      <c r="AA50" s="127">
        <v>0.0</v>
      </c>
      <c r="AB50" s="26">
        <v>15.0</v>
      </c>
      <c r="AC50" s="135">
        <v>0.0</v>
      </c>
      <c r="AD50" s="129">
        <v>0.0</v>
      </c>
      <c r="AE50" s="130">
        <v>10.0</v>
      </c>
      <c r="AF50" s="129"/>
      <c r="AG50" s="129">
        <v>0.0</v>
      </c>
      <c r="AH50" s="129"/>
      <c r="AI50" s="131"/>
      <c r="AJ50" s="131"/>
      <c r="AK50" s="132">
        <f t="shared" si="1"/>
        <v>2</v>
      </c>
      <c r="AL50" s="132">
        <f t="shared" si="2"/>
        <v>0</v>
      </c>
      <c r="AM50" s="133">
        <f t="shared" si="3"/>
        <v>2</v>
      </c>
      <c r="AN50" s="132" t="str">
        <f t="shared" si="4"/>
        <v>0</v>
      </c>
      <c r="AO50" s="132">
        <f t="shared" si="5"/>
        <v>0</v>
      </c>
      <c r="AP50" s="88"/>
      <c r="AQ50" s="88"/>
    </row>
    <row r="51">
      <c r="A51" s="114">
        <v>46.0</v>
      </c>
      <c r="B51" s="115" t="s">
        <v>1907</v>
      </c>
      <c r="C51" s="115" t="s">
        <v>2509</v>
      </c>
      <c r="D51" s="116" t="str">
        <f>VLOOKUP(B51,USN!$1:$1088,2,FALSE)</f>
        <v>1CR23CS048</v>
      </c>
      <c r="E51" s="116">
        <v>9.148058186E9</v>
      </c>
      <c r="F51" s="117" t="s">
        <v>2461</v>
      </c>
      <c r="G51" s="118"/>
      <c r="H51" s="119">
        <v>83.0</v>
      </c>
      <c r="I51" s="116">
        <v>82.0</v>
      </c>
      <c r="J51" s="120">
        <f>IFNA(VLOOKUP(D51,'L3'!$1:$2060,2,False),0)</f>
        <v>73</v>
      </c>
      <c r="K51" s="120">
        <f>VLOOKUP(D51,'L4'!$1:$2059,2,FALSE)</f>
        <v>70</v>
      </c>
      <c r="L51" s="121">
        <f>VLOOKUP(D51,'A1 RETEST 5 DEC'!$1:$2096,2,FALSE)</f>
        <v>50</v>
      </c>
      <c r="M51" s="121">
        <f>VLOOKUP(D51,'A2 RETEST 4 DEC'!$1:$2096,2,FALSE)</f>
        <v>27</v>
      </c>
      <c r="N51" s="122">
        <v>22.0</v>
      </c>
      <c r="O51" s="121"/>
      <c r="P51" s="123">
        <f>IFNA(VLOOKUP(D51,'S1'!$1:$1325,2,False),0)</f>
        <v>83</v>
      </c>
      <c r="Q51" s="123">
        <f>IFNA(vlookup(D51,'S2'!A47:B1249,2,False),0)</f>
        <v>73</v>
      </c>
      <c r="R51" s="123">
        <f>ifna(vlookup(D51,'S3'!$1:$1311,2,False),0)</f>
        <v>0</v>
      </c>
      <c r="S51" s="123"/>
      <c r="T51" s="124">
        <v>15.0</v>
      </c>
      <c r="U51" s="125">
        <v>20.0</v>
      </c>
      <c r="V51" s="125">
        <v>36.0</v>
      </c>
      <c r="W51" s="125">
        <v>20.0</v>
      </c>
      <c r="X51" s="125"/>
      <c r="Y51" s="125"/>
      <c r="Z51" s="126"/>
      <c r="AA51" s="127">
        <v>93.0</v>
      </c>
      <c r="AB51" s="26">
        <v>100.0</v>
      </c>
      <c r="AC51" s="135">
        <v>90.0</v>
      </c>
      <c r="AD51" s="129">
        <v>85.0</v>
      </c>
      <c r="AE51" s="130">
        <v>56.0</v>
      </c>
      <c r="AF51" s="129"/>
      <c r="AG51" s="129">
        <v>35.0</v>
      </c>
      <c r="AH51" s="129"/>
      <c r="AI51" s="131"/>
      <c r="AJ51" s="131"/>
      <c r="AK51" s="132">
        <f t="shared" si="1"/>
        <v>4</v>
      </c>
      <c r="AL51" s="132">
        <f t="shared" si="2"/>
        <v>1</v>
      </c>
      <c r="AM51" s="133">
        <f t="shared" si="3"/>
        <v>2</v>
      </c>
      <c r="AN51" s="132" t="str">
        <f t="shared" si="4"/>
        <v>3</v>
      </c>
      <c r="AO51" s="132">
        <f t="shared" si="5"/>
        <v>2</v>
      </c>
      <c r="AP51" s="88"/>
      <c r="AQ51" s="88"/>
    </row>
    <row r="52">
      <c r="A52" s="114">
        <v>47.0</v>
      </c>
      <c r="B52" s="136" t="s">
        <v>1948</v>
      </c>
      <c r="C52" s="115" t="s">
        <v>2510</v>
      </c>
      <c r="D52" s="116" t="str">
        <f>VLOOKUP(B52,USN!$1:$1088,2,FALSE)</f>
        <v>1CR23CS049</v>
      </c>
      <c r="E52" s="138">
        <v>9.964489913E9</v>
      </c>
      <c r="F52" s="117" t="s">
        <v>2461</v>
      </c>
      <c r="G52" s="118"/>
      <c r="H52" s="119">
        <v>79.0</v>
      </c>
      <c r="I52" s="116">
        <v>72.0</v>
      </c>
      <c r="J52" s="120">
        <f>IFNA(VLOOKUP(D52,'L3'!$1:$2060,2,False),0)</f>
        <v>70</v>
      </c>
      <c r="K52" s="120">
        <f>VLOOKUP(D52,'L4'!$1:$2059,2,FALSE)</f>
        <v>70</v>
      </c>
      <c r="L52" s="121">
        <f>VLOOKUP(D52,'A1 RETEST 5 DEC'!$1:$2096,2,FALSE)</f>
        <v>50</v>
      </c>
      <c r="M52" s="121">
        <f>VLOOKUP(D52,'A2 RETEST 4 DEC'!$1:$2096,2,FALSE)</f>
        <v>50</v>
      </c>
      <c r="N52" s="122">
        <v>50.0</v>
      </c>
      <c r="O52" s="121"/>
      <c r="P52" s="123">
        <f>IFNA(VLOOKUP(D52,'S1'!$1:$1325,2,False),0)</f>
        <v>72</v>
      </c>
      <c r="Q52" s="123">
        <f>IFNA(vlookup(D52,'S2'!A48:B1250,2,False),0)</f>
        <v>50</v>
      </c>
      <c r="R52" s="123">
        <f>ifna(vlookup(D52,'S3'!$1:$1311,2,False),0)</f>
        <v>83</v>
      </c>
      <c r="S52" s="123"/>
      <c r="T52" s="124">
        <v>12.0</v>
      </c>
      <c r="U52" s="125">
        <v>15.0</v>
      </c>
      <c r="V52" s="125">
        <v>44.0</v>
      </c>
      <c r="W52" s="125">
        <v>40.0</v>
      </c>
      <c r="X52" s="125">
        <v>86.0</v>
      </c>
      <c r="Y52" s="125"/>
      <c r="Z52" s="126"/>
      <c r="AA52" s="127">
        <v>84.0</v>
      </c>
      <c r="AB52" s="26">
        <v>73.75</v>
      </c>
      <c r="AC52" s="135">
        <v>67.0</v>
      </c>
      <c r="AD52" s="129">
        <v>100.0</v>
      </c>
      <c r="AE52" s="130">
        <v>98.0</v>
      </c>
      <c r="AF52" s="129"/>
      <c r="AG52" s="129">
        <v>72.0</v>
      </c>
      <c r="AH52" s="129"/>
      <c r="AI52" s="131"/>
      <c r="AJ52" s="131"/>
      <c r="AK52" s="132">
        <f t="shared" si="1"/>
        <v>4</v>
      </c>
      <c r="AL52" s="132">
        <f t="shared" si="2"/>
        <v>3</v>
      </c>
      <c r="AM52" s="133">
        <f t="shared" si="3"/>
        <v>2</v>
      </c>
      <c r="AN52" s="132" t="str">
        <f t="shared" si="4"/>
        <v>3.5</v>
      </c>
      <c r="AO52" s="132">
        <f t="shared" si="5"/>
        <v>3</v>
      </c>
      <c r="AP52" s="88"/>
      <c r="AQ52" s="88"/>
    </row>
    <row r="53">
      <c r="A53" s="114">
        <v>48.0</v>
      </c>
      <c r="B53" s="115" t="s">
        <v>1931</v>
      </c>
      <c r="C53" s="115" t="s">
        <v>2511</v>
      </c>
      <c r="D53" s="116" t="str">
        <f>VLOOKUP(B53,USN!$1:$1088,2,FALSE)</f>
        <v>1CR23CS050</v>
      </c>
      <c r="E53" s="116">
        <v>9.064208721E9</v>
      </c>
      <c r="F53" s="117" t="s">
        <v>2461</v>
      </c>
      <c r="G53" s="118"/>
      <c r="H53" s="119">
        <v>81.0</v>
      </c>
      <c r="I53" s="116">
        <v>85.0</v>
      </c>
      <c r="J53" s="120">
        <f>IFNA(VLOOKUP(D53,'L3'!$1:$2060,2,False),0)</f>
        <v>54</v>
      </c>
      <c r="K53" s="120">
        <f>VLOOKUP(D53,'L4'!$1:$2059,2,FALSE)</f>
        <v>70</v>
      </c>
      <c r="L53" s="121">
        <f>VLOOKUP(D53,'A1 RETEST 5 DEC'!$1:$2096,2,FALSE)</f>
        <v>10</v>
      </c>
      <c r="M53" s="121">
        <f>VLOOKUP(D53,'A2 RETEST 4 DEC'!$1:$2096,2,FALSE)</f>
        <v>27</v>
      </c>
      <c r="N53" s="122">
        <v>25.0</v>
      </c>
      <c r="O53" s="121"/>
      <c r="P53" s="123">
        <f>IFNA(VLOOKUP(D53,'S1'!$1:$1325,2,False),0)</f>
        <v>50</v>
      </c>
      <c r="Q53" s="123">
        <f>IFNA(vlookup(D53,'S2'!A49:B1251,2,False),0)</f>
        <v>50</v>
      </c>
      <c r="R53" s="123">
        <f>ifna(vlookup(D53,'S3'!$1:$1311,2,False),0)</f>
        <v>85</v>
      </c>
      <c r="S53" s="123"/>
      <c r="T53" s="124">
        <v>21.0</v>
      </c>
      <c r="U53" s="125">
        <v>18.0</v>
      </c>
      <c r="V53" s="125">
        <v>56.0</v>
      </c>
      <c r="W53" s="125">
        <v>16.0</v>
      </c>
      <c r="X53" s="125">
        <v>86.0</v>
      </c>
      <c r="Y53" s="125"/>
      <c r="Z53" s="126"/>
      <c r="AA53" s="127">
        <v>0.0</v>
      </c>
      <c r="AB53" s="26">
        <v>99.5</v>
      </c>
      <c r="AC53" s="135">
        <v>0.0</v>
      </c>
      <c r="AD53" s="129">
        <v>38.0</v>
      </c>
      <c r="AE53" s="130">
        <v>63.0</v>
      </c>
      <c r="AF53" s="129"/>
      <c r="AG53" s="129">
        <v>10.0</v>
      </c>
      <c r="AH53" s="129"/>
      <c r="AI53" s="131"/>
      <c r="AJ53" s="131"/>
      <c r="AK53" s="132">
        <f t="shared" si="1"/>
        <v>2</v>
      </c>
      <c r="AL53" s="132">
        <f t="shared" si="2"/>
        <v>0</v>
      </c>
      <c r="AM53" s="133">
        <f t="shared" si="3"/>
        <v>2</v>
      </c>
      <c r="AN53" s="132" t="str">
        <f t="shared" si="4"/>
        <v>2</v>
      </c>
      <c r="AO53" s="132">
        <f t="shared" si="5"/>
        <v>3</v>
      </c>
      <c r="AP53" s="88"/>
      <c r="AQ53" s="88"/>
    </row>
    <row r="54">
      <c r="A54" s="114">
        <v>49.0</v>
      </c>
      <c r="B54" s="115" t="s">
        <v>1908</v>
      </c>
      <c r="C54" s="115" t="s">
        <v>2512</v>
      </c>
      <c r="D54" s="116" t="str">
        <f>VLOOKUP(B54,USN!$1:$1088,2,FALSE)</f>
        <v>1CR23CS051</v>
      </c>
      <c r="E54" s="116">
        <v>6.30234517E9</v>
      </c>
      <c r="F54" s="117" t="s">
        <v>2461</v>
      </c>
      <c r="G54" s="118"/>
      <c r="H54" s="119">
        <v>89.0</v>
      </c>
      <c r="I54" s="116">
        <v>85.0</v>
      </c>
      <c r="J54" s="120">
        <f>IFNA(VLOOKUP(D54,'L3'!$1:$2060,2,False),0)</f>
        <v>70</v>
      </c>
      <c r="K54" s="120">
        <f>VLOOKUP(D54,'L4'!$1:$2059,2,FALSE)</f>
        <v>70</v>
      </c>
      <c r="L54" s="121">
        <f>VLOOKUP(D54,'A1 RETEST 5 DEC'!$1:$2096,2,FALSE)</f>
        <v>64</v>
      </c>
      <c r="M54" s="121">
        <f>VLOOKUP(D54,'A2 RETEST 4 DEC'!$1:$2096,2,FALSE)</f>
        <v>54</v>
      </c>
      <c r="N54" s="122">
        <v>55.0</v>
      </c>
      <c r="O54" s="121"/>
      <c r="P54" s="123">
        <f>IFNA(VLOOKUP(D54,'S1'!$1:$1325,2,False),0)</f>
        <v>81</v>
      </c>
      <c r="Q54" s="123">
        <f>IFNA(vlookup(D54,'S2'!A50:B1252,2,False),0)</f>
        <v>65</v>
      </c>
      <c r="R54" s="123">
        <f>ifna(vlookup(D54,'S3'!$1:$1311,2,False),0)</f>
        <v>93</v>
      </c>
      <c r="S54" s="123"/>
      <c r="T54" s="124">
        <v>18.0</v>
      </c>
      <c r="U54" s="125">
        <v>18.0</v>
      </c>
      <c r="V54" s="125">
        <v>76.0</v>
      </c>
      <c r="W54" s="125"/>
      <c r="X54" s="125">
        <v>52.0</v>
      </c>
      <c r="Y54" s="125"/>
      <c r="Z54" s="126"/>
      <c r="AA54" s="127">
        <v>0.0</v>
      </c>
      <c r="AB54" s="26">
        <v>83.75</v>
      </c>
      <c r="AC54" s="135">
        <v>100.0</v>
      </c>
      <c r="AD54" s="129">
        <v>80.0</v>
      </c>
      <c r="AE54" s="130">
        <v>82.0</v>
      </c>
      <c r="AF54" s="129"/>
      <c r="AG54" s="129">
        <v>38.0</v>
      </c>
      <c r="AH54" s="129"/>
      <c r="AI54" s="131"/>
      <c r="AJ54" s="131"/>
      <c r="AK54" s="132">
        <f t="shared" si="1"/>
        <v>4</v>
      </c>
      <c r="AL54" s="132">
        <f t="shared" si="2"/>
        <v>3</v>
      </c>
      <c r="AM54" s="133">
        <f t="shared" si="3"/>
        <v>2</v>
      </c>
      <c r="AN54" s="132" t="str">
        <f t="shared" si="4"/>
        <v>3.5</v>
      </c>
      <c r="AO54" s="132">
        <f t="shared" si="5"/>
        <v>3</v>
      </c>
      <c r="AP54" s="88"/>
      <c r="AQ54" s="88"/>
    </row>
    <row r="55">
      <c r="A55" s="114">
        <v>50.0</v>
      </c>
      <c r="B55" s="115" t="s">
        <v>1909</v>
      </c>
      <c r="C55" s="115" t="s">
        <v>2513</v>
      </c>
      <c r="D55" s="116" t="str">
        <f>VLOOKUP(B55,USN!$1:$1088,2,FALSE)</f>
        <v>1CR23CS052</v>
      </c>
      <c r="E55" s="116">
        <v>7.411491488E9</v>
      </c>
      <c r="F55" s="117" t="s">
        <v>2461</v>
      </c>
      <c r="G55" s="118"/>
      <c r="H55" s="119">
        <v>70.0</v>
      </c>
      <c r="I55" s="116">
        <v>66.0</v>
      </c>
      <c r="J55" s="120">
        <f>IFNA(VLOOKUP(D55,'L3'!$1:$2060,2,False),0)</f>
        <v>42</v>
      </c>
      <c r="K55" s="120">
        <f>VLOOKUP(D55,'L4'!$1:$2059,2,FALSE)</f>
        <v>29</v>
      </c>
      <c r="L55" s="121">
        <f>VLOOKUP(D55,'A1 RETEST 5 DEC'!$1:$2096,2,FALSE)</f>
        <v>25</v>
      </c>
      <c r="M55" s="121">
        <f>VLOOKUP(D55,'A2 RETEST 4 DEC'!$1:$2096,2,FALSE)</f>
        <v>10</v>
      </c>
      <c r="N55" s="122">
        <v>0.0</v>
      </c>
      <c r="O55" s="121"/>
      <c r="P55" s="123">
        <f>IFNA(VLOOKUP(D55,'S1'!$1:$1325,2,False),0)</f>
        <v>74</v>
      </c>
      <c r="Q55" s="123">
        <f>IFNA(vlookup(D55,'S2'!A51:B1253,2,False),0)</f>
        <v>0</v>
      </c>
      <c r="R55" s="123">
        <f>ifna(vlookup(D55,'S3'!$1:$1311,2,False),0)</f>
        <v>0</v>
      </c>
      <c r="S55" s="123"/>
      <c r="T55" s="124">
        <v>14.0</v>
      </c>
      <c r="U55" s="125">
        <v>10.0</v>
      </c>
      <c r="V55" s="125">
        <v>72.0</v>
      </c>
      <c r="W55" s="125"/>
      <c r="X55" s="125"/>
      <c r="Y55" s="125"/>
      <c r="Z55" s="126"/>
      <c r="AA55" s="127">
        <v>36.0</v>
      </c>
      <c r="AB55" s="26">
        <v>18.75</v>
      </c>
      <c r="AC55" s="135">
        <v>0.0</v>
      </c>
      <c r="AD55" s="129">
        <v>0.0</v>
      </c>
      <c r="AE55" s="130">
        <v>10.0</v>
      </c>
      <c r="AF55" s="129"/>
      <c r="AG55" s="144">
        <v>0.0</v>
      </c>
      <c r="AH55" s="129"/>
      <c r="AI55" s="131"/>
      <c r="AJ55" s="131"/>
      <c r="AK55" s="132">
        <f t="shared" si="1"/>
        <v>2</v>
      </c>
      <c r="AL55" s="132">
        <f t="shared" si="2"/>
        <v>0</v>
      </c>
      <c r="AM55" s="133">
        <f t="shared" si="3"/>
        <v>2</v>
      </c>
      <c r="AN55" s="132" t="str">
        <f t="shared" si="4"/>
        <v>0</v>
      </c>
      <c r="AO55" s="132">
        <f t="shared" si="5"/>
        <v>1</v>
      </c>
      <c r="AP55" s="88"/>
      <c r="AQ55" s="88"/>
    </row>
    <row r="56">
      <c r="A56" s="114">
        <v>51.0</v>
      </c>
      <c r="B56" s="115" t="s">
        <v>1910</v>
      </c>
      <c r="C56" s="115" t="s">
        <v>2514</v>
      </c>
      <c r="D56" s="116" t="str">
        <f>VLOOKUP(B56,USN!$1:$1088,2,FALSE)</f>
        <v>1CR23CS053</v>
      </c>
      <c r="E56" s="116">
        <v>9.663480082E9</v>
      </c>
      <c r="F56" s="117" t="s">
        <v>2461</v>
      </c>
      <c r="G56" s="118"/>
      <c r="H56" s="119">
        <v>84.0</v>
      </c>
      <c r="I56" s="116">
        <v>87.0</v>
      </c>
      <c r="J56" s="120">
        <f>IFNA(VLOOKUP(D56,'L3'!$1:$2060,2,False),0)</f>
        <v>70</v>
      </c>
      <c r="K56" s="120">
        <f>VLOOKUP(D56,'L4'!$1:$2059,2,FALSE)</f>
        <v>90</v>
      </c>
      <c r="L56" s="121">
        <f>VLOOKUP(D56,'A1 RETEST 5 DEC'!$1:$2096,2,FALSE)</f>
        <v>50</v>
      </c>
      <c r="M56" s="121">
        <f>VLOOKUP(D56,'A2 RETEST 4 DEC'!$1:$2096,2,FALSE)</f>
        <v>22</v>
      </c>
      <c r="N56" s="122">
        <v>50.0</v>
      </c>
      <c r="O56" s="121"/>
      <c r="P56" s="123">
        <f>IFNA(VLOOKUP(D56,'S1'!$1:$1325,2,False),0)</f>
        <v>88</v>
      </c>
      <c r="Q56" s="123">
        <f>IFNA(vlookup(D56,'S2'!A53:B1255,2,False),0)</f>
        <v>90</v>
      </c>
      <c r="R56" s="123">
        <f>ifna(vlookup(D56,'S3'!$1:$1311,2,False),0)</f>
        <v>100</v>
      </c>
      <c r="S56" s="123"/>
      <c r="T56" s="124">
        <v>13.0</v>
      </c>
      <c r="U56" s="125">
        <v>18.0</v>
      </c>
      <c r="V56" s="125">
        <v>80.0</v>
      </c>
      <c r="W56" s="125">
        <v>36.0</v>
      </c>
      <c r="X56" s="125">
        <v>64.0</v>
      </c>
      <c r="Y56" s="125"/>
      <c r="Z56" s="126"/>
      <c r="AA56" s="127">
        <v>82.0</v>
      </c>
      <c r="AB56" s="26">
        <v>92.5</v>
      </c>
      <c r="AC56" s="135">
        <v>72.0</v>
      </c>
      <c r="AD56" s="129">
        <v>100.0</v>
      </c>
      <c r="AE56" s="130">
        <v>83.0</v>
      </c>
      <c r="AF56" s="129"/>
      <c r="AG56" s="144">
        <v>71.0</v>
      </c>
      <c r="AH56" s="129"/>
      <c r="AI56" s="131"/>
      <c r="AJ56" s="131"/>
      <c r="AK56" s="132">
        <f t="shared" si="1"/>
        <v>4</v>
      </c>
      <c r="AL56" s="132">
        <f t="shared" si="2"/>
        <v>1</v>
      </c>
      <c r="AM56" s="133">
        <f t="shared" si="3"/>
        <v>2</v>
      </c>
      <c r="AN56" s="132" t="str">
        <f t="shared" si="4"/>
        <v>3.5</v>
      </c>
      <c r="AO56" s="132">
        <f t="shared" si="5"/>
        <v>3</v>
      </c>
      <c r="AP56" s="88"/>
      <c r="AQ56" s="88"/>
    </row>
    <row r="57">
      <c r="A57" s="114">
        <v>52.0</v>
      </c>
      <c r="B57" s="136" t="s">
        <v>1949</v>
      </c>
      <c r="C57" s="115" t="s">
        <v>2515</v>
      </c>
      <c r="D57" s="116" t="str">
        <f>VLOOKUP(B57,USN!$1:$1088,2,FALSE)</f>
        <v>1CR23CS054</v>
      </c>
      <c r="E57" s="138">
        <v>9.380361373E9</v>
      </c>
      <c r="F57" s="117" t="s">
        <v>2461</v>
      </c>
      <c r="G57" s="118"/>
      <c r="H57" s="119">
        <v>81.0</v>
      </c>
      <c r="I57" s="116">
        <v>90.0</v>
      </c>
      <c r="J57" s="120">
        <f>IFNA(VLOOKUP(D57,'L3'!$1:$2060,2,False),0)</f>
        <v>71</v>
      </c>
      <c r="K57" s="120">
        <f>VLOOKUP(D57,'L4'!$1:$2059,2,FALSE)</f>
        <v>72</v>
      </c>
      <c r="L57" s="121">
        <f>VLOOKUP(D57,'A1 RETEST 5 DEC'!$1:$2096,2,FALSE)</f>
        <v>50</v>
      </c>
      <c r="M57" s="121">
        <f>VLOOKUP(D57,'A2 RETEST 4 DEC'!$1:$2096,2,FALSE)</f>
        <v>50</v>
      </c>
      <c r="N57" s="122">
        <v>56.0</v>
      </c>
      <c r="O57" s="121"/>
      <c r="P57" s="123">
        <f>IFNA(VLOOKUP(D57,'S1'!$1:$1325,2,False),0)</f>
        <v>73</v>
      </c>
      <c r="Q57" s="123">
        <f>IFNA(vlookup(D57,'S2'!A54:B1256,2,False),0)</f>
        <v>73</v>
      </c>
      <c r="R57" s="123">
        <f>ifna(vlookup(D57,'S3'!$1:$1311,2,False),0)</f>
        <v>92</v>
      </c>
      <c r="S57" s="123"/>
      <c r="T57" s="124">
        <v>13.0</v>
      </c>
      <c r="U57" s="125">
        <v>20.0</v>
      </c>
      <c r="V57" s="125">
        <v>84.0</v>
      </c>
      <c r="W57" s="125">
        <v>48.0</v>
      </c>
      <c r="X57" s="125">
        <v>60.0</v>
      </c>
      <c r="Y57" s="125"/>
      <c r="Z57" s="126"/>
      <c r="AA57" s="127">
        <v>78.0</v>
      </c>
      <c r="AB57" s="26">
        <v>85.0</v>
      </c>
      <c r="AC57" s="135">
        <v>60.0</v>
      </c>
      <c r="AD57" s="129">
        <v>63.0</v>
      </c>
      <c r="AE57" s="130">
        <v>91.0</v>
      </c>
      <c r="AF57" s="129"/>
      <c r="AG57" s="144">
        <v>63.0</v>
      </c>
      <c r="AH57" s="129"/>
      <c r="AI57" s="131"/>
      <c r="AJ57" s="131"/>
      <c r="AK57" s="132">
        <f t="shared" si="1"/>
        <v>4</v>
      </c>
      <c r="AL57" s="132">
        <f t="shared" si="2"/>
        <v>3</v>
      </c>
      <c r="AM57" s="133">
        <f t="shared" si="3"/>
        <v>2</v>
      </c>
      <c r="AN57" s="132" t="str">
        <f t="shared" si="4"/>
        <v>3.5</v>
      </c>
      <c r="AO57" s="132">
        <f t="shared" si="5"/>
        <v>3</v>
      </c>
      <c r="AP57" s="88"/>
      <c r="AQ57" s="88"/>
    </row>
    <row r="58">
      <c r="A58" s="114">
        <v>53.0</v>
      </c>
      <c r="B58" s="114" t="s">
        <v>1911</v>
      </c>
      <c r="C58" s="115" t="s">
        <v>2516</v>
      </c>
      <c r="D58" s="116" t="str">
        <f>VLOOKUP(B58,USN!$1:$1088,2,FALSE)</f>
        <v>1CR23CS055</v>
      </c>
      <c r="E58" s="116">
        <v>8.867163991E9</v>
      </c>
      <c r="F58" s="117" t="s">
        <v>2461</v>
      </c>
      <c r="G58" s="118"/>
      <c r="H58" s="119">
        <v>87.0</v>
      </c>
      <c r="I58" s="116">
        <v>89.0</v>
      </c>
      <c r="J58" s="120">
        <f>IFNA(VLOOKUP(D58,'L3'!$1:$2060,2,False),0)</f>
        <v>82</v>
      </c>
      <c r="K58" s="120">
        <f>VLOOKUP(D58,'L4'!$1:$2059,2,FALSE)</f>
        <v>80</v>
      </c>
      <c r="L58" s="121">
        <f>VLOOKUP(D58,'A1 RETEST 5 DEC'!$1:$2096,2,FALSE)</f>
        <v>56</v>
      </c>
      <c r="M58" s="121">
        <f>VLOOKUP(D58,'A2 RETEST 4 DEC'!$1:$2096,2,FALSE)</f>
        <v>67</v>
      </c>
      <c r="N58" s="122">
        <v>66.0</v>
      </c>
      <c r="O58" s="121"/>
      <c r="P58" s="123">
        <f>IFNA(VLOOKUP(D58,'S1'!$1:$1325,2,False),0)</f>
        <v>78</v>
      </c>
      <c r="Q58" s="123">
        <f>IFNA(vlookup(D58,'S2'!A52:B1254,2,False),0)</f>
        <v>62</v>
      </c>
      <c r="R58" s="123">
        <f>ifna(vlookup(D58,'S3'!$1:$1311,2,False),0)</f>
        <v>76</v>
      </c>
      <c r="S58" s="123"/>
      <c r="T58" s="124">
        <v>17.0</v>
      </c>
      <c r="U58" s="125">
        <v>19.0</v>
      </c>
      <c r="V58" s="125">
        <v>80.0</v>
      </c>
      <c r="W58" s="125">
        <v>48.0</v>
      </c>
      <c r="X58" s="125">
        <v>86.0</v>
      </c>
      <c r="Y58" s="125"/>
      <c r="Z58" s="126"/>
      <c r="AA58" s="127">
        <v>100.0</v>
      </c>
      <c r="AB58" s="26">
        <v>99.5</v>
      </c>
      <c r="AC58" s="135">
        <v>99.5</v>
      </c>
      <c r="AD58" s="129">
        <v>64.0</v>
      </c>
      <c r="AE58" s="130">
        <v>90.0</v>
      </c>
      <c r="AF58" s="129"/>
      <c r="AG58" s="144">
        <v>40.0</v>
      </c>
      <c r="AH58" s="129"/>
      <c r="AI58" s="131"/>
      <c r="AJ58" s="131"/>
      <c r="AK58" s="132">
        <f t="shared" si="1"/>
        <v>4</v>
      </c>
      <c r="AL58" s="132">
        <f t="shared" si="2"/>
        <v>3</v>
      </c>
      <c r="AM58" s="133">
        <f t="shared" si="3"/>
        <v>2</v>
      </c>
      <c r="AN58" s="132" t="str">
        <f t="shared" si="4"/>
        <v>3.5</v>
      </c>
      <c r="AO58" s="132">
        <f t="shared" si="5"/>
        <v>3</v>
      </c>
      <c r="AP58" s="88"/>
      <c r="AQ58" s="88"/>
    </row>
    <row r="59">
      <c r="A59" s="114">
        <v>54.0</v>
      </c>
      <c r="B59" s="136" t="s">
        <v>1950</v>
      </c>
      <c r="C59" s="115" t="s">
        <v>2517</v>
      </c>
      <c r="D59" s="116" t="str">
        <f>VLOOKUP(B59,USN!$1:$1088,2,FALSE)</f>
        <v>1CR23CS056</v>
      </c>
      <c r="E59" s="138">
        <v>6.362579928E9</v>
      </c>
      <c r="F59" s="117" t="s">
        <v>2461</v>
      </c>
      <c r="G59" s="118"/>
      <c r="H59" s="119">
        <v>76.0</v>
      </c>
      <c r="I59" s="116">
        <v>79.0</v>
      </c>
      <c r="J59" s="120">
        <f>IFNA(VLOOKUP(D59,'L3'!$1:$2060,2,False),0)</f>
        <v>77</v>
      </c>
      <c r="K59" s="120">
        <f>VLOOKUP(D59,'L4'!$1:$2059,2,FALSE)</f>
        <v>70</v>
      </c>
      <c r="L59" s="121">
        <f>VLOOKUP(D59,'A1 RETEST 5 DEC'!$1:$2096,2,FALSE)</f>
        <v>50</v>
      </c>
      <c r="M59" s="121">
        <f>VLOOKUP(D59,'A2 RETEST 4 DEC'!$1:$2096,2,FALSE)</f>
        <v>55</v>
      </c>
      <c r="N59" s="122">
        <v>55.0</v>
      </c>
      <c r="O59" s="121"/>
      <c r="P59" s="123">
        <f>IFNA(VLOOKUP(D59,'S1'!$1:$1325,2,False),0)</f>
        <v>82</v>
      </c>
      <c r="Q59" s="123">
        <f>IFNA(vlookup(D59,'S2'!A55:B1257,2,False),0)</f>
        <v>66</v>
      </c>
      <c r="R59" s="123">
        <f>ifna(vlookup(D59,'S3'!$1:$1311,2,False),0)</f>
        <v>85</v>
      </c>
      <c r="S59" s="123"/>
      <c r="T59" s="124">
        <v>18.0</v>
      </c>
      <c r="U59" s="125">
        <v>18.0</v>
      </c>
      <c r="V59" s="125">
        <v>64.0</v>
      </c>
      <c r="W59" s="125">
        <v>76.0</v>
      </c>
      <c r="X59" s="125">
        <v>86.0</v>
      </c>
      <c r="Y59" s="125"/>
      <c r="Z59" s="126"/>
      <c r="AA59" s="127">
        <v>88.0</v>
      </c>
      <c r="AB59" s="26">
        <v>58.75</v>
      </c>
      <c r="AC59" s="135">
        <v>80.0</v>
      </c>
      <c r="AD59" s="129">
        <v>72.0</v>
      </c>
      <c r="AE59" s="130">
        <v>92.0</v>
      </c>
      <c r="AF59" s="129"/>
      <c r="AG59" s="129">
        <v>70.0</v>
      </c>
      <c r="AH59" s="129"/>
      <c r="AI59" s="131"/>
      <c r="AJ59" s="131"/>
      <c r="AK59" s="132">
        <f t="shared" si="1"/>
        <v>4</v>
      </c>
      <c r="AL59" s="132">
        <f t="shared" si="2"/>
        <v>3</v>
      </c>
      <c r="AM59" s="133">
        <f t="shared" si="3"/>
        <v>3</v>
      </c>
      <c r="AN59" s="132" t="str">
        <f t="shared" si="4"/>
        <v>3.5</v>
      </c>
      <c r="AO59" s="132">
        <f t="shared" si="5"/>
        <v>3</v>
      </c>
      <c r="AP59" s="88"/>
      <c r="AQ59" s="88"/>
    </row>
    <row r="60">
      <c r="A60" s="114">
        <v>55.0</v>
      </c>
      <c r="B60" s="115" t="s">
        <v>2021</v>
      </c>
      <c r="C60" s="115" t="s">
        <v>2518</v>
      </c>
      <c r="D60" s="116" t="str">
        <f>VLOOKUP(B60,USN!$1:$1088,2,FALSE)</f>
        <v>1CR23CS057</v>
      </c>
      <c r="E60" s="116">
        <v>8.050567206E9</v>
      </c>
      <c r="F60" s="117" t="s">
        <v>2461</v>
      </c>
      <c r="G60" s="118"/>
      <c r="H60" s="119">
        <v>79.0</v>
      </c>
      <c r="I60" s="116">
        <v>79.0</v>
      </c>
      <c r="J60" s="120">
        <f>IFNA(VLOOKUP(D60,'L3'!$1:$2060,2,False),0)</f>
        <v>79</v>
      </c>
      <c r="K60" s="120">
        <f>VLOOKUP(D60,'L4'!$1:$2059,2,FALSE)</f>
        <v>72</v>
      </c>
      <c r="L60" s="121">
        <f>VLOOKUP(D60,'A1 RETEST 5 DEC'!$1:$2096,2,FALSE)</f>
        <v>50</v>
      </c>
      <c r="M60" s="121">
        <f>VLOOKUP(D60,'A2 RETEST 4 DEC'!$1:$2096,2,FALSE)</f>
        <v>50</v>
      </c>
      <c r="N60" s="122">
        <v>50.0</v>
      </c>
      <c r="O60" s="121"/>
      <c r="P60" s="123">
        <f>IFNA(VLOOKUP(D60,'S1'!$1:$1325,2,False),0)</f>
        <v>50</v>
      </c>
      <c r="Q60" s="123">
        <f>IFNA(vlookup(D60,'S2'!A56:B1258,2,False),0)</f>
        <v>66</v>
      </c>
      <c r="R60" s="123">
        <f>ifna(vlookup(D60,'S3'!$1:$1311,2,False),0)</f>
        <v>86</v>
      </c>
      <c r="S60" s="123"/>
      <c r="T60" s="124">
        <v>14.0</v>
      </c>
      <c r="U60" s="125">
        <v>19.0</v>
      </c>
      <c r="V60" s="125">
        <v>68.0</v>
      </c>
      <c r="W60" s="125">
        <v>64.0</v>
      </c>
      <c r="X60" s="125">
        <v>84.0</v>
      </c>
      <c r="Y60" s="125"/>
      <c r="Z60" s="126"/>
      <c r="AA60" s="127">
        <v>40.0</v>
      </c>
      <c r="AB60" s="26">
        <v>59.0</v>
      </c>
      <c r="AC60" s="135">
        <v>60.0</v>
      </c>
      <c r="AD60" s="129">
        <v>100.0</v>
      </c>
      <c r="AE60" s="130">
        <v>72.0</v>
      </c>
      <c r="AF60" s="129"/>
      <c r="AG60" s="129">
        <v>70.0</v>
      </c>
      <c r="AH60" s="129"/>
      <c r="AI60" s="131"/>
      <c r="AJ60" s="131"/>
      <c r="AK60" s="132">
        <f t="shared" si="1"/>
        <v>4</v>
      </c>
      <c r="AL60" s="132">
        <f t="shared" si="2"/>
        <v>3</v>
      </c>
      <c r="AM60" s="133">
        <f t="shared" si="3"/>
        <v>3</v>
      </c>
      <c r="AN60" s="132" t="str">
        <f t="shared" si="4"/>
        <v>3.5</v>
      </c>
      <c r="AO60" s="132">
        <f t="shared" si="5"/>
        <v>3</v>
      </c>
      <c r="AP60" s="88"/>
      <c r="AQ60" s="88"/>
    </row>
    <row r="61">
      <c r="A61" s="114">
        <v>56.0</v>
      </c>
      <c r="B61" s="115" t="s">
        <v>1912</v>
      </c>
      <c r="C61" s="115" t="s">
        <v>2519</v>
      </c>
      <c r="D61" s="116" t="str">
        <f>VLOOKUP(B61,USN!$1:$1088,2,FALSE)</f>
        <v>1CR23CS058</v>
      </c>
      <c r="E61" s="116">
        <v>8.088892754E9</v>
      </c>
      <c r="F61" s="117" t="s">
        <v>2461</v>
      </c>
      <c r="G61" s="118"/>
      <c r="H61" s="119">
        <v>81.0</v>
      </c>
      <c r="I61" s="116">
        <v>80.0</v>
      </c>
      <c r="J61" s="120">
        <f>IFNA(VLOOKUP(D61,'L3'!$1:$2060,2,False),0)</f>
        <v>70</v>
      </c>
      <c r="K61" s="120">
        <f>VLOOKUP(D61,'L4'!$1:$2059,2,FALSE)</f>
        <v>49</v>
      </c>
      <c r="L61" s="121">
        <f>VLOOKUP(D61,'A1 RETEST 5 DEC'!$1:$2096,2,FALSE)</f>
        <v>39</v>
      </c>
      <c r="M61" s="121">
        <f>VLOOKUP(D61,'A2 RETEST 4 DEC'!$1:$2096,2,FALSE)</f>
        <v>15</v>
      </c>
      <c r="N61" s="122">
        <v>0.0</v>
      </c>
      <c r="O61" s="121"/>
      <c r="P61" s="123">
        <f>IFNA(VLOOKUP(D61,'S1'!$1:$1325,2,False),0)</f>
        <v>74</v>
      </c>
      <c r="Q61" s="123">
        <f>IFNA(vlookup(D61,'S2'!A57:B1259,2,False),0)</f>
        <v>63</v>
      </c>
      <c r="R61" s="123">
        <f>ifna(vlookup(D61,'S3'!$1:$1311,2,False),0)</f>
        <v>0</v>
      </c>
      <c r="S61" s="123"/>
      <c r="T61" s="124">
        <v>11.0</v>
      </c>
      <c r="U61" s="125">
        <v>21.0</v>
      </c>
      <c r="V61" s="125">
        <v>76.0</v>
      </c>
      <c r="W61" s="125">
        <v>76.0</v>
      </c>
      <c r="X61" s="125">
        <v>88.0</v>
      </c>
      <c r="Y61" s="125"/>
      <c r="Z61" s="126"/>
      <c r="AA61" s="127">
        <v>66.0</v>
      </c>
      <c r="AB61" s="26">
        <v>40.0</v>
      </c>
      <c r="AC61" s="135">
        <v>0.0</v>
      </c>
      <c r="AD61" s="129">
        <v>0.0</v>
      </c>
      <c r="AE61" s="130">
        <v>10.0</v>
      </c>
      <c r="AF61" s="129"/>
      <c r="AG61" s="129">
        <v>0.0</v>
      </c>
      <c r="AH61" s="129"/>
      <c r="AI61" s="131"/>
      <c r="AJ61" s="131"/>
      <c r="AK61" s="132">
        <f t="shared" si="1"/>
        <v>3</v>
      </c>
      <c r="AL61" s="132">
        <f t="shared" si="2"/>
        <v>0</v>
      </c>
      <c r="AM61" s="133">
        <f t="shared" si="3"/>
        <v>3</v>
      </c>
      <c r="AN61" s="132" t="str">
        <f t="shared" si="4"/>
        <v>0</v>
      </c>
      <c r="AO61" s="132">
        <f t="shared" si="5"/>
        <v>2</v>
      </c>
      <c r="AP61" s="88"/>
      <c r="AQ61" s="88"/>
    </row>
    <row r="62">
      <c r="A62" s="114">
        <v>57.0</v>
      </c>
      <c r="B62" s="115" t="s">
        <v>1913</v>
      </c>
      <c r="C62" s="115" t="s">
        <v>2520</v>
      </c>
      <c r="D62" s="116" t="str">
        <f>VLOOKUP(B62,USN!$1:$1088,2,FALSE)</f>
        <v>1CR23CS059</v>
      </c>
      <c r="E62" s="116">
        <v>8.603999883E9</v>
      </c>
      <c r="F62" s="117" t="s">
        <v>2461</v>
      </c>
      <c r="G62" s="118"/>
      <c r="H62" s="119">
        <v>83.0</v>
      </c>
      <c r="I62" s="116">
        <v>86.0</v>
      </c>
      <c r="J62" s="120">
        <f>IFNA(VLOOKUP(D62,'L3'!$1:$2060,2,False),0)</f>
        <v>70</v>
      </c>
      <c r="K62" s="120">
        <f>VLOOKUP(D62,'L4'!$1:$2059,2,FALSE)</f>
        <v>79</v>
      </c>
      <c r="L62" s="121">
        <f>VLOOKUP(D62,'A1 RETEST 5 DEC'!$1:$2096,2,FALSE)</f>
        <v>50</v>
      </c>
      <c r="M62" s="121">
        <f>VLOOKUP(D62,'A2 RETEST 4 DEC'!$1:$2096,2,FALSE)</f>
        <v>50</v>
      </c>
      <c r="N62" s="122">
        <v>60.0</v>
      </c>
      <c r="O62" s="121"/>
      <c r="P62" s="123">
        <f>IFNA(VLOOKUP(D62,'S1'!$1:$1325,2,False),0)</f>
        <v>87</v>
      </c>
      <c r="Q62" s="123">
        <f>IFNA(vlookup(D62,'S2'!A58:B1260,2,False),0)</f>
        <v>66</v>
      </c>
      <c r="R62" s="123">
        <f>ifna(vlookup(D62,'S3'!$1:$1311,2,False),0)</f>
        <v>84</v>
      </c>
      <c r="S62" s="123"/>
      <c r="T62" s="124">
        <v>16.0</v>
      </c>
      <c r="U62" s="125">
        <v>21.0</v>
      </c>
      <c r="V62" s="125">
        <v>76.0</v>
      </c>
      <c r="W62" s="125">
        <v>68.0</v>
      </c>
      <c r="X62" s="125">
        <v>86.0</v>
      </c>
      <c r="Y62" s="125"/>
      <c r="Z62" s="126"/>
      <c r="AA62" s="127">
        <v>84.0</v>
      </c>
      <c r="AB62" s="26">
        <v>82.75</v>
      </c>
      <c r="AC62" s="135">
        <v>80.0</v>
      </c>
      <c r="AD62" s="129">
        <v>100.0</v>
      </c>
      <c r="AE62" s="130">
        <v>91.0</v>
      </c>
      <c r="AF62" s="129"/>
      <c r="AG62" s="129">
        <v>34.0</v>
      </c>
      <c r="AH62" s="129"/>
      <c r="AI62" s="131"/>
      <c r="AJ62" s="131"/>
      <c r="AK62" s="132">
        <f t="shared" si="1"/>
        <v>4</v>
      </c>
      <c r="AL62" s="132">
        <f t="shared" si="2"/>
        <v>3</v>
      </c>
      <c r="AM62" s="133">
        <f t="shared" si="3"/>
        <v>3</v>
      </c>
      <c r="AN62" s="132" t="str">
        <f t="shared" si="4"/>
        <v>3.5</v>
      </c>
      <c r="AO62" s="132">
        <f t="shared" si="5"/>
        <v>3</v>
      </c>
      <c r="AP62" s="88"/>
      <c r="AQ62" s="88"/>
    </row>
    <row r="63">
      <c r="A63" s="114">
        <v>58.0</v>
      </c>
      <c r="B63" s="115" t="s">
        <v>1914</v>
      </c>
      <c r="C63" s="115" t="s">
        <v>2521</v>
      </c>
      <c r="D63" s="116" t="str">
        <f>VLOOKUP(B63,USN!$1:$1088,2,FALSE)</f>
        <v>1CR23CS060</v>
      </c>
      <c r="E63" s="116">
        <v>8.150914707E9</v>
      </c>
      <c r="F63" s="117" t="s">
        <v>2461</v>
      </c>
      <c r="G63" s="118"/>
      <c r="H63" s="119">
        <v>76.0</v>
      </c>
      <c r="I63" s="116">
        <v>77.0</v>
      </c>
      <c r="J63" s="120">
        <f>IFNA(VLOOKUP(D63,'L3'!$1:$2060,2,False),0)</f>
        <v>70</v>
      </c>
      <c r="K63" s="120">
        <f>VLOOKUP(D63,'L4'!$1:$2059,2,FALSE)</f>
        <v>70</v>
      </c>
      <c r="L63" s="121">
        <f>VLOOKUP(D63,'A1 RETEST 5 DEC'!$1:$2096,2,FALSE)</f>
        <v>20</v>
      </c>
      <c r="M63" s="121">
        <f>VLOOKUP(D63,'A2 RETEST 4 DEC'!$1:$2096,2,FALSE)</f>
        <v>50</v>
      </c>
      <c r="N63" s="122">
        <v>9.0</v>
      </c>
      <c r="O63" s="121"/>
      <c r="P63" s="123">
        <f>IFNA(VLOOKUP(D63,'S1'!$1:$1325,2,False),0)</f>
        <v>50</v>
      </c>
      <c r="Q63" s="123">
        <f>IFNA(vlookup(D63,'S2'!A59:B1261,2,False),0)</f>
        <v>65</v>
      </c>
      <c r="R63" s="123">
        <f>ifna(vlookup(D63,'S3'!$1:$1311,2,False),0)</f>
        <v>86</v>
      </c>
      <c r="S63" s="123"/>
      <c r="T63" s="124">
        <v>13.0</v>
      </c>
      <c r="U63" s="125">
        <v>18.0</v>
      </c>
      <c r="V63" s="125">
        <v>68.0</v>
      </c>
      <c r="W63" s="125"/>
      <c r="X63" s="125">
        <v>68.0</v>
      </c>
      <c r="Y63" s="125"/>
      <c r="Z63" s="126"/>
      <c r="AA63" s="127">
        <v>12.0</v>
      </c>
      <c r="AB63" s="26">
        <v>42.5</v>
      </c>
      <c r="AC63" s="135">
        <v>37.5</v>
      </c>
      <c r="AD63" s="129">
        <v>10.0</v>
      </c>
      <c r="AE63" s="130">
        <v>13.0</v>
      </c>
      <c r="AF63" s="129"/>
      <c r="AG63" s="129">
        <v>0.0</v>
      </c>
      <c r="AH63" s="129"/>
      <c r="AI63" s="131"/>
      <c r="AJ63" s="131"/>
      <c r="AK63" s="132">
        <f t="shared" si="1"/>
        <v>4</v>
      </c>
      <c r="AL63" s="132">
        <f t="shared" si="2"/>
        <v>0</v>
      </c>
      <c r="AM63" s="133">
        <f t="shared" si="3"/>
        <v>2</v>
      </c>
      <c r="AN63" s="132" t="str">
        <f t="shared" si="4"/>
        <v>0</v>
      </c>
      <c r="AO63" s="132">
        <f t="shared" si="5"/>
        <v>3</v>
      </c>
      <c r="AP63" s="88"/>
      <c r="AQ63" s="88"/>
    </row>
    <row r="64">
      <c r="A64" s="114">
        <v>59.0</v>
      </c>
      <c r="B64" s="115" t="s">
        <v>1915</v>
      </c>
      <c r="C64" s="115" t="s">
        <v>2522</v>
      </c>
      <c r="D64" s="116" t="str">
        <f>VLOOKUP(B64,USN!$1:$1088,2,FALSE)</f>
        <v>1CR23CS061</v>
      </c>
      <c r="E64" s="116">
        <v>9.113948829E9</v>
      </c>
      <c r="F64" s="117" t="s">
        <v>2461</v>
      </c>
      <c r="G64" s="118"/>
      <c r="H64" s="119">
        <v>81.0</v>
      </c>
      <c r="I64" s="116">
        <v>82.0</v>
      </c>
      <c r="J64" s="120">
        <f>IFNA(VLOOKUP(D64,'L3'!$1:$2060,2,False),0)</f>
        <v>75</v>
      </c>
      <c r="K64" s="120">
        <f>VLOOKUP(D64,'L4'!$1:$2059,2,FALSE)</f>
        <v>83</v>
      </c>
      <c r="L64" s="121">
        <f>VLOOKUP(D64,'A1 RETEST 5 DEC'!$1:$2096,2,FALSE)</f>
        <v>50</v>
      </c>
      <c r="M64" s="121">
        <f>VLOOKUP(D64,'A2 RETEST 4 DEC'!$1:$2096,2,FALSE)</f>
        <v>13</v>
      </c>
      <c r="N64" s="122">
        <v>50.0</v>
      </c>
      <c r="O64" s="121"/>
      <c r="P64" s="123">
        <f>IFNA(VLOOKUP(D64,'S1'!$1:$1325,2,False),0)</f>
        <v>87</v>
      </c>
      <c r="Q64" s="123">
        <f>IFNA(vlookup(D64,'S2'!A60:B1262,2,False),0)</f>
        <v>90</v>
      </c>
      <c r="R64" s="123">
        <f>ifna(vlookup(D64,'S3'!$1:$1311,2,False),0)</f>
        <v>96</v>
      </c>
      <c r="S64" s="123"/>
      <c r="T64" s="124">
        <v>10.0</v>
      </c>
      <c r="U64" s="125">
        <v>19.0</v>
      </c>
      <c r="V64" s="125">
        <v>68.0</v>
      </c>
      <c r="W64" s="125">
        <v>52.0</v>
      </c>
      <c r="X64" s="125">
        <v>54.0</v>
      </c>
      <c r="Y64" s="125"/>
      <c r="Z64" s="126"/>
      <c r="AA64" s="127">
        <v>88.0</v>
      </c>
      <c r="AB64" s="26">
        <v>98.75</v>
      </c>
      <c r="AC64" s="135">
        <v>100.0</v>
      </c>
      <c r="AD64" s="129">
        <v>100.0</v>
      </c>
      <c r="AE64" s="130">
        <v>72.0</v>
      </c>
      <c r="AF64" s="129"/>
      <c r="AG64" s="129">
        <v>74.0</v>
      </c>
      <c r="AH64" s="129"/>
      <c r="AI64" s="131"/>
      <c r="AJ64" s="131"/>
      <c r="AK64" s="132">
        <f t="shared" si="1"/>
        <v>4</v>
      </c>
      <c r="AL64" s="132">
        <f t="shared" si="2"/>
        <v>1</v>
      </c>
      <c r="AM64" s="133">
        <f t="shared" si="3"/>
        <v>3</v>
      </c>
      <c r="AN64" s="132" t="str">
        <f t="shared" si="4"/>
        <v>3.5</v>
      </c>
      <c r="AO64" s="132">
        <f t="shared" si="5"/>
        <v>3</v>
      </c>
      <c r="AP64" s="88"/>
      <c r="AQ64" s="88"/>
    </row>
    <row r="65">
      <c r="A65" s="114">
        <v>60.0</v>
      </c>
      <c r="B65" s="115" t="s">
        <v>1916</v>
      </c>
      <c r="C65" s="115" t="s">
        <v>2523</v>
      </c>
      <c r="D65" s="116" t="str">
        <f>VLOOKUP(B65,USN!$1:$1088,2,FALSE)</f>
        <v>1CR23CS063</v>
      </c>
      <c r="E65" s="116">
        <v>8.296360268E9</v>
      </c>
      <c r="F65" s="117" t="s">
        <v>2461</v>
      </c>
      <c r="G65" s="118"/>
      <c r="H65" s="119">
        <v>88.0</v>
      </c>
      <c r="I65" s="116">
        <v>85.0</v>
      </c>
      <c r="J65" s="120">
        <f>IFNA(VLOOKUP(D65,'L3'!$1:$2060,2,False),0)</f>
        <v>85</v>
      </c>
      <c r="K65" s="120">
        <f>VLOOKUP(D65,'L4'!$1:$2059,2,FALSE)</f>
        <v>70</v>
      </c>
      <c r="L65" s="121">
        <f>VLOOKUP(D65,'A1 RETEST 5 DEC'!$1:$2096,2,FALSE)</f>
        <v>63</v>
      </c>
      <c r="M65" s="121">
        <f>VLOOKUP(D65,'A2 RETEST 4 DEC'!$1:$2096,2,FALSE)</f>
        <v>20</v>
      </c>
      <c r="N65" s="122">
        <v>52.0</v>
      </c>
      <c r="O65" s="121"/>
      <c r="P65" s="123">
        <f>IFNA(VLOOKUP(D65,'S1'!$1:$1325,2,False),0)</f>
        <v>82</v>
      </c>
      <c r="Q65" s="123">
        <f>IFNA(vlookup(D65,'S2'!A61:B1263,2,False),0)</f>
        <v>65</v>
      </c>
      <c r="R65" s="123">
        <f>ifna(vlookup(D65,'S3'!$1:$1311,2,False),0)</f>
        <v>94</v>
      </c>
      <c r="S65" s="123"/>
      <c r="T65" s="124">
        <v>14.0</v>
      </c>
      <c r="U65" s="125">
        <v>16.0</v>
      </c>
      <c r="V65" s="125">
        <v>76.0</v>
      </c>
      <c r="W65" s="125"/>
      <c r="X65" s="125">
        <v>68.0</v>
      </c>
      <c r="Y65" s="125"/>
      <c r="Z65" s="126"/>
      <c r="AA65" s="127">
        <v>96.0</v>
      </c>
      <c r="AB65" s="26">
        <v>99.5</v>
      </c>
      <c r="AC65" s="135">
        <v>98.5</v>
      </c>
      <c r="AD65" s="129">
        <v>67.0</v>
      </c>
      <c r="AE65" s="130">
        <v>81.0</v>
      </c>
      <c r="AF65" s="129"/>
      <c r="AG65" s="129">
        <v>71.0</v>
      </c>
      <c r="AH65" s="129"/>
      <c r="AI65" s="131"/>
      <c r="AJ65" s="131"/>
      <c r="AK65" s="132">
        <f t="shared" si="1"/>
        <v>4</v>
      </c>
      <c r="AL65" s="132">
        <f t="shared" si="2"/>
        <v>1</v>
      </c>
      <c r="AM65" s="133">
        <f t="shared" si="3"/>
        <v>2</v>
      </c>
      <c r="AN65" s="132" t="str">
        <f t="shared" si="4"/>
        <v>3.5</v>
      </c>
      <c r="AO65" s="132">
        <f t="shared" si="5"/>
        <v>3</v>
      </c>
      <c r="AP65" s="88"/>
      <c r="AQ65" s="88"/>
    </row>
    <row r="66">
      <c r="A66" s="114">
        <v>61.0</v>
      </c>
      <c r="B66" s="115" t="s">
        <v>1939</v>
      </c>
      <c r="C66" s="115" t="s">
        <v>2524</v>
      </c>
      <c r="D66" s="116" t="str">
        <f>VLOOKUP(B66,USN!$1:$1088,2,FALSE)</f>
        <v>1CR23CS064</v>
      </c>
      <c r="E66" s="116">
        <v>8.976301477E9</v>
      </c>
      <c r="F66" s="117" t="s">
        <v>2461</v>
      </c>
      <c r="G66" s="118"/>
      <c r="H66" s="119">
        <v>83.0</v>
      </c>
      <c r="I66" s="116">
        <v>82.0</v>
      </c>
      <c r="J66" s="120">
        <f>IFNA(VLOOKUP(D66,'L3'!$1:$2060,2,False),0)</f>
        <v>79</v>
      </c>
      <c r="K66" s="120">
        <f>VLOOKUP(D66,'L4'!$1:$2059,2,FALSE)</f>
        <v>70</v>
      </c>
      <c r="L66" s="121">
        <f>VLOOKUP(D66,'A1 RETEST 5 DEC'!$1:$2096,2,FALSE)</f>
        <v>61</v>
      </c>
      <c r="M66" s="121">
        <f>VLOOKUP(D66,'A2 RETEST 4 DEC'!$1:$2096,2,FALSE)</f>
        <v>8</v>
      </c>
      <c r="N66" s="122">
        <v>14.0</v>
      </c>
      <c r="O66" s="121"/>
      <c r="P66" s="123">
        <f>IFNA(VLOOKUP(D66,'S1'!$1:$1325,2,False),0)</f>
        <v>76</v>
      </c>
      <c r="Q66" s="123">
        <f>IFNA(vlookup(D66,'S2'!A62:B1264,2,False),0)</f>
        <v>73</v>
      </c>
      <c r="R66" s="123">
        <f>ifna(vlookup(D66,'S3'!$1:$1311,2,False),0)</f>
        <v>0</v>
      </c>
      <c r="S66" s="123"/>
      <c r="T66" s="124">
        <v>20.0</v>
      </c>
      <c r="U66" s="125">
        <v>18.0</v>
      </c>
      <c r="V66" s="125">
        <v>56.0</v>
      </c>
      <c r="W66" s="125">
        <v>32.0</v>
      </c>
      <c r="X66" s="125"/>
      <c r="Y66" s="125"/>
      <c r="Z66" s="126"/>
      <c r="AA66" s="127">
        <v>20.0</v>
      </c>
      <c r="AB66" s="26">
        <v>100.0</v>
      </c>
      <c r="AC66" s="135">
        <v>83.0</v>
      </c>
      <c r="AD66" s="129">
        <v>69.0</v>
      </c>
      <c r="AE66" s="130">
        <v>36.0</v>
      </c>
      <c r="AF66" s="129"/>
      <c r="AG66" s="129">
        <v>57.0</v>
      </c>
      <c r="AH66" s="129"/>
      <c r="AI66" s="131"/>
      <c r="AJ66" s="131"/>
      <c r="AK66" s="132">
        <f t="shared" si="1"/>
        <v>4</v>
      </c>
      <c r="AL66" s="132">
        <f t="shared" si="2"/>
        <v>1</v>
      </c>
      <c r="AM66" s="133">
        <f t="shared" si="3"/>
        <v>2</v>
      </c>
      <c r="AN66" s="132" t="str">
        <f t="shared" si="4"/>
        <v>3</v>
      </c>
      <c r="AO66" s="132">
        <f t="shared" si="5"/>
        <v>2</v>
      </c>
      <c r="AP66" s="88"/>
      <c r="AQ66" s="88"/>
    </row>
    <row r="67">
      <c r="A67" s="114">
        <v>62.0</v>
      </c>
      <c r="B67" s="136" t="s">
        <v>1947</v>
      </c>
      <c r="C67" s="115" t="s">
        <v>2525</v>
      </c>
      <c r="D67" s="116" t="str">
        <f>VLOOKUP(B67,USN!$1:$1088,2,FALSE)</f>
        <v>1CR23CS065</v>
      </c>
      <c r="E67" s="138">
        <v>6.363811577E9</v>
      </c>
      <c r="F67" s="117" t="s">
        <v>2461</v>
      </c>
      <c r="G67" s="118"/>
      <c r="H67" s="119">
        <v>83.0</v>
      </c>
      <c r="I67" s="116">
        <v>82.0</v>
      </c>
      <c r="J67" s="120">
        <f>IFNA(VLOOKUP(D67,'L3'!$1:$2060,2,False),0)</f>
        <v>75</v>
      </c>
      <c r="K67" s="120">
        <f>VLOOKUP(D67,'L4'!$1:$2059,2,FALSE)</f>
        <v>80</v>
      </c>
      <c r="L67" s="121">
        <f>VLOOKUP(D67,'A1 RETEST 5 DEC'!$1:$2096,2,FALSE)</f>
        <v>50</v>
      </c>
      <c r="M67" s="121">
        <f>VLOOKUP(D67,'A2 RETEST 4 DEC'!$1:$2096,2,FALSE)</f>
        <v>50</v>
      </c>
      <c r="N67" s="122">
        <v>53.0</v>
      </c>
      <c r="O67" s="121"/>
      <c r="P67" s="123">
        <f>IFNA(VLOOKUP(D67,'S1'!$1:$1325,2,False),0)</f>
        <v>77</v>
      </c>
      <c r="Q67" s="123">
        <f>IFNA(vlookup(D67,'S2'!A63:B1265,2,False),0)</f>
        <v>65</v>
      </c>
      <c r="R67" s="123">
        <f>ifna(vlookup(D67,'S3'!$1:$1311,2,False),0)</f>
        <v>75</v>
      </c>
      <c r="S67" s="123"/>
      <c r="T67" s="124">
        <v>12.0</v>
      </c>
      <c r="U67" s="125">
        <v>16.0</v>
      </c>
      <c r="V67" s="125">
        <v>84.0</v>
      </c>
      <c r="W67" s="125">
        <v>68.0</v>
      </c>
      <c r="X67" s="125">
        <v>82.0</v>
      </c>
      <c r="Y67" s="125"/>
      <c r="Z67" s="126"/>
      <c r="AA67" s="127">
        <v>80.0</v>
      </c>
      <c r="AB67" s="26">
        <v>73.75</v>
      </c>
      <c r="AC67" s="135">
        <v>78.5</v>
      </c>
      <c r="AD67" s="129">
        <v>64.0</v>
      </c>
      <c r="AE67" s="130">
        <v>92.0</v>
      </c>
      <c r="AF67" s="129"/>
      <c r="AG67" s="129">
        <v>33.0</v>
      </c>
      <c r="AH67" s="129"/>
      <c r="AI67" s="131"/>
      <c r="AJ67" s="131"/>
      <c r="AK67" s="132">
        <f t="shared" si="1"/>
        <v>4</v>
      </c>
      <c r="AL67" s="132">
        <f t="shared" si="2"/>
        <v>3</v>
      </c>
      <c r="AM67" s="133">
        <f t="shared" si="3"/>
        <v>3</v>
      </c>
      <c r="AN67" s="132" t="str">
        <f t="shared" si="4"/>
        <v>3.5</v>
      </c>
      <c r="AO67" s="132">
        <f t="shared" si="5"/>
        <v>3</v>
      </c>
      <c r="AP67" s="88"/>
      <c r="AQ67" s="88"/>
    </row>
    <row r="68">
      <c r="A68" s="114">
        <v>63.0</v>
      </c>
      <c r="B68" s="115" t="s">
        <v>1917</v>
      </c>
      <c r="C68" s="115" t="s">
        <v>2526</v>
      </c>
      <c r="D68" s="116" t="str">
        <f>VLOOKUP(B68,USN!$1:$1088,2,FALSE)</f>
        <v>1CR23CS066</v>
      </c>
      <c r="E68" s="116">
        <v>6.201697502E9</v>
      </c>
      <c r="F68" s="117" t="s">
        <v>2461</v>
      </c>
      <c r="G68" s="118"/>
      <c r="H68" s="119">
        <v>86.0</v>
      </c>
      <c r="I68" s="116">
        <v>88.0</v>
      </c>
      <c r="J68" s="120">
        <f>IFNA(VLOOKUP(D68,'L3'!$1:$2060,2,False),0)</f>
        <v>70</v>
      </c>
      <c r="K68" s="120">
        <f>VLOOKUP(D68,'L4'!$1:$2059,2,FALSE)</f>
        <v>70</v>
      </c>
      <c r="L68" s="121">
        <f>VLOOKUP(D68,'A1 RETEST 5 DEC'!$1:$2096,2,FALSE)</f>
        <v>67</v>
      </c>
      <c r="M68" s="121">
        <f>VLOOKUP(D68,'A2 RETEST 4 DEC'!$1:$2096,2,FALSE)</f>
        <v>50</v>
      </c>
      <c r="N68" s="122">
        <v>50.0</v>
      </c>
      <c r="O68" s="121"/>
      <c r="P68" s="123">
        <f>IFNA(VLOOKUP(D68,'S1'!$1:$1325,2,False),0)</f>
        <v>50</v>
      </c>
      <c r="Q68" s="123">
        <f>IFNA(vlookup(D68,'S2'!A64:B1266,2,False),0)</f>
        <v>63</v>
      </c>
      <c r="R68" s="123">
        <f>ifna(vlookup(D68,'S3'!$1:$1311,2,False),0)</f>
        <v>50</v>
      </c>
      <c r="S68" s="123"/>
      <c r="T68" s="124">
        <v>18.0</v>
      </c>
      <c r="U68" s="125">
        <v>22.0</v>
      </c>
      <c r="V68" s="125">
        <v>52.0</v>
      </c>
      <c r="W68" s="125">
        <v>48.0</v>
      </c>
      <c r="X68" s="125">
        <v>66.0</v>
      </c>
      <c r="Y68" s="125"/>
      <c r="Z68" s="126"/>
      <c r="AA68" s="127">
        <v>66.0</v>
      </c>
      <c r="AB68" s="26">
        <v>99.25</v>
      </c>
      <c r="AC68" s="135">
        <v>60.0</v>
      </c>
      <c r="AD68" s="129">
        <v>100.0</v>
      </c>
      <c r="AE68" s="130">
        <v>70.0</v>
      </c>
      <c r="AF68" s="129"/>
      <c r="AG68" s="129">
        <v>5.0</v>
      </c>
      <c r="AH68" s="129"/>
      <c r="AI68" s="131"/>
      <c r="AJ68" s="131"/>
      <c r="AK68" s="132">
        <f t="shared" si="1"/>
        <v>4</v>
      </c>
      <c r="AL68" s="132">
        <f t="shared" si="2"/>
        <v>3</v>
      </c>
      <c r="AM68" s="133">
        <f t="shared" si="3"/>
        <v>2</v>
      </c>
      <c r="AN68" s="132" t="str">
        <f t="shared" si="4"/>
        <v>3.5</v>
      </c>
      <c r="AO68" s="132">
        <f t="shared" si="5"/>
        <v>3</v>
      </c>
      <c r="AP68" s="88"/>
      <c r="AQ68" s="88"/>
    </row>
    <row r="69">
      <c r="A69" s="114">
        <v>64.0</v>
      </c>
      <c r="B69" s="115" t="s">
        <v>2017</v>
      </c>
      <c r="C69" s="115" t="s">
        <v>2527</v>
      </c>
      <c r="D69" s="116" t="str">
        <f>VLOOKUP(B69,USN!$1:$1088,2,FALSE)</f>
        <v>1CR23CS067</v>
      </c>
      <c r="E69" s="116">
        <v>9.019722248E9</v>
      </c>
      <c r="F69" s="117" t="s">
        <v>2461</v>
      </c>
      <c r="G69" s="118"/>
      <c r="H69" s="119">
        <v>77.0</v>
      </c>
      <c r="I69" s="142">
        <v>70.0</v>
      </c>
      <c r="J69" s="120">
        <f>IFNA(VLOOKUP(D69,'L3'!$1:$2060,2,False),0)</f>
        <v>67</v>
      </c>
      <c r="K69" s="120">
        <f>VLOOKUP(D69,'L4'!$1:$2059,2,FALSE)</f>
        <v>70</v>
      </c>
      <c r="L69" s="121">
        <f>VLOOKUP(D69,'A1 RETEST 5 DEC'!$1:$2096,2,FALSE)</f>
        <v>50</v>
      </c>
      <c r="M69" s="121">
        <f>VLOOKUP(D69,'A2 RETEST 4 DEC'!$1:$2096,2,FALSE)</f>
        <v>50</v>
      </c>
      <c r="N69" s="122">
        <v>50.0</v>
      </c>
      <c r="O69" s="121"/>
      <c r="P69" s="123">
        <f>IFNA(VLOOKUP(D69,'S1'!$1:$1325,2,False),0)</f>
        <v>50</v>
      </c>
      <c r="Q69" s="123">
        <f>IFNA(vlookup(D69,'S2'!A65:B1267,2,False),0)</f>
        <v>65</v>
      </c>
      <c r="R69" s="123">
        <f>ifna(vlookup(D69,'S3'!$1:$1311,2,False),0)</f>
        <v>75</v>
      </c>
      <c r="S69" s="123"/>
      <c r="T69" s="124">
        <v>6.0</v>
      </c>
      <c r="U69" s="125">
        <v>18.0</v>
      </c>
      <c r="V69" s="125">
        <v>76.0</v>
      </c>
      <c r="W69" s="125">
        <v>32.0</v>
      </c>
      <c r="X69" s="125">
        <v>62.0</v>
      </c>
      <c r="Y69" s="125"/>
      <c r="Z69" s="126"/>
      <c r="AA69" s="127">
        <v>30.0</v>
      </c>
      <c r="AB69" s="26">
        <v>58.0</v>
      </c>
      <c r="AC69" s="135">
        <v>80.0</v>
      </c>
      <c r="AD69" s="129">
        <v>100.0</v>
      </c>
      <c r="AE69" s="130">
        <v>78.0</v>
      </c>
      <c r="AF69" s="129"/>
      <c r="AG69" s="129">
        <v>33.0</v>
      </c>
      <c r="AH69" s="129"/>
      <c r="AI69" s="131"/>
      <c r="AJ69" s="131"/>
      <c r="AK69" s="132">
        <f t="shared" si="1"/>
        <v>2</v>
      </c>
      <c r="AL69" s="132">
        <f t="shared" si="2"/>
        <v>3</v>
      </c>
      <c r="AM69" s="133">
        <f t="shared" si="3"/>
        <v>0</v>
      </c>
      <c r="AN69" s="132" t="str">
        <f t="shared" si="4"/>
        <v>3.5</v>
      </c>
      <c r="AO69" s="132">
        <f t="shared" si="5"/>
        <v>3</v>
      </c>
      <c r="AP69" s="88"/>
      <c r="AQ69" s="88"/>
    </row>
    <row r="70">
      <c r="A70" s="114">
        <v>65.0</v>
      </c>
      <c r="B70" s="115" t="s">
        <v>1902</v>
      </c>
      <c r="C70" s="115" t="s">
        <v>2528</v>
      </c>
      <c r="D70" s="116" t="str">
        <f>VLOOKUP(B70,USN!$1:$1088,2,FALSE)</f>
        <v>1CR23CS068</v>
      </c>
      <c r="E70" s="138">
        <v>9.148381159E9</v>
      </c>
      <c r="F70" s="117" t="s">
        <v>2461</v>
      </c>
      <c r="G70" s="118"/>
      <c r="H70" s="119">
        <v>90.0</v>
      </c>
      <c r="I70" s="116">
        <v>87.0</v>
      </c>
      <c r="J70" s="120">
        <f>IFNA(VLOOKUP(D70,'L3'!$1:$2060,2,False),0)</f>
        <v>83</v>
      </c>
      <c r="K70" s="120">
        <f>VLOOKUP(D70,'L4'!$1:$2059,2,FALSE)</f>
        <v>74</v>
      </c>
      <c r="L70" s="121">
        <f>VLOOKUP(D70,'A1 RETEST 5 DEC'!$1:$2096,2,FALSE)</f>
        <v>60</v>
      </c>
      <c r="M70" s="121">
        <f>VLOOKUP(D70,'A2 RETEST 4 DEC'!$1:$2096,2,FALSE)</f>
        <v>50</v>
      </c>
      <c r="N70" s="122">
        <v>50.0</v>
      </c>
      <c r="O70" s="121"/>
      <c r="P70" s="123">
        <f>IFNA(VLOOKUP(D70,'S1'!$1:$1325,2,False),0)</f>
        <v>82</v>
      </c>
      <c r="Q70" s="123">
        <f>IFNA(vlookup(D70,'S2'!A66:B1268,2,False),0)</f>
        <v>90</v>
      </c>
      <c r="R70" s="123">
        <f>ifna(vlookup(D70,'S3'!$1:$1311,2,False),0)</f>
        <v>95</v>
      </c>
      <c r="S70" s="123"/>
      <c r="T70" s="124">
        <v>20.0</v>
      </c>
      <c r="U70" s="125">
        <v>18.0</v>
      </c>
      <c r="V70" s="125">
        <v>76.0</v>
      </c>
      <c r="W70" s="125">
        <v>56.0</v>
      </c>
      <c r="X70" s="125">
        <v>64.0</v>
      </c>
      <c r="Y70" s="125"/>
      <c r="Z70" s="126"/>
      <c r="AA70" s="127">
        <v>96.0</v>
      </c>
      <c r="AB70" s="26">
        <v>96.25</v>
      </c>
      <c r="AC70" s="135">
        <v>88.0</v>
      </c>
      <c r="AD70" s="129">
        <v>77.0</v>
      </c>
      <c r="AE70" s="130">
        <v>70.0</v>
      </c>
      <c r="AF70" s="129"/>
      <c r="AG70" s="129">
        <v>80.0</v>
      </c>
      <c r="AH70" s="129"/>
      <c r="AI70" s="131"/>
      <c r="AJ70" s="131"/>
      <c r="AK70" s="132">
        <f t="shared" si="1"/>
        <v>4</v>
      </c>
      <c r="AL70" s="132">
        <f t="shared" si="2"/>
        <v>3</v>
      </c>
      <c r="AM70" s="133">
        <f t="shared" si="3"/>
        <v>3</v>
      </c>
      <c r="AN70" s="132" t="str">
        <f t="shared" si="4"/>
        <v>3.5</v>
      </c>
      <c r="AO70" s="132">
        <f t="shared" si="5"/>
        <v>3</v>
      </c>
      <c r="AP70" s="88"/>
      <c r="AQ70" s="88"/>
    </row>
    <row r="71">
      <c r="A71" s="114">
        <v>66.0</v>
      </c>
      <c r="B71" s="115" t="s">
        <v>1918</v>
      </c>
      <c r="C71" s="115" t="s">
        <v>2529</v>
      </c>
      <c r="D71" s="116" t="str">
        <f>VLOOKUP(B71,USN!$1:$1088,2,FALSE)</f>
        <v>1CR23CS069</v>
      </c>
      <c r="E71" s="116">
        <v>9.305639284E9</v>
      </c>
      <c r="F71" s="117" t="s">
        <v>2461</v>
      </c>
      <c r="G71" s="118"/>
      <c r="H71" s="119">
        <v>84.0</v>
      </c>
      <c r="I71" s="116">
        <v>78.0</v>
      </c>
      <c r="J71" s="120">
        <f>IFNA(VLOOKUP(D71,'L3'!$1:$2060,2,False),0)</f>
        <v>35</v>
      </c>
      <c r="K71" s="120">
        <f>VLOOKUP(D71,'L4'!$1:$2059,2,FALSE)</f>
        <v>42</v>
      </c>
      <c r="L71" s="121">
        <f>VLOOKUP(D71,'A1 RETEST 5 DEC'!$1:$2096,2,FALSE)</f>
        <v>25</v>
      </c>
      <c r="M71" s="121">
        <f>VLOOKUP(D71,'A2 RETEST 4 DEC'!$1:$2096,2,FALSE)</f>
        <v>25</v>
      </c>
      <c r="N71" s="122">
        <v>0.0</v>
      </c>
      <c r="O71" s="121"/>
      <c r="P71" s="123">
        <f>IFNA(VLOOKUP(D71,'S1'!$1:$1325,2,False),0)</f>
        <v>0</v>
      </c>
      <c r="Q71" s="123">
        <f>IFNA(vlookup(D71,'S2'!A67:B1269,2,False),0)</f>
        <v>0</v>
      </c>
      <c r="R71" s="123">
        <f>ifna(vlookup(D71,'S3'!$1:$1311,2,False),0)</f>
        <v>0</v>
      </c>
      <c r="S71" s="123"/>
      <c r="T71" s="124">
        <v>23.0</v>
      </c>
      <c r="U71" s="125">
        <v>17.0</v>
      </c>
      <c r="V71" s="125">
        <v>36.0</v>
      </c>
      <c r="W71" s="125">
        <v>48.0</v>
      </c>
      <c r="X71" s="125">
        <v>84.0</v>
      </c>
      <c r="Y71" s="125"/>
      <c r="Z71" s="126"/>
      <c r="AA71" s="127">
        <v>10.0</v>
      </c>
      <c r="AB71" s="26">
        <v>80.0</v>
      </c>
      <c r="AC71" s="135">
        <v>80.0</v>
      </c>
      <c r="AD71" s="129">
        <v>86.0</v>
      </c>
      <c r="AE71" s="130">
        <v>10.0</v>
      </c>
      <c r="AF71" s="129"/>
      <c r="AG71" s="129">
        <v>5.0</v>
      </c>
      <c r="AH71" s="129"/>
      <c r="AI71" s="131"/>
      <c r="AJ71" s="131"/>
      <c r="AK71" s="132">
        <f t="shared" si="1"/>
        <v>2</v>
      </c>
      <c r="AL71" s="132">
        <f t="shared" si="2"/>
        <v>0</v>
      </c>
      <c r="AM71" s="133">
        <f t="shared" si="3"/>
        <v>2</v>
      </c>
      <c r="AN71" s="132" t="str">
        <f t="shared" si="4"/>
        <v>3</v>
      </c>
      <c r="AO71" s="132">
        <f t="shared" si="5"/>
        <v>0</v>
      </c>
      <c r="AP71" s="88"/>
      <c r="AQ71" s="88"/>
    </row>
    <row r="72">
      <c r="A72" s="114">
        <v>67.0</v>
      </c>
      <c r="B72" s="115" t="s">
        <v>1919</v>
      </c>
      <c r="C72" s="115" t="s">
        <v>2530</v>
      </c>
      <c r="D72" s="116" t="str">
        <f>VLOOKUP(B72,USN!$1:$1088,2,FALSE)</f>
        <v>1CR23CS070</v>
      </c>
      <c r="E72" s="116">
        <v>8.737923714E9</v>
      </c>
      <c r="F72" s="117" t="s">
        <v>2461</v>
      </c>
      <c r="G72" s="118"/>
      <c r="H72" s="119">
        <v>81.0</v>
      </c>
      <c r="I72" s="116">
        <v>83.0</v>
      </c>
      <c r="J72" s="120">
        <f>IFNA(VLOOKUP(D72,'L3'!$1:$2060,2,False),0)</f>
        <v>70</v>
      </c>
      <c r="K72" s="120">
        <f>VLOOKUP(D72,'L4'!$1:$2059,2,FALSE)</f>
        <v>70</v>
      </c>
      <c r="L72" s="121">
        <f>VLOOKUP(D72,'A1 RETEST 5 DEC'!$1:$2096,2,FALSE)</f>
        <v>64</v>
      </c>
      <c r="M72" s="121">
        <f>VLOOKUP(D72,'A2 RETEST 4 DEC'!$1:$2096,2,FALSE)</f>
        <v>50</v>
      </c>
      <c r="N72" s="122">
        <v>56.0</v>
      </c>
      <c r="O72" s="121"/>
      <c r="P72" s="123">
        <f>IFNA(VLOOKUP(D72,'S1'!$1:$1325,2,False),0)</f>
        <v>0</v>
      </c>
      <c r="Q72" s="123">
        <f>IFNA(vlookup(D72,'S2'!A68:B1270,2,False),0)</f>
        <v>63</v>
      </c>
      <c r="R72" s="123">
        <f>ifna(vlookup(D72,'S3'!$1:$1311,2,False),0)</f>
        <v>84</v>
      </c>
      <c r="S72" s="123"/>
      <c r="T72" s="124">
        <v>12.0</v>
      </c>
      <c r="U72" s="125">
        <v>18.0</v>
      </c>
      <c r="V72" s="125">
        <v>84.0</v>
      </c>
      <c r="W72" s="125">
        <v>40.0</v>
      </c>
      <c r="X72" s="125">
        <v>74.0</v>
      </c>
      <c r="Y72" s="125"/>
      <c r="Z72" s="126"/>
      <c r="AA72" s="127">
        <v>80.0</v>
      </c>
      <c r="AB72" s="26">
        <v>84.5</v>
      </c>
      <c r="AC72" s="135">
        <v>75.0</v>
      </c>
      <c r="AD72" s="129">
        <v>100.0</v>
      </c>
      <c r="AE72" s="130">
        <v>80.0</v>
      </c>
      <c r="AF72" s="129"/>
      <c r="AG72" s="129">
        <v>72.0</v>
      </c>
      <c r="AH72" s="129"/>
      <c r="AI72" s="131"/>
      <c r="AJ72" s="131"/>
      <c r="AK72" s="132">
        <f t="shared" si="1"/>
        <v>4</v>
      </c>
      <c r="AL72" s="132">
        <f t="shared" si="2"/>
        <v>3</v>
      </c>
      <c r="AM72" s="133">
        <f t="shared" si="3"/>
        <v>2</v>
      </c>
      <c r="AN72" s="132" t="str">
        <f t="shared" si="4"/>
        <v>3.5</v>
      </c>
      <c r="AO72" s="132">
        <f t="shared" si="5"/>
        <v>0</v>
      </c>
      <c r="AP72" s="88"/>
      <c r="AQ72" s="88"/>
    </row>
    <row r="73">
      <c r="A73" s="114">
        <v>68.0</v>
      </c>
      <c r="B73" s="137" t="s">
        <v>1955</v>
      </c>
      <c r="C73" s="115" t="s">
        <v>2531</v>
      </c>
      <c r="D73" s="116" t="str">
        <f>VLOOKUP(B73,USN!$1:$1088,2,FALSE)</f>
        <v>1CR23CS071</v>
      </c>
      <c r="E73" s="138">
        <v>9.141933459E9</v>
      </c>
      <c r="F73" s="117" t="s">
        <v>2461</v>
      </c>
      <c r="G73" s="118"/>
      <c r="H73" s="119">
        <v>79.0</v>
      </c>
      <c r="I73" s="116">
        <v>77.0</v>
      </c>
      <c r="J73" s="120">
        <f>IFNA(VLOOKUP(D73,'L3'!$1:$2060,2,False),0)</f>
        <v>54</v>
      </c>
      <c r="K73" s="120">
        <f>VLOOKUP(D73,'L4'!$1:$2059,2,FALSE)</f>
        <v>70</v>
      </c>
      <c r="L73" s="121">
        <f>VLOOKUP(D73,'A1 RETEST 5 DEC'!$1:$2096,2,FALSE)</f>
        <v>50</v>
      </c>
      <c r="M73" s="121">
        <f>VLOOKUP(D73,'A2 RETEST 4 DEC'!$1:$2096,2,FALSE)</f>
        <v>50</v>
      </c>
      <c r="N73" s="122">
        <v>39.0</v>
      </c>
      <c r="O73" s="121"/>
      <c r="P73" s="123">
        <f>IFNA(VLOOKUP(D73,'S1'!$1:$1325,2,False),0)</f>
        <v>72</v>
      </c>
      <c r="Q73" s="123">
        <f>IFNA(vlookup(D73,'S2'!A69:B1271,2,False),0)</f>
        <v>65</v>
      </c>
      <c r="R73" s="123">
        <f>ifna(vlookup(D73,'S3'!$1:$1311,2,False),0)</f>
        <v>67</v>
      </c>
      <c r="S73" s="123"/>
      <c r="T73" s="124">
        <v>12.0</v>
      </c>
      <c r="U73" s="125">
        <v>19.0</v>
      </c>
      <c r="V73" s="125"/>
      <c r="W73" s="125">
        <v>36.0</v>
      </c>
      <c r="X73" s="125">
        <v>76.0</v>
      </c>
      <c r="Y73" s="125"/>
      <c r="Z73" s="126"/>
      <c r="AA73" s="127">
        <v>0.0</v>
      </c>
      <c r="AB73" s="26">
        <v>55.0</v>
      </c>
      <c r="AC73" s="135">
        <v>80.0</v>
      </c>
      <c r="AD73" s="129">
        <v>100.0</v>
      </c>
      <c r="AE73" s="130">
        <v>19.0</v>
      </c>
      <c r="AF73" s="129"/>
      <c r="AG73" s="129">
        <v>16.0</v>
      </c>
      <c r="AH73" s="129"/>
      <c r="AI73" s="131"/>
      <c r="AJ73" s="131"/>
      <c r="AK73" s="132">
        <f t="shared" si="1"/>
        <v>2</v>
      </c>
      <c r="AL73" s="132">
        <f t="shared" si="2"/>
        <v>2</v>
      </c>
      <c r="AM73" s="133">
        <f t="shared" si="3"/>
        <v>2</v>
      </c>
      <c r="AN73" s="132" t="str">
        <f t="shared" si="4"/>
        <v>3</v>
      </c>
      <c r="AO73" s="132">
        <f t="shared" si="5"/>
        <v>3</v>
      </c>
      <c r="AP73" s="88"/>
      <c r="AQ73" s="88"/>
    </row>
    <row r="74">
      <c r="A74" s="114">
        <v>69.0</v>
      </c>
      <c r="B74" s="115" t="s">
        <v>1996</v>
      </c>
      <c r="C74" s="115" t="s">
        <v>2532</v>
      </c>
      <c r="D74" s="116" t="str">
        <f>VLOOKUP(B74,USN!$1:$1088,2,FALSE)</f>
        <v>1CR23CS072</v>
      </c>
      <c r="E74" s="116">
        <v>9.1481253E9</v>
      </c>
      <c r="F74" s="117" t="s">
        <v>2461</v>
      </c>
      <c r="G74" s="118"/>
      <c r="H74" s="119">
        <v>83.0</v>
      </c>
      <c r="I74" s="116">
        <v>82.0</v>
      </c>
      <c r="J74" s="120">
        <f>IFNA(VLOOKUP(D74,'L3'!$1:$2060,2,False),0)</f>
        <v>39</v>
      </c>
      <c r="K74" s="120">
        <f>VLOOKUP(D74,'L4'!$1:$2059,2,FALSE)</f>
        <v>70</v>
      </c>
      <c r="L74" s="121">
        <f>VLOOKUP(D74,'A1 RETEST 5 DEC'!$1:$2096,2,FALSE)</f>
        <v>31</v>
      </c>
      <c r="M74" s="121">
        <f>VLOOKUP(D74,'A2 RETEST 4 DEC'!$1:$2096,2,FALSE)</f>
        <v>50</v>
      </c>
      <c r="N74" s="122">
        <v>3.0</v>
      </c>
      <c r="O74" s="121"/>
      <c r="P74" s="123">
        <f>IFNA(VLOOKUP(D74,'S1'!$1:$1325,2,False),0)</f>
        <v>0</v>
      </c>
      <c r="Q74" s="123">
        <f>IFNA(vlookup(D74,'S2'!A70:B1272,2,False),0)</f>
        <v>50</v>
      </c>
      <c r="R74" s="123">
        <f>ifna(vlookup(D74,'S3'!$1:$1311,2,False),0)</f>
        <v>0</v>
      </c>
      <c r="S74" s="123"/>
      <c r="T74" s="124">
        <v>18.0</v>
      </c>
      <c r="U74" s="125">
        <v>20.0</v>
      </c>
      <c r="V74" s="125">
        <v>80.0</v>
      </c>
      <c r="W74" s="125">
        <v>60.0</v>
      </c>
      <c r="X74" s="125">
        <v>68.0</v>
      </c>
      <c r="Y74" s="125"/>
      <c r="Z74" s="126"/>
      <c r="AA74" s="127">
        <v>15.0</v>
      </c>
      <c r="AB74" s="26">
        <v>93.0</v>
      </c>
      <c r="AC74" s="135">
        <v>80.0</v>
      </c>
      <c r="AD74" s="129">
        <v>70.0</v>
      </c>
      <c r="AE74" s="130">
        <v>16.0</v>
      </c>
      <c r="AF74" s="129"/>
      <c r="AG74" s="129">
        <v>0.0</v>
      </c>
      <c r="AH74" s="129"/>
      <c r="AI74" s="131"/>
      <c r="AJ74" s="131"/>
      <c r="AK74" s="132">
        <f t="shared" si="1"/>
        <v>2</v>
      </c>
      <c r="AL74" s="132">
        <f t="shared" si="2"/>
        <v>0</v>
      </c>
      <c r="AM74" s="133">
        <f t="shared" si="3"/>
        <v>3</v>
      </c>
      <c r="AN74" s="132" t="str">
        <f t="shared" si="4"/>
        <v>3</v>
      </c>
      <c r="AO74" s="132">
        <f t="shared" si="5"/>
        <v>0</v>
      </c>
      <c r="AP74" s="88"/>
      <c r="AQ74" s="88"/>
    </row>
    <row r="75">
      <c r="A75" s="114">
        <v>70.0</v>
      </c>
      <c r="B75" s="115" t="s">
        <v>1920</v>
      </c>
      <c r="C75" s="115" t="s">
        <v>2533</v>
      </c>
      <c r="D75" s="116" t="str">
        <f>VLOOKUP(B75,USN!$1:$1088,2,FALSE)</f>
        <v>1CR23CS073</v>
      </c>
      <c r="E75" s="116">
        <v>6.362858403E9</v>
      </c>
      <c r="F75" s="117" t="s">
        <v>2461</v>
      </c>
      <c r="G75" s="118"/>
      <c r="H75" s="119">
        <v>77.0</v>
      </c>
      <c r="I75" s="116">
        <v>81.0</v>
      </c>
      <c r="J75" s="120">
        <f>IFNA(VLOOKUP(D75,'L3'!$1:$2060,2,False),0)</f>
        <v>80</v>
      </c>
      <c r="K75" s="120">
        <f>VLOOKUP(D75,'L4'!$1:$2059,2,FALSE)</f>
        <v>70</v>
      </c>
      <c r="L75" s="121">
        <f>VLOOKUP(D75,'A1 RETEST 5 DEC'!$1:$2096,2,FALSE)</f>
        <v>30</v>
      </c>
      <c r="M75" s="121">
        <f>VLOOKUP(D75,'A2 RETEST 4 DEC'!$1:$2096,2,FALSE)</f>
        <v>14</v>
      </c>
      <c r="N75" s="122">
        <v>26.0</v>
      </c>
      <c r="O75" s="121"/>
      <c r="P75" s="123">
        <f>IFNA(VLOOKUP(D75,'S1'!$1:$1325,2,False),0)</f>
        <v>74</v>
      </c>
      <c r="Q75" s="123">
        <f>IFNA(vlookup(D75,'S2'!A71:B1273,2,False),0)</f>
        <v>66</v>
      </c>
      <c r="R75" s="123">
        <f>ifna(vlookup(D75,'S3'!$1:$1311,2,False),0)</f>
        <v>69</v>
      </c>
      <c r="S75" s="123"/>
      <c r="T75" s="124">
        <v>16.0</v>
      </c>
      <c r="U75" s="125">
        <v>15.0</v>
      </c>
      <c r="V75" s="125">
        <v>76.0</v>
      </c>
      <c r="W75" s="125">
        <v>80.0</v>
      </c>
      <c r="X75" s="125">
        <v>84.0</v>
      </c>
      <c r="Y75" s="125"/>
      <c r="Z75" s="126"/>
      <c r="AA75" s="127">
        <v>31.0</v>
      </c>
      <c r="AB75" s="26">
        <v>60.0</v>
      </c>
      <c r="AC75" s="135">
        <v>0.0</v>
      </c>
      <c r="AD75" s="129">
        <v>60.0</v>
      </c>
      <c r="AE75" s="130">
        <v>14.0</v>
      </c>
      <c r="AF75" s="129"/>
      <c r="AG75" s="129">
        <v>43.0</v>
      </c>
      <c r="AH75" s="129"/>
      <c r="AI75" s="131"/>
      <c r="AJ75" s="131"/>
      <c r="AK75" s="132">
        <f t="shared" si="1"/>
        <v>4</v>
      </c>
      <c r="AL75" s="132">
        <f t="shared" si="2"/>
        <v>0</v>
      </c>
      <c r="AM75" s="133">
        <f t="shared" si="3"/>
        <v>3</v>
      </c>
      <c r="AN75" s="132" t="str">
        <f t="shared" si="4"/>
        <v>3</v>
      </c>
      <c r="AO75" s="132">
        <f t="shared" si="5"/>
        <v>3</v>
      </c>
      <c r="AP75" s="88"/>
      <c r="AQ75" s="88"/>
    </row>
    <row r="76">
      <c r="A76" s="114">
        <v>71.0</v>
      </c>
      <c r="B76" s="115" t="s">
        <v>1921</v>
      </c>
      <c r="C76" s="115" t="s">
        <v>2534</v>
      </c>
      <c r="D76" s="116" t="str">
        <f>VLOOKUP(B76,USN!$1:$1088,2,FALSE)</f>
        <v>1CR23CS074</v>
      </c>
      <c r="E76" s="116">
        <v>9.972477937E9</v>
      </c>
      <c r="F76" s="117" t="s">
        <v>2461</v>
      </c>
      <c r="G76" s="118"/>
      <c r="H76" s="119">
        <v>83.0</v>
      </c>
      <c r="I76" s="116">
        <v>78.0</v>
      </c>
      <c r="J76" s="120">
        <f>IFNA(VLOOKUP(D76,'L3'!$1:$2060,2,False),0)</f>
        <v>68</v>
      </c>
      <c r="K76" s="120">
        <f>VLOOKUP(D76,'L4'!$1:$2059,2,FALSE)</f>
        <v>70</v>
      </c>
      <c r="L76" s="121">
        <f>VLOOKUP(D76,'A1 RETEST 5 DEC'!$1:$2096,2,FALSE)</f>
        <v>62</v>
      </c>
      <c r="M76" s="121">
        <f>VLOOKUP(D76,'A2 RETEST 4 DEC'!$1:$2096,2,FALSE)</f>
        <v>33</v>
      </c>
      <c r="N76" s="122">
        <v>38.0</v>
      </c>
      <c r="O76" s="121"/>
      <c r="P76" s="123">
        <f>IFNA(VLOOKUP(D76,'S1'!$1:$1325,2,False),0)</f>
        <v>0</v>
      </c>
      <c r="Q76" s="123">
        <f>IFNA(vlookup(D76,'S2'!A72:B1274,2,False),0)</f>
        <v>65</v>
      </c>
      <c r="R76" s="123">
        <f>ifna(vlookup(D76,'S3'!$1:$1311,2,False),0)</f>
        <v>45</v>
      </c>
      <c r="S76" s="123"/>
      <c r="T76" s="124">
        <v>10.0</v>
      </c>
      <c r="U76" s="125" t="s">
        <v>2477</v>
      </c>
      <c r="V76" s="125">
        <v>76.0</v>
      </c>
      <c r="W76" s="125"/>
      <c r="X76" s="125">
        <v>50.0</v>
      </c>
      <c r="Y76" s="125"/>
      <c r="Z76" s="126"/>
      <c r="AA76" s="127">
        <v>48.2</v>
      </c>
      <c r="AB76" s="26">
        <v>63.75</v>
      </c>
      <c r="AC76" s="128">
        <v>0.0</v>
      </c>
      <c r="AD76" s="129">
        <v>32.0</v>
      </c>
      <c r="AE76" s="130">
        <v>10.0</v>
      </c>
      <c r="AF76" s="129"/>
      <c r="AG76" s="129">
        <v>24.0</v>
      </c>
      <c r="AH76" s="129"/>
      <c r="AI76" s="131"/>
      <c r="AJ76" s="131"/>
      <c r="AK76" s="132">
        <f t="shared" si="1"/>
        <v>2</v>
      </c>
      <c r="AL76" s="132">
        <f t="shared" si="2"/>
        <v>1</v>
      </c>
      <c r="AM76" s="133">
        <f t="shared" si="3"/>
        <v>2</v>
      </c>
      <c r="AN76" s="132" t="str">
        <f t="shared" si="4"/>
        <v>2</v>
      </c>
      <c r="AO76" s="132">
        <f t="shared" si="5"/>
        <v>0</v>
      </c>
      <c r="AP76" s="88"/>
      <c r="AQ76" s="88"/>
    </row>
    <row r="77">
      <c r="A77" s="114">
        <v>72.0</v>
      </c>
      <c r="B77" s="115" t="s">
        <v>1922</v>
      </c>
      <c r="C77" s="115" t="s">
        <v>2535</v>
      </c>
      <c r="D77" s="116" t="str">
        <f>VLOOKUP(B77,USN!$1:$1088,2,FALSE)</f>
        <v>1CR23CS075</v>
      </c>
      <c r="E77" s="116">
        <v>9.945661321E9</v>
      </c>
      <c r="F77" s="117" t="s">
        <v>2461</v>
      </c>
      <c r="G77" s="118"/>
      <c r="H77" s="119">
        <v>84.0</v>
      </c>
      <c r="I77" s="116">
        <v>82.0</v>
      </c>
      <c r="J77" s="120">
        <f>IFNA(VLOOKUP(D77,'L3'!$1:$2060,2,False),0)</f>
        <v>73</v>
      </c>
      <c r="K77" s="120">
        <f>VLOOKUP(D77,'L4'!$1:$2059,2,FALSE)</f>
        <v>72</v>
      </c>
      <c r="L77" s="121">
        <f>VLOOKUP(D77,'A1 RETEST 5 DEC'!$1:$2096,2,FALSE)</f>
        <v>6</v>
      </c>
      <c r="M77" s="121">
        <f>VLOOKUP(D77,'A2 RETEST 4 DEC'!$1:$2096,2,FALSE)</f>
        <v>0</v>
      </c>
      <c r="N77" s="122">
        <v>0.0</v>
      </c>
      <c r="O77" s="121"/>
      <c r="P77" s="123">
        <f>IFNA(VLOOKUP(D77,'S1'!$1:$1325,2,False),0)</f>
        <v>0</v>
      </c>
      <c r="Q77" s="123">
        <f>IFNA(vlookup(D77,'S2'!A73:B1275,2,False),0)</f>
        <v>73</v>
      </c>
      <c r="R77" s="123">
        <f>ifna(vlookup(D77,'S3'!$1:$1311,2,False),0)</f>
        <v>0</v>
      </c>
      <c r="S77" s="123"/>
      <c r="T77" s="124">
        <v>10.0</v>
      </c>
      <c r="U77" s="125">
        <v>15.0</v>
      </c>
      <c r="V77" s="125">
        <v>80.0</v>
      </c>
      <c r="W77" s="125"/>
      <c r="X77" s="125"/>
      <c r="Y77" s="125"/>
      <c r="Z77" s="126"/>
      <c r="AA77" s="127">
        <v>15.0</v>
      </c>
      <c r="AB77" s="26">
        <v>0.0</v>
      </c>
      <c r="AC77" s="135">
        <v>0.0</v>
      </c>
      <c r="AD77" s="129">
        <v>38.0</v>
      </c>
      <c r="AE77" s="130">
        <v>10.0</v>
      </c>
      <c r="AF77" s="129"/>
      <c r="AG77" s="129">
        <v>0.0</v>
      </c>
      <c r="AH77" s="129"/>
      <c r="AI77" s="131"/>
      <c r="AJ77" s="131"/>
      <c r="AK77" s="132">
        <f t="shared" si="1"/>
        <v>4</v>
      </c>
      <c r="AL77" s="132">
        <f t="shared" si="2"/>
        <v>0</v>
      </c>
      <c r="AM77" s="133">
        <f t="shared" si="3"/>
        <v>2</v>
      </c>
      <c r="AN77" s="132" t="str">
        <f t="shared" si="4"/>
        <v>0</v>
      </c>
      <c r="AO77" s="132">
        <f t="shared" si="5"/>
        <v>0</v>
      </c>
      <c r="AP77" s="88"/>
      <c r="AQ77" s="88"/>
    </row>
    <row r="78">
      <c r="A78" s="114">
        <v>73.0</v>
      </c>
      <c r="B78" s="115" t="s">
        <v>1923</v>
      </c>
      <c r="C78" s="115" t="s">
        <v>2536</v>
      </c>
      <c r="D78" s="116" t="str">
        <f>VLOOKUP(B78,USN!$1:$1088,2,FALSE)</f>
        <v>1CR23CS076</v>
      </c>
      <c r="E78" s="116">
        <v>8.971020283E9</v>
      </c>
      <c r="F78" s="117" t="s">
        <v>2461</v>
      </c>
      <c r="G78" s="118"/>
      <c r="H78" s="119">
        <v>85.0</v>
      </c>
      <c r="I78" s="116">
        <v>81.0</v>
      </c>
      <c r="J78" s="120">
        <f>IFNA(VLOOKUP(D78,'L3'!$1:$2060,2,False),0)</f>
        <v>79</v>
      </c>
      <c r="K78" s="120">
        <f>VLOOKUP(D78,'L4'!$1:$2059,2,FALSE)</f>
        <v>19</v>
      </c>
      <c r="L78" s="121">
        <f>VLOOKUP(D78,'A1 RETEST 5 DEC'!$1:$2096,2,FALSE)</f>
        <v>77</v>
      </c>
      <c r="M78" s="121">
        <f>VLOOKUP(D78,'A2 RETEST 4 DEC'!$1:$2096,2,FALSE)</f>
        <v>35</v>
      </c>
      <c r="N78" s="122">
        <v>0.0</v>
      </c>
      <c r="O78" s="121"/>
      <c r="P78" s="123">
        <f>IFNA(VLOOKUP(D78,'S1'!$1:$1325,2,False),0)</f>
        <v>0</v>
      </c>
      <c r="Q78" s="123">
        <f>IFNA(vlookup(D78,'S2'!A74:B1276,2,False),0)</f>
        <v>0</v>
      </c>
      <c r="R78" s="123">
        <f>ifna(vlookup(D78,'S3'!$1:$1311,2,False),0)</f>
        <v>0</v>
      </c>
      <c r="S78" s="123"/>
      <c r="T78" s="124">
        <v>16.0</v>
      </c>
      <c r="U78" s="125">
        <v>21.0</v>
      </c>
      <c r="V78" s="125">
        <v>88.0</v>
      </c>
      <c r="W78" s="125">
        <v>48.0</v>
      </c>
      <c r="X78" s="125"/>
      <c r="Y78" s="125"/>
      <c r="Z78" s="126"/>
      <c r="AA78" s="127">
        <v>36.0</v>
      </c>
      <c r="AB78" s="26">
        <v>65.0</v>
      </c>
      <c r="AC78" s="135">
        <v>0.0</v>
      </c>
      <c r="AD78" s="129">
        <v>2.0</v>
      </c>
      <c r="AE78" s="130">
        <v>10.0</v>
      </c>
      <c r="AF78" s="129"/>
      <c r="AG78" s="129">
        <v>0.0</v>
      </c>
      <c r="AH78" s="129"/>
      <c r="AI78" s="131"/>
      <c r="AJ78" s="131"/>
      <c r="AK78" s="132">
        <f t="shared" si="1"/>
        <v>3</v>
      </c>
      <c r="AL78" s="132">
        <f t="shared" si="2"/>
        <v>1</v>
      </c>
      <c r="AM78" s="133">
        <f t="shared" si="3"/>
        <v>2</v>
      </c>
      <c r="AN78" s="132" t="str">
        <f t="shared" si="4"/>
        <v>2</v>
      </c>
      <c r="AO78" s="132">
        <f t="shared" si="5"/>
        <v>0</v>
      </c>
      <c r="AP78" s="88"/>
      <c r="AQ78" s="88"/>
    </row>
    <row r="79">
      <c r="A79" s="114">
        <v>74.0</v>
      </c>
      <c r="B79" s="115" t="s">
        <v>1997</v>
      </c>
      <c r="C79" s="115" t="s">
        <v>2537</v>
      </c>
      <c r="D79" s="116" t="str">
        <f>VLOOKUP(B79,USN!$1:$1088,2,FALSE)</f>
        <v>1CR23CS077</v>
      </c>
      <c r="E79" s="116">
        <v>8.660115168E9</v>
      </c>
      <c r="F79" s="117" t="s">
        <v>2461</v>
      </c>
      <c r="G79" s="118"/>
      <c r="H79" s="119">
        <v>89.0</v>
      </c>
      <c r="I79" s="116">
        <v>87.0</v>
      </c>
      <c r="J79" s="120">
        <f>IFNA(VLOOKUP(D79,'L3'!$1:$2060,2,False),0)</f>
        <v>70</v>
      </c>
      <c r="K79" s="120">
        <f>VLOOKUP(D79,'L4'!$1:$2059,2,FALSE)</f>
        <v>80</v>
      </c>
      <c r="L79" s="121">
        <f>VLOOKUP(D79,'A1 RETEST 5 DEC'!$1:$2096,2,FALSE)</f>
        <v>58</v>
      </c>
      <c r="M79" s="121">
        <f>VLOOKUP(D79,'A2 RETEST 4 DEC'!$1:$2096,2,FALSE)</f>
        <v>8</v>
      </c>
      <c r="N79" s="122">
        <v>14.0</v>
      </c>
      <c r="O79" s="121"/>
      <c r="P79" s="123">
        <f>IFNA(VLOOKUP(D79,'S1'!$1:$1325,2,False),0)</f>
        <v>70</v>
      </c>
      <c r="Q79" s="123">
        <f>IFNA(vlookup(D79,'S2'!A75:B1277,2,False),0)</f>
        <v>75</v>
      </c>
      <c r="R79" s="123">
        <f>ifna(vlookup(D79,'S3'!$1:$1311,2,False),0)</f>
        <v>50</v>
      </c>
      <c r="S79" s="123"/>
      <c r="T79" s="124">
        <v>13.0</v>
      </c>
      <c r="U79" s="125">
        <v>16.0</v>
      </c>
      <c r="V79" s="125">
        <v>70.0</v>
      </c>
      <c r="W79" s="125"/>
      <c r="X79" s="125">
        <v>84.0</v>
      </c>
      <c r="Y79" s="125"/>
      <c r="Z79" s="126"/>
      <c r="AA79" s="127">
        <v>55.0</v>
      </c>
      <c r="AB79" s="26">
        <v>63.0</v>
      </c>
      <c r="AC79" s="135">
        <v>0.0</v>
      </c>
      <c r="AD79" s="129">
        <v>100.0</v>
      </c>
      <c r="AE79" s="130">
        <v>30.0</v>
      </c>
      <c r="AF79" s="129"/>
      <c r="AG79" s="129">
        <v>70.0</v>
      </c>
      <c r="AH79" s="129"/>
      <c r="AI79" s="131"/>
      <c r="AJ79" s="131"/>
      <c r="AK79" s="132">
        <f t="shared" si="1"/>
        <v>4</v>
      </c>
      <c r="AL79" s="132">
        <f t="shared" si="2"/>
        <v>1</v>
      </c>
      <c r="AM79" s="133">
        <f t="shared" si="3"/>
        <v>2</v>
      </c>
      <c r="AN79" s="132" t="str">
        <f t="shared" si="4"/>
        <v>3</v>
      </c>
      <c r="AO79" s="132">
        <f t="shared" si="5"/>
        <v>3</v>
      </c>
      <c r="AP79" s="88"/>
      <c r="AQ79" s="88"/>
    </row>
    <row r="80">
      <c r="A80" s="114">
        <v>75.0</v>
      </c>
      <c r="B80" s="115" t="s">
        <v>1924</v>
      </c>
      <c r="C80" s="115" t="s">
        <v>2538</v>
      </c>
      <c r="D80" s="116" t="str">
        <f>VLOOKUP(B80,USN!$1:$1088,2,FALSE)</f>
        <v>1CR23CS078</v>
      </c>
      <c r="E80" s="116">
        <v>6.360894827E9</v>
      </c>
      <c r="F80" s="117" t="s">
        <v>2461</v>
      </c>
      <c r="G80" s="118"/>
      <c r="H80" s="119">
        <v>81.0</v>
      </c>
      <c r="I80" s="116">
        <v>80.0</v>
      </c>
      <c r="J80" s="120">
        <f>IFNA(VLOOKUP(D80,'L3'!$1:$2060,2,False),0)</f>
        <v>83</v>
      </c>
      <c r="K80" s="120">
        <f>VLOOKUP(D80,'L4'!$1:$2059,2,FALSE)</f>
        <v>79</v>
      </c>
      <c r="L80" s="121">
        <f>VLOOKUP(D80,'A1 RETEST 5 DEC'!$1:$2096,2,FALSE)</f>
        <v>53</v>
      </c>
      <c r="M80" s="121">
        <f>VLOOKUP(D80,'A2 RETEST 4 DEC'!$1:$2096,2,FALSE)</f>
        <v>53</v>
      </c>
      <c r="N80" s="122">
        <v>51.0</v>
      </c>
      <c r="O80" s="121"/>
      <c r="P80" s="123">
        <f>IFNA(VLOOKUP(D80,'S1'!$1:$1325,2,False),0)</f>
        <v>76</v>
      </c>
      <c r="Q80" s="123">
        <f>IFNA(vlookup(D80,'S2'!A76:B1278,2,False),0)</f>
        <v>65</v>
      </c>
      <c r="R80" s="123">
        <f>ifna(vlookup(D80,'S3'!$1:$1311,2,False),0)</f>
        <v>80</v>
      </c>
      <c r="S80" s="123"/>
      <c r="T80" s="124">
        <v>13.0</v>
      </c>
      <c r="U80" s="125">
        <v>15.0</v>
      </c>
      <c r="V80" s="125">
        <v>76.0</v>
      </c>
      <c r="W80" s="125">
        <v>64.0</v>
      </c>
      <c r="X80" s="125">
        <v>84.0</v>
      </c>
      <c r="Y80" s="125"/>
      <c r="Z80" s="126"/>
      <c r="AA80" s="127">
        <v>94.0</v>
      </c>
      <c r="AB80" s="26">
        <v>96.25</v>
      </c>
      <c r="AC80" s="135">
        <v>93.5</v>
      </c>
      <c r="AD80" s="129">
        <v>60.0</v>
      </c>
      <c r="AE80" s="130">
        <v>89.0</v>
      </c>
      <c r="AF80" s="129"/>
      <c r="AG80" s="129">
        <v>72.0</v>
      </c>
      <c r="AH80" s="129"/>
      <c r="AI80" s="131"/>
      <c r="AJ80" s="131"/>
      <c r="AK80" s="132">
        <f t="shared" si="1"/>
        <v>4</v>
      </c>
      <c r="AL80" s="132">
        <f t="shared" si="2"/>
        <v>3</v>
      </c>
      <c r="AM80" s="133">
        <f t="shared" si="3"/>
        <v>3</v>
      </c>
      <c r="AN80" s="132" t="str">
        <f t="shared" si="4"/>
        <v>3.5</v>
      </c>
      <c r="AO80" s="132">
        <f t="shared" si="5"/>
        <v>3</v>
      </c>
      <c r="AP80" s="88"/>
      <c r="AQ80" s="88"/>
    </row>
    <row r="81">
      <c r="A81" s="114">
        <v>76.0</v>
      </c>
      <c r="B81" s="115" t="s">
        <v>1958</v>
      </c>
      <c r="C81" s="115" t="s">
        <v>2539</v>
      </c>
      <c r="D81" s="116" t="str">
        <f>VLOOKUP(B81,USN!$1:$1088,2,FALSE)</f>
        <v>1CR23CS079</v>
      </c>
      <c r="E81" s="116">
        <v>7.889415119E9</v>
      </c>
      <c r="F81" s="117" t="s">
        <v>2461</v>
      </c>
      <c r="G81" s="118"/>
      <c r="H81" s="119">
        <v>70.0</v>
      </c>
      <c r="I81" s="116">
        <v>70.0</v>
      </c>
      <c r="J81" s="120">
        <f>IFNA(VLOOKUP(D81,'L3'!$1:$2060,2,False),0)</f>
        <v>36</v>
      </c>
      <c r="K81" s="120">
        <f>VLOOKUP(D81,'L4'!$1:$2059,2,FALSE)</f>
        <v>70</v>
      </c>
      <c r="L81" s="121">
        <f>VLOOKUP(D81,'A1 RETEST 5 DEC'!$1:$2096,2,FALSE)</f>
        <v>37</v>
      </c>
      <c r="M81" s="121">
        <f>VLOOKUP(D81,'A2 RETEST 4 DEC'!$1:$2096,2,FALSE)</f>
        <v>18</v>
      </c>
      <c r="N81" s="122">
        <v>0.0</v>
      </c>
      <c r="O81" s="121"/>
      <c r="P81" s="123">
        <f>IFNA(VLOOKUP(D81,'S1'!$1:$1325,2,False),0)</f>
        <v>50</v>
      </c>
      <c r="Q81" s="123">
        <f>IFNA(vlookup(D81,'S2'!A77:B1279,2,False),0)</f>
        <v>50</v>
      </c>
      <c r="R81" s="123">
        <f>ifna(vlookup(D81,'S3'!$1:$1311,2,False),0)</f>
        <v>50</v>
      </c>
      <c r="S81" s="123"/>
      <c r="T81" s="124">
        <v>13.0</v>
      </c>
      <c r="U81" s="125">
        <v>16.0</v>
      </c>
      <c r="V81" s="125">
        <v>76.0</v>
      </c>
      <c r="W81" s="125"/>
      <c r="X81" s="125"/>
      <c r="Y81" s="125"/>
      <c r="Z81" s="126"/>
      <c r="AA81" s="127">
        <v>50.0</v>
      </c>
      <c r="AB81" s="26">
        <v>55.0</v>
      </c>
      <c r="AC81" s="135">
        <v>0.0</v>
      </c>
      <c r="AD81" s="129">
        <v>0.0</v>
      </c>
      <c r="AE81" s="130">
        <v>10.0</v>
      </c>
      <c r="AF81" s="129"/>
      <c r="AG81" s="129">
        <v>0.0</v>
      </c>
      <c r="AH81" s="129"/>
      <c r="AI81" s="131"/>
      <c r="AJ81" s="131"/>
      <c r="AK81" s="132">
        <f t="shared" si="1"/>
        <v>2</v>
      </c>
      <c r="AL81" s="132">
        <f t="shared" si="2"/>
        <v>0</v>
      </c>
      <c r="AM81" s="133">
        <f t="shared" si="3"/>
        <v>2</v>
      </c>
      <c r="AN81" s="132" t="str">
        <f t="shared" si="4"/>
        <v>2</v>
      </c>
      <c r="AO81" s="132">
        <f t="shared" si="5"/>
        <v>3</v>
      </c>
      <c r="AP81" s="88"/>
      <c r="AQ81" s="88"/>
    </row>
    <row r="82">
      <c r="A82" s="114">
        <v>77.0</v>
      </c>
      <c r="B82" s="115" t="s">
        <v>1959</v>
      </c>
      <c r="C82" s="115" t="s">
        <v>2540</v>
      </c>
      <c r="D82" s="116" t="str">
        <f>VLOOKUP(B82,USN!$1:$1088,2,FALSE)</f>
        <v>1CR23CS080</v>
      </c>
      <c r="E82" s="116">
        <v>7.483841806E9</v>
      </c>
      <c r="F82" s="117" t="s">
        <v>2461</v>
      </c>
      <c r="G82" s="118"/>
      <c r="H82" s="119">
        <v>72.0</v>
      </c>
      <c r="I82" s="116">
        <v>81.0</v>
      </c>
      <c r="J82" s="120">
        <f>IFNA(VLOOKUP(D82,'L3'!$1:$2060,2,False),0)</f>
        <v>70</v>
      </c>
      <c r="K82" s="120">
        <f>VLOOKUP(D82,'L4'!$1:$2059,2,FALSE)</f>
        <v>70</v>
      </c>
      <c r="L82" s="121">
        <f>VLOOKUP(D82,'A1 RETEST 5 DEC'!$1:$2096,2,FALSE)</f>
        <v>50</v>
      </c>
      <c r="M82" s="121">
        <f>VLOOKUP(D82,'A2 RETEST 4 DEC'!$1:$2096,2,FALSE)</f>
        <v>50</v>
      </c>
      <c r="N82" s="122">
        <v>50.0</v>
      </c>
      <c r="O82" s="121"/>
      <c r="P82" s="123">
        <f>IFNA(VLOOKUP(D82,'S1'!$1:$1325,2,False),0)</f>
        <v>50</v>
      </c>
      <c r="Q82" s="123">
        <f>IFNA(vlookup(D82,'S2'!A78:B1280,2,False),0)</f>
        <v>65</v>
      </c>
      <c r="R82" s="123">
        <f>ifna(vlookup(D82,'S3'!$1:$1311,2,False),0)</f>
        <v>83</v>
      </c>
      <c r="S82" s="123"/>
      <c r="T82" s="124">
        <v>21.0</v>
      </c>
      <c r="U82" s="125">
        <v>20.0</v>
      </c>
      <c r="V82" s="125">
        <v>84.0</v>
      </c>
      <c r="W82" s="125">
        <v>72.0</v>
      </c>
      <c r="X82" s="125">
        <v>80.0</v>
      </c>
      <c r="Y82" s="125"/>
      <c r="Z82" s="126"/>
      <c r="AA82" s="127">
        <v>80.0</v>
      </c>
      <c r="AB82" s="26">
        <v>68.0</v>
      </c>
      <c r="AC82" s="135">
        <v>40.0</v>
      </c>
      <c r="AD82" s="129">
        <v>100.0</v>
      </c>
      <c r="AE82" s="130">
        <v>45.0</v>
      </c>
      <c r="AF82" s="129"/>
      <c r="AG82" s="129">
        <v>5.0</v>
      </c>
      <c r="AH82" s="129"/>
      <c r="AI82" s="131"/>
      <c r="AJ82" s="131"/>
      <c r="AK82" s="132">
        <f t="shared" si="1"/>
        <v>4</v>
      </c>
      <c r="AL82" s="132">
        <f t="shared" si="2"/>
        <v>3</v>
      </c>
      <c r="AM82" s="133">
        <f t="shared" si="3"/>
        <v>3</v>
      </c>
      <c r="AN82" s="132" t="str">
        <f t="shared" si="4"/>
        <v>3</v>
      </c>
      <c r="AO82" s="132">
        <f t="shared" si="5"/>
        <v>3</v>
      </c>
      <c r="AP82" s="88"/>
      <c r="AQ82" s="88"/>
    </row>
    <row r="83">
      <c r="A83" s="114">
        <v>78.0</v>
      </c>
      <c r="B83" s="115" t="s">
        <v>125</v>
      </c>
      <c r="C83" s="115" t="s">
        <v>2541</v>
      </c>
      <c r="D83" s="116" t="str">
        <f>VLOOKUP(B83,USN!$1:$1088,2,FALSE)</f>
        <v>1CR23CS081</v>
      </c>
      <c r="E83" s="116">
        <v>8.431034006E9</v>
      </c>
      <c r="F83" s="117" t="s">
        <v>2461</v>
      </c>
      <c r="G83" s="118"/>
      <c r="H83" s="119">
        <v>84.0</v>
      </c>
      <c r="I83" s="142">
        <v>70.0</v>
      </c>
      <c r="J83" s="120">
        <f>IFNA(VLOOKUP(D83,'L3'!$1:$2060,2,False),0)</f>
        <v>80</v>
      </c>
      <c r="K83" s="120">
        <f>VLOOKUP(D83,'L4'!$1:$2059,2,FALSE)</f>
        <v>70</v>
      </c>
      <c r="L83" s="121">
        <f>VLOOKUP(D83,'A1 RETEST 5 DEC'!$1:$2096,2,FALSE)</f>
        <v>46</v>
      </c>
      <c r="M83" s="121">
        <f>VLOOKUP(D83,'A2 RETEST 4 DEC'!$1:$2096,2,FALSE)</f>
        <v>22</v>
      </c>
      <c r="N83" s="122">
        <v>33.0</v>
      </c>
      <c r="O83" s="121"/>
      <c r="P83" s="123">
        <f>IFNA(VLOOKUP(D83,'S1'!$1:$1325,2,False),0)</f>
        <v>77</v>
      </c>
      <c r="Q83" s="123">
        <f>IFNA(vlookup(D83,'S2'!A79:B1281,2,False),0)</f>
        <v>75</v>
      </c>
      <c r="R83" s="123">
        <f>ifna(vlookup(D83,'S3'!$1:$1311,2,False),0)</f>
        <v>79</v>
      </c>
      <c r="S83" s="123"/>
      <c r="T83" s="124">
        <v>11.0</v>
      </c>
      <c r="U83" s="125">
        <v>21.0</v>
      </c>
      <c r="V83" s="125">
        <v>52.0</v>
      </c>
      <c r="W83" s="125">
        <v>28.0</v>
      </c>
      <c r="X83" s="125"/>
      <c r="Y83" s="125"/>
      <c r="Z83" s="126"/>
      <c r="AA83" s="127">
        <v>80.0</v>
      </c>
      <c r="AB83" s="26">
        <v>100.0</v>
      </c>
      <c r="AC83" s="135">
        <v>98.0</v>
      </c>
      <c r="AD83" s="129">
        <v>81.0</v>
      </c>
      <c r="AE83" s="130">
        <v>87.0</v>
      </c>
      <c r="AF83" s="129"/>
      <c r="AG83" s="129">
        <v>72.0</v>
      </c>
      <c r="AH83" s="129"/>
      <c r="AI83" s="131"/>
      <c r="AJ83" s="131"/>
      <c r="AK83" s="132">
        <f t="shared" si="1"/>
        <v>4</v>
      </c>
      <c r="AL83" s="132">
        <f t="shared" si="2"/>
        <v>0</v>
      </c>
      <c r="AM83" s="133">
        <f t="shared" si="3"/>
        <v>2</v>
      </c>
      <c r="AN83" s="132" t="str">
        <f t="shared" si="4"/>
        <v>3.5</v>
      </c>
      <c r="AO83" s="132">
        <f t="shared" si="5"/>
        <v>3</v>
      </c>
      <c r="AP83" s="88"/>
      <c r="AQ83" s="88"/>
    </row>
    <row r="84">
      <c r="A84" s="114">
        <v>79.0</v>
      </c>
      <c r="B84" s="137" t="s">
        <v>2082</v>
      </c>
      <c r="C84" s="137" t="s">
        <v>2542</v>
      </c>
      <c r="D84" s="116" t="str">
        <f>VLOOKUP(B84,USN!$1:$1088,2,FALSE)</f>
        <v>1CR23CS082</v>
      </c>
      <c r="E84" s="138">
        <v>9.346659044E9</v>
      </c>
      <c r="F84" s="117" t="s">
        <v>2461</v>
      </c>
      <c r="G84" s="118"/>
      <c r="H84" s="119">
        <v>78.0</v>
      </c>
      <c r="I84" s="116">
        <v>83.0</v>
      </c>
      <c r="J84" s="120">
        <f>IFNA(VLOOKUP(D84,'L3'!$1:$2060,2,False),0)</f>
        <v>70</v>
      </c>
      <c r="K84" s="120">
        <f>VLOOKUP(D84,'L4'!$1:$2059,2,FALSE)</f>
        <v>74</v>
      </c>
      <c r="L84" s="121">
        <f>VLOOKUP(D84,'A1 RETEST 5 DEC'!$1:$2096,2,FALSE)</f>
        <v>50</v>
      </c>
      <c r="M84" s="121">
        <f>VLOOKUP(D84,'A2 RETEST 4 DEC'!$1:$2096,2,FALSE)</f>
        <v>50</v>
      </c>
      <c r="N84" s="122">
        <v>50.0</v>
      </c>
      <c r="O84" s="121"/>
      <c r="P84" s="123">
        <f>IFNA(VLOOKUP(D84,'S1'!$1:$1325,2,False),0)</f>
        <v>71</v>
      </c>
      <c r="Q84" s="123">
        <f>IFNA(vlookup(D84,'S2'!A80:B1282,2,False),0)</f>
        <v>62</v>
      </c>
      <c r="R84" s="123">
        <f>ifna(vlookup(D84,'S3'!$1:$1311,2,False),0)</f>
        <v>66</v>
      </c>
      <c r="S84" s="123"/>
      <c r="T84" s="124">
        <v>13.0</v>
      </c>
      <c r="U84" s="125" t="s">
        <v>2477</v>
      </c>
      <c r="V84" s="125">
        <v>80.0</v>
      </c>
      <c r="W84" s="125">
        <v>44.0</v>
      </c>
      <c r="X84" s="125">
        <v>50.0</v>
      </c>
      <c r="Y84" s="125"/>
      <c r="Z84" s="126"/>
      <c r="AA84" s="127">
        <v>86.0</v>
      </c>
      <c r="AB84" s="26">
        <v>90.0</v>
      </c>
      <c r="AC84" s="135">
        <v>46.5</v>
      </c>
      <c r="AD84" s="129">
        <v>34.0</v>
      </c>
      <c r="AE84" s="130">
        <v>10.0</v>
      </c>
      <c r="AF84" s="129"/>
      <c r="AG84" s="129">
        <v>10.0</v>
      </c>
      <c r="AH84" s="129"/>
      <c r="AI84" s="131"/>
      <c r="AJ84" s="131"/>
      <c r="AK84" s="132">
        <f t="shared" si="1"/>
        <v>4</v>
      </c>
      <c r="AL84" s="132">
        <f t="shared" si="2"/>
        <v>3</v>
      </c>
      <c r="AM84" s="133">
        <f t="shared" si="3"/>
        <v>2</v>
      </c>
      <c r="AN84" s="132" t="str">
        <f t="shared" si="4"/>
        <v>2</v>
      </c>
      <c r="AO84" s="132">
        <f t="shared" si="5"/>
        <v>3</v>
      </c>
      <c r="AP84" s="88"/>
      <c r="AQ84" s="88"/>
    </row>
    <row r="85">
      <c r="A85" s="114">
        <v>80.0</v>
      </c>
      <c r="B85" s="115" t="s">
        <v>1934</v>
      </c>
      <c r="C85" s="115" t="s">
        <v>2543</v>
      </c>
      <c r="D85" s="116" t="str">
        <f>VLOOKUP(B85,USN!$1:$1088,2,FALSE)</f>
        <v>1CR23CS083</v>
      </c>
      <c r="E85" s="116">
        <v>7.338407649E9</v>
      </c>
      <c r="F85" s="117" t="s">
        <v>2461</v>
      </c>
      <c r="G85" s="118"/>
      <c r="H85" s="119">
        <v>70.0</v>
      </c>
      <c r="I85" s="116">
        <v>73.0</v>
      </c>
      <c r="J85" s="120">
        <f>IFNA(VLOOKUP(D85,'L3'!$1:$2060,2,False),0)</f>
        <v>70</v>
      </c>
      <c r="K85" s="120">
        <f>VLOOKUP(D85,'L4'!$1:$2059,2,FALSE)</f>
        <v>65</v>
      </c>
      <c r="L85" s="121">
        <f>VLOOKUP(D85,'A1 RETEST 5 DEC'!$1:$2096,2,FALSE)</f>
        <v>41</v>
      </c>
      <c r="M85" s="121">
        <f>VLOOKUP(D85,'A2 RETEST 4 DEC'!$1:$2096,2,FALSE)</f>
        <v>3</v>
      </c>
      <c r="N85" s="122">
        <v>19.0</v>
      </c>
      <c r="O85" s="121"/>
      <c r="P85" s="123">
        <f>IFNA(VLOOKUP(D85,'S1'!$1:$1325,2,False),0)</f>
        <v>82</v>
      </c>
      <c r="Q85" s="123">
        <f>IFNA(vlookup(D85,'S2'!A81:B1283,2,False),0)</f>
        <v>66</v>
      </c>
      <c r="R85" s="123">
        <f>ifna(vlookup(D85,'S3'!$1:$1311,2,False),0)</f>
        <v>0</v>
      </c>
      <c r="S85" s="123"/>
      <c r="T85" s="124">
        <v>20.0</v>
      </c>
      <c r="U85" s="125">
        <v>17.0</v>
      </c>
      <c r="V85" s="125">
        <v>84.0</v>
      </c>
      <c r="W85" s="125"/>
      <c r="X85" s="125"/>
      <c r="Y85" s="125"/>
      <c r="Z85" s="126"/>
      <c r="AA85" s="127">
        <v>98.8</v>
      </c>
      <c r="AB85" s="26">
        <v>61.25</v>
      </c>
      <c r="AC85" s="135">
        <v>0.0</v>
      </c>
      <c r="AD85" s="129">
        <v>32.0</v>
      </c>
      <c r="AE85" s="130">
        <v>10.0</v>
      </c>
      <c r="AF85" s="129"/>
      <c r="AG85" s="129">
        <v>10.0</v>
      </c>
      <c r="AH85" s="129"/>
      <c r="AI85" s="131"/>
      <c r="AJ85" s="131"/>
      <c r="AK85" s="132">
        <f t="shared" si="1"/>
        <v>3</v>
      </c>
      <c r="AL85" s="132">
        <f t="shared" si="2"/>
        <v>0</v>
      </c>
      <c r="AM85" s="133">
        <f t="shared" si="3"/>
        <v>2</v>
      </c>
      <c r="AN85" s="132" t="str">
        <f t="shared" si="4"/>
        <v>2</v>
      </c>
      <c r="AO85" s="132">
        <f t="shared" si="5"/>
        <v>2</v>
      </c>
      <c r="AP85" s="88"/>
      <c r="AQ85" s="88"/>
    </row>
    <row r="86">
      <c r="A86" s="114">
        <v>81.0</v>
      </c>
      <c r="B86" s="115" t="s">
        <v>1960</v>
      </c>
      <c r="C86" s="115" t="s">
        <v>2544</v>
      </c>
      <c r="D86" s="116" t="str">
        <f>VLOOKUP(B86,USN!$1:$1088,2,FALSE)</f>
        <v>1CR23CS084</v>
      </c>
      <c r="E86" s="116">
        <v>8.595584105E9</v>
      </c>
      <c r="F86" s="117" t="s">
        <v>2461</v>
      </c>
      <c r="G86" s="118"/>
      <c r="H86" s="119">
        <v>91.0</v>
      </c>
      <c r="I86" s="116">
        <v>93.0</v>
      </c>
      <c r="J86" s="120">
        <f>IFNA(VLOOKUP(D86,'L3'!$1:$2060,2,False),0)</f>
        <v>76</v>
      </c>
      <c r="K86" s="120">
        <f>VLOOKUP(D86,'L4'!$1:$2059,2,FALSE)</f>
        <v>79</v>
      </c>
      <c r="L86" s="121">
        <f>VLOOKUP(D86,'A1 RETEST 5 DEC'!$1:$2096,2,FALSE)</f>
        <v>70</v>
      </c>
      <c r="M86" s="121">
        <f>VLOOKUP(D86,'A2 RETEST 4 DEC'!$1:$2096,2,FALSE)</f>
        <v>50</v>
      </c>
      <c r="N86" s="122">
        <v>53.0</v>
      </c>
      <c r="O86" s="121"/>
      <c r="P86" s="123">
        <f>IFNA(VLOOKUP(D86,'S1'!$1:$1325,2,False),0)</f>
        <v>72</v>
      </c>
      <c r="Q86" s="123">
        <f>IFNA(vlookup(D86,'S2'!A82:B1284,2,False),0)</f>
        <v>69</v>
      </c>
      <c r="R86" s="123">
        <f>ifna(vlookup(D86,'S3'!$1:$1311,2,False),0)</f>
        <v>78</v>
      </c>
      <c r="S86" s="123"/>
      <c r="T86" s="124">
        <v>10.0</v>
      </c>
      <c r="U86" s="125">
        <v>19.0</v>
      </c>
      <c r="V86" s="125">
        <v>52.0</v>
      </c>
      <c r="W86" s="125">
        <v>60.0</v>
      </c>
      <c r="X86" s="125">
        <v>50.0</v>
      </c>
      <c r="Y86" s="125"/>
      <c r="Z86" s="126"/>
      <c r="AA86" s="127">
        <v>77.0</v>
      </c>
      <c r="AB86" s="26">
        <v>95.0</v>
      </c>
      <c r="AC86" s="135">
        <v>70.0</v>
      </c>
      <c r="AD86" s="129">
        <v>90.0</v>
      </c>
      <c r="AE86" s="130">
        <v>76.0</v>
      </c>
      <c r="AF86" s="129"/>
      <c r="AG86" s="129">
        <v>21.0</v>
      </c>
      <c r="AH86" s="129"/>
      <c r="AI86" s="131"/>
      <c r="AJ86" s="131"/>
      <c r="AK86" s="132">
        <f t="shared" si="1"/>
        <v>4</v>
      </c>
      <c r="AL86" s="132">
        <f t="shared" si="2"/>
        <v>3</v>
      </c>
      <c r="AM86" s="133">
        <f t="shared" si="3"/>
        <v>3</v>
      </c>
      <c r="AN86" s="132" t="str">
        <f t="shared" si="4"/>
        <v>3.5</v>
      </c>
      <c r="AO86" s="132">
        <f t="shared" si="5"/>
        <v>3</v>
      </c>
      <c r="AP86" s="88"/>
      <c r="AQ86" s="88"/>
    </row>
    <row r="87">
      <c r="A87" s="114">
        <v>82.0</v>
      </c>
      <c r="B87" s="115" t="s">
        <v>1941</v>
      </c>
      <c r="C87" s="115" t="s">
        <v>2545</v>
      </c>
      <c r="D87" s="116" t="str">
        <f>VLOOKUP(B87,USN!$1:$1088,2,FALSE)</f>
        <v>1CR23CS085</v>
      </c>
      <c r="E87" s="116">
        <v>8.217302427E9</v>
      </c>
      <c r="F87" s="117" t="s">
        <v>2461</v>
      </c>
      <c r="G87" s="118"/>
      <c r="H87" s="119">
        <v>79.0</v>
      </c>
      <c r="I87" s="116">
        <v>83.0</v>
      </c>
      <c r="J87" s="120">
        <f>IFNA(VLOOKUP(D87,'L3'!$1:$2060,2,False),0)</f>
        <v>70</v>
      </c>
      <c r="K87" s="120">
        <f>VLOOKUP(D87,'L4'!$1:$2059,2,FALSE)</f>
        <v>58</v>
      </c>
      <c r="L87" s="121">
        <f>VLOOKUP(D87,'A1 RETEST 5 DEC'!$1:$2096,2,FALSE)</f>
        <v>32</v>
      </c>
      <c r="M87" s="121">
        <f>VLOOKUP(D87,'A2 RETEST 4 DEC'!$1:$2096,2,FALSE)</f>
        <v>33</v>
      </c>
      <c r="N87" s="122">
        <v>9.0</v>
      </c>
      <c r="O87" s="121"/>
      <c r="P87" s="123">
        <f>IFNA(VLOOKUP(D87,'S1'!$1:$1325,2,False),0)</f>
        <v>0</v>
      </c>
      <c r="Q87" s="123">
        <f>IFNA(vlookup(D87,'S2'!A83:B1285,2,False),0)</f>
        <v>65</v>
      </c>
      <c r="R87" s="123">
        <f>ifna(vlookup(D87,'S3'!$1:$1311,2,False),0)</f>
        <v>0</v>
      </c>
      <c r="S87" s="123"/>
      <c r="T87" s="124">
        <v>19.0</v>
      </c>
      <c r="U87" s="125">
        <v>21.0</v>
      </c>
      <c r="V87" s="125">
        <v>80.0</v>
      </c>
      <c r="W87" s="125">
        <v>64.0</v>
      </c>
      <c r="X87" s="125"/>
      <c r="Y87" s="125"/>
      <c r="Z87" s="126"/>
      <c r="AA87" s="127">
        <v>50.0</v>
      </c>
      <c r="AB87" s="26">
        <v>65.0</v>
      </c>
      <c r="AC87" s="135">
        <v>70.0</v>
      </c>
      <c r="AD87" s="129">
        <v>60.0</v>
      </c>
      <c r="AE87" s="130">
        <v>57.0</v>
      </c>
      <c r="AF87" s="129"/>
      <c r="AG87" s="129">
        <v>0.0</v>
      </c>
      <c r="AH87" s="129"/>
      <c r="AI87" s="131"/>
      <c r="AJ87" s="131"/>
      <c r="AK87" s="132">
        <f t="shared" si="1"/>
        <v>3</v>
      </c>
      <c r="AL87" s="132">
        <f t="shared" si="2"/>
        <v>0</v>
      </c>
      <c r="AM87" s="133">
        <f t="shared" si="3"/>
        <v>3</v>
      </c>
      <c r="AN87" s="132" t="str">
        <f t="shared" si="4"/>
        <v>3</v>
      </c>
      <c r="AO87" s="132">
        <f t="shared" si="5"/>
        <v>0</v>
      </c>
      <c r="AP87" s="88"/>
      <c r="AQ87" s="88"/>
    </row>
    <row r="88">
      <c r="A88" s="114">
        <v>83.0</v>
      </c>
      <c r="B88" s="115" t="s">
        <v>2003</v>
      </c>
      <c r="C88" s="115" t="s">
        <v>2546</v>
      </c>
      <c r="D88" s="116" t="str">
        <f>VLOOKUP(B88,USN!$1:$1088,2,FALSE)</f>
        <v>1CR23CS086</v>
      </c>
      <c r="E88" s="116">
        <v>8.939119549E9</v>
      </c>
      <c r="F88" s="117" t="s">
        <v>2461</v>
      </c>
      <c r="G88" s="118"/>
      <c r="H88" s="119">
        <v>80.0</v>
      </c>
      <c r="I88" s="116">
        <v>86.0</v>
      </c>
      <c r="J88" s="120">
        <f>IFNA(VLOOKUP(D88,'L3'!$1:$2060,2,False),0)</f>
        <v>45</v>
      </c>
      <c r="K88" s="120">
        <f>VLOOKUP(D88,'L4'!$1:$2059,2,FALSE)</f>
        <v>55</v>
      </c>
      <c r="L88" s="121">
        <f>VLOOKUP(D88,'A1 RETEST 5 DEC'!$1:$2096,2,FALSE)</f>
        <v>44</v>
      </c>
      <c r="M88" s="121">
        <f>VLOOKUP(D88,'A2 RETEST 4 DEC'!$1:$2096,2,FALSE)</f>
        <v>25</v>
      </c>
      <c r="N88" s="122">
        <v>5.0</v>
      </c>
      <c r="O88" s="121"/>
      <c r="P88" s="123">
        <f>IFNA(VLOOKUP(D88,'S1'!$1:$1325,2,False),0)</f>
        <v>70</v>
      </c>
      <c r="Q88" s="123">
        <f>IFNA(vlookup(D88,'S2'!A84:B1286,2,False),0)</f>
        <v>0</v>
      </c>
      <c r="R88" s="123">
        <f>ifna(vlookup(D88,'S3'!$1:$1311,2,False),0)</f>
        <v>0</v>
      </c>
      <c r="S88" s="123"/>
      <c r="T88" s="124">
        <v>12.0</v>
      </c>
      <c r="U88" s="125">
        <v>14.0</v>
      </c>
      <c r="V88" s="125">
        <v>32.0</v>
      </c>
      <c r="W88" s="125"/>
      <c r="X88" s="125"/>
      <c r="Y88" s="125"/>
      <c r="Z88" s="126"/>
      <c r="AA88" s="127">
        <v>84.0</v>
      </c>
      <c r="AB88" s="26">
        <v>98.0</v>
      </c>
      <c r="AC88" s="135">
        <v>0.0</v>
      </c>
      <c r="AD88" s="129">
        <v>7.0</v>
      </c>
      <c r="AE88" s="130">
        <v>10.0</v>
      </c>
      <c r="AF88" s="129"/>
      <c r="AG88" s="129">
        <v>31.0</v>
      </c>
      <c r="AH88" s="129"/>
      <c r="AI88" s="131"/>
      <c r="AJ88" s="131"/>
      <c r="AK88" s="132">
        <f t="shared" si="1"/>
        <v>2</v>
      </c>
      <c r="AL88" s="132">
        <f t="shared" si="2"/>
        <v>0</v>
      </c>
      <c r="AM88" s="133">
        <f t="shared" si="3"/>
        <v>2</v>
      </c>
      <c r="AN88" s="132" t="str">
        <f t="shared" si="4"/>
        <v>2</v>
      </c>
      <c r="AO88" s="132">
        <f t="shared" si="5"/>
        <v>1</v>
      </c>
      <c r="AP88" s="88"/>
      <c r="AQ88" s="88"/>
    </row>
    <row r="89">
      <c r="A89" s="114">
        <v>84.0</v>
      </c>
      <c r="B89" s="137" t="s">
        <v>1951</v>
      </c>
      <c r="C89" s="115" t="s">
        <v>2547</v>
      </c>
      <c r="D89" s="116" t="str">
        <f>VLOOKUP(B89,USN!$1:$1088,2,FALSE)</f>
        <v>1CR23CS087</v>
      </c>
      <c r="E89" s="138">
        <v>9.686872417E9</v>
      </c>
      <c r="F89" s="117" t="s">
        <v>2461</v>
      </c>
      <c r="G89" s="118"/>
      <c r="H89" s="119">
        <v>80.0</v>
      </c>
      <c r="I89" s="116">
        <v>77.0</v>
      </c>
      <c r="J89" s="120">
        <f>IFNA(VLOOKUP(D89,'L3'!$1:$2060,2,False),0)</f>
        <v>62</v>
      </c>
      <c r="K89" s="120">
        <f>VLOOKUP(D89,'L4'!$1:$2059,2,FALSE)</f>
        <v>40</v>
      </c>
      <c r="L89" s="121">
        <f>VLOOKUP(D89,'A1 RETEST 5 DEC'!$1:$2096,2,FALSE)</f>
        <v>40</v>
      </c>
      <c r="M89" s="121">
        <f>VLOOKUP(D89,'A2 RETEST 4 DEC'!$1:$2096,2,FALSE)</f>
        <v>6</v>
      </c>
      <c r="N89" s="122">
        <v>0.0</v>
      </c>
      <c r="O89" s="121"/>
      <c r="P89" s="123">
        <f>IFNA(VLOOKUP(D89,'S1'!$1:$1325,2,False),0)</f>
        <v>82</v>
      </c>
      <c r="Q89" s="123">
        <f>IFNA(vlookup(D89,'S2'!A85:B1287,2,False),0)</f>
        <v>0</v>
      </c>
      <c r="R89" s="123">
        <f>ifna(vlookup(D89,'S3'!$1:$1311,2,False),0)</f>
        <v>0</v>
      </c>
      <c r="S89" s="123"/>
      <c r="T89" s="124">
        <v>11.0</v>
      </c>
      <c r="U89" s="125">
        <v>22.0</v>
      </c>
      <c r="V89" s="125">
        <v>60.0</v>
      </c>
      <c r="W89" s="125"/>
      <c r="X89" s="125"/>
      <c r="Y89" s="125"/>
      <c r="Z89" s="126"/>
      <c r="AA89" s="127">
        <v>76.0</v>
      </c>
      <c r="AB89" s="26">
        <v>65.0</v>
      </c>
      <c r="AC89" s="135">
        <v>0.0</v>
      </c>
      <c r="AD89" s="129">
        <v>0.0</v>
      </c>
      <c r="AE89" s="130">
        <v>10.0</v>
      </c>
      <c r="AF89" s="129"/>
      <c r="AG89" s="129">
        <v>0.0</v>
      </c>
      <c r="AH89" s="129"/>
      <c r="AI89" s="131"/>
      <c r="AJ89" s="131"/>
      <c r="AK89" s="132">
        <f t="shared" si="1"/>
        <v>2</v>
      </c>
      <c r="AL89" s="132">
        <f t="shared" si="2"/>
        <v>0</v>
      </c>
      <c r="AM89" s="133">
        <f t="shared" si="3"/>
        <v>2</v>
      </c>
      <c r="AN89" s="132" t="str">
        <f t="shared" si="4"/>
        <v>2</v>
      </c>
      <c r="AO89" s="132">
        <f t="shared" si="5"/>
        <v>1</v>
      </c>
      <c r="AP89" s="88"/>
      <c r="AQ89" s="88"/>
    </row>
    <row r="90">
      <c r="A90" s="114">
        <v>85.0</v>
      </c>
      <c r="B90" s="115" t="s">
        <v>1998</v>
      </c>
      <c r="C90" s="115" t="s">
        <v>2548</v>
      </c>
      <c r="D90" s="116" t="str">
        <f>VLOOKUP(B90,USN!$1:$1088,2,FALSE)</f>
        <v>1CR23CS088</v>
      </c>
      <c r="E90" s="116">
        <v>7.89224086E9</v>
      </c>
      <c r="F90" s="117" t="s">
        <v>2461</v>
      </c>
      <c r="G90" s="118"/>
      <c r="H90" s="119">
        <v>84.0</v>
      </c>
      <c r="I90" s="116">
        <v>93.0</v>
      </c>
      <c r="J90" s="120">
        <f>IFNA(VLOOKUP(D90,'L3'!$1:$2060,2,False),0)</f>
        <v>87</v>
      </c>
      <c r="K90" s="120">
        <f>VLOOKUP(D90,'L4'!$1:$2059,2,FALSE)</f>
        <v>86</v>
      </c>
      <c r="L90" s="121">
        <f>VLOOKUP(D90,'A1 RETEST 5 DEC'!$1:$2096,2,FALSE)</f>
        <v>56</v>
      </c>
      <c r="M90" s="121">
        <f>VLOOKUP(D90,'A2 RETEST 4 DEC'!$1:$2096,2,FALSE)</f>
        <v>50</v>
      </c>
      <c r="N90" s="122">
        <v>61.0</v>
      </c>
      <c r="O90" s="121"/>
      <c r="P90" s="123">
        <f>IFNA(VLOOKUP(D90,'S1'!$1:$1325,2,False),0)</f>
        <v>80</v>
      </c>
      <c r="Q90" s="123">
        <f>IFNA(vlookup(D90,'S2'!A86:B1288,2,False),0)</f>
        <v>90</v>
      </c>
      <c r="R90" s="123">
        <f>ifna(vlookup(D90,'S3'!$1:$1311,2,False),0)</f>
        <v>85</v>
      </c>
      <c r="S90" s="123"/>
      <c r="T90" s="124">
        <v>18.0</v>
      </c>
      <c r="U90" s="125">
        <v>15.0</v>
      </c>
      <c r="V90" s="125">
        <v>76.0</v>
      </c>
      <c r="W90" s="125">
        <v>48.0</v>
      </c>
      <c r="X90" s="125">
        <v>88.0</v>
      </c>
      <c r="Y90" s="125"/>
      <c r="Z90" s="126"/>
      <c r="AA90" s="127">
        <v>100.0</v>
      </c>
      <c r="AB90" s="26">
        <v>100.0</v>
      </c>
      <c r="AC90" s="135">
        <v>91.5</v>
      </c>
      <c r="AD90" s="129">
        <v>100.0</v>
      </c>
      <c r="AE90" s="130">
        <v>88.0</v>
      </c>
      <c r="AF90" s="129"/>
      <c r="AG90" s="129">
        <v>86.0</v>
      </c>
      <c r="AH90" s="129"/>
      <c r="AI90" s="131"/>
      <c r="AJ90" s="131"/>
      <c r="AK90" s="132">
        <f t="shared" si="1"/>
        <v>4</v>
      </c>
      <c r="AL90" s="132">
        <f t="shared" si="2"/>
        <v>3</v>
      </c>
      <c r="AM90" s="133">
        <f t="shared" si="3"/>
        <v>2</v>
      </c>
      <c r="AN90" s="132" t="str">
        <f t="shared" si="4"/>
        <v>3.5</v>
      </c>
      <c r="AO90" s="132">
        <f t="shared" si="5"/>
        <v>3</v>
      </c>
      <c r="AP90" s="88"/>
      <c r="AQ90" s="88"/>
    </row>
    <row r="91">
      <c r="A91" s="114">
        <v>86.0</v>
      </c>
      <c r="B91" s="137" t="s">
        <v>134</v>
      </c>
      <c r="C91" s="137" t="s">
        <v>2549</v>
      </c>
      <c r="D91" s="116" t="str">
        <f>VLOOKUP(B91,USN!$1:$1088,2,FALSE)</f>
        <v>1CR23CS089</v>
      </c>
      <c r="E91" s="138">
        <v>6.006901074E9</v>
      </c>
      <c r="F91" s="117" t="s">
        <v>2461</v>
      </c>
      <c r="G91" s="118"/>
      <c r="H91" s="119">
        <v>70.0</v>
      </c>
      <c r="I91" s="142">
        <v>70.0</v>
      </c>
      <c r="J91" s="120">
        <f>IFNA(VLOOKUP(D91,'L3'!$1:$2060,2,False),0)</f>
        <v>70</v>
      </c>
      <c r="K91" s="120">
        <f>VLOOKUP(D91,'L4'!$1:$2059,2,FALSE)</f>
        <v>70</v>
      </c>
      <c r="L91" s="121">
        <f>VLOOKUP(D91,'A1 RETEST 5 DEC'!$1:$2096,2,FALSE)</f>
        <v>50</v>
      </c>
      <c r="M91" s="121">
        <f>VLOOKUP(D91,'A2 RETEST 4 DEC'!$1:$2096,2,FALSE)</f>
        <v>50</v>
      </c>
      <c r="N91" s="122">
        <v>50.0</v>
      </c>
      <c r="O91" s="121"/>
      <c r="P91" s="123">
        <f>IFNA(VLOOKUP(D91,'S1'!$1:$1325,2,False),0)</f>
        <v>72</v>
      </c>
      <c r="Q91" s="123">
        <f>IFNA(vlookup(D91,'S2'!A87:B1289,2,False),0)</f>
        <v>62</v>
      </c>
      <c r="R91" s="123">
        <f>ifna(vlookup(D91,'S3'!$1:$1311,2,False),0)</f>
        <v>70</v>
      </c>
      <c r="S91" s="123"/>
      <c r="T91" s="124">
        <v>20.0</v>
      </c>
      <c r="U91" s="125">
        <v>20.0</v>
      </c>
      <c r="V91" s="125">
        <v>70.0</v>
      </c>
      <c r="W91" s="125">
        <v>32.0</v>
      </c>
      <c r="X91" s="125">
        <v>62.0</v>
      </c>
      <c r="Y91" s="125"/>
      <c r="Z91" s="126"/>
      <c r="AA91" s="127">
        <v>78.0</v>
      </c>
      <c r="AB91" s="26">
        <v>86.25</v>
      </c>
      <c r="AC91" s="135">
        <v>60.0</v>
      </c>
      <c r="AD91" s="129">
        <v>70.0</v>
      </c>
      <c r="AE91" s="130">
        <v>74.0</v>
      </c>
      <c r="AF91" s="129"/>
      <c r="AG91" s="129">
        <v>66.0</v>
      </c>
      <c r="AH91" s="129"/>
      <c r="AI91" s="131"/>
      <c r="AJ91" s="131"/>
      <c r="AK91" s="132">
        <f t="shared" si="1"/>
        <v>4</v>
      </c>
      <c r="AL91" s="132">
        <f t="shared" si="2"/>
        <v>3</v>
      </c>
      <c r="AM91" s="133">
        <f t="shared" si="3"/>
        <v>2</v>
      </c>
      <c r="AN91" s="132" t="str">
        <f t="shared" si="4"/>
        <v>3.5</v>
      </c>
      <c r="AO91" s="132">
        <f t="shared" si="5"/>
        <v>3</v>
      </c>
      <c r="AP91" s="88"/>
      <c r="AQ91" s="88"/>
    </row>
    <row r="92">
      <c r="A92" s="114">
        <v>87.0</v>
      </c>
      <c r="B92" s="115" t="s">
        <v>1961</v>
      </c>
      <c r="C92" s="115" t="s">
        <v>2550</v>
      </c>
      <c r="D92" s="116" t="str">
        <f>VLOOKUP(B92,USN!$1:$1088,2,FALSE)</f>
        <v>1CR23CS090</v>
      </c>
      <c r="E92" s="116">
        <v>9.731610699E9</v>
      </c>
      <c r="F92" s="117" t="s">
        <v>2461</v>
      </c>
      <c r="G92" s="118"/>
      <c r="H92" s="119">
        <v>84.0</v>
      </c>
      <c r="I92" s="116">
        <v>89.0</v>
      </c>
      <c r="J92" s="120">
        <f>IFNA(VLOOKUP(D92,'L3'!$1:$2060,2,False),0)</f>
        <v>79</v>
      </c>
      <c r="K92" s="120">
        <f>VLOOKUP(D92,'L4'!$1:$2059,2,FALSE)</f>
        <v>80</v>
      </c>
      <c r="L92" s="121">
        <f>VLOOKUP(D92,'A1 RETEST 5 DEC'!$1:$2096,2,FALSE)</f>
        <v>75</v>
      </c>
      <c r="M92" s="121">
        <f>VLOOKUP(D92,'A2 RETEST 4 DEC'!$1:$2096,2,FALSE)</f>
        <v>50</v>
      </c>
      <c r="N92" s="122">
        <v>62.0</v>
      </c>
      <c r="O92" s="121"/>
      <c r="P92" s="123">
        <f>IFNA(VLOOKUP(D92,'S1'!$1:$1325,2,False),0)</f>
        <v>84</v>
      </c>
      <c r="Q92" s="123">
        <f>IFNA(vlookup(D92,'S2'!A88:B1290,2,False),0)</f>
        <v>66</v>
      </c>
      <c r="R92" s="123">
        <f>ifna(vlookup(D92,'S3'!$1:$1311,2,False),0)</f>
        <v>79</v>
      </c>
      <c r="S92" s="123"/>
      <c r="T92" s="124">
        <v>12.0</v>
      </c>
      <c r="U92" s="125">
        <v>20.0</v>
      </c>
      <c r="V92" s="125">
        <v>68.0</v>
      </c>
      <c r="W92" s="125">
        <v>48.0</v>
      </c>
      <c r="X92" s="125">
        <v>62.0</v>
      </c>
      <c r="Y92" s="125"/>
      <c r="Z92" s="126"/>
      <c r="AA92" s="127">
        <v>80.0</v>
      </c>
      <c r="AB92" s="26">
        <v>100.0</v>
      </c>
      <c r="AC92" s="135">
        <v>99.5</v>
      </c>
      <c r="AD92" s="129">
        <v>68.0</v>
      </c>
      <c r="AE92" s="130">
        <v>74.0</v>
      </c>
      <c r="AF92" s="129"/>
      <c r="AG92" s="129">
        <v>83.0</v>
      </c>
      <c r="AH92" s="129"/>
      <c r="AI92" s="131"/>
      <c r="AJ92" s="131"/>
      <c r="AK92" s="132">
        <f t="shared" si="1"/>
        <v>4</v>
      </c>
      <c r="AL92" s="132">
        <f t="shared" si="2"/>
        <v>3</v>
      </c>
      <c r="AM92" s="133">
        <f t="shared" si="3"/>
        <v>2</v>
      </c>
      <c r="AN92" s="132" t="str">
        <f t="shared" si="4"/>
        <v>3.5</v>
      </c>
      <c r="AO92" s="132">
        <f t="shared" si="5"/>
        <v>3</v>
      </c>
      <c r="AP92" s="88"/>
      <c r="AQ92" s="88"/>
    </row>
    <row r="93">
      <c r="A93" s="114">
        <v>88.0</v>
      </c>
      <c r="B93" s="115" t="s">
        <v>1962</v>
      </c>
      <c r="C93" s="115" t="s">
        <v>2551</v>
      </c>
      <c r="D93" s="116" t="str">
        <f>VLOOKUP(B93,USN!$1:$1088,2,FALSE)</f>
        <v>1CR23CS091</v>
      </c>
      <c r="E93" s="116">
        <v>8.210303235E9</v>
      </c>
      <c r="F93" s="117" t="s">
        <v>2461</v>
      </c>
      <c r="G93" s="118"/>
      <c r="H93" s="119">
        <v>89.0</v>
      </c>
      <c r="I93" s="116">
        <v>86.0</v>
      </c>
      <c r="J93" s="120">
        <f>IFNA(VLOOKUP(D93,'L3'!$1:$2060,2,False),0)</f>
        <v>70</v>
      </c>
      <c r="K93" s="120">
        <f>VLOOKUP(D93,'L4'!$1:$2059,2,FALSE)</f>
        <v>70</v>
      </c>
      <c r="L93" s="121">
        <f>VLOOKUP(D93,'A1 RETEST 5 DEC'!$1:$2096,2,FALSE)</f>
        <v>60</v>
      </c>
      <c r="M93" s="121">
        <f>VLOOKUP(D93,'A2 RETEST 4 DEC'!$1:$2096,2,FALSE)</f>
        <v>50</v>
      </c>
      <c r="N93" s="122">
        <v>6.0</v>
      </c>
      <c r="O93" s="121"/>
      <c r="P93" s="123">
        <f>IFNA(VLOOKUP(D93,'S1'!$1:$1325,2,False),0)</f>
        <v>50</v>
      </c>
      <c r="Q93" s="123">
        <f>IFNA(vlookup(D93,'S2'!A89:B1291,2,False),0)</f>
        <v>65</v>
      </c>
      <c r="R93" s="123">
        <f>ifna(vlookup(D93,'S3'!$1:$1311,2,False),0)</f>
        <v>71</v>
      </c>
      <c r="S93" s="123"/>
      <c r="T93" s="124">
        <v>19.0</v>
      </c>
      <c r="U93" s="125">
        <v>18.0</v>
      </c>
      <c r="V93" s="125">
        <v>72.0</v>
      </c>
      <c r="W93" s="125">
        <v>48.0</v>
      </c>
      <c r="X93" s="125">
        <v>82.0</v>
      </c>
      <c r="Y93" s="125"/>
      <c r="Z93" s="126"/>
      <c r="AA93" s="127">
        <v>30.0</v>
      </c>
      <c r="AB93" s="26">
        <v>79.0</v>
      </c>
      <c r="AC93" s="135">
        <v>80.0</v>
      </c>
      <c r="AD93" s="129">
        <v>88.0</v>
      </c>
      <c r="AE93" s="130">
        <v>10.0</v>
      </c>
      <c r="AF93" s="129"/>
      <c r="AG93" s="129">
        <v>27.0</v>
      </c>
      <c r="AH93" s="129"/>
      <c r="AI93" s="131"/>
      <c r="AJ93" s="131"/>
      <c r="AK93" s="132">
        <f t="shared" si="1"/>
        <v>4</v>
      </c>
      <c r="AL93" s="132">
        <f t="shared" si="2"/>
        <v>2</v>
      </c>
      <c r="AM93" s="133">
        <f t="shared" si="3"/>
        <v>2</v>
      </c>
      <c r="AN93" s="132" t="str">
        <f t="shared" si="4"/>
        <v>3</v>
      </c>
      <c r="AO93" s="132">
        <f t="shared" si="5"/>
        <v>3</v>
      </c>
      <c r="AP93" s="88"/>
      <c r="AQ93" s="88"/>
    </row>
    <row r="94">
      <c r="A94" s="114">
        <v>89.0</v>
      </c>
      <c r="B94" s="115" t="s">
        <v>1935</v>
      </c>
      <c r="C94" s="115" t="s">
        <v>2552</v>
      </c>
      <c r="D94" s="116" t="str">
        <f>VLOOKUP(B94,USN!$1:$1088,2,FALSE)</f>
        <v>1CR23CS092</v>
      </c>
      <c r="E94" s="116">
        <v>9.019642103E9</v>
      </c>
      <c r="F94" s="117" t="s">
        <v>2461</v>
      </c>
      <c r="G94" s="118"/>
      <c r="H94" s="119">
        <v>79.0</v>
      </c>
      <c r="I94" s="116">
        <v>85.0</v>
      </c>
      <c r="J94" s="120">
        <f>IFNA(VLOOKUP(D94,'L3'!$1:$2060,2,False),0)</f>
        <v>70</v>
      </c>
      <c r="K94" s="120">
        <f>VLOOKUP(D94,'L4'!$1:$2059,2,FALSE)</f>
        <v>79</v>
      </c>
      <c r="L94" s="121">
        <f>VLOOKUP(D94,'A1 RETEST 5 DEC'!$1:$2096,2,FALSE)</f>
        <v>50</v>
      </c>
      <c r="M94" s="121">
        <f>VLOOKUP(D94,'A2 RETEST 4 DEC'!$1:$2096,2,FALSE)</f>
        <v>8</v>
      </c>
      <c r="N94" s="122">
        <v>50.0</v>
      </c>
      <c r="O94" s="121"/>
      <c r="P94" s="123">
        <f>IFNA(VLOOKUP(D94,'S1'!$1:$1325,2,False),0)</f>
        <v>82</v>
      </c>
      <c r="Q94" s="123">
        <f>IFNA(vlookup(D94,'S2'!A90:B1292,2,False),0)</f>
        <v>72</v>
      </c>
      <c r="R94" s="123">
        <f>ifna(vlookup(D94,'S3'!$1:$1311,2,False),0)</f>
        <v>88</v>
      </c>
      <c r="S94" s="123"/>
      <c r="T94" s="124">
        <v>20.0</v>
      </c>
      <c r="U94" s="125">
        <v>17.0</v>
      </c>
      <c r="V94" s="125">
        <v>70.0</v>
      </c>
      <c r="W94" s="125">
        <v>40.0</v>
      </c>
      <c r="X94" s="125">
        <v>92.0</v>
      </c>
      <c r="Y94" s="125"/>
      <c r="Z94" s="126"/>
      <c r="AA94" s="127">
        <v>100.0</v>
      </c>
      <c r="AB94" s="26">
        <v>92.5</v>
      </c>
      <c r="AC94" s="135">
        <v>54.5</v>
      </c>
      <c r="AD94" s="129">
        <v>80.0</v>
      </c>
      <c r="AE94" s="130">
        <v>52.0</v>
      </c>
      <c r="AF94" s="129"/>
      <c r="AG94" s="129">
        <v>75.0</v>
      </c>
      <c r="AH94" s="129"/>
      <c r="AI94" s="131"/>
      <c r="AJ94" s="131"/>
      <c r="AK94" s="132">
        <f t="shared" si="1"/>
        <v>4</v>
      </c>
      <c r="AL94" s="132">
        <f t="shared" si="2"/>
        <v>1</v>
      </c>
      <c r="AM94" s="133">
        <f t="shared" si="3"/>
        <v>2</v>
      </c>
      <c r="AN94" s="132" t="str">
        <f t="shared" si="4"/>
        <v>3</v>
      </c>
      <c r="AO94" s="132">
        <f t="shared" si="5"/>
        <v>3</v>
      </c>
      <c r="AP94" s="88"/>
      <c r="AQ94" s="88"/>
    </row>
    <row r="95">
      <c r="A95" s="114">
        <v>90.0</v>
      </c>
      <c r="B95" s="115" t="s">
        <v>1963</v>
      </c>
      <c r="C95" s="115" t="s">
        <v>2553</v>
      </c>
      <c r="D95" s="116" t="str">
        <f>VLOOKUP(B95,USN!$1:$1088,2,FALSE)</f>
        <v>1CR23CS093</v>
      </c>
      <c r="E95" s="116">
        <v>8.76631359E9</v>
      </c>
      <c r="F95" s="117" t="s">
        <v>2461</v>
      </c>
      <c r="G95" s="118"/>
      <c r="H95" s="119">
        <v>81.0</v>
      </c>
      <c r="I95" s="116">
        <v>84.0</v>
      </c>
      <c r="J95" s="120">
        <f>IFNA(VLOOKUP(D95,'L3'!$1:$2060,2,False),0)</f>
        <v>70</v>
      </c>
      <c r="K95" s="120">
        <f>VLOOKUP(D95,'L4'!$1:$2059,2,FALSE)</f>
        <v>70</v>
      </c>
      <c r="L95" s="121">
        <f>VLOOKUP(D95,'A1 RETEST 5 DEC'!$1:$2096,2,FALSE)</f>
        <v>54</v>
      </c>
      <c r="M95" s="121">
        <f>VLOOKUP(D95,'A2 RETEST 4 DEC'!$1:$2096,2,FALSE)</f>
        <v>9</v>
      </c>
      <c r="N95" s="122">
        <v>18.0</v>
      </c>
      <c r="O95" s="121"/>
      <c r="P95" s="123">
        <f>IFNA(VLOOKUP(D95,'S1'!$1:$1325,2,False),0)</f>
        <v>78</v>
      </c>
      <c r="Q95" s="123">
        <f>IFNA(vlookup(D95,'S2'!A91:B1293,2,False),0)</f>
        <v>65</v>
      </c>
      <c r="R95" s="123">
        <f>ifna(vlookup(D95,'S3'!$1:$1311,2,False),0)</f>
        <v>50</v>
      </c>
      <c r="S95" s="123"/>
      <c r="T95" s="124">
        <v>10.0</v>
      </c>
      <c r="U95" s="125">
        <v>17.0</v>
      </c>
      <c r="V95" s="125">
        <v>68.0</v>
      </c>
      <c r="W95" s="125">
        <v>40.0</v>
      </c>
      <c r="X95" s="125"/>
      <c r="Y95" s="125"/>
      <c r="Z95" s="126"/>
      <c r="AA95" s="127">
        <v>44.0</v>
      </c>
      <c r="AB95" s="26">
        <v>98.0</v>
      </c>
      <c r="AC95" s="135">
        <v>66.0</v>
      </c>
      <c r="AD95" s="129">
        <v>100.0</v>
      </c>
      <c r="AE95" s="130">
        <v>10.0</v>
      </c>
      <c r="AF95" s="129"/>
      <c r="AG95" s="129">
        <v>10.0</v>
      </c>
      <c r="AH95" s="129"/>
      <c r="AI95" s="131"/>
      <c r="AJ95" s="131"/>
      <c r="AK95" s="132">
        <f t="shared" si="1"/>
        <v>4</v>
      </c>
      <c r="AL95" s="132">
        <f t="shared" si="2"/>
        <v>1</v>
      </c>
      <c r="AM95" s="133">
        <f t="shared" si="3"/>
        <v>2</v>
      </c>
      <c r="AN95" s="132" t="str">
        <f t="shared" si="4"/>
        <v>3</v>
      </c>
      <c r="AO95" s="132">
        <f t="shared" si="5"/>
        <v>3</v>
      </c>
      <c r="AP95" s="88"/>
      <c r="AQ95" s="88"/>
    </row>
    <row r="96">
      <c r="A96" s="114">
        <v>91.0</v>
      </c>
      <c r="B96" s="115" t="s">
        <v>1964</v>
      </c>
      <c r="C96" s="115" t="s">
        <v>2554</v>
      </c>
      <c r="D96" s="116" t="str">
        <f>VLOOKUP(B96,USN!$1:$1088,2,FALSE)</f>
        <v>1CR23CS094</v>
      </c>
      <c r="E96" s="116">
        <v>9.591400815E9</v>
      </c>
      <c r="F96" s="117" t="s">
        <v>2461</v>
      </c>
      <c r="G96" s="118"/>
      <c r="H96" s="119">
        <v>86.0</v>
      </c>
      <c r="I96" s="116">
        <v>86.0</v>
      </c>
      <c r="J96" s="120">
        <f>IFNA(VLOOKUP(D96,'L3'!$1:$2060,2,False),0)</f>
        <v>72</v>
      </c>
      <c r="K96" s="120">
        <f>VLOOKUP(D96,'L4'!$1:$2059,2,FALSE)</f>
        <v>70</v>
      </c>
      <c r="L96" s="121">
        <f>VLOOKUP(D96,'A1 RETEST 5 DEC'!$1:$2096,2,FALSE)</f>
        <v>44</v>
      </c>
      <c r="M96" s="121">
        <f>VLOOKUP(D96,'A2 RETEST 4 DEC'!$1:$2096,2,FALSE)</f>
        <v>19</v>
      </c>
      <c r="N96" s="122">
        <v>0.0</v>
      </c>
      <c r="O96" s="121"/>
      <c r="P96" s="123">
        <f>IFNA(VLOOKUP(D96,'S1'!$1:$1325,2,False),0)</f>
        <v>72</v>
      </c>
      <c r="Q96" s="123">
        <f>IFNA(vlookup(D96,'S2'!A92:B1294,2,False),0)</f>
        <v>50</v>
      </c>
      <c r="R96" s="123">
        <f>ifna(vlookup(D96,'S3'!$1:$1311,2,False),0)</f>
        <v>0</v>
      </c>
      <c r="S96" s="123"/>
      <c r="T96" s="124">
        <v>10.0</v>
      </c>
      <c r="U96" s="125">
        <v>15.0</v>
      </c>
      <c r="V96" s="125">
        <v>44.0</v>
      </c>
      <c r="W96" s="125">
        <v>32.0</v>
      </c>
      <c r="X96" s="125"/>
      <c r="Y96" s="125"/>
      <c r="Z96" s="126"/>
      <c r="AA96" s="127">
        <v>10.0</v>
      </c>
      <c r="AB96" s="26">
        <v>94.0</v>
      </c>
      <c r="AC96" s="135">
        <v>89.5</v>
      </c>
      <c r="AD96" s="129">
        <v>0.0</v>
      </c>
      <c r="AE96" s="130">
        <v>10.0</v>
      </c>
      <c r="AF96" s="129"/>
      <c r="AG96" s="129">
        <v>26.0</v>
      </c>
      <c r="AH96" s="129"/>
      <c r="AI96" s="131"/>
      <c r="AJ96" s="131"/>
      <c r="AK96" s="132">
        <f t="shared" si="1"/>
        <v>4</v>
      </c>
      <c r="AL96" s="132">
        <f t="shared" si="2"/>
        <v>0</v>
      </c>
      <c r="AM96" s="133">
        <f t="shared" si="3"/>
        <v>2</v>
      </c>
      <c r="AN96" s="132" t="str">
        <f t="shared" si="4"/>
        <v>3</v>
      </c>
      <c r="AO96" s="132">
        <f t="shared" si="5"/>
        <v>2</v>
      </c>
      <c r="AP96" s="88"/>
      <c r="AQ96" s="88"/>
    </row>
    <row r="97">
      <c r="A97" s="114">
        <v>92.0</v>
      </c>
      <c r="B97" s="115" t="s">
        <v>121</v>
      </c>
      <c r="C97" s="115" t="s">
        <v>2555</v>
      </c>
      <c r="D97" s="116" t="str">
        <f>VLOOKUP(B97,USN!$1:$1088,2,FALSE)</f>
        <v>1CR23CS095</v>
      </c>
      <c r="E97" s="116">
        <v>9.606796695E9</v>
      </c>
      <c r="F97" s="117" t="s">
        <v>2461</v>
      </c>
      <c r="G97" s="118"/>
      <c r="H97" s="119">
        <v>81.0</v>
      </c>
      <c r="I97" s="116">
        <v>78.0</v>
      </c>
      <c r="J97" s="120">
        <f>IFNA(VLOOKUP(D97,'L3'!$1:$2060,2,False),0)</f>
        <v>70</v>
      </c>
      <c r="K97" s="120">
        <f>VLOOKUP(D97,'L4'!$1:$2059,2,FALSE)</f>
        <v>70</v>
      </c>
      <c r="L97" s="121">
        <f>VLOOKUP(D97,'A1 RETEST 5 DEC'!$1:$2096,2,FALSE)</f>
        <v>45</v>
      </c>
      <c r="M97" s="121">
        <f>VLOOKUP(D97,'A2 RETEST 4 DEC'!$1:$2096,2,FALSE)</f>
        <v>0</v>
      </c>
      <c r="N97" s="122">
        <v>1.0</v>
      </c>
      <c r="O97" s="121"/>
      <c r="P97" s="123">
        <f>IFNA(VLOOKUP(D97,'S1'!$1:$1325,2,False),0)</f>
        <v>64</v>
      </c>
      <c r="Q97" s="123">
        <f>IFNA(vlookup(D97,'S2'!A93:B1295,2,False),0)</f>
        <v>0</v>
      </c>
      <c r="R97" s="123">
        <f>ifna(vlookup(D97,'S3'!$1:$1311,2,False),0)</f>
        <v>0</v>
      </c>
      <c r="S97" s="123"/>
      <c r="T97" s="124">
        <v>17.0</v>
      </c>
      <c r="U97" s="125">
        <v>21.0</v>
      </c>
      <c r="V97" s="125"/>
      <c r="W97" s="125">
        <v>20.0</v>
      </c>
      <c r="X97" s="125"/>
      <c r="Y97" s="125"/>
      <c r="Z97" s="126"/>
      <c r="AA97" s="127">
        <v>20.0</v>
      </c>
      <c r="AB97" s="26">
        <v>90.0</v>
      </c>
      <c r="AC97" s="135">
        <v>100.0</v>
      </c>
      <c r="AD97" s="129">
        <v>1.0</v>
      </c>
      <c r="AE97" s="130">
        <v>10.0</v>
      </c>
      <c r="AF97" s="129"/>
      <c r="AG97" s="129">
        <v>0.0</v>
      </c>
      <c r="AH97" s="129"/>
      <c r="AI97" s="131"/>
      <c r="AJ97" s="131"/>
      <c r="AK97" s="132">
        <f t="shared" si="1"/>
        <v>4</v>
      </c>
      <c r="AL97" s="132">
        <f t="shared" si="2"/>
        <v>0</v>
      </c>
      <c r="AM97" s="133">
        <f t="shared" si="3"/>
        <v>2</v>
      </c>
      <c r="AN97" s="132" t="str">
        <f t="shared" si="4"/>
        <v>3</v>
      </c>
      <c r="AO97" s="132">
        <f t="shared" si="5"/>
        <v>1</v>
      </c>
      <c r="AP97" s="88"/>
      <c r="AQ97" s="88"/>
    </row>
    <row r="98">
      <c r="A98" s="114">
        <v>93.0</v>
      </c>
      <c r="B98" s="115" t="s">
        <v>1966</v>
      </c>
      <c r="C98" s="115" t="s">
        <v>2556</v>
      </c>
      <c r="D98" s="116" t="str">
        <f>VLOOKUP(B98,USN!$1:$1088,2,FALSE)</f>
        <v>1CR23CS098</v>
      </c>
      <c r="E98" s="116">
        <v>9.741238283E9</v>
      </c>
      <c r="F98" s="117" t="s">
        <v>2461</v>
      </c>
      <c r="G98" s="118"/>
      <c r="H98" s="119">
        <v>89.0</v>
      </c>
      <c r="I98" s="116">
        <v>97.0</v>
      </c>
      <c r="J98" s="120">
        <f>IFNA(VLOOKUP(D98,'L3'!$1:$2060,2,False),0)</f>
        <v>90</v>
      </c>
      <c r="K98" s="120">
        <f>VLOOKUP(D98,'L4'!$1:$2059,2,FALSE)</f>
        <v>91</v>
      </c>
      <c r="L98" s="121">
        <f>VLOOKUP(D98,'A1 RETEST 5 DEC'!$1:$2096,2,FALSE)</f>
        <v>73</v>
      </c>
      <c r="M98" s="121">
        <f>VLOOKUP(D98,'A2 RETEST 4 DEC'!$1:$2096,2,FALSE)</f>
        <v>52</v>
      </c>
      <c r="N98" s="122">
        <v>63.0</v>
      </c>
      <c r="O98" s="121"/>
      <c r="P98" s="123">
        <f>IFNA(VLOOKUP(D98,'S1'!$1:$1325,2,False),0)</f>
        <v>86</v>
      </c>
      <c r="Q98" s="123">
        <f>IFNA(vlookup(D98,'S2'!A94:B1296,2,False),0)</f>
        <v>66</v>
      </c>
      <c r="R98" s="123">
        <f>ifna(vlookup(D98,'S3'!$1:$1311,2,False),0)</f>
        <v>75</v>
      </c>
      <c r="S98" s="123"/>
      <c r="T98" s="124">
        <v>13.0</v>
      </c>
      <c r="U98" s="125">
        <v>21.0</v>
      </c>
      <c r="V98" s="125">
        <v>72.0</v>
      </c>
      <c r="W98" s="125">
        <v>40.0</v>
      </c>
      <c r="X98" s="125">
        <v>66.0</v>
      </c>
      <c r="Y98" s="125"/>
      <c r="Z98" s="126"/>
      <c r="AA98" s="127">
        <v>0.0</v>
      </c>
      <c r="AB98" s="26">
        <v>99.0</v>
      </c>
      <c r="AC98" s="135">
        <v>63.0</v>
      </c>
      <c r="AD98" s="129">
        <v>85.0</v>
      </c>
      <c r="AE98" s="130">
        <v>79.0</v>
      </c>
      <c r="AF98" s="129"/>
      <c r="AG98" s="129">
        <v>83.0</v>
      </c>
      <c r="AH98" s="129"/>
      <c r="AI98" s="131"/>
      <c r="AJ98" s="131"/>
      <c r="AK98" s="132">
        <f t="shared" si="1"/>
        <v>4</v>
      </c>
      <c r="AL98" s="132">
        <f t="shared" si="2"/>
        <v>3</v>
      </c>
      <c r="AM98" s="133">
        <f t="shared" si="3"/>
        <v>2</v>
      </c>
      <c r="AN98" s="132" t="str">
        <f t="shared" si="4"/>
        <v>3.5</v>
      </c>
      <c r="AO98" s="132">
        <f t="shared" si="5"/>
        <v>3</v>
      </c>
      <c r="AP98" s="88"/>
      <c r="AQ98" s="88"/>
    </row>
    <row r="99">
      <c r="A99" s="114">
        <v>94.0</v>
      </c>
      <c r="B99" s="115" t="s">
        <v>1942</v>
      </c>
      <c r="C99" s="115" t="s">
        <v>2557</v>
      </c>
      <c r="D99" s="116" t="str">
        <f>VLOOKUP(B99,USN!$1:$1088,2,FALSE)</f>
        <v>1CR23CS099</v>
      </c>
      <c r="E99" s="116">
        <v>8.073589687E9</v>
      </c>
      <c r="F99" s="117" t="s">
        <v>2461</v>
      </c>
      <c r="G99" s="118"/>
      <c r="H99" s="119">
        <v>85.0</v>
      </c>
      <c r="I99" s="116">
        <v>93.0</v>
      </c>
      <c r="J99" s="120">
        <f>IFNA(VLOOKUP(D99,'L3'!$1:$2060,2,False),0)</f>
        <v>71</v>
      </c>
      <c r="K99" s="120">
        <f>VLOOKUP(D99,'L4'!$1:$2059,2,FALSE)</f>
        <v>79</v>
      </c>
      <c r="L99" s="121">
        <f>VLOOKUP(D99,'A1 RETEST 5 DEC'!$1:$2096,2,FALSE)</f>
        <v>50</v>
      </c>
      <c r="M99" s="121">
        <f>VLOOKUP(D99,'A2 RETEST 4 DEC'!$1:$2096,2,FALSE)</f>
        <v>19</v>
      </c>
      <c r="N99" s="122">
        <v>50.0</v>
      </c>
      <c r="O99" s="121"/>
      <c r="P99" s="123">
        <f>IFNA(VLOOKUP(D99,'S1'!$1:$1325,2,False),0)</f>
        <v>84</v>
      </c>
      <c r="Q99" s="123">
        <f>IFNA(vlookup(D99,'S2'!A95:B1297,2,False),0)</f>
        <v>90</v>
      </c>
      <c r="R99" s="123">
        <f>ifna(vlookup(D99,'S3'!$1:$1311,2,False),0)</f>
        <v>96</v>
      </c>
      <c r="S99" s="123"/>
      <c r="T99" s="124">
        <v>22.0</v>
      </c>
      <c r="U99" s="125">
        <v>19.0</v>
      </c>
      <c r="V99" s="125">
        <v>52.0</v>
      </c>
      <c r="W99" s="125">
        <v>48.0</v>
      </c>
      <c r="X99" s="125">
        <v>52.0</v>
      </c>
      <c r="Y99" s="125"/>
      <c r="Z99" s="126"/>
      <c r="AA99" s="127">
        <v>72.0</v>
      </c>
      <c r="AB99" s="26">
        <v>100.0</v>
      </c>
      <c r="AC99" s="135">
        <v>61.0</v>
      </c>
      <c r="AD99" s="129">
        <v>73.0</v>
      </c>
      <c r="AE99" s="130">
        <v>77.0</v>
      </c>
      <c r="AF99" s="129"/>
      <c r="AG99" s="129">
        <v>77.0</v>
      </c>
      <c r="AH99" s="129"/>
      <c r="AI99" s="131"/>
      <c r="AJ99" s="131"/>
      <c r="AK99" s="132">
        <f t="shared" si="1"/>
        <v>4</v>
      </c>
      <c r="AL99" s="132">
        <f t="shared" si="2"/>
        <v>1</v>
      </c>
      <c r="AM99" s="133">
        <f t="shared" si="3"/>
        <v>2</v>
      </c>
      <c r="AN99" s="132" t="str">
        <f t="shared" si="4"/>
        <v>3.5</v>
      </c>
      <c r="AO99" s="132">
        <f t="shared" si="5"/>
        <v>3</v>
      </c>
      <c r="AP99" s="88"/>
      <c r="AQ99" s="88"/>
    </row>
    <row r="100">
      <c r="A100" s="114">
        <v>95.0</v>
      </c>
      <c r="B100" s="115" t="s">
        <v>1967</v>
      </c>
      <c r="C100" s="115" t="s">
        <v>2558</v>
      </c>
      <c r="D100" s="116" t="str">
        <f>VLOOKUP(B100,USN!$1:$1088,2,FALSE)</f>
        <v>1CR23CS100</v>
      </c>
      <c r="E100" s="116">
        <v>9.632174469E9</v>
      </c>
      <c r="F100" s="117" t="s">
        <v>2461</v>
      </c>
      <c r="G100" s="118"/>
      <c r="H100" s="119">
        <v>87.0</v>
      </c>
      <c r="I100" s="116">
        <v>84.0</v>
      </c>
      <c r="J100" s="120">
        <f>IFNA(VLOOKUP(D100,'L3'!$1:$2060,2,False),0)</f>
        <v>75</v>
      </c>
      <c r="K100" s="120">
        <f>VLOOKUP(D100,'L4'!$1:$2059,2,FALSE)</f>
        <v>72</v>
      </c>
      <c r="L100" s="121">
        <f>VLOOKUP(D100,'A1 RETEST 5 DEC'!$1:$2096,2,FALSE)</f>
        <v>53</v>
      </c>
      <c r="M100" s="121">
        <f>VLOOKUP(D100,'A2 RETEST 4 DEC'!$1:$2096,2,FALSE)</f>
        <v>50</v>
      </c>
      <c r="N100" s="122">
        <v>50.0</v>
      </c>
      <c r="O100" s="121"/>
      <c r="P100" s="123">
        <f>IFNA(VLOOKUP(D100,'S1'!$1:$1325,2,False),0)</f>
        <v>73</v>
      </c>
      <c r="Q100" s="123">
        <f>IFNA(vlookup(D100,'S2'!A96:B1298,2,False),0)</f>
        <v>66</v>
      </c>
      <c r="R100" s="123">
        <f>ifna(vlookup(D100,'S3'!$1:$1311,2,False),0)</f>
        <v>59</v>
      </c>
      <c r="S100" s="123"/>
      <c r="T100" s="124">
        <v>22.0</v>
      </c>
      <c r="U100" s="125">
        <v>17.0</v>
      </c>
      <c r="V100" s="125">
        <v>60.0</v>
      </c>
      <c r="W100" s="125">
        <v>56.0</v>
      </c>
      <c r="X100" s="125">
        <v>60.0</v>
      </c>
      <c r="Y100" s="125"/>
      <c r="Z100" s="126"/>
      <c r="AA100" s="127">
        <v>74.0</v>
      </c>
      <c r="AB100" s="26">
        <v>78.0</v>
      </c>
      <c r="AC100" s="135">
        <v>70.5</v>
      </c>
      <c r="AD100" s="129">
        <v>60.0</v>
      </c>
      <c r="AE100" s="130">
        <v>70.0</v>
      </c>
      <c r="AF100" s="129"/>
      <c r="AG100" s="129">
        <v>60.0</v>
      </c>
      <c r="AH100" s="129"/>
      <c r="AI100" s="131"/>
      <c r="AJ100" s="131"/>
      <c r="AK100" s="132">
        <f t="shared" si="1"/>
        <v>4</v>
      </c>
      <c r="AL100" s="132">
        <f t="shared" si="2"/>
        <v>3</v>
      </c>
      <c r="AM100" s="133">
        <f t="shared" si="3"/>
        <v>3</v>
      </c>
      <c r="AN100" s="132" t="str">
        <f t="shared" si="4"/>
        <v>3.5</v>
      </c>
      <c r="AO100" s="132">
        <f t="shared" si="5"/>
        <v>3</v>
      </c>
      <c r="AP100" s="88"/>
      <c r="AQ100" s="88"/>
    </row>
    <row r="101">
      <c r="A101" s="114">
        <v>96.0</v>
      </c>
      <c r="B101" s="137" t="s">
        <v>130</v>
      </c>
      <c r="C101" s="137" t="s">
        <v>2559</v>
      </c>
      <c r="D101" s="116" t="str">
        <f>VLOOKUP(B101,USN!$1:$1088,2,FALSE)</f>
        <v>1CR23CS101</v>
      </c>
      <c r="E101" s="138">
        <v>7.795334079E9</v>
      </c>
      <c r="F101" s="117" t="s">
        <v>2461</v>
      </c>
      <c r="G101" s="118"/>
      <c r="H101" s="119">
        <v>79.0</v>
      </c>
      <c r="I101" s="142">
        <v>52.0</v>
      </c>
      <c r="J101" s="120">
        <f>IFNA(VLOOKUP(D101,'L3'!$1:$2060,2,False),0)</f>
        <v>70</v>
      </c>
      <c r="K101" s="120">
        <f>VLOOKUP(D101,'L4'!$1:$2059,2,FALSE)</f>
        <v>70</v>
      </c>
      <c r="L101" s="121">
        <f>VLOOKUP(D101,'A1 RETEST 5 DEC'!$1:$2096,2,FALSE)</f>
        <v>50</v>
      </c>
      <c r="M101" s="121">
        <f>VLOOKUP(D101,'A2 RETEST 4 DEC'!$1:$2096,2,FALSE)</f>
        <v>10</v>
      </c>
      <c r="N101" s="122">
        <v>9.0</v>
      </c>
      <c r="O101" s="121"/>
      <c r="P101" s="123">
        <f>IFNA(VLOOKUP(D101,'S1'!$1:$1325,2,False),0)</f>
        <v>70</v>
      </c>
      <c r="Q101" s="123">
        <f>IFNA(vlookup(D101,'S2'!A97:B1299,2,False),0)</f>
        <v>0</v>
      </c>
      <c r="R101" s="123">
        <f>ifna(vlookup(D101,'S3'!$1:$1311,2,False),0)</f>
        <v>0</v>
      </c>
      <c r="S101" s="123"/>
      <c r="T101" s="124">
        <v>11.0</v>
      </c>
      <c r="U101" s="125">
        <v>22.0</v>
      </c>
      <c r="V101" s="125">
        <v>32.0</v>
      </c>
      <c r="W101" s="125">
        <v>32.0</v>
      </c>
      <c r="X101" s="125">
        <v>62.0</v>
      </c>
      <c r="Y101" s="125"/>
      <c r="Z101" s="126"/>
      <c r="AA101" s="127">
        <v>100.0</v>
      </c>
      <c r="AB101" s="26">
        <v>42.5</v>
      </c>
      <c r="AC101" s="135">
        <v>75.5</v>
      </c>
      <c r="AD101" s="129">
        <v>60.0</v>
      </c>
      <c r="AE101" s="130">
        <v>10.0</v>
      </c>
      <c r="AF101" s="129"/>
      <c r="AG101" s="129">
        <v>24.0</v>
      </c>
      <c r="AH101" s="129"/>
      <c r="AI101" s="131"/>
      <c r="AJ101" s="131"/>
      <c r="AK101" s="132">
        <f t="shared" si="1"/>
        <v>1</v>
      </c>
      <c r="AL101" s="132">
        <f t="shared" si="2"/>
        <v>1</v>
      </c>
      <c r="AM101" s="133">
        <f t="shared" si="3"/>
        <v>2</v>
      </c>
      <c r="AN101" s="132" t="str">
        <f t="shared" si="4"/>
        <v>0</v>
      </c>
      <c r="AO101" s="132">
        <f t="shared" si="5"/>
        <v>1</v>
      </c>
      <c r="AP101" s="88"/>
      <c r="AQ101" s="88"/>
    </row>
    <row r="102">
      <c r="A102" s="114">
        <v>97.0</v>
      </c>
      <c r="B102" s="115" t="s">
        <v>2012</v>
      </c>
      <c r="C102" s="115" t="s">
        <v>2560</v>
      </c>
      <c r="D102" s="116" t="str">
        <f>VLOOKUP(B102,USN!$1:$1088,2,FALSE)</f>
        <v>1CR23CS102</v>
      </c>
      <c r="E102" s="116" t="s">
        <v>2561</v>
      </c>
      <c r="F102" s="117" t="s">
        <v>2461</v>
      </c>
      <c r="G102" s="118"/>
      <c r="H102" s="119">
        <v>87.0</v>
      </c>
      <c r="I102" s="116">
        <v>86.0</v>
      </c>
      <c r="J102" s="120">
        <f>IFNA(VLOOKUP(D102,'L3'!$1:$2060,2,False),0)</f>
        <v>12</v>
      </c>
      <c r="K102" s="120">
        <f>VLOOKUP(D102,'L4'!$1:$2059,2,FALSE)</f>
        <v>4</v>
      </c>
      <c r="L102" s="121">
        <f>VLOOKUP(D102,'A1 RETEST 5 DEC'!$1:$2096,2,FALSE)</f>
        <v>19</v>
      </c>
      <c r="M102" s="121">
        <f>VLOOKUP(D102,'A2 RETEST 4 DEC'!$1:$2096,2,FALSE)</f>
        <v>0</v>
      </c>
      <c r="N102" s="122">
        <v>0.0</v>
      </c>
      <c r="O102" s="121"/>
      <c r="P102" s="123">
        <f>IFNA(VLOOKUP(D102,'S1'!$1:$1325,2,False),0)</f>
        <v>0</v>
      </c>
      <c r="Q102" s="123">
        <f>IFNA(vlookup(D102,'S2'!A98:B1300,2,False),0)</f>
        <v>0</v>
      </c>
      <c r="R102" s="123">
        <f>ifna(vlookup(D102,'S3'!$1:$1311,2,False),0)</f>
        <v>0</v>
      </c>
      <c r="S102" s="123"/>
      <c r="T102" s="124">
        <v>11.0</v>
      </c>
      <c r="U102" s="125" t="s">
        <v>2477</v>
      </c>
      <c r="V102" s="125"/>
      <c r="W102" s="125"/>
      <c r="X102" s="125"/>
      <c r="Y102" s="125"/>
      <c r="Z102" s="126"/>
      <c r="AA102" s="127">
        <v>62.0</v>
      </c>
      <c r="AB102" s="26">
        <v>100.0</v>
      </c>
      <c r="AC102" s="135">
        <v>0.0</v>
      </c>
      <c r="AD102" s="129">
        <v>0.0</v>
      </c>
      <c r="AE102" s="130">
        <v>10.0</v>
      </c>
      <c r="AF102" s="129"/>
      <c r="AG102" s="129">
        <v>0.0</v>
      </c>
      <c r="AH102" s="129"/>
      <c r="AI102" s="131"/>
      <c r="AJ102" s="131"/>
      <c r="AK102" s="132">
        <f t="shared" si="1"/>
        <v>2</v>
      </c>
      <c r="AL102" s="132">
        <f t="shared" si="2"/>
        <v>0</v>
      </c>
      <c r="AM102" s="133">
        <f t="shared" si="3"/>
        <v>2</v>
      </c>
      <c r="AN102" s="132" t="str">
        <f t="shared" si="4"/>
        <v>2</v>
      </c>
      <c r="AO102" s="132">
        <f t="shared" si="5"/>
        <v>0</v>
      </c>
      <c r="AP102" s="88"/>
      <c r="AQ102" s="88"/>
    </row>
    <row r="103">
      <c r="A103" s="114">
        <v>98.0</v>
      </c>
      <c r="B103" s="115" t="s">
        <v>1968</v>
      </c>
      <c r="C103" s="115" t="s">
        <v>2562</v>
      </c>
      <c r="D103" s="116" t="str">
        <f>VLOOKUP(B103,USN!$1:$1088,2,FALSE)</f>
        <v>1CR23CS103</v>
      </c>
      <c r="E103" s="116">
        <v>9.980907545E9</v>
      </c>
      <c r="F103" s="117" t="s">
        <v>2461</v>
      </c>
      <c r="G103" s="118"/>
      <c r="H103" s="119">
        <v>70.0</v>
      </c>
      <c r="I103" s="116">
        <v>80.0</v>
      </c>
      <c r="J103" s="120">
        <f>IFNA(VLOOKUP(D103,'L3'!$1:$2060,2,False),0)</f>
        <v>70</v>
      </c>
      <c r="K103" s="120">
        <f>VLOOKUP(D103,'L4'!$1:$2059,2,FALSE)</f>
        <v>74</v>
      </c>
      <c r="L103" s="121">
        <f>VLOOKUP(D103,'A1 RETEST 5 DEC'!$1:$2096,2,FALSE)</f>
        <v>50</v>
      </c>
      <c r="M103" s="121">
        <f>VLOOKUP(D103,'A2 RETEST 4 DEC'!$1:$2096,2,FALSE)</f>
        <v>50</v>
      </c>
      <c r="N103" s="122">
        <v>50.0</v>
      </c>
      <c r="O103" s="121"/>
      <c r="P103" s="123">
        <f>IFNA(VLOOKUP(D103,'S1'!$1:$1325,2,False),0)</f>
        <v>84</v>
      </c>
      <c r="Q103" s="123">
        <f>IFNA(vlookup(D103,'S2'!A99:B1301,2,False),0)</f>
        <v>90</v>
      </c>
      <c r="R103" s="123">
        <f>ifna(vlookup(D103,'S3'!$1:$1311,2,False),0)</f>
        <v>79</v>
      </c>
      <c r="S103" s="123"/>
      <c r="T103" s="124">
        <v>11.0</v>
      </c>
      <c r="U103" s="125">
        <v>16.0</v>
      </c>
      <c r="V103" s="125">
        <v>72.0</v>
      </c>
      <c r="W103" s="125">
        <v>36.0</v>
      </c>
      <c r="X103" s="125"/>
      <c r="Y103" s="125"/>
      <c r="Z103" s="126"/>
      <c r="AA103" s="127">
        <v>50.0</v>
      </c>
      <c r="AB103" s="26">
        <v>68.0</v>
      </c>
      <c r="AC103" s="135">
        <v>82.0</v>
      </c>
      <c r="AD103" s="129">
        <v>100.0</v>
      </c>
      <c r="AE103" s="130">
        <v>70.0</v>
      </c>
      <c r="AF103" s="129"/>
      <c r="AG103" s="129">
        <v>10.0</v>
      </c>
      <c r="AH103" s="129"/>
      <c r="AI103" s="131"/>
      <c r="AJ103" s="131"/>
      <c r="AK103" s="132">
        <f t="shared" si="1"/>
        <v>4</v>
      </c>
      <c r="AL103" s="132">
        <f t="shared" si="2"/>
        <v>3</v>
      </c>
      <c r="AM103" s="133">
        <f t="shared" si="3"/>
        <v>2</v>
      </c>
      <c r="AN103" s="132" t="str">
        <f t="shared" si="4"/>
        <v>3.5</v>
      </c>
      <c r="AO103" s="132">
        <f t="shared" si="5"/>
        <v>3</v>
      </c>
      <c r="AP103" s="88"/>
      <c r="AQ103" s="88"/>
    </row>
    <row r="104">
      <c r="A104" s="114">
        <v>99.0</v>
      </c>
      <c r="B104" s="115" t="s">
        <v>1969</v>
      </c>
      <c r="C104" s="115" t="s">
        <v>2563</v>
      </c>
      <c r="D104" s="116" t="str">
        <f>VLOOKUP(B104,USN!$1:$1088,2,FALSE)</f>
        <v>1CR23CS104</v>
      </c>
      <c r="E104" s="116">
        <v>9.741611328E9</v>
      </c>
      <c r="F104" s="117" t="s">
        <v>2461</v>
      </c>
      <c r="G104" s="118"/>
      <c r="H104" s="119">
        <v>75.0</v>
      </c>
      <c r="I104" s="116">
        <v>80.0</v>
      </c>
      <c r="J104" s="120">
        <f>IFNA(VLOOKUP(D104,'L3'!$1:$2060,2,False),0)</f>
        <v>70</v>
      </c>
      <c r="K104" s="120">
        <f>VLOOKUP(D104,'L4'!$1:$2059,2,FALSE)</f>
        <v>70</v>
      </c>
      <c r="L104" s="121">
        <f>VLOOKUP(D104,'A1 RETEST 5 DEC'!$1:$2096,2,FALSE)</f>
        <v>50</v>
      </c>
      <c r="M104" s="121">
        <f>VLOOKUP(D104,'A2 RETEST 4 DEC'!$1:$2096,2,FALSE)</f>
        <v>9</v>
      </c>
      <c r="N104" s="122">
        <v>13.0</v>
      </c>
      <c r="O104" s="121"/>
      <c r="P104" s="123">
        <f>IFNA(VLOOKUP(D104,'S1'!$1:$1325,2,False),0)</f>
        <v>0</v>
      </c>
      <c r="Q104" s="123">
        <f>IFNA(vlookup(D104,'S2'!A100:B1302,2,False),0)</f>
        <v>0</v>
      </c>
      <c r="R104" s="123">
        <f>ifna(vlookup(D104,'S3'!$1:$1311,2,False),0)</f>
        <v>62</v>
      </c>
      <c r="S104" s="123"/>
      <c r="T104" s="124">
        <v>19.0</v>
      </c>
      <c r="U104" s="125">
        <v>19.0</v>
      </c>
      <c r="V104" s="125">
        <v>76.0</v>
      </c>
      <c r="W104" s="125">
        <v>68.0</v>
      </c>
      <c r="X104" s="125"/>
      <c r="Y104" s="125"/>
      <c r="Z104" s="126"/>
      <c r="AA104" s="127">
        <v>74.0</v>
      </c>
      <c r="AB104" s="26">
        <v>59.0</v>
      </c>
      <c r="AC104" s="135">
        <v>48.0</v>
      </c>
      <c r="AD104" s="129">
        <v>100.0</v>
      </c>
      <c r="AE104" s="130">
        <v>10.0</v>
      </c>
      <c r="AF104" s="129"/>
      <c r="AG104" s="129">
        <v>0.0</v>
      </c>
      <c r="AH104" s="129"/>
      <c r="AI104" s="131"/>
      <c r="AJ104" s="131"/>
      <c r="AK104" s="132">
        <f t="shared" si="1"/>
        <v>4</v>
      </c>
      <c r="AL104" s="132">
        <f t="shared" si="2"/>
        <v>1</v>
      </c>
      <c r="AM104" s="133">
        <f t="shared" si="3"/>
        <v>3</v>
      </c>
      <c r="AN104" s="132" t="str">
        <f t="shared" si="4"/>
        <v>3</v>
      </c>
      <c r="AO104" s="132">
        <f t="shared" si="5"/>
        <v>0</v>
      </c>
      <c r="AP104" s="88"/>
      <c r="AQ104" s="88"/>
    </row>
    <row r="105">
      <c r="A105" s="114">
        <v>100.0</v>
      </c>
      <c r="B105" s="115" t="s">
        <v>2020</v>
      </c>
      <c r="C105" s="115" t="s">
        <v>2564</v>
      </c>
      <c r="D105" s="116" t="str">
        <f>VLOOKUP(B105,USN!$1:$1088,2,FALSE)</f>
        <v>1CR23CS105</v>
      </c>
      <c r="E105" s="116">
        <v>8.073331245E9</v>
      </c>
      <c r="F105" s="117" t="s">
        <v>2461</v>
      </c>
      <c r="G105" s="118"/>
      <c r="H105" s="119">
        <v>71.0</v>
      </c>
      <c r="I105" s="116">
        <v>78.0</v>
      </c>
      <c r="J105" s="120">
        <f>IFNA(VLOOKUP(D105,'L3'!$1:$2060,2,False),0)</f>
        <v>70</v>
      </c>
      <c r="K105" s="120">
        <f>VLOOKUP(D105,'L4'!$1:$2059,2,FALSE)</f>
        <v>73</v>
      </c>
      <c r="L105" s="121">
        <f>VLOOKUP(D105,'A1 RETEST 5 DEC'!$1:$2096,2,FALSE)</f>
        <v>50</v>
      </c>
      <c r="M105" s="121">
        <f>VLOOKUP(D105,'A2 RETEST 4 DEC'!$1:$2096,2,FALSE)</f>
        <v>18</v>
      </c>
      <c r="N105" s="122">
        <v>10.0</v>
      </c>
      <c r="O105" s="121"/>
      <c r="P105" s="123">
        <f>IFNA(VLOOKUP(D105,'S1'!$1:$1325,2,False),0)</f>
        <v>78</v>
      </c>
      <c r="Q105" s="123">
        <f>IFNA(vlookup(D105,'S2'!A101:B1303,2,False),0)</f>
        <v>72</v>
      </c>
      <c r="R105" s="123">
        <f>ifna(vlookup(D105,'S3'!$1:$1311,2,False),0)</f>
        <v>66</v>
      </c>
      <c r="S105" s="123"/>
      <c r="T105" s="124">
        <v>13.0</v>
      </c>
      <c r="U105" s="125">
        <v>15.0</v>
      </c>
      <c r="V105" s="125">
        <v>60.0</v>
      </c>
      <c r="W105" s="125">
        <v>32.0</v>
      </c>
      <c r="X105" s="125"/>
      <c r="Y105" s="125"/>
      <c r="Z105" s="126"/>
      <c r="AA105" s="127">
        <v>70.0</v>
      </c>
      <c r="AB105" s="26">
        <v>85.0</v>
      </c>
      <c r="AC105" s="135">
        <v>77.5</v>
      </c>
      <c r="AD105" s="129">
        <v>100.0</v>
      </c>
      <c r="AE105" s="130">
        <v>37.0</v>
      </c>
      <c r="AF105" s="129"/>
      <c r="AG105" s="129">
        <v>0.0</v>
      </c>
      <c r="AH105" s="129"/>
      <c r="AI105" s="131"/>
      <c r="AJ105" s="131"/>
      <c r="AK105" s="132">
        <f t="shared" si="1"/>
        <v>4</v>
      </c>
      <c r="AL105" s="132">
        <f t="shared" si="2"/>
        <v>1</v>
      </c>
      <c r="AM105" s="133">
        <f t="shared" si="3"/>
        <v>2</v>
      </c>
      <c r="AN105" s="132" t="str">
        <f t="shared" si="4"/>
        <v>3</v>
      </c>
      <c r="AO105" s="132">
        <f t="shared" si="5"/>
        <v>3</v>
      </c>
      <c r="AP105" s="88"/>
      <c r="AQ105" s="88"/>
    </row>
    <row r="106">
      <c r="A106" s="114">
        <v>101.0</v>
      </c>
      <c r="B106" s="115" t="s">
        <v>1970</v>
      </c>
      <c r="C106" s="115" t="s">
        <v>2565</v>
      </c>
      <c r="D106" s="116" t="str">
        <f>VLOOKUP(B106,USN!$1:$1088,2,FALSE)</f>
        <v>1CR23CS106</v>
      </c>
      <c r="E106" s="116">
        <v>8.884722535E9</v>
      </c>
      <c r="F106" s="117" t="s">
        <v>2461</v>
      </c>
      <c r="G106" s="118"/>
      <c r="H106" s="119">
        <v>80.0</v>
      </c>
      <c r="I106" s="116">
        <v>77.0</v>
      </c>
      <c r="J106" s="120">
        <f>IFNA(VLOOKUP(D106,'L3'!$1:$2060,2,False),0)</f>
        <v>70</v>
      </c>
      <c r="K106" s="120">
        <f>VLOOKUP(D106,'L4'!$1:$2059,2,FALSE)</f>
        <v>70</v>
      </c>
      <c r="L106" s="121">
        <f>VLOOKUP(D106,'A1 RETEST 5 DEC'!$1:$2096,2,FALSE)</f>
        <v>50</v>
      </c>
      <c r="M106" s="121">
        <f>VLOOKUP(D106,'A2 RETEST 4 DEC'!$1:$2096,2,FALSE)</f>
        <v>50</v>
      </c>
      <c r="N106" s="122">
        <v>5.0</v>
      </c>
      <c r="O106" s="121"/>
      <c r="P106" s="123">
        <f>IFNA(VLOOKUP(D106,'S1'!$1:$1325,2,False),0)</f>
        <v>80</v>
      </c>
      <c r="Q106" s="123">
        <f>IFNA(vlookup(D106,'S2'!A102:B1304,2,False),0)</f>
        <v>65</v>
      </c>
      <c r="R106" s="123">
        <f>ifna(vlookup(D106,'S3'!$1:$1311,2,False),0)</f>
        <v>82</v>
      </c>
      <c r="S106" s="123"/>
      <c r="T106" s="124">
        <v>20.0</v>
      </c>
      <c r="U106" s="125">
        <v>15.0</v>
      </c>
      <c r="V106" s="125">
        <v>60.0</v>
      </c>
      <c r="W106" s="125">
        <v>32.0</v>
      </c>
      <c r="X106" s="125">
        <v>82.0</v>
      </c>
      <c r="Y106" s="125"/>
      <c r="Z106" s="126"/>
      <c r="AA106" s="127">
        <v>72.0</v>
      </c>
      <c r="AB106" s="26">
        <v>33.0</v>
      </c>
      <c r="AC106" s="135">
        <v>70.0</v>
      </c>
      <c r="AD106" s="129">
        <v>100.0</v>
      </c>
      <c r="AE106" s="130">
        <v>89.0</v>
      </c>
      <c r="AF106" s="129"/>
      <c r="AG106" s="129">
        <v>4.0</v>
      </c>
      <c r="AH106" s="129"/>
      <c r="AI106" s="131"/>
      <c r="AJ106" s="131"/>
      <c r="AK106" s="132">
        <f t="shared" si="1"/>
        <v>4</v>
      </c>
      <c r="AL106" s="132">
        <f t="shared" si="2"/>
        <v>2</v>
      </c>
      <c r="AM106" s="133">
        <f t="shared" si="3"/>
        <v>2</v>
      </c>
      <c r="AN106" s="132" t="str">
        <f t="shared" si="4"/>
        <v>0</v>
      </c>
      <c r="AO106" s="132">
        <f t="shared" si="5"/>
        <v>3</v>
      </c>
      <c r="AP106" s="88"/>
      <c r="AQ106" s="88"/>
    </row>
    <row r="107">
      <c r="A107" s="114">
        <v>102.0</v>
      </c>
      <c r="B107" s="115" t="s">
        <v>1971</v>
      </c>
      <c r="C107" s="115" t="s">
        <v>2566</v>
      </c>
      <c r="D107" s="116" t="str">
        <f>VLOOKUP(B107,USN!$1:$1088,2,FALSE)</f>
        <v>1CR23CS107</v>
      </c>
      <c r="E107" s="116">
        <v>7.550883806E9</v>
      </c>
      <c r="F107" s="117" t="s">
        <v>2461</v>
      </c>
      <c r="G107" s="118"/>
      <c r="H107" s="119">
        <v>89.0</v>
      </c>
      <c r="I107" s="116">
        <v>86.0</v>
      </c>
      <c r="J107" s="120">
        <f>IFNA(VLOOKUP(D107,'L3'!$1:$2060,2,False),0)</f>
        <v>67</v>
      </c>
      <c r="K107" s="120">
        <f>VLOOKUP(D107,'L4'!$1:$2059,2,FALSE)</f>
        <v>70</v>
      </c>
      <c r="L107" s="121">
        <f>VLOOKUP(D107,'A1 RETEST 5 DEC'!$1:$2096,2,FALSE)</f>
        <v>63</v>
      </c>
      <c r="M107" s="121">
        <f>VLOOKUP(D107,'A2 RETEST 4 DEC'!$1:$2096,2,FALSE)</f>
        <v>50</v>
      </c>
      <c r="N107" s="122">
        <v>19.0</v>
      </c>
      <c r="O107" s="121"/>
      <c r="P107" s="123">
        <f>IFNA(VLOOKUP(D107,'S1'!$1:$1325,2,False),0)</f>
        <v>50</v>
      </c>
      <c r="Q107" s="123">
        <f>IFNA(vlookup(D107,'S2'!A103:B1305,2,False),0)</f>
        <v>0</v>
      </c>
      <c r="R107" s="123">
        <f>ifna(vlookup(D107,'S3'!$1:$1311,2,False),0)</f>
        <v>0</v>
      </c>
      <c r="S107" s="123"/>
      <c r="T107" s="124">
        <v>10.0</v>
      </c>
      <c r="U107" s="125">
        <v>19.0</v>
      </c>
      <c r="V107" s="125">
        <v>76.0</v>
      </c>
      <c r="W107" s="125">
        <v>36.0</v>
      </c>
      <c r="X107" s="125">
        <v>88.0</v>
      </c>
      <c r="Y107" s="125"/>
      <c r="Z107" s="126"/>
      <c r="AA107" s="127">
        <v>100.0</v>
      </c>
      <c r="AB107" s="26">
        <v>100.0</v>
      </c>
      <c r="AC107" s="135">
        <v>83.5</v>
      </c>
      <c r="AD107" s="129">
        <v>73.0</v>
      </c>
      <c r="AE107" s="130">
        <v>10.0</v>
      </c>
      <c r="AF107" s="129"/>
      <c r="AG107" s="129">
        <v>10.0</v>
      </c>
      <c r="AH107" s="129"/>
      <c r="AI107" s="131"/>
      <c r="AJ107" s="131"/>
      <c r="AK107" s="132">
        <f t="shared" si="1"/>
        <v>2</v>
      </c>
      <c r="AL107" s="132">
        <f t="shared" si="2"/>
        <v>2</v>
      </c>
      <c r="AM107" s="133">
        <f t="shared" si="3"/>
        <v>2</v>
      </c>
      <c r="AN107" s="132" t="str">
        <f t="shared" si="4"/>
        <v>3</v>
      </c>
      <c r="AO107" s="132">
        <f t="shared" si="5"/>
        <v>1</v>
      </c>
      <c r="AP107" s="88"/>
      <c r="AQ107" s="88"/>
    </row>
    <row r="108">
      <c r="A108" s="114">
        <v>103.0</v>
      </c>
      <c r="B108" s="115" t="s">
        <v>2016</v>
      </c>
      <c r="C108" s="115" t="s">
        <v>2567</v>
      </c>
      <c r="D108" s="116" t="str">
        <f>VLOOKUP(B108,USN!$1:$1088,2,FALSE)</f>
        <v>1CR23CS108</v>
      </c>
      <c r="E108" s="116">
        <v>9.035991261E9</v>
      </c>
      <c r="F108" s="117" t="s">
        <v>2461</v>
      </c>
      <c r="G108" s="118"/>
      <c r="H108" s="119">
        <v>79.0</v>
      </c>
      <c r="I108" s="116">
        <v>91.0</v>
      </c>
      <c r="J108" s="120">
        <f>IFNA(VLOOKUP(D108,'L3'!$1:$2060,2,False),0)</f>
        <v>81</v>
      </c>
      <c r="K108" s="120">
        <f>VLOOKUP(D108,'L4'!$1:$2059,2,FALSE)</f>
        <v>80</v>
      </c>
      <c r="L108" s="121">
        <f>VLOOKUP(D108,'A1 RETEST 5 DEC'!$1:$2096,2,FALSE)</f>
        <v>50</v>
      </c>
      <c r="M108" s="121">
        <f>VLOOKUP(D108,'A2 RETEST 4 DEC'!$1:$2096,2,FALSE)</f>
        <v>19</v>
      </c>
      <c r="N108" s="122">
        <v>50.0</v>
      </c>
      <c r="O108" s="121"/>
      <c r="P108" s="123">
        <f>IFNA(VLOOKUP(D108,'S1'!$1:$1325,2,False),0)</f>
        <v>80</v>
      </c>
      <c r="Q108" s="123">
        <f>IFNA(vlookup(D108,'S2'!A104:B1306,2,False),0)</f>
        <v>63</v>
      </c>
      <c r="R108" s="123">
        <f>ifna(vlookup(D108,'S3'!$1:$1311,2,False),0)</f>
        <v>85</v>
      </c>
      <c r="S108" s="123"/>
      <c r="T108" s="124">
        <v>21.0</v>
      </c>
      <c r="U108" s="125">
        <v>19.0</v>
      </c>
      <c r="V108" s="125">
        <v>75.0</v>
      </c>
      <c r="W108" s="125">
        <v>40.0</v>
      </c>
      <c r="X108" s="125">
        <v>82.0</v>
      </c>
      <c r="Y108" s="125"/>
      <c r="Z108" s="126"/>
      <c r="AA108" s="127">
        <v>74.0</v>
      </c>
      <c r="AB108" s="26">
        <v>99.0</v>
      </c>
      <c r="AC108" s="135">
        <v>82.0</v>
      </c>
      <c r="AD108" s="129">
        <v>100.0</v>
      </c>
      <c r="AE108" s="130">
        <v>70.0</v>
      </c>
      <c r="AF108" s="129"/>
      <c r="AG108" s="129">
        <v>5.0</v>
      </c>
      <c r="AH108" s="129"/>
      <c r="AI108" s="131"/>
      <c r="AJ108" s="131"/>
      <c r="AK108" s="132">
        <f t="shared" si="1"/>
        <v>4</v>
      </c>
      <c r="AL108" s="132">
        <f t="shared" si="2"/>
        <v>1</v>
      </c>
      <c r="AM108" s="133">
        <f t="shared" si="3"/>
        <v>2</v>
      </c>
      <c r="AN108" s="132" t="str">
        <f t="shared" si="4"/>
        <v>3.5</v>
      </c>
      <c r="AO108" s="132">
        <f t="shared" si="5"/>
        <v>3</v>
      </c>
      <c r="AP108" s="88"/>
      <c r="AQ108" s="88"/>
    </row>
    <row r="109">
      <c r="A109" s="114">
        <v>104.0</v>
      </c>
      <c r="B109" s="115" t="s">
        <v>1972</v>
      </c>
      <c r="C109" s="115" t="s">
        <v>2568</v>
      </c>
      <c r="D109" s="116" t="str">
        <f>VLOOKUP(B109,USN!$1:$1088,2,FALSE)</f>
        <v>1CR23CS109</v>
      </c>
      <c r="E109" s="116">
        <v>9.148969749E9</v>
      </c>
      <c r="F109" s="117" t="s">
        <v>2461</v>
      </c>
      <c r="G109" s="118"/>
      <c r="H109" s="119">
        <v>92.0</v>
      </c>
      <c r="I109" s="116">
        <v>89.0</v>
      </c>
      <c r="J109" s="120">
        <f>IFNA(VLOOKUP(D109,'L3'!$1:$2060,2,False),0)</f>
        <v>87</v>
      </c>
      <c r="K109" s="120">
        <f>VLOOKUP(D109,'L4'!$1:$2059,2,FALSE)</f>
        <v>86</v>
      </c>
      <c r="L109" s="121">
        <f>VLOOKUP(D109,'A1 RETEST 5 DEC'!$1:$2096,2,FALSE)</f>
        <v>84</v>
      </c>
      <c r="M109" s="121">
        <f>VLOOKUP(D109,'A2 RETEST 4 DEC'!$1:$2096,2,FALSE)</f>
        <v>73</v>
      </c>
      <c r="N109" s="122">
        <v>79.0</v>
      </c>
      <c r="O109" s="121"/>
      <c r="P109" s="123">
        <f>IFNA(VLOOKUP(D109,'S1'!$1:$1325,2,False),0)</f>
        <v>70</v>
      </c>
      <c r="Q109" s="123">
        <f>IFNA(vlookup(D109,'S2'!A105:B1307,2,False),0)</f>
        <v>75</v>
      </c>
      <c r="R109" s="123">
        <f>ifna(vlookup(D109,'S3'!$1:$1311,2,False),0)</f>
        <v>80</v>
      </c>
      <c r="S109" s="123"/>
      <c r="T109" s="124">
        <v>18.0</v>
      </c>
      <c r="U109" s="125">
        <v>19.0</v>
      </c>
      <c r="V109" s="125">
        <v>76.0</v>
      </c>
      <c r="W109" s="125">
        <v>40.0</v>
      </c>
      <c r="X109" s="125">
        <v>90.0</v>
      </c>
      <c r="Y109" s="125"/>
      <c r="Z109" s="126"/>
      <c r="AA109" s="127">
        <v>50.0</v>
      </c>
      <c r="AB109" s="26">
        <v>100.0</v>
      </c>
      <c r="AC109" s="135">
        <v>99.0</v>
      </c>
      <c r="AD109" s="129">
        <v>93.0</v>
      </c>
      <c r="AE109" s="130">
        <v>91.0</v>
      </c>
      <c r="AF109" s="129"/>
      <c r="AG109" s="129">
        <v>87.0</v>
      </c>
      <c r="AH109" s="129"/>
      <c r="AI109" s="131"/>
      <c r="AJ109" s="131"/>
      <c r="AK109" s="132">
        <f t="shared" si="1"/>
        <v>4</v>
      </c>
      <c r="AL109" s="132">
        <f t="shared" si="2"/>
        <v>3</v>
      </c>
      <c r="AM109" s="133">
        <f t="shared" si="3"/>
        <v>2</v>
      </c>
      <c r="AN109" s="132" t="str">
        <f t="shared" si="4"/>
        <v>3.5</v>
      </c>
      <c r="AO109" s="132">
        <f t="shared" si="5"/>
        <v>3</v>
      </c>
      <c r="AP109" s="88"/>
      <c r="AQ109" s="88"/>
    </row>
    <row r="110">
      <c r="A110" s="114">
        <v>105.0</v>
      </c>
      <c r="B110" s="137" t="s">
        <v>2064</v>
      </c>
      <c r="C110" s="137" t="s">
        <v>2569</v>
      </c>
      <c r="D110" s="116" t="str">
        <f>VLOOKUP(B110,USN!$1:$1088,2,FALSE)</f>
        <v>1CR23CS110</v>
      </c>
      <c r="E110" s="138">
        <v>9.149838881E9</v>
      </c>
      <c r="F110" s="117" t="s">
        <v>2461</v>
      </c>
      <c r="G110" s="118"/>
      <c r="H110" s="119">
        <v>85.0</v>
      </c>
      <c r="I110" s="116">
        <v>83.0</v>
      </c>
      <c r="J110" s="120">
        <f>IFNA(VLOOKUP(D110,'L3'!$1:$2060,2,False),0)</f>
        <v>70</v>
      </c>
      <c r="K110" s="120">
        <f>VLOOKUP(D110,'L4'!$1:$2059,2,FALSE)</f>
        <v>80</v>
      </c>
      <c r="L110" s="121">
        <f>VLOOKUP(D110,'A1 RETEST 5 DEC'!$1:$2096,2,FALSE)</f>
        <v>50</v>
      </c>
      <c r="M110" s="121">
        <f>VLOOKUP(D110,'A2 RETEST 4 DEC'!$1:$2096,2,FALSE)</f>
        <v>50</v>
      </c>
      <c r="N110" s="122">
        <v>50.0</v>
      </c>
      <c r="O110" s="121"/>
      <c r="P110" s="123">
        <f>IFNA(VLOOKUP(D110,'S1'!$1:$1325,2,False),0)</f>
        <v>71</v>
      </c>
      <c r="Q110" s="123">
        <f>IFNA(vlookup(D110,'S2'!A106:B1308,2,False),0)</f>
        <v>62</v>
      </c>
      <c r="R110" s="123">
        <f>ifna(vlookup(D110,'S3'!$1:$1311,2,False),0)</f>
        <v>79</v>
      </c>
      <c r="S110" s="123"/>
      <c r="T110" s="124">
        <v>13.0</v>
      </c>
      <c r="U110" s="125">
        <v>22.0</v>
      </c>
      <c r="V110" s="125">
        <v>80.0</v>
      </c>
      <c r="W110" s="125">
        <v>36.0</v>
      </c>
      <c r="X110" s="125">
        <v>78.0</v>
      </c>
      <c r="Y110" s="125"/>
      <c r="Z110" s="126"/>
      <c r="AA110" s="127">
        <v>100.0</v>
      </c>
      <c r="AB110" s="26">
        <v>86.25</v>
      </c>
      <c r="AC110" s="135">
        <v>76.0</v>
      </c>
      <c r="AD110" s="129">
        <v>80.0</v>
      </c>
      <c r="AE110" s="129">
        <v>95.0</v>
      </c>
      <c r="AF110" s="129"/>
      <c r="AG110" s="129">
        <v>31.0</v>
      </c>
      <c r="AH110" s="129"/>
      <c r="AI110" s="131"/>
      <c r="AJ110" s="131"/>
      <c r="AK110" s="132">
        <f t="shared" si="1"/>
        <v>4</v>
      </c>
      <c r="AL110" s="132">
        <f t="shared" si="2"/>
        <v>3</v>
      </c>
      <c r="AM110" s="133">
        <f t="shared" si="3"/>
        <v>2</v>
      </c>
      <c r="AN110" s="132" t="str">
        <f t="shared" si="4"/>
        <v>3.5</v>
      </c>
      <c r="AO110" s="132">
        <f t="shared" si="5"/>
        <v>3</v>
      </c>
      <c r="AP110" s="88"/>
      <c r="AQ110" s="88"/>
    </row>
    <row r="111">
      <c r="A111" s="114">
        <v>106.0</v>
      </c>
      <c r="B111" s="115" t="s">
        <v>1973</v>
      </c>
      <c r="C111" s="115" t="s">
        <v>2570</v>
      </c>
      <c r="D111" s="116" t="str">
        <f>VLOOKUP(B111,USN!$1:$1088,2,FALSE)</f>
        <v>1CR23CS111</v>
      </c>
      <c r="E111" s="142">
        <v>8.792867878E9</v>
      </c>
      <c r="F111" s="117" t="s">
        <v>2461</v>
      </c>
      <c r="G111" s="118"/>
      <c r="H111" s="119">
        <v>80.0</v>
      </c>
      <c r="I111" s="116">
        <v>75.0</v>
      </c>
      <c r="J111" s="120">
        <f>IFNA(VLOOKUP(D111,'L3'!$1:$2060,2,False),0)</f>
        <v>70</v>
      </c>
      <c r="K111" s="120">
        <f>VLOOKUP(D111,'L4'!$1:$2059,2,FALSE)</f>
        <v>72</v>
      </c>
      <c r="L111" s="121">
        <f>VLOOKUP(D111,'A1 RETEST 5 DEC'!$1:$2096,2,FALSE)</f>
        <v>50</v>
      </c>
      <c r="M111" s="121">
        <f>VLOOKUP(D111,'A2 RETEST 4 DEC'!$1:$2096,2,FALSE)</f>
        <v>50</v>
      </c>
      <c r="N111" s="122">
        <v>50.0</v>
      </c>
      <c r="O111" s="121"/>
      <c r="P111" s="123">
        <f>IFNA(VLOOKUP(D111,'S1'!$1:$1325,2,False),0)</f>
        <v>77</v>
      </c>
      <c r="Q111" s="123">
        <f>IFNA(vlookup(D111,'S2'!A107:B1309,2,False),0)</f>
        <v>71</v>
      </c>
      <c r="R111" s="123">
        <f>ifna(vlookup(D111,'S3'!$1:$1311,2,False),0)</f>
        <v>90</v>
      </c>
      <c r="S111" s="123"/>
      <c r="T111" s="124">
        <v>12.0</v>
      </c>
      <c r="U111" s="125">
        <v>14.0</v>
      </c>
      <c r="V111" s="125">
        <v>84.0</v>
      </c>
      <c r="W111" s="125">
        <v>44.0</v>
      </c>
      <c r="X111" s="125">
        <v>82.0</v>
      </c>
      <c r="Y111" s="125"/>
      <c r="Z111" s="126"/>
      <c r="AA111" s="127">
        <v>80.0</v>
      </c>
      <c r="AB111" s="26">
        <v>97.0</v>
      </c>
      <c r="AC111" s="135">
        <v>98.5</v>
      </c>
      <c r="AD111" s="129">
        <v>68.0</v>
      </c>
      <c r="AE111" s="130">
        <v>88.0</v>
      </c>
      <c r="AF111" s="129"/>
      <c r="AG111" s="129">
        <v>72.0</v>
      </c>
      <c r="AH111" s="129"/>
      <c r="AI111" s="131"/>
      <c r="AJ111" s="131"/>
      <c r="AK111" s="132">
        <f t="shared" si="1"/>
        <v>4</v>
      </c>
      <c r="AL111" s="132">
        <f t="shared" si="2"/>
        <v>3</v>
      </c>
      <c r="AM111" s="133">
        <f t="shared" si="3"/>
        <v>2</v>
      </c>
      <c r="AN111" s="132" t="str">
        <f t="shared" si="4"/>
        <v>3.5</v>
      </c>
      <c r="AO111" s="132">
        <f t="shared" si="5"/>
        <v>3</v>
      </c>
      <c r="AP111" s="88"/>
      <c r="AQ111" s="88"/>
    </row>
    <row r="112">
      <c r="A112" s="114">
        <v>107.0</v>
      </c>
      <c r="B112" s="115" t="s">
        <v>1975</v>
      </c>
      <c r="C112" s="115" t="s">
        <v>2571</v>
      </c>
      <c r="D112" s="116" t="str">
        <f>VLOOKUP(B112,USN!$1:$1088,2,FALSE)</f>
        <v>1CR23CS112</v>
      </c>
      <c r="E112" s="116">
        <v>8.27738969E9</v>
      </c>
      <c r="F112" s="117" t="s">
        <v>2461</v>
      </c>
      <c r="G112" s="118"/>
      <c r="H112" s="119">
        <v>91.0</v>
      </c>
      <c r="I112" s="116">
        <v>96.0</v>
      </c>
      <c r="J112" s="120">
        <f>IFNA(VLOOKUP(D112,'L3'!$1:$2060,2,False),0)</f>
        <v>87</v>
      </c>
      <c r="K112" s="120">
        <f>VLOOKUP(D112,'L4'!$1:$2059,2,FALSE)</f>
        <v>81</v>
      </c>
      <c r="L112" s="121">
        <f>VLOOKUP(D112,'A1 RETEST 5 DEC'!$1:$2096,2,FALSE)</f>
        <v>77</v>
      </c>
      <c r="M112" s="121">
        <f>VLOOKUP(D112,'A2 RETEST 4 DEC'!$1:$2096,2,FALSE)</f>
        <v>66</v>
      </c>
      <c r="N112" s="122">
        <v>56.0</v>
      </c>
      <c r="O112" s="121"/>
      <c r="P112" s="123">
        <f>IFNA(VLOOKUP(D112,'S1'!$1:$1325,2,False),0)</f>
        <v>86</v>
      </c>
      <c r="Q112" s="123">
        <f>IFNA(vlookup(D112,'S2'!A108:B1310,2,False),0)</f>
        <v>66</v>
      </c>
      <c r="R112" s="123">
        <f>ifna(vlookup(D112,'S3'!$1:$1311,2,False),0)</f>
        <v>85</v>
      </c>
      <c r="S112" s="123"/>
      <c r="T112" s="124">
        <v>12.0</v>
      </c>
      <c r="U112" s="125">
        <v>20.0</v>
      </c>
      <c r="V112" s="125">
        <v>72.0</v>
      </c>
      <c r="W112" s="125">
        <v>48.0</v>
      </c>
      <c r="X112" s="125">
        <v>68.0</v>
      </c>
      <c r="Y112" s="125"/>
      <c r="Z112" s="126"/>
      <c r="AA112" s="127">
        <v>90.0</v>
      </c>
      <c r="AB112" s="26">
        <v>100.0</v>
      </c>
      <c r="AC112" s="135">
        <v>98.5</v>
      </c>
      <c r="AD112" s="129">
        <v>94.0</v>
      </c>
      <c r="AE112" s="130">
        <v>82.0</v>
      </c>
      <c r="AF112" s="129"/>
      <c r="AG112" s="129">
        <v>75.0</v>
      </c>
      <c r="AH112" s="129"/>
      <c r="AI112" s="131"/>
      <c r="AJ112" s="131"/>
      <c r="AK112" s="132">
        <f t="shared" si="1"/>
        <v>4</v>
      </c>
      <c r="AL112" s="132">
        <f t="shared" si="2"/>
        <v>3</v>
      </c>
      <c r="AM112" s="133">
        <f t="shared" si="3"/>
        <v>2</v>
      </c>
      <c r="AN112" s="132" t="str">
        <f t="shared" si="4"/>
        <v>3.5</v>
      </c>
      <c r="AO112" s="132">
        <f t="shared" si="5"/>
        <v>3</v>
      </c>
      <c r="AP112" s="88"/>
      <c r="AQ112" s="88"/>
    </row>
    <row r="113">
      <c r="A113" s="114">
        <v>108.0</v>
      </c>
      <c r="B113" s="115" t="s">
        <v>1976</v>
      </c>
      <c r="C113" s="115" t="s">
        <v>2572</v>
      </c>
      <c r="D113" s="116" t="str">
        <f>VLOOKUP(B113,USN!$1:$1088,2,FALSE)</f>
        <v>1CR23CS113</v>
      </c>
      <c r="E113" s="116">
        <v>9.686788498E9</v>
      </c>
      <c r="F113" s="117" t="s">
        <v>2461</v>
      </c>
      <c r="G113" s="118"/>
      <c r="H113" s="119">
        <v>78.0</v>
      </c>
      <c r="I113" s="116">
        <v>86.0</v>
      </c>
      <c r="J113" s="120">
        <f>IFNA(VLOOKUP(D113,'L3'!$1:$2060,2,False),0)</f>
        <v>77</v>
      </c>
      <c r="K113" s="120">
        <f>VLOOKUP(D113,'L4'!$1:$2059,2,FALSE)</f>
        <v>81</v>
      </c>
      <c r="L113" s="121">
        <f>VLOOKUP(D113,'A1 RETEST 5 DEC'!$1:$2096,2,FALSE)</f>
        <v>51</v>
      </c>
      <c r="M113" s="121">
        <f>VLOOKUP(D113,'A2 RETEST 4 DEC'!$1:$2096,2,FALSE)</f>
        <v>50</v>
      </c>
      <c r="N113" s="122">
        <v>54.0</v>
      </c>
      <c r="O113" s="121"/>
      <c r="P113" s="123">
        <f>IFNA(VLOOKUP(D113,'S1'!$1:$1325,2,False),0)</f>
        <v>84</v>
      </c>
      <c r="Q113" s="123">
        <f>IFNA(vlookup(D113,'S2'!A109:B1311,2,False),0)</f>
        <v>66</v>
      </c>
      <c r="R113" s="123">
        <f>ifna(vlookup(D113,'S3'!$1:$1311,2,False),0)</f>
        <v>80</v>
      </c>
      <c r="S113" s="123"/>
      <c r="T113" s="124">
        <v>12.0</v>
      </c>
      <c r="U113" s="125">
        <v>17.0</v>
      </c>
      <c r="V113" s="125">
        <v>72.0</v>
      </c>
      <c r="W113" s="125">
        <v>40.0</v>
      </c>
      <c r="X113" s="125">
        <v>78.0</v>
      </c>
      <c r="Y113" s="125"/>
      <c r="Z113" s="126"/>
      <c r="AA113" s="127">
        <v>80.0</v>
      </c>
      <c r="AB113" s="26">
        <v>100.0</v>
      </c>
      <c r="AC113" s="135">
        <v>71.0</v>
      </c>
      <c r="AD113" s="129">
        <v>100.0</v>
      </c>
      <c r="AE113" s="130">
        <v>82.0</v>
      </c>
      <c r="AF113" s="129"/>
      <c r="AG113" s="129">
        <v>74.0</v>
      </c>
      <c r="AH113" s="129"/>
      <c r="AI113" s="131"/>
      <c r="AJ113" s="131"/>
      <c r="AK113" s="132">
        <f t="shared" si="1"/>
        <v>4</v>
      </c>
      <c r="AL113" s="132">
        <f t="shared" si="2"/>
        <v>3</v>
      </c>
      <c r="AM113" s="133">
        <f t="shared" si="3"/>
        <v>2</v>
      </c>
      <c r="AN113" s="132" t="str">
        <f t="shared" si="4"/>
        <v>3.5</v>
      </c>
      <c r="AO113" s="132">
        <f t="shared" si="5"/>
        <v>3</v>
      </c>
      <c r="AP113" s="88"/>
      <c r="AQ113" s="88"/>
    </row>
    <row r="114">
      <c r="A114" s="114">
        <v>109.0</v>
      </c>
      <c r="B114" s="115" t="s">
        <v>2025</v>
      </c>
      <c r="C114" s="140" t="s">
        <v>2573</v>
      </c>
      <c r="D114" s="116" t="str">
        <f>VLOOKUP(B114,USN!$1:$1088,2,FALSE)</f>
        <v>1CR23CS114</v>
      </c>
      <c r="E114" s="116">
        <v>9.611600669E9</v>
      </c>
      <c r="F114" s="117" t="s">
        <v>2461</v>
      </c>
      <c r="G114" s="118"/>
      <c r="H114" s="119">
        <v>85.0</v>
      </c>
      <c r="I114" s="116">
        <v>85.0</v>
      </c>
      <c r="J114" s="120">
        <f>IFNA(VLOOKUP(D114,'L3'!$1:$2060,2,False),0)</f>
        <v>81</v>
      </c>
      <c r="K114" s="120">
        <f>VLOOKUP(D114,'L4'!$1:$2059,2,FALSE)</f>
        <v>79</v>
      </c>
      <c r="L114" s="121">
        <f>VLOOKUP(D114,'A1 RETEST 5 DEC'!$1:$2096,2,FALSE)</f>
        <v>59</v>
      </c>
      <c r="M114" s="121">
        <f>VLOOKUP(D114,'A2 RETEST 4 DEC'!$1:$2096,2,FALSE)</f>
        <v>50</v>
      </c>
      <c r="N114" s="122">
        <v>50.0</v>
      </c>
      <c r="O114" s="121"/>
      <c r="P114" s="123">
        <f>IFNA(VLOOKUP(D114,'S1'!$1:$1325,2,False),0)</f>
        <v>64</v>
      </c>
      <c r="Q114" s="123">
        <f>IFNA(vlookup(D114,'S2'!A110:B1312,2,False),0)</f>
        <v>71</v>
      </c>
      <c r="R114" s="123">
        <f>ifna(vlookup(D114,'S3'!$1:$1311,2,False),0)</f>
        <v>86</v>
      </c>
      <c r="S114" s="123"/>
      <c r="T114" s="124">
        <v>14.0</v>
      </c>
      <c r="U114" s="125">
        <v>20.0</v>
      </c>
      <c r="V114" s="125">
        <v>84.0</v>
      </c>
      <c r="W114" s="125">
        <v>36.0</v>
      </c>
      <c r="X114" s="125">
        <v>82.0</v>
      </c>
      <c r="Y114" s="125"/>
      <c r="Z114" s="126"/>
      <c r="AA114" s="127">
        <v>80.0</v>
      </c>
      <c r="AB114" s="26">
        <v>88.0</v>
      </c>
      <c r="AC114" s="135">
        <v>89.0</v>
      </c>
      <c r="AD114" s="129">
        <v>100.0</v>
      </c>
      <c r="AE114" s="130">
        <v>70.0</v>
      </c>
      <c r="AF114" s="129"/>
      <c r="AG114" s="129">
        <v>39.0</v>
      </c>
      <c r="AH114" s="129"/>
      <c r="AI114" s="131"/>
      <c r="AJ114" s="131"/>
      <c r="AK114" s="132">
        <f t="shared" si="1"/>
        <v>4</v>
      </c>
      <c r="AL114" s="132">
        <f t="shared" si="2"/>
        <v>3</v>
      </c>
      <c r="AM114" s="133">
        <f t="shared" si="3"/>
        <v>2</v>
      </c>
      <c r="AN114" s="132" t="str">
        <f t="shared" si="4"/>
        <v>3.5</v>
      </c>
      <c r="AO114" s="132">
        <f t="shared" si="5"/>
        <v>3</v>
      </c>
      <c r="AP114" s="88"/>
      <c r="AQ114" s="88"/>
    </row>
    <row r="115">
      <c r="A115" s="114">
        <v>110.0</v>
      </c>
      <c r="B115" s="115" t="s">
        <v>2024</v>
      </c>
      <c r="C115" s="140" t="s">
        <v>2574</v>
      </c>
      <c r="D115" s="116" t="str">
        <f>VLOOKUP(B115,USN!$1:$1088,2,FALSE)</f>
        <v>1CR23CS115</v>
      </c>
      <c r="E115" s="116">
        <v>9.110226977E9</v>
      </c>
      <c r="F115" s="117" t="s">
        <v>2461</v>
      </c>
      <c r="G115" s="118"/>
      <c r="H115" s="119">
        <v>78.0</v>
      </c>
      <c r="I115" s="116">
        <v>80.0</v>
      </c>
      <c r="J115" s="120">
        <f>IFNA(VLOOKUP(D115,'L3'!$1:$2060,2,False),0)</f>
        <v>76</v>
      </c>
      <c r="K115" s="120">
        <f>VLOOKUP(D115,'L4'!$1:$2059,2,FALSE)</f>
        <v>79</v>
      </c>
      <c r="L115" s="121">
        <f>VLOOKUP(D115,'A1 RETEST 5 DEC'!$1:$2096,2,FALSE)</f>
        <v>50</v>
      </c>
      <c r="M115" s="121">
        <f>VLOOKUP(D115,'A2 RETEST 4 DEC'!$1:$2096,2,FALSE)</f>
        <v>50</v>
      </c>
      <c r="N115" s="122">
        <v>50.0</v>
      </c>
      <c r="O115" s="121"/>
      <c r="P115" s="123">
        <f>IFNA(VLOOKUP(D115,'S1'!$1:$1325,2,False),0)</f>
        <v>72</v>
      </c>
      <c r="Q115" s="123">
        <f>IFNA(vlookup(D115,'S2'!A111:B1313,2,False),0)</f>
        <v>90</v>
      </c>
      <c r="R115" s="123">
        <f>ifna(vlookup(D115,'S3'!$1:$1311,2,False),0)</f>
        <v>87</v>
      </c>
      <c r="S115" s="123"/>
      <c r="T115" s="124">
        <v>18.0</v>
      </c>
      <c r="U115" s="125">
        <v>16.0</v>
      </c>
      <c r="V115" s="125">
        <v>72.0</v>
      </c>
      <c r="W115" s="125">
        <v>44.0</v>
      </c>
      <c r="X115" s="125">
        <v>82.0</v>
      </c>
      <c r="Y115" s="125"/>
      <c r="Z115" s="126"/>
      <c r="AA115" s="127">
        <v>80.0</v>
      </c>
      <c r="AB115" s="26">
        <v>97.0</v>
      </c>
      <c r="AC115" s="135">
        <v>73.5</v>
      </c>
      <c r="AD115" s="129">
        <v>100.0</v>
      </c>
      <c r="AE115" s="130">
        <v>75.0</v>
      </c>
      <c r="AF115" s="129"/>
      <c r="AG115" s="129">
        <v>76.0</v>
      </c>
      <c r="AH115" s="129"/>
      <c r="AI115" s="131"/>
      <c r="AJ115" s="131"/>
      <c r="AK115" s="132">
        <f t="shared" si="1"/>
        <v>4</v>
      </c>
      <c r="AL115" s="132">
        <f t="shared" si="2"/>
        <v>3</v>
      </c>
      <c r="AM115" s="133">
        <f t="shared" si="3"/>
        <v>2</v>
      </c>
      <c r="AN115" s="132" t="str">
        <f t="shared" si="4"/>
        <v>3.5</v>
      </c>
      <c r="AO115" s="132">
        <f t="shared" si="5"/>
        <v>3</v>
      </c>
      <c r="AP115" s="88"/>
      <c r="AQ115" s="88"/>
    </row>
    <row r="116">
      <c r="A116" s="114">
        <v>111.0</v>
      </c>
      <c r="B116" s="115" t="s">
        <v>1977</v>
      </c>
      <c r="C116" s="115" t="s">
        <v>2575</v>
      </c>
      <c r="D116" s="116" t="str">
        <f>VLOOKUP(B116,USN!$1:$1088,2,FALSE)</f>
        <v>1CR23CS116</v>
      </c>
      <c r="E116" s="116">
        <v>8.618919608E9</v>
      </c>
      <c r="F116" s="117" t="s">
        <v>2461</v>
      </c>
      <c r="G116" s="118"/>
      <c r="H116" s="119">
        <v>82.0</v>
      </c>
      <c r="I116" s="116">
        <v>86.0</v>
      </c>
      <c r="J116" s="120">
        <f>IFNA(VLOOKUP(D116,'L3'!$1:$2060,2,False),0)</f>
        <v>82</v>
      </c>
      <c r="K116" s="120">
        <f>VLOOKUP(D116,'L4'!$1:$2059,2,FALSE)</f>
        <v>72</v>
      </c>
      <c r="L116" s="121">
        <f>VLOOKUP(D116,'A1 RETEST 5 DEC'!$1:$2096,2,FALSE)</f>
        <v>58</v>
      </c>
      <c r="M116" s="121">
        <f>VLOOKUP(D116,'A2 RETEST 4 DEC'!$1:$2096,2,FALSE)</f>
        <v>50</v>
      </c>
      <c r="N116" s="122">
        <v>50.0</v>
      </c>
      <c r="O116" s="121"/>
      <c r="P116" s="123">
        <f>IFNA(VLOOKUP(D116,'S1'!$1:$1325,2,False),0)</f>
        <v>72</v>
      </c>
      <c r="Q116" s="123">
        <f>IFNA(vlookup(D116,'S2'!A112:B1314,2,False),0)</f>
        <v>66</v>
      </c>
      <c r="R116" s="123">
        <f>ifna(vlookup(D116,'S3'!$1:$1311,2,False),0)</f>
        <v>73</v>
      </c>
      <c r="S116" s="123"/>
      <c r="T116" s="124">
        <v>10.0</v>
      </c>
      <c r="U116" s="125">
        <v>17.0</v>
      </c>
      <c r="V116" s="125">
        <v>68.0</v>
      </c>
      <c r="W116" s="125">
        <v>48.0</v>
      </c>
      <c r="X116" s="125">
        <v>78.0</v>
      </c>
      <c r="Y116" s="125"/>
      <c r="Z116" s="126"/>
      <c r="AA116" s="127">
        <v>50.199999999999996</v>
      </c>
      <c r="AB116" s="26">
        <v>100.0</v>
      </c>
      <c r="AC116" s="135">
        <v>76.5</v>
      </c>
      <c r="AD116" s="129">
        <v>60.0</v>
      </c>
      <c r="AE116" s="130">
        <v>70.0</v>
      </c>
      <c r="AF116" s="129"/>
      <c r="AG116" s="129">
        <v>74.0</v>
      </c>
      <c r="AH116" s="129"/>
      <c r="AI116" s="131"/>
      <c r="AJ116" s="131"/>
      <c r="AK116" s="132">
        <f t="shared" si="1"/>
        <v>4</v>
      </c>
      <c r="AL116" s="132">
        <f t="shared" si="2"/>
        <v>3</v>
      </c>
      <c r="AM116" s="133">
        <f t="shared" si="3"/>
        <v>2</v>
      </c>
      <c r="AN116" s="132" t="str">
        <f t="shared" si="4"/>
        <v>3.5</v>
      </c>
      <c r="AO116" s="132">
        <f t="shared" si="5"/>
        <v>3</v>
      </c>
      <c r="AP116" s="88"/>
      <c r="AQ116" s="88"/>
    </row>
    <row r="117">
      <c r="A117" s="114">
        <v>112.0</v>
      </c>
      <c r="B117" s="115" t="s">
        <v>1978</v>
      </c>
      <c r="C117" s="115" t="s">
        <v>2576</v>
      </c>
      <c r="D117" s="116" t="str">
        <f>VLOOKUP(B117,USN!$1:$1088,2,FALSE)</f>
        <v>1CR23CS117</v>
      </c>
      <c r="E117" s="116">
        <v>7.367858796E9</v>
      </c>
      <c r="F117" s="117" t="s">
        <v>2461</v>
      </c>
      <c r="G117" s="118"/>
      <c r="H117" s="119">
        <v>88.0</v>
      </c>
      <c r="I117" s="116">
        <v>86.0</v>
      </c>
      <c r="J117" s="120">
        <f>IFNA(VLOOKUP(D117,'L3'!$1:$2060,2,False),0)</f>
        <v>70</v>
      </c>
      <c r="K117" s="120">
        <f>VLOOKUP(D117,'L4'!$1:$2059,2,FALSE)</f>
        <v>70</v>
      </c>
      <c r="L117" s="121">
        <f>VLOOKUP(D117,'A1 RETEST 5 DEC'!$1:$2096,2,FALSE)</f>
        <v>54</v>
      </c>
      <c r="M117" s="121">
        <f>VLOOKUP(D117,'A2 RETEST 4 DEC'!$1:$2096,2,FALSE)</f>
        <v>50</v>
      </c>
      <c r="N117" s="122">
        <v>12.0</v>
      </c>
      <c r="O117" s="121"/>
      <c r="P117" s="123">
        <f>IFNA(VLOOKUP(D117,'S1'!$1:$1325,2,False),0)</f>
        <v>72</v>
      </c>
      <c r="Q117" s="123">
        <f>IFNA(vlookup(D117,'S2'!A113:B1315,2,False),0)</f>
        <v>50</v>
      </c>
      <c r="R117" s="123">
        <f>ifna(vlookup(D117,'S3'!$1:$1311,2,False),0)</f>
        <v>79</v>
      </c>
      <c r="S117" s="123"/>
      <c r="T117" s="124">
        <v>13.0</v>
      </c>
      <c r="U117" s="125">
        <v>19.0</v>
      </c>
      <c r="V117" s="125">
        <v>68.0</v>
      </c>
      <c r="W117" s="125">
        <v>36.0</v>
      </c>
      <c r="X117" s="125">
        <v>56.0</v>
      </c>
      <c r="Y117" s="125"/>
      <c r="Z117" s="126"/>
      <c r="AA117" s="127">
        <v>100.0</v>
      </c>
      <c r="AB117" s="26">
        <v>70.0</v>
      </c>
      <c r="AC117" s="135">
        <v>67.0</v>
      </c>
      <c r="AD117" s="129">
        <v>100.0</v>
      </c>
      <c r="AE117" s="130">
        <v>10.0</v>
      </c>
      <c r="AF117" s="129"/>
      <c r="AG117" s="129">
        <v>0.0</v>
      </c>
      <c r="AH117" s="129"/>
      <c r="AI117" s="131"/>
      <c r="AJ117" s="131"/>
      <c r="AK117" s="132">
        <f t="shared" si="1"/>
        <v>4</v>
      </c>
      <c r="AL117" s="132">
        <f t="shared" si="2"/>
        <v>2</v>
      </c>
      <c r="AM117" s="133">
        <f t="shared" si="3"/>
        <v>2</v>
      </c>
      <c r="AN117" s="132" t="str">
        <f t="shared" si="4"/>
        <v>3</v>
      </c>
      <c r="AO117" s="132">
        <f t="shared" si="5"/>
        <v>3</v>
      </c>
      <c r="AP117" s="88"/>
      <c r="AQ117" s="88"/>
    </row>
    <row r="118">
      <c r="A118" s="114">
        <v>113.0</v>
      </c>
      <c r="B118" s="137" t="s">
        <v>2083</v>
      </c>
      <c r="C118" s="137" t="s">
        <v>2577</v>
      </c>
      <c r="D118" s="116" t="str">
        <f>VLOOKUP(B118,USN!$1:$1088,2,FALSE)</f>
        <v>1CR23CS118</v>
      </c>
      <c r="E118" s="138">
        <v>9.10816449E9</v>
      </c>
      <c r="F118" s="117" t="s">
        <v>2461</v>
      </c>
      <c r="G118" s="118"/>
      <c r="H118" s="119">
        <v>72.0</v>
      </c>
      <c r="I118" s="116">
        <v>77.0</v>
      </c>
      <c r="J118" s="120">
        <f>IFNA(VLOOKUP(D118,'L3'!$1:$2060,2,False),0)</f>
        <v>70</v>
      </c>
      <c r="K118" s="120">
        <f>VLOOKUP(D118,'L4'!$1:$2059,2,FALSE)</f>
        <v>70</v>
      </c>
      <c r="L118" s="121">
        <f>VLOOKUP(D118,'A1 RETEST 5 DEC'!$1:$2096,2,FALSE)</f>
        <v>50</v>
      </c>
      <c r="M118" s="121">
        <f>VLOOKUP(D118,'A2 RETEST 4 DEC'!$1:$2096,2,FALSE)</f>
        <v>50</v>
      </c>
      <c r="N118" s="122">
        <v>50.0</v>
      </c>
      <c r="O118" s="121"/>
      <c r="P118" s="123">
        <f>IFNA(VLOOKUP(D118,'S1'!$1:$1325,2,False),0)</f>
        <v>50</v>
      </c>
      <c r="Q118" s="123">
        <f>IFNA(vlookup(D118,'S2'!A114:B1316,2,False),0)</f>
        <v>72</v>
      </c>
      <c r="R118" s="123">
        <f>ifna(vlookup(D118,'S3'!$1:$1311,2,False),0)</f>
        <v>84</v>
      </c>
      <c r="S118" s="123"/>
      <c r="T118" s="124">
        <v>15.0</v>
      </c>
      <c r="U118" s="125">
        <v>20.0</v>
      </c>
      <c r="V118" s="125">
        <v>80.0</v>
      </c>
      <c r="W118" s="125">
        <v>52.0</v>
      </c>
      <c r="X118" s="125">
        <v>76.0</v>
      </c>
      <c r="Y118" s="125"/>
      <c r="Z118" s="126"/>
      <c r="AA118" s="127">
        <v>44.0</v>
      </c>
      <c r="AB118" s="26">
        <v>76.25</v>
      </c>
      <c r="AC118" s="135">
        <v>88.5</v>
      </c>
      <c r="AD118" s="129">
        <v>75.0</v>
      </c>
      <c r="AE118" s="130">
        <v>80.0</v>
      </c>
      <c r="AF118" s="129"/>
      <c r="AG118" s="129">
        <v>76.0</v>
      </c>
      <c r="AH118" s="129"/>
      <c r="AI118" s="131"/>
      <c r="AJ118" s="131"/>
      <c r="AK118" s="132">
        <f t="shared" si="1"/>
        <v>4</v>
      </c>
      <c r="AL118" s="132">
        <f t="shared" si="2"/>
        <v>3</v>
      </c>
      <c r="AM118" s="133">
        <f t="shared" si="3"/>
        <v>3</v>
      </c>
      <c r="AN118" s="132" t="str">
        <f t="shared" si="4"/>
        <v>3.5</v>
      </c>
      <c r="AO118" s="132">
        <f t="shared" si="5"/>
        <v>3</v>
      </c>
      <c r="AP118" s="88"/>
      <c r="AQ118" s="88"/>
    </row>
    <row r="119">
      <c r="A119" s="114">
        <v>114.0</v>
      </c>
      <c r="B119" s="115" t="s">
        <v>2008</v>
      </c>
      <c r="C119" s="115" t="s">
        <v>2578</v>
      </c>
      <c r="D119" s="116" t="str">
        <f>VLOOKUP(B119,USN!$1:$1088,2,FALSE)</f>
        <v>1CR23CS119</v>
      </c>
      <c r="E119" s="116">
        <v>8.21731852E9</v>
      </c>
      <c r="F119" s="117" t="s">
        <v>2461</v>
      </c>
      <c r="G119" s="118"/>
      <c r="H119" s="119">
        <v>86.0</v>
      </c>
      <c r="I119" s="116">
        <v>88.0</v>
      </c>
      <c r="J119" s="120">
        <f>IFNA(VLOOKUP(D119,'L3'!$1:$2060,2,False),0)</f>
        <v>79</v>
      </c>
      <c r="K119" s="120">
        <f>VLOOKUP(D119,'L4'!$1:$2059,2,FALSE)</f>
        <v>87</v>
      </c>
      <c r="L119" s="121">
        <f>VLOOKUP(D119,'A1 RETEST 5 DEC'!$1:$2096,2,FALSE)</f>
        <v>60</v>
      </c>
      <c r="M119" s="121">
        <f>VLOOKUP(D119,'A2 RETEST 4 DEC'!$1:$2096,2,FALSE)</f>
        <v>50</v>
      </c>
      <c r="N119" s="122">
        <v>50.0</v>
      </c>
      <c r="O119" s="121"/>
      <c r="P119" s="123">
        <f>IFNA(VLOOKUP(D119,'S1'!$1:$1325,2,False),0)</f>
        <v>80</v>
      </c>
      <c r="Q119" s="123">
        <f>IFNA(vlookup(D119,'S2'!A115:B1317,2,False),0)</f>
        <v>90</v>
      </c>
      <c r="R119" s="123">
        <f>ifna(vlookup(D119,'S3'!$1:$1311,2,False),0)</f>
        <v>85</v>
      </c>
      <c r="S119" s="123"/>
      <c r="T119" s="124">
        <v>15.0</v>
      </c>
      <c r="U119" s="125">
        <v>14.0</v>
      </c>
      <c r="V119" s="125">
        <v>56.0</v>
      </c>
      <c r="W119" s="125">
        <v>36.0</v>
      </c>
      <c r="X119" s="125">
        <v>82.0</v>
      </c>
      <c r="Y119" s="125"/>
      <c r="Z119" s="126"/>
      <c r="AA119" s="127">
        <v>50.0</v>
      </c>
      <c r="AB119" s="26">
        <v>92.0</v>
      </c>
      <c r="AC119" s="135">
        <v>89.5</v>
      </c>
      <c r="AD119" s="129">
        <v>70.0</v>
      </c>
      <c r="AE119" s="130">
        <v>70.0</v>
      </c>
      <c r="AF119" s="129"/>
      <c r="AG119" s="129">
        <v>84.0</v>
      </c>
      <c r="AH119" s="129"/>
      <c r="AI119" s="131"/>
      <c r="AJ119" s="131"/>
      <c r="AK119" s="132">
        <f t="shared" si="1"/>
        <v>4</v>
      </c>
      <c r="AL119" s="132">
        <f t="shared" si="2"/>
        <v>3</v>
      </c>
      <c r="AM119" s="133">
        <f t="shared" si="3"/>
        <v>2</v>
      </c>
      <c r="AN119" s="132" t="str">
        <f t="shared" si="4"/>
        <v>3.5</v>
      </c>
      <c r="AO119" s="132">
        <f t="shared" si="5"/>
        <v>3</v>
      </c>
      <c r="AP119" s="88"/>
      <c r="AQ119" s="88"/>
    </row>
    <row r="120">
      <c r="A120" s="114">
        <v>115.0</v>
      </c>
      <c r="B120" s="136" t="s">
        <v>1954</v>
      </c>
      <c r="C120" s="115" t="s">
        <v>2579</v>
      </c>
      <c r="D120" s="116" t="str">
        <f>VLOOKUP(B120,USN!$1:$1088,2,FALSE)</f>
        <v>1CR23CS120</v>
      </c>
      <c r="E120" s="138">
        <v>8.31741834E9</v>
      </c>
      <c r="F120" s="117" t="s">
        <v>2461</v>
      </c>
      <c r="G120" s="118"/>
      <c r="H120" s="119">
        <v>88.0</v>
      </c>
      <c r="I120" s="116">
        <v>93.0</v>
      </c>
      <c r="J120" s="120">
        <f>IFNA(VLOOKUP(D120,'L3'!$1:$2060,2,False),0)</f>
        <v>74</v>
      </c>
      <c r="K120" s="120">
        <f>VLOOKUP(D120,'L4'!$1:$2059,2,FALSE)</f>
        <v>70</v>
      </c>
      <c r="L120" s="121">
        <f>VLOOKUP(D120,'A1 RETEST 5 DEC'!$1:$2096,2,FALSE)</f>
        <v>50</v>
      </c>
      <c r="M120" s="121">
        <f>VLOOKUP(D120,'A2 RETEST 4 DEC'!$1:$2096,2,FALSE)</f>
        <v>50</v>
      </c>
      <c r="N120" s="122">
        <v>58.0</v>
      </c>
      <c r="O120" s="121"/>
      <c r="P120" s="123">
        <f>IFNA(VLOOKUP(D120,'S1'!$1:$1325,2,False),0)</f>
        <v>82</v>
      </c>
      <c r="Q120" s="123">
        <f>IFNA(vlookup(D120,'S2'!A116:B1318,2,False),0)</f>
        <v>72</v>
      </c>
      <c r="R120" s="123">
        <f>ifna(vlookup(D120,'S3'!$1:$1311,2,False),0)</f>
        <v>86</v>
      </c>
      <c r="S120" s="123"/>
      <c r="T120" s="124">
        <v>10.0</v>
      </c>
      <c r="U120" s="125">
        <v>17.0</v>
      </c>
      <c r="V120" s="125">
        <v>56.0</v>
      </c>
      <c r="W120" s="125">
        <v>48.0</v>
      </c>
      <c r="X120" s="125">
        <v>86.0</v>
      </c>
      <c r="Y120" s="125"/>
      <c r="Z120" s="126"/>
      <c r="AA120" s="145">
        <v>88.0</v>
      </c>
      <c r="AB120" s="26">
        <v>100.0</v>
      </c>
      <c r="AC120" s="135">
        <v>78.5</v>
      </c>
      <c r="AD120" s="129">
        <v>75.0</v>
      </c>
      <c r="AE120" s="130">
        <v>83.0</v>
      </c>
      <c r="AF120" s="129"/>
      <c r="AG120" s="129">
        <v>71.0</v>
      </c>
      <c r="AH120" s="129"/>
      <c r="AI120" s="131"/>
      <c r="AJ120" s="131"/>
      <c r="AK120" s="132">
        <f t="shared" si="1"/>
        <v>4</v>
      </c>
      <c r="AL120" s="132">
        <f t="shared" si="2"/>
        <v>3</v>
      </c>
      <c r="AM120" s="133">
        <f t="shared" si="3"/>
        <v>2</v>
      </c>
      <c r="AN120" s="132" t="str">
        <f t="shared" si="4"/>
        <v>3.5</v>
      </c>
      <c r="AO120" s="132">
        <f t="shared" si="5"/>
        <v>3</v>
      </c>
      <c r="AP120" s="88"/>
      <c r="AQ120" s="88"/>
    </row>
    <row r="121">
      <c r="A121" s="114">
        <v>116.0</v>
      </c>
      <c r="B121" s="137" t="s">
        <v>2065</v>
      </c>
      <c r="C121" s="137" t="s">
        <v>2580</v>
      </c>
      <c r="D121" s="116" t="str">
        <f>VLOOKUP(B121,USN!$1:$1088,2,FALSE)</f>
        <v>1CR23CS121</v>
      </c>
      <c r="E121" s="138">
        <v>9.740434422E9</v>
      </c>
      <c r="F121" s="117" t="s">
        <v>2461</v>
      </c>
      <c r="G121" s="118"/>
      <c r="H121" s="119">
        <v>80.0</v>
      </c>
      <c r="I121" s="116">
        <v>83.0</v>
      </c>
      <c r="J121" s="120">
        <f>IFNA(VLOOKUP(D121,'L3'!$1:$2060,2,False),0)</f>
        <v>73</v>
      </c>
      <c r="K121" s="120">
        <f>VLOOKUP(D121,'L4'!$1:$2059,2,FALSE)</f>
        <v>70</v>
      </c>
      <c r="L121" s="121">
        <f>VLOOKUP(D121,'A1 RETEST 5 DEC'!$1:$2096,2,FALSE)</f>
        <v>50</v>
      </c>
      <c r="M121" s="121">
        <f>VLOOKUP(D121,'A2 RETEST 4 DEC'!$1:$2096,2,FALSE)</f>
        <v>50</v>
      </c>
      <c r="N121" s="122">
        <v>50.0</v>
      </c>
      <c r="O121" s="121"/>
      <c r="P121" s="123">
        <f>IFNA(VLOOKUP(D121,'S1'!$1:$1325,2,False),0)</f>
        <v>72</v>
      </c>
      <c r="Q121" s="123">
        <f>IFNA(vlookup(D121,'S2'!A117:B1319,2,False),0)</f>
        <v>0</v>
      </c>
      <c r="R121" s="123">
        <f>ifna(vlookup(D121,'S3'!$1:$1311,2,False),0)</f>
        <v>0</v>
      </c>
      <c r="S121" s="123"/>
      <c r="T121" s="124">
        <v>16.0</v>
      </c>
      <c r="U121" s="125">
        <v>18.0</v>
      </c>
      <c r="V121" s="125">
        <v>56.0</v>
      </c>
      <c r="W121" s="125">
        <v>40.0</v>
      </c>
      <c r="X121" s="125">
        <v>78.0</v>
      </c>
      <c r="Y121" s="125"/>
      <c r="Z121" s="126"/>
      <c r="AA121" s="127">
        <v>100.0</v>
      </c>
      <c r="AB121" s="26">
        <v>97.5</v>
      </c>
      <c r="AC121" s="135">
        <v>65.5</v>
      </c>
      <c r="AD121" s="129">
        <v>100.0</v>
      </c>
      <c r="AE121" s="130">
        <v>90.0</v>
      </c>
      <c r="AF121" s="129"/>
      <c r="AG121" s="129">
        <v>28.0</v>
      </c>
      <c r="AH121" s="129"/>
      <c r="AI121" s="131"/>
      <c r="AJ121" s="131"/>
      <c r="AK121" s="132">
        <f t="shared" si="1"/>
        <v>4</v>
      </c>
      <c r="AL121" s="132">
        <f t="shared" si="2"/>
        <v>3</v>
      </c>
      <c r="AM121" s="133">
        <f t="shared" si="3"/>
        <v>2</v>
      </c>
      <c r="AN121" s="132" t="str">
        <f t="shared" si="4"/>
        <v>3.5</v>
      </c>
      <c r="AO121" s="132">
        <f t="shared" si="5"/>
        <v>1</v>
      </c>
      <c r="AP121" s="88"/>
      <c r="AQ121" s="88"/>
    </row>
    <row r="122">
      <c r="A122" s="114">
        <v>117.0</v>
      </c>
      <c r="B122" s="115" t="s">
        <v>1979</v>
      </c>
      <c r="C122" s="115" t="s">
        <v>2581</v>
      </c>
      <c r="D122" s="116" t="str">
        <f>VLOOKUP(B122,USN!$1:$1088,2,FALSE)</f>
        <v>1CR23CS122</v>
      </c>
      <c r="E122" s="116">
        <v>7.762058764E9</v>
      </c>
      <c r="F122" s="117" t="s">
        <v>2461</v>
      </c>
      <c r="G122" s="118"/>
      <c r="H122" s="119">
        <v>79.0</v>
      </c>
      <c r="I122" s="116">
        <v>75.0</v>
      </c>
      <c r="J122" s="120">
        <f>IFNA(VLOOKUP(D122,'L3'!$1:$2060,2,False),0)</f>
        <v>70</v>
      </c>
      <c r="K122" s="120">
        <f>VLOOKUP(D122,'L4'!$1:$2059,2,FALSE)</f>
        <v>70</v>
      </c>
      <c r="L122" s="121">
        <f>VLOOKUP(D122,'A1 RETEST 5 DEC'!$1:$2096,2,FALSE)</f>
        <v>5</v>
      </c>
      <c r="M122" s="121">
        <f>VLOOKUP(D122,'A2 RETEST 4 DEC'!$1:$2096,2,FALSE)</f>
        <v>30</v>
      </c>
      <c r="N122" s="122">
        <v>50.0</v>
      </c>
      <c r="O122" s="121"/>
      <c r="P122" s="123">
        <f>IFNA(VLOOKUP(D122,'S1'!$1:$1325,2,False),0)</f>
        <v>50</v>
      </c>
      <c r="Q122" s="123">
        <f>IFNA(vlookup(D122,'S2'!A118:B1320,2,False),0)</f>
        <v>63</v>
      </c>
      <c r="R122" s="123">
        <f>ifna(vlookup(D122,'S3'!$1:$1311,2,False),0)</f>
        <v>50</v>
      </c>
      <c r="S122" s="123"/>
      <c r="T122" s="124">
        <v>6.0</v>
      </c>
      <c r="U122" s="125">
        <v>21.0</v>
      </c>
      <c r="V122" s="125">
        <v>52.0</v>
      </c>
      <c r="W122" s="125">
        <v>60.0</v>
      </c>
      <c r="X122" s="125">
        <v>84.0</v>
      </c>
      <c r="Y122" s="125"/>
      <c r="Z122" s="126"/>
      <c r="AA122" s="127">
        <v>88.0</v>
      </c>
      <c r="AB122" s="26">
        <v>99.0</v>
      </c>
      <c r="AC122" s="135">
        <v>67.0</v>
      </c>
      <c r="AD122" s="129">
        <v>100.0</v>
      </c>
      <c r="AE122" s="130">
        <v>76.0</v>
      </c>
      <c r="AF122" s="129"/>
      <c r="AG122" s="129">
        <v>5.0</v>
      </c>
      <c r="AH122" s="129"/>
      <c r="AI122" s="131"/>
      <c r="AJ122" s="131"/>
      <c r="AK122" s="132">
        <f t="shared" si="1"/>
        <v>4</v>
      </c>
      <c r="AL122" s="132">
        <f t="shared" si="2"/>
        <v>0</v>
      </c>
      <c r="AM122" s="133">
        <f t="shared" si="3"/>
        <v>3</v>
      </c>
      <c r="AN122" s="132" t="str">
        <f t="shared" si="4"/>
        <v>3.5</v>
      </c>
      <c r="AO122" s="132">
        <f t="shared" si="5"/>
        <v>3</v>
      </c>
      <c r="AP122" s="88"/>
      <c r="AQ122" s="88"/>
    </row>
    <row r="123">
      <c r="A123" s="114">
        <v>118.0</v>
      </c>
      <c r="B123" s="115" t="s">
        <v>2014</v>
      </c>
      <c r="C123" s="115" t="s">
        <v>2582</v>
      </c>
      <c r="D123" s="116" t="str">
        <f>VLOOKUP(B123,USN!$1:$1088,2,FALSE)</f>
        <v>1CR23CS123</v>
      </c>
      <c r="E123" s="116">
        <v>9.864972947E9</v>
      </c>
      <c r="F123" s="117" t="s">
        <v>2461</v>
      </c>
      <c r="G123" s="118"/>
      <c r="H123" s="119">
        <v>80.0</v>
      </c>
      <c r="I123" s="116">
        <v>83.0</v>
      </c>
      <c r="J123" s="120">
        <f>IFNA(VLOOKUP(D123,'L3'!$1:$2060,2,False),0)</f>
        <v>70</v>
      </c>
      <c r="K123" s="120">
        <f>VLOOKUP(D123,'L4'!$1:$2059,2,FALSE)</f>
        <v>73</v>
      </c>
      <c r="L123" s="121">
        <f>VLOOKUP(D123,'A1 RETEST 5 DEC'!$1:$2096,2,FALSE)</f>
        <v>50</v>
      </c>
      <c r="M123" s="121">
        <f>VLOOKUP(D123,'A2 RETEST 4 DEC'!$1:$2096,2,FALSE)</f>
        <v>50</v>
      </c>
      <c r="N123" s="122">
        <v>0.0</v>
      </c>
      <c r="O123" s="121"/>
      <c r="P123" s="123">
        <f>IFNA(VLOOKUP(D123,'S1'!$1:$1325,2,False),0)</f>
        <v>50</v>
      </c>
      <c r="Q123" s="123">
        <f>IFNA(vlookup(D123,'S2'!A119:B1321,2,False),0)</f>
        <v>63</v>
      </c>
      <c r="R123" s="123">
        <f>ifna(vlookup(D123,'S3'!$1:$1311,2,False),0)</f>
        <v>50</v>
      </c>
      <c r="S123" s="123"/>
      <c r="T123" s="124">
        <v>22.0</v>
      </c>
      <c r="U123" s="125">
        <v>18.0</v>
      </c>
      <c r="V123" s="125">
        <v>80.0</v>
      </c>
      <c r="W123" s="125">
        <v>36.0</v>
      </c>
      <c r="X123" s="125">
        <v>82.0</v>
      </c>
      <c r="Y123" s="125"/>
      <c r="Z123" s="126"/>
      <c r="AA123" s="127">
        <v>94.0</v>
      </c>
      <c r="AB123" s="26">
        <v>100.0</v>
      </c>
      <c r="AC123" s="135">
        <v>67.5</v>
      </c>
      <c r="AD123" s="129">
        <v>100.0</v>
      </c>
      <c r="AE123" s="130">
        <v>55.0</v>
      </c>
      <c r="AF123" s="129"/>
      <c r="AG123" s="129">
        <v>5.0</v>
      </c>
      <c r="AH123" s="129"/>
      <c r="AI123" s="131"/>
      <c r="AJ123" s="131"/>
      <c r="AK123" s="132">
        <f t="shared" si="1"/>
        <v>4</v>
      </c>
      <c r="AL123" s="132">
        <f t="shared" si="2"/>
        <v>2</v>
      </c>
      <c r="AM123" s="133">
        <f t="shared" si="3"/>
        <v>2</v>
      </c>
      <c r="AN123" s="132" t="str">
        <f t="shared" si="4"/>
        <v>3</v>
      </c>
      <c r="AO123" s="132">
        <f t="shared" si="5"/>
        <v>3</v>
      </c>
      <c r="AP123" s="88"/>
      <c r="AQ123" s="88"/>
    </row>
    <row r="124">
      <c r="A124" s="114">
        <v>119.0</v>
      </c>
      <c r="B124" s="137" t="s">
        <v>2066</v>
      </c>
      <c r="C124" s="137" t="s">
        <v>2583</v>
      </c>
      <c r="D124" s="116" t="str">
        <f>VLOOKUP(B124,USN!$1:$1088,2,FALSE)</f>
        <v>1CR23CS124</v>
      </c>
      <c r="E124" s="138">
        <v>9.380140297E9</v>
      </c>
      <c r="F124" s="117" t="s">
        <v>2461</v>
      </c>
      <c r="G124" s="118"/>
      <c r="H124" s="119">
        <v>78.0</v>
      </c>
      <c r="I124" s="116">
        <v>85.0</v>
      </c>
      <c r="J124" s="120">
        <f>IFNA(VLOOKUP(D124,'L3'!$1:$2060,2,False),0)</f>
        <v>75</v>
      </c>
      <c r="K124" s="120">
        <f>VLOOKUP(D124,'L4'!$1:$2059,2,FALSE)</f>
        <v>78</v>
      </c>
      <c r="L124" s="121">
        <f>VLOOKUP(D124,'A1 RETEST 5 DEC'!$1:$2096,2,FALSE)</f>
        <v>53</v>
      </c>
      <c r="M124" s="121">
        <f>VLOOKUP(D124,'A2 RETEST 4 DEC'!$1:$2096,2,FALSE)</f>
        <v>50</v>
      </c>
      <c r="N124" s="122">
        <v>51.0</v>
      </c>
      <c r="O124" s="121"/>
      <c r="P124" s="123">
        <f>IFNA(VLOOKUP(D124,'S1'!$1:$1325,2,False),0)</f>
        <v>80</v>
      </c>
      <c r="Q124" s="123">
        <f>IFNA(vlookup(D124,'S2'!A120:B1322,2,False),0)</f>
        <v>84</v>
      </c>
      <c r="R124" s="123">
        <f>ifna(vlookup(D124,'S3'!$1:$1311,2,False),0)</f>
        <v>84</v>
      </c>
      <c r="S124" s="123"/>
      <c r="T124" s="124">
        <v>22.0</v>
      </c>
      <c r="U124" s="125">
        <v>21.0</v>
      </c>
      <c r="V124" s="125">
        <v>76.0</v>
      </c>
      <c r="W124" s="125">
        <v>36.0</v>
      </c>
      <c r="X124" s="125">
        <v>80.0</v>
      </c>
      <c r="Y124" s="125"/>
      <c r="Z124" s="126"/>
      <c r="AA124" s="127">
        <v>72.0</v>
      </c>
      <c r="AB124" s="26">
        <v>85.0</v>
      </c>
      <c r="AC124" s="135">
        <v>74.0</v>
      </c>
      <c r="AD124" s="129">
        <v>100.0</v>
      </c>
      <c r="AE124" s="129">
        <v>70.0</v>
      </c>
      <c r="AF124" s="129"/>
      <c r="AG124" s="129">
        <v>78.0</v>
      </c>
      <c r="AH124" s="129"/>
      <c r="AI124" s="131"/>
      <c r="AJ124" s="131"/>
      <c r="AK124" s="132">
        <f t="shared" si="1"/>
        <v>4</v>
      </c>
      <c r="AL124" s="132">
        <f t="shared" si="2"/>
        <v>3</v>
      </c>
      <c r="AM124" s="133">
        <f t="shared" si="3"/>
        <v>2</v>
      </c>
      <c r="AN124" s="132" t="str">
        <f t="shared" si="4"/>
        <v>3.5</v>
      </c>
      <c r="AO124" s="132">
        <f t="shared" si="5"/>
        <v>3</v>
      </c>
      <c r="AP124" s="88"/>
      <c r="AQ124" s="88"/>
    </row>
    <row r="125">
      <c r="A125" s="114">
        <v>120.0</v>
      </c>
      <c r="B125" s="115" t="s">
        <v>1980</v>
      </c>
      <c r="C125" s="115" t="s">
        <v>2584</v>
      </c>
      <c r="D125" s="116" t="str">
        <f>VLOOKUP(B125,USN!$1:$1088,2,FALSE)</f>
        <v>1CR23CS125</v>
      </c>
      <c r="E125" s="116">
        <v>6.364734444E9</v>
      </c>
      <c r="F125" s="117" t="s">
        <v>2461</v>
      </c>
      <c r="G125" s="118"/>
      <c r="H125" s="119">
        <v>82.0</v>
      </c>
      <c r="I125" s="116">
        <v>74.0</v>
      </c>
      <c r="J125" s="120">
        <f>IFNA(VLOOKUP(D125,'L3'!$1:$2060,2,False),0)</f>
        <v>47</v>
      </c>
      <c r="K125" s="120">
        <f>VLOOKUP(D125,'L4'!$1:$2059,2,FALSE)</f>
        <v>70</v>
      </c>
      <c r="L125" s="121">
        <f>VLOOKUP(D125,'A1 RETEST 5 DEC'!$1:$2096,2,FALSE)</f>
        <v>42</v>
      </c>
      <c r="M125" s="121">
        <f>VLOOKUP(D125,'A2 RETEST 4 DEC'!$1:$2096,2,FALSE)</f>
        <v>18</v>
      </c>
      <c r="N125" s="122">
        <v>6.0</v>
      </c>
      <c r="O125" s="121"/>
      <c r="P125" s="123">
        <f>IFNA(VLOOKUP(D125,'S1'!$1:$1325,2,False),0)</f>
        <v>50</v>
      </c>
      <c r="Q125" s="123">
        <f>IFNA(vlookup(D125,'S2'!A121:B1323,2,False),0)</f>
        <v>0</v>
      </c>
      <c r="R125" s="123">
        <f>ifna(vlookup(D125,'S3'!$1:$1311,2,False),0)</f>
        <v>0</v>
      </c>
      <c r="S125" s="123"/>
      <c r="T125" s="124">
        <v>21.0</v>
      </c>
      <c r="U125" s="125">
        <v>17.0</v>
      </c>
      <c r="V125" s="125">
        <v>88.0</v>
      </c>
      <c r="W125" s="125">
        <v>44.0</v>
      </c>
      <c r="X125" s="125">
        <v>86.0</v>
      </c>
      <c r="Y125" s="125"/>
      <c r="Z125" s="126"/>
      <c r="AA125" s="127">
        <v>72.0</v>
      </c>
      <c r="AB125" s="26">
        <v>87.0</v>
      </c>
      <c r="AC125" s="135">
        <v>90.0</v>
      </c>
      <c r="AD125" s="129">
        <v>90.0</v>
      </c>
      <c r="AE125" s="130">
        <v>45.0</v>
      </c>
      <c r="AF125" s="129"/>
      <c r="AG125" s="129">
        <v>5.0</v>
      </c>
      <c r="AH125" s="129"/>
      <c r="AI125" s="131"/>
      <c r="AJ125" s="131"/>
      <c r="AK125" s="132">
        <f t="shared" si="1"/>
        <v>2</v>
      </c>
      <c r="AL125" s="132">
        <f t="shared" si="2"/>
        <v>0</v>
      </c>
      <c r="AM125" s="133">
        <f t="shared" si="3"/>
        <v>2</v>
      </c>
      <c r="AN125" s="132" t="str">
        <f t="shared" si="4"/>
        <v>3</v>
      </c>
      <c r="AO125" s="132">
        <f t="shared" si="5"/>
        <v>1</v>
      </c>
      <c r="AP125" s="88"/>
      <c r="AQ125" s="88"/>
    </row>
    <row r="126">
      <c r="A126" s="114">
        <v>121.0</v>
      </c>
      <c r="B126" s="115" t="s">
        <v>2007</v>
      </c>
      <c r="C126" s="115" t="s">
        <v>2585</v>
      </c>
      <c r="D126" s="116" t="str">
        <f>VLOOKUP(B126,USN!$1:$1088,2,FALSE)</f>
        <v>1CR23CS126</v>
      </c>
      <c r="E126" s="116">
        <v>7.250478007E9</v>
      </c>
      <c r="F126" s="117" t="s">
        <v>2461</v>
      </c>
      <c r="G126" s="118"/>
      <c r="H126" s="119">
        <v>87.0</v>
      </c>
      <c r="I126" s="116">
        <v>83.0</v>
      </c>
      <c r="J126" s="120">
        <f>IFNA(VLOOKUP(D126,'L3'!$1:$2060,2,False),0)</f>
        <v>71</v>
      </c>
      <c r="K126" s="120">
        <f>VLOOKUP(D126,'L4'!$1:$2059,2,FALSE)</f>
        <v>70</v>
      </c>
      <c r="L126" s="121">
        <f>VLOOKUP(D126,'A1 RETEST 5 DEC'!$1:$2096,2,FALSE)</f>
        <v>53</v>
      </c>
      <c r="M126" s="121">
        <f>VLOOKUP(D126,'A2 RETEST 4 DEC'!$1:$2096,2,FALSE)</f>
        <v>50</v>
      </c>
      <c r="N126" s="122">
        <v>50.0</v>
      </c>
      <c r="O126" s="121"/>
      <c r="P126" s="123">
        <f>IFNA(VLOOKUP(D126,'S1'!$1:$1325,2,False),0)</f>
        <v>73</v>
      </c>
      <c r="Q126" s="123">
        <f>IFNA(vlookup(D126,'S2'!A122:B1324,2,False),0)</f>
        <v>66</v>
      </c>
      <c r="R126" s="123">
        <f>ifna(vlookup(D126,'S3'!$1:$1311,2,False),0)</f>
        <v>86</v>
      </c>
      <c r="S126" s="123"/>
      <c r="T126" s="124">
        <v>10.0</v>
      </c>
      <c r="U126" s="125">
        <v>16.0</v>
      </c>
      <c r="V126" s="125">
        <v>72.0</v>
      </c>
      <c r="W126" s="125">
        <v>40.0</v>
      </c>
      <c r="X126" s="125">
        <v>78.0</v>
      </c>
      <c r="Y126" s="125"/>
      <c r="Z126" s="126"/>
      <c r="AA126" s="127">
        <v>72.0</v>
      </c>
      <c r="AB126" s="26">
        <v>99.0</v>
      </c>
      <c r="AC126" s="135">
        <v>70.0</v>
      </c>
      <c r="AD126" s="129">
        <v>44.0</v>
      </c>
      <c r="AE126" s="130">
        <v>70.0</v>
      </c>
      <c r="AF126" s="129"/>
      <c r="AG126" s="129">
        <v>31.0</v>
      </c>
      <c r="AH126" s="129"/>
      <c r="AI126" s="131"/>
      <c r="AJ126" s="131"/>
      <c r="AK126" s="132">
        <f t="shared" si="1"/>
        <v>4</v>
      </c>
      <c r="AL126" s="132">
        <f t="shared" si="2"/>
        <v>3</v>
      </c>
      <c r="AM126" s="133">
        <f t="shared" si="3"/>
        <v>2</v>
      </c>
      <c r="AN126" s="132" t="str">
        <f t="shared" si="4"/>
        <v>3.5</v>
      </c>
      <c r="AO126" s="132">
        <f t="shared" si="5"/>
        <v>3</v>
      </c>
      <c r="AP126" s="88"/>
      <c r="AQ126" s="88"/>
    </row>
    <row r="127">
      <c r="A127" s="114">
        <v>122.0</v>
      </c>
      <c r="B127" s="115" t="s">
        <v>2009</v>
      </c>
      <c r="C127" s="115" t="s">
        <v>2586</v>
      </c>
      <c r="D127" s="116" t="str">
        <f>VLOOKUP(B127,USN!$1:$1088,2,FALSE)</f>
        <v>1CR23CS127</v>
      </c>
      <c r="E127" s="116">
        <v>9.480850001E9</v>
      </c>
      <c r="F127" s="117" t="s">
        <v>2461</v>
      </c>
      <c r="G127" s="118"/>
      <c r="H127" s="119">
        <v>80.0</v>
      </c>
      <c r="I127" s="116">
        <v>83.0</v>
      </c>
      <c r="J127" s="120">
        <f>IFNA(VLOOKUP(D127,'L3'!$1:$2060,2,False),0)</f>
        <v>70</v>
      </c>
      <c r="K127" s="120">
        <f>VLOOKUP(D127,'L4'!$1:$2059,2,FALSE)</f>
        <v>70</v>
      </c>
      <c r="L127" s="121">
        <f>VLOOKUP(D127,'A1 RETEST 5 DEC'!$1:$2096,2,FALSE)</f>
        <v>50</v>
      </c>
      <c r="M127" s="121">
        <f>VLOOKUP(D127,'A2 RETEST 4 DEC'!$1:$2096,2,FALSE)</f>
        <v>50</v>
      </c>
      <c r="N127" s="122">
        <v>50.0</v>
      </c>
      <c r="O127" s="121"/>
      <c r="P127" s="123">
        <f>IFNA(VLOOKUP(D127,'S1'!$1:$1325,2,False),0)</f>
        <v>50</v>
      </c>
      <c r="Q127" s="123">
        <f>IFNA(vlookup(D127,'S2'!A123:B1325,2,False),0)</f>
        <v>63</v>
      </c>
      <c r="R127" s="123">
        <f>ifna(vlookup(D127,'S3'!$1:$1311,2,False),0)</f>
        <v>92</v>
      </c>
      <c r="S127" s="123"/>
      <c r="T127" s="124">
        <v>10.0</v>
      </c>
      <c r="U127" s="125">
        <v>14.0</v>
      </c>
      <c r="V127" s="125">
        <v>84.0</v>
      </c>
      <c r="W127" s="125">
        <v>36.0</v>
      </c>
      <c r="X127" s="125">
        <v>86.0</v>
      </c>
      <c r="Y127" s="125"/>
      <c r="Z127" s="126"/>
      <c r="AA127" s="127">
        <v>34.0</v>
      </c>
      <c r="AB127" s="26">
        <v>50.0</v>
      </c>
      <c r="AC127" s="135">
        <v>0.0</v>
      </c>
      <c r="AD127" s="129">
        <v>100.0</v>
      </c>
      <c r="AE127" s="130">
        <v>19.0</v>
      </c>
      <c r="AF127" s="129"/>
      <c r="AG127" s="129">
        <v>5.0</v>
      </c>
      <c r="AH127" s="129"/>
      <c r="AI127" s="131"/>
      <c r="AJ127" s="131"/>
      <c r="AK127" s="132">
        <f t="shared" si="1"/>
        <v>4</v>
      </c>
      <c r="AL127" s="132">
        <f t="shared" si="2"/>
        <v>3</v>
      </c>
      <c r="AM127" s="133">
        <f t="shared" si="3"/>
        <v>2</v>
      </c>
      <c r="AN127" s="132" t="str">
        <f t="shared" si="4"/>
        <v>3</v>
      </c>
      <c r="AO127" s="132">
        <f t="shared" si="5"/>
        <v>3</v>
      </c>
      <c r="AP127" s="88"/>
      <c r="AQ127" s="88"/>
    </row>
    <row r="128">
      <c r="A128" s="114">
        <v>123.0</v>
      </c>
      <c r="B128" s="137" t="s">
        <v>2092</v>
      </c>
      <c r="C128" s="137" t="s">
        <v>2587</v>
      </c>
      <c r="D128" s="116" t="str">
        <f>VLOOKUP(B128,USN!$1:$1088,2,FALSE)</f>
        <v>1CR23CS128</v>
      </c>
      <c r="E128" s="138">
        <v>6.362551477E9</v>
      </c>
      <c r="F128" s="117" t="s">
        <v>2461</v>
      </c>
      <c r="G128" s="118"/>
      <c r="H128" s="119">
        <v>71.0</v>
      </c>
      <c r="I128" s="116">
        <v>75.0</v>
      </c>
      <c r="J128" s="120">
        <f>IFNA(VLOOKUP(D128,'L3'!$1:$2060,2,False),0)</f>
        <v>70</v>
      </c>
      <c r="K128" s="120">
        <f>VLOOKUP(D128,'L4'!$1:$2059,2,FALSE)</f>
        <v>78</v>
      </c>
      <c r="L128" s="121">
        <f>VLOOKUP(D128,'A1 RETEST 5 DEC'!$1:$2096,2,FALSE)</f>
        <v>50</v>
      </c>
      <c r="M128" s="121">
        <f>VLOOKUP(D128,'A2 RETEST 4 DEC'!$1:$2096,2,FALSE)</f>
        <v>23</v>
      </c>
      <c r="N128" s="122">
        <v>50.0</v>
      </c>
      <c r="O128" s="121"/>
      <c r="P128" s="123">
        <f>IFNA(VLOOKUP(D128,'S1'!$1:$1325,2,False),0)</f>
        <v>50</v>
      </c>
      <c r="Q128" s="123">
        <f>IFNA(vlookup(D128,'S2'!A124:B1326,2,False),0)</f>
        <v>62</v>
      </c>
      <c r="R128" s="123">
        <f>ifna(vlookup(D128,'S3'!$1:$1311,2,False),0)</f>
        <v>78</v>
      </c>
      <c r="S128" s="123"/>
      <c r="T128" s="124">
        <v>12.0</v>
      </c>
      <c r="U128" s="125">
        <v>19.0</v>
      </c>
      <c r="V128" s="125">
        <v>72.0</v>
      </c>
      <c r="W128" s="125">
        <v>40.0</v>
      </c>
      <c r="X128" s="125">
        <v>84.0</v>
      </c>
      <c r="Y128" s="125"/>
      <c r="Z128" s="126"/>
      <c r="AA128" s="127">
        <v>82.0</v>
      </c>
      <c r="AB128" s="26">
        <v>91.25</v>
      </c>
      <c r="AC128" s="146">
        <v>0.0</v>
      </c>
      <c r="AD128" s="129">
        <v>92.0</v>
      </c>
      <c r="AE128" s="130">
        <v>55.0</v>
      </c>
      <c r="AF128" s="129"/>
      <c r="AG128" s="129">
        <v>26.0</v>
      </c>
      <c r="AH128" s="129"/>
      <c r="AI128" s="131"/>
      <c r="AJ128" s="131"/>
      <c r="AK128" s="132">
        <f t="shared" si="1"/>
        <v>4</v>
      </c>
      <c r="AL128" s="132">
        <f t="shared" si="2"/>
        <v>1</v>
      </c>
      <c r="AM128" s="133">
        <f t="shared" si="3"/>
        <v>2</v>
      </c>
      <c r="AN128" s="132" t="str">
        <f t="shared" si="4"/>
        <v>3</v>
      </c>
      <c r="AO128" s="132">
        <f t="shared" si="5"/>
        <v>3</v>
      </c>
      <c r="AP128" s="88"/>
      <c r="AQ128" s="88"/>
    </row>
    <row r="129">
      <c r="A129" s="114">
        <v>124.0</v>
      </c>
      <c r="B129" s="137" t="s">
        <v>2094</v>
      </c>
      <c r="C129" s="137" t="s">
        <v>2588</v>
      </c>
      <c r="D129" s="116" t="str">
        <f>VLOOKUP(B129,USN!$1:$1088,2,FALSE)</f>
        <v>1CR23CS129</v>
      </c>
      <c r="E129" s="138">
        <v>8.310238359E9</v>
      </c>
      <c r="F129" s="117" t="s">
        <v>2461</v>
      </c>
      <c r="G129" s="118"/>
      <c r="H129" s="119">
        <v>81.0</v>
      </c>
      <c r="I129" s="116">
        <v>73.0</v>
      </c>
      <c r="J129" s="120">
        <f>IFNA(VLOOKUP(D129,'L3'!$1:$2060,2,False),0)</f>
        <v>70</v>
      </c>
      <c r="K129" s="120">
        <f>VLOOKUP(D129,'L4'!$1:$2059,2,FALSE)</f>
        <v>70</v>
      </c>
      <c r="L129" s="121">
        <f>VLOOKUP(D129,'A1 RETEST 5 DEC'!$1:$2096,2,FALSE)</f>
        <v>50</v>
      </c>
      <c r="M129" s="121">
        <f>VLOOKUP(D129,'A2 RETEST 4 DEC'!$1:$2096,2,FALSE)</f>
        <v>50</v>
      </c>
      <c r="N129" s="122">
        <v>50.0</v>
      </c>
      <c r="O129" s="121"/>
      <c r="P129" s="123">
        <f>IFNA(VLOOKUP(D129,'S1'!$1:$1325,2,False),0)</f>
        <v>50</v>
      </c>
      <c r="Q129" s="123">
        <f>IFNA(vlookup(D129,'S2'!A125:B1327,2,False),0)</f>
        <v>50</v>
      </c>
      <c r="R129" s="123">
        <f>ifna(vlookup(D129,'S3'!$1:$1311,2,False),0)</f>
        <v>77</v>
      </c>
      <c r="S129" s="123"/>
      <c r="T129" s="124">
        <v>14.0</v>
      </c>
      <c r="U129" s="125">
        <v>19.0</v>
      </c>
      <c r="V129" s="125">
        <v>84.0</v>
      </c>
      <c r="W129" s="125">
        <v>40.0</v>
      </c>
      <c r="X129" s="125">
        <v>80.0</v>
      </c>
      <c r="Y129" s="125"/>
      <c r="Z129" s="126"/>
      <c r="AA129" s="127">
        <v>84.0</v>
      </c>
      <c r="AB129" s="26">
        <v>77.5</v>
      </c>
      <c r="AC129" s="135">
        <v>80.0</v>
      </c>
      <c r="AD129" s="129">
        <v>1.5</v>
      </c>
      <c r="AE129" s="130">
        <v>60.0</v>
      </c>
      <c r="AF129" s="129"/>
      <c r="AG129" s="129">
        <v>35.0</v>
      </c>
      <c r="AH129" s="129"/>
      <c r="AI129" s="131"/>
      <c r="AJ129" s="131"/>
      <c r="AK129" s="132">
        <f t="shared" si="1"/>
        <v>4</v>
      </c>
      <c r="AL129" s="132">
        <f t="shared" si="2"/>
        <v>3</v>
      </c>
      <c r="AM129" s="133">
        <f t="shared" si="3"/>
        <v>2</v>
      </c>
      <c r="AN129" s="132" t="str">
        <f t="shared" si="4"/>
        <v>3</v>
      </c>
      <c r="AO129" s="132">
        <f t="shared" si="5"/>
        <v>3</v>
      </c>
      <c r="AP129" s="88"/>
      <c r="AQ129" s="88"/>
    </row>
    <row r="130">
      <c r="A130" s="114">
        <v>125.0</v>
      </c>
      <c r="B130" s="115" t="s">
        <v>2000</v>
      </c>
      <c r="C130" s="115" t="s">
        <v>2589</v>
      </c>
      <c r="D130" s="116" t="str">
        <f>VLOOKUP(B130,USN!$1:$1088,2,FALSE)</f>
        <v>1CR23CS130</v>
      </c>
      <c r="E130" s="116">
        <v>9.036513469E9</v>
      </c>
      <c r="F130" s="117" t="s">
        <v>2461</v>
      </c>
      <c r="G130" s="118"/>
      <c r="H130" s="119">
        <v>87.0</v>
      </c>
      <c r="I130" s="116">
        <v>90.0</v>
      </c>
      <c r="J130" s="120">
        <f>IFNA(VLOOKUP(D130,'L3'!$1:$2060,2,False),0)</f>
        <v>82</v>
      </c>
      <c r="K130" s="120">
        <f>VLOOKUP(D130,'L4'!$1:$2059,2,FALSE)</f>
        <v>90</v>
      </c>
      <c r="L130" s="121">
        <f>VLOOKUP(D130,'A1 RETEST 5 DEC'!$1:$2096,2,FALSE)</f>
        <v>50</v>
      </c>
      <c r="M130" s="121">
        <f>VLOOKUP(D130,'A2 RETEST 4 DEC'!$1:$2096,2,FALSE)</f>
        <v>50</v>
      </c>
      <c r="N130" s="122">
        <v>50.0</v>
      </c>
      <c r="O130" s="121"/>
      <c r="P130" s="123">
        <f>IFNA(VLOOKUP(D130,'S1'!$1:$1325,2,False),0)</f>
        <v>50</v>
      </c>
      <c r="Q130" s="123">
        <f>IFNA(vlookup(D130,'S2'!A126:B1328,2,False),0)</f>
        <v>90</v>
      </c>
      <c r="R130" s="123">
        <f>ifna(vlookup(D130,'S3'!$1:$1311,2,False),0)</f>
        <v>84</v>
      </c>
      <c r="S130" s="123"/>
      <c r="T130" s="124">
        <v>20.0</v>
      </c>
      <c r="U130" s="125">
        <v>18.0</v>
      </c>
      <c r="V130" s="125">
        <v>44.0</v>
      </c>
      <c r="W130" s="125">
        <v>48.0</v>
      </c>
      <c r="X130" s="125">
        <v>80.0</v>
      </c>
      <c r="Y130" s="125"/>
      <c r="Z130" s="126"/>
      <c r="AA130" s="127">
        <v>54.0</v>
      </c>
      <c r="AB130" s="26">
        <v>60.0</v>
      </c>
      <c r="AC130" s="135">
        <v>36.5</v>
      </c>
      <c r="AD130" s="129">
        <v>70.0</v>
      </c>
      <c r="AE130" s="130">
        <v>73.0</v>
      </c>
      <c r="AF130" s="129"/>
      <c r="AG130" s="129">
        <v>75.0</v>
      </c>
      <c r="AH130" s="129"/>
      <c r="AI130" s="131"/>
      <c r="AJ130" s="131"/>
      <c r="AK130" s="132">
        <f t="shared" si="1"/>
        <v>4</v>
      </c>
      <c r="AL130" s="132">
        <f t="shared" si="2"/>
        <v>3</v>
      </c>
      <c r="AM130" s="133">
        <f t="shared" si="3"/>
        <v>2</v>
      </c>
      <c r="AN130" s="132" t="str">
        <f t="shared" si="4"/>
        <v>3.5</v>
      </c>
      <c r="AO130" s="132">
        <f t="shared" si="5"/>
        <v>3</v>
      </c>
      <c r="AP130" s="88"/>
      <c r="AQ130" s="88"/>
    </row>
    <row r="131">
      <c r="A131" s="114">
        <v>126.0</v>
      </c>
      <c r="B131" s="137" t="s">
        <v>2067</v>
      </c>
      <c r="C131" s="137" t="s">
        <v>2590</v>
      </c>
      <c r="D131" s="116" t="str">
        <f>VLOOKUP(B131,USN!$1:$1088,2,FALSE)</f>
        <v>1CR23CS131</v>
      </c>
      <c r="E131" s="138">
        <v>6.366518695E9</v>
      </c>
      <c r="F131" s="117" t="s">
        <v>2461</v>
      </c>
      <c r="G131" s="118"/>
      <c r="H131" s="119">
        <v>84.0</v>
      </c>
      <c r="I131" s="116">
        <v>86.0</v>
      </c>
      <c r="J131" s="120">
        <f>IFNA(VLOOKUP(D131,'L3'!$1:$2060,2,False),0)</f>
        <v>70</v>
      </c>
      <c r="K131" s="120">
        <f>VLOOKUP(D131,'L4'!$1:$2059,2,FALSE)</f>
        <v>83</v>
      </c>
      <c r="L131" s="121">
        <f>VLOOKUP(D131,'A1 RETEST 5 DEC'!$1:$2096,2,FALSE)</f>
        <v>63</v>
      </c>
      <c r="M131" s="121">
        <f>VLOOKUP(D131,'A2 RETEST 4 DEC'!$1:$2096,2,FALSE)</f>
        <v>50</v>
      </c>
      <c r="N131" s="122">
        <v>60.0</v>
      </c>
      <c r="O131" s="121"/>
      <c r="P131" s="123">
        <f>IFNA(VLOOKUP(D131,'S1'!$1:$1325,2,False),0)</f>
        <v>73</v>
      </c>
      <c r="Q131" s="123">
        <f>IFNA(vlookup(D131,'S2'!A127:B1329,2,False),0)</f>
        <v>65</v>
      </c>
      <c r="R131" s="123">
        <f>ifna(vlookup(D131,'S3'!$1:$1311,2,False),0)</f>
        <v>76</v>
      </c>
      <c r="S131" s="123"/>
      <c r="T131" s="124">
        <v>17.0</v>
      </c>
      <c r="U131" s="125">
        <v>22.0</v>
      </c>
      <c r="V131" s="125">
        <v>60.0</v>
      </c>
      <c r="W131" s="125">
        <v>36.0</v>
      </c>
      <c r="X131" s="125">
        <v>52.0</v>
      </c>
      <c r="Y131" s="125"/>
      <c r="Z131" s="126"/>
      <c r="AA131" s="127">
        <v>60.0</v>
      </c>
      <c r="AB131" s="26">
        <v>87.5</v>
      </c>
      <c r="AC131" s="135">
        <v>91.0</v>
      </c>
      <c r="AD131" s="129">
        <v>100.0</v>
      </c>
      <c r="AE131" s="130">
        <v>90.0</v>
      </c>
      <c r="AF131" s="129"/>
      <c r="AG131" s="129">
        <v>34.0</v>
      </c>
      <c r="AH131" s="129"/>
      <c r="AI131" s="131"/>
      <c r="AJ131" s="131"/>
      <c r="AK131" s="132">
        <f t="shared" si="1"/>
        <v>4</v>
      </c>
      <c r="AL131" s="132">
        <f t="shared" si="2"/>
        <v>3</v>
      </c>
      <c r="AM131" s="133">
        <f t="shared" si="3"/>
        <v>2</v>
      </c>
      <c r="AN131" s="132" t="str">
        <f t="shared" si="4"/>
        <v>3.5</v>
      </c>
      <c r="AO131" s="132">
        <f t="shared" si="5"/>
        <v>3</v>
      </c>
      <c r="AP131" s="88"/>
      <c r="AQ131" s="88"/>
    </row>
    <row r="132">
      <c r="A132" s="114">
        <v>127.0</v>
      </c>
      <c r="B132" s="115" t="s">
        <v>2019</v>
      </c>
      <c r="C132" s="115" t="s">
        <v>2591</v>
      </c>
      <c r="D132" s="116" t="str">
        <f>VLOOKUP(B132,USN!$1:$1088,2,FALSE)</f>
        <v>1CR23CS132</v>
      </c>
      <c r="E132" s="116">
        <v>6.361911702E9</v>
      </c>
      <c r="F132" s="117" t="s">
        <v>2461</v>
      </c>
      <c r="G132" s="118"/>
      <c r="H132" s="119">
        <v>75.0</v>
      </c>
      <c r="I132" s="116">
        <v>80.0</v>
      </c>
      <c r="J132" s="120">
        <f>IFNA(VLOOKUP(D132,'L3'!$1:$2060,2,False),0)</f>
        <v>71</v>
      </c>
      <c r="K132" s="120">
        <f>VLOOKUP(D132,'L4'!$1:$2059,2,FALSE)</f>
        <v>70</v>
      </c>
      <c r="L132" s="121">
        <f>VLOOKUP(D132,'A1 RETEST 5 DEC'!$1:$2096,2,FALSE)</f>
        <v>50</v>
      </c>
      <c r="M132" s="121">
        <f>VLOOKUP(D132,'A2 RETEST 4 DEC'!$1:$2096,2,FALSE)</f>
        <v>50</v>
      </c>
      <c r="N132" s="122">
        <v>50.0</v>
      </c>
      <c r="O132" s="121"/>
      <c r="P132" s="123">
        <f>IFNA(VLOOKUP(D132,'S1'!$1:$1325,2,False),0)</f>
        <v>78</v>
      </c>
      <c r="Q132" s="123">
        <f>IFNA(vlookup(D132,'S2'!A128:B1330,2,False),0)</f>
        <v>63</v>
      </c>
      <c r="R132" s="123">
        <f>ifna(vlookup(D132,'S3'!$1:$1311,2,False),0)</f>
        <v>85</v>
      </c>
      <c r="S132" s="123"/>
      <c r="T132" s="124">
        <v>20.0</v>
      </c>
      <c r="U132" s="125">
        <v>20.0</v>
      </c>
      <c r="V132" s="125">
        <v>56.0</v>
      </c>
      <c r="W132" s="125">
        <v>36.0</v>
      </c>
      <c r="X132" s="125">
        <v>82.0</v>
      </c>
      <c r="Y132" s="125"/>
      <c r="Z132" s="126"/>
      <c r="AA132" s="127">
        <v>54.0</v>
      </c>
      <c r="AB132" s="26">
        <v>99.0</v>
      </c>
      <c r="AC132" s="135">
        <v>78.5</v>
      </c>
      <c r="AD132" s="129">
        <v>100.0</v>
      </c>
      <c r="AE132" s="129">
        <v>70.0</v>
      </c>
      <c r="AF132" s="129"/>
      <c r="AG132" s="129">
        <v>5.0</v>
      </c>
      <c r="AH132" s="129"/>
      <c r="AI132" s="131"/>
      <c r="AJ132" s="131"/>
      <c r="AK132" s="132">
        <f t="shared" si="1"/>
        <v>4</v>
      </c>
      <c r="AL132" s="132">
        <f t="shared" si="2"/>
        <v>3</v>
      </c>
      <c r="AM132" s="133">
        <f t="shared" si="3"/>
        <v>2</v>
      </c>
      <c r="AN132" s="132" t="str">
        <f t="shared" si="4"/>
        <v>3.5</v>
      </c>
      <c r="AO132" s="132">
        <f t="shared" si="5"/>
        <v>3</v>
      </c>
      <c r="AP132" s="88"/>
      <c r="AQ132" s="88"/>
    </row>
    <row r="133">
      <c r="A133" s="114">
        <v>128.0</v>
      </c>
      <c r="B133" s="115" t="s">
        <v>2001</v>
      </c>
      <c r="C133" s="115" t="s">
        <v>2592</v>
      </c>
      <c r="D133" s="116" t="str">
        <f>VLOOKUP(B133,USN!$1:$1088,2,FALSE)</f>
        <v>1CR23CS133</v>
      </c>
      <c r="E133" s="116">
        <v>9.1108994E9</v>
      </c>
      <c r="F133" s="117" t="s">
        <v>2461</v>
      </c>
      <c r="G133" s="118"/>
      <c r="H133" s="119">
        <v>87.0</v>
      </c>
      <c r="I133" s="116">
        <v>81.0</v>
      </c>
      <c r="J133" s="120">
        <f>IFNA(VLOOKUP(D133,'L3'!$1:$2060,2,False),0)</f>
        <v>70</v>
      </c>
      <c r="K133" s="120">
        <f>VLOOKUP(D133,'L4'!$1:$2059,2,FALSE)</f>
        <v>70</v>
      </c>
      <c r="L133" s="121">
        <f>VLOOKUP(D133,'A1 RETEST 5 DEC'!$1:$2096,2,FALSE)</f>
        <v>50</v>
      </c>
      <c r="M133" s="121">
        <f>VLOOKUP(D133,'A2 RETEST 4 DEC'!$1:$2096,2,FALSE)</f>
        <v>50</v>
      </c>
      <c r="N133" s="122">
        <v>50.0</v>
      </c>
      <c r="O133" s="121"/>
      <c r="P133" s="123">
        <f>IFNA(VLOOKUP(D133,'S1'!$1:$1325,2,False),0)</f>
        <v>81</v>
      </c>
      <c r="Q133" s="123">
        <f>IFNA(vlookup(D133,'S2'!A129:B1331,2,False),0)</f>
        <v>65</v>
      </c>
      <c r="R133" s="123">
        <f>ifna(vlookup(D133,'S3'!$1:$1311,2,False),0)</f>
        <v>76</v>
      </c>
      <c r="S133" s="123"/>
      <c r="T133" s="124">
        <v>12.0</v>
      </c>
      <c r="U133" s="125">
        <v>22.0</v>
      </c>
      <c r="V133" s="125">
        <v>72.0</v>
      </c>
      <c r="W133" s="125">
        <v>48.0</v>
      </c>
      <c r="X133" s="125">
        <v>82.0</v>
      </c>
      <c r="Y133" s="125"/>
      <c r="Z133" s="126"/>
      <c r="AA133" s="127">
        <v>100.0</v>
      </c>
      <c r="AB133" s="26">
        <v>73.0</v>
      </c>
      <c r="AC133" s="135">
        <v>100.0</v>
      </c>
      <c r="AD133" s="129">
        <v>70.0</v>
      </c>
      <c r="AE133" s="130">
        <v>70.0</v>
      </c>
      <c r="AF133" s="129"/>
      <c r="AG133" s="129">
        <v>22.0</v>
      </c>
      <c r="AH133" s="129"/>
      <c r="AI133" s="131"/>
      <c r="AJ133" s="131"/>
      <c r="AK133" s="132">
        <f t="shared" si="1"/>
        <v>4</v>
      </c>
      <c r="AL133" s="132">
        <f t="shared" si="2"/>
        <v>3</v>
      </c>
      <c r="AM133" s="133">
        <f t="shared" si="3"/>
        <v>2</v>
      </c>
      <c r="AN133" s="132" t="str">
        <f t="shared" si="4"/>
        <v>3.5</v>
      </c>
      <c r="AO133" s="132">
        <f t="shared" si="5"/>
        <v>3</v>
      </c>
      <c r="AP133" s="88"/>
      <c r="AQ133" s="88"/>
    </row>
    <row r="134">
      <c r="A134" s="114">
        <v>129.0</v>
      </c>
      <c r="B134" s="136" t="s">
        <v>1952</v>
      </c>
      <c r="C134" s="140" t="s">
        <v>2593</v>
      </c>
      <c r="D134" s="116" t="str">
        <f>VLOOKUP(B134,USN!$1:$1088,2,FALSE)</f>
        <v>1CR23CS134</v>
      </c>
      <c r="E134" s="138">
        <v>9.108503237E9</v>
      </c>
      <c r="F134" s="117" t="s">
        <v>2461</v>
      </c>
      <c r="G134" s="118"/>
      <c r="H134" s="119">
        <v>77.0</v>
      </c>
      <c r="I134" s="116">
        <v>78.0</v>
      </c>
      <c r="J134" s="120">
        <f>IFNA(VLOOKUP(D134,'L3'!$1:$2060,2,False),0)</f>
        <v>70</v>
      </c>
      <c r="K134" s="120">
        <f>VLOOKUP(D134,'L4'!$1:$2059,2,FALSE)</f>
        <v>75</v>
      </c>
      <c r="L134" s="121">
        <f>VLOOKUP(D134,'A1 RETEST 5 DEC'!$1:$2096,2,FALSE)</f>
        <v>20</v>
      </c>
      <c r="M134" s="121">
        <f>VLOOKUP(D134,'A2 RETEST 4 DEC'!$1:$2096,2,FALSE)</f>
        <v>20</v>
      </c>
      <c r="N134" s="122">
        <v>50.0</v>
      </c>
      <c r="O134" s="121"/>
      <c r="P134" s="123">
        <f>IFNA(VLOOKUP(D134,'S1'!$1:$1325,2,False),0)</f>
        <v>76</v>
      </c>
      <c r="Q134" s="123">
        <f>IFNA(vlookup(D134,'S2'!A130:B1332,2,False),0)</f>
        <v>72</v>
      </c>
      <c r="R134" s="123">
        <f>ifna(vlookup(D134,'S3'!$1:$1311,2,False),0)</f>
        <v>76</v>
      </c>
      <c r="S134" s="123"/>
      <c r="T134" s="124">
        <v>14.0</v>
      </c>
      <c r="U134" s="125" t="s">
        <v>2477</v>
      </c>
      <c r="V134" s="125">
        <v>95.0</v>
      </c>
      <c r="W134" s="125">
        <v>36.0</v>
      </c>
      <c r="X134" s="125">
        <v>80.0</v>
      </c>
      <c r="Y134" s="125"/>
      <c r="Z134" s="126"/>
      <c r="AA134" s="127">
        <v>100.0</v>
      </c>
      <c r="AB134" s="26">
        <v>72.5</v>
      </c>
      <c r="AC134" s="135">
        <v>62.0</v>
      </c>
      <c r="AD134" s="129">
        <v>75.0</v>
      </c>
      <c r="AE134" s="130">
        <v>50.0</v>
      </c>
      <c r="AF134" s="129"/>
      <c r="AG134" s="129">
        <v>70.0</v>
      </c>
      <c r="AH134" s="129"/>
      <c r="AI134" s="131"/>
      <c r="AJ134" s="131"/>
      <c r="AK134" s="132">
        <f t="shared" si="1"/>
        <v>4</v>
      </c>
      <c r="AL134" s="132">
        <f t="shared" si="2"/>
        <v>0</v>
      </c>
      <c r="AM134" s="133">
        <f t="shared" si="3"/>
        <v>2</v>
      </c>
      <c r="AN134" s="132" t="str">
        <f t="shared" si="4"/>
        <v>3</v>
      </c>
      <c r="AO134" s="132">
        <f t="shared" si="5"/>
        <v>3</v>
      </c>
      <c r="AP134" s="88"/>
      <c r="AQ134" s="88"/>
    </row>
    <row r="135">
      <c r="A135" s="114">
        <v>130.0</v>
      </c>
      <c r="B135" s="115" t="s">
        <v>1982</v>
      </c>
      <c r="C135" s="115" t="s">
        <v>2594</v>
      </c>
      <c r="D135" s="116" t="str">
        <f>VLOOKUP(B135,USN!$1:$1088,2,FALSE)</f>
        <v>1CR23CS135</v>
      </c>
      <c r="E135" s="116">
        <v>9.606524839E9</v>
      </c>
      <c r="F135" s="117" t="s">
        <v>2461</v>
      </c>
      <c r="G135" s="118"/>
      <c r="H135" s="119">
        <v>81.0</v>
      </c>
      <c r="I135" s="116">
        <v>81.0</v>
      </c>
      <c r="J135" s="120">
        <f>IFNA(VLOOKUP(D135,'L3'!$1:$2060,2,False),0)</f>
        <v>70</v>
      </c>
      <c r="K135" s="120">
        <f>VLOOKUP(D135,'L4'!$1:$2059,2,FALSE)</f>
        <v>70</v>
      </c>
      <c r="L135" s="121">
        <f>VLOOKUP(D135,'A1 RETEST 5 DEC'!$1:$2096,2,FALSE)</f>
        <v>17</v>
      </c>
      <c r="M135" s="121">
        <f>VLOOKUP(D135,'A2 RETEST 4 DEC'!$1:$2096,2,FALSE)</f>
        <v>1</v>
      </c>
      <c r="N135" s="122">
        <v>50.0</v>
      </c>
      <c r="O135" s="121"/>
      <c r="P135" s="123">
        <f>IFNA(VLOOKUP(D135,'S1'!$1:$1325,2,False),0)</f>
        <v>50</v>
      </c>
      <c r="Q135" s="123">
        <f>IFNA(vlookup(D135,'S2'!A131:B1333,2,False),0)</f>
        <v>65</v>
      </c>
      <c r="R135" s="123">
        <f>ifna(vlookup(D135,'S3'!$1:$1311,2,False),0)</f>
        <v>85</v>
      </c>
      <c r="S135" s="123"/>
      <c r="T135" s="124">
        <v>19.0</v>
      </c>
      <c r="U135" s="125">
        <v>21.0</v>
      </c>
      <c r="V135" s="125">
        <v>80.0</v>
      </c>
      <c r="W135" s="125"/>
      <c r="X135" s="125">
        <v>78.0</v>
      </c>
      <c r="Y135" s="125"/>
      <c r="Z135" s="126"/>
      <c r="AA135" s="127">
        <v>62.0</v>
      </c>
      <c r="AB135" s="26">
        <v>78.0</v>
      </c>
      <c r="AC135" s="135">
        <v>0.0</v>
      </c>
      <c r="AD135" s="129">
        <v>70.0</v>
      </c>
      <c r="AE135" s="130">
        <v>87.0</v>
      </c>
      <c r="AF135" s="129"/>
      <c r="AG135" s="129">
        <v>10.0</v>
      </c>
      <c r="AH135" s="129"/>
      <c r="AI135" s="131"/>
      <c r="AJ135" s="131"/>
      <c r="AK135" s="132">
        <f t="shared" si="1"/>
        <v>4</v>
      </c>
      <c r="AL135" s="132">
        <f t="shared" si="2"/>
        <v>0</v>
      </c>
      <c r="AM135" s="133">
        <f t="shared" si="3"/>
        <v>2</v>
      </c>
      <c r="AN135" s="132" t="str">
        <f t="shared" si="4"/>
        <v>3.5</v>
      </c>
      <c r="AO135" s="132">
        <f t="shared" si="5"/>
        <v>3</v>
      </c>
      <c r="AP135" s="88"/>
      <c r="AQ135" s="88"/>
    </row>
    <row r="136">
      <c r="A136" s="114">
        <v>131.0</v>
      </c>
      <c r="B136" s="115" t="s">
        <v>1983</v>
      </c>
      <c r="C136" s="115" t="s">
        <v>2595</v>
      </c>
      <c r="D136" s="116" t="str">
        <f>VLOOKUP(B136,USN!$1:$1088,2,FALSE)</f>
        <v>1CR23CS136</v>
      </c>
      <c r="E136" s="116">
        <v>9.513692797E9</v>
      </c>
      <c r="F136" s="117" t="s">
        <v>2461</v>
      </c>
      <c r="G136" s="118"/>
      <c r="H136" s="119">
        <v>81.0</v>
      </c>
      <c r="I136" s="116">
        <v>86.0</v>
      </c>
      <c r="J136" s="120">
        <f>IFNA(VLOOKUP(D136,'L3'!$1:$2060,2,False),0)</f>
        <v>71</v>
      </c>
      <c r="K136" s="120">
        <f>VLOOKUP(D136,'L4'!$1:$2059,2,FALSE)</f>
        <v>83</v>
      </c>
      <c r="L136" s="121">
        <f>VLOOKUP(D136,'A1 RETEST 5 DEC'!$1:$2096,2,FALSE)</f>
        <v>50</v>
      </c>
      <c r="M136" s="121">
        <f>VLOOKUP(D136,'A2 RETEST 4 DEC'!$1:$2096,2,FALSE)</f>
        <v>50</v>
      </c>
      <c r="N136" s="122">
        <v>50.0</v>
      </c>
      <c r="O136" s="121"/>
      <c r="P136" s="123">
        <f>IFNA(VLOOKUP(D136,'S1'!$1:$1325,2,False),0)</f>
        <v>64</v>
      </c>
      <c r="Q136" s="123">
        <f>IFNA(vlookup(D136,'S2'!A132:B1334,2,False),0)</f>
        <v>71</v>
      </c>
      <c r="R136" s="123">
        <f>ifna(vlookup(D136,'S3'!$1:$1311,2,False),0)</f>
        <v>93</v>
      </c>
      <c r="S136" s="123"/>
      <c r="T136" s="124">
        <v>10.0</v>
      </c>
      <c r="U136" s="125">
        <v>14.0</v>
      </c>
      <c r="V136" s="125">
        <v>76.0</v>
      </c>
      <c r="W136" s="125">
        <v>32.0</v>
      </c>
      <c r="X136" s="125">
        <v>70.0</v>
      </c>
      <c r="Y136" s="125"/>
      <c r="Z136" s="126"/>
      <c r="AA136" s="127">
        <v>62.0</v>
      </c>
      <c r="AB136" s="26">
        <v>100.0</v>
      </c>
      <c r="AC136" s="135">
        <v>84.0</v>
      </c>
      <c r="AD136" s="129">
        <v>100.0</v>
      </c>
      <c r="AE136" s="130">
        <v>86.0</v>
      </c>
      <c r="AF136" s="129"/>
      <c r="AG136" s="129">
        <v>80.0</v>
      </c>
      <c r="AH136" s="129"/>
      <c r="AI136" s="131"/>
      <c r="AJ136" s="131"/>
      <c r="AK136" s="132">
        <f t="shared" si="1"/>
        <v>4</v>
      </c>
      <c r="AL136" s="132">
        <f t="shared" si="2"/>
        <v>3</v>
      </c>
      <c r="AM136" s="133">
        <f t="shared" si="3"/>
        <v>2</v>
      </c>
      <c r="AN136" s="132" t="str">
        <f t="shared" si="4"/>
        <v>3.5</v>
      </c>
      <c r="AO136" s="132">
        <f t="shared" si="5"/>
        <v>3</v>
      </c>
      <c r="AP136" s="88"/>
      <c r="AQ136" s="88"/>
    </row>
    <row r="137">
      <c r="A137" s="114">
        <v>132.0</v>
      </c>
      <c r="B137" s="115" t="s">
        <v>1984</v>
      </c>
      <c r="C137" s="115" t="s">
        <v>2596</v>
      </c>
      <c r="D137" s="116" t="str">
        <f>VLOOKUP(B137,USN!$1:$1088,2,FALSE)</f>
        <v>1CR23CS137</v>
      </c>
      <c r="E137" s="116">
        <v>8.197130994E9</v>
      </c>
      <c r="F137" s="117" t="s">
        <v>2461</v>
      </c>
      <c r="G137" s="118"/>
      <c r="H137" s="119">
        <v>78.0</v>
      </c>
      <c r="I137" s="116">
        <v>86.0</v>
      </c>
      <c r="J137" s="120">
        <f>IFNA(VLOOKUP(D137,'L3'!$1:$2060,2,False),0)</f>
        <v>54</v>
      </c>
      <c r="K137" s="120">
        <f>VLOOKUP(D137,'L4'!$1:$2059,2,FALSE)</f>
        <v>70</v>
      </c>
      <c r="L137" s="121">
        <f>VLOOKUP(D137,'A1 RETEST 5 DEC'!$1:$2096,2,FALSE)</f>
        <v>61</v>
      </c>
      <c r="M137" s="121">
        <f>VLOOKUP(D137,'A2 RETEST 4 DEC'!$1:$2096,2,FALSE)</f>
        <v>0</v>
      </c>
      <c r="N137" s="122">
        <v>0.0</v>
      </c>
      <c r="O137" s="121"/>
      <c r="P137" s="123">
        <f>IFNA(VLOOKUP(D137,'S1'!$1:$1325,2,False),0)</f>
        <v>64</v>
      </c>
      <c r="Q137" s="123">
        <f>IFNA(vlookup(D137,'S2'!A133:B1335,2,False),0)</f>
        <v>50</v>
      </c>
      <c r="R137" s="123">
        <f>ifna(vlookup(D137,'S3'!$1:$1311,2,False),0)</f>
        <v>50</v>
      </c>
      <c r="S137" s="123"/>
      <c r="T137" s="124">
        <v>13.0</v>
      </c>
      <c r="U137" s="125">
        <v>22.0</v>
      </c>
      <c r="V137" s="125">
        <v>88.0</v>
      </c>
      <c r="W137" s="125">
        <v>32.0</v>
      </c>
      <c r="X137" s="125"/>
      <c r="Y137" s="125"/>
      <c r="Z137" s="126"/>
      <c r="AA137" s="127">
        <v>30.0</v>
      </c>
      <c r="AB137" s="26">
        <v>100.0</v>
      </c>
      <c r="AC137" s="135">
        <v>0.0</v>
      </c>
      <c r="AD137" s="129">
        <v>38.0</v>
      </c>
      <c r="AE137" s="130">
        <v>10.0</v>
      </c>
      <c r="AF137" s="129"/>
      <c r="AG137" s="129">
        <v>0.0</v>
      </c>
      <c r="AH137" s="129"/>
      <c r="AI137" s="131"/>
      <c r="AJ137" s="131"/>
      <c r="AK137" s="132">
        <f t="shared" si="1"/>
        <v>2</v>
      </c>
      <c r="AL137" s="132">
        <f t="shared" si="2"/>
        <v>1</v>
      </c>
      <c r="AM137" s="133">
        <f t="shared" si="3"/>
        <v>2</v>
      </c>
      <c r="AN137" s="132" t="str">
        <f t="shared" si="4"/>
        <v>2</v>
      </c>
      <c r="AO137" s="132">
        <f t="shared" si="5"/>
        <v>3</v>
      </c>
      <c r="AP137" s="88"/>
      <c r="AQ137" s="88"/>
    </row>
    <row r="138">
      <c r="A138" s="114">
        <v>133.0</v>
      </c>
      <c r="B138" s="115" t="s">
        <v>1985</v>
      </c>
      <c r="C138" s="115" t="s">
        <v>2597</v>
      </c>
      <c r="D138" s="116" t="str">
        <f>VLOOKUP(B138,USN!$1:$1088,2,FALSE)</f>
        <v>1CR23CS138</v>
      </c>
      <c r="E138" s="116">
        <v>8.957993738E9</v>
      </c>
      <c r="F138" s="117" t="s">
        <v>2461</v>
      </c>
      <c r="G138" s="118"/>
      <c r="H138" s="119">
        <v>87.0</v>
      </c>
      <c r="I138" s="116">
        <v>86.0</v>
      </c>
      <c r="J138" s="120">
        <f>IFNA(VLOOKUP(D138,'L3'!$1:$2060,2,False),0)</f>
        <v>70</v>
      </c>
      <c r="K138" s="120">
        <f>VLOOKUP(D138,'L4'!$1:$2059,2,FALSE)</f>
        <v>70</v>
      </c>
      <c r="L138" s="121">
        <f>VLOOKUP(D138,'A1 RETEST 5 DEC'!$1:$2096,2,FALSE)</f>
        <v>68</v>
      </c>
      <c r="M138" s="121">
        <f>VLOOKUP(D138,'A2 RETEST 4 DEC'!$1:$2096,2,FALSE)</f>
        <v>7</v>
      </c>
      <c r="N138" s="122">
        <v>18.0</v>
      </c>
      <c r="O138" s="121"/>
      <c r="P138" s="123">
        <f>IFNA(VLOOKUP(D138,'S1'!$1:$1325,2,False),0)</f>
        <v>50</v>
      </c>
      <c r="Q138" s="123">
        <f>IFNA(vlookup(D138,'S2'!A134:B1336,2,False),0)</f>
        <v>69</v>
      </c>
      <c r="R138" s="123">
        <f>ifna(vlookup(D138,'S3'!$1:$1311,2,False),0)</f>
        <v>0</v>
      </c>
      <c r="S138" s="123"/>
      <c r="T138" s="124">
        <v>15.0</v>
      </c>
      <c r="U138" s="125">
        <v>17.0</v>
      </c>
      <c r="V138" s="125">
        <v>48.0</v>
      </c>
      <c r="W138" s="125">
        <v>52.0</v>
      </c>
      <c r="X138" s="125"/>
      <c r="Y138" s="125"/>
      <c r="Z138" s="126"/>
      <c r="AA138" s="127">
        <v>74.0</v>
      </c>
      <c r="AB138" s="26">
        <v>100.0</v>
      </c>
      <c r="AC138" s="135">
        <v>95.0</v>
      </c>
      <c r="AD138" s="129">
        <v>100.0</v>
      </c>
      <c r="AE138" s="130">
        <v>10.0</v>
      </c>
      <c r="AF138" s="129"/>
      <c r="AG138" s="129">
        <v>14.0</v>
      </c>
      <c r="AH138" s="129"/>
      <c r="AI138" s="131"/>
      <c r="AJ138" s="131"/>
      <c r="AK138" s="132">
        <f t="shared" si="1"/>
        <v>4</v>
      </c>
      <c r="AL138" s="132">
        <f t="shared" si="2"/>
        <v>1</v>
      </c>
      <c r="AM138" s="133">
        <f t="shared" si="3"/>
        <v>3</v>
      </c>
      <c r="AN138" s="132" t="str">
        <f t="shared" si="4"/>
        <v>3</v>
      </c>
      <c r="AO138" s="132">
        <f t="shared" si="5"/>
        <v>2</v>
      </c>
      <c r="AP138" s="88"/>
      <c r="AQ138" s="88"/>
    </row>
    <row r="139">
      <c r="A139" s="114">
        <v>134.0</v>
      </c>
      <c r="B139" s="115" t="s">
        <v>2018</v>
      </c>
      <c r="C139" s="115" t="s">
        <v>2598</v>
      </c>
      <c r="D139" s="116" t="str">
        <f>VLOOKUP(B139,USN!$1:$1088,2,FALSE)</f>
        <v>1CR23CS139</v>
      </c>
      <c r="E139" s="116">
        <v>7.760566596E9</v>
      </c>
      <c r="F139" s="117" t="s">
        <v>2461</v>
      </c>
      <c r="G139" s="118"/>
      <c r="H139" s="119">
        <v>84.0</v>
      </c>
      <c r="I139" s="116">
        <v>85.0</v>
      </c>
      <c r="J139" s="120">
        <f>IFNA(VLOOKUP(D139,'L3'!$1:$2060,2,False),0)</f>
        <v>70</v>
      </c>
      <c r="K139" s="120">
        <f>VLOOKUP(D139,'L4'!$1:$2059,2,FALSE)</f>
        <v>79</v>
      </c>
      <c r="L139" s="121">
        <f>VLOOKUP(D139,'A1 RETEST 5 DEC'!$1:$2096,2,FALSE)</f>
        <v>50</v>
      </c>
      <c r="M139" s="121">
        <v>50.0</v>
      </c>
      <c r="N139" s="122">
        <v>50.0</v>
      </c>
      <c r="O139" s="121"/>
      <c r="P139" s="123">
        <f>IFNA(VLOOKUP(D139,'S1'!$1:$1325,2,False),0)</f>
        <v>79</v>
      </c>
      <c r="Q139" s="123">
        <f>IFNA(vlookup(D139,'S2'!A135:B1337,2,False),0)</f>
        <v>90</v>
      </c>
      <c r="R139" s="123">
        <f>ifna(vlookup(D139,'S3'!$1:$1311,2,False),0)</f>
        <v>86</v>
      </c>
      <c r="S139" s="123"/>
      <c r="T139" s="124">
        <v>10.0</v>
      </c>
      <c r="U139" s="125">
        <v>20.0</v>
      </c>
      <c r="V139" s="125">
        <v>52.0</v>
      </c>
      <c r="W139" s="125">
        <v>36.0</v>
      </c>
      <c r="X139" s="125">
        <v>84.0</v>
      </c>
      <c r="Y139" s="125"/>
      <c r="Z139" s="126"/>
      <c r="AA139" s="127">
        <v>62.0</v>
      </c>
      <c r="AB139" s="26">
        <v>97.0</v>
      </c>
      <c r="AC139" s="135">
        <v>70.0</v>
      </c>
      <c r="AD139" s="129">
        <v>43.0</v>
      </c>
      <c r="AE139" s="130">
        <v>70.0</v>
      </c>
      <c r="AF139" s="129"/>
      <c r="AG139" s="129">
        <v>77.0</v>
      </c>
      <c r="AH139" s="129"/>
      <c r="AI139" s="131"/>
      <c r="AJ139" s="131"/>
      <c r="AK139" s="132">
        <f t="shared" si="1"/>
        <v>4</v>
      </c>
      <c r="AL139" s="132">
        <f t="shared" si="2"/>
        <v>3</v>
      </c>
      <c r="AM139" s="133">
        <f t="shared" si="3"/>
        <v>2</v>
      </c>
      <c r="AN139" s="132" t="str">
        <f t="shared" si="4"/>
        <v>3.5</v>
      </c>
      <c r="AO139" s="132">
        <f t="shared" si="5"/>
        <v>3</v>
      </c>
      <c r="AP139" s="88"/>
      <c r="AQ139" s="88"/>
    </row>
    <row r="140">
      <c r="A140" s="114">
        <v>135.0</v>
      </c>
      <c r="B140" s="115" t="s">
        <v>1986</v>
      </c>
      <c r="C140" s="115" t="s">
        <v>2599</v>
      </c>
      <c r="D140" s="116" t="str">
        <f>VLOOKUP(B140,USN!$1:$1088,2,FALSE)</f>
        <v>1CR23CS140</v>
      </c>
      <c r="E140" s="116">
        <v>8.050717988E9</v>
      </c>
      <c r="F140" s="117" t="s">
        <v>2461</v>
      </c>
      <c r="G140" s="118"/>
      <c r="H140" s="119">
        <v>78.0</v>
      </c>
      <c r="I140" s="116">
        <v>77.0</v>
      </c>
      <c r="J140" s="120">
        <f>IFNA(VLOOKUP(D140,'L3'!$1:$2060,2,False),0)</f>
        <v>37</v>
      </c>
      <c r="K140" s="120">
        <f>VLOOKUP(D140,'L4'!$1:$2059,2,FALSE)</f>
        <v>70</v>
      </c>
      <c r="L140" s="121">
        <f>VLOOKUP(D140,'A1 RETEST 5 DEC'!$1:$2096,2,FALSE)</f>
        <v>39</v>
      </c>
      <c r="M140" s="121">
        <f>VLOOKUP(D140,'A2 RETEST 4 DEC'!$1:$2096,2,FALSE)</f>
        <v>6</v>
      </c>
      <c r="N140" s="122">
        <v>0.0</v>
      </c>
      <c r="O140" s="121"/>
      <c r="P140" s="123">
        <f>IFNA(VLOOKUP(D140,'S1'!$1:$1325,2,False),0)</f>
        <v>84</v>
      </c>
      <c r="Q140" s="123">
        <f>IFNA(vlookup(D140,'S2'!A136:B1338,2,False),0)</f>
        <v>63</v>
      </c>
      <c r="R140" s="123">
        <f>ifna(vlookup(D140,'S3'!$1:$1311,2,False),0)</f>
        <v>0</v>
      </c>
      <c r="S140" s="123"/>
      <c r="T140" s="124">
        <v>20.0</v>
      </c>
      <c r="U140" s="125">
        <v>17.0</v>
      </c>
      <c r="V140" s="125">
        <v>64.0</v>
      </c>
      <c r="W140" s="125">
        <v>48.0</v>
      </c>
      <c r="X140" s="125">
        <v>72.0</v>
      </c>
      <c r="Y140" s="125"/>
      <c r="Z140" s="126"/>
      <c r="AA140" s="127">
        <v>100.0</v>
      </c>
      <c r="AB140" s="26">
        <v>75.0</v>
      </c>
      <c r="AC140" s="135">
        <v>69.5</v>
      </c>
      <c r="AD140" s="129">
        <v>75.0</v>
      </c>
      <c r="AE140" s="130">
        <v>10.0</v>
      </c>
      <c r="AF140" s="129"/>
      <c r="AG140" s="129">
        <v>26.0</v>
      </c>
      <c r="AH140" s="129"/>
      <c r="AI140" s="131"/>
      <c r="AJ140" s="131"/>
      <c r="AK140" s="132">
        <f t="shared" si="1"/>
        <v>2</v>
      </c>
      <c r="AL140" s="132">
        <f t="shared" si="2"/>
        <v>0</v>
      </c>
      <c r="AM140" s="133">
        <f t="shared" si="3"/>
        <v>2</v>
      </c>
      <c r="AN140" s="132" t="str">
        <f t="shared" si="4"/>
        <v>3</v>
      </c>
      <c r="AO140" s="132">
        <f t="shared" si="5"/>
        <v>2</v>
      </c>
      <c r="AP140" s="88"/>
      <c r="AQ140" s="88"/>
    </row>
    <row r="141">
      <c r="A141" s="114">
        <v>136.0</v>
      </c>
      <c r="B141" s="115" t="s">
        <v>1987</v>
      </c>
      <c r="C141" s="115" t="s">
        <v>2600</v>
      </c>
      <c r="D141" s="116" t="str">
        <f>VLOOKUP(B141,USN!$1:$1088,2,FALSE)</f>
        <v>1CR23CS141</v>
      </c>
      <c r="E141" s="116">
        <v>9.380059551E9</v>
      </c>
      <c r="F141" s="117" t="s">
        <v>2461</v>
      </c>
      <c r="G141" s="118"/>
      <c r="H141" s="119">
        <v>73.0</v>
      </c>
      <c r="I141" s="116">
        <v>79.0</v>
      </c>
      <c r="J141" s="120">
        <f>IFNA(VLOOKUP(D141,'L3'!$1:$2060,2,False),0)</f>
        <v>48</v>
      </c>
      <c r="K141" s="120">
        <f>VLOOKUP(D141,'L4'!$1:$2059,2,FALSE)</f>
        <v>70</v>
      </c>
      <c r="L141" s="121">
        <f>VLOOKUP(D141,'A1 RETEST 5 DEC'!$1:$2096,2,FALSE)</f>
        <v>41</v>
      </c>
      <c r="M141" s="121">
        <f>VLOOKUP(D141,'A2 RETEST 4 DEC'!$1:$2096,2,FALSE)</f>
        <v>23</v>
      </c>
      <c r="N141" s="122">
        <v>50.0</v>
      </c>
      <c r="O141" s="121"/>
      <c r="P141" s="123">
        <f>IFNA(VLOOKUP(D141,'S1'!$1:$1325,2,False),0)</f>
        <v>0</v>
      </c>
      <c r="Q141" s="123">
        <f>IFNA(vlookup(D141,'S2'!A137:B1339,2,False),0)</f>
        <v>71</v>
      </c>
      <c r="R141" s="123">
        <f>ifna(vlookup(D141,'S3'!$1:$1311,2,False),0)</f>
        <v>92</v>
      </c>
      <c r="S141" s="123"/>
      <c r="T141" s="124">
        <v>14.0</v>
      </c>
      <c r="U141" s="125">
        <v>18.0</v>
      </c>
      <c r="V141" s="125">
        <v>36.0</v>
      </c>
      <c r="W141" s="125">
        <v>32.0</v>
      </c>
      <c r="X141" s="125">
        <v>74.0</v>
      </c>
      <c r="Y141" s="125"/>
      <c r="Z141" s="126"/>
      <c r="AA141" s="127">
        <v>76.0</v>
      </c>
      <c r="AB141" s="26">
        <v>65.0</v>
      </c>
      <c r="AC141" s="135">
        <v>100.0</v>
      </c>
      <c r="AD141" s="129">
        <v>100.0</v>
      </c>
      <c r="AE141" s="130">
        <v>76.0</v>
      </c>
      <c r="AF141" s="129"/>
      <c r="AG141" s="129">
        <v>42.0</v>
      </c>
      <c r="AH141" s="129"/>
      <c r="AI141" s="131"/>
      <c r="AJ141" s="131"/>
      <c r="AK141" s="132">
        <f t="shared" si="1"/>
        <v>2</v>
      </c>
      <c r="AL141" s="132">
        <f t="shared" si="2"/>
        <v>0</v>
      </c>
      <c r="AM141" s="133">
        <f t="shared" si="3"/>
        <v>2</v>
      </c>
      <c r="AN141" s="132" t="str">
        <f t="shared" si="4"/>
        <v>3.5</v>
      </c>
      <c r="AO141" s="132">
        <f t="shared" si="5"/>
        <v>0</v>
      </c>
      <c r="AP141" s="88"/>
      <c r="AQ141" s="88"/>
    </row>
    <row r="142">
      <c r="A142" s="114">
        <v>137.0</v>
      </c>
      <c r="B142" s="137" t="s">
        <v>2068</v>
      </c>
      <c r="C142" s="137" t="s">
        <v>2601</v>
      </c>
      <c r="D142" s="116" t="str">
        <f>VLOOKUP(B142,USN!$1:$1088,2,FALSE)</f>
        <v>1CR23CS142</v>
      </c>
      <c r="E142" s="21">
        <v>6.366518695E9</v>
      </c>
      <c r="F142" s="117" t="s">
        <v>2461</v>
      </c>
      <c r="G142" s="118"/>
      <c r="H142" s="119">
        <v>79.0</v>
      </c>
      <c r="I142" s="116">
        <v>75.0</v>
      </c>
      <c r="J142" s="120">
        <f>IFNA(VLOOKUP(D142,'L3'!$1:$2060,2,False),0)</f>
        <v>70</v>
      </c>
      <c r="K142" s="120">
        <f>VLOOKUP(D142,'L4'!$1:$2059,2,FALSE)</f>
        <v>70</v>
      </c>
      <c r="L142" s="121">
        <f>VLOOKUP(D142,'A1 RETEST 5 DEC'!$1:$2096,2,FALSE)</f>
        <v>50</v>
      </c>
      <c r="M142" s="121">
        <f>VLOOKUP(D142,'A2 RETEST 4 DEC'!$1:$2096,2,FALSE)</f>
        <v>14</v>
      </c>
      <c r="N142" s="122">
        <v>50.0</v>
      </c>
      <c r="O142" s="121"/>
      <c r="P142" s="123">
        <f>IFNA(VLOOKUP(D142,'S1'!$1:$1325,2,False),0)</f>
        <v>80</v>
      </c>
      <c r="Q142" s="123">
        <f>IFNA(vlookup(D142,'S2'!A138:B1340,2,False),0)</f>
        <v>63</v>
      </c>
      <c r="R142" s="123">
        <f>ifna(vlookup(D142,'S3'!$1:$1311,2,False),0)</f>
        <v>79</v>
      </c>
      <c r="S142" s="123"/>
      <c r="T142" s="124">
        <v>20.0</v>
      </c>
      <c r="U142" s="125">
        <v>20.0</v>
      </c>
      <c r="V142" s="125">
        <v>64.0</v>
      </c>
      <c r="W142" s="125">
        <v>40.0</v>
      </c>
      <c r="X142" s="125">
        <v>80.0</v>
      </c>
      <c r="Y142" s="125"/>
      <c r="Z142" s="126"/>
      <c r="AA142" s="127">
        <v>23.0</v>
      </c>
      <c r="AB142" s="26">
        <v>82.5</v>
      </c>
      <c r="AC142" s="135">
        <v>29.0</v>
      </c>
      <c r="AD142" s="129">
        <v>70.0</v>
      </c>
      <c r="AE142" s="129">
        <v>70.0</v>
      </c>
      <c r="AF142" s="129"/>
      <c r="AG142" s="129">
        <v>37.0</v>
      </c>
      <c r="AH142" s="129"/>
      <c r="AI142" s="131"/>
      <c r="AJ142" s="131"/>
      <c r="AK142" s="132">
        <f t="shared" si="1"/>
        <v>4</v>
      </c>
      <c r="AL142" s="132">
        <f t="shared" si="2"/>
        <v>1</v>
      </c>
      <c r="AM142" s="133">
        <f t="shared" si="3"/>
        <v>2</v>
      </c>
      <c r="AN142" s="132" t="str">
        <f t="shared" si="4"/>
        <v>3.5</v>
      </c>
      <c r="AO142" s="132">
        <f t="shared" si="5"/>
        <v>3</v>
      </c>
      <c r="AP142" s="88"/>
      <c r="AQ142" s="88"/>
    </row>
    <row r="143">
      <c r="A143" s="114">
        <v>138.0</v>
      </c>
      <c r="B143" s="137" t="s">
        <v>2069</v>
      </c>
      <c r="C143" s="137" t="s">
        <v>2602</v>
      </c>
      <c r="D143" s="116" t="str">
        <f>VLOOKUP(B143,USN!$1:$1088,2,FALSE)</f>
        <v>1CR23CS143</v>
      </c>
      <c r="E143" s="138">
        <v>8.970289195E9</v>
      </c>
      <c r="F143" s="117" t="s">
        <v>2461</v>
      </c>
      <c r="G143" s="118"/>
      <c r="H143" s="119">
        <v>82.0</v>
      </c>
      <c r="I143" s="116">
        <v>77.0</v>
      </c>
      <c r="J143" s="120">
        <f>IFNA(VLOOKUP(D143,'L3'!$1:$2060,2,False),0)</f>
        <v>71</v>
      </c>
      <c r="K143" s="120">
        <f>VLOOKUP(D143,'L4'!$1:$2059,2,FALSE)</f>
        <v>80</v>
      </c>
      <c r="L143" s="121">
        <f>VLOOKUP(D143,'A1 RETEST 5 DEC'!$1:$2096,2,FALSE)</f>
        <v>50</v>
      </c>
      <c r="M143" s="121">
        <f>VLOOKUP(D143,'A2 RETEST 4 DEC'!$1:$2096,2,FALSE)</f>
        <v>50</v>
      </c>
      <c r="N143" s="122">
        <v>50.0</v>
      </c>
      <c r="O143" s="121"/>
      <c r="P143" s="123">
        <f>IFNA(VLOOKUP(D143,'S1'!$1:$1325,2,False),0)</f>
        <v>50</v>
      </c>
      <c r="Q143" s="123">
        <f>IFNA(vlookup(D143,'S2'!A139:B1341,2,False),0)</f>
        <v>62</v>
      </c>
      <c r="R143" s="123">
        <f>ifna(vlookup(D143,'S3'!$1:$1311,2,False),0)</f>
        <v>80</v>
      </c>
      <c r="S143" s="123"/>
      <c r="T143" s="124">
        <v>12.0</v>
      </c>
      <c r="U143" s="125">
        <v>19.0</v>
      </c>
      <c r="V143" s="125">
        <v>65.0</v>
      </c>
      <c r="W143" s="125">
        <v>32.0</v>
      </c>
      <c r="X143" s="125">
        <v>88.0</v>
      </c>
      <c r="Y143" s="125"/>
      <c r="Z143" s="126"/>
      <c r="AA143" s="127">
        <v>30.0</v>
      </c>
      <c r="AB143" s="26">
        <v>93.75</v>
      </c>
      <c r="AC143" s="135">
        <v>5.0</v>
      </c>
      <c r="AD143" s="129">
        <v>100.0</v>
      </c>
      <c r="AE143" s="130">
        <v>30.0</v>
      </c>
      <c r="AF143" s="129"/>
      <c r="AG143" s="129">
        <v>32.0</v>
      </c>
      <c r="AH143" s="129"/>
      <c r="AI143" s="131"/>
      <c r="AJ143" s="131"/>
      <c r="AK143" s="132">
        <f t="shared" si="1"/>
        <v>4</v>
      </c>
      <c r="AL143" s="132">
        <f t="shared" si="2"/>
        <v>3</v>
      </c>
      <c r="AM143" s="133">
        <f t="shared" si="3"/>
        <v>2</v>
      </c>
      <c r="AN143" s="132" t="str">
        <f t="shared" si="4"/>
        <v>3</v>
      </c>
      <c r="AO143" s="132">
        <f t="shared" si="5"/>
        <v>3</v>
      </c>
      <c r="AP143" s="88"/>
      <c r="AQ143" s="88"/>
    </row>
    <row r="144">
      <c r="A144" s="114">
        <v>139.0</v>
      </c>
      <c r="B144" s="115" t="s">
        <v>1988</v>
      </c>
      <c r="C144" s="115" t="s">
        <v>2603</v>
      </c>
      <c r="D144" s="116" t="str">
        <f>VLOOKUP(B144,USN!$1:$1088,2,FALSE)</f>
        <v>1CR23CS144</v>
      </c>
      <c r="E144" s="116">
        <v>8.618951723E9</v>
      </c>
      <c r="F144" s="117" t="s">
        <v>2461</v>
      </c>
      <c r="G144" s="118"/>
      <c r="H144" s="119">
        <v>70.0</v>
      </c>
      <c r="I144" s="116">
        <v>68.0</v>
      </c>
      <c r="J144" s="120">
        <f>IFNA(VLOOKUP(D144,'L3'!$1:$2060,2,False),0)</f>
        <v>11</v>
      </c>
      <c r="K144" s="120">
        <f>VLOOKUP(D144,'L4'!$1:$2059,2,FALSE)</f>
        <v>6</v>
      </c>
      <c r="L144" s="121">
        <f>VLOOKUP(D144,'A1 RETEST 5 DEC'!$1:$2096,2,FALSE)</f>
        <v>50</v>
      </c>
      <c r="M144" s="121">
        <f>VLOOKUP(D144,'A2 RETEST 4 DEC'!$1:$2096,2,FALSE)</f>
        <v>0</v>
      </c>
      <c r="N144" s="122">
        <v>0.0</v>
      </c>
      <c r="O144" s="121"/>
      <c r="P144" s="123">
        <f>IFNA(VLOOKUP(D144,'S1'!$1:$1325,2,False),0)</f>
        <v>0</v>
      </c>
      <c r="Q144" s="123">
        <f>IFNA(vlookup(D144,'S2'!A140:B1342,2,False),0)</f>
        <v>0</v>
      </c>
      <c r="R144" s="123">
        <f>ifna(vlookup(D144,'S3'!$1:$1311,2,False),0)</f>
        <v>0</v>
      </c>
      <c r="S144" s="123"/>
      <c r="T144" s="124">
        <v>10.0</v>
      </c>
      <c r="U144" s="125">
        <v>16.0</v>
      </c>
      <c r="V144" s="125">
        <v>88.0</v>
      </c>
      <c r="W144" s="125"/>
      <c r="X144" s="125">
        <v>86.0</v>
      </c>
      <c r="Y144" s="125"/>
      <c r="Z144" s="126"/>
      <c r="AA144" s="127">
        <v>74.0</v>
      </c>
      <c r="AB144" s="26">
        <v>25.0</v>
      </c>
      <c r="AC144" s="135">
        <v>0.0</v>
      </c>
      <c r="AD144" s="129">
        <v>0.0</v>
      </c>
      <c r="AE144" s="130">
        <v>10.0</v>
      </c>
      <c r="AF144" s="129"/>
      <c r="AG144" s="129">
        <v>0.0</v>
      </c>
      <c r="AH144" s="129"/>
      <c r="AI144" s="131"/>
      <c r="AJ144" s="131"/>
      <c r="AK144" s="132">
        <f t="shared" si="1"/>
        <v>2</v>
      </c>
      <c r="AL144" s="132">
        <f t="shared" si="2"/>
        <v>1</v>
      </c>
      <c r="AM144" s="133">
        <f t="shared" si="3"/>
        <v>2</v>
      </c>
      <c r="AN144" s="132" t="str">
        <f t="shared" si="4"/>
        <v>0</v>
      </c>
      <c r="AO144" s="132">
        <f t="shared" si="5"/>
        <v>0</v>
      </c>
      <c r="AP144" s="88"/>
      <c r="AQ144" s="88"/>
    </row>
    <row r="145">
      <c r="A145" s="114">
        <v>140.0</v>
      </c>
      <c r="B145" s="115" t="s">
        <v>2013</v>
      </c>
      <c r="C145" s="115" t="s">
        <v>2604</v>
      </c>
      <c r="D145" s="116" t="str">
        <f>VLOOKUP(B145,USN!$1:$1088,2,FALSE)</f>
        <v>1CR23CS146</v>
      </c>
      <c r="E145" s="116" t="s">
        <v>2605</v>
      </c>
      <c r="F145" s="117" t="s">
        <v>2461</v>
      </c>
      <c r="G145" s="118"/>
      <c r="H145" s="119">
        <v>81.0</v>
      </c>
      <c r="I145" s="116">
        <v>85.0</v>
      </c>
      <c r="J145" s="120">
        <f>IFNA(VLOOKUP(D145,'L3'!$1:$2060,2,False),0)</f>
        <v>71</v>
      </c>
      <c r="K145" s="120">
        <f>VLOOKUP(D145,'L4'!$1:$2059,2,FALSE)</f>
        <v>70</v>
      </c>
      <c r="L145" s="121">
        <f>VLOOKUP(D145,'A1 RETEST 5 DEC'!$1:$2096,2,FALSE)</f>
        <v>70</v>
      </c>
      <c r="M145" s="121">
        <f>VLOOKUP(D145,'A2 RETEST 4 DEC'!$1:$2096,2,FALSE)</f>
        <v>50</v>
      </c>
      <c r="N145" s="122">
        <v>5.0</v>
      </c>
      <c r="O145" s="121"/>
      <c r="P145" s="123">
        <f>IFNA(VLOOKUP(D145,'S1'!$1:$1325,2,False),0)</f>
        <v>0</v>
      </c>
      <c r="Q145" s="123">
        <f>IFNA(vlookup(D145,'S2'!A141:B1343,2,False),0)</f>
        <v>50</v>
      </c>
      <c r="R145" s="123">
        <f>ifna(vlookup(D145,'S3'!$1:$1311,2,False),0)</f>
        <v>50</v>
      </c>
      <c r="S145" s="123"/>
      <c r="T145" s="124">
        <v>20.0</v>
      </c>
      <c r="U145" s="125" t="s">
        <v>2477</v>
      </c>
      <c r="V145" s="125">
        <v>64.0</v>
      </c>
      <c r="W145" s="125">
        <v>36.0</v>
      </c>
      <c r="X145" s="125">
        <v>68.0</v>
      </c>
      <c r="Y145" s="125"/>
      <c r="Z145" s="126"/>
      <c r="AA145" s="127">
        <v>70.0</v>
      </c>
      <c r="AB145" s="26">
        <v>90.0</v>
      </c>
      <c r="AC145" s="135">
        <v>0.0</v>
      </c>
      <c r="AD145" s="129">
        <v>100.0</v>
      </c>
      <c r="AE145" s="130">
        <v>10.0</v>
      </c>
      <c r="AF145" s="129"/>
      <c r="AG145" s="129">
        <v>5.0</v>
      </c>
      <c r="AH145" s="129"/>
      <c r="AI145" s="131"/>
      <c r="AJ145" s="131"/>
      <c r="AK145" s="132">
        <f t="shared" si="1"/>
        <v>4</v>
      </c>
      <c r="AL145" s="132">
        <f t="shared" si="2"/>
        <v>2</v>
      </c>
      <c r="AM145" s="133">
        <f t="shared" si="3"/>
        <v>2</v>
      </c>
      <c r="AN145" s="132" t="str">
        <f t="shared" si="4"/>
        <v>3</v>
      </c>
      <c r="AO145" s="132">
        <f t="shared" si="5"/>
        <v>0</v>
      </c>
      <c r="AP145" s="88"/>
      <c r="AQ145" s="88"/>
    </row>
    <row r="146">
      <c r="A146" s="114">
        <v>141.0</v>
      </c>
      <c r="B146" s="115" t="s">
        <v>1989</v>
      </c>
      <c r="C146" s="115" t="s">
        <v>2606</v>
      </c>
      <c r="D146" s="116" t="str">
        <f>VLOOKUP(B146,USN!$1:$1088,2,FALSE)</f>
        <v>1CR23CS147</v>
      </c>
      <c r="E146" s="116" t="s">
        <v>2607</v>
      </c>
      <c r="F146" s="117" t="s">
        <v>2461</v>
      </c>
      <c r="G146" s="118"/>
      <c r="H146" s="119">
        <v>77.0</v>
      </c>
      <c r="I146" s="116">
        <v>73.0</v>
      </c>
      <c r="J146" s="120">
        <f>IFNA(VLOOKUP(D146,'L3'!$1:$2060,2,False),0)</f>
        <v>70</v>
      </c>
      <c r="K146" s="120">
        <f>VLOOKUP(D146,'L4'!$1:$2059,2,FALSE)</f>
        <v>70</v>
      </c>
      <c r="L146" s="121">
        <f>VLOOKUP(D146,'A1 RETEST 5 DEC'!$1:$2096,2,FALSE)</f>
        <v>67</v>
      </c>
      <c r="M146" s="121">
        <f>VLOOKUP(D146,'A2 RETEST 4 DEC'!$1:$2096,2,FALSE)</f>
        <v>50</v>
      </c>
      <c r="N146" s="122">
        <v>10.0</v>
      </c>
      <c r="O146" s="121"/>
      <c r="P146" s="123">
        <f>IFNA(VLOOKUP(D146,'S1'!$1:$1325,2,False),0)</f>
        <v>77</v>
      </c>
      <c r="Q146" s="123">
        <f>IFNA(vlookup(D146,'S2'!A142:B1344,2,False),0)</f>
        <v>50</v>
      </c>
      <c r="R146" s="123">
        <f>ifna(vlookup(D146,'S3'!$1:$1311,2,False),0)</f>
        <v>50</v>
      </c>
      <c r="S146" s="123"/>
      <c r="T146" s="124">
        <v>19.0</v>
      </c>
      <c r="U146" s="125">
        <v>19.0</v>
      </c>
      <c r="V146" s="125"/>
      <c r="W146" s="125">
        <v>32.0</v>
      </c>
      <c r="X146" s="125">
        <v>76.0</v>
      </c>
      <c r="Y146" s="125"/>
      <c r="Z146" s="126"/>
      <c r="AA146" s="127">
        <v>0.0</v>
      </c>
      <c r="AB146" s="26">
        <v>97.0</v>
      </c>
      <c r="AC146" s="128">
        <v>11.0</v>
      </c>
      <c r="AD146" s="129">
        <v>0.0</v>
      </c>
      <c r="AE146" s="130">
        <v>30.0</v>
      </c>
      <c r="AF146" s="129"/>
      <c r="AG146" s="129">
        <v>15.0</v>
      </c>
      <c r="AH146" s="129"/>
      <c r="AI146" s="131"/>
      <c r="AJ146" s="131"/>
      <c r="AK146" s="132">
        <f t="shared" si="1"/>
        <v>4</v>
      </c>
      <c r="AL146" s="132">
        <f t="shared" si="2"/>
        <v>2</v>
      </c>
      <c r="AM146" s="133">
        <f t="shared" si="3"/>
        <v>2</v>
      </c>
      <c r="AN146" s="132" t="str">
        <f t="shared" si="4"/>
        <v>2</v>
      </c>
      <c r="AO146" s="132">
        <f t="shared" si="5"/>
        <v>3</v>
      </c>
      <c r="AP146" s="88"/>
      <c r="AQ146" s="88"/>
    </row>
    <row r="147">
      <c r="A147" s="114">
        <v>142.0</v>
      </c>
      <c r="B147" s="115" t="s">
        <v>2002</v>
      </c>
      <c r="C147" s="115" t="s">
        <v>2608</v>
      </c>
      <c r="D147" s="116" t="str">
        <f>VLOOKUP(B147,USN!$1:$1088,2,FALSE)</f>
        <v>1CR23CS148</v>
      </c>
      <c r="E147" s="116">
        <v>6.26604649E9</v>
      </c>
      <c r="F147" s="117" t="s">
        <v>2461</v>
      </c>
      <c r="G147" s="118"/>
      <c r="H147" s="119">
        <v>87.0</v>
      </c>
      <c r="I147" s="116">
        <v>81.0</v>
      </c>
      <c r="J147" s="120">
        <f>IFNA(VLOOKUP(D147,'L3'!$1:$2060,2,False),0)</f>
        <v>70</v>
      </c>
      <c r="K147" s="120">
        <f>VLOOKUP(D147,'L4'!$1:$2059,2,FALSE)</f>
        <v>70</v>
      </c>
      <c r="L147" s="121">
        <f>VLOOKUP(D147,'A1 RETEST 5 DEC'!$1:$2096,2,FALSE)</f>
        <v>50</v>
      </c>
      <c r="M147" s="121">
        <f>VLOOKUP(D147,'A2 RETEST 4 DEC'!$1:$2096,2,FALSE)</f>
        <v>50</v>
      </c>
      <c r="N147" s="122">
        <v>15.0</v>
      </c>
      <c r="O147" s="121"/>
      <c r="P147" s="123">
        <f>IFNA(VLOOKUP(D147,'S1'!$1:$1325,2,False),0)</f>
        <v>77</v>
      </c>
      <c r="Q147" s="123">
        <f>IFNA(vlookup(D147,'S2'!A143:B1345,2,False),0)</f>
        <v>50</v>
      </c>
      <c r="R147" s="123">
        <f>ifna(vlookup(D147,'S3'!$1:$1311,2,False),0)</f>
        <v>75</v>
      </c>
      <c r="S147" s="123"/>
      <c r="T147" s="124">
        <v>10.0</v>
      </c>
      <c r="U147" s="125">
        <v>19.0</v>
      </c>
      <c r="V147" s="125">
        <v>68.0</v>
      </c>
      <c r="W147" s="125">
        <v>36.0</v>
      </c>
      <c r="X147" s="125">
        <v>76.0</v>
      </c>
      <c r="Y147" s="125"/>
      <c r="Z147" s="126"/>
      <c r="AA147" s="127">
        <v>84.0</v>
      </c>
      <c r="AB147" s="26">
        <v>60.0</v>
      </c>
      <c r="AC147" s="135">
        <v>66.0</v>
      </c>
      <c r="AD147" s="129">
        <v>100.0</v>
      </c>
      <c r="AE147" s="130">
        <v>16.0</v>
      </c>
      <c r="AF147" s="129"/>
      <c r="AG147" s="129">
        <v>20.0</v>
      </c>
      <c r="AH147" s="129"/>
      <c r="AI147" s="131"/>
      <c r="AJ147" s="131"/>
      <c r="AK147" s="132">
        <f t="shared" si="1"/>
        <v>4</v>
      </c>
      <c r="AL147" s="132">
        <f t="shared" si="2"/>
        <v>2</v>
      </c>
      <c r="AM147" s="133">
        <f t="shared" si="3"/>
        <v>2</v>
      </c>
      <c r="AN147" s="132" t="str">
        <f t="shared" si="4"/>
        <v>3</v>
      </c>
      <c r="AO147" s="132">
        <f t="shared" si="5"/>
        <v>3</v>
      </c>
      <c r="AP147" s="88"/>
      <c r="AQ147" s="88"/>
    </row>
    <row r="148">
      <c r="A148" s="114">
        <v>143.0</v>
      </c>
      <c r="B148" s="115" t="s">
        <v>1990</v>
      </c>
      <c r="C148" s="115" t="s">
        <v>2609</v>
      </c>
      <c r="D148" s="116" t="str">
        <f>VLOOKUP(B148,USN!$1:$1088,2,FALSE)</f>
        <v>1CR23CS149</v>
      </c>
      <c r="E148" s="116">
        <v>9.74129271E9</v>
      </c>
      <c r="F148" s="117" t="s">
        <v>2461</v>
      </c>
      <c r="G148" s="118"/>
      <c r="H148" s="119">
        <v>83.0</v>
      </c>
      <c r="I148" s="116">
        <v>82.0</v>
      </c>
      <c r="J148" s="120">
        <f>IFNA(VLOOKUP(D148,'L3'!$1:$2060,2,False),0)</f>
        <v>82</v>
      </c>
      <c r="K148" s="120">
        <f>VLOOKUP(D148,'L4'!$1:$2059,2,FALSE)</f>
        <v>70</v>
      </c>
      <c r="L148" s="121">
        <f>VLOOKUP(D148,'A1 RETEST 5 DEC'!$1:$2096,2,FALSE)</f>
        <v>74</v>
      </c>
      <c r="M148" s="121">
        <f>VLOOKUP(D148,'A2 RETEST 4 DEC'!$1:$2096,2,FALSE)</f>
        <v>50</v>
      </c>
      <c r="N148" s="122">
        <v>18.0</v>
      </c>
      <c r="O148" s="121"/>
      <c r="P148" s="123">
        <f>IFNA(VLOOKUP(D148,'S1'!$1:$1325,2,False),0)</f>
        <v>0</v>
      </c>
      <c r="Q148" s="123">
        <f>IFNA(vlookup(D148,'S2'!A144:B1346,2,False),0)</f>
        <v>50</v>
      </c>
      <c r="R148" s="123">
        <f>ifna(vlookup(D148,'S3'!$1:$1311,2,False),0)</f>
        <v>0</v>
      </c>
      <c r="S148" s="123"/>
      <c r="T148" s="124">
        <v>17.0</v>
      </c>
      <c r="U148" s="125">
        <v>16.0</v>
      </c>
      <c r="V148" s="125">
        <v>64.0</v>
      </c>
      <c r="W148" s="125"/>
      <c r="X148" s="125">
        <v>54.0</v>
      </c>
      <c r="Y148" s="125"/>
      <c r="Z148" s="126"/>
      <c r="AA148" s="127">
        <v>52.0</v>
      </c>
      <c r="AB148" s="26">
        <v>100.0</v>
      </c>
      <c r="AC148" s="135">
        <v>98.0</v>
      </c>
      <c r="AD148" s="129">
        <v>93.0</v>
      </c>
      <c r="AE148" s="130">
        <v>10.0</v>
      </c>
      <c r="AF148" s="129"/>
      <c r="AG148" s="129">
        <v>28.0</v>
      </c>
      <c r="AH148" s="129"/>
      <c r="AI148" s="131"/>
      <c r="AJ148" s="131"/>
      <c r="AK148" s="132">
        <f t="shared" si="1"/>
        <v>4</v>
      </c>
      <c r="AL148" s="132">
        <f t="shared" si="2"/>
        <v>2</v>
      </c>
      <c r="AM148" s="133">
        <f t="shared" si="3"/>
        <v>2</v>
      </c>
      <c r="AN148" s="132" t="str">
        <f t="shared" si="4"/>
        <v>3</v>
      </c>
      <c r="AO148" s="132">
        <f t="shared" si="5"/>
        <v>0</v>
      </c>
      <c r="AP148" s="88"/>
      <c r="AQ148" s="88"/>
    </row>
    <row r="149">
      <c r="A149" s="114">
        <v>144.0</v>
      </c>
      <c r="B149" s="115" t="s">
        <v>1992</v>
      </c>
      <c r="C149" s="115" t="s">
        <v>2610</v>
      </c>
      <c r="D149" s="116" t="str">
        <f>VLOOKUP(B149,USN!$1:$1088,2,FALSE)</f>
        <v>1CR23CS151</v>
      </c>
      <c r="E149" s="116">
        <v>8.971380882E9</v>
      </c>
      <c r="F149" s="117" t="s">
        <v>2461</v>
      </c>
      <c r="G149" s="118"/>
      <c r="H149" s="119">
        <v>88.0</v>
      </c>
      <c r="I149" s="116">
        <v>85.0</v>
      </c>
      <c r="J149" s="120">
        <f>IFNA(VLOOKUP(D149,'L3'!$1:$2060,2,False),0)</f>
        <v>78</v>
      </c>
      <c r="K149" s="120">
        <f>VLOOKUP(D149,'L4'!$1:$2059,2,FALSE)</f>
        <v>70</v>
      </c>
      <c r="L149" s="121">
        <f>VLOOKUP(D149,'A1 RETEST 5 DEC'!$1:$2096,2,FALSE)</f>
        <v>58</v>
      </c>
      <c r="M149" s="121">
        <f>VLOOKUP(D149,'A2 RETEST 4 DEC'!$1:$2096,2,FALSE)</f>
        <v>50</v>
      </c>
      <c r="N149" s="122">
        <v>15.0</v>
      </c>
      <c r="O149" s="121"/>
      <c r="P149" s="123">
        <f>IFNA(VLOOKUP(D149,'S1'!$1:$1325,2,False),0)</f>
        <v>77</v>
      </c>
      <c r="Q149" s="123">
        <f>IFNA(vlookup(D149,'S2'!A145:B1347,2,False),0)</f>
        <v>50</v>
      </c>
      <c r="R149" s="123">
        <f>ifna(vlookup(D149,'S3'!$1:$1311,2,False),0)</f>
        <v>78</v>
      </c>
      <c r="S149" s="123"/>
      <c r="T149" s="124">
        <v>14.0</v>
      </c>
      <c r="U149" s="125">
        <v>19.0</v>
      </c>
      <c r="V149" s="125">
        <v>68.0</v>
      </c>
      <c r="W149" s="125">
        <v>40.0</v>
      </c>
      <c r="X149" s="125">
        <v>74.0</v>
      </c>
      <c r="Y149" s="125"/>
      <c r="Z149" s="126"/>
      <c r="AA149" s="127">
        <v>55.0</v>
      </c>
      <c r="AB149" s="26">
        <v>75.0</v>
      </c>
      <c r="AC149" s="135">
        <v>66.0</v>
      </c>
      <c r="AD149" s="129">
        <v>90.0</v>
      </c>
      <c r="AE149" s="130">
        <v>16.0</v>
      </c>
      <c r="AF149" s="129"/>
      <c r="AG149" s="129">
        <v>0.0</v>
      </c>
      <c r="AH149" s="129"/>
      <c r="AI149" s="131"/>
      <c r="AJ149" s="131"/>
      <c r="AK149" s="132">
        <f t="shared" si="1"/>
        <v>4</v>
      </c>
      <c r="AL149" s="132">
        <f t="shared" si="2"/>
        <v>2</v>
      </c>
      <c r="AM149" s="133">
        <f t="shared" si="3"/>
        <v>2</v>
      </c>
      <c r="AN149" s="132" t="str">
        <f t="shared" si="4"/>
        <v>3</v>
      </c>
      <c r="AO149" s="132">
        <f t="shared" si="5"/>
        <v>3</v>
      </c>
      <c r="AP149" s="88"/>
      <c r="AQ149" s="88"/>
    </row>
    <row r="150">
      <c r="A150" s="114">
        <v>145.0</v>
      </c>
      <c r="B150" s="137" t="s">
        <v>2086</v>
      </c>
      <c r="C150" s="137" t="s">
        <v>2611</v>
      </c>
      <c r="D150" s="116" t="str">
        <f>VLOOKUP(B150,USN!$1:$1088,2,FALSE)</f>
        <v>1CR23CS152</v>
      </c>
      <c r="E150" s="138">
        <v>7.483952131E9</v>
      </c>
      <c r="F150" s="117" t="s">
        <v>2461</v>
      </c>
      <c r="G150" s="118"/>
      <c r="H150" s="119">
        <v>71.0</v>
      </c>
      <c r="I150" s="116">
        <v>76.0</v>
      </c>
      <c r="J150" s="120">
        <f>IFNA(VLOOKUP(D150,'L3'!$1:$2060,2,False),0)</f>
        <v>70</v>
      </c>
      <c r="K150" s="120">
        <f>VLOOKUP(D150,'L4'!$1:$2059,2,FALSE)</f>
        <v>70</v>
      </c>
      <c r="L150" s="121">
        <f>VLOOKUP(D150,'A1 RETEST 5 DEC'!$1:$2096,2,FALSE)</f>
        <v>50</v>
      </c>
      <c r="M150" s="121">
        <f>VLOOKUP(D150,'A2 RETEST 4 DEC'!$1:$2096,2,FALSE)</f>
        <v>50</v>
      </c>
      <c r="N150" s="122">
        <v>50.0</v>
      </c>
      <c r="O150" s="121"/>
      <c r="P150" s="123">
        <f>IFNA(VLOOKUP(D150,'S1'!$1:$1325,2,False),0)</f>
        <v>72</v>
      </c>
      <c r="Q150" s="123">
        <f>IFNA(vlookup(D150,'S2'!A146:B1348,2,False),0)</f>
        <v>50</v>
      </c>
      <c r="R150" s="123">
        <f>ifna(vlookup(D150,'S3'!$1:$1311,2,False),0)</f>
        <v>73</v>
      </c>
      <c r="S150" s="123"/>
      <c r="T150" s="124">
        <v>12.0</v>
      </c>
      <c r="U150" s="125">
        <v>18.0</v>
      </c>
      <c r="V150" s="125">
        <v>80.0</v>
      </c>
      <c r="W150" s="125">
        <v>64.0</v>
      </c>
      <c r="X150" s="125">
        <v>86.0</v>
      </c>
      <c r="Y150" s="125"/>
      <c r="Z150" s="126"/>
      <c r="AA150" s="127">
        <v>100.0</v>
      </c>
      <c r="AB150" s="26">
        <v>80.0</v>
      </c>
      <c r="AC150" s="135">
        <v>80.0</v>
      </c>
      <c r="AD150" s="129">
        <v>100.0</v>
      </c>
      <c r="AE150" s="130">
        <v>70.0</v>
      </c>
      <c r="AF150" s="129"/>
      <c r="AG150" s="129">
        <v>35.0</v>
      </c>
      <c r="AH150" s="129"/>
      <c r="AI150" s="131"/>
      <c r="AJ150" s="131"/>
      <c r="AK150" s="132">
        <f t="shared" si="1"/>
        <v>4</v>
      </c>
      <c r="AL150" s="132">
        <f t="shared" si="2"/>
        <v>3</v>
      </c>
      <c r="AM150" s="133">
        <f t="shared" si="3"/>
        <v>3</v>
      </c>
      <c r="AN150" s="132" t="str">
        <f t="shared" si="4"/>
        <v>3.5</v>
      </c>
      <c r="AO150" s="132">
        <f t="shared" si="5"/>
        <v>3</v>
      </c>
      <c r="AP150" s="88"/>
      <c r="AQ150" s="88"/>
    </row>
    <row r="151">
      <c r="A151" s="114">
        <v>146.0</v>
      </c>
      <c r="B151" s="115" t="s">
        <v>1993</v>
      </c>
      <c r="C151" s="115" t="s">
        <v>2612</v>
      </c>
      <c r="D151" s="116" t="str">
        <f>VLOOKUP(B151,USN!$1:$1088,2,FALSE)</f>
        <v>1CR23CS153</v>
      </c>
      <c r="E151" s="116">
        <v>8.951505867E9</v>
      </c>
      <c r="F151" s="117" t="s">
        <v>2461</v>
      </c>
      <c r="G151" s="118"/>
      <c r="H151" s="119">
        <v>86.0</v>
      </c>
      <c r="I151" s="116">
        <v>87.0</v>
      </c>
      <c r="J151" s="120">
        <f>IFNA(VLOOKUP(D151,'L3'!$1:$2060,2,False),0)</f>
        <v>72</v>
      </c>
      <c r="K151" s="120">
        <f>VLOOKUP(D151,'L4'!$1:$2059,2,FALSE)</f>
        <v>86</v>
      </c>
      <c r="L151" s="121">
        <f>VLOOKUP(D151,'A1 RETEST 5 DEC'!$1:$2096,2,FALSE)</f>
        <v>58</v>
      </c>
      <c r="M151" s="121">
        <f>VLOOKUP(D151,'A2 RETEST 4 DEC'!$1:$2096,2,FALSE)</f>
        <v>50</v>
      </c>
      <c r="N151" s="122">
        <v>50.0</v>
      </c>
      <c r="O151" s="121"/>
      <c r="P151" s="123">
        <f>IFNA(VLOOKUP(D151,'S1'!$1:$1325,2,False),0)</f>
        <v>81</v>
      </c>
      <c r="Q151" s="123">
        <f>IFNA(vlookup(D151,'S2'!A147:B1349,2,False),0)</f>
        <v>61</v>
      </c>
      <c r="R151" s="123">
        <f>ifna(vlookup(D151,'S3'!$1:$1311,2,False),0)</f>
        <v>85</v>
      </c>
      <c r="S151" s="123"/>
      <c r="T151" s="124">
        <v>19.0</v>
      </c>
      <c r="U151" s="125">
        <v>16.0</v>
      </c>
      <c r="V151" s="125">
        <v>52.0</v>
      </c>
      <c r="W151" s="125">
        <v>48.0</v>
      </c>
      <c r="X151" s="125">
        <v>82.0</v>
      </c>
      <c r="Y151" s="125"/>
      <c r="Z151" s="126"/>
      <c r="AA151" s="127">
        <v>100.0</v>
      </c>
      <c r="AB151" s="26">
        <v>98.0</v>
      </c>
      <c r="AC151" s="135">
        <v>90.0</v>
      </c>
      <c r="AD151" s="129">
        <v>78.0</v>
      </c>
      <c r="AE151" s="129">
        <v>70.0</v>
      </c>
      <c r="AF151" s="129"/>
      <c r="AG151" s="129">
        <v>70.0</v>
      </c>
      <c r="AH151" s="129"/>
      <c r="AI151" s="131"/>
      <c r="AJ151" s="131"/>
      <c r="AK151" s="132">
        <f t="shared" si="1"/>
        <v>4</v>
      </c>
      <c r="AL151" s="132">
        <f t="shared" si="2"/>
        <v>3</v>
      </c>
      <c r="AM151" s="133">
        <f t="shared" si="3"/>
        <v>2</v>
      </c>
      <c r="AN151" s="132" t="str">
        <f t="shared" si="4"/>
        <v>3.5</v>
      </c>
      <c r="AO151" s="132">
        <f t="shared" si="5"/>
        <v>3</v>
      </c>
      <c r="AP151" s="88"/>
      <c r="AQ151" s="88"/>
    </row>
    <row r="152">
      <c r="A152" s="114">
        <v>147.0</v>
      </c>
      <c r="B152" s="115" t="s">
        <v>1994</v>
      </c>
      <c r="C152" s="115" t="s">
        <v>2613</v>
      </c>
      <c r="D152" s="116" t="str">
        <f>VLOOKUP(B152,USN!$1:$1088,2,FALSE)</f>
        <v>1CR23CS154</v>
      </c>
      <c r="E152" s="116">
        <v>9.98011231E9</v>
      </c>
      <c r="F152" s="117" t="s">
        <v>2461</v>
      </c>
      <c r="G152" s="118"/>
      <c r="H152" s="119">
        <v>88.0</v>
      </c>
      <c r="I152" s="116">
        <v>86.0</v>
      </c>
      <c r="J152" s="120">
        <f>IFNA(VLOOKUP(D152,'L3'!$1:$2060,2,False),0)</f>
        <v>84</v>
      </c>
      <c r="K152" s="120">
        <f>VLOOKUP(D152,'L4'!$1:$2059,2,FALSE)</f>
        <v>76</v>
      </c>
      <c r="L152" s="121">
        <f>VLOOKUP(D152,'A1 RETEST 5 DEC'!$1:$2096,2,FALSE)</f>
        <v>51</v>
      </c>
      <c r="M152" s="121">
        <f>VLOOKUP(D152,'A2 RETEST 4 DEC'!$1:$2096,2,FALSE)</f>
        <v>13</v>
      </c>
      <c r="N152" s="122">
        <v>40.0</v>
      </c>
      <c r="O152" s="121"/>
      <c r="P152" s="123">
        <f>IFNA(VLOOKUP(D152,'S1'!$1:$1325,2,False),0)</f>
        <v>78</v>
      </c>
      <c r="Q152" s="123">
        <f>IFNA(vlookup(D152,'S2'!A148:B1350,2,False),0)</f>
        <v>50</v>
      </c>
      <c r="R152" s="123">
        <f>ifna(vlookup(D152,'S3'!$1:$1311,2,False),0)</f>
        <v>36</v>
      </c>
      <c r="S152" s="123"/>
      <c r="T152" s="124">
        <v>17.0</v>
      </c>
      <c r="U152" s="125">
        <v>21.0</v>
      </c>
      <c r="V152" s="125">
        <v>40.0</v>
      </c>
      <c r="W152" s="125"/>
      <c r="X152" s="125">
        <v>70.0</v>
      </c>
      <c r="Y152" s="125"/>
      <c r="Z152" s="126"/>
      <c r="AA152" s="127">
        <v>56.0</v>
      </c>
      <c r="AB152" s="26">
        <v>100.0</v>
      </c>
      <c r="AC152" s="135">
        <v>68.0</v>
      </c>
      <c r="AD152" s="129">
        <v>3.0</v>
      </c>
      <c r="AE152" s="130">
        <v>10.0</v>
      </c>
      <c r="AF152" s="129"/>
      <c r="AG152" s="129">
        <v>58.0</v>
      </c>
      <c r="AH152" s="129"/>
      <c r="AI152" s="131"/>
      <c r="AJ152" s="131"/>
      <c r="AK152" s="132">
        <f t="shared" si="1"/>
        <v>4</v>
      </c>
      <c r="AL152" s="132">
        <f t="shared" si="2"/>
        <v>1</v>
      </c>
      <c r="AM152" s="133">
        <f t="shared" si="3"/>
        <v>2</v>
      </c>
      <c r="AN152" s="132" t="str">
        <f t="shared" si="4"/>
        <v>3</v>
      </c>
      <c r="AO152" s="132">
        <f t="shared" si="5"/>
        <v>2</v>
      </c>
      <c r="AP152" s="88"/>
      <c r="AQ152" s="88"/>
    </row>
    <row r="153">
      <c r="A153" s="114">
        <v>148.0</v>
      </c>
      <c r="B153" s="115" t="s">
        <v>1995</v>
      </c>
      <c r="C153" s="115" t="s">
        <v>2614</v>
      </c>
      <c r="D153" s="116" t="str">
        <f>VLOOKUP(B153,USN!$1:$1088,2,FALSE)</f>
        <v>1CR23CS155</v>
      </c>
      <c r="E153" s="116">
        <v>9.3216846E9</v>
      </c>
      <c r="F153" s="117" t="s">
        <v>2461</v>
      </c>
      <c r="G153" s="118"/>
      <c r="H153" s="119">
        <v>88.0</v>
      </c>
      <c r="I153" s="116">
        <v>83.0</v>
      </c>
      <c r="J153" s="120">
        <f>IFNA(VLOOKUP(D153,'L3'!$1:$2060,2,False),0)</f>
        <v>70</v>
      </c>
      <c r="K153" s="120">
        <f>VLOOKUP(D153,'L4'!$1:$2059,2,FALSE)</f>
        <v>70</v>
      </c>
      <c r="L153" s="121">
        <f>VLOOKUP(D153,'A1 RETEST 5 DEC'!$1:$2096,2,FALSE)</f>
        <v>50</v>
      </c>
      <c r="M153" s="121">
        <f>VLOOKUP(D153,'A2 RETEST 4 DEC'!$1:$2096,2,FALSE)</f>
        <v>50</v>
      </c>
      <c r="N153" s="122">
        <v>9.0</v>
      </c>
      <c r="O153" s="121"/>
      <c r="P153" s="123">
        <f>IFNA(VLOOKUP(D153,'S1'!$1:$1325,2,False),0)</f>
        <v>80</v>
      </c>
      <c r="Q153" s="123">
        <f>IFNA(vlookup(D153,'S2'!A149:B1351,2,False),0)</f>
        <v>61</v>
      </c>
      <c r="R153" s="123">
        <f>ifna(vlookup(D153,'S3'!$1:$1311,2,False),0)</f>
        <v>82</v>
      </c>
      <c r="S153" s="123"/>
      <c r="T153" s="124">
        <v>11.0</v>
      </c>
      <c r="U153" s="125">
        <v>19.0</v>
      </c>
      <c r="V153" s="125">
        <v>52.0</v>
      </c>
      <c r="W153" s="125">
        <v>76.0</v>
      </c>
      <c r="X153" s="125">
        <v>82.0</v>
      </c>
      <c r="Y153" s="125"/>
      <c r="Z153" s="126"/>
      <c r="AA153" s="127">
        <v>65.0</v>
      </c>
      <c r="AB153" s="26">
        <v>100.0</v>
      </c>
      <c r="AC153" s="135">
        <v>80.0</v>
      </c>
      <c r="AD153" s="129">
        <v>100.0</v>
      </c>
      <c r="AE153" s="130">
        <v>40.0</v>
      </c>
      <c r="AF153" s="129"/>
      <c r="AG153" s="129">
        <v>0.0</v>
      </c>
      <c r="AH153" s="129"/>
      <c r="AI153" s="131"/>
      <c r="AJ153" s="131"/>
      <c r="AK153" s="132">
        <f t="shared" si="1"/>
        <v>4</v>
      </c>
      <c r="AL153" s="132">
        <f t="shared" si="2"/>
        <v>2</v>
      </c>
      <c r="AM153" s="133">
        <f t="shared" si="3"/>
        <v>3</v>
      </c>
      <c r="AN153" s="132" t="str">
        <f t="shared" si="4"/>
        <v>3</v>
      </c>
      <c r="AO153" s="132">
        <f t="shared" si="5"/>
        <v>3</v>
      </c>
      <c r="AP153" s="88"/>
      <c r="AQ153" s="88"/>
    </row>
    <row r="154">
      <c r="A154" s="114">
        <v>149.0</v>
      </c>
      <c r="B154" s="138" t="s">
        <v>2029</v>
      </c>
      <c r="C154" s="137" t="s">
        <v>2615</v>
      </c>
      <c r="D154" s="116" t="str">
        <f>VLOOKUP(B154,USN!$1:$1088,2,FALSE)</f>
        <v>1CR23CS156</v>
      </c>
      <c r="E154" s="138">
        <v>9.899441466E9</v>
      </c>
      <c r="F154" s="117" t="s">
        <v>2461</v>
      </c>
      <c r="G154" s="118"/>
      <c r="H154" s="119">
        <v>73.0</v>
      </c>
      <c r="I154" s="116">
        <v>75.0</v>
      </c>
      <c r="J154" s="120">
        <f>IFNA(VLOOKUP(D154,'L3'!$1:$2060,2,False),0)</f>
        <v>71</v>
      </c>
      <c r="K154" s="120">
        <f>VLOOKUP(D154,'L4'!$1:$2059,2,FALSE)</f>
        <v>70</v>
      </c>
      <c r="L154" s="121">
        <f>VLOOKUP(D154,'A1 RETEST 5 DEC'!$1:$2096,2,FALSE)</f>
        <v>27</v>
      </c>
      <c r="M154" s="121">
        <f>VLOOKUP(D154,'A2 RETEST 4 DEC'!$1:$2096,2,FALSE)</f>
        <v>13</v>
      </c>
      <c r="N154" s="122">
        <v>50.0</v>
      </c>
      <c r="O154" s="121"/>
      <c r="P154" s="123">
        <f>IFNA(VLOOKUP(D154,'S1'!$1:$1325,2,False),0)</f>
        <v>72</v>
      </c>
      <c r="Q154" s="123">
        <f>IFNA(vlookup(D154,'S2'!A150:B1352,2,False),0)</f>
        <v>50</v>
      </c>
      <c r="R154" s="123">
        <f>ifna(vlookup(D154,'S3'!$1:$1311,2,False),0)</f>
        <v>82</v>
      </c>
      <c r="S154" s="123"/>
      <c r="T154" s="124">
        <v>22.0</v>
      </c>
      <c r="U154" s="125">
        <v>18.0</v>
      </c>
      <c r="V154" s="125"/>
      <c r="W154" s="125">
        <v>28.0</v>
      </c>
      <c r="X154" s="125">
        <v>54.0</v>
      </c>
      <c r="Y154" s="125"/>
      <c r="Z154" s="126"/>
      <c r="AA154" s="127">
        <v>24.0</v>
      </c>
      <c r="AB154" s="26">
        <v>87.0</v>
      </c>
      <c r="AC154" s="135">
        <v>70.0</v>
      </c>
      <c r="AD154" s="129">
        <v>5.0</v>
      </c>
      <c r="AE154" s="130">
        <v>22.0</v>
      </c>
      <c r="AF154" s="129"/>
      <c r="AG154" s="129">
        <v>56.0</v>
      </c>
      <c r="AH154" s="129"/>
      <c r="AI154" s="131"/>
      <c r="AJ154" s="131"/>
      <c r="AK154" s="132">
        <f t="shared" si="1"/>
        <v>4</v>
      </c>
      <c r="AL154" s="132">
        <f t="shared" si="2"/>
        <v>0</v>
      </c>
      <c r="AM154" s="133">
        <f t="shared" si="3"/>
        <v>2</v>
      </c>
      <c r="AN154" s="132" t="str">
        <f t="shared" si="4"/>
        <v>3</v>
      </c>
      <c r="AO154" s="132">
        <f t="shared" si="5"/>
        <v>3</v>
      </c>
      <c r="AP154" s="88"/>
      <c r="AQ154" s="88"/>
    </row>
    <row r="155">
      <c r="A155" s="114">
        <v>150.0</v>
      </c>
      <c r="B155" s="138" t="s">
        <v>2030</v>
      </c>
      <c r="C155" s="137" t="s">
        <v>2616</v>
      </c>
      <c r="D155" s="116" t="str">
        <f>VLOOKUP(B155,USN!$1:$1088,2,FALSE)</f>
        <v>1CR23CS157</v>
      </c>
      <c r="E155" s="138">
        <v>8.383922494E9</v>
      </c>
      <c r="F155" s="117" t="s">
        <v>2461</v>
      </c>
      <c r="G155" s="118"/>
      <c r="H155" s="119">
        <v>87.0</v>
      </c>
      <c r="I155" s="116">
        <v>86.0</v>
      </c>
      <c r="J155" s="120">
        <f>IFNA(VLOOKUP(D155,'L3'!$1:$2060,2,False),0)</f>
        <v>75</v>
      </c>
      <c r="K155" s="120">
        <f>VLOOKUP(D155,'L4'!$1:$2059,2,FALSE)</f>
        <v>74</v>
      </c>
      <c r="L155" s="121">
        <f>VLOOKUP(D155,'A1 RETEST 5 DEC'!$1:$2096,2,FALSE)</f>
        <v>54</v>
      </c>
      <c r="M155" s="121">
        <f>VLOOKUP(D155,'A2 RETEST 4 DEC'!$1:$2096,2,FALSE)</f>
        <v>50</v>
      </c>
      <c r="N155" s="122">
        <v>50.0</v>
      </c>
      <c r="O155" s="121"/>
      <c r="P155" s="123">
        <f>IFNA(VLOOKUP(D155,'S1'!$1:$1325,2,False),0)</f>
        <v>71</v>
      </c>
      <c r="Q155" s="123">
        <f>IFNA(vlookup(D155,'S2'!A151:B1353,2,False),0)</f>
        <v>65</v>
      </c>
      <c r="R155" s="123">
        <f>ifna(vlookup(D155,'S3'!$1:$1311,2,False),0)</f>
        <v>71</v>
      </c>
      <c r="S155" s="123"/>
      <c r="T155" s="124">
        <v>23.0</v>
      </c>
      <c r="U155" s="125">
        <v>21.0</v>
      </c>
      <c r="V155" s="125">
        <v>64.0</v>
      </c>
      <c r="W155" s="125">
        <v>32.0</v>
      </c>
      <c r="X155" s="125">
        <v>80.0</v>
      </c>
      <c r="Y155" s="125"/>
      <c r="Z155" s="126"/>
      <c r="AA155" s="127">
        <v>25.0</v>
      </c>
      <c r="AB155" s="26">
        <v>100.0</v>
      </c>
      <c r="AC155" s="135">
        <v>80.0</v>
      </c>
      <c r="AD155" s="129">
        <v>90.0</v>
      </c>
      <c r="AE155" s="130">
        <v>61.0</v>
      </c>
      <c r="AF155" s="129"/>
      <c r="AG155" s="129">
        <v>59.0</v>
      </c>
      <c r="AH155" s="129"/>
      <c r="AI155" s="131"/>
      <c r="AJ155" s="131"/>
      <c r="AK155" s="132">
        <f t="shared" si="1"/>
        <v>4</v>
      </c>
      <c r="AL155" s="132">
        <f t="shared" si="2"/>
        <v>3</v>
      </c>
      <c r="AM155" s="133">
        <f t="shared" si="3"/>
        <v>2</v>
      </c>
      <c r="AN155" s="132" t="str">
        <f t="shared" si="4"/>
        <v>3</v>
      </c>
      <c r="AO155" s="132">
        <f t="shared" si="5"/>
        <v>3</v>
      </c>
      <c r="AP155" s="88"/>
      <c r="AQ155" s="88"/>
    </row>
    <row r="156">
      <c r="A156" s="114">
        <v>151.0</v>
      </c>
      <c r="B156" s="115" t="s">
        <v>1938</v>
      </c>
      <c r="C156" s="115" t="s">
        <v>2617</v>
      </c>
      <c r="D156" s="116" t="str">
        <f>VLOOKUP(B156,USN!$1:$1088,2,FALSE)</f>
        <v>1CR23CS158</v>
      </c>
      <c r="E156" s="116">
        <f>+9779845747794</f>
        <v>9779845747794</v>
      </c>
      <c r="F156" s="117" t="s">
        <v>2461</v>
      </c>
      <c r="G156" s="118"/>
      <c r="H156" s="119">
        <v>86.0</v>
      </c>
      <c r="I156" s="116">
        <v>84.0</v>
      </c>
      <c r="J156" s="120">
        <f>IFNA(VLOOKUP(D156,'L3'!$1:$2060,2,False),0)</f>
        <v>63</v>
      </c>
      <c r="K156" s="120">
        <f>VLOOKUP(D156,'L4'!$1:$2059,2,FALSE)</f>
        <v>70</v>
      </c>
      <c r="L156" s="121">
        <f>VLOOKUP(D156,'A1 RETEST 5 DEC'!$1:$2096,2,FALSE)</f>
        <v>12</v>
      </c>
      <c r="M156" s="121">
        <f>VLOOKUP(D156,'A2 RETEST 4 DEC'!$1:$2096,2,FALSE)</f>
        <v>20</v>
      </c>
      <c r="N156" s="122">
        <v>0.0</v>
      </c>
      <c r="O156" s="121"/>
      <c r="P156" s="123">
        <f>IFNA(VLOOKUP(D156,'S1'!$1:$1325,2,False),0)</f>
        <v>0</v>
      </c>
      <c r="Q156" s="123">
        <f>IFNA(vlookup(D156,'S2'!A152:B1354,2,False),0)</f>
        <v>0</v>
      </c>
      <c r="R156" s="123">
        <f>ifna(vlookup(D156,'S3'!$1:$1311,2,False),0)</f>
        <v>0</v>
      </c>
      <c r="S156" s="123"/>
      <c r="T156" s="124">
        <v>10.0</v>
      </c>
      <c r="U156" s="125">
        <v>22.0</v>
      </c>
      <c r="V156" s="125">
        <v>64.0</v>
      </c>
      <c r="W156" s="125"/>
      <c r="X156" s="125">
        <v>62.0</v>
      </c>
      <c r="Y156" s="125"/>
      <c r="Z156" s="126"/>
      <c r="AA156" s="127">
        <v>30.0</v>
      </c>
      <c r="AB156" s="26">
        <v>82.5</v>
      </c>
      <c r="AC156" s="147">
        <v>0.0</v>
      </c>
      <c r="AD156" s="129">
        <v>21.0</v>
      </c>
      <c r="AE156" s="130">
        <v>10.0</v>
      </c>
      <c r="AF156" s="129"/>
      <c r="AG156" s="129">
        <v>0.0</v>
      </c>
      <c r="AH156" s="129"/>
      <c r="AI156" s="131"/>
      <c r="AJ156" s="131"/>
      <c r="AK156" s="132">
        <f t="shared" si="1"/>
        <v>2</v>
      </c>
      <c r="AL156" s="132">
        <f t="shared" si="2"/>
        <v>0</v>
      </c>
      <c r="AM156" s="133">
        <f t="shared" si="3"/>
        <v>2</v>
      </c>
      <c r="AN156" s="132" t="str">
        <f t="shared" si="4"/>
        <v>2</v>
      </c>
      <c r="AO156" s="132">
        <f t="shared" si="5"/>
        <v>0</v>
      </c>
      <c r="AP156" s="88"/>
      <c r="AQ156" s="88"/>
    </row>
    <row r="157">
      <c r="A157" s="114">
        <v>152.0</v>
      </c>
      <c r="B157" s="138" t="s">
        <v>2031</v>
      </c>
      <c r="C157" s="137" t="s">
        <v>2618</v>
      </c>
      <c r="D157" s="116" t="str">
        <f>VLOOKUP(B157,USN!$1:$1088,2,FALSE)</f>
        <v>1CR23CS159</v>
      </c>
      <c r="E157" s="138">
        <v>9.632524823E9</v>
      </c>
      <c r="F157" s="117" t="s">
        <v>2461</v>
      </c>
      <c r="G157" s="118"/>
      <c r="H157" s="119">
        <v>85.0</v>
      </c>
      <c r="I157" s="116">
        <v>88.0</v>
      </c>
      <c r="J157" s="120">
        <f>IFNA(VLOOKUP(D157,'L3'!$1:$2060,2,False),0)</f>
        <v>70</v>
      </c>
      <c r="K157" s="120">
        <f>VLOOKUP(D157,'L4'!$1:$2059,2,FALSE)</f>
        <v>83</v>
      </c>
      <c r="L157" s="121">
        <f>VLOOKUP(D157,'A1 RETEST 5 DEC'!$1:$2096,2,FALSE)</f>
        <v>60</v>
      </c>
      <c r="M157" s="121">
        <f>VLOOKUP(D157,'A2 RETEST 4 DEC'!$1:$2096,2,FALSE)</f>
        <v>50</v>
      </c>
      <c r="N157" s="122">
        <v>50.0</v>
      </c>
      <c r="O157" s="121"/>
      <c r="P157" s="123">
        <f>IFNA(VLOOKUP(D157,'S1'!$1:$1325,2,False),0)</f>
        <v>81</v>
      </c>
      <c r="Q157" s="123">
        <f>IFNA(vlookup(D157,'S2'!A153:B1355,2,False),0)</f>
        <v>73</v>
      </c>
      <c r="R157" s="123">
        <f>ifna(vlookup(D157,'S3'!$1:$1311,2,False),0)</f>
        <v>85</v>
      </c>
      <c r="S157" s="123"/>
      <c r="T157" s="124">
        <v>10.0</v>
      </c>
      <c r="U157" s="125">
        <v>22.0</v>
      </c>
      <c r="V157" s="125">
        <v>85.0</v>
      </c>
      <c r="W157" s="125">
        <v>44.0</v>
      </c>
      <c r="X157" s="125">
        <v>82.0</v>
      </c>
      <c r="Y157" s="125"/>
      <c r="Z157" s="126"/>
      <c r="AA157" s="127">
        <v>48.0</v>
      </c>
      <c r="AB157" s="26">
        <v>100.0</v>
      </c>
      <c r="AC157" s="135">
        <v>98.0</v>
      </c>
      <c r="AD157" s="129">
        <v>78.0</v>
      </c>
      <c r="AE157" s="130">
        <v>82.0</v>
      </c>
      <c r="AF157" s="129"/>
      <c r="AG157" s="129">
        <v>71.0</v>
      </c>
      <c r="AH157" s="129"/>
      <c r="AI157" s="131"/>
      <c r="AJ157" s="131"/>
      <c r="AK157" s="132">
        <f t="shared" si="1"/>
        <v>4</v>
      </c>
      <c r="AL157" s="132">
        <f t="shared" si="2"/>
        <v>3</v>
      </c>
      <c r="AM157" s="133">
        <f t="shared" si="3"/>
        <v>2</v>
      </c>
      <c r="AN157" s="132" t="str">
        <f t="shared" si="4"/>
        <v>3.5</v>
      </c>
      <c r="AO157" s="132">
        <f t="shared" si="5"/>
        <v>3</v>
      </c>
      <c r="AP157" s="88"/>
      <c r="AQ157" s="88"/>
    </row>
    <row r="158">
      <c r="A158" s="114">
        <v>153.0</v>
      </c>
      <c r="B158" s="137" t="s">
        <v>2090</v>
      </c>
      <c r="C158" s="137" t="s">
        <v>2619</v>
      </c>
      <c r="D158" s="116" t="str">
        <f>VLOOKUP(B158,USN!$1:$1088,2,FALSE)</f>
        <v>1CR23CS160</v>
      </c>
      <c r="E158" s="138">
        <v>8.217559718E9</v>
      </c>
      <c r="F158" s="117" t="s">
        <v>2461</v>
      </c>
      <c r="G158" s="118"/>
      <c r="H158" s="119">
        <v>74.0</v>
      </c>
      <c r="I158" s="116">
        <v>72.0</v>
      </c>
      <c r="J158" s="120">
        <f>IFNA(VLOOKUP(D158,'L3'!$1:$2060,2,False),0)</f>
        <v>75</v>
      </c>
      <c r="K158" s="120">
        <f>VLOOKUP(D158,'L4'!$1:$2059,2,FALSE)</f>
        <v>70</v>
      </c>
      <c r="L158" s="121">
        <f>VLOOKUP(D158,'A1 RETEST 5 DEC'!$1:$2096,2,FALSE)</f>
        <v>50</v>
      </c>
      <c r="M158" s="121">
        <f>VLOOKUP(D158,'A2 RETEST 4 DEC'!$1:$2096,2,FALSE)</f>
        <v>50</v>
      </c>
      <c r="N158" s="122">
        <v>64.0</v>
      </c>
      <c r="O158" s="121"/>
      <c r="P158" s="123">
        <f>IFNA(VLOOKUP(D158,'S1'!$1:$1325,2,False),0)</f>
        <v>50</v>
      </c>
      <c r="Q158" s="123">
        <f>IFNA(vlookup(D158,'S2'!A154:B1356,2,False),0)</f>
        <v>50</v>
      </c>
      <c r="R158" s="123">
        <f>ifna(vlookup(D158,'S3'!$1:$1311,2,False),0)</f>
        <v>77</v>
      </c>
      <c r="S158" s="123"/>
      <c r="T158" s="124">
        <v>20.0</v>
      </c>
      <c r="U158" s="125">
        <v>22.0</v>
      </c>
      <c r="V158" s="125">
        <v>60.0</v>
      </c>
      <c r="W158" s="125">
        <v>76.0</v>
      </c>
      <c r="X158" s="125">
        <v>78.0</v>
      </c>
      <c r="Y158" s="125"/>
      <c r="Z158" s="126"/>
      <c r="AA158" s="127">
        <v>90.0</v>
      </c>
      <c r="AB158" s="26">
        <v>85.0</v>
      </c>
      <c r="AC158" s="135">
        <v>100.0</v>
      </c>
      <c r="AD158" s="129">
        <v>100.0</v>
      </c>
      <c r="AE158" s="130">
        <v>90.0</v>
      </c>
      <c r="AF158" s="129"/>
      <c r="AG158" s="129">
        <v>63.0</v>
      </c>
      <c r="AH158" s="129"/>
      <c r="AI158" s="131"/>
      <c r="AJ158" s="131"/>
      <c r="AK158" s="132">
        <f t="shared" si="1"/>
        <v>4</v>
      </c>
      <c r="AL158" s="132">
        <f t="shared" si="2"/>
        <v>3</v>
      </c>
      <c r="AM158" s="133">
        <f t="shared" si="3"/>
        <v>3</v>
      </c>
      <c r="AN158" s="132" t="str">
        <f t="shared" si="4"/>
        <v>3.5</v>
      </c>
      <c r="AO158" s="132">
        <f t="shared" si="5"/>
        <v>3</v>
      </c>
      <c r="AP158" s="88"/>
      <c r="AQ158" s="88"/>
    </row>
    <row r="159">
      <c r="A159" s="114">
        <v>154.0</v>
      </c>
      <c r="B159" s="137" t="s">
        <v>2071</v>
      </c>
      <c r="C159" s="137" t="s">
        <v>2620</v>
      </c>
      <c r="D159" s="116" t="str">
        <f>VLOOKUP(B159,USN!$1:$1088,2,FALSE)</f>
        <v>1CR23CS161</v>
      </c>
      <c r="E159" s="148"/>
      <c r="F159" s="117" t="s">
        <v>2461</v>
      </c>
      <c r="G159" s="118"/>
      <c r="H159" s="119">
        <v>78.0</v>
      </c>
      <c r="I159" s="116">
        <v>83.0</v>
      </c>
      <c r="J159" s="120">
        <f>IFNA(VLOOKUP(D159,'L3'!$1:$2060,2,False),0)</f>
        <v>74</v>
      </c>
      <c r="K159" s="120">
        <f>VLOOKUP(D159,'L4'!$1:$2059,2,FALSE)</f>
        <v>74</v>
      </c>
      <c r="L159" s="121">
        <f>VLOOKUP(D159,'A1 RETEST 5 DEC'!$1:$2096,2,FALSE)</f>
        <v>50</v>
      </c>
      <c r="M159" s="121">
        <f>VLOOKUP(D159,'A2 RETEST 4 DEC'!$1:$2096,2,FALSE)</f>
        <v>19</v>
      </c>
      <c r="N159" s="122">
        <v>0.0</v>
      </c>
      <c r="O159" s="121"/>
      <c r="P159" s="123">
        <f>IFNA(VLOOKUP(D159,'S1'!$1:$1325,2,False),0)</f>
        <v>76</v>
      </c>
      <c r="Q159" s="123">
        <f>IFNA(vlookup(D159,'S2'!A155:B1357,2,False),0)</f>
        <v>73</v>
      </c>
      <c r="R159" s="123">
        <f>ifna(vlookup(D159,'S3'!$1:$1311,2,False),0)</f>
        <v>71</v>
      </c>
      <c r="S159" s="123"/>
      <c r="T159" s="124">
        <v>22.0</v>
      </c>
      <c r="U159" s="125">
        <v>22.0</v>
      </c>
      <c r="V159" s="125"/>
      <c r="W159" s="125">
        <v>44.0</v>
      </c>
      <c r="X159" s="125"/>
      <c r="Y159" s="125"/>
      <c r="Z159" s="126"/>
      <c r="AA159" s="127">
        <v>96.0</v>
      </c>
      <c r="AB159" s="26">
        <v>76.25</v>
      </c>
      <c r="AC159" s="135">
        <v>4.5</v>
      </c>
      <c r="AD159" s="129">
        <v>3.0</v>
      </c>
      <c r="AE159" s="130">
        <v>10.0</v>
      </c>
      <c r="AF159" s="129"/>
      <c r="AG159" s="129">
        <v>32.0</v>
      </c>
      <c r="AH159" s="129"/>
      <c r="AI159" s="131"/>
      <c r="AJ159" s="131"/>
      <c r="AK159" s="132">
        <f t="shared" si="1"/>
        <v>4</v>
      </c>
      <c r="AL159" s="132">
        <f t="shared" si="2"/>
        <v>1</v>
      </c>
      <c r="AM159" s="133">
        <f t="shared" si="3"/>
        <v>2</v>
      </c>
      <c r="AN159" s="132" t="str">
        <f t="shared" si="4"/>
        <v>2</v>
      </c>
      <c r="AO159" s="132">
        <f t="shared" si="5"/>
        <v>3</v>
      </c>
      <c r="AP159" s="88"/>
      <c r="AQ159" s="88"/>
    </row>
    <row r="160">
      <c r="A160" s="114">
        <v>155.0</v>
      </c>
      <c r="B160" s="137" t="s">
        <v>2081</v>
      </c>
      <c r="C160" s="137" t="s">
        <v>2621</v>
      </c>
      <c r="D160" s="116" t="str">
        <f>VLOOKUP(B160,USN!$1:$1088,2,FALSE)</f>
        <v>1CR23CS162</v>
      </c>
      <c r="E160" s="138">
        <v>7.006301254E9</v>
      </c>
      <c r="F160" s="117" t="s">
        <v>2461</v>
      </c>
      <c r="G160" s="118"/>
      <c r="H160" s="119">
        <v>78.0</v>
      </c>
      <c r="I160" s="116">
        <v>84.0</v>
      </c>
      <c r="J160" s="120">
        <f>IFNA(VLOOKUP(D160,'L3'!$1:$2060,2,False),0)</f>
        <v>70</v>
      </c>
      <c r="K160" s="120">
        <f>VLOOKUP(D160,'L4'!$1:$2059,2,FALSE)</f>
        <v>70</v>
      </c>
      <c r="L160" s="121">
        <f>VLOOKUP(D160,'A1 RETEST 5 DEC'!$1:$2096,2,FALSE)</f>
        <v>49</v>
      </c>
      <c r="M160" s="121">
        <f>VLOOKUP(D160,'A2 RETEST 4 DEC'!$1:$2096,2,FALSE)</f>
        <v>13</v>
      </c>
      <c r="N160" s="122">
        <v>0.0</v>
      </c>
      <c r="O160" s="121"/>
      <c r="P160" s="123">
        <f>IFNA(VLOOKUP(D160,'S1'!$1:$1325,2,False),0)</f>
        <v>75</v>
      </c>
      <c r="Q160" s="123">
        <f>IFNA(vlookup(D160,'S2'!A156:B1358,2,False),0)</f>
        <v>73</v>
      </c>
      <c r="R160" s="123">
        <f>ifna(vlookup(D160,'S3'!$1:$1311,2,False),0)</f>
        <v>79</v>
      </c>
      <c r="S160" s="123"/>
      <c r="T160" s="124">
        <v>12.0</v>
      </c>
      <c r="U160" s="125">
        <v>22.0</v>
      </c>
      <c r="V160" s="125"/>
      <c r="W160" s="125">
        <v>36.0</v>
      </c>
      <c r="X160" s="125"/>
      <c r="Y160" s="125"/>
      <c r="Z160" s="126"/>
      <c r="AA160" s="127">
        <v>76.0</v>
      </c>
      <c r="AB160" s="26">
        <v>86.25</v>
      </c>
      <c r="AC160" s="135">
        <v>21.0</v>
      </c>
      <c r="AD160" s="129">
        <v>100.0</v>
      </c>
      <c r="AE160" s="130">
        <v>10.0</v>
      </c>
      <c r="AF160" s="129"/>
      <c r="AG160" s="129">
        <v>32.0</v>
      </c>
      <c r="AH160" s="129"/>
      <c r="AI160" s="131"/>
      <c r="AJ160" s="131"/>
      <c r="AK160" s="132">
        <f t="shared" si="1"/>
        <v>4</v>
      </c>
      <c r="AL160" s="132">
        <f t="shared" si="2"/>
        <v>0</v>
      </c>
      <c r="AM160" s="133">
        <f t="shared" si="3"/>
        <v>2</v>
      </c>
      <c r="AN160" s="132" t="str">
        <f t="shared" si="4"/>
        <v>3</v>
      </c>
      <c r="AO160" s="132">
        <f t="shared" si="5"/>
        <v>3</v>
      </c>
      <c r="AP160" s="88"/>
      <c r="AQ160" s="88"/>
    </row>
    <row r="161">
      <c r="A161" s="114"/>
      <c r="B161" s="138" t="s">
        <v>2032</v>
      </c>
      <c r="C161" s="149" t="s">
        <v>2622</v>
      </c>
      <c r="D161" s="116" t="str">
        <f>VLOOKUP(B161,USN!$1:$1088,2,FALSE)</f>
        <v>1CR23CS163</v>
      </c>
      <c r="E161" s="138">
        <v>7.993791325E9</v>
      </c>
      <c r="F161" s="117" t="s">
        <v>2461</v>
      </c>
      <c r="G161" s="118"/>
      <c r="H161" s="119">
        <v>73.0</v>
      </c>
      <c r="I161" s="116">
        <v>68.0</v>
      </c>
      <c r="J161" s="120">
        <f>IFNA(VLOOKUP(D161,'L3'!$1:$2060,2,False),0)</f>
        <v>0</v>
      </c>
      <c r="K161" s="120">
        <f>VLOOKUP(D161,'L4'!$1:$2059,2,FALSE)</f>
        <v>0</v>
      </c>
      <c r="L161" s="121">
        <f>VLOOKUP(D161,'A1 RETEST 5 DEC'!$1:$2096,2,FALSE)</f>
        <v>33</v>
      </c>
      <c r="M161" s="121">
        <f>VLOOKUP(D161,'A2 RETEST 4 DEC'!$1:$2096,2,FALSE)</f>
        <v>0</v>
      </c>
      <c r="N161" s="122">
        <v>0.0</v>
      </c>
      <c r="O161" s="121"/>
      <c r="P161" s="123">
        <f>IFNA(VLOOKUP(D161,'S1'!$1:$1325,2,False),0)</f>
        <v>0</v>
      </c>
      <c r="Q161" s="123">
        <f>IFNA(vlookup(D161,'S2'!A157:B1359,2,False),0)</f>
        <v>0</v>
      </c>
      <c r="R161" s="123">
        <f>ifna(vlookup(D161,'S3'!$1:$1311,2,False),0)</f>
        <v>0</v>
      </c>
      <c r="S161" s="123"/>
      <c r="T161" s="124">
        <v>10.0</v>
      </c>
      <c r="U161" s="125" t="s">
        <v>2477</v>
      </c>
      <c r="V161" s="125"/>
      <c r="W161" s="125"/>
      <c r="X161" s="125"/>
      <c r="Y161" s="125"/>
      <c r="Z161" s="126"/>
      <c r="AA161" s="127">
        <v>28.0</v>
      </c>
      <c r="AB161" s="26">
        <v>0.0</v>
      </c>
      <c r="AC161" s="135" t="e">
        <v>#N/A</v>
      </c>
      <c r="AD161" s="129">
        <v>0.0</v>
      </c>
      <c r="AE161" s="130">
        <v>10.0</v>
      </c>
      <c r="AF161" s="129"/>
      <c r="AG161" s="129"/>
      <c r="AH161" s="129"/>
      <c r="AI161" s="131"/>
      <c r="AJ161" s="131"/>
      <c r="AK161" s="132">
        <f t="shared" si="1"/>
        <v>2</v>
      </c>
      <c r="AL161" s="132">
        <f t="shared" si="2"/>
        <v>0</v>
      </c>
      <c r="AM161" s="133">
        <f t="shared" si="3"/>
        <v>2</v>
      </c>
      <c r="AN161" s="132" t="str">
        <f t="shared" si="4"/>
        <v>0</v>
      </c>
      <c r="AO161" s="132">
        <f t="shared" si="5"/>
        <v>0</v>
      </c>
      <c r="AP161" s="88"/>
      <c r="AQ161" s="88"/>
    </row>
    <row r="162">
      <c r="A162" s="114">
        <v>156.0</v>
      </c>
      <c r="B162" s="138" t="s">
        <v>2033</v>
      </c>
      <c r="C162" s="137" t="s">
        <v>2623</v>
      </c>
      <c r="D162" s="116" t="str">
        <f>VLOOKUP(B162,USN!$1:$1088,2,FALSE)</f>
        <v>1CR23CS164</v>
      </c>
      <c r="E162" s="138">
        <v>9.508876808E9</v>
      </c>
      <c r="F162" s="117" t="s">
        <v>2461</v>
      </c>
      <c r="G162" s="118"/>
      <c r="H162" s="119">
        <v>83.0</v>
      </c>
      <c r="I162" s="116">
        <v>83.0</v>
      </c>
      <c r="J162" s="120">
        <f>IFNA(VLOOKUP(D162,'L3'!$1:$2060,2,False),0)</f>
        <v>72</v>
      </c>
      <c r="K162" s="120">
        <f>VLOOKUP(D162,'L4'!$1:$2059,2,FALSE)</f>
        <v>86</v>
      </c>
      <c r="L162" s="121">
        <f>VLOOKUP(D162,'A1 RETEST 5 DEC'!$1:$2096,2,FALSE)</f>
        <v>71</v>
      </c>
      <c r="M162" s="121">
        <f>VLOOKUP(D162,'A2 RETEST 4 DEC'!$1:$2096,2,FALSE)</f>
        <v>50</v>
      </c>
      <c r="N162" s="122">
        <v>52.0</v>
      </c>
      <c r="O162" s="121"/>
      <c r="P162" s="123">
        <f>IFNA(VLOOKUP(D162,'S1'!$1:$1325,2,False),0)</f>
        <v>72</v>
      </c>
      <c r="Q162" s="123">
        <f>IFNA(vlookup(D162,'S2'!A158:B1360,2,False),0)</f>
        <v>84</v>
      </c>
      <c r="R162" s="123">
        <f>ifna(vlookup(D162,'S3'!$1:$1311,2,False),0)</f>
        <v>87</v>
      </c>
      <c r="S162" s="123"/>
      <c r="T162" s="124">
        <v>19.0</v>
      </c>
      <c r="U162" s="125">
        <v>22.0</v>
      </c>
      <c r="V162" s="125">
        <v>76.0</v>
      </c>
      <c r="W162" s="125">
        <v>52.0</v>
      </c>
      <c r="X162" s="125">
        <v>82.0</v>
      </c>
      <c r="Y162" s="125"/>
      <c r="Z162" s="126"/>
      <c r="AA162" s="127">
        <v>76.0</v>
      </c>
      <c r="AB162" s="26">
        <v>100.0</v>
      </c>
      <c r="AC162" s="135">
        <v>89.5</v>
      </c>
      <c r="AD162" s="129">
        <v>100.0</v>
      </c>
      <c r="AE162" s="130">
        <v>80.0</v>
      </c>
      <c r="AF162" s="129"/>
      <c r="AG162" s="129">
        <v>91.0</v>
      </c>
      <c r="AH162" s="129"/>
      <c r="AI162" s="131"/>
      <c r="AJ162" s="131"/>
      <c r="AK162" s="132">
        <f t="shared" si="1"/>
        <v>4</v>
      </c>
      <c r="AL162" s="132">
        <f t="shared" si="2"/>
        <v>3</v>
      </c>
      <c r="AM162" s="133">
        <f t="shared" si="3"/>
        <v>3</v>
      </c>
      <c r="AN162" s="132" t="str">
        <f t="shared" si="4"/>
        <v>3.5</v>
      </c>
      <c r="AO162" s="132">
        <f t="shared" si="5"/>
        <v>3</v>
      </c>
      <c r="AP162" s="88"/>
      <c r="AQ162" s="88"/>
    </row>
    <row r="163">
      <c r="A163" s="114">
        <v>157.0</v>
      </c>
      <c r="B163" s="115" t="s">
        <v>2028</v>
      </c>
      <c r="C163" s="115" t="s">
        <v>2624</v>
      </c>
      <c r="D163" s="116" t="str">
        <f>VLOOKUP(B163,USN!$1:$1088,2,FALSE)</f>
        <v>1CR23CS165</v>
      </c>
      <c r="E163" s="116">
        <v>9.513492039E9</v>
      </c>
      <c r="F163" s="117" t="s">
        <v>2461</v>
      </c>
      <c r="G163" s="118"/>
      <c r="H163" s="119">
        <v>85.0</v>
      </c>
      <c r="I163" s="116">
        <v>84.0</v>
      </c>
      <c r="J163" s="120">
        <f>IFNA(VLOOKUP(D163,'L3'!$1:$2060,2,False),0)</f>
        <v>70</v>
      </c>
      <c r="K163" s="120">
        <f>VLOOKUP(D163,'L4'!$1:$2059,2,FALSE)</f>
        <v>70</v>
      </c>
      <c r="L163" s="121">
        <f>VLOOKUP(D163,'A1 RETEST 5 DEC'!$1:$2096,2,FALSE)</f>
        <v>48</v>
      </c>
      <c r="M163" s="121">
        <f>VLOOKUP(D163,'A2 RETEST 4 DEC'!$1:$2096,2,FALSE)</f>
        <v>3</v>
      </c>
      <c r="N163" s="122">
        <v>50.0</v>
      </c>
      <c r="O163" s="121"/>
      <c r="P163" s="123">
        <f>IFNA(VLOOKUP(D163,'S1'!$1:$1325,2,False),0)</f>
        <v>50</v>
      </c>
      <c r="Q163" s="123">
        <f>IFNA(vlookup(D163,'S2'!A159:B1361,2,False),0)</f>
        <v>65</v>
      </c>
      <c r="R163" s="123">
        <f>ifna(vlookup(D163,'S3'!$1:$1311,2,False),0)</f>
        <v>91</v>
      </c>
      <c r="S163" s="123"/>
      <c r="T163" s="124">
        <v>19.0</v>
      </c>
      <c r="U163" s="125">
        <v>19.0</v>
      </c>
      <c r="V163" s="125">
        <v>76.0</v>
      </c>
      <c r="W163" s="125"/>
      <c r="X163" s="125">
        <v>78.0</v>
      </c>
      <c r="Y163" s="125"/>
      <c r="Z163" s="126"/>
      <c r="AA163" s="127">
        <v>0.0</v>
      </c>
      <c r="AB163" s="26">
        <v>25.0</v>
      </c>
      <c r="AC163" s="135">
        <v>78.5</v>
      </c>
      <c r="AD163" s="129">
        <v>100.0</v>
      </c>
      <c r="AE163" s="130">
        <v>80.0</v>
      </c>
      <c r="AF163" s="129"/>
      <c r="AG163" s="129">
        <v>57.0</v>
      </c>
      <c r="AH163" s="129"/>
      <c r="AI163" s="131"/>
      <c r="AJ163" s="131"/>
      <c r="AK163" s="132">
        <f t="shared" si="1"/>
        <v>4</v>
      </c>
      <c r="AL163" s="132">
        <f t="shared" si="2"/>
        <v>0</v>
      </c>
      <c r="AM163" s="133">
        <f t="shared" si="3"/>
        <v>2</v>
      </c>
      <c r="AN163" s="132" t="str">
        <f t="shared" si="4"/>
        <v>0</v>
      </c>
      <c r="AO163" s="132">
        <f t="shared" si="5"/>
        <v>3</v>
      </c>
      <c r="AP163" s="88"/>
      <c r="AQ163" s="88"/>
    </row>
    <row r="164">
      <c r="A164" s="114">
        <v>158.0</v>
      </c>
      <c r="B164" s="137" t="s">
        <v>2070</v>
      </c>
      <c r="C164" s="137" t="s">
        <v>2625</v>
      </c>
      <c r="D164" s="116" t="str">
        <f>VLOOKUP(B164,USN!$1:$1088,2,FALSE)</f>
        <v>1CR23CS166</v>
      </c>
      <c r="E164" s="138">
        <v>7.338394725E9</v>
      </c>
      <c r="F164" s="117" t="s">
        <v>2461</v>
      </c>
      <c r="G164" s="118"/>
      <c r="H164" s="119">
        <v>91.0</v>
      </c>
      <c r="I164" s="116">
        <v>92.0</v>
      </c>
      <c r="J164" s="120">
        <f>IFNA(VLOOKUP(D164,'L3'!$1:$2060,2,False),0)</f>
        <v>74</v>
      </c>
      <c r="K164" s="120">
        <f>VLOOKUP(D164,'L4'!$1:$2059,2,FALSE)</f>
        <v>86</v>
      </c>
      <c r="L164" s="121">
        <f>VLOOKUP(D164,'A1 RETEST 5 DEC'!$1:$2096,2,FALSE)</f>
        <v>50</v>
      </c>
      <c r="M164" s="121">
        <f>VLOOKUP(D164,'A2 RETEST 4 DEC'!$1:$2096,2,FALSE)</f>
        <v>50</v>
      </c>
      <c r="N164" s="122">
        <v>50.0</v>
      </c>
      <c r="O164" s="121"/>
      <c r="P164" s="123">
        <f>IFNA(VLOOKUP(D164,'S1'!$1:$1325,2,False),0)</f>
        <v>71</v>
      </c>
      <c r="Q164" s="123">
        <f>IFNA(vlookup(D164,'S2'!A160:B1362,2,False),0)</f>
        <v>84</v>
      </c>
      <c r="R164" s="123">
        <f>ifna(vlookup(D164,'S3'!$1:$1311,2,False),0)</f>
        <v>87</v>
      </c>
      <c r="S164" s="123"/>
      <c r="T164" s="124">
        <v>21.0</v>
      </c>
      <c r="U164" s="125">
        <v>21.0</v>
      </c>
      <c r="V164" s="125">
        <v>76.0</v>
      </c>
      <c r="W164" s="125">
        <v>44.0</v>
      </c>
      <c r="X164" s="125">
        <v>82.0</v>
      </c>
      <c r="Y164" s="125"/>
      <c r="Z164" s="126"/>
      <c r="AA164" s="127">
        <v>72.0</v>
      </c>
      <c r="AB164" s="26">
        <v>97.5</v>
      </c>
      <c r="AC164" s="135">
        <v>88.5</v>
      </c>
      <c r="AD164" s="129">
        <v>100.0</v>
      </c>
      <c r="AE164" s="130">
        <v>80.0</v>
      </c>
      <c r="AF164" s="129"/>
      <c r="AG164" s="129">
        <v>88.0</v>
      </c>
      <c r="AH164" s="129"/>
      <c r="AI164" s="131"/>
      <c r="AJ164" s="131"/>
      <c r="AK164" s="132">
        <f t="shared" si="1"/>
        <v>4</v>
      </c>
      <c r="AL164" s="132">
        <f t="shared" si="2"/>
        <v>3</v>
      </c>
      <c r="AM164" s="133">
        <f t="shared" si="3"/>
        <v>2</v>
      </c>
      <c r="AN164" s="132" t="str">
        <f t="shared" si="4"/>
        <v>3.5</v>
      </c>
      <c r="AO164" s="132">
        <f t="shared" si="5"/>
        <v>3</v>
      </c>
      <c r="AP164" s="88"/>
      <c r="AQ164" s="88"/>
    </row>
    <row r="165">
      <c r="A165" s="114">
        <v>159.0</v>
      </c>
      <c r="B165" s="137" t="s">
        <v>2078</v>
      </c>
      <c r="C165" s="137" t="s">
        <v>2626</v>
      </c>
      <c r="D165" s="116" t="str">
        <f>VLOOKUP(B165,USN!$1:$1088,2,FALSE)</f>
        <v>1CR23CS167</v>
      </c>
      <c r="E165" s="138">
        <v>6.303295744E9</v>
      </c>
      <c r="F165" s="117" t="s">
        <v>2461</v>
      </c>
      <c r="G165" s="118"/>
      <c r="H165" s="119">
        <v>76.0</v>
      </c>
      <c r="I165" s="116">
        <v>72.0</v>
      </c>
      <c r="J165" s="120">
        <f>IFNA(VLOOKUP(D165,'L3'!$1:$2060,2,False),0)</f>
        <v>72</v>
      </c>
      <c r="K165" s="120">
        <f>VLOOKUP(D165,'L4'!$1:$2059,2,FALSE)</f>
        <v>70</v>
      </c>
      <c r="L165" s="121">
        <f>VLOOKUP(D165,'A1 RETEST 5 DEC'!$1:$2096,2,FALSE)</f>
        <v>50</v>
      </c>
      <c r="M165" s="121">
        <f>VLOOKUP(D165,'A2 RETEST 4 DEC'!$1:$2096,2,FALSE)</f>
        <v>23</v>
      </c>
      <c r="N165" s="122">
        <v>64.0</v>
      </c>
      <c r="O165" s="121"/>
      <c r="P165" s="123">
        <f>IFNA(VLOOKUP(D165,'S1'!$1:$1325,2,False),0)</f>
        <v>72</v>
      </c>
      <c r="Q165" s="123">
        <f>IFNA(vlookup(D165,'S2'!A161:B1363,2,False),0)</f>
        <v>50</v>
      </c>
      <c r="R165" s="123">
        <f>ifna(vlookup(D165,'S3'!$1:$1311,2,False),0)</f>
        <v>82</v>
      </c>
      <c r="S165" s="123"/>
      <c r="T165" s="124">
        <v>12.0</v>
      </c>
      <c r="U165" s="125">
        <v>19.0</v>
      </c>
      <c r="V165" s="125">
        <v>56.0</v>
      </c>
      <c r="W165" s="125">
        <v>40.0</v>
      </c>
      <c r="X165" s="125">
        <v>70.0</v>
      </c>
      <c r="Y165" s="125"/>
      <c r="Z165" s="126"/>
      <c r="AA165" s="127">
        <v>50.0</v>
      </c>
      <c r="AB165" s="26">
        <v>78.75</v>
      </c>
      <c r="AC165" s="135">
        <v>80.0</v>
      </c>
      <c r="AD165" s="129">
        <v>100.0</v>
      </c>
      <c r="AE165" s="130">
        <v>70.0</v>
      </c>
      <c r="AF165" s="129"/>
      <c r="AG165" s="129">
        <v>73.0</v>
      </c>
      <c r="AH165" s="129"/>
      <c r="AI165" s="131"/>
      <c r="AJ165" s="131"/>
      <c r="AK165" s="132">
        <f t="shared" si="1"/>
        <v>4</v>
      </c>
      <c r="AL165" s="132">
        <f t="shared" si="2"/>
        <v>1</v>
      </c>
      <c r="AM165" s="133">
        <f t="shared" si="3"/>
        <v>2</v>
      </c>
      <c r="AN165" s="132" t="str">
        <f t="shared" si="4"/>
        <v>3.5</v>
      </c>
      <c r="AO165" s="132">
        <f t="shared" si="5"/>
        <v>3</v>
      </c>
      <c r="AP165" s="88"/>
      <c r="AQ165" s="88"/>
    </row>
    <row r="166">
      <c r="A166" s="114">
        <v>160.0</v>
      </c>
      <c r="B166" s="138" t="s">
        <v>2034</v>
      </c>
      <c r="C166" s="137" t="s">
        <v>2627</v>
      </c>
      <c r="D166" s="116" t="str">
        <f>VLOOKUP(B166,USN!$1:$1088,2,FALSE)</f>
        <v>1CR23CS168</v>
      </c>
      <c r="E166" s="138">
        <v>9.380758544E9</v>
      </c>
      <c r="F166" s="117" t="s">
        <v>2461</v>
      </c>
      <c r="G166" s="118"/>
      <c r="H166" s="150">
        <v>82.0</v>
      </c>
      <c r="I166" s="116">
        <v>76.0</v>
      </c>
      <c r="J166" s="120">
        <f>IFNA(VLOOKUP(D166,'L3'!$1:$2060,2,False),0)</f>
        <v>70</v>
      </c>
      <c r="K166" s="120">
        <f>VLOOKUP(D166,'L4'!$1:$2059,2,FALSE)</f>
        <v>51</v>
      </c>
      <c r="L166" s="121">
        <f>VLOOKUP(D166,'A1 RETEST 5 DEC'!$1:$2096,2,FALSE)</f>
        <v>50</v>
      </c>
      <c r="M166" s="121">
        <f>VLOOKUP(D166,'A2 RETEST 4 DEC'!$1:$2096,2,FALSE)</f>
        <v>18</v>
      </c>
      <c r="N166" s="122">
        <v>0.0</v>
      </c>
      <c r="O166" s="121"/>
      <c r="P166" s="123">
        <f>IFNA(VLOOKUP(D166,'S1'!$1:$1325,2,False),0)</f>
        <v>0</v>
      </c>
      <c r="Q166" s="123">
        <f>IFNA(vlookup(D166,'S2'!A162:B1364,2,False),0)</f>
        <v>50</v>
      </c>
      <c r="R166" s="123">
        <f>ifna(vlookup(D166,'S3'!$1:$1311,2,False),0)</f>
        <v>0</v>
      </c>
      <c r="S166" s="123"/>
      <c r="T166" s="124">
        <v>19.0</v>
      </c>
      <c r="U166" s="125">
        <v>22.0</v>
      </c>
      <c r="V166" s="125">
        <v>72.0</v>
      </c>
      <c r="W166" s="125">
        <v>44.0</v>
      </c>
      <c r="X166" s="125">
        <v>66.0</v>
      </c>
      <c r="Y166" s="125"/>
      <c r="Z166" s="126"/>
      <c r="AA166" s="127">
        <v>100.0</v>
      </c>
      <c r="AB166" s="26">
        <v>0.0</v>
      </c>
      <c r="AC166" s="135">
        <v>42.0</v>
      </c>
      <c r="AD166" s="129">
        <v>60.0</v>
      </c>
      <c r="AE166" s="130">
        <v>10.0</v>
      </c>
      <c r="AF166" s="129"/>
      <c r="AG166" s="129">
        <v>0.0</v>
      </c>
      <c r="AH166" s="129"/>
      <c r="AI166" s="131"/>
      <c r="AJ166" s="131"/>
      <c r="AK166" s="132">
        <f t="shared" si="1"/>
        <v>3</v>
      </c>
      <c r="AL166" s="132">
        <f t="shared" si="2"/>
        <v>1</v>
      </c>
      <c r="AM166" s="133">
        <f t="shared" si="3"/>
        <v>2</v>
      </c>
      <c r="AN166" s="132" t="str">
        <f t="shared" si="4"/>
        <v>0</v>
      </c>
      <c r="AO166" s="132">
        <f t="shared" si="5"/>
        <v>0</v>
      </c>
      <c r="AP166" s="88"/>
      <c r="AQ166" s="88"/>
    </row>
    <row r="167">
      <c r="A167" s="114">
        <v>161.0</v>
      </c>
      <c r="B167" s="138" t="s">
        <v>2035</v>
      </c>
      <c r="C167" s="137" t="s">
        <v>2628</v>
      </c>
      <c r="D167" s="116" t="str">
        <f>VLOOKUP(B167,USN!$1:$1088,2,FALSE)</f>
        <v>1CR23CS169</v>
      </c>
      <c r="E167" s="138">
        <v>7.679810651E9</v>
      </c>
      <c r="F167" s="117" t="s">
        <v>2461</v>
      </c>
      <c r="G167" s="118"/>
      <c r="H167" s="119">
        <v>78.0</v>
      </c>
      <c r="I167" s="116">
        <v>77.0</v>
      </c>
      <c r="J167" s="120">
        <f>IFNA(VLOOKUP(D167,'L3'!$1:$2060,2,False),0)</f>
        <v>70</v>
      </c>
      <c r="K167" s="120">
        <f>VLOOKUP(D167,'L4'!$1:$2059,2,FALSE)</f>
        <v>46</v>
      </c>
      <c r="L167" s="121">
        <f>VLOOKUP(D167,'A1 RETEST 5 DEC'!$1:$2096,2,FALSE)</f>
        <v>29</v>
      </c>
      <c r="M167" s="121">
        <f>VLOOKUP(D167,'A2 RETEST 4 DEC'!$1:$2096,2,FALSE)</f>
        <v>28</v>
      </c>
      <c r="N167" s="122">
        <v>6.0</v>
      </c>
      <c r="O167" s="121"/>
      <c r="P167" s="123">
        <f>IFNA(VLOOKUP(D167,'S1'!$1:$1325,2,False),0)</f>
        <v>50</v>
      </c>
      <c r="Q167" s="123">
        <f>IFNA(vlookup(D167,'S2'!A163:B1365,2,False),0)</f>
        <v>50</v>
      </c>
      <c r="R167" s="123">
        <f>ifna(vlookup(D167,'S3'!$1:$1311,2,False),0)</f>
        <v>0</v>
      </c>
      <c r="S167" s="123"/>
      <c r="T167" s="124">
        <v>15.0</v>
      </c>
      <c r="U167" s="125">
        <v>22.0</v>
      </c>
      <c r="V167" s="125"/>
      <c r="W167" s="125">
        <v>32.0</v>
      </c>
      <c r="X167" s="125"/>
      <c r="Y167" s="125"/>
      <c r="Z167" s="126"/>
      <c r="AA167" s="127">
        <v>50.0</v>
      </c>
      <c r="AB167" s="26">
        <v>48.0</v>
      </c>
      <c r="AC167" s="135">
        <v>5.0</v>
      </c>
      <c r="AD167" s="129">
        <v>60.0</v>
      </c>
      <c r="AE167" s="130">
        <v>16.0</v>
      </c>
      <c r="AF167" s="129"/>
      <c r="AG167" s="129">
        <v>25.0</v>
      </c>
      <c r="AH167" s="129"/>
      <c r="AI167" s="131"/>
      <c r="AJ167" s="131"/>
      <c r="AK167" s="132">
        <f t="shared" si="1"/>
        <v>3</v>
      </c>
      <c r="AL167" s="132">
        <f t="shared" si="2"/>
        <v>0</v>
      </c>
      <c r="AM167" s="133">
        <f t="shared" si="3"/>
        <v>2</v>
      </c>
      <c r="AN167" s="132" t="str">
        <f t="shared" si="4"/>
        <v>0</v>
      </c>
      <c r="AO167" s="132">
        <f t="shared" si="5"/>
        <v>2</v>
      </c>
      <c r="AP167" s="88"/>
      <c r="AQ167" s="88"/>
    </row>
    <row r="168">
      <c r="A168" s="114">
        <v>162.0</v>
      </c>
      <c r="B168" s="138" t="s">
        <v>2036</v>
      </c>
      <c r="C168" s="137" t="s">
        <v>2629</v>
      </c>
      <c r="D168" s="116" t="str">
        <f>VLOOKUP(B168,USN!$1:$1088,2,FALSE)</f>
        <v>1CR23CS170</v>
      </c>
      <c r="E168" s="138">
        <v>7.892677434E9</v>
      </c>
      <c r="F168" s="117" t="s">
        <v>2461</v>
      </c>
      <c r="G168" s="118"/>
      <c r="H168" s="119">
        <v>76.0</v>
      </c>
      <c r="I168" s="116">
        <v>78.0</v>
      </c>
      <c r="J168" s="120">
        <f>IFNA(VLOOKUP(D168,'L3'!$1:$2060,2,False),0)</f>
        <v>70</v>
      </c>
      <c r="K168" s="120">
        <f>VLOOKUP(D168,'L4'!$1:$2059,2,FALSE)</f>
        <v>71</v>
      </c>
      <c r="L168" s="121">
        <f>VLOOKUP(D168,'A1 RETEST 5 DEC'!$1:$2096,2,FALSE)</f>
        <v>38</v>
      </c>
      <c r="M168" s="121">
        <f>VLOOKUP(D168,'A2 RETEST 4 DEC'!$1:$2096,2,FALSE)</f>
        <v>50</v>
      </c>
      <c r="N168" s="122">
        <v>50.0</v>
      </c>
      <c r="O168" s="121"/>
      <c r="P168" s="123">
        <f>IFNA(VLOOKUP(D168,'S1'!$1:$1325,2,False),0)</f>
        <v>50</v>
      </c>
      <c r="Q168" s="123">
        <f>IFNA(vlookup(D168,'S2'!A164:B1366,2,False),0)</f>
        <v>50</v>
      </c>
      <c r="R168" s="123">
        <f>ifna(vlookup(D168,'S3'!$1:$1311,2,False),0)</f>
        <v>69</v>
      </c>
      <c r="S168" s="123"/>
      <c r="T168" s="124">
        <v>11.0</v>
      </c>
      <c r="U168" s="125">
        <v>22.0</v>
      </c>
      <c r="V168" s="125">
        <v>84.0</v>
      </c>
      <c r="W168" s="125">
        <v>32.0</v>
      </c>
      <c r="X168" s="125">
        <v>80.0</v>
      </c>
      <c r="Y168" s="125"/>
      <c r="Z168" s="126"/>
      <c r="AA168" s="127">
        <v>20.0</v>
      </c>
      <c r="AB168" s="26">
        <v>63.0</v>
      </c>
      <c r="AC168" s="135">
        <v>51.5</v>
      </c>
      <c r="AD168" s="129">
        <v>61.0</v>
      </c>
      <c r="AE168" s="130">
        <v>10.0</v>
      </c>
      <c r="AF168" s="129"/>
      <c r="AG168" s="129">
        <v>27.0</v>
      </c>
      <c r="AH168" s="129"/>
      <c r="AI168" s="131"/>
      <c r="AJ168" s="131"/>
      <c r="AK168" s="132">
        <f t="shared" si="1"/>
        <v>4</v>
      </c>
      <c r="AL168" s="132">
        <f t="shared" si="2"/>
        <v>0</v>
      </c>
      <c r="AM168" s="133">
        <f t="shared" si="3"/>
        <v>2</v>
      </c>
      <c r="AN168" s="132" t="str">
        <f t="shared" si="4"/>
        <v>3</v>
      </c>
      <c r="AO168" s="132">
        <f t="shared" si="5"/>
        <v>3</v>
      </c>
      <c r="AP168" s="88"/>
      <c r="AQ168" s="88"/>
    </row>
    <row r="169">
      <c r="A169" s="114">
        <v>163.0</v>
      </c>
      <c r="B169" s="137" t="s">
        <v>2080</v>
      </c>
      <c r="C169" s="137" t="s">
        <v>2630</v>
      </c>
      <c r="D169" s="116" t="str">
        <f>VLOOKUP(B169,USN!$1:$1088,2,FALSE)</f>
        <v>1CR23CS171</v>
      </c>
      <c r="E169" s="138">
        <v>7.022884193E9</v>
      </c>
      <c r="F169" s="117" t="s">
        <v>2461</v>
      </c>
      <c r="G169" s="118"/>
      <c r="H169" s="119">
        <v>70.0</v>
      </c>
      <c r="I169" s="142">
        <v>70.0</v>
      </c>
      <c r="J169" s="120">
        <f>IFNA(VLOOKUP(D169,'L3'!$1:$2060,2,False),0)</f>
        <v>70</v>
      </c>
      <c r="K169" s="120">
        <f>VLOOKUP(D169,'L4'!$1:$2059,2,FALSE)</f>
        <v>70</v>
      </c>
      <c r="L169" s="121">
        <f>VLOOKUP(D169,'A1 RETEST 5 DEC'!$1:$2096,2,FALSE)</f>
        <v>50</v>
      </c>
      <c r="M169" s="121">
        <f>VLOOKUP(D169,'A2 RETEST 4 DEC'!$1:$2096,2,FALSE)</f>
        <v>19</v>
      </c>
      <c r="N169" s="122">
        <v>62.0</v>
      </c>
      <c r="O169" s="121"/>
      <c r="P169" s="123">
        <f>IFNA(VLOOKUP(D169,'S1'!$1:$1325,2,False),0)</f>
        <v>72</v>
      </c>
      <c r="Q169" s="123">
        <f>IFNA(vlookup(D169,'S2'!A165:B1367,2,False),0)</f>
        <v>50</v>
      </c>
      <c r="R169" s="123">
        <f>ifna(vlookup(D169,'S3'!$1:$1311,2,False),0)</f>
        <v>78</v>
      </c>
      <c r="S169" s="123"/>
      <c r="T169" s="124">
        <v>14.0</v>
      </c>
      <c r="U169" s="125">
        <v>21.0</v>
      </c>
      <c r="V169" s="125">
        <v>80.0</v>
      </c>
      <c r="W169" s="125">
        <v>64.0</v>
      </c>
      <c r="X169" s="125">
        <v>84.0</v>
      </c>
      <c r="Y169" s="125"/>
      <c r="Z169" s="126"/>
      <c r="AA169" s="127">
        <v>89.0</v>
      </c>
      <c r="AB169" s="26">
        <v>86.25</v>
      </c>
      <c r="AC169" s="135">
        <v>80.0</v>
      </c>
      <c r="AD169" s="129">
        <v>67.0</v>
      </c>
      <c r="AE169" s="130">
        <v>70.0</v>
      </c>
      <c r="AF169" s="129"/>
      <c r="AG169" s="129">
        <v>63.0</v>
      </c>
      <c r="AH169" s="129"/>
      <c r="AI169" s="131"/>
      <c r="AJ169" s="131"/>
      <c r="AK169" s="132">
        <f t="shared" si="1"/>
        <v>4</v>
      </c>
      <c r="AL169" s="132">
        <f t="shared" si="2"/>
        <v>1</v>
      </c>
      <c r="AM169" s="133">
        <f t="shared" si="3"/>
        <v>3</v>
      </c>
      <c r="AN169" s="132" t="str">
        <f t="shared" si="4"/>
        <v>3.5</v>
      </c>
      <c r="AO169" s="132">
        <f t="shared" si="5"/>
        <v>3</v>
      </c>
      <c r="AP169" s="88"/>
      <c r="AQ169" s="88"/>
    </row>
    <row r="170">
      <c r="A170" s="114">
        <v>164.0</v>
      </c>
      <c r="B170" s="137" t="s">
        <v>1957</v>
      </c>
      <c r="C170" s="137" t="s">
        <v>2631</v>
      </c>
      <c r="D170" s="116" t="str">
        <f>VLOOKUP(B170,USN!$1:$1088,2,FALSE)</f>
        <v>1CR23CS172</v>
      </c>
      <c r="E170" s="138">
        <v>9.964182125E9</v>
      </c>
      <c r="F170" s="117" t="s">
        <v>2461</v>
      </c>
      <c r="G170" s="118"/>
      <c r="H170" s="119">
        <v>78.0</v>
      </c>
      <c r="I170" s="116">
        <v>79.0</v>
      </c>
      <c r="J170" s="120">
        <f>IFNA(VLOOKUP(D170,'L3'!$1:$2060,2,False),0)</f>
        <v>54</v>
      </c>
      <c r="K170" s="120">
        <f>VLOOKUP(D170,'L4'!$1:$2059,2,FALSE)</f>
        <v>23</v>
      </c>
      <c r="L170" s="121">
        <f>VLOOKUP(D170,'A1 RETEST 5 DEC'!$1:$2096,2,FALSE)</f>
        <v>52</v>
      </c>
      <c r="M170" s="121">
        <f>VLOOKUP(D170,'A2 RETEST 4 DEC'!$1:$2096,2,FALSE)</f>
        <v>12</v>
      </c>
      <c r="N170" s="122">
        <v>0.0</v>
      </c>
      <c r="O170" s="121"/>
      <c r="P170" s="123">
        <f>IFNA(VLOOKUP(D170,'S1'!$1:$1325,2,False),0)</f>
        <v>81</v>
      </c>
      <c r="Q170" s="123">
        <f>IFNA(vlookup(D170,'S2'!A166:B1368,2,False),0)</f>
        <v>0</v>
      </c>
      <c r="R170" s="123">
        <f>ifna(vlookup(D170,'S3'!$1:$1311,2,False),0)</f>
        <v>0</v>
      </c>
      <c r="S170" s="123"/>
      <c r="T170" s="124">
        <v>9.0</v>
      </c>
      <c r="U170" s="125">
        <v>15.0</v>
      </c>
      <c r="V170" s="125">
        <v>60.0</v>
      </c>
      <c r="W170" s="125"/>
      <c r="X170" s="125">
        <v>84.0</v>
      </c>
      <c r="Y170" s="125"/>
      <c r="Z170" s="126"/>
      <c r="AA170" s="127">
        <v>36.0</v>
      </c>
      <c r="AB170" s="26">
        <v>30.0</v>
      </c>
      <c r="AC170" s="135">
        <v>0.0</v>
      </c>
      <c r="AD170" s="129">
        <v>0.0</v>
      </c>
      <c r="AE170" s="130">
        <v>10.0</v>
      </c>
      <c r="AF170" s="129"/>
      <c r="AG170" s="129">
        <v>0.0</v>
      </c>
      <c r="AH170" s="129"/>
      <c r="AI170" s="131"/>
      <c r="AJ170" s="131"/>
      <c r="AK170" s="132">
        <f t="shared" si="1"/>
        <v>2</v>
      </c>
      <c r="AL170" s="132">
        <f t="shared" si="2"/>
        <v>1</v>
      </c>
      <c r="AM170" s="133">
        <f t="shared" si="3"/>
        <v>0</v>
      </c>
      <c r="AN170" s="132" t="str">
        <f t="shared" si="4"/>
        <v>0</v>
      </c>
      <c r="AO170" s="132">
        <f t="shared" si="5"/>
        <v>1</v>
      </c>
      <c r="AP170" s="88"/>
      <c r="AQ170" s="88"/>
    </row>
    <row r="171">
      <c r="A171" s="114">
        <v>165.0</v>
      </c>
      <c r="B171" s="138" t="s">
        <v>2037</v>
      </c>
      <c r="C171" s="137" t="s">
        <v>2632</v>
      </c>
      <c r="D171" s="116" t="str">
        <f>VLOOKUP(B171,USN!$1:$1088,2,FALSE)</f>
        <v>1CR23CS173</v>
      </c>
      <c r="E171" s="138">
        <v>9.739935646E9</v>
      </c>
      <c r="F171" s="117" t="s">
        <v>2461</v>
      </c>
      <c r="G171" s="118"/>
      <c r="H171" s="119">
        <v>72.0</v>
      </c>
      <c r="I171" s="116">
        <v>71.0</v>
      </c>
      <c r="J171" s="120">
        <f>IFNA(VLOOKUP(D171,'L3'!$1:$2060,2,False),0)</f>
        <v>39</v>
      </c>
      <c r="K171" s="120">
        <f>VLOOKUP(D171,'L4'!$1:$2059,2,FALSE)</f>
        <v>26</v>
      </c>
      <c r="L171" s="121">
        <f>VLOOKUP(D171,'A1 RETEST 5 DEC'!$1:$2096,2,FALSE)</f>
        <v>3</v>
      </c>
      <c r="M171" s="121">
        <f>VLOOKUP(D171,'A2 RETEST 4 DEC'!$1:$2096,2,FALSE)</f>
        <v>30</v>
      </c>
      <c r="N171" s="122">
        <v>0.0</v>
      </c>
      <c r="O171" s="121"/>
      <c r="P171" s="123">
        <f>IFNA(VLOOKUP(D171,'S1'!$1:$1325,2,False),0)</f>
        <v>0</v>
      </c>
      <c r="Q171" s="123">
        <f>IFNA(vlookup(D171,'S2'!A167:B1369,2,False),0)</f>
        <v>0</v>
      </c>
      <c r="R171" s="123">
        <f>ifna(vlookup(D171,'S3'!$1:$1311,2,False),0)</f>
        <v>0</v>
      </c>
      <c r="S171" s="123"/>
      <c r="T171" s="124">
        <v>20.0</v>
      </c>
      <c r="U171" s="125">
        <v>22.0</v>
      </c>
      <c r="V171" s="125">
        <v>80.0</v>
      </c>
      <c r="W171" s="125"/>
      <c r="X171" s="125">
        <v>88.0</v>
      </c>
      <c r="Y171" s="125"/>
      <c r="Z171" s="126"/>
      <c r="AA171" s="127">
        <v>89.0</v>
      </c>
      <c r="AB171" s="26">
        <v>33.0</v>
      </c>
      <c r="AC171" s="135">
        <v>42.5</v>
      </c>
      <c r="AD171" s="129">
        <v>67.0</v>
      </c>
      <c r="AE171" s="130">
        <v>10.0</v>
      </c>
      <c r="AF171" s="129"/>
      <c r="AG171" s="129">
        <v>0.0</v>
      </c>
      <c r="AH171" s="129"/>
      <c r="AI171" s="131"/>
      <c r="AJ171" s="131"/>
      <c r="AK171" s="132">
        <f t="shared" si="1"/>
        <v>2</v>
      </c>
      <c r="AL171" s="132">
        <f t="shared" si="2"/>
        <v>0</v>
      </c>
      <c r="AM171" s="133">
        <f t="shared" si="3"/>
        <v>2</v>
      </c>
      <c r="AN171" s="132" t="str">
        <f t="shared" si="4"/>
        <v>0</v>
      </c>
      <c r="AO171" s="132">
        <f t="shared" si="5"/>
        <v>0</v>
      </c>
      <c r="AP171" s="88"/>
      <c r="AQ171" s="88"/>
    </row>
    <row r="172">
      <c r="A172" s="114">
        <v>166.0</v>
      </c>
      <c r="B172" s="138" t="s">
        <v>2038</v>
      </c>
      <c r="C172" s="137" t="s">
        <v>2633</v>
      </c>
      <c r="D172" s="116" t="str">
        <f>VLOOKUP(B172,USN!$1:$1088,2,FALSE)</f>
        <v>1CR23CS174</v>
      </c>
      <c r="E172" s="138">
        <v>9.00890466E9</v>
      </c>
      <c r="F172" s="117" t="s">
        <v>2461</v>
      </c>
      <c r="G172" s="118"/>
      <c r="H172" s="119">
        <v>86.0</v>
      </c>
      <c r="I172" s="116">
        <v>84.0</v>
      </c>
      <c r="J172" s="120">
        <f>IFNA(VLOOKUP(D172,'L3'!$1:$2060,2,False),0)</f>
        <v>72</v>
      </c>
      <c r="K172" s="120">
        <f>VLOOKUP(D172,'L4'!$1:$2059,2,FALSE)</f>
        <v>70</v>
      </c>
      <c r="L172" s="121">
        <f>VLOOKUP(D172,'A1 RETEST 5 DEC'!$1:$2096,2,FALSE)</f>
        <v>50</v>
      </c>
      <c r="M172" s="121">
        <f>VLOOKUP(D172,'A2 RETEST 4 DEC'!$1:$2096,2,FALSE)</f>
        <v>18</v>
      </c>
      <c r="N172" s="122">
        <v>50.0</v>
      </c>
      <c r="O172" s="121"/>
      <c r="P172" s="123">
        <f>IFNA(VLOOKUP(D172,'S1'!$1:$1325,2,False),0)</f>
        <v>50</v>
      </c>
      <c r="Q172" s="123">
        <f>IFNA(vlookup(D172,'S2'!A168:B1370,2,False),0)</f>
        <v>50</v>
      </c>
      <c r="R172" s="123">
        <f>ifna(vlookup(D172,'S3'!$1:$1311,2,False),0)</f>
        <v>83</v>
      </c>
      <c r="S172" s="123"/>
      <c r="T172" s="124">
        <v>13.0</v>
      </c>
      <c r="U172" s="125">
        <v>21.0</v>
      </c>
      <c r="V172" s="125">
        <v>84.0</v>
      </c>
      <c r="W172" s="125">
        <v>48.0</v>
      </c>
      <c r="X172" s="125">
        <v>78.0</v>
      </c>
      <c r="Y172" s="125"/>
      <c r="Z172" s="126"/>
      <c r="AA172" s="127">
        <v>10.0</v>
      </c>
      <c r="AB172" s="26">
        <v>97.0</v>
      </c>
      <c r="AC172" s="135">
        <v>34.5</v>
      </c>
      <c r="AD172" s="129">
        <v>68.0</v>
      </c>
      <c r="AE172" s="130">
        <v>70.0</v>
      </c>
      <c r="AF172" s="129"/>
      <c r="AG172" s="129">
        <v>70.0</v>
      </c>
      <c r="AH172" s="129"/>
      <c r="AI172" s="131"/>
      <c r="AJ172" s="131"/>
      <c r="AK172" s="132">
        <f t="shared" si="1"/>
        <v>4</v>
      </c>
      <c r="AL172" s="132">
        <f t="shared" si="2"/>
        <v>1</v>
      </c>
      <c r="AM172" s="133">
        <f t="shared" si="3"/>
        <v>2</v>
      </c>
      <c r="AN172" s="132" t="str">
        <f t="shared" si="4"/>
        <v>3.5</v>
      </c>
      <c r="AO172" s="132">
        <f t="shared" si="5"/>
        <v>3</v>
      </c>
      <c r="AP172" s="88"/>
      <c r="AQ172" s="88"/>
    </row>
    <row r="173">
      <c r="A173" s="114">
        <v>167.0</v>
      </c>
      <c r="B173" s="137" t="s">
        <v>2096</v>
      </c>
      <c r="C173" s="137" t="s">
        <v>2634</v>
      </c>
      <c r="D173" s="116" t="str">
        <f>VLOOKUP(B173,USN!$1:$1088,2,FALSE)</f>
        <v>1CR23CS175</v>
      </c>
      <c r="E173" s="138">
        <v>7.353279201E9</v>
      </c>
      <c r="F173" s="117" t="s">
        <v>2461</v>
      </c>
      <c r="G173" s="118"/>
      <c r="H173" s="119">
        <v>79.0</v>
      </c>
      <c r="I173" s="116">
        <v>77.0</v>
      </c>
      <c r="J173" s="120">
        <f>IFNA(VLOOKUP(D173,'L3'!$1:$2060,2,False),0)</f>
        <v>70</v>
      </c>
      <c r="K173" s="120">
        <f>VLOOKUP(D173,'L4'!$1:$2059,2,FALSE)</f>
        <v>70</v>
      </c>
      <c r="L173" s="121">
        <f>VLOOKUP(D173,'A1 RETEST 5 DEC'!$1:$2096,2,FALSE)</f>
        <v>27</v>
      </c>
      <c r="M173" s="121">
        <f>VLOOKUP(D173,'A2 RETEST 4 DEC'!$1:$2096,2,FALSE)</f>
        <v>50</v>
      </c>
      <c r="N173" s="122">
        <v>51.0</v>
      </c>
      <c r="O173" s="121"/>
      <c r="P173" s="123">
        <f>IFNA(VLOOKUP(D173,'S1'!$1:$1325,2,False),0)</f>
        <v>71</v>
      </c>
      <c r="Q173" s="123">
        <f>IFNA(vlookup(D173,'S2'!A169:B1371,2,False),0)</f>
        <v>50</v>
      </c>
      <c r="R173" s="123">
        <f>ifna(vlookup(D173,'S3'!$1:$1311,2,False),0)</f>
        <v>76</v>
      </c>
      <c r="S173" s="123"/>
      <c r="T173" s="124">
        <v>21.0</v>
      </c>
      <c r="U173" s="125">
        <v>15.0</v>
      </c>
      <c r="V173" s="125"/>
      <c r="W173" s="125">
        <v>36.0</v>
      </c>
      <c r="X173" s="125">
        <v>84.0</v>
      </c>
      <c r="Y173" s="125"/>
      <c r="Z173" s="126"/>
      <c r="AA173" s="127">
        <v>30.0</v>
      </c>
      <c r="AB173" s="26">
        <v>81.25</v>
      </c>
      <c r="AC173" s="135">
        <v>80.0</v>
      </c>
      <c r="AD173" s="129">
        <v>76.0</v>
      </c>
      <c r="AE173" s="129">
        <v>70.0</v>
      </c>
      <c r="AF173" s="129"/>
      <c r="AG173" s="129">
        <v>58.0</v>
      </c>
      <c r="AH173" s="129"/>
      <c r="AI173" s="131"/>
      <c r="AJ173" s="131"/>
      <c r="AK173" s="132">
        <f t="shared" si="1"/>
        <v>4</v>
      </c>
      <c r="AL173" s="132">
        <f t="shared" si="2"/>
        <v>0</v>
      </c>
      <c r="AM173" s="133">
        <f t="shared" si="3"/>
        <v>2</v>
      </c>
      <c r="AN173" s="132" t="str">
        <f t="shared" si="4"/>
        <v>3.5</v>
      </c>
      <c r="AO173" s="132">
        <f t="shared" si="5"/>
        <v>3</v>
      </c>
      <c r="AP173" s="88"/>
      <c r="AQ173" s="88"/>
    </row>
    <row r="174">
      <c r="A174" s="114">
        <v>168.0</v>
      </c>
      <c r="B174" s="115" t="s">
        <v>2026</v>
      </c>
      <c r="C174" s="115" t="s">
        <v>2635</v>
      </c>
      <c r="D174" s="116" t="str">
        <f>VLOOKUP(B174,USN!$1:$1088,2,FALSE)</f>
        <v>1CR23CS176</v>
      </c>
      <c r="E174" s="116">
        <v>8.861417608E9</v>
      </c>
      <c r="F174" s="117" t="s">
        <v>2461</v>
      </c>
      <c r="G174" s="118"/>
      <c r="H174" s="119">
        <v>88.0</v>
      </c>
      <c r="I174" s="116">
        <v>90.0</v>
      </c>
      <c r="J174" s="120">
        <f>IFNA(VLOOKUP(D174,'L3'!$1:$2060,2,False),0)</f>
        <v>74</v>
      </c>
      <c r="K174" s="120">
        <f>VLOOKUP(D174,'L4'!$1:$2059,2,FALSE)</f>
        <v>82</v>
      </c>
      <c r="L174" s="121">
        <f>VLOOKUP(D174,'A1 RETEST 5 DEC'!$1:$2096,2,FALSE)</f>
        <v>62</v>
      </c>
      <c r="M174" s="121">
        <f>VLOOKUP(D174,'A2 RETEST 4 DEC'!$1:$2096,2,FALSE)</f>
        <v>50</v>
      </c>
      <c r="N174" s="122">
        <v>53.0</v>
      </c>
      <c r="O174" s="121"/>
      <c r="P174" s="123">
        <f>IFNA(VLOOKUP(D174,'S1'!$1:$1325,2,False),0)</f>
        <v>79</v>
      </c>
      <c r="Q174" s="123">
        <f>IFNA(vlookup(D174,'S2'!A170:B1372,2,False),0)</f>
        <v>71</v>
      </c>
      <c r="R174" s="123">
        <f>ifna(vlookup(D174,'S3'!$1:$1311,2,False),0)</f>
        <v>95</v>
      </c>
      <c r="S174" s="123"/>
      <c r="T174" s="124">
        <v>14.0</v>
      </c>
      <c r="U174" s="125">
        <v>17.0</v>
      </c>
      <c r="V174" s="125">
        <v>80.0</v>
      </c>
      <c r="W174" s="125">
        <v>44.0</v>
      </c>
      <c r="X174" s="125">
        <v>78.0</v>
      </c>
      <c r="Y174" s="125"/>
      <c r="Z174" s="126"/>
      <c r="AA174" s="127">
        <v>56.0</v>
      </c>
      <c r="AB174" s="26">
        <v>100.0</v>
      </c>
      <c r="AC174" s="135">
        <v>98.0</v>
      </c>
      <c r="AD174" s="129">
        <v>100.0</v>
      </c>
      <c r="AE174" s="130">
        <v>92.0</v>
      </c>
      <c r="AF174" s="129"/>
      <c r="AG174" s="129">
        <v>77.0</v>
      </c>
      <c r="AH174" s="129"/>
      <c r="AI174" s="131"/>
      <c r="AJ174" s="131"/>
      <c r="AK174" s="132">
        <f t="shared" si="1"/>
        <v>4</v>
      </c>
      <c r="AL174" s="132">
        <f t="shared" si="2"/>
        <v>3</v>
      </c>
      <c r="AM174" s="133">
        <f t="shared" si="3"/>
        <v>2</v>
      </c>
      <c r="AN174" s="132" t="str">
        <f t="shared" si="4"/>
        <v>3.5</v>
      </c>
      <c r="AO174" s="132">
        <f t="shared" si="5"/>
        <v>3</v>
      </c>
      <c r="AP174" s="88"/>
      <c r="AQ174" s="88"/>
    </row>
    <row r="175">
      <c r="A175" s="114">
        <v>169.0</v>
      </c>
      <c r="B175" s="138" t="s">
        <v>2039</v>
      </c>
      <c r="C175" s="137" t="s">
        <v>2636</v>
      </c>
      <c r="D175" s="116" t="str">
        <f>VLOOKUP(B175,USN!$1:$1088,2,FALSE)</f>
        <v>1CR23CS177</v>
      </c>
      <c r="E175" s="138">
        <v>9.060585751E9</v>
      </c>
      <c r="F175" s="117" t="s">
        <v>2461</v>
      </c>
      <c r="G175" s="118"/>
      <c r="H175" s="119">
        <v>82.0</v>
      </c>
      <c r="I175" s="116">
        <v>87.0</v>
      </c>
      <c r="J175" s="120">
        <f>IFNA(VLOOKUP(D175,'L3'!$1:$2060,2,False),0)</f>
        <v>79</v>
      </c>
      <c r="K175" s="120">
        <f>VLOOKUP(D175,'L4'!$1:$2059,2,FALSE)</f>
        <v>77</v>
      </c>
      <c r="L175" s="121">
        <f>VLOOKUP(D175,'A1 RETEST 5 DEC'!$1:$2096,2,FALSE)</f>
        <v>54</v>
      </c>
      <c r="M175" s="121">
        <f>VLOOKUP(D175,'A2 RETEST 4 DEC'!$1:$2096,2,FALSE)</f>
        <v>50</v>
      </c>
      <c r="N175" s="122">
        <v>59.0</v>
      </c>
      <c r="O175" s="121"/>
      <c r="P175" s="123">
        <f>IFNA(VLOOKUP(D175,'S1'!$1:$1325,2,False),0)</f>
        <v>72</v>
      </c>
      <c r="Q175" s="123">
        <f>IFNA(vlookup(D175,'S2'!A171:B1373,2,False),0)</f>
        <v>63</v>
      </c>
      <c r="R175" s="123">
        <f>ifna(vlookup(D175,'S3'!$1:$1311,2,False),0)</f>
        <v>85</v>
      </c>
      <c r="S175" s="123"/>
      <c r="T175" s="124">
        <v>11.0</v>
      </c>
      <c r="U175" s="125">
        <v>22.0</v>
      </c>
      <c r="V175" s="125"/>
      <c r="W175" s="125">
        <v>56.0</v>
      </c>
      <c r="X175" s="125">
        <v>86.0</v>
      </c>
      <c r="Y175" s="125"/>
      <c r="Z175" s="126"/>
      <c r="AA175" s="127">
        <v>52.0</v>
      </c>
      <c r="AB175" s="26">
        <v>100.0</v>
      </c>
      <c r="AC175" s="135">
        <v>100.0</v>
      </c>
      <c r="AD175" s="129">
        <v>100.0</v>
      </c>
      <c r="AE175" s="130">
        <v>81.0</v>
      </c>
      <c r="AF175" s="129"/>
      <c r="AG175" s="129">
        <v>70.0</v>
      </c>
      <c r="AH175" s="129"/>
      <c r="AI175" s="131"/>
      <c r="AJ175" s="131"/>
      <c r="AK175" s="132">
        <f t="shared" si="1"/>
        <v>4</v>
      </c>
      <c r="AL175" s="132">
        <f t="shared" si="2"/>
        <v>3</v>
      </c>
      <c r="AM175" s="133">
        <f t="shared" si="3"/>
        <v>3</v>
      </c>
      <c r="AN175" s="132" t="str">
        <f t="shared" si="4"/>
        <v>3.5</v>
      </c>
      <c r="AO175" s="132">
        <f t="shared" si="5"/>
        <v>3</v>
      </c>
      <c r="AP175" s="88"/>
      <c r="AQ175" s="88"/>
    </row>
    <row r="176">
      <c r="A176" s="114">
        <v>170.0</v>
      </c>
      <c r="B176" s="138" t="s">
        <v>2040</v>
      </c>
      <c r="C176" s="137" t="s">
        <v>2637</v>
      </c>
      <c r="D176" s="116" t="str">
        <f>VLOOKUP(B176,USN!$1:$1088,2,FALSE)</f>
        <v>1CR23CS178</v>
      </c>
      <c r="E176" s="138">
        <v>8.88459696E9</v>
      </c>
      <c r="F176" s="117" t="s">
        <v>2461</v>
      </c>
      <c r="G176" s="118"/>
      <c r="H176" s="119">
        <v>86.0</v>
      </c>
      <c r="I176" s="116">
        <v>97.0</v>
      </c>
      <c r="J176" s="120">
        <f>IFNA(VLOOKUP(D176,'L3'!$1:$2060,2,False),0)</f>
        <v>81</v>
      </c>
      <c r="K176" s="120">
        <f>VLOOKUP(D176,'L4'!$1:$2059,2,FALSE)</f>
        <v>80</v>
      </c>
      <c r="L176" s="121">
        <f>VLOOKUP(D176,'A1 RETEST 5 DEC'!$1:$2096,2,FALSE)</f>
        <v>75</v>
      </c>
      <c r="M176" s="121">
        <f>VLOOKUP(D176,'A2 RETEST 4 DEC'!$1:$2096,2,FALSE)</f>
        <v>50</v>
      </c>
      <c r="N176" s="122">
        <v>52.0</v>
      </c>
      <c r="O176" s="121"/>
      <c r="P176" s="123">
        <f>IFNA(VLOOKUP(D176,'S1'!$1:$1325,2,False),0)</f>
        <v>78</v>
      </c>
      <c r="Q176" s="123">
        <f>IFNA(vlookup(D176,'S2'!A172:B1374,2,False),0)</f>
        <v>84</v>
      </c>
      <c r="R176" s="123">
        <f>ifna(vlookup(D176,'S3'!$1:$1311,2,False),0)</f>
        <v>89</v>
      </c>
      <c r="S176" s="123"/>
      <c r="T176" s="124">
        <v>18.0</v>
      </c>
      <c r="U176" s="125">
        <v>19.0</v>
      </c>
      <c r="V176" s="125">
        <v>64.0</v>
      </c>
      <c r="W176" s="125">
        <v>48.0</v>
      </c>
      <c r="X176" s="125">
        <v>70.0</v>
      </c>
      <c r="Y176" s="125"/>
      <c r="Z176" s="126"/>
      <c r="AA176" s="127">
        <v>79.6</v>
      </c>
      <c r="AB176" s="26">
        <v>100.0</v>
      </c>
      <c r="AC176" s="135">
        <v>98.5</v>
      </c>
      <c r="AD176" s="129">
        <v>74.0</v>
      </c>
      <c r="AE176" s="130">
        <v>80.0</v>
      </c>
      <c r="AF176" s="129"/>
      <c r="AG176" s="129">
        <v>86.0</v>
      </c>
      <c r="AH176" s="129"/>
      <c r="AI176" s="131"/>
      <c r="AJ176" s="131"/>
      <c r="AK176" s="132">
        <f t="shared" si="1"/>
        <v>4</v>
      </c>
      <c r="AL176" s="132">
        <f t="shared" si="2"/>
        <v>3</v>
      </c>
      <c r="AM176" s="133">
        <f t="shared" si="3"/>
        <v>2</v>
      </c>
      <c r="AN176" s="132" t="str">
        <f t="shared" si="4"/>
        <v>3.5</v>
      </c>
      <c r="AO176" s="132">
        <f t="shared" si="5"/>
        <v>3</v>
      </c>
      <c r="AP176" s="88"/>
      <c r="AQ176" s="88"/>
    </row>
    <row r="177">
      <c r="A177" s="114">
        <v>171.0</v>
      </c>
      <c r="B177" s="138" t="s">
        <v>2041</v>
      </c>
      <c r="C177" s="137" t="s">
        <v>2638</v>
      </c>
      <c r="D177" s="116" t="str">
        <f>VLOOKUP(B177,USN!$1:$1088,2,FALSE)</f>
        <v>1CR23CS179</v>
      </c>
      <c r="E177" s="138">
        <v>7.807324267E9</v>
      </c>
      <c r="F177" s="117" t="s">
        <v>2461</v>
      </c>
      <c r="G177" s="118"/>
      <c r="H177" s="119">
        <v>90.0</v>
      </c>
      <c r="I177" s="116">
        <v>91.0</v>
      </c>
      <c r="J177" s="120">
        <f>IFNA(VLOOKUP(D177,'L3'!$1:$2060,2,False),0)</f>
        <v>84</v>
      </c>
      <c r="K177" s="120">
        <f>VLOOKUP(D177,'L4'!$1:$2059,2,FALSE)</f>
        <v>84</v>
      </c>
      <c r="L177" s="121">
        <f>VLOOKUP(D177,'A1 RETEST 5 DEC'!$1:$2096,2,FALSE)</f>
        <v>64</v>
      </c>
      <c r="M177" s="121">
        <f>VLOOKUP(D177,'A2 RETEST 4 DEC'!$1:$2096,2,FALSE)</f>
        <v>50</v>
      </c>
      <c r="N177" s="122">
        <v>61.0</v>
      </c>
      <c r="O177" s="121"/>
      <c r="P177" s="123">
        <f>IFNA(VLOOKUP(D177,'S1'!$1:$1325,2,False),0)</f>
        <v>73</v>
      </c>
      <c r="Q177" s="123">
        <f>IFNA(vlookup(D177,'S2'!A173:B1375,2,False),0)</f>
        <v>63</v>
      </c>
      <c r="R177" s="123">
        <f>ifna(vlookup(D177,'S3'!$1:$1311,2,False),0)</f>
        <v>84</v>
      </c>
      <c r="S177" s="123"/>
      <c r="T177" s="124">
        <v>15.0</v>
      </c>
      <c r="U177" s="125">
        <v>20.0</v>
      </c>
      <c r="V177" s="125"/>
      <c r="W177" s="125">
        <v>60.0</v>
      </c>
      <c r="X177" s="125">
        <v>80.0</v>
      </c>
      <c r="Y177" s="125"/>
      <c r="Z177" s="126"/>
      <c r="AA177" s="127">
        <v>58.0</v>
      </c>
      <c r="AB177" s="26">
        <v>97.0</v>
      </c>
      <c r="AC177" s="135">
        <v>81.5</v>
      </c>
      <c r="AD177" s="129">
        <v>100.0</v>
      </c>
      <c r="AE177" s="129">
        <v>93.0</v>
      </c>
      <c r="AF177" s="129"/>
      <c r="AG177" s="129">
        <v>72.0</v>
      </c>
      <c r="AH177" s="129"/>
      <c r="AI177" s="131"/>
      <c r="AJ177" s="131"/>
      <c r="AK177" s="132">
        <f t="shared" si="1"/>
        <v>4</v>
      </c>
      <c r="AL177" s="132">
        <f t="shared" si="2"/>
        <v>3</v>
      </c>
      <c r="AM177" s="133">
        <f t="shared" si="3"/>
        <v>3</v>
      </c>
      <c r="AN177" s="132" t="str">
        <f t="shared" si="4"/>
        <v>3.5</v>
      </c>
      <c r="AO177" s="132">
        <f t="shared" si="5"/>
        <v>3</v>
      </c>
      <c r="AP177" s="88"/>
      <c r="AQ177" s="88"/>
    </row>
    <row r="178">
      <c r="A178" s="114">
        <v>172.0</v>
      </c>
      <c r="B178" s="138" t="s">
        <v>2042</v>
      </c>
      <c r="C178" s="137" t="s">
        <v>2639</v>
      </c>
      <c r="D178" s="116" t="str">
        <f>VLOOKUP(B178,USN!$1:$1088,2,FALSE)</f>
        <v>1CR23CS180</v>
      </c>
      <c r="E178" s="138">
        <v>9.148161345E9</v>
      </c>
      <c r="F178" s="117" t="s">
        <v>2461</v>
      </c>
      <c r="G178" s="118"/>
      <c r="H178" s="119">
        <v>88.0</v>
      </c>
      <c r="I178" s="116">
        <v>93.0</v>
      </c>
      <c r="J178" s="120">
        <f>IFNA(VLOOKUP(D178,'L3'!$1:$2060,2,False),0)</f>
        <v>78</v>
      </c>
      <c r="K178" s="120">
        <f>VLOOKUP(D178,'L4'!$1:$2059,2,FALSE)</f>
        <v>70</v>
      </c>
      <c r="L178" s="121">
        <f>VLOOKUP(D178,'A1 RETEST 5 DEC'!$1:$2096,2,FALSE)</f>
        <v>75</v>
      </c>
      <c r="M178" s="121">
        <f>VLOOKUP(D178,'A2 RETEST 4 DEC'!$1:$2096,2,FALSE)</f>
        <v>50</v>
      </c>
      <c r="N178" s="122">
        <v>52.0</v>
      </c>
      <c r="O178" s="121"/>
      <c r="P178" s="123">
        <f>IFNA(VLOOKUP(D178,'S1'!$1:$1325,2,False),0)</f>
        <v>78</v>
      </c>
      <c r="Q178" s="123">
        <f>IFNA(vlookup(D178,'S2'!A174:B1376,2,False),0)</f>
        <v>54</v>
      </c>
      <c r="R178" s="123">
        <f>ifna(vlookup(D178,'S3'!$1:$1311,2,False),0)</f>
        <v>83</v>
      </c>
      <c r="S178" s="123"/>
      <c r="T178" s="124">
        <v>18.0</v>
      </c>
      <c r="U178" s="125">
        <v>22.0</v>
      </c>
      <c r="V178" s="125">
        <v>65.0</v>
      </c>
      <c r="W178" s="125">
        <v>52.0</v>
      </c>
      <c r="X178" s="125">
        <v>84.0</v>
      </c>
      <c r="Y178" s="125"/>
      <c r="Z178" s="126"/>
      <c r="AA178" s="127">
        <v>100.0</v>
      </c>
      <c r="AB178" s="26">
        <v>93.0</v>
      </c>
      <c r="AC178" s="135">
        <v>60.0</v>
      </c>
      <c r="AD178" s="129">
        <v>75.0</v>
      </c>
      <c r="AE178" s="130">
        <v>70.0</v>
      </c>
      <c r="AF178" s="129"/>
      <c r="AG178" s="129">
        <v>70.0</v>
      </c>
      <c r="AH178" s="129"/>
      <c r="AI178" s="131"/>
      <c r="AJ178" s="131"/>
      <c r="AK178" s="132">
        <f t="shared" si="1"/>
        <v>4</v>
      </c>
      <c r="AL178" s="132">
        <f t="shared" si="2"/>
        <v>3</v>
      </c>
      <c r="AM178" s="133">
        <f t="shared" si="3"/>
        <v>3</v>
      </c>
      <c r="AN178" s="132" t="str">
        <f t="shared" si="4"/>
        <v>3.5</v>
      </c>
      <c r="AO178" s="132">
        <f t="shared" si="5"/>
        <v>3</v>
      </c>
      <c r="AP178" s="88"/>
      <c r="AQ178" s="88"/>
    </row>
    <row r="179">
      <c r="A179" s="114">
        <v>173.0</v>
      </c>
      <c r="B179" s="137" t="s">
        <v>2097</v>
      </c>
      <c r="C179" s="137" t="s">
        <v>2640</v>
      </c>
      <c r="D179" s="116" t="str">
        <f>VLOOKUP(B179,USN!$1:$1088,2,FALSE)</f>
        <v>1CR23CS181</v>
      </c>
      <c r="E179" s="138">
        <v>7.975151683E9</v>
      </c>
      <c r="F179" s="117" t="s">
        <v>2461</v>
      </c>
      <c r="G179" s="118"/>
      <c r="H179" s="119">
        <v>78.0</v>
      </c>
      <c r="I179" s="116">
        <v>82.0</v>
      </c>
      <c r="J179" s="120">
        <f>IFNA(VLOOKUP(D179,'L3'!$1:$2060,2,False),0)</f>
        <v>76</v>
      </c>
      <c r="K179" s="120">
        <f>VLOOKUP(D179,'L4'!$1:$2059,2,FALSE)</f>
        <v>70</v>
      </c>
      <c r="L179" s="121">
        <f>VLOOKUP(D179,'A1 RETEST 5 DEC'!$1:$2096,2,FALSE)</f>
        <v>60</v>
      </c>
      <c r="M179" s="121">
        <f>VLOOKUP(D179,'A2 RETEST 4 DEC'!$1:$2096,2,FALSE)</f>
        <v>50</v>
      </c>
      <c r="N179" s="122">
        <v>50.0</v>
      </c>
      <c r="O179" s="121"/>
      <c r="P179" s="123">
        <f>IFNA(VLOOKUP(D179,'S1'!$1:$1325,2,False),0)</f>
        <v>80</v>
      </c>
      <c r="Q179" s="123">
        <f>IFNA(vlookup(D179,'S2'!A175:B1377,2,False),0)</f>
        <v>58</v>
      </c>
      <c r="R179" s="123">
        <f>ifna(vlookup(D179,'S3'!$1:$1311,2,False),0)</f>
        <v>84</v>
      </c>
      <c r="S179" s="123"/>
      <c r="T179" s="124">
        <v>22.0</v>
      </c>
      <c r="U179" s="125">
        <v>19.0</v>
      </c>
      <c r="V179" s="125">
        <v>76.0</v>
      </c>
      <c r="W179" s="125">
        <v>44.0</v>
      </c>
      <c r="X179" s="125">
        <v>86.0</v>
      </c>
      <c r="Y179" s="125"/>
      <c r="Z179" s="126"/>
      <c r="AA179" s="127">
        <v>80.0</v>
      </c>
      <c r="AB179" s="26">
        <v>88.75</v>
      </c>
      <c r="AC179" s="135">
        <v>90.0</v>
      </c>
      <c r="AD179" s="129">
        <v>100.0</v>
      </c>
      <c r="AE179" s="129">
        <v>70.0</v>
      </c>
      <c r="AF179" s="129"/>
      <c r="AG179" s="129">
        <v>71.0</v>
      </c>
      <c r="AH179" s="129"/>
      <c r="AI179" s="131"/>
      <c r="AJ179" s="131"/>
      <c r="AK179" s="132">
        <f t="shared" si="1"/>
        <v>4</v>
      </c>
      <c r="AL179" s="132">
        <f t="shared" si="2"/>
        <v>3</v>
      </c>
      <c r="AM179" s="133">
        <f t="shared" si="3"/>
        <v>2</v>
      </c>
      <c r="AN179" s="132" t="str">
        <f t="shared" si="4"/>
        <v>3.5</v>
      </c>
      <c r="AO179" s="132">
        <f t="shared" si="5"/>
        <v>3</v>
      </c>
      <c r="AP179" s="88"/>
      <c r="AQ179" s="88"/>
    </row>
    <row r="180">
      <c r="A180" s="114">
        <v>174.0</v>
      </c>
      <c r="B180" s="138" t="s">
        <v>2043</v>
      </c>
      <c r="C180" s="137" t="s">
        <v>2641</v>
      </c>
      <c r="D180" s="116" t="str">
        <f>VLOOKUP(B180,USN!$1:$1088,2,FALSE)</f>
        <v>1CR23CS182</v>
      </c>
      <c r="E180" s="138">
        <v>7.4116077E9</v>
      </c>
      <c r="F180" s="117" t="s">
        <v>2461</v>
      </c>
      <c r="G180" s="118"/>
      <c r="H180" s="119">
        <v>77.0</v>
      </c>
      <c r="I180" s="116">
        <v>83.0</v>
      </c>
      <c r="J180" s="120">
        <f>IFNA(VLOOKUP(D180,'L3'!$1:$2060,2,False),0)</f>
        <v>72</v>
      </c>
      <c r="K180" s="120">
        <f>VLOOKUP(D180,'L4'!$1:$2059,2,FALSE)</f>
        <v>79</v>
      </c>
      <c r="L180" s="121">
        <f>VLOOKUP(D180,'A1 RETEST 5 DEC'!$1:$2096,2,FALSE)</f>
        <v>50</v>
      </c>
      <c r="M180" s="121">
        <f>VLOOKUP(D180,'A2 RETEST 4 DEC'!$1:$2096,2,FALSE)</f>
        <v>23</v>
      </c>
      <c r="N180" s="122">
        <v>29.0</v>
      </c>
      <c r="O180" s="121"/>
      <c r="P180" s="123">
        <f>IFNA(VLOOKUP(D180,'S1'!$1:$1325,2,False),0)</f>
        <v>77</v>
      </c>
      <c r="Q180" s="123">
        <f>IFNA(vlookup(D180,'S2'!A176:B1378,2,False),0)</f>
        <v>54</v>
      </c>
      <c r="R180" s="123">
        <f>ifna(vlookup(D180,'S3'!$1:$1311,2,False),0)</f>
        <v>86</v>
      </c>
      <c r="S180" s="123"/>
      <c r="T180" s="124">
        <v>19.0</v>
      </c>
      <c r="U180" s="125">
        <v>22.0</v>
      </c>
      <c r="V180" s="125">
        <v>60.0</v>
      </c>
      <c r="W180" s="125">
        <v>32.0</v>
      </c>
      <c r="X180" s="125">
        <v>70.0</v>
      </c>
      <c r="Y180" s="125"/>
      <c r="Z180" s="126"/>
      <c r="AA180" s="127">
        <v>96.0</v>
      </c>
      <c r="AB180" s="26">
        <v>78.0</v>
      </c>
      <c r="AC180" s="135">
        <v>48.5</v>
      </c>
      <c r="AD180" s="129">
        <v>60.0</v>
      </c>
      <c r="AE180" s="130">
        <v>70.0</v>
      </c>
      <c r="AF180" s="129"/>
      <c r="AG180" s="129">
        <v>57.0</v>
      </c>
      <c r="AH180" s="129"/>
      <c r="AI180" s="131"/>
      <c r="AJ180" s="131"/>
      <c r="AK180" s="132">
        <f t="shared" si="1"/>
        <v>4</v>
      </c>
      <c r="AL180" s="132">
        <f t="shared" si="2"/>
        <v>1</v>
      </c>
      <c r="AM180" s="133">
        <f t="shared" si="3"/>
        <v>2</v>
      </c>
      <c r="AN180" s="132" t="str">
        <f t="shared" si="4"/>
        <v>3.5</v>
      </c>
      <c r="AO180" s="132">
        <f t="shared" si="5"/>
        <v>3</v>
      </c>
      <c r="AP180" s="88"/>
      <c r="AQ180" s="88"/>
    </row>
    <row r="181">
      <c r="A181" s="114">
        <v>175.0</v>
      </c>
      <c r="B181" s="137" t="s">
        <v>2089</v>
      </c>
      <c r="C181" s="137" t="s">
        <v>2642</v>
      </c>
      <c r="D181" s="116" t="str">
        <f>VLOOKUP(B181,USN!$1:$1088,2,FALSE)</f>
        <v>1CR23CS183</v>
      </c>
      <c r="E181" s="138">
        <v>9.740779219E9</v>
      </c>
      <c r="F181" s="117" t="s">
        <v>2461</v>
      </c>
      <c r="G181" s="118"/>
      <c r="H181" s="119">
        <v>80.0</v>
      </c>
      <c r="I181" s="116">
        <v>74.0</v>
      </c>
      <c r="J181" s="120">
        <f>IFNA(VLOOKUP(D181,'L3'!$1:$2060,2,False),0)</f>
        <v>70</v>
      </c>
      <c r="K181" s="120">
        <f>VLOOKUP(D181,'L4'!$1:$2059,2,FALSE)</f>
        <v>80</v>
      </c>
      <c r="L181" s="121">
        <f>VLOOKUP(D181,'A1 RETEST 5 DEC'!$1:$2096,2,FALSE)</f>
        <v>52</v>
      </c>
      <c r="M181" s="121">
        <f>VLOOKUP(D181,'A2 RETEST 4 DEC'!$1:$2096,2,FALSE)</f>
        <v>50</v>
      </c>
      <c r="N181" s="122">
        <v>50.0</v>
      </c>
      <c r="O181" s="121"/>
      <c r="P181" s="123">
        <f>IFNA(VLOOKUP(D181,'S1'!$1:$1325,2,False),0)</f>
        <v>50</v>
      </c>
      <c r="Q181" s="123">
        <f>IFNA(vlookup(D181,'S2'!A177:B1379,2,False),0)</f>
        <v>50</v>
      </c>
      <c r="R181" s="123">
        <f>ifna(vlookup(D181,'S3'!$1:$1311,2,False),0)</f>
        <v>76</v>
      </c>
      <c r="S181" s="123"/>
      <c r="T181" s="124">
        <v>13.0</v>
      </c>
      <c r="U181" s="125">
        <v>22.0</v>
      </c>
      <c r="V181" s="125">
        <v>68.0</v>
      </c>
      <c r="W181" s="125">
        <v>36.0</v>
      </c>
      <c r="X181" s="125">
        <v>72.0</v>
      </c>
      <c r="Y181" s="125"/>
      <c r="Z181" s="126"/>
      <c r="AA181" s="127">
        <v>100.0</v>
      </c>
      <c r="AB181" s="26">
        <v>88.75</v>
      </c>
      <c r="AC181" s="135">
        <v>73.0</v>
      </c>
      <c r="AD181" s="129">
        <v>60.0</v>
      </c>
      <c r="AE181" s="129">
        <v>91.0</v>
      </c>
      <c r="AF181" s="129"/>
      <c r="AG181" s="129">
        <v>36.0</v>
      </c>
      <c r="AH181" s="129"/>
      <c r="AI181" s="131"/>
      <c r="AJ181" s="131"/>
      <c r="AK181" s="132">
        <f t="shared" si="1"/>
        <v>4</v>
      </c>
      <c r="AL181" s="132">
        <f t="shared" si="2"/>
        <v>3</v>
      </c>
      <c r="AM181" s="133">
        <f t="shared" si="3"/>
        <v>2</v>
      </c>
      <c r="AN181" s="132" t="str">
        <f t="shared" si="4"/>
        <v>3.5</v>
      </c>
      <c r="AO181" s="132">
        <f t="shared" si="5"/>
        <v>3</v>
      </c>
      <c r="AP181" s="88"/>
      <c r="AQ181" s="88"/>
    </row>
    <row r="182">
      <c r="A182" s="114">
        <v>176.0</v>
      </c>
      <c r="B182" s="137" t="s">
        <v>2084</v>
      </c>
      <c r="C182" s="137" t="s">
        <v>2643</v>
      </c>
      <c r="D182" s="116" t="str">
        <f>VLOOKUP(B182,USN!$1:$1088,2,FALSE)</f>
        <v>1CR23CS184</v>
      </c>
      <c r="E182" s="138">
        <v>9.480608248E9</v>
      </c>
      <c r="F182" s="117" t="s">
        <v>2461</v>
      </c>
      <c r="G182" s="118"/>
      <c r="H182" s="119">
        <v>83.0</v>
      </c>
      <c r="I182" s="116">
        <v>83.0</v>
      </c>
      <c r="J182" s="120">
        <f>IFNA(VLOOKUP(D182,'L3'!$1:$2060,2,False),0)</f>
        <v>71</v>
      </c>
      <c r="K182" s="120">
        <f>VLOOKUP(D182,'L4'!$1:$2059,2,FALSE)</f>
        <v>70</v>
      </c>
      <c r="L182" s="121">
        <f>VLOOKUP(D182,'A1 RETEST 5 DEC'!$1:$2096,2,FALSE)</f>
        <v>75</v>
      </c>
      <c r="M182" s="121">
        <f>VLOOKUP(D182,'A2 RETEST 4 DEC'!$1:$2096,2,FALSE)</f>
        <v>50</v>
      </c>
      <c r="N182" s="122">
        <v>50.0</v>
      </c>
      <c r="O182" s="121"/>
      <c r="P182" s="123">
        <f>IFNA(VLOOKUP(D182,'S1'!$1:$1325,2,False),0)</f>
        <v>77</v>
      </c>
      <c r="Q182" s="123">
        <f>IFNA(vlookup(D182,'S2'!A178:B1380,2,False),0)</f>
        <v>50</v>
      </c>
      <c r="R182" s="123">
        <f>ifna(vlookup(D182,'S3'!$1:$1311,2,False),0)</f>
        <v>76</v>
      </c>
      <c r="S182" s="123"/>
      <c r="T182" s="124">
        <v>14.0</v>
      </c>
      <c r="U182" s="125">
        <v>18.0</v>
      </c>
      <c r="V182" s="125">
        <v>84.0</v>
      </c>
      <c r="W182" s="125">
        <v>40.0</v>
      </c>
      <c r="X182" s="125">
        <v>80.0</v>
      </c>
      <c r="Y182" s="125"/>
      <c r="Z182" s="126"/>
      <c r="AA182" s="127">
        <v>36.0</v>
      </c>
      <c r="AB182" s="26">
        <v>80.0</v>
      </c>
      <c r="AC182" s="135">
        <v>82.5</v>
      </c>
      <c r="AD182" s="129">
        <v>60.0</v>
      </c>
      <c r="AE182" s="130">
        <v>80.0</v>
      </c>
      <c r="AF182" s="129"/>
      <c r="AG182" s="129">
        <v>72.0</v>
      </c>
      <c r="AH182" s="129"/>
      <c r="AI182" s="131"/>
      <c r="AJ182" s="131"/>
      <c r="AK182" s="132">
        <f t="shared" si="1"/>
        <v>4</v>
      </c>
      <c r="AL182" s="132">
        <f t="shared" si="2"/>
        <v>3</v>
      </c>
      <c r="AM182" s="133">
        <f t="shared" si="3"/>
        <v>2</v>
      </c>
      <c r="AN182" s="132" t="str">
        <f t="shared" si="4"/>
        <v>3.5</v>
      </c>
      <c r="AO182" s="132">
        <f t="shared" si="5"/>
        <v>3</v>
      </c>
      <c r="AP182" s="88"/>
      <c r="AQ182" s="88"/>
    </row>
    <row r="183">
      <c r="A183" s="114">
        <v>177.0</v>
      </c>
      <c r="B183" s="137" t="s">
        <v>2072</v>
      </c>
      <c r="C183" s="137" t="s">
        <v>2644</v>
      </c>
      <c r="D183" s="116" t="str">
        <f>VLOOKUP(B183,USN!$1:$1088,2,FALSE)</f>
        <v>1CR23CS185</v>
      </c>
      <c r="E183" s="138">
        <v>8.709219101E9</v>
      </c>
      <c r="F183" s="117" t="s">
        <v>2461</v>
      </c>
      <c r="G183" s="118"/>
      <c r="H183" s="119">
        <v>76.0</v>
      </c>
      <c r="I183" s="116">
        <v>82.0</v>
      </c>
      <c r="J183" s="120">
        <f>IFNA(VLOOKUP(D183,'L3'!$1:$2060,2,False),0)</f>
        <v>70</v>
      </c>
      <c r="K183" s="120">
        <f>VLOOKUP(D183,'L4'!$1:$2059,2,FALSE)</f>
        <v>75</v>
      </c>
      <c r="L183" s="121">
        <f>VLOOKUP(D183,'A1 RETEST 5 DEC'!$1:$2096,2,FALSE)</f>
        <v>34</v>
      </c>
      <c r="M183" s="121">
        <f>VLOOKUP(D183,'A2 RETEST 4 DEC'!$1:$2096,2,FALSE)</f>
        <v>50</v>
      </c>
      <c r="N183" s="122">
        <v>50.0</v>
      </c>
      <c r="O183" s="121"/>
      <c r="P183" s="123">
        <f>IFNA(VLOOKUP(D183,'S1'!$1:$1325,2,False),0)</f>
        <v>81</v>
      </c>
      <c r="Q183" s="123">
        <f>IFNA(vlookup(D183,'S2'!A179:B1381,2,False),0)</f>
        <v>73</v>
      </c>
      <c r="R183" s="123">
        <f>ifna(vlookup(D183,'S3'!$1:$1311,2,False),0)</f>
        <v>79</v>
      </c>
      <c r="S183" s="123"/>
      <c r="T183" s="124">
        <v>21.0</v>
      </c>
      <c r="U183" s="125">
        <v>22.0</v>
      </c>
      <c r="V183" s="125">
        <v>52.0</v>
      </c>
      <c r="W183" s="125">
        <v>48.0</v>
      </c>
      <c r="X183" s="125">
        <v>84.0</v>
      </c>
      <c r="Y183" s="125"/>
      <c r="Z183" s="126"/>
      <c r="AA183" s="127">
        <v>66.0</v>
      </c>
      <c r="AB183" s="26">
        <v>71.25</v>
      </c>
      <c r="AC183" s="135">
        <v>78.5</v>
      </c>
      <c r="AD183" s="129">
        <v>100.0</v>
      </c>
      <c r="AE183" s="130">
        <v>74.0</v>
      </c>
      <c r="AF183" s="129"/>
      <c r="AG183" s="129">
        <v>72.0</v>
      </c>
      <c r="AH183" s="129"/>
      <c r="AI183" s="131"/>
      <c r="AJ183" s="131"/>
      <c r="AK183" s="132">
        <f t="shared" si="1"/>
        <v>4</v>
      </c>
      <c r="AL183" s="132">
        <f t="shared" si="2"/>
        <v>0</v>
      </c>
      <c r="AM183" s="133">
        <f t="shared" si="3"/>
        <v>2</v>
      </c>
      <c r="AN183" s="132" t="str">
        <f t="shared" si="4"/>
        <v>3.5</v>
      </c>
      <c r="AO183" s="132">
        <f t="shared" si="5"/>
        <v>3</v>
      </c>
      <c r="AP183" s="88"/>
      <c r="AQ183" s="88"/>
    </row>
    <row r="184">
      <c r="A184" s="114">
        <v>178.0</v>
      </c>
      <c r="B184" s="138" t="s">
        <v>2044</v>
      </c>
      <c r="C184" s="137" t="s">
        <v>2645</v>
      </c>
      <c r="D184" s="116" t="str">
        <f>VLOOKUP(B184,USN!$1:$1088,2,FALSE)</f>
        <v>1CR23CS186</v>
      </c>
      <c r="E184" s="138">
        <v>7.348908229E9</v>
      </c>
      <c r="F184" s="117" t="s">
        <v>2461</v>
      </c>
      <c r="G184" s="118"/>
      <c r="H184" s="119">
        <v>84.0</v>
      </c>
      <c r="I184" s="116">
        <v>87.0</v>
      </c>
      <c r="J184" s="120">
        <f>IFNA(VLOOKUP(D184,'L3'!$1:$2060,2,False),0)</f>
        <v>73</v>
      </c>
      <c r="K184" s="120">
        <f>VLOOKUP(D184,'L4'!$1:$2059,2,FALSE)</f>
        <v>77</v>
      </c>
      <c r="L184" s="121">
        <f>VLOOKUP(D184,'A1 RETEST 5 DEC'!$1:$2096,2,FALSE)</f>
        <v>58</v>
      </c>
      <c r="M184" s="121">
        <f>VLOOKUP(D184,'A2 RETEST 4 DEC'!$1:$2096,2,FALSE)</f>
        <v>50</v>
      </c>
      <c r="N184" s="122">
        <v>50.0</v>
      </c>
      <c r="O184" s="121"/>
      <c r="P184" s="123">
        <f>IFNA(VLOOKUP(D184,'S1'!$1:$1325,2,False),0)</f>
        <v>75</v>
      </c>
      <c r="Q184" s="123">
        <f>IFNA(vlookup(D184,'S2'!A180:B1382,2,False),0)</f>
        <v>61</v>
      </c>
      <c r="R184" s="123">
        <f>ifna(vlookup(D184,'S3'!$1:$1311,2,False),0)</f>
        <v>86</v>
      </c>
      <c r="S184" s="123"/>
      <c r="T184" s="124">
        <v>20.0</v>
      </c>
      <c r="U184" s="125">
        <v>21.0</v>
      </c>
      <c r="V184" s="125">
        <v>60.0</v>
      </c>
      <c r="W184" s="125">
        <v>44.0</v>
      </c>
      <c r="X184" s="125">
        <v>82.0</v>
      </c>
      <c r="Y184" s="125"/>
      <c r="Z184" s="126"/>
      <c r="AA184" s="127">
        <v>62.0</v>
      </c>
      <c r="AB184" s="26">
        <v>98.0</v>
      </c>
      <c r="AC184" s="135">
        <v>78.5</v>
      </c>
      <c r="AD184" s="129">
        <v>100.0</v>
      </c>
      <c r="AE184" s="130">
        <v>70.0</v>
      </c>
      <c r="AF184" s="129"/>
      <c r="AG184" s="129">
        <v>51.0</v>
      </c>
      <c r="AH184" s="129"/>
      <c r="AI184" s="131"/>
      <c r="AJ184" s="131"/>
      <c r="AK184" s="132">
        <f t="shared" si="1"/>
        <v>4</v>
      </c>
      <c r="AL184" s="132">
        <f t="shared" si="2"/>
        <v>3</v>
      </c>
      <c r="AM184" s="133">
        <f t="shared" si="3"/>
        <v>2</v>
      </c>
      <c r="AN184" s="132" t="str">
        <f t="shared" si="4"/>
        <v>3.5</v>
      </c>
      <c r="AO184" s="132">
        <f t="shared" si="5"/>
        <v>3</v>
      </c>
      <c r="AP184" s="88"/>
      <c r="AQ184" s="88"/>
    </row>
    <row r="185">
      <c r="A185" s="114">
        <v>179.0</v>
      </c>
      <c r="B185" s="138" t="s">
        <v>2045</v>
      </c>
      <c r="C185" s="137" t="s">
        <v>2646</v>
      </c>
      <c r="D185" s="116" t="str">
        <f>VLOOKUP(B185,USN!$1:$1088,2,FALSE)</f>
        <v>1CR23CS187</v>
      </c>
      <c r="E185" s="138">
        <v>9.304771664E9</v>
      </c>
      <c r="F185" s="117" t="s">
        <v>2461</v>
      </c>
      <c r="G185" s="118"/>
      <c r="H185" s="119">
        <v>76.0</v>
      </c>
      <c r="I185" s="116">
        <v>74.0</v>
      </c>
      <c r="J185" s="120">
        <f>IFNA(VLOOKUP(D185,'L3'!$1:$2060,2,False),0)</f>
        <v>73</v>
      </c>
      <c r="K185" s="120">
        <f>VLOOKUP(D185,'L4'!$1:$2059,2,FALSE)</f>
        <v>75</v>
      </c>
      <c r="L185" s="121">
        <f>VLOOKUP(D185,'A1 RETEST 5 DEC'!$1:$2096,2,FALSE)</f>
        <v>63</v>
      </c>
      <c r="M185" s="121">
        <f>VLOOKUP(D185,'A2 RETEST 4 DEC'!$1:$2096,2,FALSE)</f>
        <v>18</v>
      </c>
      <c r="N185" s="122">
        <v>60.0</v>
      </c>
      <c r="O185" s="121"/>
      <c r="P185" s="123">
        <f>IFNA(VLOOKUP(D185,'S1'!$1:$1325,2,False),0)</f>
        <v>71</v>
      </c>
      <c r="Q185" s="123">
        <f>IFNA(vlookup(D185,'S2'!A181:B1383,2,False),0)</f>
        <v>84</v>
      </c>
      <c r="R185" s="123">
        <f>ifna(vlookup(D185,'S3'!$1:$1311,2,False),0)</f>
        <v>88</v>
      </c>
      <c r="S185" s="123"/>
      <c r="T185" s="124">
        <v>13.0</v>
      </c>
      <c r="U185" s="125">
        <v>19.0</v>
      </c>
      <c r="V185" s="125">
        <v>60.0</v>
      </c>
      <c r="W185" s="125">
        <v>60.0</v>
      </c>
      <c r="X185" s="125">
        <v>62.0</v>
      </c>
      <c r="Y185" s="125"/>
      <c r="Z185" s="126"/>
      <c r="AA185" s="127">
        <v>26.0</v>
      </c>
      <c r="AB185" s="26">
        <v>97.0</v>
      </c>
      <c r="AC185" s="135">
        <v>72.5</v>
      </c>
      <c r="AD185" s="129">
        <v>80.0</v>
      </c>
      <c r="AE185" s="130">
        <v>80.0</v>
      </c>
      <c r="AF185" s="129"/>
      <c r="AG185" s="129">
        <v>72.0</v>
      </c>
      <c r="AH185" s="129"/>
      <c r="AI185" s="131"/>
      <c r="AJ185" s="131"/>
      <c r="AK185" s="132">
        <f t="shared" si="1"/>
        <v>4</v>
      </c>
      <c r="AL185" s="132">
        <f t="shared" si="2"/>
        <v>1</v>
      </c>
      <c r="AM185" s="133">
        <f t="shared" si="3"/>
        <v>3</v>
      </c>
      <c r="AN185" s="132" t="str">
        <f t="shared" si="4"/>
        <v>3.5</v>
      </c>
      <c r="AO185" s="132">
        <f t="shared" si="5"/>
        <v>3</v>
      </c>
      <c r="AP185" s="88"/>
      <c r="AQ185" s="88"/>
    </row>
    <row r="186">
      <c r="A186" s="114">
        <v>180.0</v>
      </c>
      <c r="B186" s="138" t="s">
        <v>2046</v>
      </c>
      <c r="C186" s="137" t="s">
        <v>2647</v>
      </c>
      <c r="D186" s="116" t="str">
        <f>VLOOKUP(B186,USN!$1:$1088,2,FALSE)</f>
        <v>1CR23CS188</v>
      </c>
      <c r="E186" s="138">
        <v>8.792031613E9</v>
      </c>
      <c r="F186" s="117" t="s">
        <v>2461</v>
      </c>
      <c r="G186" s="118"/>
      <c r="H186" s="119">
        <v>88.0</v>
      </c>
      <c r="I186" s="116">
        <v>88.0</v>
      </c>
      <c r="J186" s="120">
        <f>IFNA(VLOOKUP(D186,'L3'!$1:$2060,2,False),0)</f>
        <v>77</v>
      </c>
      <c r="K186" s="120">
        <f>VLOOKUP(D186,'L4'!$1:$2059,2,FALSE)</f>
        <v>71</v>
      </c>
      <c r="L186" s="121">
        <f>VLOOKUP(D186,'A1 RETEST 5 DEC'!$1:$2096,2,FALSE)</f>
        <v>56</v>
      </c>
      <c r="M186" s="121">
        <f>VLOOKUP(D186,'A2 RETEST 4 DEC'!$1:$2096,2,FALSE)</f>
        <v>50</v>
      </c>
      <c r="N186" s="122">
        <v>50.0</v>
      </c>
      <c r="O186" s="121"/>
      <c r="P186" s="123">
        <f>IFNA(VLOOKUP(D186,'S1'!$1:$1325,2,False),0)</f>
        <v>70</v>
      </c>
      <c r="Q186" s="123">
        <f>IFNA(vlookup(D186,'S2'!A182:B1384,2,False),0)</f>
        <v>65</v>
      </c>
      <c r="R186" s="123">
        <f>ifna(vlookup(D186,'S3'!$1:$1311,2,False),0)</f>
        <v>76</v>
      </c>
      <c r="S186" s="123"/>
      <c r="T186" s="124">
        <v>21.0</v>
      </c>
      <c r="U186" s="125">
        <v>19.0</v>
      </c>
      <c r="V186" s="125">
        <v>48.0</v>
      </c>
      <c r="W186" s="125">
        <v>36.0</v>
      </c>
      <c r="X186" s="125">
        <v>58.0</v>
      </c>
      <c r="Y186" s="125"/>
      <c r="Z186" s="126"/>
      <c r="AA186" s="127">
        <v>100.0</v>
      </c>
      <c r="AB186" s="26">
        <v>87.0</v>
      </c>
      <c r="AC186" s="135">
        <v>75.0</v>
      </c>
      <c r="AD186" s="129">
        <v>73.0</v>
      </c>
      <c r="AE186" s="130">
        <v>42.0</v>
      </c>
      <c r="AF186" s="129"/>
      <c r="AG186" s="129">
        <v>33.0</v>
      </c>
      <c r="AH186" s="129"/>
      <c r="AI186" s="131"/>
      <c r="AJ186" s="131"/>
      <c r="AK186" s="132">
        <f t="shared" si="1"/>
        <v>4</v>
      </c>
      <c r="AL186" s="132">
        <f t="shared" si="2"/>
        <v>3</v>
      </c>
      <c r="AM186" s="133">
        <f t="shared" si="3"/>
        <v>2</v>
      </c>
      <c r="AN186" s="132" t="str">
        <f t="shared" si="4"/>
        <v>3</v>
      </c>
      <c r="AO186" s="132">
        <f t="shared" si="5"/>
        <v>3</v>
      </c>
      <c r="AP186" s="88"/>
      <c r="AQ186" s="88"/>
    </row>
    <row r="187">
      <c r="A187" s="114">
        <v>181.0</v>
      </c>
      <c r="B187" s="138" t="s">
        <v>2047</v>
      </c>
      <c r="C187" s="137" t="s">
        <v>2648</v>
      </c>
      <c r="D187" s="116" t="str">
        <f>VLOOKUP(B187,USN!$1:$1088,2,FALSE)</f>
        <v>1CR23CS189</v>
      </c>
      <c r="E187" s="138">
        <v>6.362733096E9</v>
      </c>
      <c r="F187" s="117" t="s">
        <v>2461</v>
      </c>
      <c r="G187" s="118"/>
      <c r="H187" s="119">
        <v>86.0</v>
      </c>
      <c r="I187" s="116">
        <v>89.0</v>
      </c>
      <c r="J187" s="120">
        <f>IFNA(VLOOKUP(D187,'L3'!$1:$2060,2,False),0)</f>
        <v>90</v>
      </c>
      <c r="K187" s="120">
        <f>VLOOKUP(D187,'L4'!$1:$2059,2,FALSE)</f>
        <v>78</v>
      </c>
      <c r="L187" s="121">
        <f>VLOOKUP(D187,'A1 RETEST 5 DEC'!$1:$2096,2,FALSE)</f>
        <v>65</v>
      </c>
      <c r="M187" s="121">
        <f>VLOOKUP(D187,'A2 RETEST 4 DEC'!$1:$2096,2,FALSE)</f>
        <v>53</v>
      </c>
      <c r="N187" s="122">
        <v>50.0</v>
      </c>
      <c r="O187" s="121"/>
      <c r="P187" s="123">
        <f>IFNA(VLOOKUP(D187,'S1'!$1:$1325,2,False),0)</f>
        <v>78</v>
      </c>
      <c r="Q187" s="123">
        <f>IFNA(vlookup(D187,'S2'!A183:B1385,2,False),0)</f>
        <v>65</v>
      </c>
      <c r="R187" s="123">
        <f>ifna(vlookup(D187,'S3'!$1:$1311,2,False),0)</f>
        <v>85</v>
      </c>
      <c r="S187" s="123"/>
      <c r="T187" s="124">
        <v>24.0</v>
      </c>
      <c r="U187" s="125">
        <v>22.0</v>
      </c>
      <c r="V187" s="125">
        <v>56.0</v>
      </c>
      <c r="W187" s="125">
        <v>56.0</v>
      </c>
      <c r="X187" s="125">
        <v>70.0</v>
      </c>
      <c r="Y187" s="125"/>
      <c r="Z187" s="126"/>
      <c r="AA187" s="127">
        <v>70.0</v>
      </c>
      <c r="AB187" s="26">
        <v>100.0</v>
      </c>
      <c r="AC187" s="135">
        <v>66.0</v>
      </c>
      <c r="AD187" s="129">
        <v>100.0</v>
      </c>
      <c r="AE187" s="130">
        <v>86.0</v>
      </c>
      <c r="AF187" s="129"/>
      <c r="AG187" s="129">
        <v>73.0</v>
      </c>
      <c r="AH187" s="129"/>
      <c r="AI187" s="131"/>
      <c r="AJ187" s="131"/>
      <c r="AK187" s="132">
        <f t="shared" si="1"/>
        <v>4</v>
      </c>
      <c r="AL187" s="132">
        <f t="shared" si="2"/>
        <v>3</v>
      </c>
      <c r="AM187" s="133">
        <f t="shared" si="3"/>
        <v>3</v>
      </c>
      <c r="AN187" s="132" t="str">
        <f t="shared" si="4"/>
        <v>3.5</v>
      </c>
      <c r="AO187" s="132">
        <f t="shared" si="5"/>
        <v>3</v>
      </c>
      <c r="AP187" s="88"/>
      <c r="AQ187" s="88"/>
    </row>
    <row r="188">
      <c r="A188" s="114">
        <v>182.0</v>
      </c>
      <c r="B188" s="138" t="s">
        <v>2048</v>
      </c>
      <c r="C188" s="137" t="s">
        <v>2649</v>
      </c>
      <c r="D188" s="116" t="str">
        <f>VLOOKUP(B188,USN!$1:$1088,2,FALSE)</f>
        <v>1CR23CS190</v>
      </c>
      <c r="E188" s="138">
        <v>9.10879515E9</v>
      </c>
      <c r="F188" s="117" t="s">
        <v>2461</v>
      </c>
      <c r="G188" s="118"/>
      <c r="H188" s="119">
        <v>87.0</v>
      </c>
      <c r="I188" s="116">
        <v>87.0</v>
      </c>
      <c r="J188" s="120">
        <f>IFNA(VLOOKUP(D188,'L3'!$1:$2060,2,False),0)</f>
        <v>77</v>
      </c>
      <c r="K188" s="120">
        <f>VLOOKUP(D188,'L4'!$1:$2059,2,FALSE)</f>
        <v>82</v>
      </c>
      <c r="L188" s="121">
        <f>VLOOKUP(D188,'A1 RETEST 5 DEC'!$1:$2096,2,FALSE)</f>
        <v>80</v>
      </c>
      <c r="M188" s="121">
        <f>VLOOKUP(D188,'A2 RETEST 4 DEC'!$1:$2096,2,FALSE)</f>
        <v>61</v>
      </c>
      <c r="N188" s="122">
        <v>50.0</v>
      </c>
      <c r="O188" s="121"/>
      <c r="P188" s="123">
        <f>IFNA(VLOOKUP(D188,'S1'!$1:$1325,2,False),0)</f>
        <v>78</v>
      </c>
      <c r="Q188" s="123">
        <f>IFNA(vlookup(D188,'S2'!A184:B1386,2,False),0)</f>
        <v>65</v>
      </c>
      <c r="R188" s="123">
        <f>ifna(vlookup(D188,'S3'!$1:$1311,2,False),0)</f>
        <v>71</v>
      </c>
      <c r="S188" s="123"/>
      <c r="T188" s="124">
        <v>17.0</v>
      </c>
      <c r="U188" s="125">
        <v>21.0</v>
      </c>
      <c r="V188" s="125">
        <v>84.0</v>
      </c>
      <c r="W188" s="125">
        <v>68.0</v>
      </c>
      <c r="X188" s="125">
        <v>86.0</v>
      </c>
      <c r="Y188" s="125"/>
      <c r="Z188" s="126"/>
      <c r="AA188" s="127">
        <v>88.0</v>
      </c>
      <c r="AB188" s="26">
        <v>50.0</v>
      </c>
      <c r="AC188" s="135">
        <v>98.0</v>
      </c>
      <c r="AD188" s="129">
        <v>100.0</v>
      </c>
      <c r="AE188" s="130">
        <v>84.0</v>
      </c>
      <c r="AF188" s="129"/>
      <c r="AG188" s="129">
        <v>72.0</v>
      </c>
      <c r="AH188" s="129"/>
      <c r="AI188" s="131"/>
      <c r="AJ188" s="131"/>
      <c r="AK188" s="132">
        <f t="shared" si="1"/>
        <v>4</v>
      </c>
      <c r="AL188" s="132">
        <f t="shared" si="2"/>
        <v>3</v>
      </c>
      <c r="AM188" s="133">
        <f t="shared" si="3"/>
        <v>3</v>
      </c>
      <c r="AN188" s="132" t="str">
        <f t="shared" si="4"/>
        <v>3.5</v>
      </c>
      <c r="AO188" s="132">
        <f t="shared" si="5"/>
        <v>3</v>
      </c>
      <c r="AP188" s="88"/>
      <c r="AQ188" s="88"/>
    </row>
    <row r="189">
      <c r="A189" s="114">
        <v>183.0</v>
      </c>
      <c r="B189" s="138" t="s">
        <v>2049</v>
      </c>
      <c r="C189" s="137" t="s">
        <v>2650</v>
      </c>
      <c r="D189" s="116" t="str">
        <f>VLOOKUP(B189,USN!$1:$1088,2,FALSE)</f>
        <v>1CR23CS191</v>
      </c>
      <c r="E189" s="138">
        <v>9.108937548E9</v>
      </c>
      <c r="F189" s="117" t="s">
        <v>2461</v>
      </c>
      <c r="G189" s="118"/>
      <c r="H189" s="119">
        <v>84.0</v>
      </c>
      <c r="I189" s="116">
        <v>87.0</v>
      </c>
      <c r="J189" s="120">
        <f>IFNA(VLOOKUP(D189,'L3'!$1:$2060,2,False),0)</f>
        <v>60</v>
      </c>
      <c r="K189" s="120">
        <f>VLOOKUP(D189,'L4'!$1:$2059,2,FALSE)</f>
        <v>58</v>
      </c>
      <c r="L189" s="121">
        <f>VLOOKUP(D189,'A1 RETEST 5 DEC'!$1:$2096,2,FALSE)</f>
        <v>32</v>
      </c>
      <c r="M189" s="121">
        <f>VLOOKUP(D189,'A2 RETEST 4 DEC'!$1:$2096,2,FALSE)</f>
        <v>4</v>
      </c>
      <c r="N189" s="122">
        <v>0.0</v>
      </c>
      <c r="O189" s="121"/>
      <c r="P189" s="123">
        <f>IFNA(VLOOKUP(D189,'S1'!$1:$1325,2,False),0)</f>
        <v>0</v>
      </c>
      <c r="Q189" s="123">
        <f>IFNA(vlookup(D189,'S2'!A185:B1387,2,False),0)</f>
        <v>0</v>
      </c>
      <c r="R189" s="123">
        <f>ifna(vlookup(D189,'S3'!$1:$1311,2,False),0)</f>
        <v>38</v>
      </c>
      <c r="S189" s="123"/>
      <c r="T189" s="124">
        <v>20.0</v>
      </c>
      <c r="U189" s="125">
        <v>20.0</v>
      </c>
      <c r="V189" s="125">
        <v>76.0</v>
      </c>
      <c r="W189" s="125">
        <v>28.0</v>
      </c>
      <c r="X189" s="125"/>
      <c r="Y189" s="125"/>
      <c r="Z189" s="126"/>
      <c r="AA189" s="127">
        <v>72.0</v>
      </c>
      <c r="AB189" s="26">
        <v>29.0</v>
      </c>
      <c r="AC189" s="135">
        <v>0.0</v>
      </c>
      <c r="AD189" s="129">
        <v>0.0</v>
      </c>
      <c r="AE189" s="130">
        <v>10.0</v>
      </c>
      <c r="AF189" s="129"/>
      <c r="AG189" s="129">
        <v>5.0</v>
      </c>
      <c r="AH189" s="129"/>
      <c r="AI189" s="131"/>
      <c r="AJ189" s="131"/>
      <c r="AK189" s="132">
        <f t="shared" si="1"/>
        <v>2</v>
      </c>
      <c r="AL189" s="132">
        <f t="shared" si="2"/>
        <v>0</v>
      </c>
      <c r="AM189" s="133">
        <f t="shared" si="3"/>
        <v>2</v>
      </c>
      <c r="AN189" s="132" t="str">
        <f t="shared" si="4"/>
        <v>0</v>
      </c>
      <c r="AO189" s="132">
        <f t="shared" si="5"/>
        <v>0</v>
      </c>
      <c r="AP189" s="88"/>
      <c r="AQ189" s="88"/>
    </row>
    <row r="190">
      <c r="A190" s="114">
        <v>184.0</v>
      </c>
      <c r="B190" s="137" t="s">
        <v>2079</v>
      </c>
      <c r="C190" s="137" t="s">
        <v>2651</v>
      </c>
      <c r="D190" s="116" t="str">
        <f>VLOOKUP(B190,USN!$1:$1088,2,FALSE)</f>
        <v>1CR23CS192</v>
      </c>
      <c r="E190" s="138">
        <v>9.008351126E9</v>
      </c>
      <c r="F190" s="117" t="s">
        <v>2461</v>
      </c>
      <c r="G190" s="118"/>
      <c r="H190" s="119">
        <v>79.0</v>
      </c>
      <c r="I190" s="116">
        <v>79.0</v>
      </c>
      <c r="J190" s="120">
        <f>IFNA(VLOOKUP(D190,'L3'!$1:$2060,2,False),0)</f>
        <v>20</v>
      </c>
      <c r="K190" s="120">
        <f>VLOOKUP(D190,'L4'!$1:$2059,2,FALSE)</f>
        <v>6</v>
      </c>
      <c r="L190" s="121">
        <f>VLOOKUP(D190,'A1 RETEST 5 DEC'!$1:$2096,2,FALSE)</f>
        <v>44</v>
      </c>
      <c r="M190" s="121">
        <f>VLOOKUP(D190,'A2 RETEST 4 DEC'!$1:$2096,2,FALSE)</f>
        <v>0</v>
      </c>
      <c r="N190" s="122">
        <v>0.0</v>
      </c>
      <c r="O190" s="121"/>
      <c r="P190" s="123">
        <f>IFNA(VLOOKUP(D190,'S1'!$1:$1325,2,False),0)</f>
        <v>0</v>
      </c>
      <c r="Q190" s="123">
        <f>IFNA(vlookup(D190,'S2'!A186:B1388,2,False),0)</f>
        <v>0</v>
      </c>
      <c r="R190" s="123">
        <f>ifna(vlookup(D190,'S3'!$1:$1311,2,False),0)</f>
        <v>0</v>
      </c>
      <c r="S190" s="123"/>
      <c r="T190" s="124">
        <v>19.0</v>
      </c>
      <c r="U190" s="125">
        <v>22.0</v>
      </c>
      <c r="V190" s="125"/>
      <c r="W190" s="125"/>
      <c r="X190" s="125"/>
      <c r="Y190" s="125"/>
      <c r="Z190" s="126"/>
      <c r="AA190" s="127">
        <v>34.0</v>
      </c>
      <c r="AB190" s="26">
        <v>30.0</v>
      </c>
      <c r="AC190" s="135">
        <v>0.0</v>
      </c>
      <c r="AD190" s="129">
        <v>0.0</v>
      </c>
      <c r="AE190" s="130">
        <v>10.0</v>
      </c>
      <c r="AF190" s="129"/>
      <c r="AG190" s="129">
        <v>0.0</v>
      </c>
      <c r="AH190" s="129"/>
      <c r="AI190" s="131"/>
      <c r="AJ190" s="131"/>
      <c r="AK190" s="132">
        <f t="shared" si="1"/>
        <v>2</v>
      </c>
      <c r="AL190" s="132">
        <f t="shared" si="2"/>
        <v>0</v>
      </c>
      <c r="AM190" s="133">
        <f t="shared" si="3"/>
        <v>2</v>
      </c>
      <c r="AN190" s="132" t="str">
        <f t="shared" si="4"/>
        <v>0</v>
      </c>
      <c r="AO190" s="132">
        <f t="shared" si="5"/>
        <v>0</v>
      </c>
      <c r="AP190" s="88"/>
      <c r="AQ190" s="88"/>
    </row>
    <row r="191">
      <c r="A191" s="114">
        <v>185.0</v>
      </c>
      <c r="B191" s="138" t="s">
        <v>2050</v>
      </c>
      <c r="C191" s="137" t="s">
        <v>2652</v>
      </c>
      <c r="D191" s="116" t="str">
        <f>VLOOKUP(B191,USN!$1:$1088,2,FALSE)</f>
        <v>1CR23CS193</v>
      </c>
      <c r="E191" s="138">
        <v>7.892750611E9</v>
      </c>
      <c r="F191" s="117" t="s">
        <v>2461</v>
      </c>
      <c r="G191" s="118"/>
      <c r="H191" s="119">
        <v>70.0</v>
      </c>
      <c r="I191" s="116">
        <v>67.0</v>
      </c>
      <c r="J191" s="120">
        <f>IFNA(VLOOKUP(D191,'L3'!$1:$2060,2,False),0)</f>
        <v>44</v>
      </c>
      <c r="K191" s="120">
        <f>VLOOKUP(D191,'L4'!$1:$2059,2,FALSE)</f>
        <v>39</v>
      </c>
      <c r="L191" s="121">
        <f>VLOOKUP(D191,'A1 RETEST 5 DEC'!$1:$2096,2,FALSE)</f>
        <v>1</v>
      </c>
      <c r="M191" s="121">
        <f>VLOOKUP(D191,'A2 RETEST 4 DEC'!$1:$2096,2,FALSE)</f>
        <v>10</v>
      </c>
      <c r="N191" s="122">
        <v>0.0</v>
      </c>
      <c r="O191" s="121"/>
      <c r="P191" s="123">
        <f>IFNA(VLOOKUP(D191,'S1'!$1:$1325,2,False),0)</f>
        <v>0</v>
      </c>
      <c r="Q191" s="123">
        <f>IFNA(vlookup(D191,'S2'!A187:B1389,2,False),0)</f>
        <v>0</v>
      </c>
      <c r="R191" s="123">
        <f>ifna(vlookup(D191,'S3'!$1:$1311,2,False),0)</f>
        <v>0</v>
      </c>
      <c r="S191" s="123"/>
      <c r="T191" s="124">
        <v>16.0</v>
      </c>
      <c r="U191" s="125">
        <v>22.0</v>
      </c>
      <c r="V191" s="125">
        <v>72.0</v>
      </c>
      <c r="W191" s="125"/>
      <c r="X191" s="125"/>
      <c r="Y191" s="125"/>
      <c r="Z191" s="126"/>
      <c r="AA191" s="127">
        <v>0.0</v>
      </c>
      <c r="AB191" s="26">
        <v>0.0</v>
      </c>
      <c r="AC191" s="135">
        <v>0.0</v>
      </c>
      <c r="AD191" s="129">
        <v>0.0</v>
      </c>
      <c r="AE191" s="130">
        <v>10.0</v>
      </c>
      <c r="AF191" s="129"/>
      <c r="AG191" s="129">
        <v>0.0</v>
      </c>
      <c r="AH191" s="129"/>
      <c r="AI191" s="131"/>
      <c r="AJ191" s="131"/>
      <c r="AK191" s="132">
        <f t="shared" si="1"/>
        <v>2</v>
      </c>
      <c r="AL191" s="132">
        <f t="shared" si="2"/>
        <v>0</v>
      </c>
      <c r="AM191" s="133">
        <f t="shared" si="3"/>
        <v>2</v>
      </c>
      <c r="AN191" s="132" t="str">
        <f t="shared" si="4"/>
        <v>0</v>
      </c>
      <c r="AO191" s="132">
        <f t="shared" si="5"/>
        <v>0</v>
      </c>
      <c r="AP191" s="88"/>
      <c r="AQ191" s="88"/>
    </row>
    <row r="192">
      <c r="A192" s="114">
        <v>186.0</v>
      </c>
      <c r="B192" s="115" t="s">
        <v>2004</v>
      </c>
      <c r="C192" s="115" t="s">
        <v>2653</v>
      </c>
      <c r="D192" s="116" t="str">
        <f>VLOOKUP(B192,USN!$1:$1088,2,FALSE)</f>
        <v>1CR23CS194</v>
      </c>
      <c r="E192" s="116">
        <v>9.157558275E9</v>
      </c>
      <c r="F192" s="117" t="s">
        <v>2461</v>
      </c>
      <c r="G192" s="118"/>
      <c r="H192" s="119">
        <v>77.0</v>
      </c>
      <c r="I192" s="116">
        <v>75.0</v>
      </c>
      <c r="J192" s="120">
        <f>IFNA(VLOOKUP(D192,'L3'!$1:$2060,2,False),0)</f>
        <v>9</v>
      </c>
      <c r="K192" s="120">
        <f>VLOOKUP(D192,'L4'!$1:$2059,2,FALSE)</f>
        <v>6</v>
      </c>
      <c r="L192" s="121">
        <f>VLOOKUP(D192,'A1 RETEST 5 DEC'!$1:$2096,2,FALSE)</f>
        <v>21</v>
      </c>
      <c r="M192" s="121">
        <f>VLOOKUP(D192,'A2 RETEST 4 DEC'!$1:$2096,2,FALSE)</f>
        <v>0</v>
      </c>
      <c r="N192" s="122">
        <v>0.0</v>
      </c>
      <c r="O192" s="121"/>
      <c r="P192" s="123">
        <f>IFNA(VLOOKUP(D192,'S1'!$1:$1325,2,False),0)</f>
        <v>0</v>
      </c>
      <c r="Q192" s="123">
        <f>IFNA(vlookup(D192,'S2'!A188:B1390,2,False),0)</f>
        <v>0</v>
      </c>
      <c r="R192" s="123">
        <f>ifna(vlookup(D192,'S3'!$1:$1311,2,False),0)</f>
        <v>0</v>
      </c>
      <c r="S192" s="123"/>
      <c r="T192" s="124">
        <v>20.0</v>
      </c>
      <c r="U192" s="125">
        <v>15.0</v>
      </c>
      <c r="V192" s="125">
        <v>76.0</v>
      </c>
      <c r="W192" s="125"/>
      <c r="X192" s="125"/>
      <c r="Y192" s="125"/>
      <c r="Z192" s="126"/>
      <c r="AA192" s="127">
        <v>34.0</v>
      </c>
      <c r="AB192" s="26">
        <v>18.0</v>
      </c>
      <c r="AC192" s="135">
        <v>0.0</v>
      </c>
      <c r="AD192" s="129">
        <v>0.0</v>
      </c>
      <c r="AE192" s="130">
        <v>10.0</v>
      </c>
      <c r="AF192" s="129"/>
      <c r="AG192" s="129">
        <v>0.0</v>
      </c>
      <c r="AH192" s="129"/>
      <c r="AI192" s="131"/>
      <c r="AJ192" s="131"/>
      <c r="AK192" s="132">
        <f t="shared" si="1"/>
        <v>2</v>
      </c>
      <c r="AL192" s="132">
        <f t="shared" si="2"/>
        <v>0</v>
      </c>
      <c r="AM192" s="133">
        <f t="shared" si="3"/>
        <v>2</v>
      </c>
      <c r="AN192" s="132" t="str">
        <f t="shared" si="4"/>
        <v>0</v>
      </c>
      <c r="AO192" s="132">
        <f t="shared" si="5"/>
        <v>0</v>
      </c>
      <c r="AP192" s="88"/>
      <c r="AQ192" s="88"/>
    </row>
    <row r="193">
      <c r="A193" s="114">
        <v>187.0</v>
      </c>
      <c r="B193" s="138" t="s">
        <v>2051</v>
      </c>
      <c r="C193" s="137" t="s">
        <v>2654</v>
      </c>
      <c r="D193" s="116" t="str">
        <f>VLOOKUP(B193,USN!$1:$1088,2,FALSE)</f>
        <v>1CR23CS195</v>
      </c>
      <c r="E193" s="138">
        <v>9.448824725E9</v>
      </c>
      <c r="F193" s="117" t="s">
        <v>2461</v>
      </c>
      <c r="G193" s="118"/>
      <c r="H193" s="119">
        <v>82.0</v>
      </c>
      <c r="I193" s="116">
        <v>87.0</v>
      </c>
      <c r="J193" s="120">
        <f>IFNA(VLOOKUP(D193,'L3'!$1:$2060,2,False),0)</f>
        <v>71</v>
      </c>
      <c r="K193" s="120">
        <f>VLOOKUP(D193,'L4'!$1:$2059,2,FALSE)</f>
        <v>82</v>
      </c>
      <c r="L193" s="121">
        <f>VLOOKUP(D193,'A1 RETEST 5 DEC'!$1:$2096,2,FALSE)</f>
        <v>61</v>
      </c>
      <c r="M193" s="121">
        <f>VLOOKUP(D193,'A2 RETEST 4 DEC'!$1:$2096,2,FALSE)</f>
        <v>62</v>
      </c>
      <c r="N193" s="122">
        <v>50.0</v>
      </c>
      <c r="O193" s="121"/>
      <c r="P193" s="123">
        <f>IFNA(VLOOKUP(D193,'S1'!$1:$1325,2,False),0)</f>
        <v>50</v>
      </c>
      <c r="Q193" s="123">
        <f>IFNA(vlookup(D193,'S2'!A189:B1391,2,False),0)</f>
        <v>63</v>
      </c>
      <c r="R193" s="123">
        <f>ifna(vlookup(D193,'S3'!$1:$1311,2,False),0)</f>
        <v>85</v>
      </c>
      <c r="S193" s="123"/>
      <c r="T193" s="124">
        <v>18.0</v>
      </c>
      <c r="U193" s="125">
        <v>21.0</v>
      </c>
      <c r="V193" s="125">
        <v>76.0</v>
      </c>
      <c r="W193" s="125">
        <v>64.0</v>
      </c>
      <c r="X193" s="125">
        <v>86.0</v>
      </c>
      <c r="Y193" s="125"/>
      <c r="Z193" s="126"/>
      <c r="AA193" s="127">
        <v>0.0</v>
      </c>
      <c r="AB193" s="26">
        <v>100.0</v>
      </c>
      <c r="AC193" s="135">
        <v>90.5</v>
      </c>
      <c r="AD193" s="129">
        <v>68.0</v>
      </c>
      <c r="AE193" s="130">
        <v>83.0</v>
      </c>
      <c r="AF193" s="129"/>
      <c r="AG193" s="129">
        <v>25.0</v>
      </c>
      <c r="AH193" s="129"/>
      <c r="AI193" s="131"/>
      <c r="AJ193" s="131"/>
      <c r="AK193" s="132">
        <f t="shared" si="1"/>
        <v>4</v>
      </c>
      <c r="AL193" s="132">
        <f t="shared" si="2"/>
        <v>3</v>
      </c>
      <c r="AM193" s="133">
        <f t="shared" si="3"/>
        <v>3</v>
      </c>
      <c r="AN193" s="132" t="str">
        <f t="shared" si="4"/>
        <v>3.5</v>
      </c>
      <c r="AO193" s="132">
        <f t="shared" si="5"/>
        <v>3</v>
      </c>
      <c r="AP193" s="88"/>
      <c r="AQ193" s="88"/>
    </row>
    <row r="194">
      <c r="A194" s="114">
        <v>188.0</v>
      </c>
      <c r="B194" s="138" t="s">
        <v>2052</v>
      </c>
      <c r="C194" s="137" t="s">
        <v>2655</v>
      </c>
      <c r="D194" s="116" t="str">
        <f>VLOOKUP(B194,USN!$1:$1088,2,FALSE)</f>
        <v>1CR23CS196</v>
      </c>
      <c r="E194" s="138">
        <v>9.886087471E9</v>
      </c>
      <c r="F194" s="117" t="s">
        <v>2461</v>
      </c>
      <c r="G194" s="118"/>
      <c r="H194" s="119">
        <v>86.0</v>
      </c>
      <c r="I194" s="116">
        <v>90.0</v>
      </c>
      <c r="J194" s="120">
        <f>IFNA(VLOOKUP(D194,'L3'!$1:$2060,2,False),0)</f>
        <v>78</v>
      </c>
      <c r="K194" s="120">
        <f>VLOOKUP(D194,'L4'!$1:$2059,2,FALSE)</f>
        <v>70</v>
      </c>
      <c r="L194" s="121">
        <f>VLOOKUP(D194,'A1 RETEST 5 DEC'!$1:$2096,2,FALSE)</f>
        <v>59</v>
      </c>
      <c r="M194" s="121">
        <f>VLOOKUP(D194,'A2 RETEST 4 DEC'!$1:$2096,2,FALSE)</f>
        <v>50</v>
      </c>
      <c r="N194" s="122">
        <v>57.0</v>
      </c>
      <c r="O194" s="121"/>
      <c r="P194" s="123">
        <f>IFNA(VLOOKUP(D194,'S1'!$1:$1325,2,False),0)</f>
        <v>77</v>
      </c>
      <c r="Q194" s="123">
        <f>IFNA(vlookup(D194,'S2'!A190:B1392,2,False),0)</f>
        <v>50</v>
      </c>
      <c r="R194" s="123">
        <f>ifna(vlookup(D194,'S3'!$1:$1311,2,False),0)</f>
        <v>87</v>
      </c>
      <c r="S194" s="123"/>
      <c r="T194" s="124">
        <v>13.0</v>
      </c>
      <c r="U194" s="125">
        <v>22.0</v>
      </c>
      <c r="V194" s="125">
        <v>76.0</v>
      </c>
      <c r="W194" s="125">
        <v>52.0</v>
      </c>
      <c r="X194" s="125">
        <v>68.0</v>
      </c>
      <c r="Y194" s="125"/>
      <c r="Z194" s="126"/>
      <c r="AA194" s="127">
        <v>0.0</v>
      </c>
      <c r="AB194" s="26">
        <v>50.0</v>
      </c>
      <c r="AC194" s="135">
        <v>99.5</v>
      </c>
      <c r="AD194" s="129">
        <v>60.0</v>
      </c>
      <c r="AE194" s="130">
        <v>70.0</v>
      </c>
      <c r="AF194" s="129"/>
      <c r="AG194" s="129">
        <v>82.0</v>
      </c>
      <c r="AH194" s="129"/>
      <c r="AI194" s="131"/>
      <c r="AJ194" s="131"/>
      <c r="AK194" s="132">
        <f t="shared" si="1"/>
        <v>4</v>
      </c>
      <c r="AL194" s="132">
        <f t="shared" si="2"/>
        <v>3</v>
      </c>
      <c r="AM194" s="133">
        <f t="shared" si="3"/>
        <v>3</v>
      </c>
      <c r="AN194" s="132" t="str">
        <f t="shared" si="4"/>
        <v>3.5</v>
      </c>
      <c r="AO194" s="132">
        <f t="shared" si="5"/>
        <v>3</v>
      </c>
      <c r="AP194" s="88"/>
      <c r="AQ194" s="88"/>
    </row>
    <row r="195">
      <c r="A195" s="114">
        <v>189.0</v>
      </c>
      <c r="B195" s="138" t="s">
        <v>2053</v>
      </c>
      <c r="C195" s="137" t="s">
        <v>2656</v>
      </c>
      <c r="D195" s="116" t="str">
        <f>VLOOKUP(B195,USN!$1:$1088,2,FALSE)</f>
        <v>1CR23CS197</v>
      </c>
      <c r="E195" s="138">
        <v>8.660376154E9</v>
      </c>
      <c r="F195" s="117" t="s">
        <v>2461</v>
      </c>
      <c r="G195" s="118"/>
      <c r="H195" s="119">
        <v>86.0</v>
      </c>
      <c r="I195" s="116">
        <v>88.0</v>
      </c>
      <c r="J195" s="120">
        <f>IFNA(VLOOKUP(D195,'L3'!$1:$2060,2,False),0)</f>
        <v>91</v>
      </c>
      <c r="K195" s="120">
        <f>VLOOKUP(D195,'L4'!$1:$2059,2,FALSE)</f>
        <v>71</v>
      </c>
      <c r="L195" s="121">
        <f>VLOOKUP(D195,'A1 RETEST 5 DEC'!$1:$2096,2,FALSE)</f>
        <v>64</v>
      </c>
      <c r="M195" s="121">
        <f>VLOOKUP(D195,'A2 RETEST 4 DEC'!$1:$2096,2,FALSE)</f>
        <v>8</v>
      </c>
      <c r="N195" s="122">
        <v>0.0</v>
      </c>
      <c r="O195" s="121"/>
      <c r="P195" s="123">
        <f>IFNA(VLOOKUP(D195,'S1'!$1:$1325,2,False),0)</f>
        <v>79</v>
      </c>
      <c r="Q195" s="123">
        <f>IFNA(vlookup(D195,'S2'!A191:B1393,2,False),0)</f>
        <v>65</v>
      </c>
      <c r="R195" s="123">
        <f>ifna(vlookup(D195,'S3'!$1:$1311,2,False),0)</f>
        <v>0</v>
      </c>
      <c r="S195" s="123"/>
      <c r="T195" s="124">
        <v>22.0</v>
      </c>
      <c r="U195" s="125">
        <v>22.0</v>
      </c>
      <c r="V195" s="125">
        <v>76.0</v>
      </c>
      <c r="W195" s="125"/>
      <c r="X195" s="125"/>
      <c r="Y195" s="125"/>
      <c r="Z195" s="126"/>
      <c r="AA195" s="127">
        <v>54.0</v>
      </c>
      <c r="AB195" s="26">
        <v>100.0</v>
      </c>
      <c r="AC195" s="135">
        <v>91.0</v>
      </c>
      <c r="AD195" s="129">
        <v>84.0</v>
      </c>
      <c r="AE195" s="130">
        <v>10.0</v>
      </c>
      <c r="AF195" s="129"/>
      <c r="AG195" s="129">
        <v>5.0</v>
      </c>
      <c r="AH195" s="129"/>
      <c r="AI195" s="131"/>
      <c r="AJ195" s="131"/>
      <c r="AK195" s="132">
        <f t="shared" si="1"/>
        <v>4</v>
      </c>
      <c r="AL195" s="132">
        <f t="shared" si="2"/>
        <v>1</v>
      </c>
      <c r="AM195" s="133">
        <f t="shared" si="3"/>
        <v>2</v>
      </c>
      <c r="AN195" s="132" t="str">
        <f t="shared" si="4"/>
        <v>3</v>
      </c>
      <c r="AO195" s="132">
        <f t="shared" si="5"/>
        <v>2</v>
      </c>
      <c r="AP195" s="88"/>
      <c r="AQ195" s="88"/>
    </row>
    <row r="196">
      <c r="A196" s="114">
        <v>190.0</v>
      </c>
      <c r="B196" s="115" t="s">
        <v>1974</v>
      </c>
      <c r="C196" s="115" t="s">
        <v>2657</v>
      </c>
      <c r="D196" s="116" t="str">
        <f>VLOOKUP(B196,USN!$1:$1088,2,FALSE)</f>
        <v>1CR23CS198</v>
      </c>
      <c r="E196" s="116">
        <v>8.310113789E9</v>
      </c>
      <c r="F196" s="117" t="s">
        <v>2461</v>
      </c>
      <c r="G196" s="118"/>
      <c r="H196" s="119">
        <v>83.0</v>
      </c>
      <c r="I196" s="116">
        <v>86.0</v>
      </c>
      <c r="J196" s="120">
        <f>IFNA(VLOOKUP(D196,'L3'!$1:$2060,2,False),0)</f>
        <v>80</v>
      </c>
      <c r="K196" s="120">
        <f>VLOOKUP(D196,'L4'!$1:$2059,2,FALSE)</f>
        <v>70</v>
      </c>
      <c r="L196" s="121">
        <f>VLOOKUP(D196,'A1 RETEST 5 DEC'!$1:$2096,2,FALSE)</f>
        <v>64</v>
      </c>
      <c r="M196" s="121">
        <f>VLOOKUP(D196,'A2 RETEST 4 DEC'!$1:$2096,2,FALSE)</f>
        <v>18</v>
      </c>
      <c r="N196" s="122">
        <v>50.0</v>
      </c>
      <c r="O196" s="121"/>
      <c r="P196" s="123">
        <f>IFNA(VLOOKUP(D196,'S1'!$1:$1325,2,False),0)</f>
        <v>84</v>
      </c>
      <c r="Q196" s="123">
        <f>IFNA(vlookup(D196,'S2'!A192:B1394,2,False),0)</f>
        <v>50</v>
      </c>
      <c r="R196" s="123">
        <f>ifna(vlookup(D196,'S3'!$1:$1311,2,False),0)</f>
        <v>88</v>
      </c>
      <c r="S196" s="123"/>
      <c r="T196" s="124">
        <v>13.0</v>
      </c>
      <c r="U196" s="125">
        <v>20.0</v>
      </c>
      <c r="V196" s="125">
        <v>80.0</v>
      </c>
      <c r="W196" s="125">
        <v>56.0</v>
      </c>
      <c r="X196" s="125">
        <v>54.0</v>
      </c>
      <c r="Y196" s="125"/>
      <c r="Z196" s="126"/>
      <c r="AA196" s="127">
        <v>56.0</v>
      </c>
      <c r="AB196" s="26">
        <v>94.0</v>
      </c>
      <c r="AC196" s="135">
        <v>81.5</v>
      </c>
      <c r="AD196" s="129">
        <v>75.0</v>
      </c>
      <c r="AE196" s="130">
        <v>36.0</v>
      </c>
      <c r="AF196" s="129"/>
      <c r="AG196" s="129">
        <v>74.0</v>
      </c>
      <c r="AH196" s="129"/>
      <c r="AI196" s="131"/>
      <c r="AJ196" s="131"/>
      <c r="AK196" s="132">
        <f t="shared" si="1"/>
        <v>4</v>
      </c>
      <c r="AL196" s="132">
        <f t="shared" si="2"/>
        <v>1</v>
      </c>
      <c r="AM196" s="133">
        <f t="shared" si="3"/>
        <v>3</v>
      </c>
      <c r="AN196" s="132" t="str">
        <f t="shared" si="4"/>
        <v>3</v>
      </c>
      <c r="AO196" s="132">
        <f t="shared" si="5"/>
        <v>3</v>
      </c>
      <c r="AP196" s="88"/>
      <c r="AQ196" s="88"/>
    </row>
    <row r="197">
      <c r="A197" s="114">
        <v>191.0</v>
      </c>
      <c r="B197" s="138" t="s">
        <v>2054</v>
      </c>
      <c r="C197" s="137" t="s">
        <v>2658</v>
      </c>
      <c r="D197" s="116" t="str">
        <f>VLOOKUP(B197,USN!$1:$1088,2,FALSE)</f>
        <v>1CR23CS199</v>
      </c>
      <c r="E197" s="138">
        <v>9.15380922E9</v>
      </c>
      <c r="F197" s="117" t="s">
        <v>2461</v>
      </c>
      <c r="G197" s="118"/>
      <c r="H197" s="119">
        <v>79.0</v>
      </c>
      <c r="I197" s="116">
        <v>85.0</v>
      </c>
      <c r="J197" s="120">
        <f>IFNA(VLOOKUP(D197,'L3'!$1:$2060,2,False),0)</f>
        <v>81</v>
      </c>
      <c r="K197" s="120">
        <f>VLOOKUP(D197,'L4'!$1:$2059,2,FALSE)</f>
        <v>79</v>
      </c>
      <c r="L197" s="121">
        <f>VLOOKUP(D197,'A1 RETEST 5 DEC'!$1:$2096,2,FALSE)</f>
        <v>67</v>
      </c>
      <c r="M197" s="121">
        <f>VLOOKUP(D197,'A2 RETEST 4 DEC'!$1:$2096,2,FALSE)</f>
        <v>50</v>
      </c>
      <c r="N197" s="122">
        <v>60.0</v>
      </c>
      <c r="O197" s="121"/>
      <c r="P197" s="123">
        <f>IFNA(VLOOKUP(D197,'S1'!$1:$1325,2,False),0)</f>
        <v>78</v>
      </c>
      <c r="Q197" s="123">
        <f>IFNA(vlookup(D197,'S2'!A193:B1395,2,False),0)</f>
        <v>63</v>
      </c>
      <c r="R197" s="123">
        <f>ifna(vlookup(D197,'S3'!$1:$1311,2,False),0)</f>
        <v>82</v>
      </c>
      <c r="S197" s="123"/>
      <c r="T197" s="124">
        <v>18.0</v>
      </c>
      <c r="U197" s="125">
        <v>20.0</v>
      </c>
      <c r="V197" s="125"/>
      <c r="W197" s="125">
        <v>64.0</v>
      </c>
      <c r="X197" s="125">
        <v>84.0</v>
      </c>
      <c r="Y197" s="125"/>
      <c r="Z197" s="126"/>
      <c r="AA197" s="127">
        <v>100.0</v>
      </c>
      <c r="AB197" s="26">
        <v>90.0</v>
      </c>
      <c r="AC197" s="135">
        <v>88.0</v>
      </c>
      <c r="AD197" s="129">
        <v>65.0</v>
      </c>
      <c r="AE197" s="130">
        <v>87.0</v>
      </c>
      <c r="AF197" s="129"/>
      <c r="AG197" s="129">
        <v>73.0</v>
      </c>
      <c r="AH197" s="129"/>
      <c r="AI197" s="131"/>
      <c r="AJ197" s="131"/>
      <c r="AK197" s="132">
        <f t="shared" si="1"/>
        <v>4</v>
      </c>
      <c r="AL197" s="132">
        <f t="shared" si="2"/>
        <v>3</v>
      </c>
      <c r="AM197" s="133">
        <f t="shared" si="3"/>
        <v>3</v>
      </c>
      <c r="AN197" s="132" t="str">
        <f t="shared" si="4"/>
        <v>3.5</v>
      </c>
      <c r="AO197" s="132">
        <f t="shared" si="5"/>
        <v>3</v>
      </c>
      <c r="AP197" s="88"/>
      <c r="AQ197" s="88"/>
    </row>
    <row r="198">
      <c r="A198" s="114">
        <v>192.0</v>
      </c>
      <c r="B198" s="138" t="s">
        <v>2055</v>
      </c>
      <c r="C198" s="137" t="s">
        <v>2659</v>
      </c>
      <c r="D198" s="116" t="str">
        <f>VLOOKUP(B198,USN!$1:$1088,2,FALSE)</f>
        <v>1CR23CS200</v>
      </c>
      <c r="E198" s="138">
        <v>6.366069528E9</v>
      </c>
      <c r="F198" s="117" t="s">
        <v>2461</v>
      </c>
      <c r="G198" s="118"/>
      <c r="H198" s="119">
        <v>85.0</v>
      </c>
      <c r="I198" s="116">
        <v>80.0</v>
      </c>
      <c r="J198" s="120">
        <f>IFNA(VLOOKUP(D198,'L3'!$1:$2060,2,False),0)</f>
        <v>11</v>
      </c>
      <c r="K198" s="120">
        <f>VLOOKUP(D198,'L4'!$1:$2059,2,FALSE)</f>
        <v>8</v>
      </c>
      <c r="L198" s="121">
        <f>VLOOKUP(D198,'A1 RETEST 5 DEC'!$1:$2096,2,FALSE)</f>
        <v>27</v>
      </c>
      <c r="M198" s="121">
        <f>VLOOKUP(D198,'A2 RETEST 4 DEC'!$1:$2096,2,FALSE)</f>
        <v>0</v>
      </c>
      <c r="N198" s="122">
        <v>0.0</v>
      </c>
      <c r="O198" s="121"/>
      <c r="P198" s="123">
        <f>IFNA(VLOOKUP(D198,'S1'!$1:$1325,2,False),0)</f>
        <v>78</v>
      </c>
      <c r="Q198" s="123">
        <f>IFNA(vlookup(D198,'S2'!A194:B1396,2,False),0)</f>
        <v>0</v>
      </c>
      <c r="R198" s="123">
        <f>ifna(vlookup(D198,'S3'!$1:$1311,2,False),0)</f>
        <v>0</v>
      </c>
      <c r="S198" s="123"/>
      <c r="T198" s="124">
        <v>13.0</v>
      </c>
      <c r="U198" s="125">
        <v>19.0</v>
      </c>
      <c r="V198" s="125"/>
      <c r="W198" s="125"/>
      <c r="X198" s="125"/>
      <c r="Y198" s="125"/>
      <c r="Z198" s="126"/>
      <c r="AA198" s="127">
        <v>80.0</v>
      </c>
      <c r="AB198" s="26">
        <v>27.5</v>
      </c>
      <c r="AC198" s="135">
        <v>0.0</v>
      </c>
      <c r="AD198" s="129">
        <v>0.0</v>
      </c>
      <c r="AE198" s="130">
        <v>10.0</v>
      </c>
      <c r="AF198" s="129"/>
      <c r="AG198" s="129">
        <v>0.0</v>
      </c>
      <c r="AH198" s="129"/>
      <c r="AI198" s="131"/>
      <c r="AJ198" s="131"/>
      <c r="AK198" s="132">
        <f t="shared" si="1"/>
        <v>2</v>
      </c>
      <c r="AL198" s="132">
        <f t="shared" si="2"/>
        <v>0</v>
      </c>
      <c r="AM198" s="133">
        <f t="shared" si="3"/>
        <v>2</v>
      </c>
      <c r="AN198" s="132" t="str">
        <f t="shared" si="4"/>
        <v>0</v>
      </c>
      <c r="AO198" s="132">
        <f t="shared" si="5"/>
        <v>1</v>
      </c>
      <c r="AP198" s="88"/>
      <c r="AQ198" s="88"/>
    </row>
    <row r="199">
      <c r="A199" s="114">
        <v>193.0</v>
      </c>
      <c r="B199" s="137" t="s">
        <v>2098</v>
      </c>
      <c r="C199" s="137" t="s">
        <v>2660</v>
      </c>
      <c r="D199" s="116" t="str">
        <f>VLOOKUP(B199,USN!$1:$1088,2,FALSE)</f>
        <v>1CR23CS201</v>
      </c>
      <c r="E199" s="138">
        <v>9.14819173E9</v>
      </c>
      <c r="F199" s="117" t="s">
        <v>2461</v>
      </c>
      <c r="G199" s="118"/>
      <c r="H199" s="119">
        <v>85.0</v>
      </c>
      <c r="I199" s="116">
        <v>80.0</v>
      </c>
      <c r="J199" s="120">
        <f>IFNA(VLOOKUP(D199,'L3'!$1:$2060,2,False),0)</f>
        <v>72</v>
      </c>
      <c r="K199" s="120">
        <f>VLOOKUP(D199,'L4'!$1:$2059,2,FALSE)</f>
        <v>80</v>
      </c>
      <c r="L199" s="121">
        <f>VLOOKUP(D199,'A1 RETEST 5 DEC'!$1:$2096,2,FALSE)</f>
        <v>50</v>
      </c>
      <c r="M199" s="121">
        <f>VLOOKUP(D199,'A2 RETEST 4 DEC'!$1:$2096,2,FALSE)</f>
        <v>50</v>
      </c>
      <c r="N199" s="122">
        <v>50.0</v>
      </c>
      <c r="O199" s="121"/>
      <c r="P199" s="123">
        <f>IFNA(VLOOKUP(D199,'S1'!$1:$1325,2,False),0)</f>
        <v>71</v>
      </c>
      <c r="Q199" s="123">
        <f>IFNA(vlookup(D199,'S2'!A195:B1397,2,False),0)</f>
        <v>58</v>
      </c>
      <c r="R199" s="123">
        <f>ifna(vlookup(D199,'S3'!$1:$1311,2,False),0)</f>
        <v>84</v>
      </c>
      <c r="S199" s="123"/>
      <c r="T199" s="124">
        <v>11.0</v>
      </c>
      <c r="U199" s="125">
        <v>21.0</v>
      </c>
      <c r="V199" s="125">
        <v>76.0</v>
      </c>
      <c r="W199" s="125">
        <v>36.0</v>
      </c>
      <c r="X199" s="125">
        <v>84.0</v>
      </c>
      <c r="Y199" s="125"/>
      <c r="Z199" s="126"/>
      <c r="AA199" s="127">
        <v>100.0</v>
      </c>
      <c r="AB199" s="26">
        <v>90.0</v>
      </c>
      <c r="AC199" s="135">
        <v>60.0</v>
      </c>
      <c r="AD199" s="129">
        <v>100.0</v>
      </c>
      <c r="AE199" s="129">
        <v>70.0</v>
      </c>
      <c r="AF199" s="129"/>
      <c r="AG199" s="129">
        <v>72.0</v>
      </c>
      <c r="AH199" s="129"/>
      <c r="AI199" s="131"/>
      <c r="AJ199" s="131"/>
      <c r="AK199" s="132">
        <f t="shared" si="1"/>
        <v>4</v>
      </c>
      <c r="AL199" s="132">
        <f t="shared" si="2"/>
        <v>3</v>
      </c>
      <c r="AM199" s="133">
        <f t="shared" si="3"/>
        <v>2</v>
      </c>
      <c r="AN199" s="132" t="str">
        <f t="shared" si="4"/>
        <v>3.5</v>
      </c>
      <c r="AO199" s="132">
        <f t="shared" si="5"/>
        <v>3</v>
      </c>
      <c r="AP199" s="88"/>
      <c r="AQ199" s="88"/>
    </row>
    <row r="200">
      <c r="A200" s="114">
        <v>194.0</v>
      </c>
      <c r="B200" s="137" t="s">
        <v>2087</v>
      </c>
      <c r="C200" s="137" t="s">
        <v>2661</v>
      </c>
      <c r="D200" s="116" t="str">
        <f>VLOOKUP(B200,USN!$1:$1088,2,FALSE)</f>
        <v>1CR23CS202</v>
      </c>
      <c r="E200" s="138">
        <v>8.073224866E9</v>
      </c>
      <c r="F200" s="117" t="s">
        <v>2461</v>
      </c>
      <c r="G200" s="118"/>
      <c r="H200" s="119">
        <v>83.0</v>
      </c>
      <c r="I200" s="116">
        <v>80.0</v>
      </c>
      <c r="J200" s="120">
        <f>IFNA(VLOOKUP(D200,'L3'!$1:$2060,2,False),0)</f>
        <v>71</v>
      </c>
      <c r="K200" s="120">
        <f>VLOOKUP(D200,'L4'!$1:$2059,2,FALSE)</f>
        <v>16</v>
      </c>
      <c r="L200" s="121">
        <f>VLOOKUP(D200,'A1 RETEST 5 DEC'!$1:$2096,2,FALSE)</f>
        <v>59</v>
      </c>
      <c r="M200" s="121">
        <f>VLOOKUP(D200,'A2 RETEST 4 DEC'!$1:$2096,2,FALSE)</f>
        <v>57</v>
      </c>
      <c r="N200" s="122">
        <v>0.0</v>
      </c>
      <c r="O200" s="121"/>
      <c r="P200" s="123">
        <f>IFNA(VLOOKUP(D200,'S1'!$1:$1325,2,False),0)</f>
        <v>0</v>
      </c>
      <c r="Q200" s="123">
        <f>IFNA(vlookup(D200,'S2'!A196:B1398,2,False),0)</f>
        <v>0</v>
      </c>
      <c r="R200" s="123">
        <f>ifna(vlookup(D200,'S3'!$1:$1311,2,False),0)</f>
        <v>0</v>
      </c>
      <c r="S200" s="123"/>
      <c r="T200" s="124">
        <v>16.0</v>
      </c>
      <c r="U200" s="125">
        <v>22.0</v>
      </c>
      <c r="V200" s="125">
        <v>44.0</v>
      </c>
      <c r="W200" s="125"/>
      <c r="X200" s="125">
        <v>96.0</v>
      </c>
      <c r="Y200" s="125"/>
      <c r="Z200" s="126"/>
      <c r="AA200" s="127">
        <v>0.0</v>
      </c>
      <c r="AB200" s="26">
        <v>97.5</v>
      </c>
      <c r="AC200" s="135">
        <v>0.0</v>
      </c>
      <c r="AD200" s="129">
        <v>33.0</v>
      </c>
      <c r="AE200" s="130">
        <v>55.0</v>
      </c>
      <c r="AF200" s="129"/>
      <c r="AG200" s="129">
        <v>0.0</v>
      </c>
      <c r="AH200" s="129"/>
      <c r="AI200" s="131"/>
      <c r="AJ200" s="131"/>
      <c r="AK200" s="132">
        <f t="shared" si="1"/>
        <v>3</v>
      </c>
      <c r="AL200" s="132">
        <f t="shared" si="2"/>
        <v>2</v>
      </c>
      <c r="AM200" s="133">
        <f t="shared" si="3"/>
        <v>2</v>
      </c>
      <c r="AN200" s="132" t="str">
        <f t="shared" si="4"/>
        <v>2</v>
      </c>
      <c r="AO200" s="132">
        <f t="shared" si="5"/>
        <v>0</v>
      </c>
      <c r="AP200" s="88"/>
      <c r="AQ200" s="88"/>
    </row>
    <row r="201">
      <c r="A201" s="114">
        <v>195.0</v>
      </c>
      <c r="B201" s="138" t="s">
        <v>2056</v>
      </c>
      <c r="C201" s="137" t="s">
        <v>2662</v>
      </c>
      <c r="D201" s="116" t="str">
        <f>VLOOKUP(B201,USN!$1:$1088,2,FALSE)</f>
        <v>1CR23CS203</v>
      </c>
      <c r="E201" s="138">
        <v>6.366481872E9</v>
      </c>
      <c r="F201" s="117" t="s">
        <v>2461</v>
      </c>
      <c r="G201" s="118"/>
      <c r="H201" s="119">
        <v>79.0</v>
      </c>
      <c r="I201" s="116">
        <v>80.0</v>
      </c>
      <c r="J201" s="120">
        <f>IFNA(VLOOKUP(D201,'L3'!$1:$2060,2,False),0)</f>
        <v>30</v>
      </c>
      <c r="K201" s="120">
        <f>VLOOKUP(D201,'L4'!$1:$2059,2,FALSE)</f>
        <v>34</v>
      </c>
      <c r="L201" s="121">
        <f>VLOOKUP(D201,'A1 RETEST 5 DEC'!$1:$2096,2,FALSE)</f>
        <v>29</v>
      </c>
      <c r="M201" s="121">
        <f>VLOOKUP(D201,'A2 RETEST 4 DEC'!$1:$2096,2,FALSE)</f>
        <v>0</v>
      </c>
      <c r="N201" s="122">
        <v>0.0</v>
      </c>
      <c r="O201" s="121"/>
      <c r="P201" s="123">
        <f>IFNA(VLOOKUP(D201,'S1'!$1:$1325,2,False),0)</f>
        <v>78</v>
      </c>
      <c r="Q201" s="123">
        <f>IFNA(vlookup(D201,'S2'!A197:B1399,2,False),0)</f>
        <v>65</v>
      </c>
      <c r="R201" s="123">
        <f>ifna(vlookup(D201,'S3'!$1:$1311,2,False),0)</f>
        <v>0</v>
      </c>
      <c r="S201" s="123"/>
      <c r="T201" s="124">
        <v>12.0</v>
      </c>
      <c r="U201" s="125">
        <v>18.0</v>
      </c>
      <c r="V201" s="125"/>
      <c r="W201" s="125"/>
      <c r="X201" s="125"/>
      <c r="Y201" s="125"/>
      <c r="Z201" s="126"/>
      <c r="AA201" s="127">
        <v>12.0</v>
      </c>
      <c r="AB201" s="26">
        <v>30.0</v>
      </c>
      <c r="AC201" s="135">
        <v>0.0</v>
      </c>
      <c r="AD201" s="129">
        <v>0.0</v>
      </c>
      <c r="AE201" s="130">
        <v>10.0</v>
      </c>
      <c r="AF201" s="129"/>
      <c r="AG201" s="129">
        <v>0.0</v>
      </c>
      <c r="AH201" s="129"/>
      <c r="AI201" s="131"/>
      <c r="AJ201" s="131"/>
      <c r="AK201" s="132">
        <f t="shared" si="1"/>
        <v>2</v>
      </c>
      <c r="AL201" s="132">
        <f t="shared" si="2"/>
        <v>0</v>
      </c>
      <c r="AM201" s="133">
        <f t="shared" si="3"/>
        <v>2</v>
      </c>
      <c r="AN201" s="132" t="str">
        <f t="shared" si="4"/>
        <v>0</v>
      </c>
      <c r="AO201" s="132">
        <f t="shared" si="5"/>
        <v>2</v>
      </c>
      <c r="AP201" s="88"/>
      <c r="AQ201" s="88"/>
    </row>
    <row r="202">
      <c r="A202" s="114">
        <v>196.0</v>
      </c>
      <c r="B202" s="138" t="s">
        <v>2057</v>
      </c>
      <c r="C202" s="137" t="s">
        <v>2663</v>
      </c>
      <c r="D202" s="116" t="str">
        <f>VLOOKUP(B202,USN!$1:$1088,2,FALSE)</f>
        <v>1CR23CS204</v>
      </c>
      <c r="E202" s="138">
        <v>9.398129801E9</v>
      </c>
      <c r="F202" s="117" t="s">
        <v>2461</v>
      </c>
      <c r="G202" s="118"/>
      <c r="H202" s="119">
        <v>88.0</v>
      </c>
      <c r="I202" s="116">
        <v>86.0</v>
      </c>
      <c r="J202" s="120">
        <f>IFNA(VLOOKUP(D202,'L3'!$1:$2060,2,False),0)</f>
        <v>80</v>
      </c>
      <c r="K202" s="120">
        <f>VLOOKUP(D202,'L4'!$1:$2059,2,FALSE)</f>
        <v>81</v>
      </c>
      <c r="L202" s="121">
        <f>VLOOKUP(D202,'A1 RETEST 5 DEC'!$1:$2096,2,FALSE)</f>
        <v>65</v>
      </c>
      <c r="M202" s="121">
        <f>VLOOKUP(D202,'A2 RETEST 4 DEC'!$1:$2096,2,FALSE)</f>
        <v>50</v>
      </c>
      <c r="N202" s="122">
        <v>50.0</v>
      </c>
      <c r="O202" s="121"/>
      <c r="P202" s="123">
        <f>IFNA(VLOOKUP(D202,'S1'!$1:$1325,2,False),0)</f>
        <v>77</v>
      </c>
      <c r="Q202" s="123">
        <f>IFNA(vlookup(D202,'S2'!A198:B1400,2,False),0)</f>
        <v>84</v>
      </c>
      <c r="R202" s="123">
        <f>ifna(vlookup(D202,'S3'!$1:$1311,2,False),0)</f>
        <v>88</v>
      </c>
      <c r="S202" s="123"/>
      <c r="T202" s="124">
        <v>13.0</v>
      </c>
      <c r="U202" s="125">
        <v>22.0</v>
      </c>
      <c r="V202" s="125">
        <v>52.0</v>
      </c>
      <c r="W202" s="125">
        <v>44.0</v>
      </c>
      <c r="X202" s="125">
        <v>82.0</v>
      </c>
      <c r="Y202" s="125"/>
      <c r="Z202" s="126"/>
      <c r="AA202" s="127">
        <v>94.0</v>
      </c>
      <c r="AB202" s="26">
        <v>87.5</v>
      </c>
      <c r="AC202" s="135">
        <v>80.0</v>
      </c>
      <c r="AD202" s="129">
        <v>100.0</v>
      </c>
      <c r="AE202" s="130">
        <v>21.0</v>
      </c>
      <c r="AF202" s="129"/>
      <c r="AG202" s="129">
        <v>70.0</v>
      </c>
      <c r="AH202" s="129"/>
      <c r="AI202" s="131"/>
      <c r="AJ202" s="131"/>
      <c r="AK202" s="132">
        <f t="shared" si="1"/>
        <v>4</v>
      </c>
      <c r="AL202" s="132">
        <f t="shared" si="2"/>
        <v>3</v>
      </c>
      <c r="AM202" s="133">
        <f t="shared" si="3"/>
        <v>2</v>
      </c>
      <c r="AN202" s="132" t="str">
        <f t="shared" si="4"/>
        <v>3</v>
      </c>
      <c r="AO202" s="132">
        <f t="shared" si="5"/>
        <v>3</v>
      </c>
      <c r="AP202" s="88"/>
      <c r="AQ202" s="88"/>
    </row>
    <row r="203">
      <c r="A203" s="114">
        <v>197.0</v>
      </c>
      <c r="B203" s="137" t="s">
        <v>2093</v>
      </c>
      <c r="C203" s="137" t="s">
        <v>2664</v>
      </c>
      <c r="D203" s="116" t="str">
        <f>VLOOKUP(B203,USN!$1:$1088,2,FALSE)</f>
        <v>1CR23CS205</v>
      </c>
      <c r="E203" s="138">
        <v>7.204702706E9</v>
      </c>
      <c r="F203" s="117" t="s">
        <v>2461</v>
      </c>
      <c r="G203" s="118"/>
      <c r="H203" s="119">
        <v>89.0</v>
      </c>
      <c r="I203" s="116">
        <v>95.0</v>
      </c>
      <c r="J203" s="120">
        <f>IFNA(VLOOKUP(D203,'L3'!$1:$2060,2,False),0)</f>
        <v>80</v>
      </c>
      <c r="K203" s="120">
        <f>VLOOKUP(D203,'L4'!$1:$2059,2,FALSE)</f>
        <v>80</v>
      </c>
      <c r="L203" s="121">
        <f>VLOOKUP(D203,'A1 RETEST 5 DEC'!$1:$2096,2,FALSE)</f>
        <v>63</v>
      </c>
      <c r="M203" s="121">
        <f>VLOOKUP(D203,'A2 RETEST 4 DEC'!$1:$2096,2,FALSE)</f>
        <v>37</v>
      </c>
      <c r="N203" s="122">
        <v>55.0</v>
      </c>
      <c r="O203" s="121"/>
      <c r="P203" s="123">
        <f>IFNA(VLOOKUP(D203,'S1'!$1:$1325,2,False),0)</f>
        <v>72</v>
      </c>
      <c r="Q203" s="123">
        <f>IFNA(vlookup(D203,'S2'!A199:B1401,2,False),0)</f>
        <v>73</v>
      </c>
      <c r="R203" s="123">
        <f>ifna(vlookup(D203,'S3'!$1:$1311,2,False),0)</f>
        <v>85</v>
      </c>
      <c r="S203" s="123"/>
      <c r="T203" s="124">
        <v>20.0</v>
      </c>
      <c r="U203" s="125">
        <v>18.0</v>
      </c>
      <c r="V203" s="125">
        <v>95.0</v>
      </c>
      <c r="W203" s="125">
        <v>44.0</v>
      </c>
      <c r="X203" s="125">
        <v>86.0</v>
      </c>
      <c r="Y203" s="125"/>
      <c r="Z203" s="126"/>
      <c r="AA203" s="127">
        <v>60.0</v>
      </c>
      <c r="AB203" s="26">
        <v>100.0</v>
      </c>
      <c r="AC203" s="135">
        <v>100.0</v>
      </c>
      <c r="AD203" s="129">
        <v>100.0</v>
      </c>
      <c r="AE203" s="130">
        <v>84.0</v>
      </c>
      <c r="AF203" s="129"/>
      <c r="AG203" s="129">
        <v>64.0</v>
      </c>
      <c r="AH203" s="129"/>
      <c r="AI203" s="131"/>
      <c r="AJ203" s="131"/>
      <c r="AK203" s="132">
        <f t="shared" si="1"/>
        <v>4</v>
      </c>
      <c r="AL203" s="132">
        <f t="shared" si="2"/>
        <v>1</v>
      </c>
      <c r="AM203" s="133">
        <f t="shared" si="3"/>
        <v>2</v>
      </c>
      <c r="AN203" s="132" t="str">
        <f t="shared" si="4"/>
        <v>3.5</v>
      </c>
      <c r="AO203" s="132">
        <f t="shared" si="5"/>
        <v>3</v>
      </c>
      <c r="AP203" s="88"/>
      <c r="AQ203" s="88"/>
    </row>
    <row r="204">
      <c r="A204" s="114">
        <v>198.0</v>
      </c>
      <c r="B204" s="137" t="s">
        <v>2076</v>
      </c>
      <c r="C204" s="137" t="s">
        <v>2665</v>
      </c>
      <c r="D204" s="116" t="str">
        <f>VLOOKUP(B204,USN!$1:$1088,2,FALSE)</f>
        <v>1CR23CS206</v>
      </c>
      <c r="E204" s="138">
        <v>8.904752121E9</v>
      </c>
      <c r="F204" s="117" t="s">
        <v>2461</v>
      </c>
      <c r="G204" s="118"/>
      <c r="H204" s="119">
        <v>80.0</v>
      </c>
      <c r="I204" s="116">
        <v>88.0</v>
      </c>
      <c r="J204" s="120">
        <f>IFNA(VLOOKUP(D204,'L3'!$1:$2060,2,False),0)</f>
        <v>73</v>
      </c>
      <c r="K204" s="120">
        <f>VLOOKUP(D204,'L4'!$1:$2059,2,FALSE)</f>
        <v>78</v>
      </c>
      <c r="L204" s="121">
        <f>VLOOKUP(D204,'A1 RETEST 5 DEC'!$1:$2096,2,FALSE)</f>
        <v>50</v>
      </c>
      <c r="M204" s="121">
        <f>VLOOKUP(D204,'A2 RETEST 4 DEC'!$1:$2096,2,FALSE)</f>
        <v>18</v>
      </c>
      <c r="N204" s="122">
        <v>50.0</v>
      </c>
      <c r="O204" s="121"/>
      <c r="P204" s="123">
        <f>IFNA(VLOOKUP(D204,'S1'!$1:$1325,2,False),0)</f>
        <v>77</v>
      </c>
      <c r="Q204" s="123">
        <f>IFNA(vlookup(D204,'S2'!A200:B1402,2,False),0)</f>
        <v>50</v>
      </c>
      <c r="R204" s="123">
        <f>ifna(vlookup(D204,'S3'!$1:$1311,2,False),0)</f>
        <v>90</v>
      </c>
      <c r="S204" s="123"/>
      <c r="T204" s="124">
        <v>16.0</v>
      </c>
      <c r="U204" s="125">
        <v>21.0</v>
      </c>
      <c r="V204" s="125">
        <v>56.0</v>
      </c>
      <c r="W204" s="125"/>
      <c r="X204" s="125">
        <v>58.0</v>
      </c>
      <c r="Y204" s="125"/>
      <c r="Z204" s="126"/>
      <c r="AA204" s="127">
        <v>88.0</v>
      </c>
      <c r="AB204" s="26">
        <v>92.5</v>
      </c>
      <c r="AC204" s="135">
        <v>100.0</v>
      </c>
      <c r="AD204" s="129">
        <v>100.0</v>
      </c>
      <c r="AE204" s="130">
        <v>84.0</v>
      </c>
      <c r="AF204" s="129"/>
      <c r="AG204" s="129">
        <v>62.0</v>
      </c>
      <c r="AH204" s="129"/>
      <c r="AI204" s="131"/>
      <c r="AJ204" s="131"/>
      <c r="AK204" s="132">
        <f t="shared" si="1"/>
        <v>4</v>
      </c>
      <c r="AL204" s="132">
        <f t="shared" si="2"/>
        <v>1</v>
      </c>
      <c r="AM204" s="133">
        <f t="shared" si="3"/>
        <v>2</v>
      </c>
      <c r="AN204" s="132" t="str">
        <f t="shared" si="4"/>
        <v>3.5</v>
      </c>
      <c r="AO204" s="132">
        <f t="shared" si="5"/>
        <v>3</v>
      </c>
      <c r="AP204" s="88"/>
      <c r="AQ204" s="88"/>
    </row>
    <row r="205">
      <c r="A205" s="114">
        <v>199.0</v>
      </c>
      <c r="B205" s="138" t="s">
        <v>2058</v>
      </c>
      <c r="C205" s="137" t="s">
        <v>2666</v>
      </c>
      <c r="D205" s="116" t="str">
        <f>VLOOKUP(B205,USN!$1:$1088,2,FALSE)</f>
        <v>1CR23CS207</v>
      </c>
      <c r="E205" s="138" t="s">
        <v>2667</v>
      </c>
      <c r="F205" s="117" t="s">
        <v>2461</v>
      </c>
      <c r="G205" s="118"/>
      <c r="H205" s="119">
        <v>83.0</v>
      </c>
      <c r="I205" s="116">
        <v>82.0</v>
      </c>
      <c r="J205" s="120">
        <f>IFNA(VLOOKUP(D205,'L3'!$1:$2060,2,False),0)</f>
        <v>77</v>
      </c>
      <c r="K205" s="120">
        <f>VLOOKUP(D205,'L4'!$1:$2059,2,FALSE)</f>
        <v>57</v>
      </c>
      <c r="L205" s="121">
        <f>VLOOKUP(D205,'A1 RETEST 5 DEC'!$1:$2096,2,FALSE)</f>
        <v>55</v>
      </c>
      <c r="M205" s="121">
        <f>VLOOKUP(D205,'A2 RETEST 4 DEC'!$1:$2096,2,FALSE)</f>
        <v>10</v>
      </c>
      <c r="N205" s="122">
        <v>18.0</v>
      </c>
      <c r="O205" s="121"/>
      <c r="P205" s="123">
        <f>IFNA(VLOOKUP(D205,'S1'!$1:$1325,2,False),0)</f>
        <v>0</v>
      </c>
      <c r="Q205" s="123">
        <f>IFNA(vlookup(D205,'S2'!A201:B1403,2,False),0)</f>
        <v>63</v>
      </c>
      <c r="R205" s="123">
        <f>ifna(vlookup(D205,'S3'!$1:$1311,2,False),0)</f>
        <v>61</v>
      </c>
      <c r="S205" s="123"/>
      <c r="T205" s="124" t="s">
        <v>2477</v>
      </c>
      <c r="U205" s="125">
        <v>19.0</v>
      </c>
      <c r="V205" s="125"/>
      <c r="W205" s="125">
        <v>44.0</v>
      </c>
      <c r="X205" s="125"/>
      <c r="Y205" s="125"/>
      <c r="Z205" s="126"/>
      <c r="AA205" s="127">
        <v>80.0</v>
      </c>
      <c r="AB205" s="26">
        <v>42.5</v>
      </c>
      <c r="AC205" s="135">
        <v>99.0</v>
      </c>
      <c r="AD205" s="129">
        <v>50.0</v>
      </c>
      <c r="AE205" s="130">
        <v>10.0</v>
      </c>
      <c r="AF205" s="129"/>
      <c r="AG205" s="129">
        <v>19.0</v>
      </c>
      <c r="AH205" s="129"/>
      <c r="AI205" s="131"/>
      <c r="AJ205" s="131"/>
      <c r="AK205" s="132">
        <f t="shared" si="1"/>
        <v>3</v>
      </c>
      <c r="AL205" s="132">
        <f t="shared" si="2"/>
        <v>1</v>
      </c>
      <c r="AM205" s="133">
        <f t="shared" si="3"/>
        <v>2</v>
      </c>
      <c r="AN205" s="132" t="str">
        <f t="shared" si="4"/>
        <v>0</v>
      </c>
      <c r="AO205" s="132">
        <f t="shared" si="5"/>
        <v>0</v>
      </c>
      <c r="AP205" s="88"/>
      <c r="AQ205" s="88"/>
    </row>
    <row r="206">
      <c r="A206" s="114">
        <v>200.0</v>
      </c>
      <c r="B206" s="137" t="s">
        <v>2099</v>
      </c>
      <c r="C206" s="137" t="s">
        <v>2668</v>
      </c>
      <c r="D206" s="116" t="str">
        <f>VLOOKUP(B206,USN!$1:$1088,2,FALSE)</f>
        <v>1CR23CS208</v>
      </c>
      <c r="E206" s="138">
        <v>8.618310801E9</v>
      </c>
      <c r="F206" s="117" t="s">
        <v>2461</v>
      </c>
      <c r="G206" s="118"/>
      <c r="H206" s="119">
        <v>87.0</v>
      </c>
      <c r="I206" s="116">
        <v>84.0</v>
      </c>
      <c r="J206" s="120">
        <f>IFNA(VLOOKUP(D206,'L3'!$1:$2060,2,False),0)</f>
        <v>72</v>
      </c>
      <c r="K206" s="120">
        <f>VLOOKUP(D206,'L4'!$1:$2059,2,FALSE)</f>
        <v>70</v>
      </c>
      <c r="L206" s="121">
        <f>VLOOKUP(D206,'A1 RETEST 5 DEC'!$1:$2096,2,FALSE)</f>
        <v>52</v>
      </c>
      <c r="M206" s="121">
        <f>VLOOKUP(D206,'A2 RETEST 4 DEC'!$1:$2096,2,FALSE)</f>
        <v>4</v>
      </c>
      <c r="N206" s="122">
        <v>52.0</v>
      </c>
      <c r="O206" s="121"/>
      <c r="P206" s="123">
        <f>IFNA(VLOOKUP(D206,'S1'!$1:$1325,2,False),0)</f>
        <v>72</v>
      </c>
      <c r="Q206" s="123">
        <f>IFNA(vlookup(D206,'S2'!A202:B1404,2,False),0)</f>
        <v>55</v>
      </c>
      <c r="R206" s="123">
        <f>ifna(vlookup(D206,'S3'!$1:$1311,2,False),0)</f>
        <v>84</v>
      </c>
      <c r="S206" s="123"/>
      <c r="T206" s="124">
        <v>14.0</v>
      </c>
      <c r="U206" s="125">
        <v>20.0</v>
      </c>
      <c r="V206" s="125">
        <v>56.0</v>
      </c>
      <c r="W206" s="125">
        <v>44.0</v>
      </c>
      <c r="X206" s="125">
        <v>78.0</v>
      </c>
      <c r="Y206" s="125"/>
      <c r="Z206" s="126"/>
      <c r="AA206" s="127">
        <v>64.0</v>
      </c>
      <c r="AB206" s="26">
        <v>90.0</v>
      </c>
      <c r="AC206" s="135">
        <v>68.0</v>
      </c>
      <c r="AD206" s="129">
        <v>83.0</v>
      </c>
      <c r="AE206" s="130">
        <v>83.0</v>
      </c>
      <c r="AF206" s="129"/>
      <c r="AG206" s="129">
        <v>36.0</v>
      </c>
      <c r="AH206" s="129"/>
      <c r="AI206" s="88"/>
      <c r="AJ206" s="88"/>
      <c r="AK206" s="132">
        <f t="shared" si="1"/>
        <v>4</v>
      </c>
      <c r="AL206" s="132">
        <f t="shared" si="2"/>
        <v>1</v>
      </c>
      <c r="AM206" s="133">
        <f t="shared" si="3"/>
        <v>2</v>
      </c>
      <c r="AN206" s="132" t="str">
        <f t="shared" si="4"/>
        <v>3.5</v>
      </c>
      <c r="AO206" s="132">
        <f t="shared" si="5"/>
        <v>3</v>
      </c>
      <c r="AP206" s="88"/>
      <c r="AQ206" s="88"/>
    </row>
    <row r="207">
      <c r="A207" s="114">
        <v>201.0</v>
      </c>
      <c r="B207" s="138" t="s">
        <v>2059</v>
      </c>
      <c r="C207" s="137" t="s">
        <v>2669</v>
      </c>
      <c r="D207" s="116" t="str">
        <f>VLOOKUP(B207,USN!$1:$1088,2,FALSE)</f>
        <v>1CR23CS209</v>
      </c>
      <c r="E207" s="138">
        <v>8.861383837E9</v>
      </c>
      <c r="F207" s="117" t="s">
        <v>2461</v>
      </c>
      <c r="G207" s="118"/>
      <c r="H207" s="119">
        <v>71.0</v>
      </c>
      <c r="I207" s="116">
        <v>70.0</v>
      </c>
      <c r="J207" s="120">
        <f>IFNA(VLOOKUP(D207,'L3'!$1:$2060,2,False),0)</f>
        <v>70</v>
      </c>
      <c r="K207" s="120">
        <f>VLOOKUP(D207,'L4'!$1:$2059,2,FALSE)</f>
        <v>70</v>
      </c>
      <c r="L207" s="121">
        <f>VLOOKUP(D207,'A1 RETEST 5 DEC'!$1:$2096,2,FALSE)</f>
        <v>24</v>
      </c>
      <c r="M207" s="121">
        <f>VLOOKUP(D207,'A2 RETEST 4 DEC'!$1:$2096,2,FALSE)</f>
        <v>8</v>
      </c>
      <c r="N207" s="122">
        <v>50.0</v>
      </c>
      <c r="O207" s="121"/>
      <c r="P207" s="123">
        <f>IFNA(VLOOKUP(D207,'S1'!$1:$1325,2,False),0)</f>
        <v>50</v>
      </c>
      <c r="Q207" s="123">
        <f>IFNA(vlookup(D207,'S2'!A203:B1405,2,False),0)</f>
        <v>50</v>
      </c>
      <c r="R207" s="123">
        <f>ifna(vlookup(D207,'S3'!$1:$1311,2,False),0)</f>
        <v>92</v>
      </c>
      <c r="S207" s="123"/>
      <c r="T207" s="124">
        <v>14.0</v>
      </c>
      <c r="U207" s="125">
        <v>22.0</v>
      </c>
      <c r="V207" s="125">
        <v>52.0</v>
      </c>
      <c r="W207" s="125">
        <v>52.0</v>
      </c>
      <c r="X207" s="125">
        <v>62.0</v>
      </c>
      <c r="Y207" s="125"/>
      <c r="Z207" s="126"/>
      <c r="AA207" s="127">
        <v>0.0</v>
      </c>
      <c r="AB207" s="26">
        <v>52.5</v>
      </c>
      <c r="AC207" s="135">
        <v>80.0</v>
      </c>
      <c r="AD207" s="129">
        <v>83.0</v>
      </c>
      <c r="AE207" s="130">
        <v>22.0</v>
      </c>
      <c r="AF207" s="129"/>
      <c r="AG207" s="129">
        <v>54.0</v>
      </c>
      <c r="AH207" s="129"/>
      <c r="AI207" s="131"/>
      <c r="AJ207" s="131"/>
      <c r="AK207" s="132">
        <f t="shared" si="1"/>
        <v>4</v>
      </c>
      <c r="AL207" s="132">
        <f t="shared" si="2"/>
        <v>0</v>
      </c>
      <c r="AM207" s="133">
        <f t="shared" si="3"/>
        <v>3</v>
      </c>
      <c r="AN207" s="132" t="str">
        <f t="shared" si="4"/>
        <v>3</v>
      </c>
      <c r="AO207" s="132">
        <f t="shared" si="5"/>
        <v>3</v>
      </c>
      <c r="AP207" s="88"/>
      <c r="AQ207" s="88"/>
    </row>
    <row r="208">
      <c r="A208" s="114">
        <v>202.0</v>
      </c>
      <c r="B208" s="137" t="s">
        <v>2077</v>
      </c>
      <c r="C208" s="137" t="s">
        <v>2670</v>
      </c>
      <c r="D208" s="116" t="str">
        <f>VLOOKUP(B208,USN!$1:$1088,2,FALSE)</f>
        <v>1CR23CS210</v>
      </c>
      <c r="E208" s="138">
        <v>7.975667718E9</v>
      </c>
      <c r="F208" s="117" t="s">
        <v>2461</v>
      </c>
      <c r="G208" s="118"/>
      <c r="H208" s="119">
        <v>71.0</v>
      </c>
      <c r="I208" s="116">
        <v>72.0</v>
      </c>
      <c r="J208" s="120">
        <f>IFNA(VLOOKUP(D208,'L3'!$1:$2060,2,False),0)</f>
        <v>31</v>
      </c>
      <c r="K208" s="120">
        <f>VLOOKUP(D208,'L4'!$1:$2059,2,FALSE)</f>
        <v>14</v>
      </c>
      <c r="L208" s="121">
        <f>VLOOKUP(D208,'A1 RETEST 5 DEC'!$1:$2096,2,FALSE)</f>
        <v>39</v>
      </c>
      <c r="M208" s="121">
        <f>VLOOKUP(D208,'A2 RETEST 4 DEC'!$1:$2096,2,FALSE)</f>
        <v>8</v>
      </c>
      <c r="N208" s="122">
        <v>0.0</v>
      </c>
      <c r="O208" s="121"/>
      <c r="P208" s="123">
        <f>IFNA(VLOOKUP(D208,'S1'!$1:$1325,2,False),0)</f>
        <v>0</v>
      </c>
      <c r="Q208" s="123">
        <f>IFNA(vlookup(D208,'S2'!A204:B1406,2,False),0)</f>
        <v>0</v>
      </c>
      <c r="R208" s="123">
        <f>ifna(vlookup(D208,'S3'!$1:$1311,2,False),0)</f>
        <v>0</v>
      </c>
      <c r="S208" s="123"/>
      <c r="T208" s="124">
        <v>18.0</v>
      </c>
      <c r="U208" s="125">
        <v>18.0</v>
      </c>
      <c r="V208" s="125">
        <v>76.0</v>
      </c>
      <c r="W208" s="125"/>
      <c r="X208" s="125">
        <v>86.0</v>
      </c>
      <c r="Y208" s="125"/>
      <c r="Z208" s="126"/>
      <c r="AA208" s="127">
        <v>53.0</v>
      </c>
      <c r="AB208" s="26">
        <v>83.75</v>
      </c>
      <c r="AC208" s="135">
        <v>0.0</v>
      </c>
      <c r="AD208" s="129">
        <v>66.0</v>
      </c>
      <c r="AE208" s="130">
        <v>10.0</v>
      </c>
      <c r="AF208" s="129"/>
      <c r="AG208" s="129">
        <v>0.0</v>
      </c>
      <c r="AH208" s="129"/>
      <c r="AI208" s="131"/>
      <c r="AJ208" s="131"/>
      <c r="AK208" s="132">
        <f t="shared" si="1"/>
        <v>2</v>
      </c>
      <c r="AL208" s="132">
        <f t="shared" si="2"/>
        <v>0</v>
      </c>
      <c r="AM208" s="133">
        <f t="shared" si="3"/>
        <v>2</v>
      </c>
      <c r="AN208" s="132" t="str">
        <f t="shared" si="4"/>
        <v>3</v>
      </c>
      <c r="AO208" s="132">
        <f t="shared" si="5"/>
        <v>0</v>
      </c>
      <c r="AP208" s="88"/>
      <c r="AQ208" s="88"/>
    </row>
    <row r="209">
      <c r="A209" s="114">
        <v>203.0</v>
      </c>
      <c r="B209" s="137" t="s">
        <v>2073</v>
      </c>
      <c r="C209" s="137" t="s">
        <v>2671</v>
      </c>
      <c r="D209" s="116" t="str">
        <f>VLOOKUP(B209,USN!$1:$1088,2,FALSE)</f>
        <v>1CR23CS211</v>
      </c>
      <c r="E209" s="138">
        <v>7.338043055E9</v>
      </c>
      <c r="F209" s="117" t="s">
        <v>2461</v>
      </c>
      <c r="G209" s="118"/>
      <c r="H209" s="119">
        <v>73.0</v>
      </c>
      <c r="I209" s="116">
        <v>74.0</v>
      </c>
      <c r="J209" s="120">
        <f>IFNA(VLOOKUP(D209,'L3'!$1:$2060,2,False),0)</f>
        <v>70</v>
      </c>
      <c r="K209" s="120">
        <f>VLOOKUP(D209,'L4'!$1:$2059,2,FALSE)</f>
        <v>70</v>
      </c>
      <c r="L209" s="121">
        <f>VLOOKUP(D209,'A1 RETEST 5 DEC'!$1:$2096,2,FALSE)</f>
        <v>50</v>
      </c>
      <c r="M209" s="121">
        <f>VLOOKUP(D209,'A2 RETEST 4 DEC'!$1:$2096,2,FALSE)</f>
        <v>0</v>
      </c>
      <c r="N209" s="122">
        <v>50.0</v>
      </c>
      <c r="O209" s="121"/>
      <c r="P209" s="123">
        <f>IFNA(VLOOKUP(D209,'S1'!$1:$1325,2,False),0)</f>
        <v>72</v>
      </c>
      <c r="Q209" s="123">
        <f>IFNA(vlookup(D209,'S2'!A205:B1407,2,False),0)</f>
        <v>50</v>
      </c>
      <c r="R209" s="123">
        <f>ifna(vlookup(D209,'S3'!$1:$1311,2,False),0)</f>
        <v>83</v>
      </c>
      <c r="S209" s="123"/>
      <c r="T209" s="124">
        <v>9.0</v>
      </c>
      <c r="U209" s="125">
        <v>22.0</v>
      </c>
      <c r="V209" s="125">
        <v>76.0</v>
      </c>
      <c r="W209" s="125">
        <v>52.0</v>
      </c>
      <c r="X209" s="125">
        <v>56.0</v>
      </c>
      <c r="Y209" s="125"/>
      <c r="Z209" s="126"/>
      <c r="AA209" s="127">
        <v>42.0</v>
      </c>
      <c r="AB209" s="26">
        <v>87.5</v>
      </c>
      <c r="AC209" s="135">
        <v>100.0</v>
      </c>
      <c r="AD209" s="129">
        <v>82.0</v>
      </c>
      <c r="AE209" s="130">
        <v>84.0</v>
      </c>
      <c r="AF209" s="129"/>
      <c r="AG209" s="129">
        <v>62.0</v>
      </c>
      <c r="AH209" s="129"/>
      <c r="AI209" s="131"/>
      <c r="AJ209" s="131"/>
      <c r="AK209" s="132">
        <f t="shared" si="1"/>
        <v>4</v>
      </c>
      <c r="AL209" s="132">
        <f t="shared" si="2"/>
        <v>1</v>
      </c>
      <c r="AM209" s="133">
        <f t="shared" si="3"/>
        <v>3</v>
      </c>
      <c r="AN209" s="132" t="str">
        <f t="shared" si="4"/>
        <v>3.5</v>
      </c>
      <c r="AO209" s="132">
        <f t="shared" si="5"/>
        <v>3</v>
      </c>
      <c r="AP209" s="88"/>
      <c r="AQ209" s="88"/>
    </row>
    <row r="210">
      <c r="A210" s="114">
        <v>204.0</v>
      </c>
      <c r="B210" s="138" t="s">
        <v>2060</v>
      </c>
      <c r="C210" s="137" t="s">
        <v>2672</v>
      </c>
      <c r="D210" s="116" t="str">
        <f>VLOOKUP(B210,USN!$1:$1088,2,FALSE)</f>
        <v>1CR23CS212</v>
      </c>
      <c r="E210" s="138">
        <v>7.411491588E9</v>
      </c>
      <c r="F210" s="117" t="s">
        <v>2461</v>
      </c>
      <c r="G210" s="118"/>
      <c r="H210" s="119">
        <v>71.0</v>
      </c>
      <c r="I210" s="116">
        <v>65.0</v>
      </c>
      <c r="J210" s="120">
        <f>IFNA(VLOOKUP(D210,'L3'!$1:$2060,2,False),0)</f>
        <v>39</v>
      </c>
      <c r="K210" s="120">
        <f>VLOOKUP(D210,'L4'!$1:$2059,2,FALSE)</f>
        <v>41</v>
      </c>
      <c r="L210" s="121">
        <f>VLOOKUP(D210,'A1 RETEST 5 DEC'!$1:$2096,2,FALSE)</f>
        <v>20</v>
      </c>
      <c r="M210" s="121">
        <f>VLOOKUP(D210,'A2 RETEST 4 DEC'!$1:$2096,2,FALSE)</f>
        <v>6</v>
      </c>
      <c r="N210" s="122">
        <v>0.0</v>
      </c>
      <c r="O210" s="121"/>
      <c r="P210" s="123">
        <f>IFNA(VLOOKUP(D210,'S1'!$1:$1325,2,False),0)</f>
        <v>0</v>
      </c>
      <c r="Q210" s="123">
        <f>IFNA(vlookup(D210,'S2'!A206:B1408,2,False),0)</f>
        <v>0</v>
      </c>
      <c r="R210" s="123">
        <f>ifna(vlookup(D210,'S3'!$1:$1311,2,False),0)</f>
        <v>0</v>
      </c>
      <c r="S210" s="123"/>
      <c r="T210" s="124">
        <v>6.0</v>
      </c>
      <c r="U210" s="125">
        <v>15.0</v>
      </c>
      <c r="V210" s="125">
        <v>72.0</v>
      </c>
      <c r="W210" s="125"/>
      <c r="X210" s="125"/>
      <c r="Y210" s="125"/>
      <c r="Z210" s="126"/>
      <c r="AA210" s="127">
        <v>53.0</v>
      </c>
      <c r="AB210" s="26">
        <v>0.0</v>
      </c>
      <c r="AC210" s="135">
        <v>0.0</v>
      </c>
      <c r="AD210" s="129">
        <v>0.0</v>
      </c>
      <c r="AE210" s="130">
        <v>10.0</v>
      </c>
      <c r="AF210" s="129"/>
      <c r="AG210" s="129">
        <v>0.0</v>
      </c>
      <c r="AH210" s="129"/>
      <c r="AI210" s="131"/>
      <c r="AJ210" s="131"/>
      <c r="AK210" s="132">
        <f t="shared" si="1"/>
        <v>2</v>
      </c>
      <c r="AL210" s="132">
        <f t="shared" si="2"/>
        <v>0</v>
      </c>
      <c r="AM210" s="133">
        <f t="shared" si="3"/>
        <v>0</v>
      </c>
      <c r="AN210" s="132" t="str">
        <f t="shared" si="4"/>
        <v>0</v>
      </c>
      <c r="AO210" s="132">
        <f t="shared" si="5"/>
        <v>0</v>
      </c>
      <c r="AP210" s="88"/>
      <c r="AQ210" s="88"/>
    </row>
    <row r="211">
      <c r="A211" s="114">
        <v>205.0</v>
      </c>
      <c r="B211" s="137" t="s">
        <v>2074</v>
      </c>
      <c r="C211" s="137" t="s">
        <v>2673</v>
      </c>
      <c r="D211" s="116" t="str">
        <f>VLOOKUP(B211,USN!$1:$1088,2,FALSE)</f>
        <v>1CR23CS213</v>
      </c>
      <c r="E211" s="138">
        <v>9.731989985E9</v>
      </c>
      <c r="F211" s="117" t="s">
        <v>2461</v>
      </c>
      <c r="G211" s="118"/>
      <c r="H211" s="119">
        <v>76.0</v>
      </c>
      <c r="I211" s="116">
        <v>75.0</v>
      </c>
      <c r="J211" s="120">
        <f>IFNA(VLOOKUP(D211,'L3'!$1:$2060,2,False),0)</f>
        <v>41</v>
      </c>
      <c r="K211" s="120">
        <f>VLOOKUP(D211,'L4'!$1:$2059,2,FALSE)</f>
        <v>6</v>
      </c>
      <c r="L211" s="121">
        <f>VLOOKUP(D211,'A1 RETEST 5 DEC'!$1:$2096,2,FALSE)</f>
        <v>26</v>
      </c>
      <c r="M211" s="121">
        <f>VLOOKUP(D211,'A2 RETEST 4 DEC'!$1:$2096,2,FALSE)</f>
        <v>6</v>
      </c>
      <c r="N211" s="122">
        <v>0.0</v>
      </c>
      <c r="O211" s="121"/>
      <c r="P211" s="123">
        <f>IFNA(VLOOKUP(D211,'S1'!$1:$1325,2,False),0)</f>
        <v>0</v>
      </c>
      <c r="Q211" s="123">
        <f>IFNA(vlookup(D211,'S2'!A207:B1409,2,False),0)</f>
        <v>0</v>
      </c>
      <c r="R211" s="123">
        <f>ifna(vlookup(D211,'S3'!$1:$1311,2,False),0)</f>
        <v>0</v>
      </c>
      <c r="S211" s="123"/>
      <c r="T211" s="124">
        <v>7.0</v>
      </c>
      <c r="U211" s="125">
        <v>22.0</v>
      </c>
      <c r="V211" s="125">
        <v>60.0</v>
      </c>
      <c r="W211" s="125"/>
      <c r="X211" s="125">
        <v>84.0</v>
      </c>
      <c r="Y211" s="125"/>
      <c r="Z211" s="126"/>
      <c r="AA211" s="127">
        <v>62.0</v>
      </c>
      <c r="AB211" s="26">
        <v>30.0</v>
      </c>
      <c r="AC211" s="135">
        <v>100.0</v>
      </c>
      <c r="AD211" s="129">
        <v>25.0</v>
      </c>
      <c r="AE211" s="130">
        <v>10.0</v>
      </c>
      <c r="AF211" s="129"/>
      <c r="AG211" s="129">
        <v>0.0</v>
      </c>
      <c r="AH211" s="129"/>
      <c r="AI211" s="131"/>
      <c r="AJ211" s="131"/>
      <c r="AK211" s="132">
        <f t="shared" si="1"/>
        <v>2</v>
      </c>
      <c r="AL211" s="132">
        <f t="shared" si="2"/>
        <v>0</v>
      </c>
      <c r="AM211" s="133">
        <f t="shared" si="3"/>
        <v>0</v>
      </c>
      <c r="AN211" s="132" t="str">
        <f t="shared" si="4"/>
        <v>0</v>
      </c>
      <c r="AO211" s="132">
        <f t="shared" si="5"/>
        <v>0</v>
      </c>
      <c r="AP211" s="88"/>
      <c r="AQ211" s="88"/>
    </row>
    <row r="212">
      <c r="A212" s="114">
        <v>206.0</v>
      </c>
      <c r="B212" s="138" t="s">
        <v>2061</v>
      </c>
      <c r="C212" s="137" t="s">
        <v>2674</v>
      </c>
      <c r="D212" s="116" t="str">
        <f>VLOOKUP(B212,USN!$1:$1088,2,FALSE)</f>
        <v>1CR23CS214</v>
      </c>
      <c r="E212" s="138">
        <v>8.088427178E9</v>
      </c>
      <c r="F212" s="117" t="s">
        <v>2461</v>
      </c>
      <c r="G212" s="118"/>
      <c r="H212" s="119">
        <v>73.0</v>
      </c>
      <c r="I212" s="116">
        <v>73.0</v>
      </c>
      <c r="J212" s="120">
        <f>IFNA(VLOOKUP(D212,'L3'!$1:$2060,2,False),0)</f>
        <v>63</v>
      </c>
      <c r="K212" s="120">
        <f>VLOOKUP(D212,'L4'!$1:$2059,2,FALSE)</f>
        <v>70</v>
      </c>
      <c r="L212" s="121">
        <f>VLOOKUP(D212,'A1 RETEST 5 DEC'!$1:$2096,2,FALSE)</f>
        <v>25</v>
      </c>
      <c r="M212" s="121">
        <f>VLOOKUP(D212,'A2 RETEST 4 DEC'!$1:$2096,2,FALSE)</f>
        <v>0</v>
      </c>
      <c r="N212" s="122">
        <v>0.0</v>
      </c>
      <c r="O212" s="121"/>
      <c r="P212" s="123">
        <f>IFNA(VLOOKUP(D212,'S1'!$1:$1325,2,False),0)</f>
        <v>50</v>
      </c>
      <c r="Q212" s="123">
        <f>IFNA(vlookup(D212,'S2'!A208:B1410,2,False),0)</f>
        <v>50</v>
      </c>
      <c r="R212" s="123">
        <f>ifna(vlookup(D212,'S3'!$1:$1311,2,False),0)</f>
        <v>0</v>
      </c>
      <c r="S212" s="123"/>
      <c r="T212" s="124">
        <v>13.0</v>
      </c>
      <c r="U212" s="125">
        <v>22.0</v>
      </c>
      <c r="V212" s="125">
        <v>0.0</v>
      </c>
      <c r="W212" s="125"/>
      <c r="X212" s="125"/>
      <c r="Y212" s="125"/>
      <c r="Z212" s="126"/>
      <c r="AA212" s="127">
        <v>32.0</v>
      </c>
      <c r="AB212" s="26">
        <v>37.5</v>
      </c>
      <c r="AC212" s="135">
        <v>0.0</v>
      </c>
      <c r="AD212" s="129">
        <v>32.0</v>
      </c>
      <c r="AE212" s="130">
        <v>10.0</v>
      </c>
      <c r="AF212" s="129"/>
      <c r="AG212" s="129">
        <v>5.0</v>
      </c>
      <c r="AH212" s="129"/>
      <c r="AI212" s="131"/>
      <c r="AJ212" s="131"/>
      <c r="AK212" s="132">
        <f t="shared" si="1"/>
        <v>2</v>
      </c>
      <c r="AL212" s="132">
        <f t="shared" si="2"/>
        <v>0</v>
      </c>
      <c r="AM212" s="133">
        <f t="shared" si="3"/>
        <v>2</v>
      </c>
      <c r="AN212" s="132" t="str">
        <f t="shared" si="4"/>
        <v>0</v>
      </c>
      <c r="AO212" s="132">
        <f t="shared" si="5"/>
        <v>2</v>
      </c>
      <c r="AP212" s="88"/>
      <c r="AQ212" s="88"/>
    </row>
    <row r="213">
      <c r="A213" s="114">
        <v>207.0</v>
      </c>
      <c r="B213" s="115" t="s">
        <v>1981</v>
      </c>
      <c r="C213" s="115" t="s">
        <v>2675</v>
      </c>
      <c r="D213" s="116" t="str">
        <f>VLOOKUP(B213,USN!$1:$1088,2,FALSE)</f>
        <v>1CR23CS215</v>
      </c>
      <c r="E213" s="116">
        <v>9.11085529E9</v>
      </c>
      <c r="F213" s="117" t="s">
        <v>2461</v>
      </c>
      <c r="G213" s="118"/>
      <c r="H213" s="119">
        <v>70.0</v>
      </c>
      <c r="I213" s="116">
        <v>72.0</v>
      </c>
      <c r="J213" s="120">
        <f>IFNA(VLOOKUP(D213,'L3'!$1:$2060,2,False),0)</f>
        <v>24</v>
      </c>
      <c r="K213" s="120">
        <f>VLOOKUP(D213,'L4'!$1:$2059,2,FALSE)</f>
        <v>14</v>
      </c>
      <c r="L213" s="121">
        <f>VLOOKUP(D213,'A1 RETEST 5 DEC'!$1:$2096,2,FALSE)</f>
        <v>50</v>
      </c>
      <c r="M213" s="121">
        <f>VLOOKUP(D213,'A2 RETEST 4 DEC'!$1:$2096,2,FALSE)</f>
        <v>0</v>
      </c>
      <c r="N213" s="122">
        <v>0.0</v>
      </c>
      <c r="O213" s="121"/>
      <c r="P213" s="123">
        <f>IFNA(VLOOKUP(D213,'S1'!$1:$1325,2,False),0)</f>
        <v>80</v>
      </c>
      <c r="Q213" s="123">
        <f>IFNA(vlookup(D213,'S2'!A209:B1411,2,False),0)</f>
        <v>50</v>
      </c>
      <c r="R213" s="123">
        <f>ifna(vlookup(D213,'S3'!$1:$1311,2,False),0)</f>
        <v>0</v>
      </c>
      <c r="S213" s="123"/>
      <c r="T213" s="124">
        <v>11.0</v>
      </c>
      <c r="U213" s="125">
        <v>19.0</v>
      </c>
      <c r="V213" s="125"/>
      <c r="W213" s="125"/>
      <c r="X213" s="125">
        <v>84.0</v>
      </c>
      <c r="Y213" s="125"/>
      <c r="Z213" s="126"/>
      <c r="AA213" s="127">
        <v>2.0</v>
      </c>
      <c r="AB213" s="26">
        <v>65.0</v>
      </c>
      <c r="AC213" s="135">
        <v>70.0</v>
      </c>
      <c r="AD213" s="129">
        <v>0.0</v>
      </c>
      <c r="AE213" s="130">
        <v>10.0</v>
      </c>
      <c r="AF213" s="129"/>
      <c r="AG213" s="129">
        <v>0.0</v>
      </c>
      <c r="AH213" s="129"/>
      <c r="AI213" s="131"/>
      <c r="AJ213" s="131"/>
      <c r="AK213" s="132">
        <f t="shared" si="1"/>
        <v>2</v>
      </c>
      <c r="AL213" s="132">
        <f t="shared" si="2"/>
        <v>1</v>
      </c>
      <c r="AM213" s="133">
        <f t="shared" si="3"/>
        <v>2</v>
      </c>
      <c r="AN213" s="132" t="str">
        <f t="shared" si="4"/>
        <v>3</v>
      </c>
      <c r="AO213" s="132">
        <f t="shared" si="5"/>
        <v>2</v>
      </c>
      <c r="AP213" s="88"/>
      <c r="AQ213" s="88"/>
    </row>
    <row r="214">
      <c r="A214" s="114">
        <v>208.0</v>
      </c>
      <c r="B214" s="137" t="s">
        <v>2075</v>
      </c>
      <c r="C214" s="137" t="s">
        <v>2676</v>
      </c>
      <c r="D214" s="116" t="str">
        <f>VLOOKUP(B214,USN!$1:$1088,2,FALSE)</f>
        <v>1CR23CS216</v>
      </c>
      <c r="E214" s="138">
        <v>8.550089328E9</v>
      </c>
      <c r="F214" s="117" t="s">
        <v>2461</v>
      </c>
      <c r="G214" s="118"/>
      <c r="H214" s="151">
        <v>83.0</v>
      </c>
      <c r="I214" s="116">
        <v>74.0</v>
      </c>
      <c r="J214" s="120">
        <f>IFNA(VLOOKUP(D214,'L3'!$1:$2060,2,False),0)</f>
        <v>75</v>
      </c>
      <c r="K214" s="120">
        <f>VLOOKUP(D214,'L4'!$1:$2059,2,FALSE)</f>
        <v>70</v>
      </c>
      <c r="L214" s="121">
        <f>VLOOKUP(D214,'A1 RETEST 5 DEC'!$1:$2096,2,FALSE)</f>
        <v>50</v>
      </c>
      <c r="M214" s="121">
        <f>VLOOKUP(D214,'A2 RETEST 4 DEC'!$1:$2096,2,FALSE)</f>
        <v>10</v>
      </c>
      <c r="N214" s="122">
        <v>50.0</v>
      </c>
      <c r="O214" s="121"/>
      <c r="P214" s="123">
        <f>IFNA(VLOOKUP(D214,'S1'!$1:$1325,2,False),0)</f>
        <v>70</v>
      </c>
      <c r="Q214" s="123">
        <f>IFNA(vlookup(D214,'S2'!A210:B1412,2,False),0)</f>
        <v>50</v>
      </c>
      <c r="R214" s="123">
        <f>ifna(vlookup(D214,'S3'!$1:$1311,2,False),0)</f>
        <v>86</v>
      </c>
      <c r="S214" s="123"/>
      <c r="T214" s="124">
        <v>7.0</v>
      </c>
      <c r="U214" s="125">
        <v>19.0</v>
      </c>
      <c r="V214" s="125">
        <v>56.0</v>
      </c>
      <c r="W214" s="125">
        <v>40.0</v>
      </c>
      <c r="X214" s="125">
        <v>88.0</v>
      </c>
      <c r="Y214" s="125"/>
      <c r="Z214" s="126"/>
      <c r="AA214" s="127">
        <v>40.0</v>
      </c>
      <c r="AB214" s="26">
        <v>17.5</v>
      </c>
      <c r="AC214" s="135">
        <v>82.5</v>
      </c>
      <c r="AD214" s="129">
        <v>81.0</v>
      </c>
      <c r="AE214" s="130">
        <v>70.0</v>
      </c>
      <c r="AF214" s="129"/>
      <c r="AG214" s="129">
        <v>58.0</v>
      </c>
      <c r="AH214" s="129"/>
      <c r="AI214" s="131"/>
      <c r="AJ214" s="131"/>
      <c r="AK214" s="132">
        <f t="shared" si="1"/>
        <v>4</v>
      </c>
      <c r="AL214" s="132">
        <f t="shared" si="2"/>
        <v>1</v>
      </c>
      <c r="AM214" s="133">
        <f t="shared" si="3"/>
        <v>0</v>
      </c>
      <c r="AN214" s="132" t="str">
        <f t="shared" si="4"/>
        <v>0</v>
      </c>
      <c r="AO214" s="132">
        <f t="shared" si="5"/>
        <v>3</v>
      </c>
      <c r="AP214" s="88"/>
      <c r="AQ214" s="88"/>
    </row>
    <row r="215">
      <c r="A215" s="114">
        <v>209.0</v>
      </c>
      <c r="B215" s="138" t="s">
        <v>2062</v>
      </c>
      <c r="C215" s="137" t="s">
        <v>2677</v>
      </c>
      <c r="D215" s="116" t="str">
        <f>VLOOKUP(B215,USN!$1:$1088,2,FALSE)</f>
        <v>1CR23CS217</v>
      </c>
      <c r="E215" s="138">
        <v>8.197494345E9</v>
      </c>
      <c r="F215" s="117" t="s">
        <v>2461</v>
      </c>
      <c r="G215" s="118"/>
      <c r="H215" s="119">
        <v>70.0</v>
      </c>
      <c r="I215" s="116">
        <v>66.0</v>
      </c>
      <c r="J215" s="120">
        <f>IFNA(VLOOKUP(D215,'L3'!$1:$2060,2,False),0)</f>
        <v>53</v>
      </c>
      <c r="K215" s="120">
        <f>VLOOKUP(D215,'L4'!$1:$2059,2,FALSE)</f>
        <v>44</v>
      </c>
      <c r="L215" s="121">
        <f>VLOOKUP(D215,'A1 RETEST 5 DEC'!$1:$2096,2,FALSE)</f>
        <v>45</v>
      </c>
      <c r="M215" s="121">
        <f>VLOOKUP(D215,'A2 RETEST 4 DEC'!$1:$2096,2,FALSE)</f>
        <v>28</v>
      </c>
      <c r="N215" s="122">
        <v>0.0</v>
      </c>
      <c r="O215" s="121"/>
      <c r="P215" s="123">
        <f>IFNA(VLOOKUP(D215,'S1'!$1:$1325,2,False),0)</f>
        <v>0</v>
      </c>
      <c r="Q215" s="123">
        <f>IFNA(vlookup(D215,'S2'!A211:B1413,2,False),0)</f>
        <v>0</v>
      </c>
      <c r="R215" s="123">
        <f>ifna(vlookup(D215,'S3'!$1:$1311,2,False),0)</f>
        <v>0</v>
      </c>
      <c r="S215" s="123"/>
      <c r="T215" s="124">
        <v>19.0</v>
      </c>
      <c r="U215" s="125">
        <v>21.0</v>
      </c>
      <c r="V215" s="125">
        <v>40.0</v>
      </c>
      <c r="W215" s="125"/>
      <c r="X215" s="125">
        <v>88.0</v>
      </c>
      <c r="Y215" s="125"/>
      <c r="Z215" s="126"/>
      <c r="AA215" s="127">
        <v>30.0</v>
      </c>
      <c r="AB215" s="26">
        <v>71.25</v>
      </c>
      <c r="AC215" s="135">
        <v>0.0</v>
      </c>
      <c r="AD215" s="129">
        <v>82.0</v>
      </c>
      <c r="AE215" s="130">
        <v>10.0</v>
      </c>
      <c r="AF215" s="129"/>
      <c r="AG215" s="129">
        <v>0.0</v>
      </c>
      <c r="AH215" s="129"/>
      <c r="AI215" s="131"/>
      <c r="AJ215" s="131"/>
      <c r="AK215" s="132">
        <f t="shared" si="1"/>
        <v>2</v>
      </c>
      <c r="AL215" s="132">
        <f t="shared" si="2"/>
        <v>0</v>
      </c>
      <c r="AM215" s="133">
        <f t="shared" si="3"/>
        <v>2</v>
      </c>
      <c r="AN215" s="132" t="str">
        <f t="shared" si="4"/>
        <v>3</v>
      </c>
      <c r="AO215" s="132">
        <f t="shared" si="5"/>
        <v>0</v>
      </c>
      <c r="AP215" s="88"/>
      <c r="AQ215" s="88"/>
    </row>
    <row r="216">
      <c r="A216" s="114">
        <v>210.0</v>
      </c>
      <c r="B216" s="137" t="s">
        <v>2095</v>
      </c>
      <c r="C216" s="137" t="s">
        <v>2678</v>
      </c>
      <c r="D216" s="116" t="str">
        <f>VLOOKUP(B216,USN!$1:$1088,2,FALSE)</f>
        <v>1CR23CS218</v>
      </c>
      <c r="E216" s="138">
        <v>9.353084127E9</v>
      </c>
      <c r="F216" s="117" t="s">
        <v>2461</v>
      </c>
      <c r="G216" s="118"/>
      <c r="H216" s="119">
        <v>87.0</v>
      </c>
      <c r="I216" s="116">
        <v>82.0</v>
      </c>
      <c r="J216" s="120">
        <f>IFNA(VLOOKUP(D216,'L3'!$1:$2060,2,False),0)</f>
        <v>83</v>
      </c>
      <c r="K216" s="120">
        <f>VLOOKUP(D216,'L4'!$1:$2059,2,FALSE)</f>
        <v>71</v>
      </c>
      <c r="L216" s="121">
        <f>VLOOKUP(D216,'A1 RETEST 5 DEC'!$1:$2096,2,FALSE)</f>
        <v>52</v>
      </c>
      <c r="M216" s="121">
        <f>VLOOKUP(D216,'A2 RETEST 4 DEC'!$1:$2096,2,FALSE)</f>
        <v>50</v>
      </c>
      <c r="N216" s="122">
        <v>60.0</v>
      </c>
      <c r="O216" s="121"/>
      <c r="P216" s="123">
        <f>IFNA(VLOOKUP(D216,'S1'!$1:$1325,2,False),0)</f>
        <v>72</v>
      </c>
      <c r="Q216" s="123">
        <f>IFNA(vlookup(D216,'S2'!A212:B1414,2,False),0)</f>
        <v>50</v>
      </c>
      <c r="R216" s="123">
        <f>ifna(vlookup(D216,'S3'!$1:$1311,2,False),0)</f>
        <v>83</v>
      </c>
      <c r="S216" s="123"/>
      <c r="T216" s="124">
        <v>14.0</v>
      </c>
      <c r="U216" s="125">
        <v>22.0</v>
      </c>
      <c r="V216" s="125">
        <v>68.0</v>
      </c>
      <c r="W216" s="125">
        <v>56.0</v>
      </c>
      <c r="X216" s="125">
        <v>80.0</v>
      </c>
      <c r="Y216" s="125"/>
      <c r="Z216" s="126"/>
      <c r="AA216" s="127">
        <v>70.0</v>
      </c>
      <c r="AB216" s="26">
        <v>97.5</v>
      </c>
      <c r="AC216" s="135">
        <v>82.5</v>
      </c>
      <c r="AD216" s="129">
        <v>100.0</v>
      </c>
      <c r="AE216" s="130">
        <v>86.0</v>
      </c>
      <c r="AF216" s="129"/>
      <c r="AG216" s="129">
        <v>71.0</v>
      </c>
      <c r="AH216" s="129"/>
      <c r="AI216" s="131"/>
      <c r="AJ216" s="131"/>
      <c r="AK216" s="132">
        <f t="shared" si="1"/>
        <v>4</v>
      </c>
      <c r="AL216" s="132">
        <f t="shared" si="2"/>
        <v>3</v>
      </c>
      <c r="AM216" s="133">
        <f t="shared" si="3"/>
        <v>3</v>
      </c>
      <c r="AN216" s="132" t="str">
        <f t="shared" si="4"/>
        <v>3.5</v>
      </c>
      <c r="AO216" s="132">
        <f t="shared" si="5"/>
        <v>3</v>
      </c>
      <c r="AP216" s="88"/>
      <c r="AQ216" s="88"/>
    </row>
    <row r="217">
      <c r="A217" s="114">
        <v>211.0</v>
      </c>
      <c r="B217" s="115" t="s">
        <v>2023</v>
      </c>
      <c r="C217" s="140" t="s">
        <v>2679</v>
      </c>
      <c r="D217" s="116" t="str">
        <f>VLOOKUP(B217,USN!$1:$1088,2,FALSE)</f>
        <v>1CR23CS219</v>
      </c>
      <c r="E217" s="116">
        <v>7.48331361E9</v>
      </c>
      <c r="F217" s="117" t="s">
        <v>2461</v>
      </c>
      <c r="G217" s="118"/>
      <c r="H217" s="119">
        <v>78.0</v>
      </c>
      <c r="I217" s="116">
        <v>80.0</v>
      </c>
      <c r="J217" s="120">
        <f>IFNA(VLOOKUP(D217,'L3'!$1:$2060,2,False),0)</f>
        <v>65</v>
      </c>
      <c r="K217" s="120">
        <f>VLOOKUP(D217,'L4'!$1:$2059,2,FALSE)</f>
        <v>70</v>
      </c>
      <c r="L217" s="121">
        <f>VLOOKUP(D217,'A1 RETEST 5 DEC'!$1:$2096,2,FALSE)</f>
        <v>50</v>
      </c>
      <c r="M217" s="121">
        <f>VLOOKUP(D217,'A2 RETEST 4 DEC'!$1:$2096,2,FALSE)</f>
        <v>15</v>
      </c>
      <c r="N217" s="122">
        <v>50.0</v>
      </c>
      <c r="O217" s="121"/>
      <c r="P217" s="123">
        <f>IFNA(VLOOKUP(D217,'S1'!$1:$1325,2,False),0)</f>
        <v>50</v>
      </c>
      <c r="Q217" s="123">
        <f>IFNA(vlookup(D217,'S2'!A213:B1415,2,False),0)</f>
        <v>66</v>
      </c>
      <c r="R217" s="123">
        <f>ifna(vlookup(D217,'S3'!$1:$1311,2,False),0)</f>
        <v>70</v>
      </c>
      <c r="S217" s="123"/>
      <c r="T217" s="124">
        <v>10.0</v>
      </c>
      <c r="U217" s="125">
        <v>17.0</v>
      </c>
      <c r="V217" s="125">
        <v>76.0</v>
      </c>
      <c r="W217" s="125">
        <v>32.0</v>
      </c>
      <c r="X217" s="125">
        <v>82.0</v>
      </c>
      <c r="Y217" s="125"/>
      <c r="Z217" s="126"/>
      <c r="AA217" s="127">
        <v>56.0</v>
      </c>
      <c r="AB217" s="26">
        <v>40.0</v>
      </c>
      <c r="AC217" s="135">
        <v>100.0</v>
      </c>
      <c r="AD217" s="129">
        <v>100.0</v>
      </c>
      <c r="AE217" s="130">
        <v>53.0</v>
      </c>
      <c r="AF217" s="129"/>
      <c r="AG217" s="129">
        <v>70.0</v>
      </c>
      <c r="AH217" s="129"/>
      <c r="AI217" s="131"/>
      <c r="AJ217" s="131"/>
      <c r="AK217" s="132">
        <f t="shared" si="1"/>
        <v>2</v>
      </c>
      <c r="AL217" s="132">
        <f t="shared" si="2"/>
        <v>1</v>
      </c>
      <c r="AM217" s="133">
        <f t="shared" si="3"/>
        <v>2</v>
      </c>
      <c r="AN217" s="132" t="str">
        <f t="shared" si="4"/>
        <v>0</v>
      </c>
      <c r="AO217" s="132">
        <f t="shared" si="5"/>
        <v>3</v>
      </c>
      <c r="AP217" s="88"/>
      <c r="AQ217" s="88"/>
    </row>
    <row r="218">
      <c r="A218" s="114">
        <v>212.0</v>
      </c>
      <c r="B218" s="138" t="s">
        <v>2063</v>
      </c>
      <c r="C218" s="137" t="s">
        <v>2680</v>
      </c>
      <c r="D218" s="116" t="str">
        <f>VLOOKUP(B218,USN!$1:$1088,2,FALSE)</f>
        <v>1CR23CS220</v>
      </c>
      <c r="E218" s="138">
        <v>8.789839136E9</v>
      </c>
      <c r="F218" s="117" t="s">
        <v>2461</v>
      </c>
      <c r="G218" s="118"/>
      <c r="H218" s="119">
        <v>85.0</v>
      </c>
      <c r="I218" s="116">
        <v>87.0</v>
      </c>
      <c r="J218" s="120">
        <f>IFNA(VLOOKUP(D218,'L3'!$1:$2060,2,False),0)</f>
        <v>70</v>
      </c>
      <c r="K218" s="120">
        <f>VLOOKUP(D218,'L4'!$1:$2059,2,FALSE)</f>
        <v>79</v>
      </c>
      <c r="L218" s="121">
        <f>VLOOKUP(D218,'A1 RETEST 5 DEC'!$1:$2096,2,FALSE)</f>
        <v>83</v>
      </c>
      <c r="M218" s="121">
        <f>VLOOKUP(D218,'A2 RETEST 4 DEC'!$1:$2096,2,FALSE)</f>
        <v>57</v>
      </c>
      <c r="N218" s="122">
        <v>67.0</v>
      </c>
      <c r="O218" s="121"/>
      <c r="P218" s="123">
        <f>IFNA(VLOOKUP(D218,'S1'!$1:$1325,2,False),0)</f>
        <v>80</v>
      </c>
      <c r="Q218" s="123">
        <f>IFNA(vlookup(D218,'S2'!A214:B1416,2,False),0)</f>
        <v>73</v>
      </c>
      <c r="R218" s="123">
        <f>ifna(vlookup(D218,'S3'!$1:$1311,2,False),0)</f>
        <v>85</v>
      </c>
      <c r="S218" s="123"/>
      <c r="T218" s="124">
        <v>11.0</v>
      </c>
      <c r="U218" s="125">
        <v>18.0</v>
      </c>
      <c r="V218" s="125">
        <v>68.0</v>
      </c>
      <c r="W218" s="125">
        <v>56.0</v>
      </c>
      <c r="X218" s="125">
        <v>80.0</v>
      </c>
      <c r="Y218" s="125"/>
      <c r="Z218" s="126"/>
      <c r="AA218" s="127">
        <v>88.0</v>
      </c>
      <c r="AB218" s="26">
        <v>97.5</v>
      </c>
      <c r="AC218" s="135">
        <v>97.0</v>
      </c>
      <c r="AD218" s="129">
        <v>100.0</v>
      </c>
      <c r="AE218" s="130">
        <v>91.0</v>
      </c>
      <c r="AF218" s="129"/>
      <c r="AG218" s="129">
        <v>72.0</v>
      </c>
      <c r="AH218" s="129"/>
      <c r="AI218" s="131"/>
      <c r="AJ218" s="131"/>
      <c r="AK218" s="132">
        <f t="shared" si="1"/>
        <v>4</v>
      </c>
      <c r="AL218" s="132">
        <f t="shared" si="2"/>
        <v>3</v>
      </c>
      <c r="AM218" s="133">
        <f t="shared" si="3"/>
        <v>3</v>
      </c>
      <c r="AN218" s="132" t="str">
        <f t="shared" si="4"/>
        <v>3.5</v>
      </c>
      <c r="AO218" s="132">
        <f t="shared" si="5"/>
        <v>3</v>
      </c>
      <c r="AP218" s="88"/>
      <c r="AQ218" s="88"/>
    </row>
    <row r="219">
      <c r="A219" s="114">
        <v>213.0</v>
      </c>
      <c r="B219" s="152" t="s">
        <v>2681</v>
      </c>
      <c r="C219" s="153" t="s">
        <v>2682</v>
      </c>
      <c r="D219" s="142" t="s">
        <v>363</v>
      </c>
      <c r="E219" s="154">
        <v>9.972807348E9</v>
      </c>
      <c r="F219" s="117" t="s">
        <v>2461</v>
      </c>
      <c r="G219" s="88"/>
      <c r="H219" s="155">
        <f>IFNA(VLOOKUP(B219,'L1 '!$1:$1000,2,False),0)</f>
        <v>0</v>
      </c>
      <c r="I219" s="156">
        <f>IFNA(VLOOKUP(B219,'L2'!$1:$1000,2,False),0)</f>
        <v>0</v>
      </c>
      <c r="J219" s="120">
        <f>IFNA(VLOOKUP(D219,'L3'!$1:$2060,2,False),0)</f>
        <v>70</v>
      </c>
      <c r="K219" s="120">
        <f>VLOOKUP(D219,'L4'!$1:$2059,2,FALSE)</f>
        <v>17</v>
      </c>
      <c r="L219" s="121">
        <f>VLOOKUP(D219,'A1 RETEST 5 DEC'!$1:$2096,2,FALSE)</f>
        <v>21</v>
      </c>
      <c r="M219" s="121">
        <f>VLOOKUP(D219,'A2 RETEST 4 DEC'!$1:$2096,2,FALSE)</f>
        <v>13</v>
      </c>
      <c r="N219" s="122">
        <v>0.0</v>
      </c>
      <c r="O219" s="121"/>
      <c r="P219" s="123">
        <f>IFNA(VLOOKUP(D219,'S1'!$1:$1325,2,False),0)</f>
        <v>50</v>
      </c>
      <c r="Q219" s="123">
        <f>IFNA(vlookup(D219,'S2'!A215:B1417,2,False),0)</f>
        <v>50</v>
      </c>
      <c r="R219" s="123">
        <f>ifna(vlookup(D219,'S3'!$1:$1311,2,False),0)</f>
        <v>90</v>
      </c>
      <c r="S219" s="123"/>
      <c r="T219" s="157"/>
      <c r="U219" s="105"/>
      <c r="V219" s="105">
        <v>64.0</v>
      </c>
      <c r="W219" s="105"/>
      <c r="X219" s="105">
        <v>86.0</v>
      </c>
      <c r="Y219" s="105"/>
      <c r="Z219" s="158"/>
      <c r="AA219" s="127">
        <v>40.0</v>
      </c>
      <c r="AB219" s="105">
        <v>5.0</v>
      </c>
      <c r="AC219" s="105">
        <v>5.0</v>
      </c>
      <c r="AD219" s="105">
        <v>100.0</v>
      </c>
      <c r="AE219" s="130">
        <v>10.0</v>
      </c>
      <c r="AF219" s="105"/>
      <c r="AG219" s="129">
        <v>10.0</v>
      </c>
      <c r="AH219" s="129"/>
      <c r="AI219" s="88"/>
      <c r="AJ219" s="88"/>
      <c r="AK219" s="132">
        <f t="shared" si="1"/>
        <v>0</v>
      </c>
      <c r="AL219" s="132">
        <f t="shared" si="2"/>
        <v>0</v>
      </c>
      <c r="AM219" s="133">
        <f t="shared" si="3"/>
        <v>0</v>
      </c>
      <c r="AN219" s="132" t="str">
        <f t="shared" si="4"/>
        <v>0</v>
      </c>
      <c r="AO219" s="132">
        <f t="shared" si="5"/>
        <v>3</v>
      </c>
      <c r="AP219" s="88"/>
      <c r="AQ219" s="88"/>
    </row>
    <row r="220">
      <c r="A220" s="114">
        <v>214.0</v>
      </c>
      <c r="B220" s="159" t="s">
        <v>89</v>
      </c>
      <c r="C220" s="153" t="s">
        <v>2683</v>
      </c>
      <c r="D220" s="142" t="s">
        <v>370</v>
      </c>
      <c r="E220" s="160">
        <v>7.892290948E9</v>
      </c>
      <c r="F220" s="117" t="s">
        <v>2461</v>
      </c>
      <c r="G220" s="88"/>
      <c r="H220" s="155">
        <f>IFNA(VLOOKUP(B220,'L1 '!$1:$1000,2,False),0)</f>
        <v>70</v>
      </c>
      <c r="I220" s="156">
        <f>IFNA(VLOOKUP(B220,'L2'!$1:$1000,2,False),0)</f>
        <v>70</v>
      </c>
      <c r="J220" s="120">
        <f>IFNA(VLOOKUP(D220,'L3'!$1:$2060,2,False),0)</f>
        <v>70</v>
      </c>
      <c r="K220" s="120">
        <f>VLOOKUP(D220,'L4'!$1:$2059,2,FALSE)</f>
        <v>70</v>
      </c>
      <c r="L220" s="121">
        <f>VLOOKUP(D220,'A1 RETEST 5 DEC'!$1:$2096,2,FALSE)</f>
        <v>21</v>
      </c>
      <c r="M220" s="121">
        <f>VLOOKUP(D220,'A2 RETEST 4 DEC'!$1:$2096,2,FALSE)</f>
        <v>15</v>
      </c>
      <c r="N220" s="122">
        <v>50.0</v>
      </c>
      <c r="O220" s="121"/>
      <c r="P220" s="123">
        <f>IFNA(VLOOKUP(D220,'S1'!$1:$1325,2,False),0)</f>
        <v>50</v>
      </c>
      <c r="Q220" s="123">
        <f>IFNA(vlookup(D220,'S2'!A216:B1418,2,False),0)</f>
        <v>71</v>
      </c>
      <c r="R220" s="123">
        <f>ifna(vlookup(D220,'S3'!$1:$1311,2,False),0)</f>
        <v>91</v>
      </c>
      <c r="S220" s="123"/>
      <c r="T220" s="161"/>
      <c r="U220" s="105"/>
      <c r="V220" s="105">
        <v>72.0</v>
      </c>
      <c r="W220" s="105">
        <v>28.0</v>
      </c>
      <c r="X220" s="105">
        <v>72.0</v>
      </c>
      <c r="Y220" s="105"/>
      <c r="Z220" s="158"/>
      <c r="AA220" s="127">
        <v>88.0</v>
      </c>
      <c r="AB220" s="105">
        <v>84.0</v>
      </c>
      <c r="AC220" s="105">
        <v>84.0</v>
      </c>
      <c r="AD220" s="105">
        <v>90.0</v>
      </c>
      <c r="AE220" s="130">
        <v>87.0</v>
      </c>
      <c r="AF220" s="105"/>
      <c r="AG220" s="129">
        <v>29.0</v>
      </c>
      <c r="AH220" s="129"/>
      <c r="AI220" s="88"/>
      <c r="AJ220" s="88"/>
      <c r="AK220" s="132">
        <f t="shared" si="1"/>
        <v>4</v>
      </c>
      <c r="AL220" s="132">
        <f t="shared" si="2"/>
        <v>0</v>
      </c>
      <c r="AM220" s="133">
        <f t="shared" si="3"/>
        <v>0</v>
      </c>
      <c r="AN220" s="132" t="str">
        <f t="shared" si="4"/>
        <v>3.5</v>
      </c>
      <c r="AO220" s="132">
        <f t="shared" si="5"/>
        <v>3</v>
      </c>
      <c r="AP220" s="88"/>
      <c r="AQ220" s="88"/>
    </row>
    <row r="221">
      <c r="A221" s="114">
        <v>215.0</v>
      </c>
      <c r="B221" s="162" t="s">
        <v>2684</v>
      </c>
      <c r="C221" s="163" t="s">
        <v>2685</v>
      </c>
      <c r="D221" s="142" t="s">
        <v>364</v>
      </c>
      <c r="E221" s="154">
        <v>7.406107243E9</v>
      </c>
      <c r="F221" s="117" t="s">
        <v>2461</v>
      </c>
      <c r="G221" s="88"/>
      <c r="H221" s="155">
        <f>IFNA(VLOOKUP(B221,'L1 '!$1:$1000,2,False),0)</f>
        <v>65</v>
      </c>
      <c r="I221" s="156">
        <f>IFNA(VLOOKUP(B221,'L2'!$1:$1000,2,False),0)</f>
        <v>65</v>
      </c>
      <c r="J221" s="120">
        <f>IFNA(VLOOKUP(D221,'L3'!$1:$2060,2,False),0)</f>
        <v>70</v>
      </c>
      <c r="K221" s="120">
        <f>VLOOKUP(D221,'L4'!$1:$2059,2,FALSE)</f>
        <v>70</v>
      </c>
      <c r="L221" s="121">
        <f>VLOOKUP(D221,'A1 RETEST 5 DEC'!$1:$2096,2,FALSE)</f>
        <v>0</v>
      </c>
      <c r="M221" s="121">
        <f>VLOOKUP(D221,'A2 RETEST 4 DEC'!$1:$2096,2,FALSE)</f>
        <v>25</v>
      </c>
      <c r="N221" s="122">
        <v>20.0</v>
      </c>
      <c r="O221" s="121"/>
      <c r="P221" s="123">
        <f>IFNA(VLOOKUP(D221,'S1'!$1:$1325,2,False),0)</f>
        <v>0</v>
      </c>
      <c r="Q221" s="123">
        <f>IFNA(vlookup(D221,'S2'!A217:B1419,2,False),0)</f>
        <v>63</v>
      </c>
      <c r="R221" s="123">
        <f>ifna(vlookup(D221,'S3'!$1:$1311,2,False),0)</f>
        <v>86</v>
      </c>
      <c r="S221" s="123"/>
      <c r="T221" s="161"/>
      <c r="U221" s="105"/>
      <c r="V221" s="105">
        <v>64.0</v>
      </c>
      <c r="W221" s="105">
        <v>44.0</v>
      </c>
      <c r="X221" s="105">
        <v>76.0</v>
      </c>
      <c r="Y221" s="105"/>
      <c r="Z221" s="158"/>
      <c r="AA221" s="105"/>
      <c r="AB221" s="105">
        <v>22.5</v>
      </c>
      <c r="AC221" s="105">
        <v>22.5</v>
      </c>
      <c r="AD221" s="105">
        <v>60.0</v>
      </c>
      <c r="AE221" s="130">
        <v>30.0</v>
      </c>
      <c r="AF221" s="105"/>
      <c r="AG221" s="129">
        <v>70.0</v>
      </c>
      <c r="AH221" s="129"/>
      <c r="AI221" s="88"/>
      <c r="AJ221" s="88"/>
      <c r="AK221" s="132">
        <f t="shared" si="1"/>
        <v>4</v>
      </c>
      <c r="AL221" s="132">
        <f t="shared" si="2"/>
        <v>0</v>
      </c>
      <c r="AM221" s="133">
        <f t="shared" si="3"/>
        <v>0</v>
      </c>
      <c r="AN221" s="132" t="str">
        <f t="shared" si="4"/>
        <v>0</v>
      </c>
      <c r="AO221" s="132">
        <f t="shared" si="5"/>
        <v>0</v>
      </c>
      <c r="AP221" s="88"/>
      <c r="AQ221" s="88"/>
    </row>
    <row r="222">
      <c r="A222" s="114">
        <v>216.0</v>
      </c>
      <c r="B222" s="164" t="s">
        <v>44</v>
      </c>
      <c r="C222" s="163" t="s">
        <v>2686</v>
      </c>
      <c r="D222" s="142" t="s">
        <v>366</v>
      </c>
      <c r="E222" s="160">
        <v>7.619298371E9</v>
      </c>
      <c r="F222" s="117" t="s">
        <v>2461</v>
      </c>
      <c r="G222" s="88"/>
      <c r="H222" s="155">
        <f>IFNA(VLOOKUP(B222,'L1 '!$1:$1000,2,False),0)</f>
        <v>65</v>
      </c>
      <c r="I222" s="156">
        <f>IFNA(VLOOKUP(B222,'L2'!$1:$1000,2,False),0)</f>
        <v>65</v>
      </c>
      <c r="J222" s="120">
        <f>IFNA(VLOOKUP(D222,'L3'!$1:$2060,2,False),0)</f>
        <v>70</v>
      </c>
      <c r="K222" s="120">
        <f>VLOOKUP(D222,'L4'!$1:$2059,2,FALSE)</f>
        <v>73</v>
      </c>
      <c r="L222" s="121">
        <f>VLOOKUP(D222,'A1 RETEST 5 DEC'!$1:$2096,2,FALSE)</f>
        <v>50</v>
      </c>
      <c r="M222" s="121">
        <f>VLOOKUP(D222,'A2 RETEST 4 DEC'!$1:$2096,2,FALSE)</f>
        <v>15</v>
      </c>
      <c r="N222" s="122">
        <v>28.0</v>
      </c>
      <c r="O222" s="121"/>
      <c r="P222" s="123">
        <f>IFNA(VLOOKUP(D222,'S1'!$1:$1325,2,False),0)</f>
        <v>50</v>
      </c>
      <c r="Q222" s="123">
        <f>IFNA(vlookup(D222,'S2'!A218:B1420,2,False),0)</f>
        <v>63</v>
      </c>
      <c r="R222" s="123">
        <f>ifna(vlookup(D222,'S3'!$1:$1311,2,False),0)</f>
        <v>77</v>
      </c>
      <c r="S222" s="123"/>
      <c r="T222" s="161"/>
      <c r="U222" s="105"/>
      <c r="V222" s="105">
        <v>52.0</v>
      </c>
      <c r="W222" s="105">
        <v>44.0</v>
      </c>
      <c r="X222" s="105">
        <v>62.0</v>
      </c>
      <c r="Y222" s="105"/>
      <c r="Z222" s="158"/>
      <c r="AA222" s="105"/>
      <c r="AB222" s="105">
        <v>34.5</v>
      </c>
      <c r="AC222" s="105">
        <v>34.5</v>
      </c>
      <c r="AD222" s="105">
        <v>60.0</v>
      </c>
      <c r="AE222" s="130">
        <v>37.0</v>
      </c>
      <c r="AF222" s="105"/>
      <c r="AG222" s="129">
        <v>63.0</v>
      </c>
      <c r="AH222" s="129"/>
      <c r="AI222" s="88"/>
      <c r="AJ222" s="88"/>
      <c r="AK222" s="132">
        <f t="shared" si="1"/>
        <v>4</v>
      </c>
      <c r="AL222" s="132">
        <f t="shared" si="2"/>
        <v>1</v>
      </c>
      <c r="AM222" s="133">
        <f t="shared" si="3"/>
        <v>0</v>
      </c>
      <c r="AN222" s="132" t="str">
        <f t="shared" si="4"/>
        <v>0</v>
      </c>
      <c r="AO222" s="132">
        <f t="shared" si="5"/>
        <v>3</v>
      </c>
      <c r="AP222" s="88"/>
      <c r="AQ222" s="88"/>
    </row>
    <row r="223">
      <c r="A223" s="114">
        <v>217.0</v>
      </c>
      <c r="B223" s="162" t="s">
        <v>37</v>
      </c>
      <c r="C223" s="163" t="s">
        <v>2687</v>
      </c>
      <c r="D223" s="142" t="s">
        <v>368</v>
      </c>
      <c r="E223" s="154">
        <v>9.731212043E9</v>
      </c>
      <c r="F223" s="117" t="s">
        <v>2461</v>
      </c>
      <c r="G223" s="88"/>
      <c r="H223" s="155">
        <f>IFNA(VLOOKUP(B223,'L1 '!$1:$1000,2,False),0)</f>
        <v>68</v>
      </c>
      <c r="I223" s="156">
        <f>IFNA(VLOOKUP(B223,'L2'!$1:$1000,2,False),0)</f>
        <v>32</v>
      </c>
      <c r="J223" s="120">
        <f>IFNA(VLOOKUP(D223,'L3'!$1:$2060,2,False),0)</f>
        <v>61</v>
      </c>
      <c r="K223" s="120">
        <f>VLOOKUP(D223,'L4'!$1:$2059,2,FALSE)</f>
        <v>75</v>
      </c>
      <c r="L223" s="121">
        <f>VLOOKUP(D223,'A1 RETEST 5 DEC'!$1:$2096,2,FALSE)</f>
        <v>5</v>
      </c>
      <c r="M223" s="121">
        <f>VLOOKUP(D223,'A2 RETEST 4 DEC'!$1:$2096,2,FALSE)</f>
        <v>0</v>
      </c>
      <c r="N223" s="122">
        <v>50.0</v>
      </c>
      <c r="O223" s="121"/>
      <c r="P223" s="123">
        <f>IFNA(VLOOKUP(D223,'S1'!$1:$1325,2,False),0)</f>
        <v>50</v>
      </c>
      <c r="Q223" s="123">
        <f>IFNA(vlookup(D223,'S2'!A219:B1421,2,False),0)</f>
        <v>65</v>
      </c>
      <c r="R223" s="123">
        <f>ifna(vlookup(D223,'S3'!$1:$1311,2,False),0)</f>
        <v>78</v>
      </c>
      <c r="S223" s="123"/>
      <c r="T223" s="161"/>
      <c r="U223" s="105"/>
      <c r="V223" s="105"/>
      <c r="W223" s="105">
        <v>80.0</v>
      </c>
      <c r="X223" s="105">
        <v>76.0</v>
      </c>
      <c r="Y223" s="105"/>
      <c r="Z223" s="158"/>
      <c r="AA223" s="105"/>
      <c r="AB223" s="105">
        <v>74.5</v>
      </c>
      <c r="AC223" s="105">
        <v>74.5</v>
      </c>
      <c r="AD223" s="105">
        <v>100.0</v>
      </c>
      <c r="AE223" s="130">
        <v>26.0</v>
      </c>
      <c r="AF223" s="105"/>
      <c r="AG223" s="129">
        <v>54.0</v>
      </c>
      <c r="AH223" s="129"/>
      <c r="AI223" s="88"/>
      <c r="AJ223" s="88"/>
      <c r="AK223" s="132">
        <f t="shared" si="1"/>
        <v>1</v>
      </c>
      <c r="AL223" s="132">
        <f t="shared" si="2"/>
        <v>0</v>
      </c>
      <c r="AM223" s="133">
        <f t="shared" si="3"/>
        <v>0</v>
      </c>
      <c r="AN223" s="132" t="str">
        <f t="shared" si="4"/>
        <v>3</v>
      </c>
      <c r="AO223" s="132">
        <f t="shared" si="5"/>
        <v>3</v>
      </c>
      <c r="AP223" s="88"/>
      <c r="AQ223" s="88"/>
    </row>
    <row r="224">
      <c r="A224" s="114">
        <v>218.0</v>
      </c>
      <c r="B224" s="164" t="s">
        <v>66</v>
      </c>
      <c r="C224" s="163" t="s">
        <v>2688</v>
      </c>
      <c r="D224" s="142" t="s">
        <v>365</v>
      </c>
      <c r="E224" s="160">
        <v>9.590983034E9</v>
      </c>
      <c r="F224" s="117" t="s">
        <v>2461</v>
      </c>
      <c r="G224" s="88"/>
      <c r="H224" s="155">
        <v>70.0</v>
      </c>
      <c r="I224" s="165">
        <v>70.0</v>
      </c>
      <c r="J224" s="120">
        <f>IFNA(VLOOKUP(D224,'L3'!$1:$2060,2,False),0)</f>
        <v>70</v>
      </c>
      <c r="K224" s="120">
        <f>VLOOKUP(D224,'L4'!$1:$2059,2,FALSE)</f>
        <v>70</v>
      </c>
      <c r="L224" s="121">
        <f>VLOOKUP(D224,'A1 RETEST 5 DEC'!$1:$2096,2,FALSE)</f>
        <v>50</v>
      </c>
      <c r="M224" s="121">
        <f>VLOOKUP(D224,'A2 RETEST 4 DEC'!$1:$2096,2,FALSE)</f>
        <v>50</v>
      </c>
      <c r="N224" s="122">
        <v>50.0</v>
      </c>
      <c r="O224" s="121"/>
      <c r="P224" s="123">
        <f>IFNA(VLOOKUP(D224,'S1'!$1:$1325,2,False),0)</f>
        <v>50</v>
      </c>
      <c r="Q224" s="123">
        <f>IFNA(vlookup(D224,'S2'!A220:B1422,2,False),0)</f>
        <v>62</v>
      </c>
      <c r="R224" s="123">
        <f>ifna(vlookup(D224,'S3'!$1:$1311,2,False),0)</f>
        <v>83</v>
      </c>
      <c r="S224" s="123"/>
      <c r="U224" s="105"/>
      <c r="V224" s="105">
        <v>56.0</v>
      </c>
      <c r="W224" s="105">
        <v>68.0</v>
      </c>
      <c r="X224" s="105">
        <v>82.0</v>
      </c>
      <c r="Y224" s="105"/>
      <c r="Z224" s="158"/>
      <c r="AA224" s="105"/>
      <c r="AB224" s="105">
        <v>64.5</v>
      </c>
      <c r="AC224" s="105">
        <v>64.5</v>
      </c>
      <c r="AD224" s="105">
        <v>85.0</v>
      </c>
      <c r="AE224" s="130">
        <v>86.0</v>
      </c>
      <c r="AF224" s="105"/>
      <c r="AG224" s="129">
        <v>74.0</v>
      </c>
      <c r="AH224" s="129"/>
      <c r="AI224" s="88"/>
      <c r="AJ224" s="88"/>
      <c r="AK224" s="132">
        <f t="shared" si="1"/>
        <v>4</v>
      </c>
      <c r="AL224" s="132">
        <f t="shared" si="2"/>
        <v>3</v>
      </c>
      <c r="AM224" s="133">
        <f t="shared" si="3"/>
        <v>0</v>
      </c>
      <c r="AN224" s="132" t="str">
        <f t="shared" si="4"/>
        <v>3.5</v>
      </c>
      <c r="AO224" s="132">
        <f t="shared" si="5"/>
        <v>3</v>
      </c>
      <c r="AP224" s="88"/>
      <c r="AQ224" s="88"/>
    </row>
    <row r="225">
      <c r="A225" s="114">
        <v>219.0</v>
      </c>
      <c r="B225" s="164" t="s">
        <v>2689</v>
      </c>
      <c r="C225" s="163" t="s">
        <v>2690</v>
      </c>
      <c r="D225" s="142" t="s">
        <v>374</v>
      </c>
      <c r="E225" s="166">
        <v>9.380166683E9</v>
      </c>
      <c r="F225" s="117" t="s">
        <v>2461</v>
      </c>
      <c r="G225" s="88"/>
      <c r="H225" s="155">
        <v>70.0</v>
      </c>
      <c r="I225" s="165">
        <v>70.0</v>
      </c>
      <c r="J225" s="120">
        <f>IFNA(VLOOKUP(D225,'L3'!$1:$2060,2,False),0)</f>
        <v>33</v>
      </c>
      <c r="K225" s="120">
        <f>VLOOKUP(D225,'L4'!$1:$2059,2,FALSE)</f>
        <v>6</v>
      </c>
      <c r="L225" s="121">
        <f>VLOOKUP(D225,'A1 RETEST 5 DEC'!$1:$2096,2,FALSE)</f>
        <v>0</v>
      </c>
      <c r="M225" s="121">
        <f>VLOOKUP(D225,'A2 RETEST 4 DEC'!$1:$2096,2,FALSE)</f>
        <v>6</v>
      </c>
      <c r="N225" s="122">
        <v>0.0</v>
      </c>
      <c r="O225" s="121"/>
      <c r="P225" s="123">
        <f>IFNA(VLOOKUP(D225,'S1'!$1:$1325,2,False),0)</f>
        <v>0</v>
      </c>
      <c r="Q225" s="123">
        <f>IFNA(vlookup(D225,'S2'!A221:B1423,2,False),0)</f>
        <v>0</v>
      </c>
      <c r="R225" s="123">
        <f>ifna(vlookup(D225,'S3'!$1:$1311,2,False),0)</f>
        <v>0</v>
      </c>
      <c r="S225" s="123"/>
      <c r="T225" s="161"/>
      <c r="U225" s="105"/>
      <c r="V225" s="105"/>
      <c r="W225" s="105"/>
      <c r="X225" s="105"/>
      <c r="Y225" s="105"/>
      <c r="Z225" s="158"/>
      <c r="AA225" s="105"/>
      <c r="AB225" s="105">
        <v>0.0</v>
      </c>
      <c r="AC225" s="105">
        <v>0.0</v>
      </c>
      <c r="AD225" s="105">
        <v>0.0</v>
      </c>
      <c r="AE225" s="130">
        <v>10.0</v>
      </c>
      <c r="AF225" s="105"/>
      <c r="AG225" s="129">
        <v>0.0</v>
      </c>
      <c r="AH225" s="129"/>
      <c r="AI225" s="88"/>
      <c r="AJ225" s="88"/>
      <c r="AK225" s="132">
        <f t="shared" si="1"/>
        <v>2</v>
      </c>
      <c r="AL225" s="132">
        <f t="shared" si="2"/>
        <v>0</v>
      </c>
      <c r="AM225" s="133">
        <f t="shared" si="3"/>
        <v>0</v>
      </c>
      <c r="AN225" s="132" t="str">
        <f t="shared" si="4"/>
        <v>0</v>
      </c>
      <c r="AO225" s="132">
        <f t="shared" si="5"/>
        <v>0</v>
      </c>
      <c r="AP225" s="88"/>
      <c r="AQ225" s="88"/>
    </row>
    <row r="226">
      <c r="A226" s="114">
        <v>220.0</v>
      </c>
      <c r="B226" s="159" t="s">
        <v>102</v>
      </c>
      <c r="C226" s="163" t="s">
        <v>2691</v>
      </c>
      <c r="D226" s="142" t="s">
        <v>376</v>
      </c>
      <c r="E226" s="160">
        <v>7.259938538E9</v>
      </c>
      <c r="F226" s="117" t="s">
        <v>2461</v>
      </c>
      <c r="G226" s="88"/>
      <c r="H226" s="155">
        <v>70.0</v>
      </c>
      <c r="I226" s="165">
        <v>70.0</v>
      </c>
      <c r="J226" s="120">
        <f>IFNA(VLOOKUP(D226,'L3'!$1:$2060,2,False),0)</f>
        <v>52</v>
      </c>
      <c r="K226" s="120">
        <f>VLOOKUP(D226,'L4'!$1:$2059,2,FALSE)</f>
        <v>48</v>
      </c>
      <c r="L226" s="121">
        <f>VLOOKUP(D226,'A1 RETEST 5 DEC'!$1:$2096,2,FALSE)</f>
        <v>0</v>
      </c>
      <c r="M226" s="121">
        <f>VLOOKUP(D226,'A2 RETEST 4 DEC'!$1:$2096,2,FALSE)</f>
        <v>3</v>
      </c>
      <c r="N226" s="122">
        <v>0.0</v>
      </c>
      <c r="O226" s="121"/>
      <c r="P226" s="123">
        <f>IFNA(VLOOKUP(D226,'S1'!$1:$1325,2,False),0)</f>
        <v>0</v>
      </c>
      <c r="Q226" s="123">
        <f>IFNA(vlookup(D226,'S2'!A222:B1424,2,False),0)</f>
        <v>63</v>
      </c>
      <c r="R226" s="123">
        <f>ifna(vlookup(D226,'S3'!$1:$1311,2,False),0)</f>
        <v>0</v>
      </c>
      <c r="S226" s="123"/>
      <c r="T226" s="161"/>
      <c r="U226" s="105"/>
      <c r="V226" s="105">
        <v>56.0</v>
      </c>
      <c r="W226" s="105">
        <v>32.0</v>
      </c>
      <c r="X226" s="105"/>
      <c r="Y226" s="105"/>
      <c r="Z226" s="158"/>
      <c r="AA226" s="105"/>
      <c r="AB226" s="105">
        <v>1.5</v>
      </c>
      <c r="AC226" s="105">
        <v>1.5</v>
      </c>
      <c r="AD226" s="105">
        <v>2.0</v>
      </c>
      <c r="AE226" s="130">
        <v>10.0</v>
      </c>
      <c r="AF226" s="105"/>
      <c r="AG226" s="129">
        <v>0.0</v>
      </c>
      <c r="AH226" s="129"/>
      <c r="AI226" s="88"/>
      <c r="AJ226" s="88"/>
      <c r="AK226" s="132">
        <f t="shared" si="1"/>
        <v>2</v>
      </c>
      <c r="AL226" s="132">
        <f t="shared" si="2"/>
        <v>0</v>
      </c>
      <c r="AM226" s="133">
        <f t="shared" si="3"/>
        <v>0</v>
      </c>
      <c r="AN226" s="132" t="str">
        <f t="shared" si="4"/>
        <v>0</v>
      </c>
      <c r="AO226" s="132">
        <f t="shared" si="5"/>
        <v>0</v>
      </c>
      <c r="AP226" s="88"/>
      <c r="AQ226" s="88"/>
    </row>
    <row r="227">
      <c r="A227" s="114">
        <v>221.0</v>
      </c>
      <c r="B227" s="164" t="s">
        <v>53</v>
      </c>
      <c r="C227" s="163" t="s">
        <v>2692</v>
      </c>
      <c r="D227" s="142" t="s">
        <v>361</v>
      </c>
      <c r="E227" s="167">
        <v>7.349410633E9</v>
      </c>
      <c r="F227" s="117" t="s">
        <v>2461</v>
      </c>
      <c r="G227" s="88"/>
      <c r="H227" s="155">
        <v>70.0</v>
      </c>
      <c r="I227" s="165">
        <v>70.0</v>
      </c>
      <c r="J227" s="120">
        <f>IFNA(VLOOKUP(D227,'L3'!$1:$2060,2,False),0)</f>
        <v>70</v>
      </c>
      <c r="K227" s="120">
        <f>VLOOKUP(D227,'L4'!$1:$2059,2,FALSE)</f>
        <v>70</v>
      </c>
      <c r="L227" s="121">
        <f>VLOOKUP(D227,'A1 RETEST 5 DEC'!$1:$2096,2,FALSE)</f>
        <v>50</v>
      </c>
      <c r="M227" s="121">
        <f>VLOOKUP(D227,'A2 RETEST 4 DEC'!$1:$2096,2,FALSE)</f>
        <v>8</v>
      </c>
      <c r="N227" s="122">
        <v>0.0</v>
      </c>
      <c r="O227" s="121"/>
      <c r="P227" s="123">
        <f>IFNA(VLOOKUP(D227,'S1'!$1:$1325,2,False),0)</f>
        <v>50</v>
      </c>
      <c r="Q227" s="123">
        <f>IFNA(vlookup(D227,'S2'!A223:B1425,2,False),0)</f>
        <v>0</v>
      </c>
      <c r="R227" s="123">
        <f>ifna(vlookup(D227,'S3'!$1:$1311,2,False),0)</f>
        <v>88</v>
      </c>
      <c r="S227" s="123"/>
      <c r="T227" s="161"/>
      <c r="U227" s="105"/>
      <c r="V227" s="105">
        <v>48.0</v>
      </c>
      <c r="W227" s="105"/>
      <c r="X227" s="105">
        <v>74.0</v>
      </c>
      <c r="Y227" s="105"/>
      <c r="Z227" s="158"/>
      <c r="AA227" s="105"/>
      <c r="AB227" s="105">
        <v>70.0</v>
      </c>
      <c r="AC227" s="105">
        <v>70.0</v>
      </c>
      <c r="AD227" s="105">
        <v>83.0</v>
      </c>
      <c r="AE227" s="130">
        <v>10.0</v>
      </c>
      <c r="AF227" s="105"/>
      <c r="AG227" s="129">
        <v>10.0</v>
      </c>
      <c r="AH227" s="129"/>
      <c r="AI227" s="88"/>
      <c r="AJ227" s="88"/>
      <c r="AK227" s="132">
        <f t="shared" si="1"/>
        <v>4</v>
      </c>
      <c r="AL227" s="132">
        <f t="shared" si="2"/>
        <v>1</v>
      </c>
      <c r="AM227" s="133">
        <f t="shared" si="3"/>
        <v>0</v>
      </c>
      <c r="AN227" s="132" t="str">
        <f t="shared" si="4"/>
        <v>3</v>
      </c>
      <c r="AO227" s="132">
        <f t="shared" si="5"/>
        <v>1</v>
      </c>
      <c r="AP227" s="88"/>
      <c r="AQ227" s="88"/>
    </row>
    <row r="228">
      <c r="A228" s="114">
        <v>222.0</v>
      </c>
      <c r="B228" s="159" t="s">
        <v>54</v>
      </c>
      <c r="C228" s="163" t="s">
        <v>2693</v>
      </c>
      <c r="D228" s="142" t="s">
        <v>367</v>
      </c>
      <c r="E228" s="160">
        <v>9.353884238E9</v>
      </c>
      <c r="F228" s="117" t="s">
        <v>2461</v>
      </c>
      <c r="G228" s="88"/>
      <c r="H228" s="155">
        <v>70.0</v>
      </c>
      <c r="I228" s="165">
        <v>70.0</v>
      </c>
      <c r="J228" s="120">
        <f>IFNA(VLOOKUP(D228,'L3'!$1:$2060,2,False),0)</f>
        <v>81</v>
      </c>
      <c r="K228" s="120">
        <f>VLOOKUP(D228,'L4'!$1:$2059,2,FALSE)</f>
        <v>70</v>
      </c>
      <c r="L228" s="121">
        <f>VLOOKUP(D228,'A1 RETEST 5 DEC'!$1:$2096,2,FALSE)</f>
        <v>50</v>
      </c>
      <c r="M228" s="121">
        <f>VLOOKUP(D228,'A2 RETEST 4 DEC'!$1:$2096,2,FALSE)</f>
        <v>50</v>
      </c>
      <c r="N228" s="122">
        <v>50.0</v>
      </c>
      <c r="O228" s="121"/>
      <c r="P228" s="123">
        <f>IFNA(VLOOKUP(D228,'S1'!$1:$1325,2,False),0)</f>
        <v>50</v>
      </c>
      <c r="Q228" s="123">
        <f>IFNA(vlookup(D228,'S2'!A224:B1426,2,False),0)</f>
        <v>62</v>
      </c>
      <c r="R228" s="123">
        <f>ifna(vlookup(D228,'S3'!$1:$1311,2,False),0)</f>
        <v>77</v>
      </c>
      <c r="S228" s="123"/>
      <c r="T228" s="161"/>
      <c r="U228" s="105"/>
      <c r="V228" s="105">
        <v>12.0</v>
      </c>
      <c r="W228" s="105">
        <v>64.0</v>
      </c>
      <c r="X228" s="105">
        <v>80.0</v>
      </c>
      <c r="Y228" s="105"/>
      <c r="Z228" s="158"/>
      <c r="AA228" s="105"/>
      <c r="AB228" s="105">
        <v>65.0</v>
      </c>
      <c r="AC228" s="105">
        <v>65.0</v>
      </c>
      <c r="AD228" s="105">
        <v>61.0</v>
      </c>
      <c r="AE228" s="130">
        <v>81.0</v>
      </c>
      <c r="AF228" s="105"/>
      <c r="AG228" s="129">
        <v>22.0</v>
      </c>
      <c r="AH228" s="129"/>
      <c r="AI228" s="88"/>
      <c r="AJ228" s="88"/>
      <c r="AK228" s="132">
        <f t="shared" si="1"/>
        <v>4</v>
      </c>
      <c r="AL228" s="132">
        <f t="shared" si="2"/>
        <v>3</v>
      </c>
      <c r="AM228" s="133">
        <f t="shared" si="3"/>
        <v>0</v>
      </c>
      <c r="AN228" s="132" t="str">
        <f t="shared" si="4"/>
        <v>3.5</v>
      </c>
      <c r="AO228" s="132">
        <f t="shared" si="5"/>
        <v>3</v>
      </c>
      <c r="AP228" s="88"/>
      <c r="AQ228" s="88"/>
    </row>
    <row r="229">
      <c r="A229" s="114">
        <v>223.0</v>
      </c>
      <c r="B229" s="164" t="s">
        <v>2694</v>
      </c>
      <c r="C229" s="163" t="s">
        <v>2695</v>
      </c>
      <c r="D229" s="142" t="s">
        <v>372</v>
      </c>
      <c r="E229" s="154">
        <v>8.073135746E9</v>
      </c>
      <c r="F229" s="117" t="s">
        <v>2461</v>
      </c>
      <c r="G229" s="88"/>
      <c r="H229" s="155">
        <f>IFNA(VLOOKUP(B229,'L1 '!$1:$1000,2,False),0)</f>
        <v>0</v>
      </c>
      <c r="I229" s="156">
        <f>IFNA(VLOOKUP(B229,'L2'!$1:$1000,2,False),0)</f>
        <v>0</v>
      </c>
      <c r="J229" s="120">
        <f>IFNA(VLOOKUP(D229,'L3'!$1:$2060,2,False),0)</f>
        <v>70</v>
      </c>
      <c r="K229" s="120">
        <f>VLOOKUP(D229,'L4'!$1:$2059,2,FALSE)</f>
        <v>51</v>
      </c>
      <c r="L229" s="121">
        <f>VLOOKUP(D229,'A1 RETEST 5 DEC'!$1:$2096,2,FALSE)</f>
        <v>0</v>
      </c>
      <c r="M229" s="121">
        <f>VLOOKUP(D229,'A2 RETEST 4 DEC'!$1:$2096,2,FALSE)</f>
        <v>0</v>
      </c>
      <c r="N229" s="122">
        <v>9.0</v>
      </c>
      <c r="O229" s="121"/>
      <c r="P229" s="123">
        <f>IFNA(VLOOKUP(D229,'S1'!$1:$1325,2,False),0)</f>
        <v>0</v>
      </c>
      <c r="Q229" s="123">
        <f>IFNA(vlookup(D229,'S2'!A225:B1427,2,False),0)</f>
        <v>0</v>
      </c>
      <c r="R229" s="123">
        <f>ifna(vlookup(D229,'S3'!$1:$1311,2,False),0)</f>
        <v>0</v>
      </c>
      <c r="S229" s="123"/>
      <c r="T229" s="161"/>
      <c r="U229" s="105"/>
      <c r="V229" s="105"/>
      <c r="W229" s="105">
        <v>80.0</v>
      </c>
      <c r="X229" s="105">
        <v>68.0</v>
      </c>
      <c r="Y229" s="105"/>
      <c r="Z229" s="158"/>
      <c r="AA229" s="105"/>
      <c r="AB229" s="105">
        <v>0.0</v>
      </c>
      <c r="AC229" s="105">
        <v>0.0</v>
      </c>
      <c r="AD229" s="105">
        <v>0.0</v>
      </c>
      <c r="AE229" s="130">
        <v>10.0</v>
      </c>
      <c r="AF229" s="105"/>
      <c r="AG229" s="129">
        <v>0.0</v>
      </c>
      <c r="AH229" s="129"/>
      <c r="AI229" s="88"/>
      <c r="AJ229" s="88"/>
      <c r="AK229" s="132">
        <f t="shared" si="1"/>
        <v>0</v>
      </c>
      <c r="AL229" s="132">
        <f t="shared" si="2"/>
        <v>0</v>
      </c>
      <c r="AM229" s="133">
        <f t="shared" si="3"/>
        <v>0</v>
      </c>
      <c r="AN229" s="132" t="str">
        <f t="shared" si="4"/>
        <v>0</v>
      </c>
      <c r="AO229" s="132">
        <f t="shared" si="5"/>
        <v>0</v>
      </c>
      <c r="AP229" s="88"/>
      <c r="AQ229" s="88"/>
    </row>
    <row r="230">
      <c r="A230" s="114">
        <v>224.0</v>
      </c>
      <c r="B230" s="159" t="s">
        <v>70</v>
      </c>
      <c r="C230" s="163" t="s">
        <v>2696</v>
      </c>
      <c r="D230" s="142" t="s">
        <v>377</v>
      </c>
      <c r="E230" s="160">
        <v>8.088536572E9</v>
      </c>
      <c r="F230" s="117" t="s">
        <v>2461</v>
      </c>
      <c r="G230" s="88"/>
      <c r="H230" s="155">
        <f>IFNA(VLOOKUP(B230,'L1 '!$1:$1000,2,False),0)</f>
        <v>52</v>
      </c>
      <c r="I230" s="156">
        <f>IFNA(VLOOKUP(B230,'L2'!$1:$1000,2,False),0)</f>
        <v>36</v>
      </c>
      <c r="J230" s="120">
        <f>IFNA(VLOOKUP(D230,'L3'!$1:$2060,2,False),0)</f>
        <v>70</v>
      </c>
      <c r="K230" s="120">
        <f>VLOOKUP(D230,'L4'!$1:$2059,2,FALSE)</f>
        <v>74</v>
      </c>
      <c r="L230" s="121">
        <f>VLOOKUP(D230,'A1 RETEST 5 DEC'!$1:$2096,2,FALSE)</f>
        <v>7</v>
      </c>
      <c r="M230" s="121">
        <f>VLOOKUP(D230,'A2 RETEST 4 DEC'!$1:$2096,2,FALSE)</f>
        <v>0</v>
      </c>
      <c r="N230" s="122">
        <v>0.0</v>
      </c>
      <c r="O230" s="121"/>
      <c r="P230" s="123">
        <f>IFNA(VLOOKUP(D230,'S1'!$1:$1325,2,False),0)</f>
        <v>0</v>
      </c>
      <c r="Q230" s="123">
        <f>IFNA(vlookup(D230,'S2'!A226:B1428,2,False),0)</f>
        <v>63</v>
      </c>
      <c r="R230" s="123">
        <f>ifna(vlookup(D230,'S3'!$1:$1311,2,False),0)</f>
        <v>0</v>
      </c>
      <c r="S230" s="123"/>
      <c r="T230" s="161"/>
      <c r="U230" s="105"/>
      <c r="V230" s="105">
        <v>64.0</v>
      </c>
      <c r="W230" s="105">
        <v>32.0</v>
      </c>
      <c r="X230" s="105"/>
      <c r="Y230" s="105"/>
      <c r="Z230" s="158"/>
      <c r="AA230" s="105"/>
      <c r="AB230" s="105">
        <v>1.5</v>
      </c>
      <c r="AC230" s="105">
        <v>1.5</v>
      </c>
      <c r="AD230" s="105">
        <v>0.0</v>
      </c>
      <c r="AE230" s="130">
        <v>10.0</v>
      </c>
      <c r="AF230" s="105"/>
      <c r="AG230" s="129">
        <v>0.0</v>
      </c>
      <c r="AH230" s="129"/>
      <c r="AI230" s="88"/>
      <c r="AJ230" s="88"/>
      <c r="AK230" s="132">
        <f t="shared" si="1"/>
        <v>0</v>
      </c>
      <c r="AL230" s="132">
        <f t="shared" si="2"/>
        <v>0</v>
      </c>
      <c r="AM230" s="133">
        <f t="shared" si="3"/>
        <v>0</v>
      </c>
      <c r="AN230" s="132" t="str">
        <f t="shared" si="4"/>
        <v>0</v>
      </c>
      <c r="AO230" s="132">
        <f t="shared" si="5"/>
        <v>0</v>
      </c>
      <c r="AP230" s="88"/>
      <c r="AQ230" s="88"/>
    </row>
    <row r="231">
      <c r="A231" s="114">
        <v>225.0</v>
      </c>
      <c r="B231" s="164" t="s">
        <v>39</v>
      </c>
      <c r="C231" s="163" t="s">
        <v>2697</v>
      </c>
      <c r="D231" s="142" t="s">
        <v>373</v>
      </c>
      <c r="E231" s="154">
        <v>9.900931808E9</v>
      </c>
      <c r="F231" s="117" t="s">
        <v>2461</v>
      </c>
      <c r="G231" s="88"/>
      <c r="H231" s="155">
        <v>70.0</v>
      </c>
      <c r="I231" s="165">
        <v>70.0</v>
      </c>
      <c r="J231" s="120">
        <f>IFNA(VLOOKUP(D231,'L3'!$1:$2060,2,False),0)</f>
        <v>70</v>
      </c>
      <c r="K231" s="120">
        <f>VLOOKUP(D231,'L4'!$1:$2059,2,FALSE)</f>
        <v>70</v>
      </c>
      <c r="L231" s="121">
        <f>VLOOKUP(D231,'A1 RETEST 5 DEC'!$1:$2096,2,FALSE)</f>
        <v>20</v>
      </c>
      <c r="M231" s="121">
        <f>VLOOKUP(D231,'A2 RETEST 4 DEC'!$1:$2096,2,FALSE)</f>
        <v>18</v>
      </c>
      <c r="N231" s="122">
        <v>50.0</v>
      </c>
      <c r="O231" s="121"/>
      <c r="P231" s="123">
        <f>IFNA(VLOOKUP(D231,'S1'!$1:$1325,2,False),0)</f>
        <v>50</v>
      </c>
      <c r="Q231" s="123">
        <f>IFNA(vlookup(D231,'S2'!A227:B1429,2,False),0)</f>
        <v>71</v>
      </c>
      <c r="R231" s="123">
        <f>ifna(vlookup(D231,'S3'!$1:$1311,2,False),0)</f>
        <v>75</v>
      </c>
      <c r="S231" s="123"/>
      <c r="T231" s="161"/>
      <c r="U231" s="105"/>
      <c r="V231" s="105">
        <v>72.0</v>
      </c>
      <c r="W231" s="105">
        <v>28.0</v>
      </c>
      <c r="X231" s="105">
        <v>72.0</v>
      </c>
      <c r="Y231" s="105"/>
      <c r="Z231" s="158"/>
      <c r="AA231" s="105"/>
      <c r="AB231" s="105">
        <v>50.0</v>
      </c>
      <c r="AC231" s="105">
        <v>60.0</v>
      </c>
      <c r="AD231" s="105">
        <v>90.0</v>
      </c>
      <c r="AE231" s="130">
        <v>70.0</v>
      </c>
      <c r="AF231" s="105"/>
      <c r="AG231" s="129">
        <v>0.0</v>
      </c>
      <c r="AH231" s="129"/>
      <c r="AI231" s="88"/>
      <c r="AJ231" s="88"/>
      <c r="AK231" s="132">
        <f t="shared" si="1"/>
        <v>4</v>
      </c>
      <c r="AL231" s="132">
        <f t="shared" si="2"/>
        <v>0</v>
      </c>
      <c r="AM231" s="133">
        <f t="shared" si="3"/>
        <v>0</v>
      </c>
      <c r="AN231" s="132" t="str">
        <f t="shared" si="4"/>
        <v>3.5</v>
      </c>
      <c r="AO231" s="132">
        <f t="shared" si="5"/>
        <v>3</v>
      </c>
      <c r="AP231" s="88"/>
      <c r="AQ231" s="88"/>
    </row>
    <row r="232">
      <c r="A232" s="114">
        <v>226.0</v>
      </c>
      <c r="B232" s="164" t="s">
        <v>101</v>
      </c>
      <c r="C232" s="163" t="s">
        <v>2698</v>
      </c>
      <c r="D232" s="142" t="s">
        <v>362</v>
      </c>
      <c r="E232" s="160">
        <v>9.019954603E9</v>
      </c>
      <c r="F232" s="117" t="s">
        <v>2461</v>
      </c>
      <c r="G232" s="88"/>
      <c r="H232" s="155">
        <v>70.0</v>
      </c>
      <c r="I232" s="165">
        <v>70.0</v>
      </c>
      <c r="J232" s="120">
        <f>IFNA(VLOOKUP(D232,'L3'!$1:$2060,2,False),0)</f>
        <v>70</v>
      </c>
      <c r="K232" s="120">
        <f>VLOOKUP(D232,'L4'!$1:$2059,2,FALSE)</f>
        <v>70</v>
      </c>
      <c r="L232" s="121">
        <f>VLOOKUP(D232,'A1 RETEST 5 DEC'!$1:$2096,2,FALSE)</f>
        <v>50</v>
      </c>
      <c r="M232" s="121">
        <f>VLOOKUP(D232,'A2 RETEST 4 DEC'!$1:$2096,2,FALSE)</f>
        <v>31</v>
      </c>
      <c r="N232" s="122">
        <v>50.0</v>
      </c>
      <c r="O232" s="121"/>
      <c r="P232" s="123">
        <f>IFNA(VLOOKUP(D232,'S1'!$1:$1325,2,False),0)</f>
        <v>50</v>
      </c>
      <c r="Q232" s="123">
        <f>IFNA(vlookup(D232,'S2'!A228:B1430,2,False),0)</f>
        <v>0</v>
      </c>
      <c r="R232" s="123">
        <f>ifna(vlookup(D232,'S3'!$1:$1311,2,False),0)</f>
        <v>81</v>
      </c>
      <c r="S232" s="123"/>
      <c r="T232" s="161"/>
      <c r="U232" s="105"/>
      <c r="V232" s="105">
        <v>84.0</v>
      </c>
      <c r="W232" s="105">
        <v>44.0</v>
      </c>
      <c r="X232" s="105">
        <v>86.0</v>
      </c>
      <c r="Y232" s="105"/>
      <c r="Z232" s="158"/>
      <c r="AA232" s="105"/>
      <c r="AB232" s="105">
        <v>80.0</v>
      </c>
      <c r="AC232" s="105">
        <v>80.0</v>
      </c>
      <c r="AD232" s="105">
        <v>83.0</v>
      </c>
      <c r="AE232" s="130">
        <v>23.0</v>
      </c>
      <c r="AF232" s="105"/>
      <c r="AG232" s="129">
        <v>57.0</v>
      </c>
      <c r="AH232" s="129"/>
      <c r="AI232" s="88"/>
      <c r="AJ232" s="88"/>
      <c r="AK232" s="132">
        <f t="shared" si="1"/>
        <v>4</v>
      </c>
      <c r="AL232" s="132">
        <f t="shared" si="2"/>
        <v>1</v>
      </c>
      <c r="AM232" s="133">
        <f t="shared" si="3"/>
        <v>0</v>
      </c>
      <c r="AN232" s="132" t="str">
        <f t="shared" si="4"/>
        <v>3</v>
      </c>
      <c r="AO232" s="132">
        <f t="shared" si="5"/>
        <v>1</v>
      </c>
      <c r="AP232" s="88"/>
      <c r="AQ232" s="88"/>
    </row>
    <row r="233">
      <c r="A233" s="114">
        <v>227.0</v>
      </c>
      <c r="B233" s="162" t="s">
        <v>91</v>
      </c>
      <c r="C233" s="163" t="s">
        <v>2699</v>
      </c>
      <c r="D233" s="142" t="s">
        <v>371</v>
      </c>
      <c r="E233" s="154">
        <v>9.611739465E9</v>
      </c>
      <c r="F233" s="117" t="s">
        <v>2461</v>
      </c>
      <c r="G233" s="88"/>
      <c r="H233" s="155">
        <f>IFNA(VLOOKUP(B233,'L1 '!$1:$1000,2,False),0)</f>
        <v>70</v>
      </c>
      <c r="I233" s="156">
        <f>IFNA(VLOOKUP(B233,'L2'!$1:$1000,2,False),0)</f>
        <v>70</v>
      </c>
      <c r="J233" s="120">
        <f>IFNA(VLOOKUP(D233,'L3'!$1:$2060,2,False),0)</f>
        <v>70</v>
      </c>
      <c r="K233" s="120">
        <f>VLOOKUP(D233,'L4'!$1:$2059,2,FALSE)</f>
        <v>70</v>
      </c>
      <c r="L233" s="121">
        <f>VLOOKUP(D233,'A1 RETEST 5 DEC'!$1:$2096,2,FALSE)</f>
        <v>50</v>
      </c>
      <c r="M233" s="121">
        <f>VLOOKUP(D233,'A2 RETEST 4 DEC'!$1:$2096,2,FALSE)</f>
        <v>10</v>
      </c>
      <c r="N233" s="122">
        <v>50.0</v>
      </c>
      <c r="O233" s="121"/>
      <c r="P233" s="123">
        <f>IFNA(VLOOKUP(D233,'S1'!$1:$1325,2,False),0)</f>
        <v>50</v>
      </c>
      <c r="Q233" s="123">
        <f>IFNA(vlookup(D233,'S2'!A229:B1431,2,False),0)</f>
        <v>71</v>
      </c>
      <c r="R233" s="123">
        <f>ifna(vlookup(D233,'S3'!$1:$1311,2,False),0)</f>
        <v>83</v>
      </c>
      <c r="S233" s="123"/>
      <c r="T233" s="161"/>
      <c r="U233" s="105"/>
      <c r="V233" s="105">
        <v>64.0</v>
      </c>
      <c r="W233" s="105">
        <v>36.0</v>
      </c>
      <c r="X233" s="105">
        <v>70.0</v>
      </c>
      <c r="Y233" s="105"/>
      <c r="Z233" s="158"/>
      <c r="AA233" s="105"/>
      <c r="AB233" s="105">
        <v>43.5</v>
      </c>
      <c r="AC233" s="105">
        <v>43.5</v>
      </c>
      <c r="AD233" s="105">
        <v>90.0</v>
      </c>
      <c r="AE233" s="130">
        <v>70.0</v>
      </c>
      <c r="AF233" s="105"/>
      <c r="AG233" s="129">
        <v>27.0</v>
      </c>
      <c r="AH233" s="129"/>
      <c r="AI233" s="88"/>
      <c r="AJ233" s="88"/>
      <c r="AK233" s="132">
        <f t="shared" si="1"/>
        <v>4</v>
      </c>
      <c r="AL233" s="132">
        <f t="shared" si="2"/>
        <v>1</v>
      </c>
      <c r="AM233" s="133">
        <f t="shared" si="3"/>
        <v>0</v>
      </c>
      <c r="AN233" s="132" t="str">
        <f t="shared" si="4"/>
        <v>0</v>
      </c>
      <c r="AO233" s="132">
        <f t="shared" si="5"/>
        <v>3</v>
      </c>
      <c r="AP233" s="88"/>
      <c r="AQ233" s="88"/>
    </row>
    <row r="234">
      <c r="A234" s="114">
        <v>228.0</v>
      </c>
      <c r="B234" s="159" t="s">
        <v>57</v>
      </c>
      <c r="C234" s="163" t="s">
        <v>2700</v>
      </c>
      <c r="D234" s="142" t="s">
        <v>375</v>
      </c>
      <c r="E234" s="160">
        <v>7.34914023E9</v>
      </c>
      <c r="F234" s="117" t="s">
        <v>2461</v>
      </c>
      <c r="G234" s="88"/>
      <c r="H234" s="155">
        <v>70.0</v>
      </c>
      <c r="I234" s="165">
        <v>70.0</v>
      </c>
      <c r="J234" s="120">
        <f>IFNA(VLOOKUP(D234,'L3'!$1:$2060,2,False),0)</f>
        <v>70</v>
      </c>
      <c r="K234" s="120">
        <f>VLOOKUP(D234,'L4'!$1:$2059,2,FALSE)</f>
        <v>70</v>
      </c>
      <c r="L234" s="121">
        <f>VLOOKUP(D234,'A1 RETEST 5 DEC'!$1:$2096,2,FALSE)</f>
        <v>50</v>
      </c>
      <c r="M234" s="121">
        <f>VLOOKUP(D234,'A2 RETEST 4 DEC'!$1:$2096,2,FALSE)</f>
        <v>8</v>
      </c>
      <c r="N234" s="122">
        <v>50.0</v>
      </c>
      <c r="O234" s="121"/>
      <c r="P234" s="123">
        <f>IFNA(VLOOKUP(D234,'S1'!$1:$1325,2,False),0)</f>
        <v>50</v>
      </c>
      <c r="Q234" s="123">
        <f>IFNA(vlookup(D234,'S2'!A230:B1432,2,False),0)</f>
        <v>63</v>
      </c>
      <c r="R234" s="123">
        <f>ifna(vlookup(D234,'S3'!$1:$1311,2,False),0)</f>
        <v>91</v>
      </c>
      <c r="S234" s="123"/>
      <c r="T234" s="161"/>
      <c r="U234" s="105"/>
      <c r="V234" s="105">
        <v>52.0</v>
      </c>
      <c r="W234" s="105">
        <v>36.0</v>
      </c>
      <c r="X234" s="105">
        <v>74.0</v>
      </c>
      <c r="Y234" s="105"/>
      <c r="Z234" s="158"/>
      <c r="AA234" s="105"/>
      <c r="AB234" s="105">
        <v>100.0</v>
      </c>
      <c r="AC234" s="105">
        <v>100.0</v>
      </c>
      <c r="AD234" s="105">
        <v>90.0</v>
      </c>
      <c r="AE234" s="130">
        <v>70.0</v>
      </c>
      <c r="AF234" s="105"/>
      <c r="AG234" s="129">
        <v>31.0</v>
      </c>
      <c r="AH234" s="129"/>
      <c r="AI234" s="88"/>
      <c r="AJ234" s="88"/>
      <c r="AK234" s="132">
        <f t="shared" si="1"/>
        <v>4</v>
      </c>
      <c r="AL234" s="132">
        <f t="shared" si="2"/>
        <v>1</v>
      </c>
      <c r="AM234" s="133">
        <f t="shared" si="3"/>
        <v>0</v>
      </c>
      <c r="AN234" s="132" t="str">
        <f t="shared" si="4"/>
        <v>3.5</v>
      </c>
      <c r="AO234" s="132">
        <f t="shared" si="5"/>
        <v>3</v>
      </c>
      <c r="AP234" s="88"/>
      <c r="AQ234" s="88"/>
    </row>
    <row r="235">
      <c r="A235" s="114">
        <v>229.0</v>
      </c>
      <c r="B235" s="162" t="s">
        <v>113</v>
      </c>
      <c r="C235" s="163" t="s">
        <v>2701</v>
      </c>
      <c r="D235" s="142" t="s">
        <v>360</v>
      </c>
      <c r="E235" s="154">
        <v>9.35306394E9</v>
      </c>
      <c r="F235" s="117" t="s">
        <v>2461</v>
      </c>
      <c r="G235" s="88"/>
      <c r="H235" s="155">
        <v>70.0</v>
      </c>
      <c r="I235" s="165">
        <v>70.0</v>
      </c>
      <c r="J235" s="120">
        <f>IFNA(VLOOKUP(D235,'L3'!$1:$2060,2,False),0)</f>
        <v>52</v>
      </c>
      <c r="K235" s="120">
        <f>VLOOKUP(D235,'L4'!$1:$2059,2,FALSE)</f>
        <v>41</v>
      </c>
      <c r="L235" s="121">
        <f>VLOOKUP(D235,'A1 RETEST 5 DEC'!$1:$2096,2,FALSE)</f>
        <v>13</v>
      </c>
      <c r="M235" s="121">
        <f>VLOOKUP(D235,'A2 RETEST 4 DEC'!$1:$2096,2,FALSE)</f>
        <v>0</v>
      </c>
      <c r="N235" s="122">
        <v>0.0</v>
      </c>
      <c r="O235" s="121"/>
      <c r="P235" s="123">
        <f>IFNA(VLOOKUP(D235,'S1'!$1:$1325,2,False),0)</f>
        <v>0</v>
      </c>
      <c r="Q235" s="123">
        <f>IFNA(vlookup(D235,'S2'!A231:B1433,2,False),0)</f>
        <v>0</v>
      </c>
      <c r="R235" s="123">
        <f>ifna(vlookup(D235,'S3'!$1:$1311,2,False),0)</f>
        <v>0</v>
      </c>
      <c r="S235" s="123"/>
      <c r="T235" s="161"/>
      <c r="U235" s="105"/>
      <c r="V235" s="105"/>
      <c r="W235" s="105"/>
      <c r="X235" s="105"/>
      <c r="Y235" s="105"/>
      <c r="Z235" s="158"/>
      <c r="AA235" s="105"/>
      <c r="AB235" s="105">
        <v>0.0</v>
      </c>
      <c r="AC235" s="105">
        <v>0.0</v>
      </c>
      <c r="AD235" s="105">
        <v>0.0</v>
      </c>
      <c r="AE235" s="130">
        <v>10.0</v>
      </c>
      <c r="AF235" s="105"/>
      <c r="AG235" s="129">
        <v>0.0</v>
      </c>
      <c r="AH235" s="129"/>
      <c r="AI235" s="88"/>
      <c r="AJ235" s="88"/>
      <c r="AK235" s="132">
        <f t="shared" si="1"/>
        <v>2</v>
      </c>
      <c r="AL235" s="132">
        <f t="shared" si="2"/>
        <v>0</v>
      </c>
      <c r="AM235" s="133">
        <f t="shared" si="3"/>
        <v>0</v>
      </c>
      <c r="AN235" s="132" t="str">
        <f t="shared" si="4"/>
        <v>0</v>
      </c>
      <c r="AO235" s="132">
        <f t="shared" si="5"/>
        <v>0</v>
      </c>
      <c r="AP235" s="88"/>
      <c r="AQ235" s="88"/>
    </row>
    <row r="236">
      <c r="A236" s="114">
        <v>230.0</v>
      </c>
      <c r="B236" s="164" t="s">
        <v>100</v>
      </c>
      <c r="C236" s="163" t="s">
        <v>2702</v>
      </c>
      <c r="D236" s="142" t="s">
        <v>369</v>
      </c>
      <c r="E236" s="160">
        <v>9.606357807E9</v>
      </c>
      <c r="F236" s="117" t="s">
        <v>2461</v>
      </c>
      <c r="G236" s="88"/>
      <c r="H236" s="155">
        <v>70.0</v>
      </c>
      <c r="I236" s="165">
        <v>70.0</v>
      </c>
      <c r="J236" s="120">
        <f>IFNA(VLOOKUP(D236,'L3'!$1:$2060,2,False),0)</f>
        <v>20</v>
      </c>
      <c r="K236" s="120">
        <f>VLOOKUP(D236,'L4'!$1:$2059,2,FALSE)</f>
        <v>30</v>
      </c>
      <c r="L236" s="121">
        <f>VLOOKUP(D236,'A1 RETEST 5 DEC'!$1:$2096,2,FALSE)</f>
        <v>0</v>
      </c>
      <c r="M236" s="121">
        <f>VLOOKUP(D236,'A2 RETEST 4 DEC'!$1:$2096,2,FALSE)</f>
        <v>0</v>
      </c>
      <c r="N236" s="122">
        <v>0.0</v>
      </c>
      <c r="O236" s="121"/>
      <c r="P236" s="123">
        <f>IFNA(VLOOKUP(D236,'S1'!$1:$1325,2,False),0)</f>
        <v>0</v>
      </c>
      <c r="Q236" s="123">
        <f>IFNA(vlookup(D236,'S2'!A232:B1434,2,False),0)</f>
        <v>0</v>
      </c>
      <c r="R236" s="123">
        <f>ifna(vlookup(D236,'S3'!$1:$1311,2,False),0)</f>
        <v>0</v>
      </c>
      <c r="S236" s="123"/>
      <c r="T236" s="161"/>
      <c r="U236" s="105"/>
      <c r="V236" s="105"/>
      <c r="W236" s="105"/>
      <c r="X236" s="105">
        <v>80.0</v>
      </c>
      <c r="Y236" s="105"/>
      <c r="Z236" s="158"/>
      <c r="AA236" s="105"/>
      <c r="AB236" s="105">
        <v>10.0</v>
      </c>
      <c r="AC236" s="105">
        <v>10.0</v>
      </c>
      <c r="AD236" s="105">
        <v>0.0</v>
      </c>
      <c r="AE236" s="130">
        <v>10.0</v>
      </c>
      <c r="AF236" s="105"/>
      <c r="AG236" s="129">
        <v>0.0</v>
      </c>
      <c r="AH236" s="129"/>
      <c r="AI236" s="88"/>
      <c r="AJ236" s="88"/>
      <c r="AK236" s="132">
        <f t="shared" si="1"/>
        <v>2</v>
      </c>
      <c r="AL236" s="132">
        <f t="shared" si="2"/>
        <v>0</v>
      </c>
      <c r="AM236" s="133">
        <f t="shared" si="3"/>
        <v>0</v>
      </c>
      <c r="AN236" s="132" t="str">
        <f t="shared" si="4"/>
        <v>0</v>
      </c>
      <c r="AO236" s="132">
        <f t="shared" si="5"/>
        <v>0</v>
      </c>
      <c r="AP236" s="88"/>
      <c r="AQ236" s="88"/>
    </row>
    <row r="237">
      <c r="A237" s="114">
        <v>231.0</v>
      </c>
      <c r="B237" s="168" t="s">
        <v>2703</v>
      </c>
      <c r="C237" s="163" t="s">
        <v>2704</v>
      </c>
      <c r="D237" s="142" t="s">
        <v>379</v>
      </c>
      <c r="E237" s="169">
        <v>6.366666546E9</v>
      </c>
      <c r="F237" s="117" t="s">
        <v>2461</v>
      </c>
      <c r="G237" s="88"/>
      <c r="H237" s="155">
        <v>70.0</v>
      </c>
      <c r="I237" s="165">
        <v>70.0</v>
      </c>
      <c r="J237" s="120">
        <f>IFNA(VLOOKUP(D237,'L3'!$1:$2060,2,False),0)</f>
        <v>29</v>
      </c>
      <c r="K237" s="120">
        <f>VLOOKUP(D237,'L4'!$1:$2059,2,FALSE)</f>
        <v>8</v>
      </c>
      <c r="L237" s="121">
        <f>VLOOKUP(D237,'A1 RETEST 5 DEC'!$1:$2096,2,FALSE)</f>
        <v>0</v>
      </c>
      <c r="M237" s="121">
        <f>VLOOKUP(D237,'A2 RETEST 4 DEC'!$1:$2096,2,FALSE)</f>
        <v>13</v>
      </c>
      <c r="N237" s="122">
        <v>0.0</v>
      </c>
      <c r="O237" s="121"/>
      <c r="P237" s="123">
        <f>IFNA(VLOOKUP(D237,'S1'!$1:$1325,2,False),0)</f>
        <v>0</v>
      </c>
      <c r="Q237" s="123">
        <f>IFNA(vlookup(D237,'S2'!A233:B1435,2,False),0)</f>
        <v>0</v>
      </c>
      <c r="R237" s="123">
        <f>ifna(vlookup(D237,'S3'!$1:$1311,2,False),0)</f>
        <v>0</v>
      </c>
      <c r="S237" s="123"/>
      <c r="T237" s="161"/>
      <c r="U237" s="105"/>
      <c r="V237" s="105"/>
      <c r="W237" s="105"/>
      <c r="X237" s="105"/>
      <c r="Y237" s="105"/>
      <c r="Z237" s="158"/>
      <c r="AA237" s="105"/>
      <c r="AB237" s="105">
        <v>0.0</v>
      </c>
      <c r="AC237" s="105">
        <v>0.0</v>
      </c>
      <c r="AD237" s="105">
        <v>0.0</v>
      </c>
      <c r="AE237" s="130">
        <v>10.0</v>
      </c>
      <c r="AF237" s="105"/>
      <c r="AG237" s="129">
        <v>0.0</v>
      </c>
      <c r="AH237" s="129"/>
      <c r="AI237" s="88"/>
      <c r="AJ237" s="88"/>
      <c r="AK237" s="132">
        <f t="shared" si="1"/>
        <v>2</v>
      </c>
      <c r="AL237" s="132">
        <f t="shared" si="2"/>
        <v>0</v>
      </c>
      <c r="AM237" s="133">
        <f t="shared" si="3"/>
        <v>0</v>
      </c>
      <c r="AN237" s="132" t="str">
        <f t="shared" si="4"/>
        <v>0</v>
      </c>
      <c r="AO237" s="132">
        <f t="shared" si="5"/>
        <v>0</v>
      </c>
      <c r="AP237" s="88"/>
      <c r="AQ237" s="88"/>
    </row>
    <row r="238">
      <c r="A238" s="114">
        <v>232.0</v>
      </c>
      <c r="B238" s="168" t="s">
        <v>2705</v>
      </c>
      <c r="C238" s="163" t="s">
        <v>2706</v>
      </c>
      <c r="D238" s="142" t="s">
        <v>1348</v>
      </c>
      <c r="E238" s="169">
        <v>8.294976377E9</v>
      </c>
      <c r="F238" s="117" t="s">
        <v>2461</v>
      </c>
      <c r="G238" s="88"/>
      <c r="H238" s="155">
        <v>70.0</v>
      </c>
      <c r="I238" s="165">
        <v>70.0</v>
      </c>
      <c r="J238" s="120">
        <f>IFNA(VLOOKUP(D238,'L3'!$1:$2060,2,False),0)</f>
        <v>0</v>
      </c>
      <c r="K238" s="120">
        <v>0.0</v>
      </c>
      <c r="L238" s="121">
        <f>VLOOKUP(D238,'A1 RETEST 5 DEC'!$1:$2096,2,FALSE)</f>
        <v>0</v>
      </c>
      <c r="M238" s="121">
        <f>VLOOKUP(D238,'A2 RETEST 4 DEC'!$1:$2096,2,FALSE)</f>
        <v>0</v>
      </c>
      <c r="N238" s="122">
        <v>0.0</v>
      </c>
      <c r="O238" s="121"/>
      <c r="P238" s="123">
        <f>IFNA(VLOOKUP(D238,'S1'!$1:$1325,2,False),0)</f>
        <v>0</v>
      </c>
      <c r="Q238" s="123">
        <f>IFNA(vlookup(D238,'S2'!A234:B1436,2,False),0)</f>
        <v>0</v>
      </c>
      <c r="R238" s="123">
        <f>ifna(vlookup(D238,'S3'!$1:$1311,2,False),0)</f>
        <v>0</v>
      </c>
      <c r="S238" s="123"/>
      <c r="T238" s="161"/>
      <c r="U238" s="105"/>
      <c r="V238" s="105"/>
      <c r="W238" s="105"/>
      <c r="X238" s="105"/>
      <c r="Y238" s="105"/>
      <c r="Z238" s="158"/>
      <c r="AA238" s="105"/>
      <c r="AB238" s="105">
        <v>0.0</v>
      </c>
      <c r="AC238" s="105">
        <v>0.0</v>
      </c>
      <c r="AD238" s="105">
        <v>0.0</v>
      </c>
      <c r="AE238" s="130">
        <v>10.0</v>
      </c>
      <c r="AF238" s="105"/>
      <c r="AG238" s="129">
        <v>0.0</v>
      </c>
      <c r="AH238" s="129"/>
      <c r="AI238" s="88"/>
      <c r="AJ238" s="88"/>
      <c r="AK238" s="132">
        <f t="shared" si="1"/>
        <v>2</v>
      </c>
      <c r="AL238" s="132">
        <f t="shared" si="2"/>
        <v>0</v>
      </c>
      <c r="AM238" s="133">
        <f t="shared" si="3"/>
        <v>0</v>
      </c>
      <c r="AN238" s="132" t="str">
        <f t="shared" si="4"/>
        <v>0</v>
      </c>
      <c r="AO238" s="132">
        <f t="shared" si="5"/>
        <v>0</v>
      </c>
      <c r="AP238" s="88"/>
      <c r="AQ238" s="88"/>
    </row>
    <row r="239">
      <c r="A239" s="114">
        <v>233.0</v>
      </c>
      <c r="B239" s="168" t="s">
        <v>2707</v>
      </c>
      <c r="C239" s="163" t="s">
        <v>2708</v>
      </c>
      <c r="D239" s="142" t="s">
        <v>378</v>
      </c>
      <c r="E239" s="169">
        <v>9.693253481E9</v>
      </c>
      <c r="F239" s="117" t="s">
        <v>2461</v>
      </c>
      <c r="G239" s="88"/>
      <c r="H239" s="155">
        <f>IFNA(VLOOKUP(B239,'L1 '!$1:$1000,2,False),0)</f>
        <v>0</v>
      </c>
      <c r="I239" s="156">
        <f>IFNA(VLOOKUP(B239,'L2'!$1:$1000,2,False),0)</f>
        <v>0</v>
      </c>
      <c r="J239" s="120">
        <f>IFNA(VLOOKUP(D239,'L3'!$1:$2060,2,False),0)</f>
        <v>30</v>
      </c>
      <c r="K239" s="120">
        <f>VLOOKUP(D239,'L4'!$1:$2059,2,FALSE)</f>
        <v>50</v>
      </c>
      <c r="L239" s="121">
        <f>VLOOKUP(D239,'A1 RETEST 5 DEC'!$1:$2096,2,FALSE)</f>
        <v>0</v>
      </c>
      <c r="M239" s="121">
        <f>VLOOKUP(D239,'A2 RETEST 4 DEC'!$1:$2096,2,FALSE)</f>
        <v>23</v>
      </c>
      <c r="N239" s="122">
        <v>0.0</v>
      </c>
      <c r="O239" s="121"/>
      <c r="P239" s="123">
        <f>IFNA(VLOOKUP(D239,'S1'!$1:$1325,2,False),0)</f>
        <v>0</v>
      </c>
      <c r="Q239" s="123">
        <f>IFNA(vlookup(D239,'S2'!A235:B1437,2,False),0)</f>
        <v>0</v>
      </c>
      <c r="R239" s="123">
        <f>ifna(vlookup(D239,'S3'!$1:$1311,2,False),0)</f>
        <v>0</v>
      </c>
      <c r="S239" s="123"/>
      <c r="T239" s="161"/>
      <c r="U239" s="105"/>
      <c r="V239" s="105"/>
      <c r="W239" s="105"/>
      <c r="X239" s="105"/>
      <c r="Y239" s="105"/>
      <c r="Z239" s="158"/>
      <c r="AA239" s="105"/>
      <c r="AB239" s="105">
        <v>0.0</v>
      </c>
      <c r="AC239" s="105">
        <v>0.0</v>
      </c>
      <c r="AD239" s="105">
        <v>1.0</v>
      </c>
      <c r="AE239" s="130">
        <v>10.0</v>
      </c>
      <c r="AF239" s="105"/>
      <c r="AG239" s="129">
        <v>10.0</v>
      </c>
      <c r="AH239" s="129"/>
      <c r="AI239" s="88"/>
      <c r="AJ239" s="88"/>
      <c r="AK239" s="132">
        <f t="shared" si="1"/>
        <v>0</v>
      </c>
      <c r="AL239" s="132">
        <f t="shared" si="2"/>
        <v>0</v>
      </c>
      <c r="AM239" s="133">
        <f t="shared" si="3"/>
        <v>0</v>
      </c>
      <c r="AN239" s="132" t="str">
        <f t="shared" si="4"/>
        <v>0</v>
      </c>
      <c r="AO239" s="132">
        <f t="shared" si="5"/>
        <v>0</v>
      </c>
      <c r="AP239" s="88"/>
      <c r="AQ239" s="88"/>
    </row>
    <row r="240">
      <c r="A240" s="170">
        <v>234.0</v>
      </c>
      <c r="B240" s="168" t="s">
        <v>2709</v>
      </c>
      <c r="C240" s="163" t="s">
        <v>2710</v>
      </c>
      <c r="D240" s="142" t="s">
        <v>380</v>
      </c>
      <c r="E240" s="169">
        <v>9.606879393E9</v>
      </c>
      <c r="F240" s="117" t="s">
        <v>2461</v>
      </c>
      <c r="G240" s="88"/>
      <c r="H240" s="155">
        <f>IFNA(VLOOKUP(B240,'L1 '!$1:$1000,2,False),0)</f>
        <v>0</v>
      </c>
      <c r="I240" s="156">
        <f>IFNA(VLOOKUP(B240,'L2'!$1:$1000,2,False),0)</f>
        <v>0</v>
      </c>
      <c r="J240" s="120">
        <f>IFNA(VLOOKUP(D240,'L3'!$1:$2060,2,False),0)</f>
        <v>45</v>
      </c>
      <c r="K240" s="120">
        <f>VLOOKUP(D240,'L4'!$1:$2059,2,FALSE)</f>
        <v>17</v>
      </c>
      <c r="L240" s="121">
        <f>VLOOKUP(D240,'A1 RETEST 5 DEC'!$1:$2096,2,FALSE)</f>
        <v>0</v>
      </c>
      <c r="M240" s="121">
        <f>VLOOKUP(D240,'A2 RETEST 4 DEC'!$1:$2096,2,FALSE)</f>
        <v>15</v>
      </c>
      <c r="N240" s="122">
        <v>0.0</v>
      </c>
      <c r="O240" s="121"/>
      <c r="P240" s="123">
        <f>IFNA(VLOOKUP(D240,'S1'!$1:$1325,2,False),0)</f>
        <v>0</v>
      </c>
      <c r="Q240" s="123">
        <f>IFNA(vlookup(D240,'S2'!A236:B1438,2,False),0)</f>
        <v>65</v>
      </c>
      <c r="R240" s="123">
        <f>ifna(vlookup(D240,'S3'!$1:$1311,2,False),0)</f>
        <v>0</v>
      </c>
      <c r="S240" s="123"/>
      <c r="T240" s="161"/>
      <c r="U240" s="105"/>
      <c r="V240" s="105"/>
      <c r="W240" s="105"/>
      <c r="X240" s="105"/>
      <c r="Y240" s="105"/>
      <c r="Z240" s="158"/>
      <c r="AA240" s="105"/>
      <c r="AB240" s="105">
        <v>0.0</v>
      </c>
      <c r="AC240" s="105">
        <v>0.0</v>
      </c>
      <c r="AD240" s="105">
        <v>0.0</v>
      </c>
      <c r="AE240" s="130">
        <v>10.0</v>
      </c>
      <c r="AF240" s="105"/>
      <c r="AG240" s="129">
        <v>0.0</v>
      </c>
      <c r="AH240" s="129"/>
      <c r="AI240" s="88"/>
      <c r="AJ240" s="88"/>
      <c r="AK240" s="132">
        <f t="shared" si="1"/>
        <v>0</v>
      </c>
      <c r="AL240" s="132">
        <f t="shared" si="2"/>
        <v>0</v>
      </c>
      <c r="AM240" s="133">
        <f t="shared" si="3"/>
        <v>0</v>
      </c>
      <c r="AN240" s="132" t="str">
        <f t="shared" si="4"/>
        <v>0</v>
      </c>
      <c r="AO240" s="132">
        <f t="shared" si="5"/>
        <v>0</v>
      </c>
      <c r="AP240" s="88"/>
      <c r="AQ240" s="88"/>
    </row>
    <row r="241">
      <c r="A241" s="171"/>
      <c r="B241" s="172"/>
      <c r="C241" s="172"/>
      <c r="D241" s="142"/>
      <c r="E241" s="155"/>
      <c r="F241" s="155"/>
      <c r="G241" s="88"/>
      <c r="H241" s="155"/>
      <c r="I241" s="156"/>
      <c r="J241" s="155"/>
      <c r="K241" s="155"/>
      <c r="L241" s="105"/>
      <c r="M241" s="105"/>
      <c r="N241" s="105"/>
      <c r="O241" s="105"/>
      <c r="P241" s="105"/>
      <c r="Q241" s="105"/>
      <c r="R241" s="105"/>
      <c r="S241" s="105"/>
      <c r="T241" s="161"/>
      <c r="U241" s="105"/>
      <c r="V241" s="105"/>
      <c r="W241" s="105"/>
      <c r="X241" s="105"/>
      <c r="Y241" s="105"/>
      <c r="Z241" s="158"/>
      <c r="AA241" s="105"/>
      <c r="AB241" s="105"/>
      <c r="AC241" s="105"/>
      <c r="AD241" s="105"/>
      <c r="AE241" s="105"/>
      <c r="AF241" s="105"/>
      <c r="AG241" s="105"/>
      <c r="AH241" s="158"/>
      <c r="AI241" s="88"/>
      <c r="AJ241" s="88"/>
      <c r="AK241" s="132"/>
      <c r="AL241" s="132">
        <f t="shared" si="2"/>
        <v>0</v>
      </c>
      <c r="AM241" s="133"/>
      <c r="AN241" s="132"/>
      <c r="AO241" s="132"/>
      <c r="AP241" s="88"/>
      <c r="AQ241" s="88"/>
    </row>
    <row r="242">
      <c r="A242" s="171"/>
      <c r="B242" s="172"/>
      <c r="C242" s="172"/>
      <c r="D242" s="173"/>
      <c r="E242" s="155"/>
      <c r="F242" s="155"/>
      <c r="G242" s="88"/>
      <c r="H242" s="155"/>
      <c r="I242" s="155"/>
      <c r="J242" s="155"/>
      <c r="K242" s="155"/>
      <c r="L242" s="105"/>
      <c r="M242" s="105"/>
      <c r="N242" s="105"/>
      <c r="O242" s="105"/>
      <c r="P242" s="105"/>
      <c r="Q242" s="105"/>
      <c r="R242" s="105"/>
      <c r="S242" s="105"/>
      <c r="T242" s="161"/>
      <c r="U242" s="105"/>
      <c r="V242" s="105"/>
      <c r="W242" s="105"/>
      <c r="X242" s="105"/>
      <c r="Y242" s="105"/>
      <c r="Z242" s="158"/>
      <c r="AA242" s="105"/>
      <c r="AB242" s="105"/>
      <c r="AC242" s="105"/>
      <c r="AD242" s="105"/>
      <c r="AE242" s="105"/>
      <c r="AF242" s="105"/>
      <c r="AG242" s="105"/>
      <c r="AH242" s="158"/>
      <c r="AI242" s="88"/>
      <c r="AJ242" s="88"/>
      <c r="AK242" s="132"/>
      <c r="AL242" s="132"/>
      <c r="AM242" s="133"/>
      <c r="AN242" s="132"/>
      <c r="AO242" s="132"/>
      <c r="AP242" s="88"/>
      <c r="AQ242" s="88"/>
    </row>
    <row r="243">
      <c r="A243" s="171"/>
      <c r="B243" s="172"/>
      <c r="C243" s="172"/>
      <c r="D243" s="173"/>
      <c r="E243" s="155"/>
      <c r="F243" s="155"/>
      <c r="G243" s="88"/>
      <c r="H243" s="155"/>
      <c r="I243" s="155"/>
      <c r="J243" s="155"/>
      <c r="K243" s="155"/>
      <c r="L243" s="105"/>
      <c r="M243" s="105"/>
      <c r="N243" s="105"/>
      <c r="O243" s="105"/>
      <c r="P243" s="105"/>
      <c r="Q243" s="105"/>
      <c r="R243" s="105"/>
      <c r="S243" s="105"/>
      <c r="T243" s="161"/>
      <c r="U243" s="105"/>
      <c r="V243" s="105"/>
      <c r="W243" s="105"/>
      <c r="X243" s="105"/>
      <c r="Y243" s="105"/>
      <c r="Z243" s="158"/>
      <c r="AA243" s="105"/>
      <c r="AB243" s="105"/>
      <c r="AC243" s="105"/>
      <c r="AD243" s="105"/>
      <c r="AE243" s="105"/>
      <c r="AF243" s="105"/>
      <c r="AG243" s="105"/>
      <c r="AH243" s="158"/>
      <c r="AI243" s="88"/>
      <c r="AJ243" s="88"/>
      <c r="AK243" s="132"/>
      <c r="AL243" s="132"/>
      <c r="AM243" s="133"/>
      <c r="AN243" s="132"/>
      <c r="AO243" s="132"/>
      <c r="AP243" s="88"/>
      <c r="AQ243" s="88"/>
    </row>
    <row r="244">
      <c r="A244" s="171"/>
      <c r="B244" s="172"/>
      <c r="C244" s="172"/>
      <c r="D244" s="173"/>
      <c r="E244" s="155"/>
      <c r="F244" s="155"/>
      <c r="G244" s="88"/>
      <c r="H244" s="155"/>
      <c r="I244" s="155"/>
      <c r="J244" s="155"/>
      <c r="K244" s="155"/>
      <c r="L244" s="105"/>
      <c r="M244" s="105"/>
      <c r="N244" s="105"/>
      <c r="O244" s="105"/>
      <c r="P244" s="105"/>
      <c r="Q244" s="105"/>
      <c r="R244" s="105"/>
      <c r="S244" s="105"/>
      <c r="T244" s="161"/>
      <c r="U244" s="105"/>
      <c r="V244" s="105"/>
      <c r="W244" s="105"/>
      <c r="X244" s="105"/>
      <c r="Y244" s="105"/>
      <c r="Z244" s="158"/>
      <c r="AA244" s="105"/>
      <c r="AB244" s="105"/>
      <c r="AC244" s="105"/>
      <c r="AD244" s="105"/>
      <c r="AE244" s="105"/>
      <c r="AF244" s="105"/>
      <c r="AG244" s="105"/>
      <c r="AH244" s="158"/>
      <c r="AI244" s="88"/>
      <c r="AJ244" s="88"/>
      <c r="AK244" s="132"/>
      <c r="AL244" s="132"/>
      <c r="AM244" s="133"/>
      <c r="AN244" s="132"/>
      <c r="AO244" s="132"/>
      <c r="AP244" s="88"/>
      <c r="AQ244" s="88"/>
    </row>
    <row r="245">
      <c r="A245" s="171"/>
      <c r="B245" s="172"/>
      <c r="C245" s="172"/>
      <c r="D245" s="173"/>
      <c r="E245" s="155"/>
      <c r="F245" s="155"/>
      <c r="G245" s="88"/>
      <c r="H245" s="155"/>
      <c r="I245" s="155"/>
      <c r="J245" s="155"/>
      <c r="K245" s="155"/>
      <c r="L245" s="105"/>
      <c r="M245" s="105"/>
      <c r="N245" s="105"/>
      <c r="O245" s="105"/>
      <c r="P245" s="105"/>
      <c r="Q245" s="105"/>
      <c r="R245" s="105"/>
      <c r="S245" s="105"/>
      <c r="T245" s="161"/>
      <c r="U245" s="105"/>
      <c r="V245" s="105"/>
      <c r="W245" s="105"/>
      <c r="X245" s="105"/>
      <c r="Y245" s="105"/>
      <c r="Z245" s="158"/>
      <c r="AA245" s="105"/>
      <c r="AB245" s="105"/>
      <c r="AC245" s="105"/>
      <c r="AD245" s="105"/>
      <c r="AE245" s="105"/>
      <c r="AF245" s="105"/>
      <c r="AG245" s="105"/>
      <c r="AH245" s="158"/>
      <c r="AI245" s="88"/>
      <c r="AJ245" s="88"/>
      <c r="AK245" s="132"/>
      <c r="AL245" s="132"/>
      <c r="AM245" s="133"/>
      <c r="AN245" s="132"/>
      <c r="AO245" s="132"/>
      <c r="AP245" s="88"/>
      <c r="AQ245" s="88"/>
    </row>
    <row r="246">
      <c r="A246" s="171"/>
      <c r="B246" s="172"/>
      <c r="C246" s="172"/>
      <c r="D246" s="173"/>
      <c r="E246" s="155"/>
      <c r="F246" s="155"/>
      <c r="G246" s="88"/>
      <c r="H246" s="155"/>
      <c r="I246" s="155"/>
      <c r="J246" s="155"/>
      <c r="K246" s="155"/>
      <c r="L246" s="105"/>
      <c r="M246" s="105"/>
      <c r="N246" s="105"/>
      <c r="O246" s="105"/>
      <c r="P246" s="105"/>
      <c r="Q246" s="105"/>
      <c r="R246" s="105"/>
      <c r="S246" s="105"/>
      <c r="T246" s="161"/>
      <c r="U246" s="105"/>
      <c r="V246" s="105"/>
      <c r="W246" s="105"/>
      <c r="X246" s="105"/>
      <c r="Y246" s="105"/>
      <c r="Z246" s="158"/>
      <c r="AA246" s="105"/>
      <c r="AB246" s="105"/>
      <c r="AC246" s="105"/>
      <c r="AD246" s="105"/>
      <c r="AE246" s="105"/>
      <c r="AF246" s="105"/>
      <c r="AG246" s="105"/>
      <c r="AH246" s="158"/>
      <c r="AI246" s="88"/>
      <c r="AJ246" s="88"/>
      <c r="AK246" s="132"/>
      <c r="AL246" s="132"/>
      <c r="AM246" s="133"/>
      <c r="AN246" s="132"/>
      <c r="AO246" s="132"/>
      <c r="AP246" s="88"/>
      <c r="AQ246" s="88"/>
    </row>
    <row r="247">
      <c r="A247" s="171"/>
      <c r="B247" s="172"/>
      <c r="C247" s="172"/>
      <c r="D247" s="173"/>
      <c r="E247" s="155"/>
      <c r="F247" s="155"/>
      <c r="G247" s="88"/>
      <c r="H247" s="155"/>
      <c r="I247" s="155"/>
      <c r="J247" s="155"/>
      <c r="K247" s="155"/>
      <c r="L247" s="105"/>
      <c r="M247" s="105"/>
      <c r="N247" s="105"/>
      <c r="O247" s="105"/>
      <c r="P247" s="105"/>
      <c r="Q247" s="105"/>
      <c r="R247" s="105"/>
      <c r="S247" s="105"/>
      <c r="T247" s="161"/>
      <c r="U247" s="105"/>
      <c r="V247" s="105"/>
      <c r="W247" s="105"/>
      <c r="X247" s="105"/>
      <c r="Y247" s="105"/>
      <c r="Z247" s="158"/>
      <c r="AA247" s="105"/>
      <c r="AB247" s="105"/>
      <c r="AC247" s="105"/>
      <c r="AD247" s="105"/>
      <c r="AE247" s="105"/>
      <c r="AF247" s="105"/>
      <c r="AG247" s="105"/>
      <c r="AH247" s="158"/>
      <c r="AI247" s="88"/>
      <c r="AJ247" s="88"/>
      <c r="AK247" s="132"/>
      <c r="AL247" s="132"/>
      <c r="AM247" s="133"/>
      <c r="AN247" s="132"/>
      <c r="AO247" s="132"/>
      <c r="AP247" s="88"/>
      <c r="AQ247" s="88"/>
    </row>
    <row r="248">
      <c r="A248" s="171"/>
      <c r="B248" s="172"/>
      <c r="C248" s="172"/>
      <c r="D248" s="173"/>
      <c r="E248" s="155"/>
      <c r="F248" s="155"/>
      <c r="G248" s="88"/>
      <c r="H248" s="155"/>
      <c r="I248" s="155"/>
      <c r="J248" s="155"/>
      <c r="K248" s="155"/>
      <c r="L248" s="105"/>
      <c r="M248" s="105"/>
      <c r="N248" s="105"/>
      <c r="O248" s="105"/>
      <c r="P248" s="105"/>
      <c r="Q248" s="105"/>
      <c r="R248" s="105"/>
      <c r="S248" s="105"/>
      <c r="T248" s="161"/>
      <c r="U248" s="105"/>
      <c r="V248" s="105"/>
      <c r="W248" s="105"/>
      <c r="X248" s="105"/>
      <c r="Y248" s="105"/>
      <c r="Z248" s="158"/>
      <c r="AA248" s="105"/>
      <c r="AB248" s="105"/>
      <c r="AC248" s="105"/>
      <c r="AD248" s="105"/>
      <c r="AE248" s="105"/>
      <c r="AF248" s="105"/>
      <c r="AG248" s="105"/>
      <c r="AH248" s="158"/>
      <c r="AI248" s="88"/>
      <c r="AJ248" s="88"/>
      <c r="AK248" s="132"/>
      <c r="AL248" s="132"/>
      <c r="AM248" s="133"/>
      <c r="AN248" s="132"/>
      <c r="AO248" s="132"/>
      <c r="AP248" s="88"/>
      <c r="AQ248" s="88"/>
    </row>
    <row r="249">
      <c r="A249" s="171"/>
      <c r="B249" s="172"/>
      <c r="C249" s="172"/>
      <c r="D249" s="173"/>
      <c r="E249" s="155"/>
      <c r="F249" s="155"/>
      <c r="G249" s="88"/>
      <c r="H249" s="155"/>
      <c r="I249" s="155"/>
      <c r="J249" s="155"/>
      <c r="K249" s="155"/>
      <c r="L249" s="105"/>
      <c r="M249" s="105"/>
      <c r="N249" s="105"/>
      <c r="O249" s="105"/>
      <c r="P249" s="105"/>
      <c r="Q249" s="105"/>
      <c r="R249" s="105"/>
      <c r="S249" s="105"/>
      <c r="T249" s="161"/>
      <c r="U249" s="105"/>
      <c r="V249" s="105"/>
      <c r="W249" s="105"/>
      <c r="X249" s="105"/>
      <c r="Y249" s="105"/>
      <c r="Z249" s="158"/>
      <c r="AA249" s="105"/>
      <c r="AB249" s="105"/>
      <c r="AC249" s="105"/>
      <c r="AD249" s="105"/>
      <c r="AE249" s="105"/>
      <c r="AF249" s="105"/>
      <c r="AG249" s="105"/>
      <c r="AH249" s="158"/>
      <c r="AI249" s="88"/>
      <c r="AJ249" s="88"/>
      <c r="AK249" s="132"/>
      <c r="AL249" s="132"/>
      <c r="AM249" s="133"/>
      <c r="AN249" s="132"/>
      <c r="AO249" s="132"/>
      <c r="AP249" s="88"/>
      <c r="AQ249" s="88"/>
    </row>
    <row r="250">
      <c r="A250" s="171"/>
      <c r="B250" s="172"/>
      <c r="C250" s="172"/>
      <c r="D250" s="173"/>
      <c r="E250" s="155"/>
      <c r="F250" s="155"/>
      <c r="G250" s="88"/>
      <c r="H250" s="155"/>
      <c r="I250" s="155"/>
      <c r="J250" s="155"/>
      <c r="K250" s="155"/>
      <c r="L250" s="105"/>
      <c r="M250" s="105"/>
      <c r="N250" s="105"/>
      <c r="O250" s="105"/>
      <c r="P250" s="105"/>
      <c r="Q250" s="105"/>
      <c r="R250" s="105"/>
      <c r="S250" s="105"/>
      <c r="T250" s="161"/>
      <c r="U250" s="105"/>
      <c r="V250" s="105"/>
      <c r="W250" s="105"/>
      <c r="X250" s="105"/>
      <c r="Y250" s="105"/>
      <c r="Z250" s="158"/>
      <c r="AA250" s="105"/>
      <c r="AB250" s="105"/>
      <c r="AC250" s="105"/>
      <c r="AD250" s="105"/>
      <c r="AE250" s="105"/>
      <c r="AF250" s="105"/>
      <c r="AG250" s="105"/>
      <c r="AH250" s="158"/>
      <c r="AI250" s="88"/>
      <c r="AJ250" s="88"/>
      <c r="AK250" s="131"/>
      <c r="AL250" s="131"/>
      <c r="AM250" s="131"/>
      <c r="AN250" s="131"/>
      <c r="AO250" s="131"/>
      <c r="AP250" s="88"/>
      <c r="AQ250" s="88"/>
    </row>
    <row r="251">
      <c r="A251" s="171"/>
      <c r="B251" s="172"/>
      <c r="C251" s="172"/>
      <c r="D251" s="173"/>
      <c r="E251" s="155"/>
      <c r="F251" s="155"/>
      <c r="G251" s="88"/>
      <c r="H251" s="155"/>
      <c r="I251" s="155"/>
      <c r="J251" s="155"/>
      <c r="K251" s="155"/>
      <c r="L251" s="105"/>
      <c r="M251" s="105"/>
      <c r="N251" s="105"/>
      <c r="O251" s="105"/>
      <c r="P251" s="105"/>
      <c r="Q251" s="105"/>
      <c r="R251" s="105"/>
      <c r="S251" s="105"/>
      <c r="T251" s="161"/>
      <c r="U251" s="105"/>
      <c r="V251" s="105"/>
      <c r="W251" s="105"/>
      <c r="X251" s="105"/>
      <c r="Y251" s="105"/>
      <c r="Z251" s="158"/>
      <c r="AA251" s="105"/>
      <c r="AB251" s="105"/>
      <c r="AC251" s="105"/>
      <c r="AD251" s="105"/>
      <c r="AE251" s="105"/>
      <c r="AF251" s="105"/>
      <c r="AG251" s="105"/>
      <c r="AH251" s="158"/>
      <c r="AI251" s="88"/>
      <c r="AJ251" s="88"/>
      <c r="AK251" s="131"/>
      <c r="AL251" s="131"/>
      <c r="AM251" s="131"/>
      <c r="AN251" s="131"/>
      <c r="AO251" s="131"/>
      <c r="AP251" s="88"/>
      <c r="AQ251" s="88"/>
    </row>
    <row r="252">
      <c r="A252" s="171"/>
      <c r="B252" s="172"/>
      <c r="C252" s="172"/>
      <c r="D252" s="173"/>
      <c r="E252" s="155"/>
      <c r="F252" s="155"/>
      <c r="G252" s="88"/>
      <c r="H252" s="155"/>
      <c r="I252" s="155"/>
      <c r="J252" s="155"/>
      <c r="K252" s="155"/>
      <c r="L252" s="105"/>
      <c r="M252" s="105"/>
      <c r="N252" s="105"/>
      <c r="O252" s="105"/>
      <c r="P252" s="105"/>
      <c r="Q252" s="105"/>
      <c r="R252" s="105"/>
      <c r="S252" s="105"/>
      <c r="U252" s="105"/>
      <c r="V252" s="105"/>
      <c r="W252" s="105"/>
      <c r="X252" s="105"/>
      <c r="Y252" s="105"/>
      <c r="Z252" s="158"/>
      <c r="AA252" s="105"/>
      <c r="AB252" s="105"/>
      <c r="AC252" s="105"/>
      <c r="AD252" s="105"/>
      <c r="AE252" s="105"/>
      <c r="AF252" s="105"/>
      <c r="AG252" s="105"/>
      <c r="AH252" s="158"/>
      <c r="AI252" s="88"/>
      <c r="AJ252" s="88"/>
      <c r="AK252" s="131"/>
      <c r="AL252" s="131"/>
      <c r="AM252" s="131"/>
      <c r="AN252" s="131"/>
      <c r="AO252" s="131"/>
      <c r="AP252" s="88"/>
      <c r="AQ252" s="88"/>
    </row>
    <row r="253">
      <c r="A253" s="171"/>
      <c r="B253" s="172"/>
      <c r="C253" s="172"/>
      <c r="D253" s="173"/>
      <c r="E253" s="155"/>
      <c r="F253" s="155"/>
      <c r="G253" s="88"/>
      <c r="H253" s="155"/>
      <c r="I253" s="155"/>
      <c r="J253" s="155"/>
      <c r="K253" s="155"/>
      <c r="L253" s="105"/>
      <c r="M253" s="105"/>
      <c r="N253" s="105"/>
      <c r="O253" s="105"/>
      <c r="P253" s="105"/>
      <c r="Q253" s="105"/>
      <c r="R253" s="105"/>
      <c r="S253" s="105"/>
      <c r="T253" s="161"/>
      <c r="U253" s="105"/>
      <c r="V253" s="105"/>
      <c r="W253" s="105"/>
      <c r="X253" s="105"/>
      <c r="Y253" s="105"/>
      <c r="Z253" s="158"/>
      <c r="AA253" s="105"/>
      <c r="AB253" s="105"/>
      <c r="AC253" s="105"/>
      <c r="AD253" s="105"/>
      <c r="AE253" s="105"/>
      <c r="AF253" s="105"/>
      <c r="AG253" s="105"/>
      <c r="AH253" s="158"/>
      <c r="AI253" s="88"/>
      <c r="AJ253" s="88"/>
      <c r="AK253" s="131"/>
      <c r="AL253" s="131"/>
      <c r="AM253" s="131"/>
      <c r="AN253" s="131"/>
      <c r="AO253" s="131"/>
      <c r="AP253" s="88"/>
      <c r="AQ253" s="88"/>
    </row>
    <row r="254">
      <c r="A254" s="171"/>
      <c r="B254" s="172"/>
      <c r="C254" s="172"/>
      <c r="D254" s="173"/>
      <c r="E254" s="155"/>
      <c r="F254" s="155"/>
      <c r="G254" s="88"/>
      <c r="H254" s="155"/>
      <c r="I254" s="155"/>
      <c r="J254" s="155"/>
      <c r="K254" s="15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58"/>
      <c r="AA254" s="105"/>
      <c r="AB254" s="105"/>
      <c r="AC254" s="105"/>
      <c r="AD254" s="105"/>
      <c r="AE254" s="105"/>
      <c r="AF254" s="105"/>
      <c r="AG254" s="105"/>
      <c r="AH254" s="158"/>
      <c r="AI254" s="88"/>
      <c r="AJ254" s="88"/>
      <c r="AK254" s="131"/>
      <c r="AL254" s="131"/>
      <c r="AM254" s="131"/>
      <c r="AN254" s="131"/>
      <c r="AO254" s="131"/>
      <c r="AP254" s="88"/>
      <c r="AQ254" s="88"/>
    </row>
    <row r="255">
      <c r="A255" s="171"/>
      <c r="B255" s="172"/>
      <c r="C255" s="172"/>
      <c r="D255" s="173"/>
      <c r="E255" s="155"/>
      <c r="F255" s="155"/>
      <c r="G255" s="88"/>
      <c r="H255" s="155"/>
      <c r="I255" s="155"/>
      <c r="J255" s="155"/>
      <c r="K255" s="155"/>
      <c r="L255" s="105"/>
      <c r="M255" s="105"/>
      <c r="N255" s="105"/>
      <c r="O255" s="105"/>
      <c r="P255" s="105"/>
      <c r="Q255" s="105"/>
      <c r="R255" s="105"/>
      <c r="S255" s="105"/>
      <c r="T255" s="161"/>
      <c r="U255" s="105"/>
      <c r="V255" s="105"/>
      <c r="W255" s="105"/>
      <c r="X255" s="105"/>
      <c r="Y255" s="105"/>
      <c r="Z255" s="158"/>
      <c r="AA255" s="105"/>
      <c r="AB255" s="105"/>
      <c r="AC255" s="105"/>
      <c r="AD255" s="105"/>
      <c r="AE255" s="105"/>
      <c r="AF255" s="105"/>
      <c r="AG255" s="105"/>
      <c r="AH255" s="158"/>
      <c r="AI255" s="88"/>
      <c r="AJ255" s="88"/>
      <c r="AK255" s="131"/>
      <c r="AL255" s="131"/>
      <c r="AM255" s="131"/>
      <c r="AN255" s="131"/>
      <c r="AO255" s="131"/>
      <c r="AP255" s="88"/>
      <c r="AQ255" s="88"/>
    </row>
    <row r="256">
      <c r="A256" s="171"/>
      <c r="B256" s="172"/>
      <c r="C256" s="172"/>
      <c r="D256" s="173"/>
      <c r="E256" s="155"/>
      <c r="F256" s="155"/>
      <c r="G256" s="88"/>
      <c r="H256" s="155"/>
      <c r="I256" s="155"/>
      <c r="J256" s="155"/>
      <c r="K256" s="15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58"/>
      <c r="AA256" s="105"/>
      <c r="AB256" s="105"/>
      <c r="AC256" s="105"/>
      <c r="AD256" s="105"/>
      <c r="AE256" s="105"/>
      <c r="AF256" s="105"/>
      <c r="AG256" s="105"/>
      <c r="AH256" s="158"/>
      <c r="AI256" s="88"/>
      <c r="AJ256" s="88"/>
      <c r="AK256" s="131"/>
      <c r="AL256" s="131"/>
      <c r="AM256" s="131"/>
      <c r="AN256" s="131"/>
      <c r="AO256" s="131"/>
      <c r="AP256" s="88"/>
      <c r="AQ256" s="88"/>
    </row>
    <row r="257">
      <c r="A257" s="171"/>
      <c r="B257" s="172"/>
      <c r="C257" s="172"/>
      <c r="D257" s="173"/>
      <c r="E257" s="155"/>
      <c r="F257" s="155"/>
      <c r="G257" s="88"/>
      <c r="H257" s="155"/>
      <c r="I257" s="155"/>
      <c r="J257" s="155"/>
      <c r="K257" s="15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58"/>
      <c r="AA257" s="105"/>
      <c r="AB257" s="105"/>
      <c r="AC257" s="105"/>
      <c r="AD257" s="105"/>
      <c r="AE257" s="105"/>
      <c r="AF257" s="105"/>
      <c r="AG257" s="105"/>
      <c r="AH257" s="158"/>
      <c r="AI257" s="88"/>
      <c r="AJ257" s="88"/>
      <c r="AK257" s="131"/>
      <c r="AL257" s="131"/>
      <c r="AM257" s="131"/>
      <c r="AN257" s="131"/>
      <c r="AO257" s="131"/>
      <c r="AP257" s="88"/>
      <c r="AQ257" s="88"/>
    </row>
    <row r="258">
      <c r="A258" s="171"/>
      <c r="B258" s="172"/>
      <c r="C258" s="172"/>
      <c r="D258" s="173"/>
      <c r="E258" s="155"/>
      <c r="F258" s="155"/>
      <c r="G258" s="88"/>
      <c r="H258" s="155"/>
      <c r="I258" s="155"/>
      <c r="J258" s="155"/>
      <c r="K258" s="15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58"/>
      <c r="AA258" s="105"/>
      <c r="AB258" s="105"/>
      <c r="AC258" s="105"/>
      <c r="AD258" s="105"/>
      <c r="AE258" s="105"/>
      <c r="AF258" s="105"/>
      <c r="AG258" s="105"/>
      <c r="AH258" s="158"/>
      <c r="AI258" s="88"/>
      <c r="AJ258" s="88"/>
      <c r="AK258" s="131"/>
      <c r="AL258" s="131"/>
      <c r="AM258" s="131"/>
      <c r="AN258" s="131"/>
      <c r="AO258" s="131"/>
      <c r="AP258" s="88"/>
      <c r="AQ258" s="88"/>
    </row>
    <row r="259">
      <c r="A259" s="171"/>
      <c r="B259" s="172"/>
      <c r="C259" s="172"/>
      <c r="D259" s="173"/>
      <c r="E259" s="155"/>
      <c r="F259" s="155"/>
      <c r="G259" s="88"/>
      <c r="H259" s="155"/>
      <c r="I259" s="155"/>
      <c r="J259" s="155"/>
      <c r="K259" s="15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58"/>
      <c r="AA259" s="105"/>
      <c r="AB259" s="105"/>
      <c r="AC259" s="105"/>
      <c r="AD259" s="105"/>
      <c r="AE259" s="105"/>
      <c r="AF259" s="105"/>
      <c r="AG259" s="105"/>
      <c r="AH259" s="158"/>
      <c r="AI259" s="88"/>
      <c r="AJ259" s="88"/>
      <c r="AK259" s="131"/>
      <c r="AL259" s="131"/>
      <c r="AM259" s="131"/>
      <c r="AN259" s="131"/>
      <c r="AO259" s="131"/>
      <c r="AP259" s="88"/>
      <c r="AQ259" s="88"/>
    </row>
    <row r="260">
      <c r="A260" s="171"/>
      <c r="B260" s="172"/>
      <c r="C260" s="172"/>
      <c r="D260" s="173"/>
      <c r="E260" s="155"/>
      <c r="F260" s="155"/>
      <c r="G260" s="88"/>
      <c r="H260" s="155"/>
      <c r="I260" s="155"/>
      <c r="J260" s="155"/>
      <c r="K260" s="15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58"/>
      <c r="AA260" s="105"/>
      <c r="AB260" s="105"/>
      <c r="AC260" s="105"/>
      <c r="AD260" s="105"/>
      <c r="AE260" s="105"/>
      <c r="AF260" s="105"/>
      <c r="AG260" s="105"/>
      <c r="AH260" s="158"/>
      <c r="AI260" s="88"/>
      <c r="AJ260" s="88"/>
      <c r="AK260" s="131"/>
      <c r="AL260" s="131"/>
      <c r="AM260" s="131"/>
      <c r="AN260" s="131"/>
      <c r="AO260" s="131"/>
      <c r="AP260" s="88"/>
      <c r="AQ260" s="88"/>
    </row>
    <row r="261">
      <c r="A261" s="171"/>
      <c r="B261" s="172"/>
      <c r="C261" s="172"/>
      <c r="D261" s="173"/>
      <c r="E261" s="155"/>
      <c r="F261" s="155"/>
      <c r="G261" s="88"/>
      <c r="H261" s="155"/>
      <c r="I261" s="155"/>
      <c r="J261" s="155"/>
      <c r="K261" s="15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58"/>
      <c r="AA261" s="105"/>
      <c r="AB261" s="105"/>
      <c r="AC261" s="105"/>
      <c r="AD261" s="105"/>
      <c r="AE261" s="105"/>
      <c r="AF261" s="105"/>
      <c r="AG261" s="105"/>
      <c r="AH261" s="158"/>
      <c r="AI261" s="88"/>
      <c r="AJ261" s="88"/>
      <c r="AK261" s="131"/>
      <c r="AL261" s="131"/>
      <c r="AM261" s="131"/>
      <c r="AN261" s="131"/>
      <c r="AO261" s="131"/>
      <c r="AP261" s="88"/>
      <c r="AQ261" s="88"/>
    </row>
    <row r="262">
      <c r="A262" s="171"/>
      <c r="B262" s="172"/>
      <c r="C262" s="172"/>
      <c r="D262" s="173"/>
      <c r="E262" s="155"/>
      <c r="F262" s="155"/>
      <c r="G262" s="88"/>
      <c r="H262" s="155"/>
      <c r="I262" s="155"/>
      <c r="J262" s="155"/>
      <c r="K262" s="15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58"/>
      <c r="AA262" s="105"/>
      <c r="AB262" s="105"/>
      <c r="AC262" s="105"/>
      <c r="AD262" s="105"/>
      <c r="AE262" s="105"/>
      <c r="AF262" s="105"/>
      <c r="AG262" s="105"/>
      <c r="AH262" s="158"/>
      <c r="AI262" s="88"/>
      <c r="AJ262" s="88"/>
      <c r="AK262" s="131"/>
      <c r="AL262" s="131"/>
      <c r="AM262" s="131"/>
      <c r="AN262" s="131"/>
      <c r="AO262" s="131"/>
      <c r="AP262" s="88"/>
      <c r="AQ262" s="88"/>
    </row>
    <row r="263">
      <c r="A263" s="171"/>
      <c r="B263" s="172"/>
      <c r="C263" s="172"/>
      <c r="D263" s="173"/>
      <c r="E263" s="155"/>
      <c r="F263" s="155"/>
      <c r="G263" s="88"/>
      <c r="H263" s="155"/>
      <c r="I263" s="155"/>
      <c r="J263" s="155"/>
      <c r="K263" s="15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58"/>
      <c r="AA263" s="105"/>
      <c r="AB263" s="105"/>
      <c r="AC263" s="105"/>
      <c r="AD263" s="105"/>
      <c r="AE263" s="105"/>
      <c r="AF263" s="105"/>
      <c r="AG263" s="105"/>
      <c r="AH263" s="158"/>
      <c r="AI263" s="88"/>
      <c r="AJ263" s="88"/>
      <c r="AK263" s="131"/>
      <c r="AL263" s="131"/>
      <c r="AM263" s="131"/>
      <c r="AN263" s="131"/>
      <c r="AO263" s="131"/>
      <c r="AP263" s="88"/>
      <c r="AQ263" s="88"/>
    </row>
    <row r="264">
      <c r="A264" s="171"/>
      <c r="B264" s="172"/>
      <c r="C264" s="172"/>
      <c r="D264" s="173"/>
      <c r="E264" s="155"/>
      <c r="F264" s="155"/>
      <c r="G264" s="88"/>
      <c r="H264" s="155"/>
      <c r="I264" s="155"/>
      <c r="J264" s="155"/>
      <c r="K264" s="15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58"/>
      <c r="AA264" s="105"/>
      <c r="AB264" s="105"/>
      <c r="AC264" s="105"/>
      <c r="AD264" s="105"/>
      <c r="AE264" s="105"/>
      <c r="AF264" s="105"/>
      <c r="AG264" s="105"/>
      <c r="AH264" s="158"/>
      <c r="AI264" s="88"/>
      <c r="AJ264" s="88"/>
      <c r="AK264" s="131"/>
      <c r="AL264" s="131"/>
      <c r="AM264" s="131"/>
      <c r="AN264" s="131"/>
      <c r="AO264" s="131"/>
      <c r="AP264" s="88"/>
      <c r="AQ264" s="88"/>
    </row>
    <row r="265">
      <c r="A265" s="171"/>
      <c r="B265" s="172"/>
      <c r="C265" s="172"/>
      <c r="D265" s="173"/>
      <c r="E265" s="155"/>
      <c r="F265" s="155"/>
      <c r="G265" s="88"/>
      <c r="H265" s="155"/>
      <c r="I265" s="155"/>
      <c r="J265" s="155"/>
      <c r="K265" s="15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58"/>
      <c r="AA265" s="105"/>
      <c r="AB265" s="105"/>
      <c r="AC265" s="105"/>
      <c r="AD265" s="105"/>
      <c r="AE265" s="105"/>
      <c r="AF265" s="105"/>
      <c r="AG265" s="105"/>
      <c r="AH265" s="158"/>
      <c r="AI265" s="88"/>
      <c r="AJ265" s="88"/>
      <c r="AK265" s="131"/>
      <c r="AL265" s="131"/>
      <c r="AM265" s="131"/>
      <c r="AN265" s="131"/>
      <c r="AO265" s="131"/>
      <c r="AP265" s="88"/>
      <c r="AQ265" s="88"/>
    </row>
    <row r="266">
      <c r="A266" s="171"/>
      <c r="B266" s="172"/>
      <c r="C266" s="172"/>
      <c r="D266" s="173"/>
      <c r="E266" s="155"/>
      <c r="F266" s="155"/>
      <c r="G266" s="88"/>
      <c r="H266" s="155"/>
      <c r="I266" s="155"/>
      <c r="J266" s="155"/>
      <c r="K266" s="15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58"/>
      <c r="AA266" s="105"/>
      <c r="AB266" s="105"/>
      <c r="AC266" s="105"/>
      <c r="AD266" s="105"/>
      <c r="AE266" s="105"/>
      <c r="AF266" s="105"/>
      <c r="AG266" s="105"/>
      <c r="AH266" s="158"/>
      <c r="AI266" s="88"/>
      <c r="AJ266" s="88"/>
      <c r="AK266" s="131"/>
      <c r="AL266" s="131"/>
      <c r="AM266" s="131"/>
      <c r="AN266" s="131"/>
      <c r="AO266" s="131"/>
      <c r="AP266" s="88"/>
      <c r="AQ266" s="88"/>
    </row>
    <row r="267">
      <c r="A267" s="171"/>
      <c r="B267" s="172"/>
      <c r="C267" s="172"/>
      <c r="D267" s="173"/>
      <c r="E267" s="155"/>
      <c r="F267" s="155"/>
      <c r="G267" s="88"/>
      <c r="H267" s="155"/>
      <c r="I267" s="155"/>
      <c r="J267" s="155"/>
      <c r="K267" s="15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58"/>
      <c r="AA267" s="105"/>
      <c r="AB267" s="105"/>
      <c r="AC267" s="105"/>
      <c r="AD267" s="105"/>
      <c r="AE267" s="105"/>
      <c r="AF267" s="105"/>
      <c r="AG267" s="105"/>
      <c r="AH267" s="158"/>
      <c r="AI267" s="88"/>
      <c r="AJ267" s="88"/>
      <c r="AK267" s="131"/>
      <c r="AL267" s="131"/>
      <c r="AM267" s="131"/>
      <c r="AN267" s="131"/>
      <c r="AO267" s="131"/>
      <c r="AP267" s="88"/>
      <c r="AQ267" s="88"/>
    </row>
    <row r="268">
      <c r="A268" s="172"/>
      <c r="B268" s="172"/>
      <c r="C268" s="172"/>
      <c r="D268" s="173"/>
      <c r="E268" s="155"/>
      <c r="F268" s="155"/>
      <c r="G268" s="88"/>
      <c r="H268" s="155"/>
      <c r="I268" s="155"/>
      <c r="J268" s="155"/>
      <c r="K268" s="15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58"/>
      <c r="AA268" s="105"/>
      <c r="AB268" s="105"/>
      <c r="AC268" s="105"/>
      <c r="AD268" s="105"/>
      <c r="AE268" s="105"/>
      <c r="AF268" s="105"/>
      <c r="AG268" s="105"/>
      <c r="AH268" s="158"/>
      <c r="AI268" s="88"/>
      <c r="AJ268" s="88"/>
      <c r="AK268" s="131"/>
      <c r="AL268" s="131"/>
      <c r="AM268" s="131"/>
      <c r="AN268" s="131"/>
      <c r="AO268" s="131"/>
      <c r="AP268" s="88"/>
      <c r="AQ268" s="88"/>
    </row>
    <row r="269">
      <c r="A269" s="172"/>
      <c r="B269" s="172"/>
      <c r="C269" s="172"/>
      <c r="D269" s="173"/>
      <c r="E269" s="155"/>
      <c r="F269" s="155"/>
      <c r="G269" s="88"/>
      <c r="H269" s="155"/>
      <c r="I269" s="155"/>
      <c r="J269" s="155"/>
      <c r="K269" s="15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58"/>
      <c r="AA269" s="105"/>
      <c r="AB269" s="105"/>
      <c r="AC269" s="105"/>
      <c r="AD269" s="105"/>
      <c r="AE269" s="105"/>
      <c r="AF269" s="105"/>
      <c r="AG269" s="105"/>
      <c r="AH269" s="158"/>
      <c r="AI269" s="88"/>
      <c r="AJ269" s="88"/>
      <c r="AK269" s="131"/>
      <c r="AL269" s="131"/>
      <c r="AM269" s="131"/>
      <c r="AN269" s="131"/>
      <c r="AO269" s="131"/>
      <c r="AP269" s="88"/>
      <c r="AQ269" s="88"/>
    </row>
    <row r="270">
      <c r="A270" s="172"/>
      <c r="B270" s="172"/>
      <c r="C270" s="172"/>
      <c r="D270" s="173"/>
      <c r="E270" s="155"/>
      <c r="F270" s="155"/>
      <c r="G270" s="88"/>
      <c r="H270" s="155"/>
      <c r="I270" s="155"/>
      <c r="J270" s="155"/>
      <c r="K270" s="15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58"/>
      <c r="AA270" s="105"/>
      <c r="AB270" s="105"/>
      <c r="AC270" s="105"/>
      <c r="AD270" s="105"/>
      <c r="AE270" s="105"/>
      <c r="AF270" s="105"/>
      <c r="AG270" s="105"/>
      <c r="AH270" s="158"/>
      <c r="AI270" s="88"/>
      <c r="AJ270" s="88"/>
      <c r="AK270" s="131"/>
      <c r="AL270" s="131"/>
      <c r="AM270" s="131"/>
      <c r="AN270" s="131"/>
      <c r="AO270" s="131"/>
      <c r="AP270" s="88"/>
      <c r="AQ270" s="88"/>
    </row>
    <row r="271">
      <c r="A271" s="172"/>
      <c r="B271" s="172"/>
      <c r="C271" s="172"/>
      <c r="D271" s="173"/>
      <c r="E271" s="155"/>
      <c r="F271" s="155"/>
      <c r="G271" s="88"/>
      <c r="H271" s="155"/>
      <c r="I271" s="155"/>
      <c r="J271" s="155"/>
      <c r="K271" s="15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58"/>
      <c r="AA271" s="105"/>
      <c r="AB271" s="105"/>
      <c r="AC271" s="105"/>
      <c r="AD271" s="105"/>
      <c r="AE271" s="105"/>
      <c r="AF271" s="105"/>
      <c r="AG271" s="105"/>
      <c r="AH271" s="158"/>
      <c r="AI271" s="88"/>
      <c r="AJ271" s="88"/>
      <c r="AK271" s="131"/>
      <c r="AL271" s="131"/>
      <c r="AM271" s="131"/>
      <c r="AN271" s="131"/>
      <c r="AO271" s="131"/>
      <c r="AP271" s="88"/>
      <c r="AQ271" s="88"/>
    </row>
    <row r="272">
      <c r="A272" s="172"/>
      <c r="B272" s="172"/>
      <c r="C272" s="172"/>
      <c r="D272" s="173"/>
      <c r="E272" s="155"/>
      <c r="F272" s="155"/>
      <c r="G272" s="88"/>
      <c r="H272" s="155"/>
      <c r="I272" s="155"/>
      <c r="J272" s="155"/>
      <c r="K272" s="15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58"/>
      <c r="AA272" s="105"/>
      <c r="AB272" s="105"/>
      <c r="AC272" s="105"/>
      <c r="AD272" s="105"/>
      <c r="AE272" s="105"/>
      <c r="AF272" s="105"/>
      <c r="AG272" s="105"/>
      <c r="AH272" s="158"/>
      <c r="AI272" s="88"/>
      <c r="AJ272" s="88"/>
      <c r="AK272" s="131"/>
      <c r="AL272" s="131"/>
      <c r="AM272" s="131"/>
      <c r="AN272" s="131"/>
      <c r="AO272" s="131"/>
      <c r="AP272" s="88"/>
      <c r="AQ272" s="88"/>
    </row>
    <row r="273">
      <c r="A273" s="172"/>
      <c r="B273" s="172"/>
      <c r="C273" s="172"/>
      <c r="D273" s="173"/>
      <c r="E273" s="155"/>
      <c r="F273" s="155"/>
      <c r="G273" s="88"/>
      <c r="H273" s="155"/>
      <c r="I273" s="155"/>
      <c r="J273" s="155"/>
      <c r="K273" s="15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58"/>
      <c r="AA273" s="105"/>
      <c r="AB273" s="105"/>
      <c r="AC273" s="105"/>
      <c r="AD273" s="105"/>
      <c r="AE273" s="105"/>
      <c r="AF273" s="105"/>
      <c r="AG273" s="105"/>
      <c r="AH273" s="158"/>
      <c r="AI273" s="88"/>
      <c r="AJ273" s="88"/>
      <c r="AK273" s="131"/>
      <c r="AL273" s="131"/>
      <c r="AM273" s="131"/>
      <c r="AN273" s="131"/>
      <c r="AO273" s="131"/>
      <c r="AP273" s="88"/>
      <c r="AQ273" s="88"/>
    </row>
    <row r="274">
      <c r="A274" s="172"/>
      <c r="B274" s="172"/>
      <c r="C274" s="172"/>
      <c r="D274" s="173"/>
      <c r="E274" s="155"/>
      <c r="F274" s="155"/>
      <c r="G274" s="88"/>
      <c r="H274" s="155"/>
      <c r="I274" s="155"/>
      <c r="J274" s="155"/>
      <c r="K274" s="15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58"/>
      <c r="AA274" s="105"/>
      <c r="AB274" s="105"/>
      <c r="AC274" s="105"/>
      <c r="AD274" s="105"/>
      <c r="AE274" s="105"/>
      <c r="AF274" s="105"/>
      <c r="AG274" s="105"/>
      <c r="AH274" s="158"/>
      <c r="AI274" s="88"/>
      <c r="AJ274" s="88"/>
      <c r="AK274" s="131"/>
      <c r="AL274" s="131"/>
      <c r="AM274" s="131"/>
      <c r="AN274" s="131"/>
      <c r="AO274" s="131"/>
      <c r="AP274" s="88"/>
      <c r="AQ274" s="88"/>
    </row>
    <row r="275">
      <c r="A275" s="172"/>
      <c r="B275" s="172"/>
      <c r="C275" s="172"/>
      <c r="D275" s="173"/>
      <c r="E275" s="155"/>
      <c r="F275" s="155"/>
      <c r="G275" s="88"/>
      <c r="H275" s="155"/>
      <c r="I275" s="155"/>
      <c r="J275" s="155"/>
      <c r="K275" s="15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58"/>
      <c r="AA275" s="105"/>
      <c r="AB275" s="105"/>
      <c r="AC275" s="105"/>
      <c r="AD275" s="105"/>
      <c r="AE275" s="105"/>
      <c r="AF275" s="105"/>
      <c r="AG275" s="105"/>
      <c r="AH275" s="158"/>
      <c r="AI275" s="88"/>
      <c r="AJ275" s="88"/>
      <c r="AK275" s="131"/>
      <c r="AL275" s="131"/>
      <c r="AM275" s="131"/>
      <c r="AN275" s="131"/>
      <c r="AO275" s="131"/>
      <c r="AP275" s="88"/>
      <c r="AQ275" s="88"/>
    </row>
    <row r="276">
      <c r="A276" s="173"/>
      <c r="B276" s="173"/>
      <c r="C276" s="174"/>
      <c r="D276" s="173"/>
      <c r="E276" s="155"/>
      <c r="F276" s="155"/>
      <c r="G276" s="88"/>
      <c r="H276" s="155"/>
      <c r="I276" s="155"/>
      <c r="J276" s="155"/>
      <c r="K276" s="15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58"/>
      <c r="AA276" s="105"/>
      <c r="AB276" s="105"/>
      <c r="AC276" s="105"/>
      <c r="AD276" s="105"/>
      <c r="AE276" s="105"/>
      <c r="AF276" s="105"/>
      <c r="AG276" s="105"/>
      <c r="AH276" s="158"/>
      <c r="AI276" s="88"/>
      <c r="AJ276" s="88"/>
      <c r="AK276" s="131"/>
      <c r="AL276" s="131"/>
      <c r="AM276" s="131"/>
      <c r="AN276" s="131"/>
      <c r="AO276" s="131"/>
      <c r="AP276" s="88"/>
      <c r="AQ276" s="88"/>
    </row>
    <row r="277">
      <c r="A277" s="173"/>
      <c r="B277" s="173"/>
      <c r="C277" s="174"/>
      <c r="D277" s="173"/>
      <c r="E277" s="155"/>
      <c r="F277" s="155"/>
      <c r="G277" s="88"/>
      <c r="H277" s="155"/>
      <c r="I277" s="155"/>
      <c r="J277" s="155"/>
      <c r="K277" s="15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58"/>
      <c r="AA277" s="105"/>
      <c r="AB277" s="105"/>
      <c r="AC277" s="105"/>
      <c r="AD277" s="105"/>
      <c r="AE277" s="105"/>
      <c r="AF277" s="105"/>
      <c r="AG277" s="105"/>
      <c r="AH277" s="158"/>
      <c r="AI277" s="88"/>
      <c r="AJ277" s="88"/>
      <c r="AK277" s="131"/>
      <c r="AL277" s="131"/>
      <c r="AM277" s="131"/>
      <c r="AN277" s="131"/>
      <c r="AO277" s="131"/>
      <c r="AP277" s="88"/>
      <c r="AQ277" s="88"/>
    </row>
    <row r="278">
      <c r="A278" s="173"/>
      <c r="B278" s="173"/>
      <c r="C278" s="174"/>
      <c r="D278" s="173"/>
      <c r="E278" s="155"/>
      <c r="F278" s="155"/>
      <c r="G278" s="88"/>
      <c r="H278" s="155"/>
      <c r="I278" s="155"/>
      <c r="J278" s="155"/>
      <c r="K278" s="15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58"/>
      <c r="AA278" s="105"/>
      <c r="AB278" s="105"/>
      <c r="AC278" s="105"/>
      <c r="AD278" s="105"/>
      <c r="AE278" s="105"/>
      <c r="AF278" s="105"/>
      <c r="AG278" s="105"/>
      <c r="AH278" s="158"/>
      <c r="AI278" s="88"/>
      <c r="AJ278" s="88"/>
      <c r="AK278" s="131"/>
      <c r="AL278" s="131"/>
      <c r="AM278" s="131"/>
      <c r="AN278" s="131"/>
      <c r="AO278" s="131"/>
      <c r="AP278" s="88"/>
      <c r="AQ278" s="88"/>
    </row>
    <row r="279">
      <c r="A279" s="172"/>
      <c r="B279" s="172"/>
      <c r="C279" s="172"/>
      <c r="D279" s="173"/>
      <c r="E279" s="155"/>
      <c r="F279" s="155"/>
      <c r="G279" s="88"/>
      <c r="H279" s="155"/>
      <c r="I279" s="155"/>
      <c r="J279" s="155"/>
      <c r="K279" s="15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58"/>
      <c r="AA279" s="105"/>
      <c r="AB279" s="105"/>
      <c r="AC279" s="105"/>
      <c r="AD279" s="105"/>
      <c r="AE279" s="105"/>
      <c r="AF279" s="105"/>
      <c r="AG279" s="105"/>
      <c r="AH279" s="158"/>
      <c r="AI279" s="88"/>
      <c r="AJ279" s="88"/>
      <c r="AK279" s="131"/>
      <c r="AL279" s="131"/>
      <c r="AM279" s="131"/>
      <c r="AN279" s="131"/>
      <c r="AO279" s="131"/>
      <c r="AP279" s="88"/>
      <c r="AQ279" s="88"/>
    </row>
    <row r="280">
      <c r="A280" s="172"/>
      <c r="B280" s="172"/>
      <c r="C280" s="172"/>
      <c r="D280" s="173"/>
      <c r="E280" s="155"/>
      <c r="F280" s="155"/>
      <c r="G280" s="88"/>
      <c r="H280" s="155"/>
      <c r="I280" s="155"/>
      <c r="J280" s="155"/>
      <c r="K280" s="15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58"/>
      <c r="AA280" s="105"/>
      <c r="AB280" s="105"/>
      <c r="AC280" s="105"/>
      <c r="AD280" s="105"/>
      <c r="AE280" s="105"/>
      <c r="AF280" s="105"/>
      <c r="AG280" s="105"/>
      <c r="AH280" s="158"/>
      <c r="AI280" s="88"/>
      <c r="AJ280" s="88"/>
      <c r="AK280" s="131"/>
      <c r="AL280" s="131"/>
      <c r="AM280" s="131"/>
      <c r="AN280" s="131"/>
      <c r="AO280" s="131"/>
      <c r="AP280" s="88"/>
      <c r="AQ280" s="88"/>
    </row>
    <row r="281">
      <c r="A281" s="172"/>
      <c r="B281" s="172"/>
      <c r="C281" s="172"/>
      <c r="D281" s="173"/>
      <c r="E281" s="155"/>
      <c r="F281" s="155"/>
      <c r="G281" s="88"/>
      <c r="H281" s="155"/>
      <c r="I281" s="155"/>
      <c r="J281" s="155"/>
      <c r="K281" s="15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58"/>
      <c r="AA281" s="105"/>
      <c r="AB281" s="105"/>
      <c r="AC281" s="105"/>
      <c r="AD281" s="105"/>
      <c r="AE281" s="105"/>
      <c r="AF281" s="105"/>
      <c r="AG281" s="105"/>
      <c r="AH281" s="158"/>
      <c r="AI281" s="88"/>
      <c r="AJ281" s="88"/>
      <c r="AK281" s="131"/>
      <c r="AL281" s="131"/>
      <c r="AM281" s="131"/>
      <c r="AN281" s="131"/>
      <c r="AO281" s="131"/>
      <c r="AP281" s="88"/>
      <c r="AQ281" s="88"/>
    </row>
    <row r="282">
      <c r="A282" s="172"/>
      <c r="B282" s="172"/>
      <c r="C282" s="172"/>
      <c r="D282" s="173"/>
      <c r="E282" s="155"/>
      <c r="F282" s="155"/>
      <c r="G282" s="88"/>
      <c r="H282" s="155"/>
      <c r="I282" s="155"/>
      <c r="J282" s="155"/>
      <c r="K282" s="15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58"/>
      <c r="AA282" s="105"/>
      <c r="AB282" s="105"/>
      <c r="AC282" s="105"/>
      <c r="AD282" s="105"/>
      <c r="AE282" s="105"/>
      <c r="AF282" s="105"/>
      <c r="AG282" s="105"/>
      <c r="AH282" s="158"/>
      <c r="AI282" s="88"/>
      <c r="AJ282" s="88"/>
      <c r="AK282" s="131"/>
      <c r="AL282" s="131"/>
      <c r="AM282" s="131"/>
      <c r="AN282" s="131"/>
      <c r="AO282" s="131"/>
      <c r="AP282" s="88"/>
      <c r="AQ282" s="88"/>
    </row>
    <row r="283">
      <c r="A283" s="172"/>
      <c r="B283" s="172"/>
      <c r="C283" s="172"/>
      <c r="D283" s="173"/>
      <c r="E283" s="155"/>
      <c r="F283" s="155"/>
      <c r="G283" s="88"/>
      <c r="H283" s="155"/>
      <c r="I283" s="155"/>
      <c r="J283" s="155"/>
      <c r="K283" s="15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58"/>
      <c r="AA283" s="105"/>
      <c r="AB283" s="105"/>
      <c r="AC283" s="105"/>
      <c r="AD283" s="105"/>
      <c r="AE283" s="105"/>
      <c r="AF283" s="105"/>
      <c r="AG283" s="105"/>
      <c r="AH283" s="158"/>
      <c r="AI283" s="88"/>
      <c r="AJ283" s="88"/>
      <c r="AK283" s="131"/>
      <c r="AL283" s="131"/>
      <c r="AM283" s="131"/>
      <c r="AN283" s="131"/>
      <c r="AO283" s="131"/>
      <c r="AP283" s="88"/>
      <c r="AQ283" s="88"/>
    </row>
    <row r="284">
      <c r="A284" s="172"/>
      <c r="B284" s="172"/>
      <c r="C284" s="172"/>
      <c r="D284" s="173"/>
      <c r="E284" s="155"/>
      <c r="F284" s="155"/>
      <c r="G284" s="88"/>
      <c r="H284" s="155"/>
      <c r="I284" s="155"/>
      <c r="J284" s="155"/>
      <c r="K284" s="15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58"/>
      <c r="AA284" s="105"/>
      <c r="AB284" s="105"/>
      <c r="AC284" s="105"/>
      <c r="AD284" s="105"/>
      <c r="AE284" s="105"/>
      <c r="AF284" s="105"/>
      <c r="AG284" s="105"/>
      <c r="AH284" s="158"/>
      <c r="AI284" s="88"/>
      <c r="AJ284" s="88"/>
      <c r="AK284" s="131"/>
      <c r="AL284" s="131"/>
      <c r="AM284" s="131"/>
      <c r="AN284" s="131"/>
      <c r="AO284" s="131"/>
      <c r="AP284" s="88"/>
      <c r="AQ284" s="88"/>
    </row>
    <row r="285">
      <c r="A285" s="172"/>
      <c r="B285" s="172"/>
      <c r="C285" s="172"/>
      <c r="D285" s="173"/>
      <c r="E285" s="155"/>
      <c r="F285" s="155"/>
      <c r="G285" s="88"/>
      <c r="H285" s="155"/>
      <c r="I285" s="155"/>
      <c r="J285" s="155"/>
      <c r="K285" s="15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58"/>
      <c r="AA285" s="105"/>
      <c r="AB285" s="105"/>
      <c r="AC285" s="105"/>
      <c r="AD285" s="105"/>
      <c r="AE285" s="105"/>
      <c r="AF285" s="105"/>
      <c r="AG285" s="105"/>
      <c r="AH285" s="158"/>
      <c r="AI285" s="88"/>
      <c r="AJ285" s="88"/>
      <c r="AK285" s="131"/>
      <c r="AL285" s="131"/>
      <c r="AM285" s="131"/>
      <c r="AN285" s="131"/>
      <c r="AO285" s="131"/>
      <c r="AP285" s="88"/>
      <c r="AQ285" s="88"/>
    </row>
    <row r="286">
      <c r="A286" s="172"/>
      <c r="B286" s="172"/>
      <c r="C286" s="172"/>
      <c r="D286" s="173"/>
      <c r="E286" s="155"/>
      <c r="F286" s="155"/>
      <c r="G286" s="88"/>
      <c r="H286" s="155"/>
      <c r="I286" s="155"/>
      <c r="J286" s="155"/>
      <c r="K286" s="15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58"/>
      <c r="AA286" s="105"/>
      <c r="AB286" s="105"/>
      <c r="AC286" s="105"/>
      <c r="AD286" s="105"/>
      <c r="AE286" s="105"/>
      <c r="AF286" s="105"/>
      <c r="AG286" s="105"/>
      <c r="AH286" s="158"/>
      <c r="AI286" s="88"/>
      <c r="AJ286" s="88"/>
      <c r="AK286" s="131"/>
      <c r="AL286" s="131"/>
      <c r="AM286" s="131"/>
      <c r="AN286" s="131"/>
      <c r="AO286" s="131"/>
      <c r="AP286" s="88"/>
      <c r="AQ286" s="88"/>
    </row>
    <row r="287">
      <c r="A287" s="172"/>
      <c r="B287" s="172"/>
      <c r="C287" s="172"/>
      <c r="D287" s="173"/>
      <c r="E287" s="155"/>
      <c r="F287" s="155"/>
      <c r="G287" s="88"/>
      <c r="H287" s="155"/>
      <c r="I287" s="155"/>
      <c r="J287" s="155"/>
      <c r="K287" s="15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58"/>
      <c r="AA287" s="105"/>
      <c r="AB287" s="105"/>
      <c r="AC287" s="105"/>
      <c r="AD287" s="105"/>
      <c r="AE287" s="105"/>
      <c r="AF287" s="105"/>
      <c r="AG287" s="105"/>
      <c r="AH287" s="158"/>
      <c r="AI287" s="88"/>
      <c r="AJ287" s="88"/>
      <c r="AK287" s="131"/>
      <c r="AL287" s="131"/>
      <c r="AM287" s="131"/>
      <c r="AN287" s="131"/>
      <c r="AO287" s="131"/>
      <c r="AP287" s="88"/>
      <c r="AQ287" s="88"/>
    </row>
    <row r="288">
      <c r="A288" s="172"/>
      <c r="B288" s="172"/>
      <c r="C288" s="172"/>
      <c r="D288" s="173"/>
      <c r="E288" s="155"/>
      <c r="F288" s="155"/>
      <c r="G288" s="88"/>
      <c r="H288" s="155"/>
      <c r="I288" s="155"/>
      <c r="J288" s="155"/>
      <c r="K288" s="15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58"/>
      <c r="AA288" s="105"/>
      <c r="AB288" s="105"/>
      <c r="AC288" s="105"/>
      <c r="AD288" s="105"/>
      <c r="AE288" s="105"/>
      <c r="AF288" s="105"/>
      <c r="AG288" s="105"/>
      <c r="AH288" s="158"/>
      <c r="AI288" s="88"/>
      <c r="AJ288" s="88"/>
      <c r="AK288" s="131"/>
      <c r="AL288" s="131"/>
      <c r="AM288" s="131"/>
      <c r="AN288" s="131"/>
      <c r="AO288" s="131"/>
      <c r="AP288" s="88"/>
      <c r="AQ288" s="88"/>
    </row>
    <row r="289">
      <c r="A289" s="172"/>
      <c r="B289" s="172"/>
      <c r="C289" s="172"/>
      <c r="D289" s="173"/>
      <c r="E289" s="155"/>
      <c r="F289" s="155"/>
      <c r="G289" s="88"/>
      <c r="H289" s="155"/>
      <c r="I289" s="155"/>
      <c r="J289" s="155"/>
      <c r="K289" s="15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58"/>
      <c r="AA289" s="105"/>
      <c r="AB289" s="105"/>
      <c r="AC289" s="105"/>
      <c r="AD289" s="105"/>
      <c r="AE289" s="105"/>
      <c r="AF289" s="105"/>
      <c r="AG289" s="105"/>
      <c r="AH289" s="158"/>
      <c r="AI289" s="88"/>
      <c r="AJ289" s="88"/>
      <c r="AK289" s="131"/>
      <c r="AL289" s="131"/>
      <c r="AM289" s="131"/>
      <c r="AN289" s="131"/>
      <c r="AO289" s="131"/>
      <c r="AP289" s="88"/>
      <c r="AQ289" s="88"/>
    </row>
    <row r="290">
      <c r="A290" s="172"/>
      <c r="B290" s="172"/>
      <c r="C290" s="172"/>
      <c r="D290" s="173"/>
      <c r="E290" s="155"/>
      <c r="F290" s="155"/>
      <c r="G290" s="88"/>
      <c r="H290" s="155"/>
      <c r="I290" s="155"/>
      <c r="J290" s="155"/>
      <c r="K290" s="15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58"/>
      <c r="AA290" s="105"/>
      <c r="AB290" s="105"/>
      <c r="AC290" s="105"/>
      <c r="AD290" s="105"/>
      <c r="AE290" s="105"/>
      <c r="AF290" s="105"/>
      <c r="AG290" s="105"/>
      <c r="AH290" s="158"/>
      <c r="AI290" s="88"/>
      <c r="AJ290" s="88"/>
      <c r="AK290" s="131"/>
      <c r="AL290" s="131"/>
      <c r="AM290" s="131"/>
      <c r="AN290" s="131"/>
      <c r="AO290" s="131"/>
      <c r="AP290" s="88"/>
      <c r="AQ290" s="88"/>
    </row>
    <row r="291">
      <c r="A291" s="172"/>
      <c r="B291" s="172"/>
      <c r="C291" s="172"/>
      <c r="D291" s="173"/>
      <c r="E291" s="155"/>
      <c r="F291" s="155"/>
      <c r="G291" s="88"/>
      <c r="H291" s="155"/>
      <c r="I291" s="155"/>
      <c r="J291" s="155"/>
      <c r="K291" s="15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58"/>
      <c r="AA291" s="105"/>
      <c r="AB291" s="105"/>
      <c r="AC291" s="105"/>
      <c r="AD291" s="105"/>
      <c r="AE291" s="105"/>
      <c r="AF291" s="105"/>
      <c r="AG291" s="105"/>
      <c r="AH291" s="158"/>
      <c r="AI291" s="88"/>
      <c r="AJ291" s="88"/>
      <c r="AK291" s="131"/>
      <c r="AL291" s="131"/>
      <c r="AM291" s="131"/>
      <c r="AN291" s="131"/>
      <c r="AO291" s="131"/>
      <c r="AP291" s="88"/>
      <c r="AQ291" s="88"/>
    </row>
    <row r="292">
      <c r="A292" s="172"/>
      <c r="B292" s="172"/>
      <c r="C292" s="172"/>
      <c r="D292" s="173"/>
      <c r="E292" s="155"/>
      <c r="F292" s="155"/>
      <c r="G292" s="88"/>
      <c r="H292" s="155"/>
      <c r="I292" s="155"/>
      <c r="J292" s="155"/>
      <c r="K292" s="15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58"/>
      <c r="AA292" s="105"/>
      <c r="AB292" s="105"/>
      <c r="AC292" s="105"/>
      <c r="AD292" s="105"/>
      <c r="AE292" s="105"/>
      <c r="AF292" s="105"/>
      <c r="AG292" s="105"/>
      <c r="AH292" s="158"/>
      <c r="AI292" s="88"/>
      <c r="AJ292" s="88"/>
      <c r="AK292" s="131"/>
      <c r="AL292" s="131"/>
      <c r="AM292" s="131"/>
      <c r="AN292" s="131"/>
      <c r="AO292" s="131"/>
      <c r="AP292" s="88"/>
      <c r="AQ292" s="88"/>
    </row>
    <row r="293">
      <c r="A293" s="172"/>
      <c r="B293" s="172"/>
      <c r="C293" s="172"/>
      <c r="D293" s="173"/>
      <c r="E293" s="155"/>
      <c r="F293" s="155"/>
      <c r="G293" s="88"/>
      <c r="H293" s="155"/>
      <c r="I293" s="155"/>
      <c r="J293" s="155"/>
      <c r="K293" s="15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58"/>
      <c r="AA293" s="105"/>
      <c r="AB293" s="105"/>
      <c r="AC293" s="105"/>
      <c r="AD293" s="105"/>
      <c r="AE293" s="105"/>
      <c r="AF293" s="105"/>
      <c r="AG293" s="105"/>
      <c r="AH293" s="158"/>
      <c r="AI293" s="88"/>
      <c r="AJ293" s="88"/>
      <c r="AK293" s="131"/>
      <c r="AL293" s="131"/>
      <c r="AM293" s="131"/>
      <c r="AN293" s="131"/>
      <c r="AO293" s="131"/>
      <c r="AP293" s="88"/>
      <c r="AQ293" s="88"/>
    </row>
    <row r="294">
      <c r="A294" s="172"/>
      <c r="B294" s="172"/>
      <c r="C294" s="172"/>
      <c r="D294" s="173"/>
      <c r="E294" s="155"/>
      <c r="F294" s="155"/>
      <c r="G294" s="88"/>
      <c r="H294" s="155"/>
      <c r="I294" s="155"/>
      <c r="J294" s="155"/>
      <c r="K294" s="15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58"/>
      <c r="AA294" s="105"/>
      <c r="AB294" s="105"/>
      <c r="AC294" s="105"/>
      <c r="AD294" s="105"/>
      <c r="AE294" s="105"/>
      <c r="AF294" s="105"/>
      <c r="AG294" s="105"/>
      <c r="AH294" s="158"/>
      <c r="AI294" s="88"/>
      <c r="AJ294" s="88"/>
      <c r="AK294" s="131"/>
      <c r="AL294" s="131"/>
      <c r="AM294" s="131"/>
      <c r="AN294" s="131"/>
      <c r="AO294" s="131"/>
      <c r="AP294" s="88"/>
      <c r="AQ294" s="88"/>
    </row>
    <row r="295">
      <c r="A295" s="172"/>
      <c r="B295" s="172"/>
      <c r="C295" s="172"/>
      <c r="D295" s="173"/>
      <c r="E295" s="155"/>
      <c r="F295" s="155"/>
      <c r="G295" s="88"/>
      <c r="H295" s="155"/>
      <c r="I295" s="155"/>
      <c r="J295" s="155"/>
      <c r="K295" s="15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58"/>
      <c r="AA295" s="105"/>
      <c r="AB295" s="105"/>
      <c r="AC295" s="105"/>
      <c r="AD295" s="105"/>
      <c r="AE295" s="105"/>
      <c r="AF295" s="105"/>
      <c r="AG295" s="105"/>
      <c r="AH295" s="158"/>
      <c r="AI295" s="88"/>
      <c r="AJ295" s="88"/>
      <c r="AK295" s="131"/>
      <c r="AL295" s="131"/>
      <c r="AM295" s="131"/>
      <c r="AN295" s="131"/>
      <c r="AO295" s="131"/>
      <c r="AP295" s="88"/>
      <c r="AQ295" s="88"/>
    </row>
    <row r="296">
      <c r="A296" s="172"/>
      <c r="B296" s="172"/>
      <c r="C296" s="172"/>
      <c r="D296" s="173"/>
      <c r="E296" s="155"/>
      <c r="F296" s="155"/>
      <c r="G296" s="88"/>
      <c r="H296" s="155"/>
      <c r="I296" s="155"/>
      <c r="J296" s="155"/>
      <c r="K296" s="15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58"/>
      <c r="AA296" s="105"/>
      <c r="AB296" s="105"/>
      <c r="AC296" s="105"/>
      <c r="AD296" s="105"/>
      <c r="AE296" s="105"/>
      <c r="AF296" s="105"/>
      <c r="AG296" s="105"/>
      <c r="AH296" s="158"/>
      <c r="AI296" s="88"/>
      <c r="AJ296" s="88"/>
      <c r="AK296" s="131"/>
      <c r="AL296" s="131"/>
      <c r="AM296" s="131"/>
      <c r="AN296" s="131"/>
      <c r="AO296" s="131"/>
      <c r="AP296" s="88"/>
      <c r="AQ296" s="88"/>
    </row>
    <row r="297">
      <c r="A297" s="172"/>
      <c r="B297" s="172"/>
      <c r="C297" s="172"/>
      <c r="D297" s="173"/>
      <c r="E297" s="155"/>
      <c r="F297" s="155"/>
      <c r="G297" s="88"/>
      <c r="H297" s="155"/>
      <c r="I297" s="155"/>
      <c r="J297" s="155"/>
      <c r="K297" s="15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58"/>
      <c r="AA297" s="105"/>
      <c r="AB297" s="105"/>
      <c r="AC297" s="105"/>
      <c r="AD297" s="105"/>
      <c r="AE297" s="105"/>
      <c r="AF297" s="105"/>
      <c r="AG297" s="105"/>
      <c r="AH297" s="158"/>
      <c r="AI297" s="88"/>
      <c r="AJ297" s="88"/>
      <c r="AK297" s="131"/>
      <c r="AL297" s="131"/>
      <c r="AM297" s="131"/>
      <c r="AN297" s="131"/>
      <c r="AO297" s="131"/>
      <c r="AP297" s="88"/>
      <c r="AQ297" s="88"/>
    </row>
    <row r="298">
      <c r="A298" s="172"/>
      <c r="B298" s="172"/>
      <c r="C298" s="172"/>
      <c r="D298" s="173"/>
      <c r="E298" s="155"/>
      <c r="F298" s="155"/>
      <c r="G298" s="88"/>
      <c r="H298" s="155"/>
      <c r="I298" s="155"/>
      <c r="J298" s="155"/>
      <c r="K298" s="15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58"/>
      <c r="AA298" s="105"/>
      <c r="AB298" s="105"/>
      <c r="AC298" s="105"/>
      <c r="AD298" s="105"/>
      <c r="AE298" s="105"/>
      <c r="AF298" s="105"/>
      <c r="AG298" s="105"/>
      <c r="AH298" s="158"/>
      <c r="AI298" s="88"/>
      <c r="AJ298" s="88"/>
      <c r="AK298" s="131"/>
      <c r="AL298" s="131"/>
      <c r="AM298" s="131"/>
      <c r="AN298" s="131"/>
      <c r="AO298" s="131"/>
      <c r="AP298" s="88"/>
      <c r="AQ298" s="88"/>
    </row>
    <row r="299">
      <c r="A299" s="172"/>
      <c r="B299" s="172"/>
      <c r="C299" s="172"/>
      <c r="D299" s="173"/>
      <c r="E299" s="155"/>
      <c r="F299" s="155"/>
      <c r="G299" s="88"/>
      <c r="H299" s="155"/>
      <c r="I299" s="155"/>
      <c r="J299" s="155"/>
      <c r="K299" s="15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58"/>
      <c r="AA299" s="105"/>
      <c r="AB299" s="105"/>
      <c r="AC299" s="105"/>
      <c r="AD299" s="105"/>
      <c r="AE299" s="105"/>
      <c r="AF299" s="105"/>
      <c r="AG299" s="105"/>
      <c r="AH299" s="158"/>
      <c r="AI299" s="88"/>
      <c r="AJ299" s="88"/>
      <c r="AK299" s="131"/>
      <c r="AL299" s="131"/>
      <c r="AM299" s="131"/>
      <c r="AN299" s="131"/>
      <c r="AO299" s="131"/>
      <c r="AP299" s="88"/>
      <c r="AQ299" s="88"/>
    </row>
    <row r="300">
      <c r="A300" s="172"/>
      <c r="B300" s="172"/>
      <c r="C300" s="172"/>
      <c r="D300" s="173"/>
      <c r="E300" s="155"/>
      <c r="F300" s="155"/>
      <c r="G300" s="88"/>
      <c r="H300" s="155"/>
      <c r="I300" s="155"/>
      <c r="J300" s="155"/>
      <c r="K300" s="15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58"/>
      <c r="AA300" s="105"/>
      <c r="AB300" s="105"/>
      <c r="AC300" s="105"/>
      <c r="AD300" s="105"/>
      <c r="AE300" s="105"/>
      <c r="AF300" s="105"/>
      <c r="AG300" s="105"/>
      <c r="AH300" s="158"/>
      <c r="AI300" s="88"/>
      <c r="AJ300" s="88"/>
      <c r="AK300" s="131"/>
      <c r="AL300" s="131"/>
      <c r="AM300" s="131"/>
      <c r="AN300" s="131"/>
      <c r="AO300" s="131"/>
      <c r="AP300" s="88"/>
      <c r="AQ300" s="88"/>
    </row>
    <row r="301">
      <c r="A301" s="172"/>
      <c r="B301" s="172"/>
      <c r="C301" s="172"/>
      <c r="D301" s="173"/>
      <c r="E301" s="155"/>
      <c r="F301" s="155"/>
      <c r="G301" s="88"/>
      <c r="H301" s="155"/>
      <c r="I301" s="155"/>
      <c r="J301" s="155"/>
      <c r="K301" s="15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58"/>
      <c r="AA301" s="105"/>
      <c r="AB301" s="105"/>
      <c r="AC301" s="105"/>
      <c r="AD301" s="105"/>
      <c r="AE301" s="105"/>
      <c r="AF301" s="105"/>
      <c r="AG301" s="105"/>
      <c r="AH301" s="158"/>
      <c r="AI301" s="88"/>
      <c r="AJ301" s="88"/>
      <c r="AK301" s="131"/>
      <c r="AL301" s="131"/>
      <c r="AM301" s="131"/>
      <c r="AN301" s="131"/>
      <c r="AO301" s="131"/>
      <c r="AP301" s="88"/>
      <c r="AQ301" s="88"/>
    </row>
    <row r="302">
      <c r="A302" s="172"/>
      <c r="B302" s="172"/>
      <c r="C302" s="172"/>
      <c r="D302" s="173"/>
      <c r="E302" s="155"/>
      <c r="F302" s="155"/>
      <c r="G302" s="88"/>
      <c r="H302" s="155"/>
      <c r="I302" s="155"/>
      <c r="J302" s="155"/>
      <c r="K302" s="15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58"/>
      <c r="AA302" s="105"/>
      <c r="AB302" s="105"/>
      <c r="AC302" s="105"/>
      <c r="AD302" s="105"/>
      <c r="AE302" s="105"/>
      <c r="AF302" s="105"/>
      <c r="AG302" s="105"/>
      <c r="AH302" s="158"/>
      <c r="AI302" s="88"/>
      <c r="AJ302" s="88"/>
      <c r="AK302" s="131"/>
      <c r="AL302" s="131"/>
      <c r="AM302" s="131"/>
      <c r="AN302" s="131"/>
      <c r="AO302" s="131"/>
      <c r="AP302" s="88"/>
      <c r="AQ302" s="88"/>
    </row>
    <row r="303">
      <c r="A303" s="172"/>
      <c r="B303" s="172"/>
      <c r="C303" s="172"/>
      <c r="D303" s="173"/>
      <c r="E303" s="155"/>
      <c r="F303" s="155"/>
      <c r="G303" s="88"/>
      <c r="H303" s="155"/>
      <c r="I303" s="155"/>
      <c r="J303" s="155"/>
      <c r="K303" s="15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58"/>
      <c r="AA303" s="105"/>
      <c r="AB303" s="105"/>
      <c r="AC303" s="105"/>
      <c r="AD303" s="105"/>
      <c r="AE303" s="105"/>
      <c r="AF303" s="105"/>
      <c r="AG303" s="105"/>
      <c r="AH303" s="158"/>
      <c r="AI303" s="88"/>
      <c r="AJ303" s="88"/>
      <c r="AK303" s="131"/>
      <c r="AL303" s="131"/>
      <c r="AM303" s="131"/>
      <c r="AN303" s="131"/>
      <c r="AO303" s="131"/>
      <c r="AP303" s="88"/>
      <c r="AQ303" s="88"/>
    </row>
    <row r="304">
      <c r="A304" s="172"/>
      <c r="B304" s="172"/>
      <c r="C304" s="172"/>
      <c r="D304" s="173"/>
      <c r="E304" s="155"/>
      <c r="F304" s="155"/>
      <c r="G304" s="88"/>
      <c r="H304" s="155"/>
      <c r="I304" s="155"/>
      <c r="J304" s="155"/>
      <c r="K304" s="15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58"/>
      <c r="AA304" s="105"/>
      <c r="AB304" s="105"/>
      <c r="AC304" s="105"/>
      <c r="AD304" s="105"/>
      <c r="AE304" s="105"/>
      <c r="AF304" s="105"/>
      <c r="AG304" s="105"/>
      <c r="AH304" s="158"/>
      <c r="AI304" s="88"/>
      <c r="AJ304" s="88"/>
      <c r="AK304" s="131"/>
      <c r="AL304" s="131"/>
      <c r="AM304" s="131"/>
      <c r="AN304" s="131"/>
      <c r="AO304" s="131"/>
      <c r="AP304" s="88"/>
      <c r="AQ304" s="88"/>
    </row>
    <row r="305">
      <c r="A305" s="172"/>
      <c r="B305" s="172"/>
      <c r="C305" s="172"/>
      <c r="D305" s="173"/>
      <c r="E305" s="155"/>
      <c r="F305" s="155"/>
      <c r="G305" s="88"/>
      <c r="H305" s="155"/>
      <c r="I305" s="155"/>
      <c r="J305" s="155"/>
      <c r="K305" s="15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58"/>
      <c r="AA305" s="105"/>
      <c r="AB305" s="105"/>
      <c r="AC305" s="105"/>
      <c r="AD305" s="105"/>
      <c r="AE305" s="105"/>
      <c r="AF305" s="105"/>
      <c r="AG305" s="105"/>
      <c r="AH305" s="158"/>
      <c r="AI305" s="88"/>
      <c r="AJ305" s="88"/>
      <c r="AK305" s="131"/>
      <c r="AL305" s="131"/>
      <c r="AM305" s="131"/>
      <c r="AN305" s="131"/>
      <c r="AO305" s="131"/>
      <c r="AP305" s="88"/>
      <c r="AQ305" s="88"/>
    </row>
    <row r="306">
      <c r="A306" s="172"/>
      <c r="B306" s="172"/>
      <c r="C306" s="172"/>
      <c r="D306" s="173"/>
      <c r="E306" s="155"/>
      <c r="F306" s="155"/>
      <c r="G306" s="88"/>
      <c r="H306" s="155"/>
      <c r="I306" s="155"/>
      <c r="J306" s="155"/>
      <c r="K306" s="15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58"/>
      <c r="AA306" s="105"/>
      <c r="AB306" s="105"/>
      <c r="AC306" s="105"/>
      <c r="AD306" s="105"/>
      <c r="AE306" s="105"/>
      <c r="AF306" s="105"/>
      <c r="AG306" s="105"/>
      <c r="AH306" s="158"/>
      <c r="AI306" s="88"/>
      <c r="AJ306" s="88"/>
      <c r="AK306" s="131"/>
      <c r="AL306" s="131"/>
      <c r="AM306" s="131"/>
      <c r="AN306" s="131"/>
      <c r="AO306" s="131"/>
      <c r="AP306" s="88"/>
      <c r="AQ306" s="88"/>
    </row>
    <row r="307">
      <c r="A307" s="172"/>
      <c r="B307" s="172"/>
      <c r="C307" s="172"/>
      <c r="D307" s="173"/>
      <c r="E307" s="155"/>
      <c r="F307" s="155"/>
      <c r="G307" s="88"/>
      <c r="H307" s="155"/>
      <c r="I307" s="155"/>
      <c r="J307" s="155"/>
      <c r="K307" s="15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58"/>
      <c r="AA307" s="105"/>
      <c r="AB307" s="105"/>
      <c r="AC307" s="105"/>
      <c r="AD307" s="105"/>
      <c r="AE307" s="105"/>
      <c r="AF307" s="105"/>
      <c r="AG307" s="105"/>
      <c r="AH307" s="158"/>
      <c r="AI307" s="88"/>
      <c r="AJ307" s="88"/>
      <c r="AK307" s="131"/>
      <c r="AL307" s="131"/>
      <c r="AM307" s="131"/>
      <c r="AN307" s="131"/>
      <c r="AO307" s="131"/>
      <c r="AP307" s="88"/>
      <c r="AQ307" s="88"/>
    </row>
    <row r="308">
      <c r="A308" s="172"/>
      <c r="B308" s="172"/>
      <c r="C308" s="172"/>
      <c r="D308" s="173"/>
      <c r="E308" s="155"/>
      <c r="F308" s="155"/>
      <c r="G308" s="88"/>
      <c r="H308" s="155"/>
      <c r="I308" s="155"/>
      <c r="J308" s="155"/>
      <c r="K308" s="15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58"/>
      <c r="AA308" s="105"/>
      <c r="AB308" s="105"/>
      <c r="AC308" s="105"/>
      <c r="AD308" s="105"/>
      <c r="AE308" s="105"/>
      <c r="AF308" s="105"/>
      <c r="AG308" s="105"/>
      <c r="AH308" s="158"/>
      <c r="AI308" s="88"/>
      <c r="AJ308" s="88"/>
      <c r="AK308" s="131"/>
      <c r="AL308" s="131"/>
      <c r="AM308" s="131"/>
      <c r="AN308" s="131"/>
      <c r="AO308" s="131"/>
      <c r="AP308" s="88"/>
      <c r="AQ308" s="88"/>
    </row>
    <row r="309">
      <c r="A309" s="172"/>
      <c r="B309" s="172"/>
      <c r="C309" s="172"/>
      <c r="D309" s="173"/>
      <c r="E309" s="155"/>
      <c r="F309" s="155"/>
      <c r="G309" s="88"/>
      <c r="H309" s="155"/>
      <c r="I309" s="155"/>
      <c r="J309" s="155"/>
      <c r="K309" s="15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58"/>
      <c r="AA309" s="105"/>
      <c r="AB309" s="105"/>
      <c r="AC309" s="105"/>
      <c r="AD309" s="105"/>
      <c r="AE309" s="105"/>
      <c r="AF309" s="105"/>
      <c r="AG309" s="105"/>
      <c r="AH309" s="158"/>
      <c r="AI309" s="88"/>
      <c r="AJ309" s="88"/>
      <c r="AK309" s="131"/>
      <c r="AL309" s="131"/>
      <c r="AM309" s="131"/>
      <c r="AN309" s="131"/>
      <c r="AO309" s="131"/>
      <c r="AP309" s="88"/>
      <c r="AQ309" s="88"/>
    </row>
    <row r="310">
      <c r="A310" s="172"/>
      <c r="B310" s="172"/>
      <c r="C310" s="172"/>
      <c r="D310" s="173"/>
      <c r="E310" s="155"/>
      <c r="F310" s="155"/>
      <c r="G310" s="88"/>
      <c r="H310" s="155"/>
      <c r="I310" s="155"/>
      <c r="J310" s="155"/>
      <c r="K310" s="15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58"/>
      <c r="AA310" s="105"/>
      <c r="AB310" s="105"/>
      <c r="AC310" s="105"/>
      <c r="AD310" s="105"/>
      <c r="AE310" s="105"/>
      <c r="AF310" s="105"/>
      <c r="AG310" s="105"/>
      <c r="AH310" s="158"/>
      <c r="AI310" s="88"/>
      <c r="AJ310" s="88"/>
      <c r="AK310" s="131"/>
      <c r="AL310" s="131"/>
      <c r="AM310" s="131"/>
      <c r="AN310" s="131"/>
      <c r="AO310" s="131"/>
      <c r="AP310" s="88"/>
      <c r="AQ310" s="88"/>
    </row>
    <row r="311">
      <c r="A311" s="172"/>
      <c r="B311" s="172"/>
      <c r="C311" s="172"/>
      <c r="D311" s="173"/>
      <c r="E311" s="155"/>
      <c r="F311" s="155"/>
      <c r="G311" s="88"/>
      <c r="H311" s="155"/>
      <c r="I311" s="155"/>
      <c r="J311" s="155"/>
      <c r="K311" s="15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58"/>
      <c r="AA311" s="105"/>
      <c r="AB311" s="105"/>
      <c r="AC311" s="105"/>
      <c r="AD311" s="105"/>
      <c r="AE311" s="105"/>
      <c r="AF311" s="105"/>
      <c r="AG311" s="105"/>
      <c r="AH311" s="158"/>
      <c r="AI311" s="88"/>
      <c r="AJ311" s="88"/>
      <c r="AK311" s="131"/>
      <c r="AL311" s="131"/>
      <c r="AM311" s="131"/>
      <c r="AN311" s="131"/>
      <c r="AO311" s="131"/>
      <c r="AP311" s="88"/>
      <c r="AQ311" s="88"/>
    </row>
    <row r="312">
      <c r="A312" s="172"/>
      <c r="B312" s="172"/>
      <c r="C312" s="172"/>
      <c r="D312" s="173"/>
      <c r="E312" s="155"/>
      <c r="F312" s="155"/>
      <c r="G312" s="88"/>
      <c r="H312" s="155"/>
      <c r="I312" s="155"/>
      <c r="J312" s="155"/>
      <c r="K312" s="15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58"/>
      <c r="AA312" s="105"/>
      <c r="AB312" s="105"/>
      <c r="AC312" s="105"/>
      <c r="AD312" s="105"/>
      <c r="AE312" s="105"/>
      <c r="AF312" s="105"/>
      <c r="AG312" s="105"/>
      <c r="AH312" s="158"/>
      <c r="AI312" s="88"/>
      <c r="AJ312" s="88"/>
      <c r="AK312" s="131"/>
      <c r="AL312" s="131"/>
      <c r="AM312" s="131"/>
      <c r="AN312" s="131"/>
      <c r="AO312" s="131"/>
      <c r="AP312" s="88"/>
      <c r="AQ312" s="88"/>
    </row>
    <row r="313">
      <c r="A313" s="172"/>
      <c r="B313" s="172"/>
      <c r="C313" s="172"/>
      <c r="D313" s="173"/>
      <c r="E313" s="155"/>
      <c r="F313" s="155"/>
      <c r="G313" s="88"/>
      <c r="H313" s="155"/>
      <c r="I313" s="155"/>
      <c r="J313" s="155"/>
      <c r="K313" s="15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58"/>
      <c r="AA313" s="105"/>
      <c r="AB313" s="105"/>
      <c r="AC313" s="105"/>
      <c r="AD313" s="105"/>
      <c r="AE313" s="105"/>
      <c r="AF313" s="105"/>
      <c r="AG313" s="105"/>
      <c r="AH313" s="158"/>
      <c r="AI313" s="88"/>
      <c r="AJ313" s="88"/>
      <c r="AK313" s="131"/>
      <c r="AL313" s="131"/>
      <c r="AM313" s="131"/>
      <c r="AN313" s="131"/>
      <c r="AO313" s="131"/>
      <c r="AP313" s="88"/>
      <c r="AQ313" s="88"/>
    </row>
    <row r="314">
      <c r="A314" s="172"/>
      <c r="B314" s="172"/>
      <c r="C314" s="172"/>
      <c r="D314" s="173"/>
      <c r="E314" s="155"/>
      <c r="F314" s="155"/>
      <c r="G314" s="88"/>
      <c r="H314" s="155"/>
      <c r="I314" s="155"/>
      <c r="J314" s="155"/>
      <c r="K314" s="15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58"/>
      <c r="AA314" s="105"/>
      <c r="AB314" s="105"/>
      <c r="AC314" s="105"/>
      <c r="AD314" s="105"/>
      <c r="AE314" s="105"/>
      <c r="AF314" s="105"/>
      <c r="AG314" s="105"/>
      <c r="AH314" s="158"/>
      <c r="AI314" s="88"/>
      <c r="AJ314" s="88"/>
      <c r="AK314" s="131"/>
      <c r="AL314" s="131"/>
      <c r="AM314" s="131"/>
      <c r="AN314" s="131"/>
      <c r="AO314" s="131"/>
      <c r="AP314" s="88"/>
      <c r="AQ314" s="88"/>
    </row>
    <row r="315">
      <c r="A315" s="172"/>
      <c r="B315" s="172"/>
      <c r="C315" s="172"/>
      <c r="D315" s="173"/>
      <c r="E315" s="155"/>
      <c r="F315" s="155"/>
      <c r="G315" s="88"/>
      <c r="H315" s="155"/>
      <c r="I315" s="155"/>
      <c r="J315" s="155"/>
      <c r="K315" s="15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58"/>
      <c r="AA315" s="105"/>
      <c r="AB315" s="105"/>
      <c r="AC315" s="105"/>
      <c r="AD315" s="105"/>
      <c r="AE315" s="105"/>
      <c r="AF315" s="105"/>
      <c r="AG315" s="105"/>
      <c r="AH315" s="158"/>
      <c r="AI315" s="88"/>
      <c r="AJ315" s="88"/>
      <c r="AK315" s="131"/>
      <c r="AL315" s="131"/>
      <c r="AM315" s="131"/>
      <c r="AN315" s="131"/>
      <c r="AO315" s="131"/>
      <c r="AP315" s="88"/>
      <c r="AQ315" s="88"/>
    </row>
    <row r="316">
      <c r="A316" s="172"/>
      <c r="B316" s="172"/>
      <c r="C316" s="172"/>
      <c r="D316" s="173"/>
      <c r="E316" s="155"/>
      <c r="F316" s="155"/>
      <c r="G316" s="88"/>
      <c r="H316" s="155"/>
      <c r="I316" s="155"/>
      <c r="J316" s="155"/>
      <c r="K316" s="15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58"/>
      <c r="AA316" s="105"/>
      <c r="AB316" s="105"/>
      <c r="AC316" s="105"/>
      <c r="AD316" s="105"/>
      <c r="AE316" s="105"/>
      <c r="AF316" s="105"/>
      <c r="AG316" s="105"/>
      <c r="AH316" s="158"/>
      <c r="AI316" s="88"/>
      <c r="AJ316" s="88"/>
      <c r="AK316" s="131"/>
      <c r="AL316" s="131"/>
      <c r="AM316" s="131"/>
      <c r="AN316" s="131"/>
      <c r="AO316" s="131"/>
      <c r="AP316" s="88"/>
      <c r="AQ316" s="88"/>
    </row>
    <row r="317">
      <c r="A317" s="172"/>
      <c r="B317" s="172"/>
      <c r="C317" s="172"/>
      <c r="D317" s="173"/>
      <c r="E317" s="155"/>
      <c r="F317" s="155"/>
      <c r="G317" s="88"/>
      <c r="H317" s="155"/>
      <c r="I317" s="155"/>
      <c r="J317" s="155"/>
      <c r="K317" s="15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58"/>
      <c r="AA317" s="105"/>
      <c r="AB317" s="105"/>
      <c r="AC317" s="105"/>
      <c r="AD317" s="105"/>
      <c r="AE317" s="105"/>
      <c r="AF317" s="105"/>
      <c r="AG317" s="105"/>
      <c r="AH317" s="158"/>
      <c r="AI317" s="88"/>
      <c r="AJ317" s="88"/>
      <c r="AK317" s="131"/>
      <c r="AL317" s="131"/>
      <c r="AM317" s="131"/>
      <c r="AN317" s="131"/>
      <c r="AO317" s="131"/>
      <c r="AP317" s="88"/>
      <c r="AQ317" s="88"/>
    </row>
    <row r="318">
      <c r="A318" s="172"/>
      <c r="B318" s="172"/>
      <c r="C318" s="172"/>
      <c r="D318" s="173"/>
      <c r="E318" s="155"/>
      <c r="F318" s="155"/>
      <c r="G318" s="88"/>
      <c r="H318" s="155"/>
      <c r="I318" s="155"/>
      <c r="J318" s="155"/>
      <c r="K318" s="15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58"/>
      <c r="AA318" s="105"/>
      <c r="AB318" s="105"/>
      <c r="AC318" s="105"/>
      <c r="AD318" s="105"/>
      <c r="AE318" s="105"/>
      <c r="AF318" s="105"/>
      <c r="AG318" s="105"/>
      <c r="AH318" s="158"/>
      <c r="AI318" s="88"/>
      <c r="AJ318" s="88"/>
      <c r="AK318" s="131"/>
      <c r="AL318" s="131"/>
      <c r="AM318" s="131"/>
      <c r="AN318" s="131"/>
      <c r="AO318" s="131"/>
      <c r="AP318" s="88"/>
      <c r="AQ318" s="88"/>
    </row>
    <row r="319">
      <c r="A319" s="172"/>
      <c r="B319" s="172"/>
      <c r="C319" s="172"/>
      <c r="D319" s="173"/>
      <c r="E319" s="155"/>
      <c r="F319" s="155"/>
      <c r="G319" s="88"/>
      <c r="H319" s="155"/>
      <c r="I319" s="155"/>
      <c r="J319" s="155"/>
      <c r="K319" s="15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58"/>
      <c r="AA319" s="105"/>
      <c r="AB319" s="105"/>
      <c r="AC319" s="105"/>
      <c r="AD319" s="105"/>
      <c r="AE319" s="105"/>
      <c r="AF319" s="105"/>
      <c r="AG319" s="105"/>
      <c r="AH319" s="158"/>
      <c r="AI319" s="88"/>
      <c r="AJ319" s="88"/>
      <c r="AK319" s="131"/>
      <c r="AL319" s="131"/>
      <c r="AM319" s="131"/>
      <c r="AN319" s="131"/>
      <c r="AO319" s="131"/>
      <c r="AP319" s="88"/>
      <c r="AQ319" s="88"/>
    </row>
    <row r="320">
      <c r="A320" s="172"/>
      <c r="B320" s="172"/>
      <c r="C320" s="172"/>
      <c r="D320" s="173"/>
      <c r="E320" s="155"/>
      <c r="F320" s="155"/>
      <c r="G320" s="88"/>
      <c r="H320" s="155"/>
      <c r="I320" s="155"/>
      <c r="J320" s="155"/>
      <c r="K320" s="15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58"/>
      <c r="AA320" s="105"/>
      <c r="AB320" s="105"/>
      <c r="AC320" s="105"/>
      <c r="AD320" s="105"/>
      <c r="AE320" s="105"/>
      <c r="AF320" s="105"/>
      <c r="AG320" s="105"/>
      <c r="AH320" s="158"/>
      <c r="AI320" s="88"/>
      <c r="AJ320" s="88"/>
      <c r="AK320" s="131"/>
      <c r="AL320" s="131"/>
      <c r="AM320" s="131"/>
      <c r="AN320" s="131"/>
      <c r="AO320" s="131"/>
      <c r="AP320" s="88"/>
      <c r="AQ320" s="88"/>
    </row>
    <row r="321">
      <c r="A321" s="172"/>
      <c r="B321" s="172"/>
      <c r="C321" s="172"/>
      <c r="D321" s="173"/>
      <c r="E321" s="155"/>
      <c r="F321" s="155"/>
      <c r="G321" s="88"/>
      <c r="H321" s="155"/>
      <c r="I321" s="155"/>
      <c r="J321" s="155"/>
      <c r="K321" s="15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58"/>
      <c r="AA321" s="105"/>
      <c r="AB321" s="105"/>
      <c r="AC321" s="105"/>
      <c r="AD321" s="105"/>
      <c r="AE321" s="105"/>
      <c r="AF321" s="105"/>
      <c r="AG321" s="105"/>
      <c r="AH321" s="158"/>
      <c r="AI321" s="88"/>
      <c r="AJ321" s="88"/>
      <c r="AK321" s="131"/>
      <c r="AL321" s="131"/>
      <c r="AM321" s="131"/>
      <c r="AN321" s="131"/>
      <c r="AO321" s="131"/>
      <c r="AP321" s="88"/>
      <c r="AQ321" s="88"/>
    </row>
    <row r="322">
      <c r="A322" s="172"/>
      <c r="B322" s="172"/>
      <c r="C322" s="172"/>
      <c r="D322" s="173"/>
      <c r="E322" s="155"/>
      <c r="F322" s="155"/>
      <c r="G322" s="88"/>
      <c r="H322" s="155"/>
      <c r="I322" s="155"/>
      <c r="J322" s="155"/>
      <c r="K322" s="15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58"/>
      <c r="AA322" s="105"/>
      <c r="AB322" s="105"/>
      <c r="AC322" s="105"/>
      <c r="AD322" s="105"/>
      <c r="AE322" s="105"/>
      <c r="AF322" s="105"/>
      <c r="AG322" s="105"/>
      <c r="AH322" s="158"/>
      <c r="AI322" s="88"/>
      <c r="AJ322" s="88"/>
      <c r="AK322" s="131"/>
      <c r="AL322" s="131"/>
      <c r="AM322" s="131"/>
      <c r="AN322" s="131"/>
      <c r="AO322" s="131"/>
      <c r="AP322" s="88"/>
      <c r="AQ322" s="88"/>
    </row>
    <row r="323">
      <c r="A323" s="172"/>
      <c r="B323" s="172"/>
      <c r="C323" s="172"/>
      <c r="D323" s="173"/>
      <c r="E323" s="155"/>
      <c r="F323" s="155"/>
      <c r="G323" s="88"/>
      <c r="H323" s="155"/>
      <c r="I323" s="155"/>
      <c r="J323" s="155"/>
      <c r="K323" s="15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58"/>
      <c r="AA323" s="105"/>
      <c r="AB323" s="105"/>
      <c r="AC323" s="105"/>
      <c r="AD323" s="105"/>
      <c r="AE323" s="105"/>
      <c r="AF323" s="105"/>
      <c r="AG323" s="105"/>
      <c r="AH323" s="158"/>
      <c r="AI323" s="88"/>
      <c r="AJ323" s="88"/>
      <c r="AK323" s="131"/>
      <c r="AL323" s="131"/>
      <c r="AM323" s="131"/>
      <c r="AN323" s="131"/>
      <c r="AO323" s="131"/>
      <c r="AP323" s="88"/>
      <c r="AQ323" s="88"/>
    </row>
    <row r="324">
      <c r="A324" s="172"/>
      <c r="B324" s="172"/>
      <c r="C324" s="172"/>
      <c r="D324" s="173"/>
      <c r="E324" s="155"/>
      <c r="F324" s="155"/>
      <c r="G324" s="88"/>
      <c r="H324" s="155"/>
      <c r="I324" s="155"/>
      <c r="J324" s="155"/>
      <c r="K324" s="15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58"/>
      <c r="AA324" s="105"/>
      <c r="AB324" s="105"/>
      <c r="AC324" s="105"/>
      <c r="AD324" s="105"/>
      <c r="AE324" s="105"/>
      <c r="AF324" s="105"/>
      <c r="AG324" s="105"/>
      <c r="AH324" s="158"/>
      <c r="AI324" s="88"/>
      <c r="AJ324" s="88"/>
      <c r="AK324" s="131"/>
      <c r="AL324" s="131"/>
      <c r="AM324" s="131"/>
      <c r="AN324" s="131"/>
      <c r="AO324" s="131"/>
      <c r="AP324" s="88"/>
      <c r="AQ324" s="88"/>
    </row>
    <row r="325">
      <c r="A325" s="172"/>
      <c r="B325" s="172"/>
      <c r="C325" s="172"/>
      <c r="D325" s="173"/>
      <c r="E325" s="155"/>
      <c r="F325" s="155"/>
      <c r="G325" s="88"/>
      <c r="H325" s="155"/>
      <c r="I325" s="155"/>
      <c r="J325" s="155"/>
      <c r="K325" s="15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58"/>
      <c r="AA325" s="105"/>
      <c r="AB325" s="105"/>
      <c r="AC325" s="105"/>
      <c r="AD325" s="105"/>
      <c r="AE325" s="105"/>
      <c r="AF325" s="105"/>
      <c r="AG325" s="105"/>
      <c r="AH325" s="158"/>
      <c r="AI325" s="88"/>
      <c r="AJ325" s="88"/>
      <c r="AK325" s="131"/>
      <c r="AL325" s="131"/>
      <c r="AM325" s="131"/>
      <c r="AN325" s="131"/>
      <c r="AO325" s="131"/>
      <c r="AP325" s="88"/>
      <c r="AQ325" s="88"/>
    </row>
    <row r="326">
      <c r="A326" s="172"/>
      <c r="B326" s="172"/>
      <c r="C326" s="172"/>
      <c r="D326" s="173"/>
      <c r="E326" s="155"/>
      <c r="F326" s="155"/>
      <c r="G326" s="88"/>
      <c r="H326" s="155"/>
      <c r="I326" s="155"/>
      <c r="J326" s="155"/>
      <c r="K326" s="15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58"/>
      <c r="AA326" s="105"/>
      <c r="AB326" s="105"/>
      <c r="AC326" s="105"/>
      <c r="AD326" s="105"/>
      <c r="AE326" s="105"/>
      <c r="AF326" s="105"/>
      <c r="AG326" s="105"/>
      <c r="AH326" s="158"/>
      <c r="AI326" s="88"/>
      <c r="AJ326" s="88"/>
      <c r="AK326" s="131"/>
      <c r="AL326" s="131"/>
      <c r="AM326" s="131"/>
      <c r="AN326" s="131"/>
      <c r="AO326" s="131"/>
      <c r="AP326" s="88"/>
      <c r="AQ326" s="88"/>
    </row>
    <row r="327">
      <c r="A327" s="172"/>
      <c r="B327" s="172"/>
      <c r="C327" s="172"/>
      <c r="D327" s="173"/>
      <c r="E327" s="155"/>
      <c r="F327" s="155"/>
      <c r="G327" s="88"/>
      <c r="H327" s="155"/>
      <c r="I327" s="155"/>
      <c r="J327" s="155"/>
      <c r="K327" s="15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58"/>
      <c r="AA327" s="105"/>
      <c r="AB327" s="105"/>
      <c r="AC327" s="105"/>
      <c r="AD327" s="105"/>
      <c r="AE327" s="105"/>
      <c r="AF327" s="105"/>
      <c r="AG327" s="105"/>
      <c r="AH327" s="158"/>
      <c r="AI327" s="88"/>
      <c r="AJ327" s="88"/>
      <c r="AK327" s="131"/>
      <c r="AL327" s="131"/>
      <c r="AM327" s="131"/>
      <c r="AN327" s="131"/>
      <c r="AO327" s="131"/>
      <c r="AP327" s="88"/>
      <c r="AQ327" s="88"/>
    </row>
    <row r="328">
      <c r="A328" s="172"/>
      <c r="B328" s="172"/>
      <c r="C328" s="172"/>
      <c r="D328" s="173"/>
      <c r="E328" s="155"/>
      <c r="F328" s="155"/>
      <c r="G328" s="88"/>
      <c r="H328" s="155"/>
      <c r="I328" s="155"/>
      <c r="J328" s="155"/>
      <c r="K328" s="15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58"/>
      <c r="AA328" s="105"/>
      <c r="AB328" s="105"/>
      <c r="AC328" s="105"/>
      <c r="AD328" s="105"/>
      <c r="AE328" s="105"/>
      <c r="AF328" s="105"/>
      <c r="AG328" s="105"/>
      <c r="AH328" s="158"/>
      <c r="AI328" s="88"/>
      <c r="AJ328" s="88"/>
      <c r="AK328" s="131"/>
      <c r="AL328" s="131"/>
      <c r="AM328" s="131"/>
      <c r="AN328" s="131"/>
      <c r="AO328" s="131"/>
      <c r="AP328" s="88"/>
      <c r="AQ328" s="88"/>
    </row>
    <row r="329">
      <c r="A329" s="172"/>
      <c r="B329" s="172"/>
      <c r="C329" s="172"/>
      <c r="D329" s="173"/>
      <c r="E329" s="155"/>
      <c r="F329" s="155"/>
      <c r="G329" s="88"/>
      <c r="H329" s="155"/>
      <c r="I329" s="155"/>
      <c r="J329" s="155"/>
      <c r="K329" s="15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58"/>
      <c r="AA329" s="105"/>
      <c r="AB329" s="105"/>
      <c r="AC329" s="105"/>
      <c r="AD329" s="105"/>
      <c r="AE329" s="105"/>
      <c r="AF329" s="105"/>
      <c r="AG329" s="105"/>
      <c r="AH329" s="158"/>
      <c r="AI329" s="88"/>
      <c r="AJ329" s="88"/>
      <c r="AK329" s="131"/>
      <c r="AL329" s="131"/>
      <c r="AM329" s="131"/>
      <c r="AN329" s="131"/>
      <c r="AO329" s="131"/>
      <c r="AP329" s="88"/>
      <c r="AQ329" s="88"/>
    </row>
    <row r="330">
      <c r="A330" s="172"/>
      <c r="B330" s="172"/>
      <c r="C330" s="172"/>
      <c r="D330" s="173"/>
      <c r="E330" s="155"/>
      <c r="F330" s="155"/>
      <c r="G330" s="88"/>
      <c r="H330" s="155"/>
      <c r="I330" s="155"/>
      <c r="J330" s="155"/>
      <c r="K330" s="15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58"/>
      <c r="AA330" s="105"/>
      <c r="AB330" s="105"/>
      <c r="AC330" s="105"/>
      <c r="AD330" s="105"/>
      <c r="AE330" s="105"/>
      <c r="AF330" s="105"/>
      <c r="AG330" s="105"/>
      <c r="AH330" s="158"/>
      <c r="AI330" s="88"/>
      <c r="AJ330" s="88"/>
      <c r="AK330" s="131"/>
      <c r="AL330" s="131"/>
      <c r="AM330" s="131"/>
      <c r="AN330" s="131"/>
      <c r="AO330" s="131"/>
      <c r="AP330" s="88"/>
      <c r="AQ330" s="88"/>
    </row>
    <row r="331">
      <c r="A331" s="172"/>
      <c r="B331" s="172"/>
      <c r="C331" s="172"/>
      <c r="D331" s="173"/>
      <c r="E331" s="155"/>
      <c r="F331" s="155"/>
      <c r="G331" s="88"/>
      <c r="H331" s="155"/>
      <c r="I331" s="155"/>
      <c r="J331" s="155"/>
      <c r="K331" s="15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58"/>
      <c r="AA331" s="105"/>
      <c r="AB331" s="105"/>
      <c r="AC331" s="105"/>
      <c r="AD331" s="105"/>
      <c r="AE331" s="105"/>
      <c r="AF331" s="105"/>
      <c r="AG331" s="105"/>
      <c r="AH331" s="158"/>
      <c r="AI331" s="88"/>
      <c r="AJ331" s="88"/>
      <c r="AK331" s="131"/>
      <c r="AL331" s="131"/>
      <c r="AM331" s="131"/>
      <c r="AN331" s="131"/>
      <c r="AO331" s="131"/>
      <c r="AP331" s="88"/>
      <c r="AQ331" s="88"/>
    </row>
    <row r="332">
      <c r="A332" s="172"/>
      <c r="B332" s="172"/>
      <c r="C332" s="172"/>
      <c r="D332" s="173"/>
      <c r="E332" s="155"/>
      <c r="F332" s="155"/>
      <c r="G332" s="88"/>
      <c r="H332" s="155"/>
      <c r="I332" s="155"/>
      <c r="J332" s="155"/>
      <c r="K332" s="15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58"/>
      <c r="AA332" s="105"/>
      <c r="AB332" s="105"/>
      <c r="AC332" s="105"/>
      <c r="AD332" s="105"/>
      <c r="AE332" s="105"/>
      <c r="AF332" s="105"/>
      <c r="AG332" s="105"/>
      <c r="AH332" s="158"/>
      <c r="AI332" s="88"/>
      <c r="AJ332" s="88"/>
      <c r="AK332" s="131"/>
      <c r="AL332" s="131"/>
      <c r="AM332" s="131"/>
      <c r="AN332" s="131"/>
      <c r="AO332" s="131"/>
      <c r="AP332" s="88"/>
      <c r="AQ332" s="88"/>
    </row>
    <row r="333">
      <c r="A333" s="172"/>
      <c r="B333" s="172"/>
      <c r="C333" s="172"/>
      <c r="D333" s="173"/>
      <c r="E333" s="155"/>
      <c r="F333" s="155"/>
      <c r="G333" s="88"/>
      <c r="H333" s="155"/>
      <c r="I333" s="155"/>
      <c r="J333" s="155"/>
      <c r="K333" s="15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58"/>
      <c r="AA333" s="105"/>
      <c r="AB333" s="105"/>
      <c r="AC333" s="105"/>
      <c r="AD333" s="105"/>
      <c r="AE333" s="105"/>
      <c r="AF333" s="105"/>
      <c r="AG333" s="105"/>
      <c r="AH333" s="158"/>
      <c r="AI333" s="88"/>
      <c r="AJ333" s="88"/>
      <c r="AK333" s="131"/>
      <c r="AL333" s="131"/>
      <c r="AM333" s="131"/>
      <c r="AN333" s="131"/>
      <c r="AO333" s="131"/>
      <c r="AP333" s="88"/>
      <c r="AQ333" s="88"/>
    </row>
    <row r="334">
      <c r="A334" s="173"/>
      <c r="B334" s="173"/>
      <c r="C334" s="174"/>
      <c r="D334" s="173"/>
      <c r="E334" s="155"/>
      <c r="F334" s="155"/>
      <c r="G334" s="88"/>
      <c r="H334" s="155"/>
      <c r="I334" s="155"/>
      <c r="J334" s="155"/>
      <c r="K334" s="15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58"/>
      <c r="AA334" s="105"/>
      <c r="AB334" s="105"/>
      <c r="AC334" s="105"/>
      <c r="AD334" s="105"/>
      <c r="AE334" s="105"/>
      <c r="AF334" s="105"/>
      <c r="AG334" s="105"/>
      <c r="AH334" s="158"/>
      <c r="AI334" s="88"/>
      <c r="AJ334" s="88"/>
      <c r="AK334" s="131"/>
      <c r="AL334" s="131"/>
      <c r="AM334" s="131"/>
      <c r="AN334" s="131"/>
      <c r="AO334" s="131"/>
      <c r="AP334" s="88"/>
      <c r="AQ334" s="88"/>
    </row>
    <row r="335">
      <c r="A335" s="173"/>
      <c r="B335" s="173"/>
      <c r="C335" s="174"/>
      <c r="D335" s="173"/>
      <c r="E335" s="155"/>
      <c r="F335" s="155"/>
      <c r="G335" s="88"/>
      <c r="H335" s="155"/>
      <c r="I335" s="155"/>
      <c r="J335" s="155"/>
      <c r="K335" s="15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58"/>
      <c r="AA335" s="105"/>
      <c r="AB335" s="105"/>
      <c r="AC335" s="105"/>
      <c r="AD335" s="105"/>
      <c r="AE335" s="105"/>
      <c r="AF335" s="105"/>
      <c r="AG335" s="105"/>
      <c r="AH335" s="158"/>
      <c r="AI335" s="88"/>
      <c r="AJ335" s="88"/>
      <c r="AK335" s="131"/>
      <c r="AL335" s="131"/>
      <c r="AM335" s="131"/>
      <c r="AN335" s="131"/>
      <c r="AO335" s="131"/>
      <c r="AP335" s="88"/>
      <c r="AQ335" s="88"/>
    </row>
    <row r="336">
      <c r="A336" s="173"/>
      <c r="B336" s="173"/>
      <c r="C336" s="174"/>
      <c r="D336" s="173"/>
      <c r="E336" s="155"/>
      <c r="F336" s="155"/>
      <c r="G336" s="88"/>
      <c r="H336" s="155"/>
      <c r="I336" s="155"/>
      <c r="J336" s="155"/>
      <c r="K336" s="15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58"/>
      <c r="AA336" s="105"/>
      <c r="AB336" s="105"/>
      <c r="AC336" s="105"/>
      <c r="AD336" s="105"/>
      <c r="AE336" s="105"/>
      <c r="AF336" s="105"/>
      <c r="AG336" s="105"/>
      <c r="AH336" s="158"/>
      <c r="AI336" s="88"/>
      <c r="AJ336" s="88"/>
      <c r="AK336" s="131"/>
      <c r="AL336" s="131"/>
      <c r="AM336" s="131"/>
      <c r="AN336" s="131"/>
      <c r="AO336" s="131"/>
      <c r="AP336" s="88"/>
      <c r="AQ336" s="88"/>
    </row>
    <row r="337">
      <c r="A337" s="173"/>
      <c r="B337" s="173"/>
      <c r="C337" s="174"/>
      <c r="D337" s="173"/>
      <c r="E337" s="155"/>
      <c r="F337" s="155"/>
      <c r="G337" s="88"/>
      <c r="H337" s="155"/>
      <c r="I337" s="155"/>
      <c r="J337" s="155"/>
      <c r="K337" s="15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58"/>
      <c r="AA337" s="105"/>
      <c r="AB337" s="105"/>
      <c r="AC337" s="105"/>
      <c r="AD337" s="105"/>
      <c r="AE337" s="105"/>
      <c r="AF337" s="105"/>
      <c r="AG337" s="105"/>
      <c r="AH337" s="158"/>
      <c r="AI337" s="88"/>
      <c r="AJ337" s="88"/>
      <c r="AK337" s="131"/>
      <c r="AL337" s="131"/>
      <c r="AM337" s="131"/>
      <c r="AN337" s="131"/>
      <c r="AO337" s="131"/>
      <c r="AP337" s="88"/>
      <c r="AQ337" s="88"/>
    </row>
    <row r="338">
      <c r="A338" s="173"/>
      <c r="B338" s="173"/>
      <c r="C338" s="174"/>
      <c r="D338" s="173"/>
      <c r="E338" s="155"/>
      <c r="F338" s="155"/>
      <c r="G338" s="88"/>
      <c r="H338" s="155"/>
      <c r="I338" s="155"/>
      <c r="J338" s="155"/>
      <c r="K338" s="15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58"/>
      <c r="AA338" s="105"/>
      <c r="AB338" s="105"/>
      <c r="AC338" s="105"/>
      <c r="AD338" s="105"/>
      <c r="AE338" s="105"/>
      <c r="AF338" s="105"/>
      <c r="AG338" s="105"/>
      <c r="AH338" s="158"/>
      <c r="AI338" s="88"/>
      <c r="AJ338" s="88"/>
      <c r="AK338" s="131"/>
      <c r="AL338" s="131"/>
      <c r="AM338" s="131"/>
      <c r="AN338" s="131"/>
      <c r="AO338" s="131"/>
      <c r="AP338" s="88"/>
      <c r="AQ338" s="88"/>
    </row>
    <row r="339">
      <c r="A339" s="173"/>
      <c r="B339" s="173"/>
      <c r="C339" s="174"/>
      <c r="D339" s="173"/>
      <c r="E339" s="155"/>
      <c r="F339" s="155"/>
      <c r="G339" s="88"/>
      <c r="H339" s="155"/>
      <c r="I339" s="155"/>
      <c r="J339" s="155"/>
      <c r="K339" s="15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58"/>
      <c r="AA339" s="105"/>
      <c r="AB339" s="105"/>
      <c r="AC339" s="105"/>
      <c r="AD339" s="105"/>
      <c r="AE339" s="105"/>
      <c r="AF339" s="105"/>
      <c r="AG339" s="105"/>
      <c r="AH339" s="158"/>
      <c r="AI339" s="88"/>
      <c r="AJ339" s="88"/>
      <c r="AK339" s="131"/>
      <c r="AL339" s="131"/>
      <c r="AM339" s="131"/>
      <c r="AN339" s="131"/>
      <c r="AO339" s="131"/>
      <c r="AP339" s="88"/>
      <c r="AQ339" s="88"/>
    </row>
    <row r="340">
      <c r="A340" s="173"/>
      <c r="B340" s="173"/>
      <c r="C340" s="174"/>
      <c r="D340" s="173"/>
      <c r="E340" s="155"/>
      <c r="F340" s="155"/>
      <c r="G340" s="88"/>
      <c r="H340" s="155"/>
      <c r="I340" s="155"/>
      <c r="J340" s="155"/>
      <c r="K340" s="15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58"/>
      <c r="AA340" s="105"/>
      <c r="AB340" s="105"/>
      <c r="AC340" s="105"/>
      <c r="AD340" s="105"/>
      <c r="AE340" s="105"/>
      <c r="AF340" s="105"/>
      <c r="AG340" s="105"/>
      <c r="AH340" s="158"/>
      <c r="AI340" s="88"/>
      <c r="AJ340" s="88"/>
      <c r="AK340" s="131"/>
      <c r="AL340" s="131"/>
      <c r="AM340" s="131"/>
      <c r="AN340" s="131"/>
      <c r="AO340" s="131"/>
      <c r="AP340" s="88"/>
      <c r="AQ340" s="88"/>
    </row>
    <row r="341">
      <c r="A341" s="173"/>
      <c r="B341" s="173"/>
      <c r="C341" s="174"/>
      <c r="D341" s="173"/>
      <c r="E341" s="155"/>
      <c r="F341" s="155"/>
      <c r="G341" s="88"/>
      <c r="H341" s="155"/>
      <c r="I341" s="155"/>
      <c r="J341" s="155"/>
      <c r="K341" s="15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58"/>
      <c r="AA341" s="105"/>
      <c r="AB341" s="105"/>
      <c r="AC341" s="105"/>
      <c r="AD341" s="105"/>
      <c r="AE341" s="105"/>
      <c r="AF341" s="105"/>
      <c r="AG341" s="105"/>
      <c r="AH341" s="158"/>
      <c r="AI341" s="88"/>
      <c r="AJ341" s="88"/>
      <c r="AK341" s="131"/>
      <c r="AL341" s="131"/>
      <c r="AM341" s="131"/>
      <c r="AN341" s="131"/>
      <c r="AO341" s="131"/>
      <c r="AP341" s="88"/>
      <c r="AQ341" s="88"/>
    </row>
    <row r="342">
      <c r="A342" s="173"/>
      <c r="B342" s="173"/>
      <c r="C342" s="174"/>
      <c r="D342" s="173"/>
      <c r="E342" s="155"/>
      <c r="F342" s="155"/>
      <c r="G342" s="88"/>
      <c r="H342" s="155"/>
      <c r="I342" s="155"/>
      <c r="J342" s="155"/>
      <c r="K342" s="15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58"/>
      <c r="AA342" s="105"/>
      <c r="AB342" s="105"/>
      <c r="AC342" s="105"/>
      <c r="AD342" s="105"/>
      <c r="AE342" s="105"/>
      <c r="AF342" s="105"/>
      <c r="AG342" s="105"/>
      <c r="AH342" s="158"/>
      <c r="AI342" s="88"/>
      <c r="AJ342" s="88"/>
      <c r="AK342" s="131"/>
      <c r="AL342" s="131"/>
      <c r="AM342" s="131"/>
      <c r="AN342" s="131"/>
      <c r="AO342" s="131"/>
      <c r="AP342" s="88"/>
      <c r="AQ342" s="88"/>
    </row>
    <row r="343">
      <c r="A343" s="173"/>
      <c r="B343" s="173"/>
      <c r="C343" s="174"/>
      <c r="D343" s="173"/>
      <c r="E343" s="155"/>
      <c r="F343" s="155"/>
      <c r="G343" s="88"/>
      <c r="H343" s="155"/>
      <c r="I343" s="155"/>
      <c r="J343" s="155"/>
      <c r="K343" s="15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58"/>
      <c r="AA343" s="105"/>
      <c r="AB343" s="105"/>
      <c r="AC343" s="105"/>
      <c r="AD343" s="105"/>
      <c r="AE343" s="105"/>
      <c r="AF343" s="105"/>
      <c r="AG343" s="105"/>
      <c r="AH343" s="158"/>
      <c r="AI343" s="88"/>
      <c r="AJ343" s="88"/>
      <c r="AK343" s="131"/>
      <c r="AL343" s="131"/>
      <c r="AM343" s="131"/>
      <c r="AN343" s="131"/>
      <c r="AO343" s="131"/>
      <c r="AP343" s="88"/>
      <c r="AQ343" s="88"/>
    </row>
    <row r="344">
      <c r="A344" s="173"/>
      <c r="B344" s="173"/>
      <c r="C344" s="174"/>
      <c r="D344" s="173"/>
      <c r="E344" s="155"/>
      <c r="F344" s="155"/>
      <c r="G344" s="88"/>
      <c r="H344" s="155"/>
      <c r="I344" s="155"/>
      <c r="J344" s="155"/>
      <c r="K344" s="15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58"/>
      <c r="AA344" s="105"/>
      <c r="AB344" s="105"/>
      <c r="AC344" s="105"/>
      <c r="AD344" s="105"/>
      <c r="AE344" s="105"/>
      <c r="AF344" s="105"/>
      <c r="AG344" s="105"/>
      <c r="AH344" s="158"/>
      <c r="AI344" s="88"/>
      <c r="AJ344" s="88"/>
      <c r="AK344" s="131"/>
      <c r="AL344" s="131"/>
      <c r="AM344" s="131"/>
      <c r="AN344" s="131"/>
      <c r="AO344" s="131"/>
      <c r="AP344" s="88"/>
      <c r="AQ344" s="88"/>
    </row>
    <row r="345">
      <c r="A345" s="173"/>
      <c r="B345" s="173"/>
      <c r="C345" s="174"/>
      <c r="D345" s="173"/>
      <c r="E345" s="155"/>
      <c r="F345" s="155"/>
      <c r="G345" s="88"/>
      <c r="H345" s="155"/>
      <c r="I345" s="155"/>
      <c r="J345" s="155"/>
      <c r="K345" s="15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58"/>
      <c r="AA345" s="105"/>
      <c r="AB345" s="105"/>
      <c r="AC345" s="105"/>
      <c r="AD345" s="105"/>
      <c r="AE345" s="105"/>
      <c r="AF345" s="105"/>
      <c r="AG345" s="105"/>
      <c r="AH345" s="158"/>
      <c r="AI345" s="88"/>
      <c r="AJ345" s="88"/>
      <c r="AK345" s="131"/>
      <c r="AL345" s="131"/>
      <c r="AM345" s="131"/>
      <c r="AN345" s="131"/>
      <c r="AO345" s="131"/>
      <c r="AP345" s="88"/>
      <c r="AQ345" s="88"/>
    </row>
    <row r="346">
      <c r="A346" s="173"/>
      <c r="B346" s="173"/>
      <c r="C346" s="174"/>
      <c r="D346" s="173"/>
      <c r="E346" s="155"/>
      <c r="F346" s="155"/>
      <c r="G346" s="88"/>
      <c r="H346" s="155"/>
      <c r="I346" s="155"/>
      <c r="J346" s="155"/>
      <c r="K346" s="15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58"/>
      <c r="AA346" s="105"/>
      <c r="AB346" s="105"/>
      <c r="AC346" s="105"/>
      <c r="AD346" s="105"/>
      <c r="AE346" s="105"/>
      <c r="AF346" s="105"/>
      <c r="AG346" s="105"/>
      <c r="AH346" s="158"/>
      <c r="AI346" s="88"/>
      <c r="AJ346" s="88"/>
      <c r="AK346" s="131"/>
      <c r="AL346" s="131"/>
      <c r="AM346" s="131"/>
      <c r="AN346" s="131"/>
      <c r="AO346" s="131"/>
      <c r="AP346" s="88"/>
      <c r="AQ346" s="88"/>
    </row>
    <row r="347">
      <c r="A347" s="173"/>
      <c r="B347" s="173"/>
      <c r="C347" s="174"/>
      <c r="D347" s="173"/>
      <c r="E347" s="155"/>
      <c r="F347" s="155"/>
      <c r="G347" s="88"/>
      <c r="H347" s="155"/>
      <c r="I347" s="155"/>
      <c r="J347" s="155"/>
      <c r="K347" s="15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58"/>
      <c r="AA347" s="105"/>
      <c r="AB347" s="105"/>
      <c r="AC347" s="105"/>
      <c r="AD347" s="105"/>
      <c r="AE347" s="105"/>
      <c r="AF347" s="105"/>
      <c r="AG347" s="105"/>
      <c r="AH347" s="158"/>
      <c r="AI347" s="88"/>
      <c r="AJ347" s="88"/>
      <c r="AK347" s="131"/>
      <c r="AL347" s="131"/>
      <c r="AM347" s="131"/>
      <c r="AN347" s="131"/>
      <c r="AO347" s="131"/>
      <c r="AP347" s="88"/>
      <c r="AQ347" s="88"/>
    </row>
    <row r="348">
      <c r="A348" s="173"/>
      <c r="B348" s="173"/>
      <c r="C348" s="174"/>
      <c r="D348" s="173"/>
      <c r="E348" s="155"/>
      <c r="F348" s="155"/>
      <c r="G348" s="88"/>
      <c r="H348" s="155"/>
      <c r="I348" s="155"/>
      <c r="J348" s="155"/>
      <c r="K348" s="15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58"/>
      <c r="AA348" s="105"/>
      <c r="AB348" s="105"/>
      <c r="AC348" s="105"/>
      <c r="AD348" s="105"/>
      <c r="AE348" s="105"/>
      <c r="AF348" s="105"/>
      <c r="AG348" s="105"/>
      <c r="AH348" s="158"/>
      <c r="AI348" s="88"/>
      <c r="AJ348" s="88"/>
      <c r="AK348" s="131"/>
      <c r="AL348" s="131"/>
      <c r="AM348" s="131"/>
      <c r="AN348" s="131"/>
      <c r="AO348" s="131"/>
      <c r="AP348" s="88"/>
      <c r="AQ348" s="88"/>
    </row>
    <row r="349">
      <c r="A349" s="173"/>
      <c r="B349" s="173"/>
      <c r="C349" s="174"/>
      <c r="D349" s="173"/>
      <c r="E349" s="155"/>
      <c r="F349" s="155"/>
      <c r="G349" s="88"/>
      <c r="H349" s="155"/>
      <c r="I349" s="155"/>
      <c r="J349" s="155"/>
      <c r="K349" s="15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58"/>
      <c r="AA349" s="105"/>
      <c r="AB349" s="105"/>
      <c r="AC349" s="105"/>
      <c r="AD349" s="105"/>
      <c r="AE349" s="105"/>
      <c r="AF349" s="105"/>
      <c r="AG349" s="105"/>
      <c r="AH349" s="158"/>
      <c r="AI349" s="88"/>
      <c r="AJ349" s="88"/>
      <c r="AK349" s="131"/>
      <c r="AL349" s="131"/>
      <c r="AM349" s="131"/>
      <c r="AN349" s="131"/>
      <c r="AO349" s="131"/>
      <c r="AP349" s="88"/>
      <c r="AQ349" s="88"/>
    </row>
    <row r="350">
      <c r="A350" s="173"/>
      <c r="B350" s="173"/>
      <c r="C350" s="174"/>
      <c r="D350" s="173"/>
      <c r="E350" s="155"/>
      <c r="F350" s="155"/>
      <c r="G350" s="88"/>
      <c r="H350" s="155"/>
      <c r="I350" s="155"/>
      <c r="J350" s="155"/>
      <c r="K350" s="15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58"/>
      <c r="AA350" s="105"/>
      <c r="AB350" s="105"/>
      <c r="AC350" s="105"/>
      <c r="AD350" s="105"/>
      <c r="AE350" s="105"/>
      <c r="AF350" s="105"/>
      <c r="AG350" s="105"/>
      <c r="AH350" s="158"/>
      <c r="AI350" s="88"/>
      <c r="AJ350" s="88"/>
      <c r="AK350" s="131"/>
      <c r="AL350" s="131"/>
      <c r="AM350" s="131"/>
      <c r="AN350" s="131"/>
      <c r="AO350" s="131"/>
      <c r="AP350" s="88"/>
      <c r="AQ350" s="88"/>
    </row>
    <row r="351">
      <c r="A351" s="173"/>
      <c r="B351" s="173"/>
      <c r="C351" s="174"/>
      <c r="D351" s="173"/>
      <c r="E351" s="155"/>
      <c r="F351" s="155"/>
      <c r="G351" s="88"/>
      <c r="H351" s="155"/>
      <c r="I351" s="155"/>
      <c r="J351" s="155"/>
      <c r="K351" s="15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58"/>
      <c r="AA351" s="105"/>
      <c r="AB351" s="105"/>
      <c r="AC351" s="105"/>
      <c r="AD351" s="105"/>
      <c r="AE351" s="105"/>
      <c r="AF351" s="105"/>
      <c r="AG351" s="105"/>
      <c r="AH351" s="158"/>
      <c r="AI351" s="88"/>
      <c r="AJ351" s="88"/>
      <c r="AK351" s="131"/>
      <c r="AL351" s="131"/>
      <c r="AM351" s="131"/>
      <c r="AN351" s="131"/>
      <c r="AO351" s="131"/>
      <c r="AP351" s="88"/>
      <c r="AQ351" s="88"/>
    </row>
    <row r="352">
      <c r="A352" s="173"/>
      <c r="B352" s="173"/>
      <c r="C352" s="174"/>
      <c r="D352" s="173"/>
      <c r="E352" s="155"/>
      <c r="F352" s="155"/>
      <c r="G352" s="88"/>
      <c r="H352" s="155"/>
      <c r="I352" s="155"/>
      <c r="J352" s="155"/>
      <c r="K352" s="15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58"/>
      <c r="AA352" s="105"/>
      <c r="AB352" s="105"/>
      <c r="AC352" s="105"/>
      <c r="AD352" s="105"/>
      <c r="AE352" s="105"/>
      <c r="AF352" s="105"/>
      <c r="AG352" s="105"/>
      <c r="AH352" s="158"/>
      <c r="AI352" s="88"/>
      <c r="AJ352" s="88"/>
      <c r="AK352" s="131"/>
      <c r="AL352" s="131"/>
      <c r="AM352" s="131"/>
      <c r="AN352" s="131"/>
      <c r="AO352" s="131"/>
      <c r="AP352" s="88"/>
      <c r="AQ352" s="88"/>
    </row>
    <row r="353">
      <c r="A353" s="173"/>
      <c r="B353" s="173"/>
      <c r="C353" s="174"/>
      <c r="D353" s="173"/>
      <c r="E353" s="155"/>
      <c r="F353" s="155"/>
      <c r="G353" s="88"/>
      <c r="H353" s="155"/>
      <c r="I353" s="155"/>
      <c r="J353" s="155"/>
      <c r="K353" s="15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58"/>
      <c r="AA353" s="105"/>
      <c r="AB353" s="105"/>
      <c r="AC353" s="105"/>
      <c r="AD353" s="105"/>
      <c r="AE353" s="105"/>
      <c r="AF353" s="105"/>
      <c r="AG353" s="105"/>
      <c r="AH353" s="158"/>
      <c r="AI353" s="88"/>
      <c r="AJ353" s="88"/>
      <c r="AK353" s="131"/>
      <c r="AL353" s="131"/>
      <c r="AM353" s="131"/>
      <c r="AN353" s="131"/>
      <c r="AO353" s="131"/>
      <c r="AP353" s="88"/>
      <c r="AQ353" s="88"/>
    </row>
    <row r="354">
      <c r="A354" s="173"/>
      <c r="B354" s="173"/>
      <c r="C354" s="174"/>
      <c r="D354" s="173"/>
      <c r="E354" s="155"/>
      <c r="F354" s="155"/>
      <c r="G354" s="88"/>
      <c r="H354" s="155"/>
      <c r="I354" s="155"/>
      <c r="J354" s="155"/>
      <c r="K354" s="15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58"/>
      <c r="AA354" s="105"/>
      <c r="AB354" s="105"/>
      <c r="AC354" s="105"/>
      <c r="AD354" s="105"/>
      <c r="AE354" s="105"/>
      <c r="AF354" s="105"/>
      <c r="AG354" s="105"/>
      <c r="AH354" s="158"/>
      <c r="AI354" s="88"/>
      <c r="AJ354" s="88"/>
      <c r="AK354" s="131"/>
      <c r="AL354" s="131"/>
      <c r="AM354" s="131"/>
      <c r="AN354" s="131"/>
      <c r="AO354" s="131"/>
      <c r="AP354" s="88"/>
      <c r="AQ354" s="88"/>
    </row>
    <row r="355">
      <c r="A355" s="173"/>
      <c r="B355" s="173"/>
      <c r="C355" s="174"/>
      <c r="D355" s="173"/>
      <c r="E355" s="155"/>
      <c r="F355" s="155"/>
      <c r="G355" s="88"/>
      <c r="H355" s="155"/>
      <c r="I355" s="155"/>
      <c r="J355" s="155"/>
      <c r="K355" s="15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58"/>
      <c r="AA355" s="105"/>
      <c r="AB355" s="105"/>
      <c r="AC355" s="105"/>
      <c r="AD355" s="105"/>
      <c r="AE355" s="105"/>
      <c r="AF355" s="105"/>
      <c r="AG355" s="105"/>
      <c r="AH355" s="158"/>
      <c r="AI355" s="88"/>
      <c r="AJ355" s="88"/>
      <c r="AK355" s="131"/>
      <c r="AL355" s="131"/>
      <c r="AM355" s="131"/>
      <c r="AN355" s="131"/>
      <c r="AO355" s="131"/>
      <c r="AP355" s="88"/>
      <c r="AQ355" s="88"/>
    </row>
    <row r="356">
      <c r="A356" s="173"/>
      <c r="B356" s="173"/>
      <c r="C356" s="174"/>
      <c r="D356" s="173"/>
      <c r="E356" s="155"/>
      <c r="F356" s="155"/>
      <c r="G356" s="88"/>
      <c r="H356" s="155"/>
      <c r="I356" s="155"/>
      <c r="J356" s="155"/>
      <c r="K356" s="15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58"/>
      <c r="AA356" s="105"/>
      <c r="AB356" s="105"/>
      <c r="AC356" s="105"/>
      <c r="AD356" s="105"/>
      <c r="AE356" s="105"/>
      <c r="AF356" s="105"/>
      <c r="AG356" s="105"/>
      <c r="AH356" s="158"/>
      <c r="AI356" s="88"/>
      <c r="AJ356" s="88"/>
      <c r="AK356" s="131"/>
      <c r="AL356" s="131"/>
      <c r="AM356" s="131"/>
      <c r="AN356" s="131"/>
      <c r="AO356" s="131"/>
      <c r="AP356" s="88"/>
      <c r="AQ356" s="88"/>
    </row>
    <row r="357">
      <c r="A357" s="173"/>
      <c r="B357" s="173"/>
      <c r="C357" s="174"/>
      <c r="D357" s="173"/>
      <c r="E357" s="155"/>
      <c r="F357" s="155"/>
      <c r="G357" s="88"/>
      <c r="H357" s="155"/>
      <c r="I357" s="155"/>
      <c r="J357" s="155"/>
      <c r="K357" s="15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58"/>
      <c r="AA357" s="105"/>
      <c r="AB357" s="105"/>
      <c r="AC357" s="105"/>
      <c r="AD357" s="105"/>
      <c r="AE357" s="105"/>
      <c r="AF357" s="105"/>
      <c r="AG357" s="105"/>
      <c r="AH357" s="158"/>
      <c r="AI357" s="88"/>
      <c r="AJ357" s="88"/>
      <c r="AK357" s="131"/>
      <c r="AL357" s="131"/>
      <c r="AM357" s="131"/>
      <c r="AN357" s="131"/>
      <c r="AO357" s="131"/>
      <c r="AP357" s="88"/>
      <c r="AQ357" s="88"/>
    </row>
    <row r="358">
      <c r="A358" s="173"/>
      <c r="B358" s="173"/>
      <c r="C358" s="174"/>
      <c r="D358" s="173"/>
      <c r="E358" s="155"/>
      <c r="F358" s="155"/>
      <c r="G358" s="88"/>
      <c r="H358" s="155"/>
      <c r="I358" s="155"/>
      <c r="J358" s="155"/>
      <c r="K358" s="15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58"/>
      <c r="AA358" s="105"/>
      <c r="AB358" s="105"/>
      <c r="AC358" s="105"/>
      <c r="AD358" s="105"/>
      <c r="AE358" s="105"/>
      <c r="AF358" s="105"/>
      <c r="AG358" s="105"/>
      <c r="AH358" s="158"/>
      <c r="AI358" s="88"/>
      <c r="AJ358" s="88"/>
      <c r="AK358" s="131"/>
      <c r="AL358" s="131"/>
      <c r="AM358" s="131"/>
      <c r="AN358" s="131"/>
      <c r="AO358" s="131"/>
      <c r="AP358" s="88"/>
      <c r="AQ358" s="88"/>
    </row>
    <row r="359">
      <c r="A359" s="173"/>
      <c r="B359" s="173"/>
      <c r="C359" s="174"/>
      <c r="D359" s="173"/>
      <c r="E359" s="155"/>
      <c r="F359" s="155"/>
      <c r="G359" s="88"/>
      <c r="H359" s="155"/>
      <c r="I359" s="155"/>
      <c r="J359" s="155"/>
      <c r="K359" s="15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58"/>
      <c r="AA359" s="105"/>
      <c r="AB359" s="105"/>
      <c r="AC359" s="105"/>
      <c r="AD359" s="105"/>
      <c r="AE359" s="105"/>
      <c r="AF359" s="105"/>
      <c r="AG359" s="105"/>
      <c r="AH359" s="158"/>
      <c r="AI359" s="88"/>
      <c r="AJ359" s="88"/>
      <c r="AK359" s="131"/>
      <c r="AL359" s="131"/>
      <c r="AM359" s="131"/>
      <c r="AN359" s="131"/>
      <c r="AO359" s="131"/>
      <c r="AP359" s="88"/>
      <c r="AQ359" s="88"/>
    </row>
    <row r="360">
      <c r="A360" s="173"/>
      <c r="B360" s="173"/>
      <c r="C360" s="174"/>
      <c r="D360" s="173"/>
      <c r="E360" s="155"/>
      <c r="F360" s="155"/>
      <c r="G360" s="88"/>
      <c r="H360" s="155"/>
      <c r="I360" s="155"/>
      <c r="J360" s="155"/>
      <c r="K360" s="15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58"/>
      <c r="AA360" s="105"/>
      <c r="AB360" s="105"/>
      <c r="AC360" s="105"/>
      <c r="AD360" s="105"/>
      <c r="AE360" s="105"/>
      <c r="AF360" s="105"/>
      <c r="AG360" s="105"/>
      <c r="AH360" s="158"/>
      <c r="AI360" s="88"/>
      <c r="AJ360" s="88"/>
      <c r="AK360" s="131"/>
      <c r="AL360" s="131"/>
      <c r="AM360" s="131"/>
      <c r="AN360" s="131"/>
      <c r="AO360" s="131"/>
      <c r="AP360" s="88"/>
      <c r="AQ360" s="88"/>
    </row>
    <row r="361">
      <c r="A361" s="173"/>
      <c r="B361" s="173"/>
      <c r="C361" s="174"/>
      <c r="D361" s="173"/>
      <c r="E361" s="155"/>
      <c r="F361" s="155"/>
      <c r="G361" s="88"/>
      <c r="H361" s="155"/>
      <c r="I361" s="155"/>
      <c r="J361" s="155"/>
      <c r="K361" s="15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58"/>
      <c r="AA361" s="105"/>
      <c r="AB361" s="105"/>
      <c r="AC361" s="105"/>
      <c r="AD361" s="105"/>
      <c r="AE361" s="105"/>
      <c r="AF361" s="105"/>
      <c r="AG361" s="105"/>
      <c r="AH361" s="158"/>
      <c r="AI361" s="88"/>
      <c r="AJ361" s="88"/>
      <c r="AK361" s="131"/>
      <c r="AL361" s="131"/>
      <c r="AM361" s="131"/>
      <c r="AN361" s="131"/>
      <c r="AO361" s="131"/>
      <c r="AP361" s="88"/>
      <c r="AQ361" s="88"/>
    </row>
    <row r="362">
      <c r="A362" s="173"/>
      <c r="B362" s="173"/>
      <c r="C362" s="174"/>
      <c r="D362" s="173"/>
      <c r="E362" s="155"/>
      <c r="F362" s="155"/>
      <c r="G362" s="88"/>
      <c r="H362" s="155"/>
      <c r="I362" s="155"/>
      <c r="J362" s="155"/>
      <c r="K362" s="15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58"/>
      <c r="AA362" s="105"/>
      <c r="AB362" s="105"/>
      <c r="AC362" s="105"/>
      <c r="AD362" s="105"/>
      <c r="AE362" s="105"/>
      <c r="AF362" s="105"/>
      <c r="AG362" s="105"/>
      <c r="AH362" s="158"/>
      <c r="AI362" s="88"/>
      <c r="AJ362" s="88"/>
      <c r="AK362" s="131"/>
      <c r="AL362" s="131"/>
      <c r="AM362" s="131"/>
      <c r="AN362" s="131"/>
      <c r="AO362" s="131"/>
      <c r="AP362" s="88"/>
      <c r="AQ362" s="88"/>
    </row>
    <row r="363">
      <c r="A363" s="173"/>
      <c r="B363" s="173"/>
      <c r="C363" s="174"/>
      <c r="D363" s="173"/>
      <c r="E363" s="155"/>
      <c r="F363" s="155"/>
      <c r="G363" s="88"/>
      <c r="H363" s="155"/>
      <c r="I363" s="155"/>
      <c r="J363" s="155"/>
      <c r="K363" s="15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58"/>
      <c r="AA363" s="105"/>
      <c r="AB363" s="105"/>
      <c r="AC363" s="105"/>
      <c r="AD363" s="105"/>
      <c r="AE363" s="105"/>
      <c r="AF363" s="105"/>
      <c r="AG363" s="105"/>
      <c r="AH363" s="158"/>
      <c r="AI363" s="88"/>
      <c r="AJ363" s="88"/>
      <c r="AK363" s="131"/>
      <c r="AL363" s="131"/>
      <c r="AM363" s="131"/>
      <c r="AN363" s="131"/>
      <c r="AO363" s="131"/>
      <c r="AP363" s="88"/>
      <c r="AQ363" s="88"/>
    </row>
    <row r="364">
      <c r="A364" s="173"/>
      <c r="B364" s="173"/>
      <c r="C364" s="174"/>
      <c r="D364" s="173"/>
      <c r="E364" s="155"/>
      <c r="F364" s="155"/>
      <c r="G364" s="88"/>
      <c r="H364" s="155"/>
      <c r="I364" s="155"/>
      <c r="J364" s="155"/>
      <c r="K364" s="15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58"/>
      <c r="AA364" s="105"/>
      <c r="AB364" s="105"/>
      <c r="AC364" s="105"/>
      <c r="AD364" s="105"/>
      <c r="AE364" s="105"/>
      <c r="AF364" s="105"/>
      <c r="AG364" s="105"/>
      <c r="AH364" s="158"/>
      <c r="AI364" s="88"/>
      <c r="AJ364" s="88"/>
      <c r="AK364" s="131"/>
      <c r="AL364" s="131"/>
      <c r="AM364" s="131"/>
      <c r="AN364" s="131"/>
      <c r="AO364" s="131"/>
      <c r="AP364" s="88"/>
      <c r="AQ364" s="88"/>
    </row>
    <row r="365">
      <c r="A365" s="173"/>
      <c r="B365" s="173"/>
      <c r="C365" s="174"/>
      <c r="D365" s="173"/>
      <c r="E365" s="155"/>
      <c r="F365" s="155"/>
      <c r="G365" s="88"/>
      <c r="H365" s="155"/>
      <c r="I365" s="155"/>
      <c r="J365" s="155"/>
      <c r="K365" s="15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58"/>
      <c r="AA365" s="105"/>
      <c r="AB365" s="105"/>
      <c r="AC365" s="105"/>
      <c r="AD365" s="105"/>
      <c r="AE365" s="105"/>
      <c r="AF365" s="105"/>
      <c r="AG365" s="105"/>
      <c r="AH365" s="158"/>
      <c r="AI365" s="88"/>
      <c r="AJ365" s="88"/>
      <c r="AK365" s="131"/>
      <c r="AL365" s="131"/>
      <c r="AM365" s="131"/>
      <c r="AN365" s="131"/>
      <c r="AO365" s="131"/>
      <c r="AP365" s="88"/>
      <c r="AQ365" s="88"/>
    </row>
    <row r="366">
      <c r="A366" s="173"/>
      <c r="B366" s="173"/>
      <c r="C366" s="174"/>
      <c r="D366" s="173"/>
      <c r="E366" s="155"/>
      <c r="F366" s="155"/>
      <c r="G366" s="88"/>
      <c r="H366" s="155"/>
      <c r="I366" s="155"/>
      <c r="J366" s="155"/>
      <c r="K366" s="15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58"/>
      <c r="AA366" s="105"/>
      <c r="AB366" s="105"/>
      <c r="AC366" s="105"/>
      <c r="AD366" s="105"/>
      <c r="AE366" s="105"/>
      <c r="AF366" s="105"/>
      <c r="AG366" s="105"/>
      <c r="AH366" s="158"/>
      <c r="AI366" s="88"/>
      <c r="AJ366" s="88"/>
      <c r="AK366" s="131"/>
      <c r="AL366" s="131"/>
      <c r="AM366" s="131"/>
      <c r="AN366" s="131"/>
      <c r="AO366" s="131"/>
      <c r="AP366" s="88"/>
      <c r="AQ366" s="88"/>
    </row>
    <row r="367">
      <c r="A367" s="173"/>
      <c r="B367" s="173"/>
      <c r="C367" s="174"/>
      <c r="D367" s="173"/>
      <c r="E367" s="155"/>
      <c r="F367" s="155"/>
      <c r="G367" s="88"/>
      <c r="H367" s="155"/>
      <c r="I367" s="155"/>
      <c r="J367" s="155"/>
      <c r="K367" s="15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58"/>
      <c r="AA367" s="105"/>
      <c r="AB367" s="105"/>
      <c r="AC367" s="105"/>
      <c r="AD367" s="105"/>
      <c r="AE367" s="105"/>
      <c r="AF367" s="105"/>
      <c r="AG367" s="105"/>
      <c r="AH367" s="158"/>
      <c r="AI367" s="88"/>
      <c r="AJ367" s="88"/>
      <c r="AK367" s="131"/>
      <c r="AL367" s="131"/>
      <c r="AM367" s="131"/>
      <c r="AN367" s="131"/>
      <c r="AO367" s="131"/>
      <c r="AP367" s="88"/>
      <c r="AQ367" s="88"/>
    </row>
    <row r="368">
      <c r="A368" s="173"/>
      <c r="B368" s="173"/>
      <c r="C368" s="174"/>
      <c r="D368" s="173"/>
      <c r="E368" s="155"/>
      <c r="F368" s="155"/>
      <c r="G368" s="88"/>
      <c r="H368" s="155"/>
      <c r="I368" s="155"/>
      <c r="J368" s="155"/>
      <c r="K368" s="15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58"/>
      <c r="AA368" s="105"/>
      <c r="AB368" s="105"/>
      <c r="AC368" s="105"/>
      <c r="AD368" s="105"/>
      <c r="AE368" s="105"/>
      <c r="AF368" s="105"/>
      <c r="AG368" s="105"/>
      <c r="AH368" s="158"/>
      <c r="AI368" s="88"/>
      <c r="AJ368" s="88"/>
      <c r="AK368" s="131"/>
      <c r="AL368" s="131"/>
      <c r="AM368" s="131"/>
      <c r="AN368" s="131"/>
      <c r="AO368" s="131"/>
      <c r="AP368" s="88"/>
      <c r="AQ368" s="88"/>
    </row>
    <row r="369">
      <c r="A369" s="173"/>
      <c r="B369" s="173"/>
      <c r="C369" s="174"/>
      <c r="D369" s="173"/>
      <c r="E369" s="155"/>
      <c r="F369" s="155"/>
      <c r="G369" s="88"/>
      <c r="H369" s="155"/>
      <c r="I369" s="155"/>
      <c r="J369" s="155"/>
      <c r="K369" s="15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58"/>
      <c r="AA369" s="105"/>
      <c r="AB369" s="105"/>
      <c r="AC369" s="105"/>
      <c r="AD369" s="105"/>
      <c r="AE369" s="105"/>
      <c r="AF369" s="105"/>
      <c r="AG369" s="105"/>
      <c r="AH369" s="158"/>
      <c r="AI369" s="88"/>
      <c r="AJ369" s="88"/>
      <c r="AK369" s="131"/>
      <c r="AL369" s="131"/>
      <c r="AM369" s="131"/>
      <c r="AN369" s="131"/>
      <c r="AO369" s="131"/>
      <c r="AP369" s="88"/>
      <c r="AQ369" s="88"/>
    </row>
    <row r="370">
      <c r="A370" s="173"/>
      <c r="B370" s="173"/>
      <c r="C370" s="174"/>
      <c r="D370" s="173"/>
      <c r="E370" s="155"/>
      <c r="F370" s="155"/>
      <c r="G370" s="88"/>
      <c r="H370" s="155"/>
      <c r="I370" s="155"/>
      <c r="J370" s="155"/>
      <c r="K370" s="15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58"/>
      <c r="AA370" s="105"/>
      <c r="AB370" s="105"/>
      <c r="AC370" s="105"/>
      <c r="AD370" s="105"/>
      <c r="AE370" s="105"/>
      <c r="AF370" s="105"/>
      <c r="AG370" s="105"/>
      <c r="AH370" s="158"/>
      <c r="AI370" s="88"/>
      <c r="AJ370" s="88"/>
      <c r="AK370" s="131"/>
      <c r="AL370" s="131"/>
      <c r="AM370" s="131"/>
      <c r="AN370" s="131"/>
      <c r="AO370" s="131"/>
      <c r="AP370" s="88"/>
      <c r="AQ370" s="88"/>
    </row>
    <row r="371">
      <c r="A371" s="173"/>
      <c r="B371" s="173"/>
      <c r="C371" s="174"/>
      <c r="D371" s="173"/>
      <c r="E371" s="155"/>
      <c r="F371" s="155"/>
      <c r="G371" s="88"/>
      <c r="H371" s="155"/>
      <c r="I371" s="155"/>
      <c r="J371" s="155"/>
      <c r="K371" s="15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58"/>
      <c r="AA371" s="105"/>
      <c r="AB371" s="105"/>
      <c r="AC371" s="105"/>
      <c r="AD371" s="105"/>
      <c r="AE371" s="105"/>
      <c r="AF371" s="105"/>
      <c r="AG371" s="105"/>
      <c r="AH371" s="158"/>
      <c r="AI371" s="88"/>
      <c r="AJ371" s="88"/>
      <c r="AK371" s="131"/>
      <c r="AL371" s="131"/>
      <c r="AM371" s="131"/>
      <c r="AN371" s="131"/>
      <c r="AO371" s="131"/>
      <c r="AP371" s="88"/>
      <c r="AQ371" s="88"/>
    </row>
    <row r="372">
      <c r="A372" s="173"/>
      <c r="B372" s="173"/>
      <c r="C372" s="174"/>
      <c r="D372" s="173"/>
      <c r="E372" s="155"/>
      <c r="F372" s="155"/>
      <c r="G372" s="88"/>
      <c r="H372" s="155"/>
      <c r="I372" s="155"/>
      <c r="J372" s="155"/>
      <c r="K372" s="15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58"/>
      <c r="AA372" s="105"/>
      <c r="AB372" s="105"/>
      <c r="AC372" s="105"/>
      <c r="AD372" s="105"/>
      <c r="AE372" s="105"/>
      <c r="AF372" s="105"/>
      <c r="AG372" s="105"/>
      <c r="AH372" s="158"/>
      <c r="AI372" s="88"/>
      <c r="AJ372" s="88"/>
      <c r="AK372" s="131"/>
      <c r="AL372" s="131"/>
      <c r="AM372" s="131"/>
      <c r="AN372" s="131"/>
      <c r="AO372" s="131"/>
      <c r="AP372" s="88"/>
      <c r="AQ372" s="88"/>
    </row>
    <row r="373">
      <c r="A373" s="173"/>
      <c r="B373" s="173"/>
      <c r="C373" s="174"/>
      <c r="D373" s="173"/>
      <c r="E373" s="155"/>
      <c r="F373" s="155"/>
      <c r="G373" s="88"/>
      <c r="H373" s="155"/>
      <c r="I373" s="155"/>
      <c r="J373" s="155"/>
      <c r="K373" s="15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58"/>
      <c r="AA373" s="105"/>
      <c r="AB373" s="105"/>
      <c r="AC373" s="105"/>
      <c r="AD373" s="105"/>
      <c r="AE373" s="105"/>
      <c r="AF373" s="105"/>
      <c r="AG373" s="105"/>
      <c r="AH373" s="158"/>
      <c r="AI373" s="88"/>
      <c r="AJ373" s="88"/>
      <c r="AK373" s="131"/>
      <c r="AL373" s="131"/>
      <c r="AM373" s="131"/>
      <c r="AN373" s="131"/>
      <c r="AO373" s="131"/>
      <c r="AP373" s="88"/>
      <c r="AQ373" s="88"/>
    </row>
    <row r="374">
      <c r="A374" s="173"/>
      <c r="B374" s="173"/>
      <c r="C374" s="174"/>
      <c r="D374" s="173"/>
      <c r="E374" s="155"/>
      <c r="F374" s="155"/>
      <c r="G374" s="88"/>
      <c r="H374" s="155"/>
      <c r="I374" s="155"/>
      <c r="J374" s="155"/>
      <c r="K374" s="15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58"/>
      <c r="AA374" s="105"/>
      <c r="AB374" s="105"/>
      <c r="AC374" s="105"/>
      <c r="AD374" s="105"/>
      <c r="AE374" s="105"/>
      <c r="AF374" s="105"/>
      <c r="AG374" s="105"/>
      <c r="AH374" s="158"/>
      <c r="AI374" s="88"/>
      <c r="AJ374" s="88"/>
      <c r="AK374" s="131"/>
      <c r="AL374" s="131"/>
      <c r="AM374" s="131"/>
      <c r="AN374" s="131"/>
      <c r="AO374" s="131"/>
      <c r="AP374" s="88"/>
      <c r="AQ374" s="88"/>
    </row>
    <row r="375">
      <c r="A375" s="173"/>
      <c r="B375" s="173"/>
      <c r="C375" s="174"/>
      <c r="D375" s="173"/>
      <c r="E375" s="155"/>
      <c r="F375" s="155"/>
      <c r="G375" s="88"/>
      <c r="H375" s="155"/>
      <c r="I375" s="155"/>
      <c r="J375" s="155"/>
      <c r="K375" s="15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58"/>
      <c r="AA375" s="105"/>
      <c r="AB375" s="105"/>
      <c r="AC375" s="105"/>
      <c r="AD375" s="105"/>
      <c r="AE375" s="105"/>
      <c r="AF375" s="105"/>
      <c r="AG375" s="105"/>
      <c r="AH375" s="158"/>
      <c r="AI375" s="88"/>
      <c r="AJ375" s="88"/>
      <c r="AK375" s="131"/>
      <c r="AL375" s="131"/>
      <c r="AM375" s="131"/>
      <c r="AN375" s="131"/>
      <c r="AO375" s="131"/>
      <c r="AP375" s="88"/>
      <c r="AQ375" s="88"/>
    </row>
    <row r="376">
      <c r="A376" s="173"/>
      <c r="B376" s="173"/>
      <c r="C376" s="174"/>
      <c r="D376" s="173"/>
      <c r="E376" s="155"/>
      <c r="F376" s="155"/>
      <c r="G376" s="88"/>
      <c r="H376" s="155"/>
      <c r="I376" s="155"/>
      <c r="J376" s="155"/>
      <c r="K376" s="15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58"/>
      <c r="AA376" s="105"/>
      <c r="AB376" s="105"/>
      <c r="AC376" s="105"/>
      <c r="AD376" s="105"/>
      <c r="AE376" s="105"/>
      <c r="AF376" s="105"/>
      <c r="AG376" s="105"/>
      <c r="AH376" s="158"/>
      <c r="AI376" s="88"/>
      <c r="AJ376" s="88"/>
      <c r="AK376" s="131"/>
      <c r="AL376" s="131"/>
      <c r="AM376" s="131"/>
      <c r="AN376" s="131"/>
      <c r="AO376" s="131"/>
      <c r="AP376" s="88"/>
      <c r="AQ376" s="88"/>
    </row>
    <row r="377">
      <c r="A377" s="173"/>
      <c r="B377" s="173"/>
      <c r="C377" s="174"/>
      <c r="D377" s="173"/>
      <c r="E377" s="155"/>
      <c r="F377" s="155"/>
      <c r="G377" s="88"/>
      <c r="H377" s="155"/>
      <c r="I377" s="155"/>
      <c r="J377" s="155"/>
      <c r="K377" s="15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58"/>
      <c r="AA377" s="105"/>
      <c r="AB377" s="105"/>
      <c r="AC377" s="105"/>
      <c r="AD377" s="105"/>
      <c r="AE377" s="105"/>
      <c r="AF377" s="105"/>
      <c r="AG377" s="105"/>
      <c r="AH377" s="158"/>
      <c r="AI377" s="88"/>
      <c r="AJ377" s="88"/>
      <c r="AK377" s="131"/>
      <c r="AL377" s="131"/>
      <c r="AM377" s="131"/>
      <c r="AN377" s="131"/>
      <c r="AO377" s="131"/>
      <c r="AP377" s="88"/>
      <c r="AQ377" s="88"/>
    </row>
    <row r="378">
      <c r="A378" s="173"/>
      <c r="B378" s="173"/>
      <c r="C378" s="174"/>
      <c r="D378" s="173"/>
      <c r="E378" s="155"/>
      <c r="F378" s="155"/>
      <c r="G378" s="88"/>
      <c r="H378" s="155"/>
      <c r="I378" s="155"/>
      <c r="J378" s="155"/>
      <c r="K378" s="15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58"/>
      <c r="AA378" s="105"/>
      <c r="AB378" s="105"/>
      <c r="AC378" s="105"/>
      <c r="AD378" s="105"/>
      <c r="AE378" s="105"/>
      <c r="AF378" s="105"/>
      <c r="AG378" s="105"/>
      <c r="AH378" s="158"/>
      <c r="AI378" s="88"/>
      <c r="AJ378" s="88"/>
      <c r="AK378" s="131"/>
      <c r="AL378" s="131"/>
      <c r="AM378" s="131"/>
      <c r="AN378" s="131"/>
      <c r="AO378" s="131"/>
      <c r="AP378" s="88"/>
      <c r="AQ378" s="88"/>
    </row>
    <row r="379">
      <c r="A379" s="173"/>
      <c r="B379" s="173"/>
      <c r="C379" s="174"/>
      <c r="D379" s="173"/>
      <c r="E379" s="155"/>
      <c r="F379" s="155"/>
      <c r="G379" s="88"/>
      <c r="H379" s="155"/>
      <c r="I379" s="155"/>
      <c r="J379" s="155"/>
      <c r="K379" s="15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58"/>
      <c r="AA379" s="105"/>
      <c r="AB379" s="105"/>
      <c r="AC379" s="105"/>
      <c r="AD379" s="105"/>
      <c r="AE379" s="105"/>
      <c r="AF379" s="105"/>
      <c r="AG379" s="105"/>
      <c r="AH379" s="158"/>
      <c r="AI379" s="88"/>
      <c r="AJ379" s="88"/>
      <c r="AK379" s="131"/>
      <c r="AL379" s="131"/>
      <c r="AM379" s="131"/>
      <c r="AN379" s="131"/>
      <c r="AO379" s="131"/>
      <c r="AP379" s="88"/>
      <c r="AQ379" s="88"/>
    </row>
    <row r="380">
      <c r="A380" s="173"/>
      <c r="B380" s="173"/>
      <c r="C380" s="174"/>
      <c r="D380" s="173"/>
      <c r="E380" s="155"/>
      <c r="F380" s="155"/>
      <c r="G380" s="88"/>
      <c r="H380" s="155"/>
      <c r="I380" s="155"/>
      <c r="J380" s="155"/>
      <c r="K380" s="15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58"/>
      <c r="AA380" s="105"/>
      <c r="AB380" s="105"/>
      <c r="AC380" s="105"/>
      <c r="AD380" s="105"/>
      <c r="AE380" s="105"/>
      <c r="AF380" s="105"/>
      <c r="AG380" s="105"/>
      <c r="AH380" s="158"/>
      <c r="AI380" s="88"/>
      <c r="AJ380" s="88"/>
      <c r="AK380" s="131"/>
      <c r="AL380" s="131"/>
      <c r="AM380" s="131"/>
      <c r="AN380" s="131"/>
      <c r="AO380" s="131"/>
      <c r="AP380" s="88"/>
      <c r="AQ380" s="88"/>
    </row>
    <row r="381">
      <c r="A381" s="173"/>
      <c r="B381" s="173"/>
      <c r="C381" s="174"/>
      <c r="D381" s="173"/>
      <c r="E381" s="155"/>
      <c r="F381" s="155"/>
      <c r="G381" s="88"/>
      <c r="H381" s="155"/>
      <c r="I381" s="155"/>
      <c r="J381" s="155"/>
      <c r="K381" s="15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58"/>
      <c r="AA381" s="105"/>
      <c r="AB381" s="105"/>
      <c r="AC381" s="105"/>
      <c r="AD381" s="105"/>
      <c r="AE381" s="105"/>
      <c r="AF381" s="105"/>
      <c r="AG381" s="105"/>
      <c r="AH381" s="158"/>
      <c r="AI381" s="88"/>
      <c r="AJ381" s="88"/>
      <c r="AK381" s="131"/>
      <c r="AL381" s="131"/>
      <c r="AM381" s="131"/>
      <c r="AN381" s="131"/>
      <c r="AO381" s="131"/>
      <c r="AP381" s="88"/>
      <c r="AQ381" s="88"/>
    </row>
    <row r="382">
      <c r="A382" s="173"/>
      <c r="B382" s="173"/>
      <c r="C382" s="174"/>
      <c r="D382" s="173"/>
      <c r="E382" s="155"/>
      <c r="F382" s="155"/>
      <c r="G382" s="88"/>
      <c r="H382" s="155"/>
      <c r="I382" s="155"/>
      <c r="J382" s="155"/>
      <c r="K382" s="15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58"/>
      <c r="AA382" s="105"/>
      <c r="AB382" s="105"/>
      <c r="AC382" s="105"/>
      <c r="AD382" s="105"/>
      <c r="AE382" s="105"/>
      <c r="AF382" s="105"/>
      <c r="AG382" s="105"/>
      <c r="AH382" s="158"/>
      <c r="AI382" s="88"/>
      <c r="AJ382" s="88"/>
      <c r="AK382" s="131"/>
      <c r="AL382" s="131"/>
      <c r="AM382" s="131"/>
      <c r="AN382" s="131"/>
      <c r="AO382" s="131"/>
      <c r="AP382" s="88"/>
      <c r="AQ382" s="88"/>
    </row>
    <row r="383">
      <c r="A383" s="173"/>
      <c r="B383" s="173"/>
      <c r="C383" s="174"/>
      <c r="D383" s="173"/>
      <c r="E383" s="155"/>
      <c r="F383" s="155"/>
      <c r="G383" s="88"/>
      <c r="H383" s="155"/>
      <c r="I383" s="155"/>
      <c r="J383" s="155"/>
      <c r="K383" s="15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58"/>
      <c r="AA383" s="105"/>
      <c r="AB383" s="105"/>
      <c r="AC383" s="105"/>
      <c r="AD383" s="105"/>
      <c r="AE383" s="105"/>
      <c r="AF383" s="105"/>
      <c r="AG383" s="105"/>
      <c r="AH383" s="158"/>
      <c r="AI383" s="88"/>
      <c r="AJ383" s="88"/>
      <c r="AK383" s="131"/>
      <c r="AL383" s="131"/>
      <c r="AM383" s="131"/>
      <c r="AN383" s="131"/>
      <c r="AO383" s="131"/>
      <c r="AP383" s="88"/>
      <c r="AQ383" s="88"/>
    </row>
    <row r="384">
      <c r="A384" s="173"/>
      <c r="B384" s="173"/>
      <c r="C384" s="174"/>
      <c r="D384" s="173"/>
      <c r="E384" s="155"/>
      <c r="F384" s="155"/>
      <c r="G384" s="88"/>
      <c r="H384" s="155"/>
      <c r="I384" s="155"/>
      <c r="J384" s="155"/>
      <c r="K384" s="15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58"/>
      <c r="AA384" s="105"/>
      <c r="AB384" s="105"/>
      <c r="AC384" s="105"/>
      <c r="AD384" s="105"/>
      <c r="AE384" s="105"/>
      <c r="AF384" s="105"/>
      <c r="AG384" s="105"/>
      <c r="AH384" s="158"/>
      <c r="AI384" s="88"/>
      <c r="AJ384" s="88"/>
      <c r="AK384" s="131"/>
      <c r="AL384" s="131"/>
      <c r="AM384" s="131"/>
      <c r="AN384" s="131"/>
      <c r="AO384" s="131"/>
      <c r="AP384" s="88"/>
      <c r="AQ384" s="88"/>
    </row>
    <row r="385">
      <c r="A385" s="173"/>
      <c r="B385" s="173"/>
      <c r="C385" s="174"/>
      <c r="D385" s="173"/>
      <c r="E385" s="155"/>
      <c r="F385" s="155"/>
      <c r="G385" s="88"/>
      <c r="H385" s="155"/>
      <c r="I385" s="155"/>
      <c r="J385" s="155"/>
      <c r="K385" s="15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58"/>
      <c r="AA385" s="105"/>
      <c r="AB385" s="105"/>
      <c r="AC385" s="105"/>
      <c r="AD385" s="105"/>
      <c r="AE385" s="105"/>
      <c r="AF385" s="105"/>
      <c r="AG385" s="105"/>
      <c r="AH385" s="158"/>
      <c r="AI385" s="88"/>
      <c r="AJ385" s="88"/>
      <c r="AK385" s="131"/>
      <c r="AL385" s="131"/>
      <c r="AM385" s="131"/>
      <c r="AN385" s="131"/>
      <c r="AO385" s="131"/>
      <c r="AP385" s="88"/>
      <c r="AQ385" s="88"/>
    </row>
    <row r="386">
      <c r="A386" s="173"/>
      <c r="B386" s="173"/>
      <c r="C386" s="174"/>
      <c r="D386" s="173"/>
      <c r="E386" s="155"/>
      <c r="F386" s="155"/>
      <c r="G386" s="88"/>
      <c r="H386" s="155"/>
      <c r="I386" s="155"/>
      <c r="J386" s="155"/>
      <c r="K386" s="15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58"/>
      <c r="AA386" s="105"/>
      <c r="AB386" s="105"/>
      <c r="AC386" s="105"/>
      <c r="AD386" s="105"/>
      <c r="AE386" s="105"/>
      <c r="AF386" s="105"/>
      <c r="AG386" s="105"/>
      <c r="AH386" s="158"/>
      <c r="AI386" s="88"/>
      <c r="AJ386" s="88"/>
      <c r="AK386" s="131"/>
      <c r="AL386" s="131"/>
      <c r="AM386" s="131"/>
      <c r="AN386" s="131"/>
      <c r="AO386" s="131"/>
      <c r="AP386" s="88"/>
      <c r="AQ386" s="88"/>
    </row>
    <row r="387">
      <c r="A387" s="173"/>
      <c r="B387" s="173"/>
      <c r="C387" s="174"/>
      <c r="D387" s="173"/>
      <c r="E387" s="155"/>
      <c r="F387" s="155"/>
      <c r="G387" s="88"/>
      <c r="H387" s="155"/>
      <c r="I387" s="155"/>
      <c r="J387" s="155"/>
      <c r="K387" s="15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58"/>
      <c r="AA387" s="105"/>
      <c r="AB387" s="105"/>
      <c r="AC387" s="105"/>
      <c r="AD387" s="105"/>
      <c r="AE387" s="105"/>
      <c r="AF387" s="105"/>
      <c r="AG387" s="105"/>
      <c r="AH387" s="158"/>
      <c r="AI387" s="88"/>
      <c r="AJ387" s="88"/>
      <c r="AK387" s="131"/>
      <c r="AL387" s="131"/>
      <c r="AM387" s="131"/>
      <c r="AN387" s="131"/>
      <c r="AO387" s="131"/>
      <c r="AP387" s="88"/>
      <c r="AQ387" s="88"/>
    </row>
    <row r="388">
      <c r="A388" s="173"/>
      <c r="B388" s="173"/>
      <c r="C388" s="174"/>
      <c r="D388" s="173"/>
      <c r="E388" s="155"/>
      <c r="F388" s="155"/>
      <c r="G388" s="88"/>
      <c r="H388" s="155"/>
      <c r="I388" s="155"/>
      <c r="J388" s="155"/>
      <c r="K388" s="15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58"/>
      <c r="AA388" s="105"/>
      <c r="AB388" s="105"/>
      <c r="AC388" s="105"/>
      <c r="AD388" s="105"/>
      <c r="AE388" s="105"/>
      <c r="AF388" s="105"/>
      <c r="AG388" s="105"/>
      <c r="AH388" s="158"/>
      <c r="AI388" s="88"/>
      <c r="AJ388" s="88"/>
      <c r="AK388" s="131"/>
      <c r="AL388" s="131"/>
      <c r="AM388" s="131"/>
      <c r="AN388" s="131"/>
      <c r="AO388" s="131"/>
      <c r="AP388" s="88"/>
      <c r="AQ388" s="88"/>
    </row>
    <row r="389">
      <c r="A389" s="173"/>
      <c r="B389" s="173"/>
      <c r="C389" s="174"/>
      <c r="D389" s="173"/>
      <c r="E389" s="155"/>
      <c r="F389" s="155"/>
      <c r="G389" s="88"/>
      <c r="H389" s="155"/>
      <c r="I389" s="155"/>
      <c r="J389" s="155"/>
      <c r="K389" s="15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58"/>
      <c r="AA389" s="105"/>
      <c r="AB389" s="105"/>
      <c r="AC389" s="105"/>
      <c r="AD389" s="105"/>
      <c r="AE389" s="105"/>
      <c r="AF389" s="105"/>
      <c r="AG389" s="105"/>
      <c r="AH389" s="158"/>
      <c r="AI389" s="88"/>
      <c r="AJ389" s="88"/>
      <c r="AK389" s="131"/>
      <c r="AL389" s="131"/>
      <c r="AM389" s="131"/>
      <c r="AN389" s="131"/>
      <c r="AO389" s="131"/>
      <c r="AP389" s="88"/>
      <c r="AQ389" s="88"/>
    </row>
    <row r="390">
      <c r="A390" s="173"/>
      <c r="B390" s="173"/>
      <c r="C390" s="174"/>
      <c r="D390" s="173"/>
      <c r="E390" s="155"/>
      <c r="F390" s="155"/>
      <c r="G390" s="88"/>
      <c r="H390" s="155"/>
      <c r="I390" s="155"/>
      <c r="J390" s="155"/>
      <c r="K390" s="15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58"/>
      <c r="AA390" s="105"/>
      <c r="AB390" s="105"/>
      <c r="AC390" s="105"/>
      <c r="AD390" s="105"/>
      <c r="AE390" s="105"/>
      <c r="AF390" s="105"/>
      <c r="AG390" s="105"/>
      <c r="AH390" s="158"/>
      <c r="AI390" s="88"/>
      <c r="AJ390" s="88"/>
      <c r="AK390" s="131"/>
      <c r="AL390" s="131"/>
      <c r="AM390" s="131"/>
      <c r="AN390" s="131"/>
      <c r="AO390" s="131"/>
      <c r="AP390" s="88"/>
      <c r="AQ390" s="88"/>
    </row>
    <row r="391">
      <c r="A391" s="173"/>
      <c r="B391" s="173"/>
      <c r="C391" s="174"/>
      <c r="D391" s="173"/>
      <c r="E391" s="155"/>
      <c r="F391" s="155"/>
      <c r="G391" s="88"/>
      <c r="H391" s="155"/>
      <c r="I391" s="155"/>
      <c r="J391" s="155"/>
      <c r="K391" s="15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58"/>
      <c r="AA391" s="105"/>
      <c r="AB391" s="105"/>
      <c r="AC391" s="105"/>
      <c r="AD391" s="105"/>
      <c r="AE391" s="105"/>
      <c r="AF391" s="105"/>
      <c r="AG391" s="105"/>
      <c r="AH391" s="158"/>
      <c r="AI391" s="88"/>
      <c r="AJ391" s="88"/>
      <c r="AK391" s="131"/>
      <c r="AL391" s="131"/>
      <c r="AM391" s="131"/>
      <c r="AN391" s="131"/>
      <c r="AO391" s="131"/>
      <c r="AP391" s="88"/>
      <c r="AQ391" s="88"/>
    </row>
    <row r="392">
      <c r="A392" s="173"/>
      <c r="B392" s="173"/>
      <c r="C392" s="174"/>
      <c r="D392" s="173"/>
      <c r="E392" s="155"/>
      <c r="F392" s="155"/>
      <c r="G392" s="88"/>
      <c r="H392" s="155"/>
      <c r="I392" s="155"/>
      <c r="J392" s="155"/>
      <c r="K392" s="15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58"/>
      <c r="AA392" s="105"/>
      <c r="AB392" s="105"/>
      <c r="AC392" s="105"/>
      <c r="AD392" s="105"/>
      <c r="AE392" s="105"/>
      <c r="AF392" s="105"/>
      <c r="AG392" s="105"/>
      <c r="AH392" s="158"/>
      <c r="AI392" s="88"/>
      <c r="AJ392" s="88"/>
      <c r="AK392" s="131"/>
      <c r="AL392" s="131"/>
      <c r="AM392" s="131"/>
      <c r="AN392" s="131"/>
      <c r="AO392" s="131"/>
      <c r="AP392" s="88"/>
      <c r="AQ392" s="88"/>
    </row>
    <row r="393">
      <c r="A393" s="173"/>
      <c r="B393" s="173"/>
      <c r="C393" s="174"/>
      <c r="D393" s="173"/>
      <c r="E393" s="155"/>
      <c r="F393" s="155"/>
      <c r="G393" s="88"/>
      <c r="H393" s="155"/>
      <c r="I393" s="155"/>
      <c r="J393" s="155"/>
      <c r="K393" s="15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58"/>
      <c r="AA393" s="105"/>
      <c r="AB393" s="105"/>
      <c r="AC393" s="105"/>
      <c r="AD393" s="105"/>
      <c r="AE393" s="105"/>
      <c r="AF393" s="105"/>
      <c r="AG393" s="105"/>
      <c r="AH393" s="158"/>
      <c r="AI393" s="88"/>
      <c r="AJ393" s="88"/>
      <c r="AK393" s="131"/>
      <c r="AL393" s="131"/>
      <c r="AM393" s="131"/>
      <c r="AN393" s="131"/>
      <c r="AO393" s="131"/>
      <c r="AP393" s="88"/>
      <c r="AQ393" s="88"/>
    </row>
    <row r="394">
      <c r="A394" s="173"/>
      <c r="B394" s="173"/>
      <c r="C394" s="174"/>
      <c r="D394" s="173"/>
      <c r="E394" s="155"/>
      <c r="F394" s="155"/>
      <c r="G394" s="88"/>
      <c r="H394" s="155"/>
      <c r="I394" s="155"/>
      <c r="J394" s="155"/>
      <c r="K394" s="15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58"/>
      <c r="AA394" s="105"/>
      <c r="AB394" s="105"/>
      <c r="AC394" s="105"/>
      <c r="AD394" s="105"/>
      <c r="AE394" s="105"/>
      <c r="AF394" s="105"/>
      <c r="AG394" s="105"/>
      <c r="AH394" s="158"/>
      <c r="AI394" s="88"/>
      <c r="AJ394" s="88"/>
      <c r="AK394" s="131"/>
      <c r="AL394" s="131"/>
      <c r="AM394" s="131"/>
      <c r="AN394" s="131"/>
      <c r="AO394" s="131"/>
      <c r="AP394" s="88"/>
      <c r="AQ394" s="88"/>
    </row>
    <row r="395">
      <c r="A395" s="173"/>
      <c r="B395" s="173"/>
      <c r="C395" s="174"/>
      <c r="D395" s="173"/>
      <c r="E395" s="155"/>
      <c r="F395" s="155"/>
      <c r="G395" s="88"/>
      <c r="H395" s="155"/>
      <c r="I395" s="155"/>
      <c r="J395" s="155"/>
      <c r="K395" s="15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58"/>
      <c r="AA395" s="105"/>
      <c r="AB395" s="105"/>
      <c r="AC395" s="105"/>
      <c r="AD395" s="105"/>
      <c r="AE395" s="105"/>
      <c r="AF395" s="105"/>
      <c r="AG395" s="105"/>
      <c r="AH395" s="158"/>
      <c r="AI395" s="88"/>
      <c r="AJ395" s="88"/>
      <c r="AK395" s="131"/>
      <c r="AL395" s="131"/>
      <c r="AM395" s="131"/>
      <c r="AN395" s="131"/>
      <c r="AO395" s="131"/>
      <c r="AP395" s="88"/>
      <c r="AQ395" s="88"/>
    </row>
    <row r="396">
      <c r="A396" s="173"/>
      <c r="B396" s="173"/>
      <c r="C396" s="174"/>
      <c r="D396" s="173"/>
      <c r="E396" s="155"/>
      <c r="F396" s="155"/>
      <c r="G396" s="88"/>
      <c r="H396" s="155"/>
      <c r="I396" s="155"/>
      <c r="J396" s="155"/>
      <c r="K396" s="15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58"/>
      <c r="AA396" s="105"/>
      <c r="AB396" s="105"/>
      <c r="AC396" s="105"/>
      <c r="AD396" s="105"/>
      <c r="AE396" s="105"/>
      <c r="AF396" s="105"/>
      <c r="AG396" s="105"/>
      <c r="AH396" s="158"/>
      <c r="AI396" s="88"/>
      <c r="AJ396" s="88"/>
      <c r="AK396" s="131"/>
      <c r="AL396" s="131"/>
      <c r="AM396" s="131"/>
      <c r="AN396" s="131"/>
      <c r="AO396" s="131"/>
      <c r="AP396" s="88"/>
      <c r="AQ396" s="88"/>
    </row>
    <row r="397">
      <c r="A397" s="173"/>
      <c r="B397" s="173"/>
      <c r="C397" s="174"/>
      <c r="D397" s="173"/>
      <c r="E397" s="155"/>
      <c r="F397" s="155"/>
      <c r="G397" s="88"/>
      <c r="H397" s="155"/>
      <c r="I397" s="155"/>
      <c r="J397" s="155"/>
      <c r="K397" s="15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58"/>
      <c r="AA397" s="105"/>
      <c r="AB397" s="105"/>
      <c r="AC397" s="105"/>
      <c r="AD397" s="105"/>
      <c r="AE397" s="105"/>
      <c r="AF397" s="105"/>
      <c r="AG397" s="105"/>
      <c r="AH397" s="158"/>
      <c r="AI397" s="88"/>
      <c r="AJ397" s="88"/>
      <c r="AK397" s="131"/>
      <c r="AL397" s="131"/>
      <c r="AM397" s="131"/>
      <c r="AN397" s="131"/>
      <c r="AO397" s="131"/>
      <c r="AP397" s="88"/>
      <c r="AQ397" s="88"/>
    </row>
    <row r="398">
      <c r="A398" s="173"/>
      <c r="B398" s="173"/>
      <c r="C398" s="174"/>
      <c r="D398" s="173"/>
      <c r="E398" s="155"/>
      <c r="F398" s="155"/>
      <c r="G398" s="88"/>
      <c r="H398" s="155"/>
      <c r="I398" s="155"/>
      <c r="J398" s="155"/>
      <c r="K398" s="15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58"/>
      <c r="AA398" s="105"/>
      <c r="AB398" s="105"/>
      <c r="AC398" s="105"/>
      <c r="AD398" s="105"/>
      <c r="AE398" s="105"/>
      <c r="AF398" s="105"/>
      <c r="AG398" s="105"/>
      <c r="AH398" s="158"/>
      <c r="AI398" s="88"/>
      <c r="AJ398" s="88"/>
      <c r="AK398" s="131"/>
      <c r="AL398" s="131"/>
      <c r="AM398" s="131"/>
      <c r="AN398" s="131"/>
      <c r="AO398" s="131"/>
      <c r="AP398" s="88"/>
      <c r="AQ398" s="88"/>
    </row>
    <row r="399">
      <c r="A399" s="173"/>
      <c r="B399" s="173"/>
      <c r="C399" s="174"/>
      <c r="D399" s="173"/>
      <c r="E399" s="155"/>
      <c r="F399" s="155"/>
      <c r="G399" s="88"/>
      <c r="H399" s="155"/>
      <c r="I399" s="155"/>
      <c r="J399" s="155"/>
      <c r="K399" s="15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58"/>
      <c r="AA399" s="105"/>
      <c r="AB399" s="105"/>
      <c r="AC399" s="105"/>
      <c r="AD399" s="105"/>
      <c r="AE399" s="105"/>
      <c r="AF399" s="105"/>
      <c r="AG399" s="105"/>
      <c r="AH399" s="158"/>
      <c r="AI399" s="88"/>
      <c r="AJ399" s="88"/>
      <c r="AK399" s="131"/>
      <c r="AL399" s="131"/>
      <c r="AM399" s="131"/>
      <c r="AN399" s="131"/>
      <c r="AO399" s="131"/>
      <c r="AP399" s="88"/>
      <c r="AQ399" s="88"/>
    </row>
    <row r="400">
      <c r="A400" s="173"/>
      <c r="B400" s="173"/>
      <c r="C400" s="174"/>
      <c r="D400" s="173"/>
      <c r="E400" s="155"/>
      <c r="F400" s="155"/>
      <c r="G400" s="88"/>
      <c r="H400" s="155"/>
      <c r="I400" s="155"/>
      <c r="J400" s="155"/>
      <c r="K400" s="15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58"/>
      <c r="AA400" s="105"/>
      <c r="AB400" s="105"/>
      <c r="AC400" s="105"/>
      <c r="AD400" s="105"/>
      <c r="AE400" s="105"/>
      <c r="AF400" s="105"/>
      <c r="AG400" s="105"/>
      <c r="AH400" s="158"/>
      <c r="AI400" s="88"/>
      <c r="AJ400" s="88"/>
      <c r="AK400" s="131"/>
      <c r="AL400" s="131"/>
      <c r="AM400" s="131"/>
      <c r="AN400" s="131"/>
      <c r="AO400" s="131"/>
      <c r="AP400" s="88"/>
      <c r="AQ400" s="88"/>
    </row>
    <row r="401">
      <c r="A401" s="173"/>
      <c r="B401" s="173"/>
      <c r="C401" s="174"/>
      <c r="D401" s="173"/>
      <c r="E401" s="155"/>
      <c r="F401" s="155"/>
      <c r="G401" s="88"/>
      <c r="H401" s="155"/>
      <c r="I401" s="155"/>
      <c r="J401" s="155"/>
      <c r="K401" s="15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58"/>
      <c r="AA401" s="105"/>
      <c r="AB401" s="105"/>
      <c r="AC401" s="105"/>
      <c r="AD401" s="105"/>
      <c r="AE401" s="105"/>
      <c r="AF401" s="105"/>
      <c r="AG401" s="105"/>
      <c r="AH401" s="158"/>
      <c r="AI401" s="88"/>
      <c r="AJ401" s="88"/>
      <c r="AK401" s="131"/>
      <c r="AL401" s="131"/>
      <c r="AM401" s="131"/>
      <c r="AN401" s="131"/>
      <c r="AO401" s="131"/>
      <c r="AP401" s="88"/>
      <c r="AQ401" s="88"/>
    </row>
    <row r="402">
      <c r="A402" s="173"/>
      <c r="B402" s="173"/>
      <c r="C402" s="174"/>
      <c r="D402" s="173"/>
      <c r="E402" s="155"/>
      <c r="F402" s="155"/>
      <c r="G402" s="88"/>
      <c r="H402" s="155"/>
      <c r="I402" s="155"/>
      <c r="J402" s="155"/>
      <c r="K402" s="15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58"/>
      <c r="AA402" s="105"/>
      <c r="AB402" s="105"/>
      <c r="AC402" s="105"/>
      <c r="AD402" s="105"/>
      <c r="AE402" s="105"/>
      <c r="AF402" s="105"/>
      <c r="AG402" s="105"/>
      <c r="AH402" s="158"/>
      <c r="AI402" s="88"/>
      <c r="AJ402" s="88"/>
      <c r="AK402" s="131"/>
      <c r="AL402" s="131"/>
      <c r="AM402" s="131"/>
      <c r="AN402" s="131"/>
      <c r="AO402" s="131"/>
      <c r="AP402" s="88"/>
      <c r="AQ402" s="88"/>
    </row>
    <row r="403">
      <c r="A403" s="173"/>
      <c r="B403" s="173"/>
      <c r="C403" s="174"/>
      <c r="D403" s="173"/>
      <c r="E403" s="155"/>
      <c r="F403" s="155"/>
      <c r="G403" s="88"/>
      <c r="H403" s="155"/>
      <c r="I403" s="155"/>
      <c r="J403" s="155"/>
      <c r="K403" s="15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58"/>
      <c r="AA403" s="105"/>
      <c r="AB403" s="105"/>
      <c r="AC403" s="105"/>
      <c r="AD403" s="105"/>
      <c r="AE403" s="105"/>
      <c r="AF403" s="105"/>
      <c r="AG403" s="105"/>
      <c r="AH403" s="158"/>
      <c r="AI403" s="88"/>
      <c r="AJ403" s="88"/>
      <c r="AK403" s="131"/>
      <c r="AL403" s="131"/>
      <c r="AM403" s="131"/>
      <c r="AN403" s="131"/>
      <c r="AO403" s="131"/>
      <c r="AP403" s="88"/>
      <c r="AQ403" s="88"/>
    </row>
    <row r="404">
      <c r="A404" s="173"/>
      <c r="B404" s="173"/>
      <c r="C404" s="174"/>
      <c r="D404" s="173"/>
      <c r="E404" s="155"/>
      <c r="F404" s="155"/>
      <c r="G404" s="88"/>
      <c r="H404" s="155"/>
      <c r="I404" s="155"/>
      <c r="J404" s="155"/>
      <c r="K404" s="15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58"/>
      <c r="AA404" s="105"/>
      <c r="AB404" s="105"/>
      <c r="AC404" s="105"/>
      <c r="AD404" s="105"/>
      <c r="AE404" s="105"/>
      <c r="AF404" s="105"/>
      <c r="AG404" s="105"/>
      <c r="AH404" s="158"/>
      <c r="AI404" s="88"/>
      <c r="AJ404" s="88"/>
      <c r="AK404" s="131"/>
      <c r="AL404" s="131"/>
      <c r="AM404" s="131"/>
      <c r="AN404" s="131"/>
      <c r="AO404" s="131"/>
      <c r="AP404" s="88"/>
      <c r="AQ404" s="88"/>
    </row>
    <row r="405">
      <c r="A405" s="173"/>
      <c r="B405" s="173"/>
      <c r="C405" s="174"/>
      <c r="D405" s="173"/>
      <c r="E405" s="155"/>
      <c r="F405" s="155"/>
      <c r="G405" s="88"/>
      <c r="H405" s="155"/>
      <c r="I405" s="155"/>
      <c r="J405" s="155"/>
      <c r="K405" s="15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58"/>
      <c r="AA405" s="105"/>
      <c r="AB405" s="105"/>
      <c r="AC405" s="105"/>
      <c r="AD405" s="105"/>
      <c r="AE405" s="105"/>
      <c r="AF405" s="105"/>
      <c r="AG405" s="105"/>
      <c r="AH405" s="158"/>
      <c r="AI405" s="88"/>
      <c r="AJ405" s="88"/>
      <c r="AK405" s="131"/>
      <c r="AL405" s="131"/>
      <c r="AM405" s="131"/>
      <c r="AN405" s="131"/>
      <c r="AO405" s="131"/>
      <c r="AP405" s="88"/>
      <c r="AQ405" s="88"/>
    </row>
    <row r="406">
      <c r="A406" s="173"/>
      <c r="B406" s="173"/>
      <c r="C406" s="174"/>
      <c r="D406" s="173"/>
      <c r="E406" s="155"/>
      <c r="F406" s="155"/>
      <c r="G406" s="88"/>
      <c r="H406" s="155"/>
      <c r="I406" s="155"/>
      <c r="J406" s="155"/>
      <c r="K406" s="15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58"/>
      <c r="AA406" s="105"/>
      <c r="AB406" s="105"/>
      <c r="AC406" s="105"/>
      <c r="AD406" s="105"/>
      <c r="AE406" s="105"/>
      <c r="AF406" s="105"/>
      <c r="AG406" s="105"/>
      <c r="AH406" s="158"/>
      <c r="AI406" s="88"/>
      <c r="AJ406" s="88"/>
      <c r="AK406" s="131"/>
      <c r="AL406" s="131"/>
      <c r="AM406" s="131"/>
      <c r="AN406" s="131"/>
      <c r="AO406" s="131"/>
      <c r="AP406" s="88"/>
      <c r="AQ406" s="88"/>
    </row>
    <row r="407">
      <c r="A407" s="173"/>
      <c r="B407" s="173"/>
      <c r="C407" s="174"/>
      <c r="D407" s="173"/>
      <c r="E407" s="155"/>
      <c r="F407" s="155"/>
      <c r="G407" s="88"/>
      <c r="H407" s="155"/>
      <c r="I407" s="155"/>
      <c r="J407" s="155"/>
      <c r="K407" s="15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58"/>
      <c r="AA407" s="105"/>
      <c r="AB407" s="105"/>
      <c r="AC407" s="105"/>
      <c r="AD407" s="105"/>
      <c r="AE407" s="105"/>
      <c r="AF407" s="105"/>
      <c r="AG407" s="105"/>
      <c r="AH407" s="158"/>
      <c r="AI407" s="88"/>
      <c r="AJ407" s="88"/>
      <c r="AK407" s="131"/>
      <c r="AL407" s="131"/>
      <c r="AM407" s="131"/>
      <c r="AN407" s="131"/>
      <c r="AO407" s="131"/>
      <c r="AP407" s="88"/>
      <c r="AQ407" s="88"/>
    </row>
    <row r="408">
      <c r="A408" s="173"/>
      <c r="B408" s="173"/>
      <c r="C408" s="174"/>
      <c r="D408" s="173"/>
      <c r="E408" s="155"/>
      <c r="F408" s="155"/>
      <c r="G408" s="88"/>
      <c r="H408" s="155"/>
      <c r="I408" s="155"/>
      <c r="J408" s="155"/>
      <c r="K408" s="15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58"/>
      <c r="AA408" s="105"/>
      <c r="AB408" s="105"/>
      <c r="AC408" s="105"/>
      <c r="AD408" s="105"/>
      <c r="AE408" s="105"/>
      <c r="AF408" s="105"/>
      <c r="AG408" s="105"/>
      <c r="AH408" s="158"/>
      <c r="AI408" s="88"/>
      <c r="AJ408" s="88"/>
      <c r="AK408" s="131"/>
      <c r="AL408" s="131"/>
      <c r="AM408" s="131"/>
      <c r="AN408" s="131"/>
      <c r="AO408" s="131"/>
      <c r="AP408" s="88"/>
      <c r="AQ408" s="88"/>
    </row>
    <row r="409">
      <c r="A409" s="173"/>
      <c r="B409" s="173"/>
      <c r="C409" s="174"/>
      <c r="D409" s="173"/>
      <c r="E409" s="155"/>
      <c r="F409" s="155"/>
      <c r="G409" s="88"/>
      <c r="H409" s="155"/>
      <c r="I409" s="155"/>
      <c r="J409" s="155"/>
      <c r="K409" s="15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58"/>
      <c r="AA409" s="105"/>
      <c r="AB409" s="105"/>
      <c r="AC409" s="105"/>
      <c r="AD409" s="105"/>
      <c r="AE409" s="105"/>
      <c r="AF409" s="105"/>
      <c r="AG409" s="105"/>
      <c r="AH409" s="158"/>
      <c r="AI409" s="88"/>
      <c r="AJ409" s="88"/>
      <c r="AK409" s="131"/>
      <c r="AL409" s="131"/>
      <c r="AM409" s="131"/>
      <c r="AN409" s="131"/>
      <c r="AO409" s="131"/>
      <c r="AP409" s="88"/>
      <c r="AQ409" s="88"/>
    </row>
    <row r="410">
      <c r="A410" s="173"/>
      <c r="B410" s="173"/>
      <c r="C410" s="174"/>
      <c r="D410" s="173"/>
      <c r="E410" s="155"/>
      <c r="F410" s="155"/>
      <c r="G410" s="88"/>
      <c r="H410" s="155"/>
      <c r="I410" s="155"/>
      <c r="J410" s="155"/>
      <c r="K410" s="15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58"/>
      <c r="AA410" s="105"/>
      <c r="AB410" s="105"/>
      <c r="AC410" s="105"/>
      <c r="AD410" s="105"/>
      <c r="AE410" s="105"/>
      <c r="AF410" s="105"/>
      <c r="AG410" s="105"/>
      <c r="AH410" s="158"/>
      <c r="AI410" s="88"/>
      <c r="AJ410" s="88"/>
      <c r="AK410" s="131"/>
      <c r="AL410" s="131"/>
      <c r="AM410" s="131"/>
      <c r="AN410" s="131"/>
      <c r="AO410" s="131"/>
      <c r="AP410" s="88"/>
      <c r="AQ410" s="88"/>
    </row>
    <row r="411">
      <c r="A411" s="173"/>
      <c r="B411" s="173"/>
      <c r="C411" s="174"/>
      <c r="D411" s="173"/>
      <c r="E411" s="155"/>
      <c r="F411" s="155"/>
      <c r="G411" s="88"/>
      <c r="H411" s="155"/>
      <c r="I411" s="155"/>
      <c r="J411" s="155"/>
      <c r="K411" s="15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58"/>
      <c r="AA411" s="105"/>
      <c r="AB411" s="105"/>
      <c r="AC411" s="105"/>
      <c r="AD411" s="105"/>
      <c r="AE411" s="105"/>
      <c r="AF411" s="105"/>
      <c r="AG411" s="105"/>
      <c r="AH411" s="158"/>
      <c r="AI411" s="88"/>
      <c r="AJ411" s="88"/>
      <c r="AK411" s="131"/>
      <c r="AL411" s="131"/>
      <c r="AM411" s="131"/>
      <c r="AN411" s="131"/>
      <c r="AO411" s="131"/>
      <c r="AP411" s="88"/>
      <c r="AQ411" s="88"/>
    </row>
    <row r="412">
      <c r="A412" s="173"/>
      <c r="B412" s="173"/>
      <c r="C412" s="174"/>
      <c r="D412" s="173"/>
      <c r="E412" s="155"/>
      <c r="F412" s="155"/>
      <c r="G412" s="88"/>
      <c r="H412" s="155"/>
      <c r="I412" s="155"/>
      <c r="J412" s="155"/>
      <c r="K412" s="15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58"/>
      <c r="AA412" s="105"/>
      <c r="AB412" s="105"/>
      <c r="AC412" s="105"/>
      <c r="AD412" s="105"/>
      <c r="AE412" s="105"/>
      <c r="AF412" s="105"/>
      <c r="AG412" s="105"/>
      <c r="AH412" s="158"/>
      <c r="AI412" s="88"/>
      <c r="AJ412" s="88"/>
      <c r="AK412" s="131"/>
      <c r="AL412" s="131"/>
      <c r="AM412" s="131"/>
      <c r="AN412" s="131"/>
      <c r="AO412" s="131"/>
      <c r="AP412" s="88"/>
      <c r="AQ412" s="88"/>
    </row>
    <row r="413">
      <c r="A413" s="173"/>
      <c r="B413" s="173"/>
      <c r="C413" s="174"/>
      <c r="D413" s="173"/>
      <c r="E413" s="155"/>
      <c r="F413" s="155"/>
      <c r="G413" s="88"/>
      <c r="H413" s="155"/>
      <c r="I413" s="155"/>
      <c r="J413" s="155"/>
      <c r="K413" s="15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58"/>
      <c r="AA413" s="105"/>
      <c r="AB413" s="105"/>
      <c r="AC413" s="105"/>
      <c r="AD413" s="105"/>
      <c r="AE413" s="105"/>
      <c r="AF413" s="105"/>
      <c r="AG413" s="105"/>
      <c r="AH413" s="158"/>
      <c r="AI413" s="88"/>
      <c r="AJ413" s="88"/>
      <c r="AK413" s="131"/>
      <c r="AL413" s="131"/>
      <c r="AM413" s="131"/>
      <c r="AN413" s="131"/>
      <c r="AO413" s="131"/>
      <c r="AP413" s="88"/>
      <c r="AQ413" s="88"/>
    </row>
    <row r="414">
      <c r="A414" s="173"/>
      <c r="B414" s="173"/>
      <c r="C414" s="174"/>
      <c r="D414" s="173"/>
      <c r="E414" s="155"/>
      <c r="F414" s="155"/>
      <c r="G414" s="88"/>
      <c r="H414" s="155"/>
      <c r="I414" s="155"/>
      <c r="J414" s="155"/>
      <c r="K414" s="15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58"/>
      <c r="AA414" s="105"/>
      <c r="AB414" s="105"/>
      <c r="AC414" s="105"/>
      <c r="AD414" s="105"/>
      <c r="AE414" s="105"/>
      <c r="AF414" s="105"/>
      <c r="AG414" s="105"/>
      <c r="AH414" s="158"/>
      <c r="AI414" s="88"/>
      <c r="AJ414" s="88"/>
      <c r="AK414" s="131"/>
      <c r="AL414" s="131"/>
      <c r="AM414" s="131"/>
      <c r="AN414" s="131"/>
      <c r="AO414" s="131"/>
      <c r="AP414" s="88"/>
      <c r="AQ414" s="88"/>
    </row>
    <row r="415">
      <c r="A415" s="173"/>
      <c r="B415" s="173"/>
      <c r="C415" s="174"/>
      <c r="D415" s="173"/>
      <c r="E415" s="155"/>
      <c r="F415" s="155"/>
      <c r="G415" s="88"/>
      <c r="H415" s="155"/>
      <c r="I415" s="155"/>
      <c r="J415" s="155"/>
      <c r="K415" s="15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58"/>
      <c r="AA415" s="105"/>
      <c r="AB415" s="105"/>
      <c r="AC415" s="105"/>
      <c r="AD415" s="105"/>
      <c r="AE415" s="105"/>
      <c r="AF415" s="105"/>
      <c r="AG415" s="105"/>
      <c r="AH415" s="158"/>
      <c r="AI415" s="88"/>
      <c r="AJ415" s="88"/>
      <c r="AK415" s="131"/>
      <c r="AL415" s="131"/>
      <c r="AM415" s="131"/>
      <c r="AN415" s="131"/>
      <c r="AO415" s="131"/>
      <c r="AP415" s="88"/>
      <c r="AQ415" s="88"/>
    </row>
    <row r="416">
      <c r="A416" s="173"/>
      <c r="B416" s="173"/>
      <c r="C416" s="174"/>
      <c r="D416" s="173"/>
      <c r="E416" s="155"/>
      <c r="F416" s="155"/>
      <c r="G416" s="88"/>
      <c r="H416" s="155"/>
      <c r="I416" s="155"/>
      <c r="J416" s="155"/>
      <c r="K416" s="15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58"/>
      <c r="AA416" s="105"/>
      <c r="AB416" s="105"/>
      <c r="AC416" s="105"/>
      <c r="AD416" s="105"/>
      <c r="AE416" s="105"/>
      <c r="AF416" s="105"/>
      <c r="AG416" s="105"/>
      <c r="AH416" s="158"/>
      <c r="AI416" s="88"/>
      <c r="AJ416" s="88"/>
      <c r="AK416" s="131"/>
      <c r="AL416" s="131"/>
      <c r="AM416" s="131"/>
      <c r="AN416" s="131"/>
      <c r="AO416" s="131"/>
      <c r="AP416" s="88"/>
      <c r="AQ416" s="88"/>
    </row>
    <row r="417">
      <c r="A417" s="173"/>
      <c r="B417" s="173"/>
      <c r="C417" s="174"/>
      <c r="D417" s="173"/>
      <c r="E417" s="155"/>
      <c r="F417" s="155"/>
      <c r="G417" s="88"/>
      <c r="H417" s="155"/>
      <c r="I417" s="155"/>
      <c r="J417" s="155"/>
      <c r="K417" s="15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58"/>
      <c r="AA417" s="105"/>
      <c r="AB417" s="105"/>
      <c r="AC417" s="105"/>
      <c r="AD417" s="105"/>
      <c r="AE417" s="105"/>
      <c r="AF417" s="105"/>
      <c r="AG417" s="105"/>
      <c r="AH417" s="158"/>
      <c r="AI417" s="88"/>
      <c r="AJ417" s="88"/>
      <c r="AK417" s="131"/>
      <c r="AL417" s="131"/>
      <c r="AM417" s="131"/>
      <c r="AN417" s="131"/>
      <c r="AO417" s="131"/>
      <c r="AP417" s="88"/>
      <c r="AQ417" s="88"/>
    </row>
    <row r="418">
      <c r="A418" s="173"/>
      <c r="B418" s="173"/>
      <c r="C418" s="174"/>
      <c r="D418" s="173"/>
      <c r="E418" s="155"/>
      <c r="F418" s="155"/>
      <c r="G418" s="88"/>
      <c r="H418" s="155"/>
      <c r="I418" s="155"/>
      <c r="J418" s="155"/>
      <c r="K418" s="15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58"/>
      <c r="AA418" s="105"/>
      <c r="AB418" s="105"/>
      <c r="AC418" s="105"/>
      <c r="AD418" s="105"/>
      <c r="AE418" s="105"/>
      <c r="AF418" s="105"/>
      <c r="AG418" s="105"/>
      <c r="AH418" s="158"/>
      <c r="AI418" s="88"/>
      <c r="AJ418" s="88"/>
      <c r="AK418" s="131"/>
      <c r="AL418" s="131"/>
      <c r="AM418" s="131"/>
      <c r="AN418" s="131"/>
      <c r="AO418" s="131"/>
      <c r="AP418" s="88"/>
      <c r="AQ418" s="88"/>
    </row>
    <row r="419">
      <c r="A419" s="173"/>
      <c r="B419" s="173"/>
      <c r="C419" s="174"/>
      <c r="D419" s="173"/>
      <c r="E419" s="155"/>
      <c r="F419" s="155"/>
      <c r="G419" s="88"/>
      <c r="H419" s="155"/>
      <c r="I419" s="155"/>
      <c r="J419" s="155"/>
      <c r="K419" s="15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58"/>
      <c r="AA419" s="105"/>
      <c r="AB419" s="105"/>
      <c r="AC419" s="105"/>
      <c r="AD419" s="105"/>
      <c r="AE419" s="105"/>
      <c r="AF419" s="105"/>
      <c r="AG419" s="105"/>
      <c r="AH419" s="158"/>
      <c r="AI419" s="88"/>
      <c r="AJ419" s="88"/>
      <c r="AK419" s="131"/>
      <c r="AL419" s="131"/>
      <c r="AM419" s="131"/>
      <c r="AN419" s="131"/>
      <c r="AO419" s="131"/>
      <c r="AP419" s="88"/>
      <c r="AQ419" s="88"/>
    </row>
    <row r="420">
      <c r="A420" s="173"/>
      <c r="B420" s="173"/>
      <c r="C420" s="174"/>
      <c r="D420" s="173"/>
      <c r="E420" s="155"/>
      <c r="F420" s="155"/>
      <c r="G420" s="88"/>
      <c r="H420" s="155"/>
      <c r="I420" s="155"/>
      <c r="J420" s="155"/>
      <c r="K420" s="15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58"/>
      <c r="AA420" s="105"/>
      <c r="AB420" s="105"/>
      <c r="AC420" s="105"/>
      <c r="AD420" s="105"/>
      <c r="AE420" s="105"/>
      <c r="AF420" s="105"/>
      <c r="AG420" s="105"/>
      <c r="AH420" s="158"/>
      <c r="AI420" s="88"/>
      <c r="AJ420" s="88"/>
      <c r="AK420" s="131"/>
      <c r="AL420" s="131"/>
      <c r="AM420" s="131"/>
      <c r="AN420" s="131"/>
      <c r="AO420" s="131"/>
      <c r="AP420" s="88"/>
      <c r="AQ420" s="88"/>
    </row>
    <row r="421">
      <c r="A421" s="173"/>
      <c r="B421" s="173"/>
      <c r="C421" s="174"/>
      <c r="D421" s="173"/>
      <c r="E421" s="155"/>
      <c r="F421" s="155"/>
      <c r="G421" s="88"/>
      <c r="H421" s="155"/>
      <c r="I421" s="155"/>
      <c r="J421" s="155"/>
      <c r="K421" s="15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58"/>
      <c r="AA421" s="105"/>
      <c r="AB421" s="105"/>
      <c r="AC421" s="105"/>
      <c r="AD421" s="105"/>
      <c r="AE421" s="105"/>
      <c r="AF421" s="105"/>
      <c r="AG421" s="105"/>
      <c r="AH421" s="158"/>
      <c r="AI421" s="88"/>
      <c r="AJ421" s="88"/>
      <c r="AK421" s="131"/>
      <c r="AL421" s="131"/>
      <c r="AM421" s="131"/>
      <c r="AN421" s="131"/>
      <c r="AO421" s="131"/>
      <c r="AP421" s="88"/>
      <c r="AQ421" s="88"/>
    </row>
    <row r="422">
      <c r="A422" s="173"/>
      <c r="B422" s="173"/>
      <c r="C422" s="174"/>
      <c r="D422" s="173"/>
      <c r="E422" s="155"/>
      <c r="F422" s="155"/>
      <c r="G422" s="88"/>
      <c r="H422" s="155"/>
      <c r="I422" s="155"/>
      <c r="J422" s="155"/>
      <c r="K422" s="15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58"/>
      <c r="AA422" s="105"/>
      <c r="AB422" s="105"/>
      <c r="AC422" s="105"/>
      <c r="AD422" s="105"/>
      <c r="AE422" s="105"/>
      <c r="AF422" s="105"/>
      <c r="AG422" s="105"/>
      <c r="AH422" s="158"/>
      <c r="AI422" s="88"/>
      <c r="AJ422" s="88"/>
      <c r="AK422" s="131"/>
      <c r="AL422" s="131"/>
      <c r="AM422" s="131"/>
      <c r="AN422" s="131"/>
      <c r="AO422" s="131"/>
      <c r="AP422" s="88"/>
      <c r="AQ422" s="88"/>
    </row>
    <row r="423">
      <c r="A423" s="173"/>
      <c r="B423" s="173"/>
      <c r="C423" s="174"/>
      <c r="D423" s="173"/>
      <c r="E423" s="155"/>
      <c r="F423" s="155"/>
      <c r="G423" s="88"/>
      <c r="H423" s="155"/>
      <c r="I423" s="155"/>
      <c r="J423" s="155"/>
      <c r="K423" s="15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58"/>
      <c r="AA423" s="105"/>
      <c r="AB423" s="105"/>
      <c r="AC423" s="105"/>
      <c r="AD423" s="105"/>
      <c r="AE423" s="105"/>
      <c r="AF423" s="105"/>
      <c r="AG423" s="105"/>
      <c r="AH423" s="158"/>
      <c r="AI423" s="88"/>
      <c r="AJ423" s="88"/>
      <c r="AK423" s="131"/>
      <c r="AL423" s="131"/>
      <c r="AM423" s="131"/>
      <c r="AN423" s="131"/>
      <c r="AO423" s="131"/>
      <c r="AP423" s="88"/>
      <c r="AQ423" s="88"/>
    </row>
    <row r="424">
      <c r="A424" s="173"/>
      <c r="B424" s="173"/>
      <c r="C424" s="174"/>
      <c r="D424" s="173"/>
      <c r="E424" s="155"/>
      <c r="F424" s="155"/>
      <c r="G424" s="88"/>
      <c r="H424" s="155"/>
      <c r="I424" s="155"/>
      <c r="J424" s="155"/>
      <c r="K424" s="15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58"/>
      <c r="AA424" s="105"/>
      <c r="AB424" s="105"/>
      <c r="AC424" s="105"/>
      <c r="AD424" s="105"/>
      <c r="AE424" s="105"/>
      <c r="AF424" s="105"/>
      <c r="AG424" s="105"/>
      <c r="AH424" s="158"/>
      <c r="AI424" s="88"/>
      <c r="AJ424" s="88"/>
      <c r="AK424" s="131"/>
      <c r="AL424" s="131"/>
      <c r="AM424" s="131"/>
      <c r="AN424" s="131"/>
      <c r="AO424" s="131"/>
      <c r="AP424" s="88"/>
      <c r="AQ424" s="88"/>
    </row>
    <row r="425">
      <c r="A425" s="173"/>
      <c r="B425" s="173"/>
      <c r="C425" s="174"/>
      <c r="D425" s="173"/>
      <c r="E425" s="155"/>
      <c r="F425" s="155"/>
      <c r="G425" s="88"/>
      <c r="H425" s="155"/>
      <c r="I425" s="155"/>
      <c r="J425" s="155"/>
      <c r="K425" s="15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58"/>
      <c r="AA425" s="105"/>
      <c r="AB425" s="105"/>
      <c r="AC425" s="105"/>
      <c r="AD425" s="105"/>
      <c r="AE425" s="105"/>
      <c r="AF425" s="105"/>
      <c r="AG425" s="105"/>
      <c r="AH425" s="158"/>
      <c r="AI425" s="88"/>
      <c r="AJ425" s="88"/>
      <c r="AK425" s="131"/>
      <c r="AL425" s="131"/>
      <c r="AM425" s="131"/>
      <c r="AN425" s="131"/>
      <c r="AO425" s="131"/>
      <c r="AP425" s="88"/>
      <c r="AQ425" s="88"/>
    </row>
    <row r="426">
      <c r="A426" s="173"/>
      <c r="B426" s="173"/>
      <c r="C426" s="174"/>
      <c r="D426" s="173"/>
      <c r="E426" s="155"/>
      <c r="F426" s="155"/>
      <c r="G426" s="88"/>
      <c r="H426" s="155"/>
      <c r="I426" s="155"/>
      <c r="J426" s="155"/>
      <c r="K426" s="15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58"/>
      <c r="AA426" s="105"/>
      <c r="AB426" s="105"/>
      <c r="AC426" s="105"/>
      <c r="AD426" s="105"/>
      <c r="AE426" s="105"/>
      <c r="AF426" s="105"/>
      <c r="AG426" s="105"/>
      <c r="AH426" s="158"/>
      <c r="AI426" s="88"/>
      <c r="AJ426" s="88"/>
      <c r="AK426" s="131"/>
      <c r="AL426" s="131"/>
      <c r="AM426" s="131"/>
      <c r="AN426" s="131"/>
      <c r="AO426" s="131"/>
      <c r="AP426" s="88"/>
      <c r="AQ426" s="88"/>
    </row>
    <row r="427">
      <c r="A427" s="173"/>
      <c r="B427" s="173"/>
      <c r="C427" s="174"/>
      <c r="D427" s="173"/>
      <c r="E427" s="155"/>
      <c r="F427" s="155"/>
      <c r="G427" s="88"/>
      <c r="H427" s="155"/>
      <c r="I427" s="155"/>
      <c r="J427" s="155"/>
      <c r="K427" s="15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58"/>
      <c r="AA427" s="105"/>
      <c r="AB427" s="105"/>
      <c r="AC427" s="105"/>
      <c r="AD427" s="105"/>
      <c r="AE427" s="105"/>
      <c r="AF427" s="105"/>
      <c r="AG427" s="105"/>
      <c r="AH427" s="158"/>
      <c r="AI427" s="88"/>
      <c r="AJ427" s="88"/>
      <c r="AK427" s="131"/>
      <c r="AL427" s="131"/>
      <c r="AM427" s="131"/>
      <c r="AN427" s="131"/>
      <c r="AO427" s="131"/>
      <c r="AP427" s="88"/>
      <c r="AQ427" s="88"/>
    </row>
    <row r="428">
      <c r="A428" s="173"/>
      <c r="B428" s="173"/>
      <c r="C428" s="174"/>
      <c r="D428" s="173"/>
      <c r="E428" s="155"/>
      <c r="F428" s="155"/>
      <c r="G428" s="88"/>
      <c r="H428" s="155"/>
      <c r="I428" s="155"/>
      <c r="J428" s="155"/>
      <c r="K428" s="15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58"/>
      <c r="AA428" s="105"/>
      <c r="AB428" s="105"/>
      <c r="AC428" s="105"/>
      <c r="AD428" s="105"/>
      <c r="AE428" s="105"/>
      <c r="AF428" s="105"/>
      <c r="AG428" s="105"/>
      <c r="AH428" s="158"/>
      <c r="AI428" s="88"/>
      <c r="AJ428" s="88"/>
      <c r="AK428" s="131"/>
      <c r="AL428" s="131"/>
      <c r="AM428" s="131"/>
      <c r="AN428" s="131"/>
      <c r="AO428" s="131"/>
      <c r="AP428" s="88"/>
      <c r="AQ428" s="88"/>
    </row>
    <row r="429">
      <c r="A429" s="173"/>
      <c r="B429" s="173"/>
      <c r="C429" s="174"/>
      <c r="D429" s="173"/>
      <c r="E429" s="155"/>
      <c r="F429" s="155"/>
      <c r="G429" s="88"/>
      <c r="H429" s="155"/>
      <c r="I429" s="155"/>
      <c r="J429" s="155"/>
      <c r="K429" s="15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58"/>
      <c r="AA429" s="105"/>
      <c r="AB429" s="105"/>
      <c r="AC429" s="105"/>
      <c r="AD429" s="105"/>
      <c r="AE429" s="105"/>
      <c r="AF429" s="105"/>
      <c r="AG429" s="105"/>
      <c r="AH429" s="158"/>
      <c r="AI429" s="88"/>
      <c r="AJ429" s="88"/>
      <c r="AK429" s="131"/>
      <c r="AL429" s="131"/>
      <c r="AM429" s="131"/>
      <c r="AN429" s="131"/>
      <c r="AO429" s="131"/>
      <c r="AP429" s="88"/>
      <c r="AQ429" s="88"/>
    </row>
    <row r="430">
      <c r="A430" s="173"/>
      <c r="B430" s="173"/>
      <c r="C430" s="174"/>
      <c r="D430" s="173"/>
      <c r="E430" s="155"/>
      <c r="F430" s="155"/>
      <c r="G430" s="88"/>
      <c r="H430" s="155"/>
      <c r="I430" s="155"/>
      <c r="J430" s="155"/>
      <c r="K430" s="15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58"/>
      <c r="AA430" s="105"/>
      <c r="AB430" s="105"/>
      <c r="AC430" s="105"/>
      <c r="AD430" s="105"/>
      <c r="AE430" s="105"/>
      <c r="AF430" s="105"/>
      <c r="AG430" s="105"/>
      <c r="AH430" s="158"/>
      <c r="AI430" s="88"/>
      <c r="AJ430" s="88"/>
      <c r="AK430" s="131"/>
      <c r="AL430" s="131"/>
      <c r="AM430" s="131"/>
      <c r="AN430" s="131"/>
      <c r="AO430" s="131"/>
      <c r="AP430" s="88"/>
      <c r="AQ430" s="88"/>
    </row>
    <row r="431">
      <c r="A431" s="173"/>
      <c r="B431" s="173"/>
      <c r="C431" s="174"/>
      <c r="D431" s="173"/>
      <c r="E431" s="155"/>
      <c r="F431" s="155"/>
      <c r="G431" s="88"/>
      <c r="H431" s="155"/>
      <c r="I431" s="155"/>
      <c r="J431" s="155"/>
      <c r="K431" s="15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58"/>
      <c r="AA431" s="105"/>
      <c r="AB431" s="105"/>
      <c r="AC431" s="105"/>
      <c r="AD431" s="105"/>
      <c r="AE431" s="105"/>
      <c r="AF431" s="105"/>
      <c r="AG431" s="105"/>
      <c r="AH431" s="158"/>
      <c r="AI431" s="88"/>
      <c r="AJ431" s="88"/>
      <c r="AK431" s="131"/>
      <c r="AL431" s="131"/>
      <c r="AM431" s="131"/>
      <c r="AN431" s="131"/>
      <c r="AO431" s="131"/>
      <c r="AP431" s="88"/>
      <c r="AQ431" s="88"/>
    </row>
    <row r="432">
      <c r="A432" s="173"/>
      <c r="B432" s="173"/>
      <c r="C432" s="174"/>
      <c r="D432" s="173"/>
      <c r="E432" s="155"/>
      <c r="F432" s="155"/>
      <c r="G432" s="88"/>
      <c r="H432" s="155"/>
      <c r="I432" s="155"/>
      <c r="J432" s="155"/>
      <c r="K432" s="15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58"/>
      <c r="AA432" s="105"/>
      <c r="AB432" s="105"/>
      <c r="AC432" s="105"/>
      <c r="AD432" s="105"/>
      <c r="AE432" s="105"/>
      <c r="AF432" s="105"/>
      <c r="AG432" s="105"/>
      <c r="AH432" s="158"/>
      <c r="AI432" s="88"/>
      <c r="AJ432" s="88"/>
      <c r="AK432" s="131"/>
      <c r="AL432" s="131"/>
      <c r="AM432" s="131"/>
      <c r="AN432" s="131"/>
      <c r="AO432" s="131"/>
      <c r="AP432" s="88"/>
      <c r="AQ432" s="88"/>
    </row>
    <row r="433">
      <c r="A433" s="173"/>
      <c r="B433" s="173"/>
      <c r="C433" s="174"/>
      <c r="D433" s="173"/>
      <c r="E433" s="155"/>
      <c r="F433" s="155"/>
      <c r="G433" s="88"/>
      <c r="H433" s="155"/>
      <c r="I433" s="155"/>
      <c r="J433" s="155"/>
      <c r="K433" s="15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58"/>
      <c r="AA433" s="105"/>
      <c r="AB433" s="105"/>
      <c r="AC433" s="105"/>
      <c r="AD433" s="105"/>
      <c r="AE433" s="105"/>
      <c r="AF433" s="105"/>
      <c r="AG433" s="105"/>
      <c r="AH433" s="158"/>
      <c r="AI433" s="88"/>
      <c r="AJ433" s="88"/>
      <c r="AK433" s="131"/>
      <c r="AL433" s="131"/>
      <c r="AM433" s="131"/>
      <c r="AN433" s="131"/>
      <c r="AO433" s="131"/>
      <c r="AP433" s="88"/>
      <c r="AQ433" s="88"/>
    </row>
    <row r="434">
      <c r="A434" s="173"/>
      <c r="B434" s="173"/>
      <c r="C434" s="174"/>
      <c r="D434" s="173"/>
      <c r="E434" s="155"/>
      <c r="F434" s="155"/>
      <c r="G434" s="88"/>
      <c r="H434" s="155"/>
      <c r="I434" s="155"/>
      <c r="J434" s="155"/>
      <c r="K434" s="15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58"/>
      <c r="AA434" s="105"/>
      <c r="AB434" s="105"/>
      <c r="AC434" s="105"/>
      <c r="AD434" s="105"/>
      <c r="AE434" s="105"/>
      <c r="AF434" s="105"/>
      <c r="AG434" s="105"/>
      <c r="AH434" s="158"/>
      <c r="AI434" s="88"/>
      <c r="AJ434" s="88"/>
      <c r="AK434" s="131"/>
      <c r="AL434" s="131"/>
      <c r="AM434" s="131"/>
      <c r="AN434" s="131"/>
      <c r="AO434" s="131"/>
      <c r="AP434" s="88"/>
      <c r="AQ434" s="88"/>
    </row>
    <row r="435">
      <c r="A435" s="173"/>
      <c r="B435" s="173"/>
      <c r="C435" s="174"/>
      <c r="D435" s="173"/>
      <c r="E435" s="155"/>
      <c r="F435" s="155"/>
      <c r="G435" s="88"/>
      <c r="H435" s="155"/>
      <c r="I435" s="155"/>
      <c r="J435" s="155"/>
      <c r="K435" s="15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58"/>
      <c r="AA435" s="105"/>
      <c r="AB435" s="105"/>
      <c r="AC435" s="105"/>
      <c r="AD435" s="105"/>
      <c r="AE435" s="105"/>
      <c r="AF435" s="105"/>
      <c r="AG435" s="105"/>
      <c r="AH435" s="158"/>
      <c r="AI435" s="88"/>
      <c r="AJ435" s="88"/>
      <c r="AK435" s="131"/>
      <c r="AL435" s="131"/>
      <c r="AM435" s="131"/>
      <c r="AN435" s="131"/>
      <c r="AO435" s="131"/>
      <c r="AP435" s="88"/>
      <c r="AQ435" s="88"/>
    </row>
    <row r="436">
      <c r="A436" s="173"/>
      <c r="B436" s="173"/>
      <c r="C436" s="174"/>
      <c r="D436" s="173"/>
      <c r="E436" s="155"/>
      <c r="F436" s="155"/>
      <c r="G436" s="88"/>
      <c r="H436" s="155"/>
      <c r="I436" s="155"/>
      <c r="J436" s="155"/>
      <c r="K436" s="15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58"/>
      <c r="AA436" s="105"/>
      <c r="AB436" s="105"/>
      <c r="AC436" s="105"/>
      <c r="AD436" s="105"/>
      <c r="AE436" s="105"/>
      <c r="AF436" s="105"/>
      <c r="AG436" s="105"/>
      <c r="AH436" s="158"/>
      <c r="AI436" s="88"/>
      <c r="AJ436" s="88"/>
      <c r="AK436" s="131"/>
      <c r="AL436" s="131"/>
      <c r="AM436" s="131"/>
      <c r="AN436" s="131"/>
      <c r="AO436" s="131"/>
      <c r="AP436" s="88"/>
      <c r="AQ436" s="88"/>
    </row>
    <row r="437">
      <c r="A437" s="173"/>
      <c r="B437" s="173"/>
      <c r="C437" s="174"/>
      <c r="D437" s="173"/>
      <c r="E437" s="155"/>
      <c r="F437" s="155"/>
      <c r="G437" s="88"/>
      <c r="H437" s="155"/>
      <c r="I437" s="155"/>
      <c r="J437" s="155"/>
      <c r="K437" s="15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58"/>
      <c r="AA437" s="105"/>
      <c r="AB437" s="105"/>
      <c r="AC437" s="105"/>
      <c r="AD437" s="105"/>
      <c r="AE437" s="105"/>
      <c r="AF437" s="105"/>
      <c r="AG437" s="105"/>
      <c r="AH437" s="158"/>
      <c r="AI437" s="88"/>
      <c r="AJ437" s="88"/>
      <c r="AK437" s="131"/>
      <c r="AL437" s="131"/>
      <c r="AM437" s="131"/>
      <c r="AN437" s="131"/>
      <c r="AO437" s="131"/>
      <c r="AP437" s="88"/>
      <c r="AQ437" s="88"/>
    </row>
    <row r="438">
      <c r="A438" s="173"/>
      <c r="B438" s="173"/>
      <c r="C438" s="174"/>
      <c r="D438" s="173"/>
      <c r="E438" s="155"/>
      <c r="F438" s="155"/>
      <c r="G438" s="88"/>
      <c r="H438" s="155"/>
      <c r="I438" s="155"/>
      <c r="J438" s="155"/>
      <c r="K438" s="15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58"/>
      <c r="AA438" s="105"/>
      <c r="AB438" s="105"/>
      <c r="AC438" s="105"/>
      <c r="AD438" s="105"/>
      <c r="AE438" s="105"/>
      <c r="AF438" s="105"/>
      <c r="AG438" s="105"/>
      <c r="AH438" s="158"/>
      <c r="AI438" s="88"/>
      <c r="AJ438" s="88"/>
      <c r="AK438" s="131"/>
      <c r="AL438" s="131"/>
      <c r="AM438" s="131"/>
      <c r="AN438" s="131"/>
      <c r="AO438" s="131"/>
      <c r="AP438" s="88"/>
      <c r="AQ438" s="88"/>
    </row>
    <row r="439">
      <c r="A439" s="173"/>
      <c r="B439" s="173"/>
      <c r="C439" s="174"/>
      <c r="D439" s="173"/>
      <c r="E439" s="155"/>
      <c r="F439" s="155"/>
      <c r="G439" s="88"/>
      <c r="H439" s="155"/>
      <c r="I439" s="155"/>
      <c r="J439" s="155"/>
      <c r="K439" s="15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58"/>
      <c r="AA439" s="105"/>
      <c r="AB439" s="105"/>
      <c r="AC439" s="105"/>
      <c r="AD439" s="105"/>
      <c r="AE439" s="105"/>
      <c r="AF439" s="105"/>
      <c r="AG439" s="105"/>
      <c r="AH439" s="158"/>
      <c r="AI439" s="88"/>
      <c r="AJ439" s="88"/>
      <c r="AK439" s="131"/>
      <c r="AL439" s="131"/>
      <c r="AM439" s="131"/>
      <c r="AN439" s="131"/>
      <c r="AO439" s="131"/>
      <c r="AP439" s="88"/>
      <c r="AQ439" s="88"/>
    </row>
    <row r="440">
      <c r="A440" s="173"/>
      <c r="B440" s="173"/>
      <c r="C440" s="174"/>
      <c r="D440" s="173"/>
      <c r="E440" s="155"/>
      <c r="F440" s="155"/>
      <c r="G440" s="88"/>
      <c r="H440" s="155"/>
      <c r="I440" s="155"/>
      <c r="J440" s="155"/>
      <c r="K440" s="15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58"/>
      <c r="AA440" s="105"/>
      <c r="AB440" s="105"/>
      <c r="AC440" s="105"/>
      <c r="AD440" s="105"/>
      <c r="AE440" s="105"/>
      <c r="AF440" s="105"/>
      <c r="AG440" s="105"/>
      <c r="AH440" s="158"/>
      <c r="AI440" s="88"/>
      <c r="AJ440" s="88"/>
      <c r="AK440" s="131"/>
      <c r="AL440" s="131"/>
      <c r="AM440" s="131"/>
      <c r="AN440" s="131"/>
      <c r="AO440" s="131"/>
      <c r="AP440" s="88"/>
      <c r="AQ440" s="88"/>
    </row>
    <row r="441">
      <c r="A441" s="173"/>
      <c r="B441" s="173"/>
      <c r="C441" s="174"/>
      <c r="D441" s="173"/>
      <c r="E441" s="155"/>
      <c r="F441" s="155"/>
      <c r="G441" s="88"/>
      <c r="H441" s="155"/>
      <c r="I441" s="155"/>
      <c r="J441" s="155"/>
      <c r="K441" s="15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58"/>
      <c r="AA441" s="105"/>
      <c r="AB441" s="105"/>
      <c r="AC441" s="105"/>
      <c r="AD441" s="105"/>
      <c r="AE441" s="105"/>
      <c r="AF441" s="105"/>
      <c r="AG441" s="105"/>
      <c r="AH441" s="158"/>
      <c r="AI441" s="88"/>
      <c r="AJ441" s="88"/>
      <c r="AK441" s="131"/>
      <c r="AL441" s="131"/>
      <c r="AM441" s="131"/>
      <c r="AN441" s="131"/>
      <c r="AO441" s="131"/>
      <c r="AP441" s="88"/>
      <c r="AQ441" s="88"/>
    </row>
    <row r="442">
      <c r="A442" s="173"/>
      <c r="B442" s="173"/>
      <c r="C442" s="174"/>
      <c r="D442" s="173"/>
      <c r="E442" s="155"/>
      <c r="F442" s="155"/>
      <c r="G442" s="88"/>
      <c r="H442" s="155"/>
      <c r="I442" s="155"/>
      <c r="J442" s="155"/>
      <c r="K442" s="15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58"/>
      <c r="AA442" s="105"/>
      <c r="AB442" s="105"/>
      <c r="AC442" s="105"/>
      <c r="AD442" s="105"/>
      <c r="AE442" s="105"/>
      <c r="AF442" s="105"/>
      <c r="AG442" s="105"/>
      <c r="AH442" s="158"/>
      <c r="AI442" s="88"/>
      <c r="AJ442" s="88"/>
      <c r="AK442" s="131"/>
      <c r="AL442" s="131"/>
      <c r="AM442" s="131"/>
      <c r="AN442" s="131"/>
      <c r="AO442" s="131"/>
      <c r="AP442" s="88"/>
      <c r="AQ442" s="88"/>
    </row>
    <row r="443">
      <c r="A443" s="173"/>
      <c r="B443" s="173"/>
      <c r="C443" s="174"/>
      <c r="D443" s="173"/>
      <c r="E443" s="155"/>
      <c r="F443" s="155"/>
      <c r="G443" s="88"/>
      <c r="H443" s="155"/>
      <c r="I443" s="155"/>
      <c r="J443" s="155"/>
      <c r="K443" s="15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58"/>
      <c r="AA443" s="105"/>
      <c r="AB443" s="105"/>
      <c r="AC443" s="105"/>
      <c r="AD443" s="105"/>
      <c r="AE443" s="105"/>
      <c r="AF443" s="105"/>
      <c r="AG443" s="105"/>
      <c r="AH443" s="158"/>
      <c r="AI443" s="88"/>
      <c r="AJ443" s="88"/>
      <c r="AK443" s="131"/>
      <c r="AL443" s="131"/>
      <c r="AM443" s="131"/>
      <c r="AN443" s="131"/>
      <c r="AO443" s="131"/>
      <c r="AP443" s="88"/>
      <c r="AQ443" s="88"/>
    </row>
    <row r="444">
      <c r="A444" s="173"/>
      <c r="B444" s="173"/>
      <c r="C444" s="174"/>
      <c r="D444" s="173"/>
      <c r="E444" s="155"/>
      <c r="F444" s="155"/>
      <c r="G444" s="88"/>
      <c r="H444" s="155"/>
      <c r="I444" s="155"/>
      <c r="J444" s="155"/>
      <c r="K444" s="15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58"/>
      <c r="AA444" s="105"/>
      <c r="AB444" s="105"/>
      <c r="AC444" s="105"/>
      <c r="AD444" s="105"/>
      <c r="AE444" s="105"/>
      <c r="AF444" s="105"/>
      <c r="AG444" s="105"/>
      <c r="AH444" s="158"/>
      <c r="AI444" s="88"/>
      <c r="AJ444" s="88"/>
      <c r="AK444" s="131"/>
      <c r="AL444" s="131"/>
      <c r="AM444" s="131"/>
      <c r="AN444" s="131"/>
      <c r="AO444" s="131"/>
      <c r="AP444" s="88"/>
      <c r="AQ444" s="88"/>
    </row>
    <row r="445">
      <c r="A445" s="173"/>
      <c r="B445" s="173"/>
      <c r="C445" s="174"/>
      <c r="D445" s="173"/>
      <c r="E445" s="155"/>
      <c r="F445" s="155"/>
      <c r="G445" s="88"/>
      <c r="H445" s="155"/>
      <c r="I445" s="155"/>
      <c r="J445" s="155"/>
      <c r="K445" s="15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58"/>
      <c r="AA445" s="105"/>
      <c r="AB445" s="105"/>
      <c r="AC445" s="105"/>
      <c r="AD445" s="105"/>
      <c r="AE445" s="105"/>
      <c r="AF445" s="105"/>
      <c r="AG445" s="105"/>
      <c r="AH445" s="158"/>
      <c r="AI445" s="88"/>
      <c r="AJ445" s="88"/>
      <c r="AK445" s="131"/>
      <c r="AL445" s="131"/>
      <c r="AM445" s="131"/>
      <c r="AN445" s="131"/>
      <c r="AO445" s="131"/>
      <c r="AP445" s="88"/>
      <c r="AQ445" s="88"/>
    </row>
    <row r="446">
      <c r="A446" s="173"/>
      <c r="B446" s="173"/>
      <c r="C446" s="174"/>
      <c r="D446" s="173"/>
      <c r="E446" s="155"/>
      <c r="F446" s="155"/>
      <c r="G446" s="88"/>
      <c r="H446" s="155"/>
      <c r="I446" s="155"/>
      <c r="J446" s="155"/>
      <c r="K446" s="15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58"/>
      <c r="AA446" s="105"/>
      <c r="AB446" s="105"/>
      <c r="AC446" s="105"/>
      <c r="AD446" s="105"/>
      <c r="AE446" s="105"/>
      <c r="AF446" s="105"/>
      <c r="AG446" s="105"/>
      <c r="AH446" s="158"/>
      <c r="AI446" s="88"/>
      <c r="AJ446" s="88"/>
      <c r="AK446" s="131"/>
      <c r="AL446" s="131"/>
      <c r="AM446" s="131"/>
      <c r="AN446" s="131"/>
      <c r="AO446" s="131"/>
      <c r="AP446" s="88"/>
      <c r="AQ446" s="88"/>
    </row>
    <row r="447">
      <c r="A447" s="173"/>
      <c r="B447" s="173"/>
      <c r="C447" s="174"/>
      <c r="D447" s="173"/>
      <c r="E447" s="155"/>
      <c r="F447" s="155"/>
      <c r="G447" s="88"/>
      <c r="H447" s="155"/>
      <c r="I447" s="155"/>
      <c r="J447" s="155"/>
      <c r="K447" s="15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58"/>
      <c r="AA447" s="105"/>
      <c r="AB447" s="105"/>
      <c r="AC447" s="105"/>
      <c r="AD447" s="105"/>
      <c r="AE447" s="105"/>
      <c r="AF447" s="105"/>
      <c r="AG447" s="105"/>
      <c r="AH447" s="158"/>
      <c r="AI447" s="88"/>
      <c r="AJ447" s="88"/>
      <c r="AK447" s="131"/>
      <c r="AL447" s="131"/>
      <c r="AM447" s="131"/>
      <c r="AN447" s="131"/>
      <c r="AO447" s="131"/>
      <c r="AP447" s="88"/>
      <c r="AQ447" s="88"/>
    </row>
    <row r="448">
      <c r="A448" s="173"/>
      <c r="B448" s="173"/>
      <c r="C448" s="174"/>
      <c r="D448" s="173"/>
      <c r="E448" s="155"/>
      <c r="F448" s="155"/>
      <c r="G448" s="88"/>
      <c r="H448" s="155"/>
      <c r="I448" s="155"/>
      <c r="J448" s="155"/>
      <c r="K448" s="15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58"/>
      <c r="AA448" s="105"/>
      <c r="AB448" s="105"/>
      <c r="AC448" s="105"/>
      <c r="AD448" s="105"/>
      <c r="AE448" s="105"/>
      <c r="AF448" s="105"/>
      <c r="AG448" s="105"/>
      <c r="AH448" s="158"/>
      <c r="AI448" s="88"/>
      <c r="AJ448" s="88"/>
      <c r="AK448" s="131"/>
      <c r="AL448" s="131"/>
      <c r="AM448" s="131"/>
      <c r="AN448" s="131"/>
      <c r="AO448" s="131"/>
      <c r="AP448" s="88"/>
      <c r="AQ448" s="88"/>
    </row>
    <row r="449">
      <c r="A449" s="173"/>
      <c r="B449" s="173"/>
      <c r="C449" s="174"/>
      <c r="D449" s="173"/>
      <c r="E449" s="155"/>
      <c r="F449" s="155"/>
      <c r="G449" s="88"/>
      <c r="H449" s="155"/>
      <c r="I449" s="155"/>
      <c r="J449" s="155"/>
      <c r="K449" s="15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58"/>
      <c r="AA449" s="105"/>
      <c r="AB449" s="105"/>
      <c r="AC449" s="105"/>
      <c r="AD449" s="105"/>
      <c r="AE449" s="105"/>
      <c r="AF449" s="105"/>
      <c r="AG449" s="105"/>
      <c r="AH449" s="158"/>
      <c r="AI449" s="88"/>
      <c r="AJ449" s="88"/>
      <c r="AK449" s="131"/>
      <c r="AL449" s="131"/>
      <c r="AM449" s="131"/>
      <c r="AN449" s="131"/>
      <c r="AO449" s="131"/>
      <c r="AP449" s="88"/>
      <c r="AQ449" s="88"/>
    </row>
    <row r="450">
      <c r="A450" s="173"/>
      <c r="B450" s="173"/>
      <c r="C450" s="174"/>
      <c r="D450" s="173"/>
      <c r="E450" s="155"/>
      <c r="F450" s="155"/>
      <c r="G450" s="88"/>
      <c r="H450" s="155"/>
      <c r="I450" s="155"/>
      <c r="J450" s="155"/>
      <c r="K450" s="15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58"/>
      <c r="AA450" s="105"/>
      <c r="AB450" s="105"/>
      <c r="AC450" s="105"/>
      <c r="AD450" s="105"/>
      <c r="AE450" s="105"/>
      <c r="AF450" s="105"/>
      <c r="AG450" s="105"/>
      <c r="AH450" s="158"/>
      <c r="AI450" s="88"/>
      <c r="AJ450" s="88"/>
      <c r="AK450" s="131"/>
      <c r="AL450" s="131"/>
      <c r="AM450" s="131"/>
      <c r="AN450" s="131"/>
      <c r="AO450" s="131"/>
      <c r="AP450" s="88"/>
      <c r="AQ450" s="88"/>
    </row>
    <row r="451">
      <c r="A451" s="173"/>
      <c r="B451" s="173"/>
      <c r="C451" s="174"/>
      <c r="D451" s="173"/>
      <c r="E451" s="155"/>
      <c r="F451" s="155"/>
      <c r="G451" s="88"/>
      <c r="H451" s="155"/>
      <c r="I451" s="155"/>
      <c r="J451" s="155"/>
      <c r="K451" s="15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58"/>
      <c r="AA451" s="105"/>
      <c r="AB451" s="105"/>
      <c r="AC451" s="105"/>
      <c r="AD451" s="105"/>
      <c r="AE451" s="105"/>
      <c r="AF451" s="105"/>
      <c r="AG451" s="105"/>
      <c r="AH451" s="158"/>
      <c r="AI451" s="88"/>
      <c r="AJ451" s="88"/>
      <c r="AK451" s="131"/>
      <c r="AL451" s="131"/>
      <c r="AM451" s="131"/>
      <c r="AN451" s="131"/>
      <c r="AO451" s="131"/>
      <c r="AP451" s="88"/>
      <c r="AQ451" s="88"/>
    </row>
    <row r="452">
      <c r="A452" s="173"/>
      <c r="B452" s="173"/>
      <c r="C452" s="174"/>
      <c r="D452" s="173"/>
      <c r="E452" s="155"/>
      <c r="F452" s="155"/>
      <c r="G452" s="88"/>
      <c r="H452" s="155"/>
      <c r="I452" s="155"/>
      <c r="J452" s="155"/>
      <c r="K452" s="15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58"/>
      <c r="AA452" s="105"/>
      <c r="AB452" s="105"/>
      <c r="AC452" s="105"/>
      <c r="AD452" s="105"/>
      <c r="AE452" s="105"/>
      <c r="AF452" s="105"/>
      <c r="AG452" s="105"/>
      <c r="AH452" s="158"/>
      <c r="AI452" s="88"/>
      <c r="AJ452" s="88"/>
      <c r="AK452" s="131"/>
      <c r="AL452" s="131"/>
      <c r="AM452" s="131"/>
      <c r="AN452" s="131"/>
      <c r="AO452" s="131"/>
      <c r="AP452" s="88"/>
      <c r="AQ452" s="88"/>
    </row>
    <row r="453">
      <c r="A453" s="173"/>
      <c r="B453" s="173"/>
      <c r="C453" s="174"/>
      <c r="D453" s="173"/>
      <c r="E453" s="155"/>
      <c r="F453" s="155"/>
      <c r="G453" s="88"/>
      <c r="H453" s="155"/>
      <c r="I453" s="155"/>
      <c r="J453" s="155"/>
      <c r="K453" s="15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58"/>
      <c r="AA453" s="105"/>
      <c r="AB453" s="105"/>
      <c r="AC453" s="105"/>
      <c r="AD453" s="105"/>
      <c r="AE453" s="105"/>
      <c r="AF453" s="105"/>
      <c r="AG453" s="105"/>
      <c r="AH453" s="158"/>
      <c r="AI453" s="88"/>
      <c r="AJ453" s="88"/>
      <c r="AK453" s="131"/>
      <c r="AL453" s="131"/>
      <c r="AM453" s="131"/>
      <c r="AN453" s="131"/>
      <c r="AO453" s="131"/>
      <c r="AP453" s="88"/>
      <c r="AQ453" s="88"/>
    </row>
    <row r="454">
      <c r="A454" s="173"/>
      <c r="B454" s="173"/>
      <c r="C454" s="174"/>
      <c r="D454" s="173"/>
      <c r="E454" s="155"/>
      <c r="F454" s="155"/>
      <c r="G454" s="88"/>
      <c r="H454" s="155"/>
      <c r="I454" s="155"/>
      <c r="J454" s="155"/>
      <c r="K454" s="15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58"/>
      <c r="AA454" s="105"/>
      <c r="AB454" s="105"/>
      <c r="AC454" s="105"/>
      <c r="AD454" s="105"/>
      <c r="AE454" s="105"/>
      <c r="AF454" s="105"/>
      <c r="AG454" s="105"/>
      <c r="AH454" s="158"/>
      <c r="AI454" s="88"/>
      <c r="AJ454" s="88"/>
      <c r="AK454" s="131"/>
      <c r="AL454" s="131"/>
      <c r="AM454" s="131"/>
      <c r="AN454" s="131"/>
      <c r="AO454" s="131"/>
      <c r="AP454" s="88"/>
      <c r="AQ454" s="88"/>
    </row>
    <row r="455">
      <c r="A455" s="173"/>
      <c r="B455" s="173"/>
      <c r="C455" s="174"/>
      <c r="D455" s="173"/>
      <c r="E455" s="155"/>
      <c r="F455" s="155"/>
      <c r="G455" s="88"/>
      <c r="H455" s="155"/>
      <c r="I455" s="155"/>
      <c r="J455" s="155"/>
      <c r="K455" s="15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58"/>
      <c r="AA455" s="105"/>
      <c r="AB455" s="105"/>
      <c r="AC455" s="105"/>
      <c r="AD455" s="105"/>
      <c r="AE455" s="105"/>
      <c r="AF455" s="105"/>
      <c r="AG455" s="105"/>
      <c r="AH455" s="158"/>
      <c r="AI455" s="88"/>
      <c r="AJ455" s="88"/>
      <c r="AK455" s="131"/>
      <c r="AL455" s="131"/>
      <c r="AM455" s="131"/>
      <c r="AN455" s="131"/>
      <c r="AO455" s="131"/>
      <c r="AP455" s="88"/>
      <c r="AQ455" s="88"/>
    </row>
    <row r="456">
      <c r="A456" s="173"/>
      <c r="B456" s="173"/>
      <c r="C456" s="174"/>
      <c r="D456" s="173"/>
      <c r="E456" s="155"/>
      <c r="F456" s="155"/>
      <c r="G456" s="88"/>
      <c r="H456" s="155"/>
      <c r="I456" s="155"/>
      <c r="J456" s="155"/>
      <c r="K456" s="15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58"/>
      <c r="AA456" s="105"/>
      <c r="AB456" s="105"/>
      <c r="AC456" s="105"/>
      <c r="AD456" s="105"/>
      <c r="AE456" s="105"/>
      <c r="AF456" s="105"/>
      <c r="AG456" s="105"/>
      <c r="AH456" s="158"/>
      <c r="AI456" s="88"/>
      <c r="AJ456" s="88"/>
      <c r="AK456" s="131"/>
      <c r="AL456" s="131"/>
      <c r="AM456" s="131"/>
      <c r="AN456" s="131"/>
      <c r="AO456" s="131"/>
      <c r="AP456" s="88"/>
      <c r="AQ456" s="88"/>
    </row>
    <row r="457">
      <c r="A457" s="173"/>
      <c r="B457" s="173"/>
      <c r="C457" s="174"/>
      <c r="D457" s="173"/>
      <c r="E457" s="155"/>
      <c r="F457" s="155"/>
      <c r="G457" s="88"/>
      <c r="H457" s="155"/>
      <c r="I457" s="155"/>
      <c r="J457" s="155"/>
      <c r="K457" s="15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58"/>
      <c r="AA457" s="105"/>
      <c r="AB457" s="105"/>
      <c r="AC457" s="105"/>
      <c r="AD457" s="105"/>
      <c r="AE457" s="105"/>
      <c r="AF457" s="105"/>
      <c r="AG457" s="105"/>
      <c r="AH457" s="158"/>
      <c r="AI457" s="88"/>
      <c r="AJ457" s="88"/>
      <c r="AK457" s="131"/>
      <c r="AL457" s="131"/>
      <c r="AM457" s="131"/>
      <c r="AN457" s="131"/>
      <c r="AO457" s="131"/>
      <c r="AP457" s="88"/>
      <c r="AQ457" s="88"/>
    </row>
    <row r="458">
      <c r="A458" s="173"/>
      <c r="B458" s="173"/>
      <c r="C458" s="174"/>
      <c r="D458" s="173"/>
      <c r="E458" s="155"/>
      <c r="F458" s="155"/>
      <c r="G458" s="88"/>
      <c r="H458" s="155"/>
      <c r="I458" s="155"/>
      <c r="J458" s="155"/>
      <c r="K458" s="15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58"/>
      <c r="AA458" s="105"/>
      <c r="AB458" s="105"/>
      <c r="AC458" s="105"/>
      <c r="AD458" s="105"/>
      <c r="AE458" s="105"/>
      <c r="AF458" s="105"/>
      <c r="AG458" s="105"/>
      <c r="AH458" s="158"/>
      <c r="AI458" s="88"/>
      <c r="AJ458" s="88"/>
      <c r="AK458" s="131"/>
      <c r="AL458" s="131"/>
      <c r="AM458" s="131"/>
      <c r="AN458" s="131"/>
      <c r="AO458" s="131"/>
      <c r="AP458" s="88"/>
      <c r="AQ458" s="88"/>
    </row>
    <row r="459">
      <c r="A459" s="173"/>
      <c r="B459" s="173"/>
      <c r="C459" s="174"/>
      <c r="D459" s="173"/>
      <c r="E459" s="155"/>
      <c r="F459" s="155"/>
      <c r="G459" s="88"/>
      <c r="H459" s="155"/>
      <c r="I459" s="155"/>
      <c r="J459" s="155"/>
      <c r="K459" s="15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58"/>
      <c r="AA459" s="105"/>
      <c r="AB459" s="105"/>
      <c r="AC459" s="105"/>
      <c r="AD459" s="105"/>
      <c r="AE459" s="105"/>
      <c r="AF459" s="105"/>
      <c r="AG459" s="105"/>
      <c r="AH459" s="158"/>
      <c r="AI459" s="88"/>
      <c r="AJ459" s="88"/>
      <c r="AK459" s="131"/>
      <c r="AL459" s="131"/>
      <c r="AM459" s="131"/>
      <c r="AN459" s="131"/>
      <c r="AO459" s="131"/>
      <c r="AP459" s="88"/>
      <c r="AQ459" s="88"/>
    </row>
    <row r="460">
      <c r="A460" s="173"/>
      <c r="B460" s="173"/>
      <c r="C460" s="174"/>
      <c r="D460" s="173"/>
      <c r="E460" s="155"/>
      <c r="F460" s="155"/>
      <c r="G460" s="88"/>
      <c r="H460" s="155"/>
      <c r="I460" s="155"/>
      <c r="J460" s="155"/>
      <c r="K460" s="15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58"/>
      <c r="AA460" s="105"/>
      <c r="AB460" s="105"/>
      <c r="AC460" s="105"/>
      <c r="AD460" s="105"/>
      <c r="AE460" s="105"/>
      <c r="AF460" s="105"/>
      <c r="AG460" s="105"/>
      <c r="AH460" s="158"/>
      <c r="AI460" s="88"/>
      <c r="AJ460" s="88"/>
      <c r="AK460" s="131"/>
      <c r="AL460" s="131"/>
      <c r="AM460" s="131"/>
      <c r="AN460" s="131"/>
      <c r="AO460" s="131"/>
      <c r="AP460" s="88"/>
      <c r="AQ460" s="88"/>
    </row>
    <row r="461">
      <c r="A461" s="173"/>
      <c r="B461" s="173"/>
      <c r="C461" s="174"/>
      <c r="D461" s="173"/>
      <c r="E461" s="155"/>
      <c r="F461" s="155"/>
      <c r="G461" s="88"/>
      <c r="H461" s="155"/>
      <c r="I461" s="155"/>
      <c r="J461" s="155"/>
      <c r="K461" s="15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58"/>
      <c r="AA461" s="105"/>
      <c r="AB461" s="105"/>
      <c r="AC461" s="105"/>
      <c r="AD461" s="105"/>
      <c r="AE461" s="105"/>
      <c r="AF461" s="105"/>
      <c r="AG461" s="105"/>
      <c r="AH461" s="158"/>
      <c r="AI461" s="88"/>
      <c r="AJ461" s="88"/>
      <c r="AK461" s="131"/>
      <c r="AL461" s="131"/>
      <c r="AM461" s="131"/>
      <c r="AN461" s="131"/>
      <c r="AO461" s="131"/>
      <c r="AP461" s="88"/>
      <c r="AQ461" s="88"/>
    </row>
    <row r="462">
      <c r="A462" s="173"/>
      <c r="B462" s="173"/>
      <c r="C462" s="174"/>
      <c r="D462" s="173"/>
      <c r="E462" s="155"/>
      <c r="F462" s="155"/>
      <c r="G462" s="88"/>
      <c r="H462" s="155"/>
      <c r="I462" s="155"/>
      <c r="J462" s="155"/>
      <c r="K462" s="15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58"/>
      <c r="AA462" s="105"/>
      <c r="AB462" s="105"/>
      <c r="AC462" s="105"/>
      <c r="AD462" s="105"/>
      <c r="AE462" s="105"/>
      <c r="AF462" s="105"/>
      <c r="AG462" s="105"/>
      <c r="AH462" s="158"/>
      <c r="AI462" s="88"/>
      <c r="AJ462" s="88"/>
      <c r="AK462" s="131"/>
      <c r="AL462" s="131"/>
      <c r="AM462" s="131"/>
      <c r="AN462" s="131"/>
      <c r="AO462" s="131"/>
      <c r="AP462" s="88"/>
      <c r="AQ462" s="88"/>
    </row>
    <row r="463">
      <c r="A463" s="173"/>
      <c r="B463" s="173"/>
      <c r="C463" s="174"/>
      <c r="D463" s="173"/>
      <c r="E463" s="155"/>
      <c r="F463" s="155"/>
      <c r="G463" s="88"/>
      <c r="H463" s="155"/>
      <c r="I463" s="155"/>
      <c r="J463" s="155"/>
      <c r="K463" s="15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58"/>
      <c r="AA463" s="105"/>
      <c r="AB463" s="105"/>
      <c r="AC463" s="105"/>
      <c r="AD463" s="105"/>
      <c r="AE463" s="105"/>
      <c r="AF463" s="105"/>
      <c r="AG463" s="105"/>
      <c r="AH463" s="158"/>
      <c r="AI463" s="88"/>
      <c r="AJ463" s="88"/>
      <c r="AK463" s="131"/>
      <c r="AL463" s="131"/>
      <c r="AM463" s="131"/>
      <c r="AN463" s="131"/>
      <c r="AO463" s="131"/>
      <c r="AP463" s="88"/>
      <c r="AQ463" s="88"/>
    </row>
    <row r="464">
      <c r="A464" s="173"/>
      <c r="B464" s="173"/>
      <c r="C464" s="174"/>
      <c r="D464" s="173"/>
      <c r="E464" s="155"/>
      <c r="F464" s="155"/>
      <c r="G464" s="88"/>
      <c r="H464" s="155"/>
      <c r="I464" s="155"/>
      <c r="J464" s="155"/>
      <c r="K464" s="15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58"/>
      <c r="AA464" s="105"/>
      <c r="AB464" s="105"/>
      <c r="AC464" s="105"/>
      <c r="AD464" s="105"/>
      <c r="AE464" s="105"/>
      <c r="AF464" s="105"/>
      <c r="AG464" s="105"/>
      <c r="AH464" s="158"/>
      <c r="AI464" s="88"/>
      <c r="AJ464" s="88"/>
      <c r="AK464" s="131"/>
      <c r="AL464" s="131"/>
      <c r="AM464" s="131"/>
      <c r="AN464" s="131"/>
      <c r="AO464" s="131"/>
      <c r="AP464" s="88"/>
      <c r="AQ464" s="88"/>
    </row>
    <row r="465">
      <c r="A465" s="173"/>
      <c r="B465" s="173"/>
      <c r="C465" s="174"/>
      <c r="D465" s="173"/>
      <c r="E465" s="155"/>
      <c r="F465" s="155"/>
      <c r="G465" s="88"/>
      <c r="H465" s="155"/>
      <c r="I465" s="155"/>
      <c r="J465" s="155"/>
      <c r="K465" s="15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58"/>
      <c r="AA465" s="105"/>
      <c r="AB465" s="105"/>
      <c r="AC465" s="105"/>
      <c r="AD465" s="105"/>
      <c r="AE465" s="105"/>
      <c r="AF465" s="105"/>
      <c r="AG465" s="105"/>
      <c r="AH465" s="158"/>
      <c r="AI465" s="88"/>
      <c r="AJ465" s="88"/>
      <c r="AK465" s="131"/>
      <c r="AL465" s="131"/>
      <c r="AM465" s="131"/>
      <c r="AN465" s="131"/>
      <c r="AO465" s="131"/>
      <c r="AP465" s="88"/>
      <c r="AQ465" s="88"/>
    </row>
    <row r="466">
      <c r="A466" s="173"/>
      <c r="B466" s="173"/>
      <c r="C466" s="174"/>
      <c r="D466" s="173"/>
      <c r="E466" s="155"/>
      <c r="F466" s="155"/>
      <c r="G466" s="88"/>
      <c r="H466" s="155"/>
      <c r="I466" s="155"/>
      <c r="J466" s="155"/>
      <c r="K466" s="15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58"/>
      <c r="AA466" s="105"/>
      <c r="AB466" s="105"/>
      <c r="AC466" s="105"/>
      <c r="AD466" s="105"/>
      <c r="AE466" s="105"/>
      <c r="AF466" s="105"/>
      <c r="AG466" s="105"/>
      <c r="AH466" s="158"/>
      <c r="AI466" s="88"/>
      <c r="AJ466" s="88"/>
      <c r="AK466" s="131"/>
      <c r="AL466" s="131"/>
      <c r="AM466" s="131"/>
      <c r="AN466" s="131"/>
      <c r="AO466" s="131"/>
      <c r="AP466" s="88"/>
      <c r="AQ466" s="88"/>
    </row>
    <row r="467">
      <c r="A467" s="173"/>
      <c r="B467" s="173"/>
      <c r="C467" s="174"/>
      <c r="D467" s="173"/>
      <c r="E467" s="155"/>
      <c r="F467" s="155"/>
      <c r="G467" s="88"/>
      <c r="H467" s="155"/>
      <c r="I467" s="155"/>
      <c r="J467" s="155"/>
      <c r="K467" s="15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58"/>
      <c r="AA467" s="105"/>
      <c r="AB467" s="105"/>
      <c r="AC467" s="105"/>
      <c r="AD467" s="105"/>
      <c r="AE467" s="105"/>
      <c r="AF467" s="105"/>
      <c r="AG467" s="105"/>
      <c r="AH467" s="158"/>
      <c r="AI467" s="88"/>
      <c r="AJ467" s="88"/>
      <c r="AK467" s="131"/>
      <c r="AL467" s="131"/>
      <c r="AM467" s="131"/>
      <c r="AN467" s="131"/>
      <c r="AO467" s="131"/>
      <c r="AP467" s="88"/>
      <c r="AQ467" s="88"/>
    </row>
    <row r="468">
      <c r="A468" s="173"/>
      <c r="B468" s="173"/>
      <c r="C468" s="174"/>
      <c r="D468" s="173"/>
      <c r="E468" s="155"/>
      <c r="F468" s="155"/>
      <c r="G468" s="88"/>
      <c r="H468" s="155"/>
      <c r="I468" s="155"/>
      <c r="J468" s="155"/>
      <c r="K468" s="15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58"/>
      <c r="AA468" s="105"/>
      <c r="AB468" s="105"/>
      <c r="AC468" s="105"/>
      <c r="AD468" s="105"/>
      <c r="AE468" s="105"/>
      <c r="AF468" s="105"/>
      <c r="AG468" s="105"/>
      <c r="AH468" s="158"/>
      <c r="AI468" s="88"/>
      <c r="AJ468" s="88"/>
      <c r="AK468" s="131"/>
      <c r="AL468" s="131"/>
      <c r="AM468" s="131"/>
      <c r="AN468" s="131"/>
      <c r="AO468" s="131"/>
      <c r="AP468" s="88"/>
      <c r="AQ468" s="88"/>
    </row>
    <row r="469">
      <c r="A469" s="173"/>
      <c r="B469" s="173"/>
      <c r="C469" s="174"/>
      <c r="D469" s="173"/>
      <c r="E469" s="155"/>
      <c r="F469" s="155"/>
      <c r="G469" s="88"/>
      <c r="H469" s="155"/>
      <c r="I469" s="155"/>
      <c r="J469" s="155"/>
      <c r="K469" s="15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58"/>
      <c r="AA469" s="105"/>
      <c r="AB469" s="105"/>
      <c r="AC469" s="105"/>
      <c r="AD469" s="105"/>
      <c r="AE469" s="105"/>
      <c r="AF469" s="105"/>
      <c r="AG469" s="105"/>
      <c r="AH469" s="158"/>
      <c r="AI469" s="88"/>
      <c r="AJ469" s="88"/>
      <c r="AK469" s="131"/>
      <c r="AL469" s="131"/>
      <c r="AM469" s="131"/>
      <c r="AN469" s="131"/>
      <c r="AO469" s="131"/>
      <c r="AP469" s="88"/>
      <c r="AQ469" s="88"/>
    </row>
    <row r="470">
      <c r="A470" s="173"/>
      <c r="B470" s="173"/>
      <c r="C470" s="174"/>
      <c r="D470" s="173"/>
      <c r="E470" s="155"/>
      <c r="F470" s="155"/>
      <c r="G470" s="88"/>
      <c r="H470" s="155"/>
      <c r="I470" s="155"/>
      <c r="J470" s="155"/>
      <c r="K470" s="15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58"/>
      <c r="AA470" s="105"/>
      <c r="AB470" s="105"/>
      <c r="AC470" s="105"/>
      <c r="AD470" s="105"/>
      <c r="AE470" s="105"/>
      <c r="AF470" s="105"/>
      <c r="AG470" s="105"/>
      <c r="AH470" s="158"/>
      <c r="AI470" s="88"/>
      <c r="AJ470" s="88"/>
      <c r="AK470" s="131"/>
      <c r="AL470" s="131"/>
      <c r="AM470" s="131"/>
      <c r="AN470" s="131"/>
      <c r="AO470" s="131"/>
      <c r="AP470" s="88"/>
      <c r="AQ470" s="88"/>
    </row>
    <row r="471">
      <c r="A471" s="173"/>
      <c r="B471" s="173"/>
      <c r="C471" s="174"/>
      <c r="D471" s="173"/>
      <c r="E471" s="155"/>
      <c r="F471" s="155"/>
      <c r="G471" s="88"/>
      <c r="H471" s="155"/>
      <c r="I471" s="155"/>
      <c r="J471" s="155"/>
      <c r="K471" s="15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58"/>
      <c r="AA471" s="105"/>
      <c r="AB471" s="105"/>
      <c r="AC471" s="105"/>
      <c r="AD471" s="105"/>
      <c r="AE471" s="105"/>
      <c r="AF471" s="105"/>
      <c r="AG471" s="105"/>
      <c r="AH471" s="158"/>
      <c r="AI471" s="88"/>
      <c r="AJ471" s="88"/>
      <c r="AK471" s="131"/>
      <c r="AL471" s="131"/>
      <c r="AM471" s="131"/>
      <c r="AN471" s="131"/>
      <c r="AO471" s="131"/>
      <c r="AP471" s="88"/>
      <c r="AQ471" s="88"/>
    </row>
    <row r="472">
      <c r="A472" s="173"/>
      <c r="B472" s="173"/>
      <c r="C472" s="174"/>
      <c r="D472" s="173"/>
      <c r="E472" s="155"/>
      <c r="F472" s="155"/>
      <c r="G472" s="88"/>
      <c r="H472" s="155"/>
      <c r="I472" s="155"/>
      <c r="J472" s="155"/>
      <c r="K472" s="15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58"/>
      <c r="AA472" s="105"/>
      <c r="AB472" s="105"/>
      <c r="AC472" s="105"/>
      <c r="AD472" s="105"/>
      <c r="AE472" s="105"/>
      <c r="AF472" s="105"/>
      <c r="AG472" s="105"/>
      <c r="AH472" s="158"/>
      <c r="AI472" s="88"/>
      <c r="AJ472" s="88"/>
      <c r="AK472" s="131"/>
      <c r="AL472" s="131"/>
      <c r="AM472" s="131"/>
      <c r="AN472" s="131"/>
      <c r="AO472" s="131"/>
      <c r="AP472" s="88"/>
      <c r="AQ472" s="88"/>
    </row>
    <row r="473">
      <c r="A473" s="173"/>
      <c r="B473" s="173"/>
      <c r="C473" s="174"/>
      <c r="D473" s="173"/>
      <c r="E473" s="155"/>
      <c r="F473" s="155"/>
      <c r="G473" s="88"/>
      <c r="H473" s="155"/>
      <c r="I473" s="155"/>
      <c r="J473" s="155"/>
      <c r="K473" s="15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58"/>
      <c r="AA473" s="105"/>
      <c r="AB473" s="105"/>
      <c r="AC473" s="105"/>
      <c r="AD473" s="105"/>
      <c r="AE473" s="105"/>
      <c r="AF473" s="105"/>
      <c r="AG473" s="105"/>
      <c r="AH473" s="158"/>
      <c r="AI473" s="88"/>
      <c r="AJ473" s="88"/>
      <c r="AK473" s="131"/>
      <c r="AL473" s="131"/>
      <c r="AM473" s="131"/>
      <c r="AN473" s="131"/>
      <c r="AO473" s="131"/>
      <c r="AP473" s="88"/>
      <c r="AQ473" s="88"/>
    </row>
    <row r="474">
      <c r="A474" s="173"/>
      <c r="B474" s="173"/>
      <c r="C474" s="174"/>
      <c r="D474" s="173"/>
      <c r="E474" s="155"/>
      <c r="F474" s="155"/>
      <c r="G474" s="88"/>
      <c r="H474" s="155"/>
      <c r="I474" s="155"/>
      <c r="J474" s="155"/>
      <c r="K474" s="15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58"/>
      <c r="AA474" s="105"/>
      <c r="AB474" s="105"/>
      <c r="AC474" s="105"/>
      <c r="AD474" s="105"/>
      <c r="AE474" s="105"/>
      <c r="AF474" s="105"/>
      <c r="AG474" s="105"/>
      <c r="AH474" s="158"/>
      <c r="AI474" s="88"/>
      <c r="AJ474" s="88"/>
      <c r="AK474" s="131"/>
      <c r="AL474" s="131"/>
      <c r="AM474" s="131"/>
      <c r="AN474" s="131"/>
      <c r="AO474" s="131"/>
      <c r="AP474" s="88"/>
      <c r="AQ474" s="88"/>
    </row>
    <row r="475">
      <c r="A475" s="173"/>
      <c r="B475" s="173"/>
      <c r="C475" s="174"/>
      <c r="D475" s="173"/>
      <c r="E475" s="155"/>
      <c r="F475" s="155"/>
      <c r="G475" s="88"/>
      <c r="H475" s="155"/>
      <c r="I475" s="155"/>
      <c r="J475" s="155"/>
      <c r="K475" s="15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58"/>
      <c r="AA475" s="105"/>
      <c r="AB475" s="105"/>
      <c r="AC475" s="105"/>
      <c r="AD475" s="105"/>
      <c r="AE475" s="105"/>
      <c r="AF475" s="105"/>
      <c r="AG475" s="105"/>
      <c r="AH475" s="158"/>
      <c r="AI475" s="88"/>
      <c r="AJ475" s="88"/>
      <c r="AK475" s="131"/>
      <c r="AL475" s="131"/>
      <c r="AM475" s="131"/>
      <c r="AN475" s="131"/>
      <c r="AO475" s="131"/>
      <c r="AP475" s="88"/>
      <c r="AQ475" s="88"/>
    </row>
    <row r="476">
      <c r="A476" s="173"/>
      <c r="B476" s="173"/>
      <c r="C476" s="174"/>
      <c r="D476" s="173"/>
      <c r="E476" s="155"/>
      <c r="F476" s="155"/>
      <c r="G476" s="88"/>
      <c r="H476" s="155"/>
      <c r="I476" s="155"/>
      <c r="J476" s="155"/>
      <c r="K476" s="15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58"/>
      <c r="AA476" s="105"/>
      <c r="AB476" s="105"/>
      <c r="AC476" s="105"/>
      <c r="AD476" s="105"/>
      <c r="AE476" s="105"/>
      <c r="AF476" s="105"/>
      <c r="AG476" s="105"/>
      <c r="AH476" s="158"/>
      <c r="AI476" s="88"/>
      <c r="AJ476" s="88"/>
      <c r="AK476" s="131"/>
      <c r="AL476" s="131"/>
      <c r="AM476" s="131"/>
      <c r="AN476" s="131"/>
      <c r="AO476" s="131"/>
      <c r="AP476" s="88"/>
      <c r="AQ476" s="88"/>
    </row>
    <row r="477">
      <c r="A477" s="173"/>
      <c r="B477" s="173"/>
      <c r="C477" s="174"/>
      <c r="D477" s="173"/>
      <c r="E477" s="155"/>
      <c r="F477" s="155"/>
      <c r="G477" s="88"/>
      <c r="H477" s="155"/>
      <c r="I477" s="155"/>
      <c r="J477" s="155"/>
      <c r="K477" s="15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58"/>
      <c r="AA477" s="105"/>
      <c r="AB477" s="105"/>
      <c r="AC477" s="105"/>
      <c r="AD477" s="105"/>
      <c r="AE477" s="105"/>
      <c r="AF477" s="105"/>
      <c r="AG477" s="105"/>
      <c r="AH477" s="158"/>
      <c r="AI477" s="88"/>
      <c r="AJ477" s="88"/>
      <c r="AK477" s="131"/>
      <c r="AL477" s="131"/>
      <c r="AM477" s="131"/>
      <c r="AN477" s="131"/>
      <c r="AO477" s="131"/>
      <c r="AP477" s="88"/>
      <c r="AQ477" s="88"/>
    </row>
    <row r="478">
      <c r="A478" s="173"/>
      <c r="B478" s="173"/>
      <c r="C478" s="174"/>
      <c r="D478" s="173"/>
      <c r="E478" s="155"/>
      <c r="F478" s="155"/>
      <c r="G478" s="88"/>
      <c r="H478" s="155"/>
      <c r="I478" s="155"/>
      <c r="J478" s="155"/>
      <c r="K478" s="15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58"/>
      <c r="AA478" s="105"/>
      <c r="AB478" s="105"/>
      <c r="AC478" s="105"/>
      <c r="AD478" s="105"/>
      <c r="AE478" s="105"/>
      <c r="AF478" s="105"/>
      <c r="AG478" s="105"/>
      <c r="AH478" s="158"/>
      <c r="AI478" s="88"/>
      <c r="AJ478" s="88"/>
      <c r="AK478" s="131"/>
      <c r="AL478" s="131"/>
      <c r="AM478" s="131"/>
      <c r="AN478" s="131"/>
      <c r="AO478" s="131"/>
      <c r="AP478" s="88"/>
      <c r="AQ478" s="88"/>
    </row>
    <row r="479">
      <c r="A479" s="173"/>
      <c r="B479" s="173"/>
      <c r="C479" s="174"/>
      <c r="D479" s="173"/>
      <c r="E479" s="155"/>
      <c r="F479" s="155"/>
      <c r="G479" s="88"/>
      <c r="H479" s="155"/>
      <c r="I479" s="155"/>
      <c r="J479" s="155"/>
      <c r="K479" s="15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58"/>
      <c r="AA479" s="105"/>
      <c r="AB479" s="105"/>
      <c r="AC479" s="105"/>
      <c r="AD479" s="105"/>
      <c r="AE479" s="105"/>
      <c r="AF479" s="105"/>
      <c r="AG479" s="105"/>
      <c r="AH479" s="158"/>
      <c r="AI479" s="88"/>
      <c r="AJ479" s="88"/>
      <c r="AK479" s="131"/>
      <c r="AL479" s="131"/>
      <c r="AM479" s="131"/>
      <c r="AN479" s="131"/>
      <c r="AO479" s="131"/>
      <c r="AP479" s="88"/>
      <c r="AQ479" s="88"/>
    </row>
    <row r="480">
      <c r="A480" s="173"/>
      <c r="B480" s="173"/>
      <c r="C480" s="174"/>
      <c r="D480" s="173"/>
      <c r="E480" s="155"/>
      <c r="F480" s="155"/>
      <c r="G480" s="88"/>
      <c r="H480" s="155"/>
      <c r="I480" s="155"/>
      <c r="J480" s="155"/>
      <c r="K480" s="15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58"/>
      <c r="AA480" s="105"/>
      <c r="AB480" s="105"/>
      <c r="AC480" s="105"/>
      <c r="AD480" s="105"/>
      <c r="AE480" s="105"/>
      <c r="AF480" s="105"/>
      <c r="AG480" s="105"/>
      <c r="AH480" s="158"/>
      <c r="AI480" s="88"/>
      <c r="AJ480" s="88"/>
      <c r="AK480" s="131"/>
      <c r="AL480" s="131"/>
      <c r="AM480" s="131"/>
      <c r="AN480" s="131"/>
      <c r="AO480" s="131"/>
      <c r="AP480" s="88"/>
      <c r="AQ480" s="88"/>
    </row>
    <row r="481">
      <c r="A481" s="173"/>
      <c r="B481" s="173"/>
      <c r="C481" s="174"/>
      <c r="D481" s="173"/>
      <c r="E481" s="155"/>
      <c r="F481" s="155"/>
      <c r="G481" s="88"/>
      <c r="H481" s="155"/>
      <c r="I481" s="155"/>
      <c r="J481" s="155"/>
      <c r="K481" s="15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58"/>
      <c r="AA481" s="105"/>
      <c r="AB481" s="105"/>
      <c r="AC481" s="105"/>
      <c r="AD481" s="105"/>
      <c r="AE481" s="105"/>
      <c r="AF481" s="105"/>
      <c r="AG481" s="105"/>
      <c r="AH481" s="158"/>
      <c r="AI481" s="88"/>
      <c r="AJ481" s="88"/>
      <c r="AK481" s="131"/>
      <c r="AL481" s="131"/>
      <c r="AM481" s="131"/>
      <c r="AN481" s="131"/>
      <c r="AO481" s="131"/>
      <c r="AP481" s="88"/>
      <c r="AQ481" s="88"/>
    </row>
    <row r="482">
      <c r="A482" s="173"/>
      <c r="B482" s="173"/>
      <c r="C482" s="174"/>
      <c r="D482" s="173"/>
      <c r="E482" s="155"/>
      <c r="F482" s="155"/>
      <c r="G482" s="88"/>
      <c r="H482" s="155"/>
      <c r="I482" s="155"/>
      <c r="J482" s="155"/>
      <c r="K482" s="15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58"/>
      <c r="AA482" s="105"/>
      <c r="AB482" s="105"/>
      <c r="AC482" s="105"/>
      <c r="AD482" s="105"/>
      <c r="AE482" s="105"/>
      <c r="AF482" s="105"/>
      <c r="AG482" s="105"/>
      <c r="AH482" s="158"/>
      <c r="AI482" s="88"/>
      <c r="AJ482" s="88"/>
      <c r="AK482" s="131"/>
      <c r="AL482" s="131"/>
      <c r="AM482" s="131"/>
      <c r="AN482" s="131"/>
      <c r="AO482" s="131"/>
      <c r="AP482" s="88"/>
      <c r="AQ482" s="88"/>
    </row>
    <row r="483">
      <c r="A483" s="173"/>
      <c r="B483" s="173"/>
      <c r="C483" s="174"/>
      <c r="D483" s="173"/>
      <c r="E483" s="155"/>
      <c r="F483" s="155"/>
      <c r="G483" s="88"/>
      <c r="H483" s="155"/>
      <c r="I483" s="155"/>
      <c r="J483" s="155"/>
      <c r="K483" s="15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58"/>
      <c r="AA483" s="105"/>
      <c r="AB483" s="105"/>
      <c r="AC483" s="105"/>
      <c r="AD483" s="105"/>
      <c r="AE483" s="105"/>
      <c r="AF483" s="105"/>
      <c r="AG483" s="105"/>
      <c r="AH483" s="158"/>
      <c r="AI483" s="88"/>
      <c r="AJ483" s="88"/>
      <c r="AK483" s="131"/>
      <c r="AL483" s="131"/>
      <c r="AM483" s="131"/>
      <c r="AN483" s="131"/>
      <c r="AO483" s="131"/>
      <c r="AP483" s="88"/>
      <c r="AQ483" s="88"/>
    </row>
    <row r="484">
      <c r="A484" s="173"/>
      <c r="B484" s="173"/>
      <c r="C484" s="174"/>
      <c r="D484" s="173"/>
      <c r="E484" s="155"/>
      <c r="F484" s="155"/>
      <c r="G484" s="88"/>
      <c r="H484" s="155"/>
      <c r="I484" s="155"/>
      <c r="J484" s="155"/>
      <c r="K484" s="15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58"/>
      <c r="AA484" s="105"/>
      <c r="AB484" s="105"/>
      <c r="AC484" s="105"/>
      <c r="AD484" s="105"/>
      <c r="AE484" s="105"/>
      <c r="AF484" s="105"/>
      <c r="AG484" s="105"/>
      <c r="AH484" s="158"/>
      <c r="AI484" s="88"/>
      <c r="AJ484" s="88"/>
      <c r="AK484" s="131"/>
      <c r="AL484" s="131"/>
      <c r="AM484" s="131"/>
      <c r="AN484" s="131"/>
      <c r="AO484" s="131"/>
      <c r="AP484" s="88"/>
      <c r="AQ484" s="88"/>
    </row>
    <row r="485">
      <c r="A485" s="173"/>
      <c r="B485" s="173"/>
      <c r="C485" s="174"/>
      <c r="D485" s="173"/>
      <c r="E485" s="155"/>
      <c r="F485" s="155"/>
      <c r="G485" s="88"/>
      <c r="H485" s="155"/>
      <c r="I485" s="155"/>
      <c r="J485" s="155"/>
      <c r="K485" s="15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58"/>
      <c r="AA485" s="105"/>
      <c r="AB485" s="105"/>
      <c r="AC485" s="105"/>
      <c r="AD485" s="105"/>
      <c r="AE485" s="105"/>
      <c r="AF485" s="105"/>
      <c r="AG485" s="105"/>
      <c r="AH485" s="158"/>
      <c r="AI485" s="88"/>
      <c r="AJ485" s="88"/>
      <c r="AK485" s="131"/>
      <c r="AL485" s="131"/>
      <c r="AM485" s="131"/>
      <c r="AN485" s="131"/>
      <c r="AO485" s="131"/>
      <c r="AP485" s="88"/>
      <c r="AQ485" s="88"/>
    </row>
    <row r="486">
      <c r="A486" s="173"/>
      <c r="B486" s="173"/>
      <c r="C486" s="174"/>
      <c r="D486" s="173"/>
      <c r="E486" s="155"/>
      <c r="F486" s="155"/>
      <c r="G486" s="88"/>
      <c r="H486" s="155"/>
      <c r="I486" s="155"/>
      <c r="J486" s="155"/>
      <c r="K486" s="15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58"/>
      <c r="AA486" s="105"/>
      <c r="AB486" s="105"/>
      <c r="AC486" s="105"/>
      <c r="AD486" s="105"/>
      <c r="AE486" s="105"/>
      <c r="AF486" s="105"/>
      <c r="AG486" s="105"/>
      <c r="AH486" s="158"/>
      <c r="AI486" s="88"/>
      <c r="AJ486" s="88"/>
      <c r="AK486" s="131"/>
      <c r="AL486" s="131"/>
      <c r="AM486" s="131"/>
      <c r="AN486" s="131"/>
      <c r="AO486" s="131"/>
      <c r="AP486" s="88"/>
      <c r="AQ486" s="88"/>
    </row>
    <row r="487">
      <c r="A487" s="173"/>
      <c r="B487" s="173"/>
      <c r="C487" s="174"/>
      <c r="D487" s="173"/>
      <c r="E487" s="155"/>
      <c r="F487" s="155"/>
      <c r="G487" s="88"/>
      <c r="H487" s="155"/>
      <c r="I487" s="155"/>
      <c r="J487" s="155"/>
      <c r="K487" s="15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58"/>
      <c r="AA487" s="105"/>
      <c r="AB487" s="105"/>
      <c r="AC487" s="105"/>
      <c r="AD487" s="105"/>
      <c r="AE487" s="105"/>
      <c r="AF487" s="105"/>
      <c r="AG487" s="105"/>
      <c r="AH487" s="158"/>
      <c r="AI487" s="88"/>
      <c r="AJ487" s="88"/>
      <c r="AK487" s="131"/>
      <c r="AL487" s="131"/>
      <c r="AM487" s="131"/>
      <c r="AN487" s="131"/>
      <c r="AO487" s="131"/>
      <c r="AP487" s="88"/>
      <c r="AQ487" s="88"/>
    </row>
    <row r="488">
      <c r="A488" s="173"/>
      <c r="B488" s="173"/>
      <c r="C488" s="174"/>
      <c r="D488" s="173"/>
      <c r="E488" s="155"/>
      <c r="F488" s="155"/>
      <c r="G488" s="88"/>
      <c r="H488" s="155"/>
      <c r="I488" s="155"/>
      <c r="J488" s="155"/>
      <c r="K488" s="15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58"/>
      <c r="AA488" s="105"/>
      <c r="AB488" s="105"/>
      <c r="AC488" s="105"/>
      <c r="AD488" s="105"/>
      <c r="AE488" s="105"/>
      <c r="AF488" s="105"/>
      <c r="AG488" s="105"/>
      <c r="AH488" s="158"/>
      <c r="AI488" s="88"/>
      <c r="AJ488" s="88"/>
      <c r="AK488" s="131"/>
      <c r="AL488" s="131"/>
      <c r="AM488" s="131"/>
      <c r="AN488" s="131"/>
      <c r="AO488" s="131"/>
      <c r="AP488" s="88"/>
      <c r="AQ488" s="88"/>
    </row>
    <row r="489">
      <c r="A489" s="173"/>
      <c r="B489" s="173"/>
      <c r="C489" s="174"/>
      <c r="D489" s="173"/>
      <c r="E489" s="155"/>
      <c r="F489" s="155"/>
      <c r="G489" s="88"/>
      <c r="H489" s="155"/>
      <c r="I489" s="155"/>
      <c r="J489" s="155"/>
      <c r="K489" s="15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58"/>
      <c r="AA489" s="105"/>
      <c r="AB489" s="105"/>
      <c r="AC489" s="105"/>
      <c r="AD489" s="105"/>
      <c r="AE489" s="105"/>
      <c r="AF489" s="105"/>
      <c r="AG489" s="105"/>
      <c r="AH489" s="158"/>
      <c r="AI489" s="88"/>
      <c r="AJ489" s="88"/>
      <c r="AK489" s="131"/>
      <c r="AL489" s="131"/>
      <c r="AM489" s="131"/>
      <c r="AN489" s="131"/>
      <c r="AO489" s="131"/>
      <c r="AP489" s="88"/>
      <c r="AQ489" s="88"/>
    </row>
    <row r="490">
      <c r="A490" s="173"/>
      <c r="B490" s="173"/>
      <c r="C490" s="174"/>
      <c r="D490" s="173"/>
      <c r="E490" s="155"/>
      <c r="F490" s="155"/>
      <c r="G490" s="88"/>
      <c r="H490" s="155"/>
      <c r="I490" s="155"/>
      <c r="J490" s="155"/>
      <c r="K490" s="15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58"/>
      <c r="AA490" s="105"/>
      <c r="AB490" s="105"/>
      <c r="AC490" s="105"/>
      <c r="AD490" s="105"/>
      <c r="AE490" s="105"/>
      <c r="AF490" s="105"/>
      <c r="AG490" s="105"/>
      <c r="AH490" s="158"/>
      <c r="AI490" s="88"/>
      <c r="AJ490" s="88"/>
      <c r="AK490" s="131"/>
      <c r="AL490" s="131"/>
      <c r="AM490" s="131"/>
      <c r="AN490" s="131"/>
      <c r="AO490" s="131"/>
      <c r="AP490" s="88"/>
      <c r="AQ490" s="88"/>
    </row>
    <row r="491">
      <c r="A491" s="173"/>
      <c r="B491" s="173"/>
      <c r="C491" s="174"/>
      <c r="D491" s="173"/>
      <c r="E491" s="155"/>
      <c r="F491" s="155"/>
      <c r="G491" s="88"/>
      <c r="H491" s="155"/>
      <c r="I491" s="155"/>
      <c r="J491" s="155"/>
      <c r="K491" s="15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58"/>
      <c r="AA491" s="105"/>
      <c r="AB491" s="105"/>
      <c r="AC491" s="105"/>
      <c r="AD491" s="105"/>
      <c r="AE491" s="105"/>
      <c r="AF491" s="105"/>
      <c r="AG491" s="105"/>
      <c r="AH491" s="158"/>
      <c r="AI491" s="88"/>
      <c r="AJ491" s="88"/>
      <c r="AK491" s="131"/>
      <c r="AL491" s="131"/>
      <c r="AM491" s="131"/>
      <c r="AN491" s="131"/>
      <c r="AO491" s="131"/>
      <c r="AP491" s="88"/>
      <c r="AQ491" s="88"/>
    </row>
    <row r="492">
      <c r="A492" s="173"/>
      <c r="B492" s="173"/>
      <c r="C492" s="174"/>
      <c r="D492" s="173"/>
      <c r="E492" s="155"/>
      <c r="F492" s="155"/>
      <c r="G492" s="88"/>
      <c r="H492" s="155"/>
      <c r="I492" s="155"/>
      <c r="J492" s="155"/>
      <c r="K492" s="15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58"/>
      <c r="AA492" s="105"/>
      <c r="AB492" s="105"/>
      <c r="AC492" s="105"/>
      <c r="AD492" s="105"/>
      <c r="AE492" s="105"/>
      <c r="AF492" s="105"/>
      <c r="AG492" s="105"/>
      <c r="AH492" s="158"/>
      <c r="AI492" s="88"/>
      <c r="AJ492" s="88"/>
      <c r="AK492" s="131"/>
      <c r="AL492" s="131"/>
      <c r="AM492" s="131"/>
      <c r="AN492" s="131"/>
      <c r="AO492" s="131"/>
      <c r="AP492" s="88"/>
      <c r="AQ492" s="88"/>
    </row>
    <row r="493">
      <c r="A493" s="173"/>
      <c r="B493" s="173"/>
      <c r="C493" s="174"/>
      <c r="D493" s="173"/>
      <c r="E493" s="155"/>
      <c r="F493" s="155"/>
      <c r="G493" s="88"/>
      <c r="H493" s="155"/>
      <c r="I493" s="155"/>
      <c r="J493" s="155"/>
      <c r="K493" s="15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58"/>
      <c r="AA493" s="105"/>
      <c r="AB493" s="105"/>
      <c r="AC493" s="105"/>
      <c r="AD493" s="105"/>
      <c r="AE493" s="105"/>
      <c r="AF493" s="105"/>
      <c r="AG493" s="105"/>
      <c r="AH493" s="158"/>
      <c r="AI493" s="88"/>
      <c r="AJ493" s="88"/>
      <c r="AK493" s="131"/>
      <c r="AL493" s="131"/>
      <c r="AM493" s="131"/>
      <c r="AN493" s="131"/>
      <c r="AO493" s="131"/>
      <c r="AP493" s="88"/>
      <c r="AQ493" s="88"/>
    </row>
    <row r="494">
      <c r="A494" s="173"/>
      <c r="B494" s="173"/>
      <c r="C494" s="174"/>
      <c r="D494" s="173"/>
      <c r="E494" s="155"/>
      <c r="F494" s="155"/>
      <c r="G494" s="88"/>
      <c r="H494" s="155"/>
      <c r="I494" s="155"/>
      <c r="J494" s="155"/>
      <c r="K494" s="15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58"/>
      <c r="AA494" s="105"/>
      <c r="AB494" s="105"/>
      <c r="AC494" s="105"/>
      <c r="AD494" s="105"/>
      <c r="AE494" s="105"/>
      <c r="AF494" s="105"/>
      <c r="AG494" s="105"/>
      <c r="AH494" s="158"/>
      <c r="AI494" s="88"/>
      <c r="AJ494" s="88"/>
      <c r="AK494" s="131"/>
      <c r="AL494" s="131"/>
      <c r="AM494" s="131"/>
      <c r="AN494" s="131"/>
      <c r="AO494" s="131"/>
      <c r="AP494" s="88"/>
      <c r="AQ494" s="88"/>
    </row>
    <row r="495">
      <c r="A495" s="173"/>
      <c r="B495" s="173"/>
      <c r="C495" s="174"/>
      <c r="D495" s="173"/>
      <c r="E495" s="155"/>
      <c r="F495" s="155"/>
      <c r="G495" s="88"/>
      <c r="H495" s="155"/>
      <c r="I495" s="155"/>
      <c r="J495" s="155"/>
      <c r="K495" s="15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58"/>
      <c r="AA495" s="105"/>
      <c r="AB495" s="105"/>
      <c r="AC495" s="105"/>
      <c r="AD495" s="105"/>
      <c r="AE495" s="105"/>
      <c r="AF495" s="105"/>
      <c r="AG495" s="105"/>
      <c r="AH495" s="158"/>
      <c r="AI495" s="88"/>
      <c r="AJ495" s="88"/>
      <c r="AK495" s="131"/>
      <c r="AL495" s="131"/>
      <c r="AM495" s="131"/>
      <c r="AN495" s="131"/>
      <c r="AO495" s="131"/>
      <c r="AP495" s="88"/>
      <c r="AQ495" s="88"/>
    </row>
    <row r="496">
      <c r="A496" s="173"/>
      <c r="B496" s="173"/>
      <c r="C496" s="174"/>
      <c r="D496" s="173"/>
      <c r="E496" s="155"/>
      <c r="F496" s="155"/>
      <c r="G496" s="88"/>
      <c r="H496" s="155"/>
      <c r="I496" s="155"/>
      <c r="J496" s="155"/>
      <c r="K496" s="15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58"/>
      <c r="AA496" s="105"/>
      <c r="AB496" s="105"/>
      <c r="AC496" s="105"/>
      <c r="AD496" s="105"/>
      <c r="AE496" s="105"/>
      <c r="AF496" s="105"/>
      <c r="AG496" s="105"/>
      <c r="AH496" s="158"/>
      <c r="AI496" s="88"/>
      <c r="AJ496" s="88"/>
      <c r="AK496" s="131"/>
      <c r="AL496" s="131"/>
      <c r="AM496" s="131"/>
      <c r="AN496" s="131"/>
      <c r="AO496" s="131"/>
      <c r="AP496" s="88"/>
      <c r="AQ496" s="88"/>
    </row>
    <row r="497">
      <c r="A497" s="173"/>
      <c r="B497" s="173"/>
      <c r="C497" s="174"/>
      <c r="D497" s="173"/>
      <c r="E497" s="155"/>
      <c r="F497" s="155"/>
      <c r="G497" s="88"/>
      <c r="H497" s="155"/>
      <c r="I497" s="155"/>
      <c r="J497" s="155"/>
      <c r="K497" s="15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58"/>
      <c r="AA497" s="105"/>
      <c r="AB497" s="105"/>
      <c r="AC497" s="105"/>
      <c r="AD497" s="105"/>
      <c r="AE497" s="105"/>
      <c r="AF497" s="105"/>
      <c r="AG497" s="105"/>
      <c r="AH497" s="158"/>
      <c r="AI497" s="88"/>
      <c r="AJ497" s="88"/>
      <c r="AK497" s="131"/>
      <c r="AL497" s="131"/>
      <c r="AM497" s="131"/>
      <c r="AN497" s="131"/>
      <c r="AO497" s="131"/>
      <c r="AP497" s="88"/>
      <c r="AQ497" s="88"/>
    </row>
    <row r="498">
      <c r="A498" s="173"/>
      <c r="B498" s="173"/>
      <c r="C498" s="174"/>
      <c r="D498" s="173"/>
      <c r="E498" s="155"/>
      <c r="F498" s="155"/>
      <c r="G498" s="88"/>
      <c r="H498" s="155"/>
      <c r="I498" s="155"/>
      <c r="J498" s="155"/>
      <c r="K498" s="15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58"/>
      <c r="AA498" s="105"/>
      <c r="AB498" s="105"/>
      <c r="AC498" s="105"/>
      <c r="AD498" s="105"/>
      <c r="AE498" s="105"/>
      <c r="AF498" s="105"/>
      <c r="AG498" s="105"/>
      <c r="AH498" s="158"/>
      <c r="AI498" s="88"/>
      <c r="AJ498" s="88"/>
      <c r="AK498" s="131"/>
      <c r="AL498" s="131"/>
      <c r="AM498" s="131"/>
      <c r="AN498" s="131"/>
      <c r="AO498" s="131"/>
      <c r="AP498" s="88"/>
      <c r="AQ498" s="88"/>
    </row>
    <row r="499">
      <c r="A499" s="173"/>
      <c r="B499" s="173"/>
      <c r="C499" s="174"/>
      <c r="D499" s="173"/>
      <c r="E499" s="155"/>
      <c r="F499" s="155"/>
      <c r="G499" s="88"/>
      <c r="H499" s="155"/>
      <c r="I499" s="155"/>
      <c r="J499" s="155"/>
      <c r="K499" s="15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58"/>
      <c r="AA499" s="105"/>
      <c r="AB499" s="105"/>
      <c r="AC499" s="105"/>
      <c r="AD499" s="105"/>
      <c r="AE499" s="105"/>
      <c r="AF499" s="105"/>
      <c r="AG499" s="105"/>
      <c r="AH499" s="158"/>
      <c r="AI499" s="88"/>
      <c r="AJ499" s="88"/>
      <c r="AK499" s="131"/>
      <c r="AL499" s="131"/>
      <c r="AM499" s="131"/>
      <c r="AN499" s="131"/>
      <c r="AO499" s="131"/>
      <c r="AP499" s="88"/>
      <c r="AQ499" s="88"/>
    </row>
    <row r="500">
      <c r="A500" s="173"/>
      <c r="B500" s="173"/>
      <c r="C500" s="174"/>
      <c r="D500" s="173"/>
      <c r="E500" s="155"/>
      <c r="F500" s="155"/>
      <c r="G500" s="88"/>
      <c r="H500" s="155"/>
      <c r="I500" s="155"/>
      <c r="J500" s="155"/>
      <c r="K500" s="15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58"/>
      <c r="AA500" s="105"/>
      <c r="AB500" s="105"/>
      <c r="AC500" s="105"/>
      <c r="AD500" s="105"/>
      <c r="AE500" s="105"/>
      <c r="AF500" s="105"/>
      <c r="AG500" s="105"/>
      <c r="AH500" s="158"/>
      <c r="AI500" s="88"/>
      <c r="AJ500" s="88"/>
      <c r="AK500" s="131"/>
      <c r="AL500" s="131"/>
      <c r="AM500" s="131"/>
      <c r="AN500" s="131"/>
      <c r="AO500" s="131"/>
      <c r="AP500" s="88"/>
      <c r="AQ500" s="88"/>
    </row>
    <row r="501">
      <c r="A501" s="173"/>
      <c r="B501" s="173"/>
      <c r="C501" s="174"/>
      <c r="D501" s="173"/>
      <c r="E501" s="155"/>
      <c r="F501" s="155"/>
      <c r="G501" s="88"/>
      <c r="H501" s="155"/>
      <c r="I501" s="155"/>
      <c r="J501" s="155"/>
      <c r="K501" s="15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58"/>
      <c r="AA501" s="105"/>
      <c r="AB501" s="105"/>
      <c r="AC501" s="105"/>
      <c r="AD501" s="105"/>
      <c r="AE501" s="105"/>
      <c r="AF501" s="105"/>
      <c r="AG501" s="105"/>
      <c r="AH501" s="158"/>
      <c r="AI501" s="88"/>
      <c r="AJ501" s="88"/>
      <c r="AK501" s="131"/>
      <c r="AL501" s="131"/>
      <c r="AM501" s="131"/>
      <c r="AN501" s="131"/>
      <c r="AO501" s="131"/>
      <c r="AP501" s="88"/>
      <c r="AQ501" s="88"/>
    </row>
    <row r="502">
      <c r="A502" s="173"/>
      <c r="B502" s="173"/>
      <c r="C502" s="174"/>
      <c r="D502" s="173"/>
      <c r="E502" s="155"/>
      <c r="F502" s="155"/>
      <c r="G502" s="88"/>
      <c r="H502" s="155"/>
      <c r="I502" s="155"/>
      <c r="J502" s="155"/>
      <c r="K502" s="15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58"/>
      <c r="AA502" s="105"/>
      <c r="AB502" s="105"/>
      <c r="AC502" s="105"/>
      <c r="AD502" s="105"/>
      <c r="AE502" s="105"/>
      <c r="AF502" s="105"/>
      <c r="AG502" s="105"/>
      <c r="AH502" s="158"/>
      <c r="AI502" s="88"/>
      <c r="AJ502" s="88"/>
      <c r="AK502" s="131"/>
      <c r="AL502" s="131"/>
      <c r="AM502" s="131"/>
      <c r="AN502" s="131"/>
      <c r="AO502" s="131"/>
      <c r="AP502" s="88"/>
      <c r="AQ502" s="88"/>
    </row>
    <row r="503">
      <c r="A503" s="173"/>
      <c r="B503" s="173"/>
      <c r="C503" s="174"/>
      <c r="D503" s="173"/>
      <c r="E503" s="155"/>
      <c r="F503" s="155"/>
      <c r="G503" s="88"/>
      <c r="H503" s="155"/>
      <c r="I503" s="155"/>
      <c r="J503" s="155"/>
      <c r="K503" s="15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58"/>
      <c r="AA503" s="105"/>
      <c r="AB503" s="105"/>
      <c r="AC503" s="105"/>
      <c r="AD503" s="105"/>
      <c r="AE503" s="105"/>
      <c r="AF503" s="105"/>
      <c r="AG503" s="105"/>
      <c r="AH503" s="158"/>
      <c r="AI503" s="88"/>
      <c r="AJ503" s="88"/>
      <c r="AK503" s="131"/>
      <c r="AL503" s="131"/>
      <c r="AM503" s="131"/>
      <c r="AN503" s="131"/>
      <c r="AO503" s="131"/>
      <c r="AP503" s="88"/>
      <c r="AQ503" s="88"/>
    </row>
    <row r="504">
      <c r="A504" s="173"/>
      <c r="B504" s="173"/>
      <c r="C504" s="174"/>
      <c r="D504" s="173"/>
      <c r="E504" s="155"/>
      <c r="F504" s="155"/>
      <c r="G504" s="88"/>
      <c r="H504" s="155"/>
      <c r="I504" s="155"/>
      <c r="J504" s="155"/>
      <c r="K504" s="15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58"/>
      <c r="AA504" s="105"/>
      <c r="AB504" s="105"/>
      <c r="AC504" s="105"/>
      <c r="AD504" s="105"/>
      <c r="AE504" s="105"/>
      <c r="AF504" s="105"/>
      <c r="AG504" s="105"/>
      <c r="AH504" s="158"/>
      <c r="AI504" s="88"/>
      <c r="AJ504" s="88"/>
      <c r="AK504" s="131"/>
      <c r="AL504" s="131"/>
      <c r="AM504" s="131"/>
      <c r="AN504" s="131"/>
      <c r="AO504" s="131"/>
      <c r="AP504" s="88"/>
      <c r="AQ504" s="88"/>
    </row>
    <row r="505">
      <c r="A505" s="173"/>
      <c r="B505" s="173"/>
      <c r="C505" s="174"/>
      <c r="D505" s="173"/>
      <c r="E505" s="155"/>
      <c r="F505" s="155"/>
      <c r="G505" s="88"/>
      <c r="H505" s="155"/>
      <c r="I505" s="155"/>
      <c r="J505" s="155"/>
      <c r="K505" s="15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58"/>
      <c r="AA505" s="105"/>
      <c r="AB505" s="105"/>
      <c r="AC505" s="105"/>
      <c r="AD505" s="105"/>
      <c r="AE505" s="105"/>
      <c r="AF505" s="105"/>
      <c r="AG505" s="105"/>
      <c r="AH505" s="158"/>
      <c r="AI505" s="88"/>
      <c r="AJ505" s="88"/>
      <c r="AK505" s="131"/>
      <c r="AL505" s="131"/>
      <c r="AM505" s="131"/>
      <c r="AN505" s="131"/>
      <c r="AO505" s="131"/>
      <c r="AP505" s="88"/>
      <c r="AQ505" s="88"/>
    </row>
    <row r="506">
      <c r="A506" s="173"/>
      <c r="B506" s="173"/>
      <c r="C506" s="174"/>
      <c r="D506" s="173"/>
      <c r="E506" s="155"/>
      <c r="F506" s="155"/>
      <c r="G506" s="88"/>
      <c r="H506" s="155"/>
      <c r="I506" s="155"/>
      <c r="J506" s="155"/>
      <c r="K506" s="15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58"/>
      <c r="AA506" s="105"/>
      <c r="AB506" s="105"/>
      <c r="AC506" s="105"/>
      <c r="AD506" s="105"/>
      <c r="AE506" s="105"/>
      <c r="AF506" s="105"/>
      <c r="AG506" s="105"/>
      <c r="AH506" s="158"/>
      <c r="AI506" s="88"/>
      <c r="AJ506" s="88"/>
      <c r="AK506" s="131"/>
      <c r="AL506" s="131"/>
      <c r="AM506" s="131"/>
      <c r="AN506" s="131"/>
      <c r="AO506" s="131"/>
      <c r="AP506" s="88"/>
      <c r="AQ506" s="88"/>
    </row>
    <row r="507">
      <c r="A507" s="173"/>
      <c r="B507" s="173"/>
      <c r="C507" s="174"/>
      <c r="D507" s="173"/>
      <c r="E507" s="155"/>
      <c r="F507" s="155"/>
      <c r="G507" s="88"/>
      <c r="H507" s="155"/>
      <c r="I507" s="155"/>
      <c r="J507" s="155"/>
      <c r="K507" s="15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58"/>
      <c r="AA507" s="105"/>
      <c r="AB507" s="105"/>
      <c r="AC507" s="105"/>
      <c r="AD507" s="105"/>
      <c r="AE507" s="105"/>
      <c r="AF507" s="105"/>
      <c r="AG507" s="105"/>
      <c r="AH507" s="158"/>
      <c r="AI507" s="88"/>
      <c r="AJ507" s="88"/>
      <c r="AK507" s="131"/>
      <c r="AL507" s="131"/>
      <c r="AM507" s="131"/>
      <c r="AN507" s="131"/>
      <c r="AO507" s="131"/>
      <c r="AP507" s="88"/>
      <c r="AQ507" s="88"/>
    </row>
    <row r="508">
      <c r="A508" s="173"/>
      <c r="B508" s="173"/>
      <c r="C508" s="174"/>
      <c r="D508" s="173"/>
      <c r="E508" s="155"/>
      <c r="F508" s="155"/>
      <c r="G508" s="88"/>
      <c r="H508" s="155"/>
      <c r="I508" s="155"/>
      <c r="J508" s="155"/>
      <c r="K508" s="15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58"/>
      <c r="AA508" s="105"/>
      <c r="AB508" s="105"/>
      <c r="AC508" s="105"/>
      <c r="AD508" s="105"/>
      <c r="AE508" s="105"/>
      <c r="AF508" s="105"/>
      <c r="AG508" s="105"/>
      <c r="AH508" s="158"/>
      <c r="AI508" s="88"/>
      <c r="AJ508" s="88"/>
      <c r="AK508" s="131"/>
      <c r="AL508" s="131"/>
      <c r="AM508" s="131"/>
      <c r="AN508" s="131"/>
      <c r="AO508" s="131"/>
      <c r="AP508" s="88"/>
      <c r="AQ508" s="88"/>
    </row>
    <row r="509">
      <c r="A509" s="173"/>
      <c r="B509" s="173"/>
      <c r="C509" s="174"/>
      <c r="D509" s="173"/>
      <c r="E509" s="155"/>
      <c r="F509" s="155"/>
      <c r="G509" s="88"/>
      <c r="H509" s="155"/>
      <c r="I509" s="155"/>
      <c r="J509" s="155"/>
      <c r="K509" s="15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58"/>
      <c r="AA509" s="105"/>
      <c r="AB509" s="105"/>
      <c r="AC509" s="105"/>
      <c r="AD509" s="105"/>
      <c r="AE509" s="105"/>
      <c r="AF509" s="105"/>
      <c r="AG509" s="105"/>
      <c r="AH509" s="158"/>
      <c r="AI509" s="88"/>
      <c r="AJ509" s="88"/>
      <c r="AK509" s="131"/>
      <c r="AL509" s="131"/>
      <c r="AM509" s="131"/>
      <c r="AN509" s="131"/>
      <c r="AO509" s="131"/>
      <c r="AP509" s="88"/>
      <c r="AQ509" s="88"/>
    </row>
    <row r="510">
      <c r="A510" s="173"/>
      <c r="B510" s="173"/>
      <c r="C510" s="174"/>
      <c r="D510" s="173"/>
      <c r="E510" s="155"/>
      <c r="F510" s="155"/>
      <c r="G510" s="88"/>
      <c r="H510" s="155"/>
      <c r="I510" s="155"/>
      <c r="J510" s="155"/>
      <c r="K510" s="15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58"/>
      <c r="AA510" s="105"/>
      <c r="AB510" s="105"/>
      <c r="AC510" s="105"/>
      <c r="AD510" s="105"/>
      <c r="AE510" s="105"/>
      <c r="AF510" s="105"/>
      <c r="AG510" s="105"/>
      <c r="AH510" s="158"/>
      <c r="AI510" s="88"/>
      <c r="AJ510" s="88"/>
      <c r="AK510" s="131"/>
      <c r="AL510" s="131"/>
      <c r="AM510" s="131"/>
      <c r="AN510" s="131"/>
      <c r="AO510" s="131"/>
      <c r="AP510" s="88"/>
      <c r="AQ510" s="88"/>
    </row>
    <row r="511">
      <c r="A511" s="173"/>
      <c r="B511" s="173"/>
      <c r="C511" s="174"/>
      <c r="D511" s="173"/>
      <c r="E511" s="155"/>
      <c r="F511" s="155"/>
      <c r="G511" s="88"/>
      <c r="H511" s="155"/>
      <c r="I511" s="155"/>
      <c r="J511" s="155"/>
      <c r="K511" s="15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58"/>
      <c r="AA511" s="105"/>
      <c r="AB511" s="105"/>
      <c r="AC511" s="105"/>
      <c r="AD511" s="105"/>
      <c r="AE511" s="105"/>
      <c r="AF511" s="105"/>
      <c r="AG511" s="105"/>
      <c r="AH511" s="158"/>
      <c r="AI511" s="88"/>
      <c r="AJ511" s="88"/>
      <c r="AK511" s="131"/>
      <c r="AL511" s="131"/>
      <c r="AM511" s="131"/>
      <c r="AN511" s="131"/>
      <c r="AO511" s="131"/>
      <c r="AP511" s="88"/>
      <c r="AQ511" s="88"/>
    </row>
    <row r="512">
      <c r="A512" s="173"/>
      <c r="B512" s="173"/>
      <c r="C512" s="174"/>
      <c r="D512" s="173"/>
      <c r="E512" s="155"/>
      <c r="F512" s="155"/>
      <c r="G512" s="88"/>
      <c r="H512" s="155"/>
      <c r="I512" s="155"/>
      <c r="J512" s="155"/>
      <c r="K512" s="15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58"/>
      <c r="AA512" s="105"/>
      <c r="AB512" s="105"/>
      <c r="AC512" s="105"/>
      <c r="AD512" s="105"/>
      <c r="AE512" s="105"/>
      <c r="AF512" s="105"/>
      <c r="AG512" s="105"/>
      <c r="AH512" s="158"/>
      <c r="AI512" s="88"/>
      <c r="AJ512" s="88"/>
      <c r="AK512" s="131"/>
      <c r="AL512" s="131"/>
      <c r="AM512" s="131"/>
      <c r="AN512" s="131"/>
      <c r="AO512" s="131"/>
      <c r="AP512" s="88"/>
      <c r="AQ512" s="88"/>
    </row>
    <row r="513">
      <c r="A513" s="173"/>
      <c r="B513" s="173"/>
      <c r="C513" s="174"/>
      <c r="D513" s="173"/>
      <c r="E513" s="155"/>
      <c r="F513" s="155"/>
      <c r="G513" s="88"/>
      <c r="H513" s="155"/>
      <c r="I513" s="155"/>
      <c r="J513" s="155"/>
      <c r="K513" s="15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58"/>
      <c r="AA513" s="105"/>
      <c r="AB513" s="105"/>
      <c r="AC513" s="105"/>
      <c r="AD513" s="105"/>
      <c r="AE513" s="105"/>
      <c r="AF513" s="105"/>
      <c r="AG513" s="105"/>
      <c r="AH513" s="158"/>
      <c r="AI513" s="88"/>
      <c r="AJ513" s="88"/>
      <c r="AK513" s="131"/>
      <c r="AL513" s="131"/>
      <c r="AM513" s="131"/>
      <c r="AN513" s="131"/>
      <c r="AO513" s="131"/>
      <c r="AP513" s="88"/>
      <c r="AQ513" s="88"/>
    </row>
    <row r="514">
      <c r="A514" s="173"/>
      <c r="B514" s="173"/>
      <c r="C514" s="174"/>
      <c r="D514" s="173"/>
      <c r="E514" s="155"/>
      <c r="F514" s="155"/>
      <c r="G514" s="88"/>
      <c r="H514" s="155"/>
      <c r="I514" s="155"/>
      <c r="J514" s="155"/>
      <c r="K514" s="15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58"/>
      <c r="AA514" s="105"/>
      <c r="AB514" s="105"/>
      <c r="AC514" s="105"/>
      <c r="AD514" s="105"/>
      <c r="AE514" s="105"/>
      <c r="AF514" s="105"/>
      <c r="AG514" s="105"/>
      <c r="AH514" s="158"/>
      <c r="AI514" s="88"/>
      <c r="AJ514" s="88"/>
      <c r="AK514" s="131"/>
      <c r="AL514" s="131"/>
      <c r="AM514" s="131"/>
      <c r="AN514" s="131"/>
      <c r="AO514" s="131"/>
      <c r="AP514" s="88"/>
      <c r="AQ514" s="88"/>
    </row>
    <row r="515">
      <c r="A515" s="173"/>
      <c r="B515" s="173"/>
      <c r="C515" s="174"/>
      <c r="D515" s="173"/>
      <c r="E515" s="155"/>
      <c r="F515" s="155"/>
      <c r="G515" s="88"/>
      <c r="H515" s="155"/>
      <c r="I515" s="155"/>
      <c r="J515" s="155"/>
      <c r="K515" s="15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58"/>
      <c r="AA515" s="105"/>
      <c r="AB515" s="105"/>
      <c r="AC515" s="105"/>
      <c r="AD515" s="105"/>
      <c r="AE515" s="105"/>
      <c r="AF515" s="105"/>
      <c r="AG515" s="105"/>
      <c r="AH515" s="158"/>
      <c r="AI515" s="88"/>
      <c r="AJ515" s="88"/>
      <c r="AK515" s="131"/>
      <c r="AL515" s="131"/>
      <c r="AM515" s="131"/>
      <c r="AN515" s="131"/>
      <c r="AO515" s="131"/>
      <c r="AP515" s="88"/>
      <c r="AQ515" s="88"/>
    </row>
    <row r="516">
      <c r="A516" s="173"/>
      <c r="B516" s="173"/>
      <c r="C516" s="174"/>
      <c r="D516" s="173"/>
      <c r="E516" s="155"/>
      <c r="F516" s="155"/>
      <c r="G516" s="88"/>
      <c r="H516" s="155"/>
      <c r="I516" s="155"/>
      <c r="J516" s="155"/>
      <c r="K516" s="15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58"/>
      <c r="AA516" s="105"/>
      <c r="AB516" s="105"/>
      <c r="AC516" s="105"/>
      <c r="AD516" s="105"/>
      <c r="AE516" s="105"/>
      <c r="AF516" s="105"/>
      <c r="AG516" s="105"/>
      <c r="AH516" s="158"/>
      <c r="AI516" s="88"/>
      <c r="AJ516" s="88"/>
      <c r="AK516" s="131"/>
      <c r="AL516" s="131"/>
      <c r="AM516" s="131"/>
      <c r="AN516" s="131"/>
      <c r="AO516" s="131"/>
      <c r="AP516" s="88"/>
      <c r="AQ516" s="88"/>
    </row>
    <row r="517">
      <c r="A517" s="173"/>
      <c r="B517" s="173"/>
      <c r="C517" s="174"/>
      <c r="D517" s="173"/>
      <c r="E517" s="155"/>
      <c r="F517" s="155"/>
      <c r="G517" s="88"/>
      <c r="H517" s="155"/>
      <c r="I517" s="155"/>
      <c r="J517" s="155"/>
      <c r="K517" s="15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58"/>
      <c r="AA517" s="105"/>
      <c r="AB517" s="105"/>
      <c r="AC517" s="105"/>
      <c r="AD517" s="105"/>
      <c r="AE517" s="105"/>
      <c r="AF517" s="105"/>
      <c r="AG517" s="105"/>
      <c r="AH517" s="158"/>
      <c r="AI517" s="88"/>
      <c r="AJ517" s="88"/>
      <c r="AK517" s="131"/>
      <c r="AL517" s="131"/>
      <c r="AM517" s="131"/>
      <c r="AN517" s="131"/>
      <c r="AO517" s="131"/>
      <c r="AP517" s="88"/>
      <c r="AQ517" s="88"/>
    </row>
    <row r="518">
      <c r="A518" s="173"/>
      <c r="B518" s="173"/>
      <c r="C518" s="174"/>
      <c r="D518" s="173"/>
      <c r="E518" s="155"/>
      <c r="F518" s="155"/>
      <c r="G518" s="88"/>
      <c r="H518" s="155"/>
      <c r="I518" s="155"/>
      <c r="J518" s="155"/>
      <c r="K518" s="15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58"/>
      <c r="AA518" s="105"/>
      <c r="AB518" s="105"/>
      <c r="AC518" s="105"/>
      <c r="AD518" s="105"/>
      <c r="AE518" s="105"/>
      <c r="AF518" s="105"/>
      <c r="AG518" s="105"/>
      <c r="AH518" s="158"/>
      <c r="AI518" s="88"/>
      <c r="AJ518" s="88"/>
      <c r="AK518" s="131"/>
      <c r="AL518" s="131"/>
      <c r="AM518" s="131"/>
      <c r="AN518" s="131"/>
      <c r="AO518" s="131"/>
      <c r="AP518" s="88"/>
      <c r="AQ518" s="88"/>
    </row>
    <row r="519">
      <c r="A519" s="173"/>
      <c r="B519" s="173"/>
      <c r="C519" s="174"/>
      <c r="D519" s="173"/>
      <c r="E519" s="155"/>
      <c r="F519" s="155"/>
      <c r="G519" s="88"/>
      <c r="H519" s="155"/>
      <c r="I519" s="155"/>
      <c r="J519" s="155"/>
      <c r="K519" s="15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58"/>
      <c r="AA519" s="105"/>
      <c r="AB519" s="105"/>
      <c r="AC519" s="105"/>
      <c r="AD519" s="105"/>
      <c r="AE519" s="105"/>
      <c r="AF519" s="105"/>
      <c r="AG519" s="105"/>
      <c r="AH519" s="158"/>
      <c r="AI519" s="88"/>
      <c r="AJ519" s="88"/>
      <c r="AK519" s="131"/>
      <c r="AL519" s="131"/>
      <c r="AM519" s="131"/>
      <c r="AN519" s="131"/>
      <c r="AO519" s="131"/>
      <c r="AP519" s="88"/>
      <c r="AQ519" s="88"/>
    </row>
    <row r="520">
      <c r="A520" s="173"/>
      <c r="B520" s="173"/>
      <c r="C520" s="174"/>
      <c r="D520" s="173"/>
      <c r="E520" s="155"/>
      <c r="F520" s="155"/>
      <c r="G520" s="88"/>
      <c r="H520" s="155"/>
      <c r="I520" s="155"/>
      <c r="J520" s="155"/>
      <c r="K520" s="15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58"/>
      <c r="AA520" s="105"/>
      <c r="AB520" s="105"/>
      <c r="AC520" s="105"/>
      <c r="AD520" s="105"/>
      <c r="AE520" s="105"/>
      <c r="AF520" s="105"/>
      <c r="AG520" s="105"/>
      <c r="AH520" s="158"/>
      <c r="AI520" s="88"/>
      <c r="AJ520" s="88"/>
      <c r="AK520" s="131"/>
      <c r="AL520" s="131"/>
      <c r="AM520" s="131"/>
      <c r="AN520" s="131"/>
      <c r="AO520" s="131"/>
      <c r="AP520" s="88"/>
      <c r="AQ520" s="88"/>
    </row>
    <row r="521">
      <c r="A521" s="173"/>
      <c r="B521" s="173"/>
      <c r="C521" s="174"/>
      <c r="D521" s="173"/>
      <c r="E521" s="155"/>
      <c r="F521" s="155"/>
      <c r="G521" s="88"/>
      <c r="H521" s="155"/>
      <c r="I521" s="155"/>
      <c r="J521" s="155"/>
      <c r="K521" s="15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58"/>
      <c r="AA521" s="105"/>
      <c r="AB521" s="105"/>
      <c r="AC521" s="105"/>
      <c r="AD521" s="105"/>
      <c r="AE521" s="105"/>
      <c r="AF521" s="105"/>
      <c r="AG521" s="105"/>
      <c r="AH521" s="158"/>
      <c r="AI521" s="88"/>
      <c r="AJ521" s="88"/>
      <c r="AK521" s="131"/>
      <c r="AL521" s="131"/>
      <c r="AM521" s="131"/>
      <c r="AN521" s="131"/>
      <c r="AO521" s="131"/>
      <c r="AP521" s="88"/>
      <c r="AQ521" s="88"/>
    </row>
    <row r="522">
      <c r="A522" s="173"/>
      <c r="B522" s="173"/>
      <c r="C522" s="174"/>
      <c r="D522" s="173"/>
      <c r="E522" s="155"/>
      <c r="F522" s="155"/>
      <c r="G522" s="88"/>
      <c r="H522" s="155"/>
      <c r="I522" s="155"/>
      <c r="J522" s="155"/>
      <c r="K522" s="15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58"/>
      <c r="AA522" s="105"/>
      <c r="AB522" s="105"/>
      <c r="AC522" s="105"/>
      <c r="AD522" s="105"/>
      <c r="AE522" s="105"/>
      <c r="AF522" s="105"/>
      <c r="AG522" s="105"/>
      <c r="AH522" s="158"/>
      <c r="AI522" s="88"/>
      <c r="AJ522" s="88"/>
      <c r="AK522" s="131"/>
      <c r="AL522" s="131"/>
      <c r="AM522" s="131"/>
      <c r="AN522" s="131"/>
      <c r="AO522" s="131"/>
      <c r="AP522" s="88"/>
      <c r="AQ522" s="88"/>
    </row>
    <row r="523">
      <c r="A523" s="173"/>
      <c r="B523" s="173"/>
      <c r="C523" s="174"/>
      <c r="D523" s="173"/>
      <c r="E523" s="155"/>
      <c r="F523" s="155"/>
      <c r="G523" s="88"/>
      <c r="H523" s="155"/>
      <c r="I523" s="155"/>
      <c r="J523" s="155"/>
      <c r="K523" s="15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58"/>
      <c r="AA523" s="105"/>
      <c r="AB523" s="105"/>
      <c r="AC523" s="105"/>
      <c r="AD523" s="105"/>
      <c r="AE523" s="105"/>
      <c r="AF523" s="105"/>
      <c r="AG523" s="105"/>
      <c r="AH523" s="158"/>
      <c r="AI523" s="88"/>
      <c r="AJ523" s="88"/>
      <c r="AK523" s="131"/>
      <c r="AL523" s="131"/>
      <c r="AM523" s="131"/>
      <c r="AN523" s="131"/>
      <c r="AO523" s="131"/>
      <c r="AP523" s="88"/>
      <c r="AQ523" s="88"/>
    </row>
    <row r="524">
      <c r="A524" s="173"/>
      <c r="B524" s="173"/>
      <c r="C524" s="174"/>
      <c r="D524" s="173"/>
      <c r="E524" s="155"/>
      <c r="F524" s="155"/>
      <c r="G524" s="88"/>
      <c r="H524" s="155"/>
      <c r="I524" s="155"/>
      <c r="J524" s="155"/>
      <c r="K524" s="15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58"/>
      <c r="AA524" s="105"/>
      <c r="AB524" s="105"/>
      <c r="AC524" s="105"/>
      <c r="AD524" s="105"/>
      <c r="AE524" s="105"/>
      <c r="AF524" s="105"/>
      <c r="AG524" s="105"/>
      <c r="AH524" s="158"/>
      <c r="AI524" s="88"/>
      <c r="AJ524" s="88"/>
      <c r="AK524" s="131"/>
      <c r="AL524" s="131"/>
      <c r="AM524" s="131"/>
      <c r="AN524" s="131"/>
      <c r="AO524" s="131"/>
      <c r="AP524" s="88"/>
      <c r="AQ524" s="88"/>
    </row>
    <row r="525">
      <c r="A525" s="173"/>
      <c r="B525" s="173"/>
      <c r="C525" s="174"/>
      <c r="D525" s="173"/>
      <c r="E525" s="155"/>
      <c r="F525" s="155"/>
      <c r="G525" s="88"/>
      <c r="H525" s="155"/>
      <c r="I525" s="155"/>
      <c r="J525" s="155"/>
      <c r="K525" s="15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58"/>
      <c r="AA525" s="105"/>
      <c r="AB525" s="105"/>
      <c r="AC525" s="105"/>
      <c r="AD525" s="105"/>
      <c r="AE525" s="105"/>
      <c r="AF525" s="105"/>
      <c r="AG525" s="105"/>
      <c r="AH525" s="158"/>
      <c r="AI525" s="88"/>
      <c r="AJ525" s="88"/>
      <c r="AK525" s="131"/>
      <c r="AL525" s="131"/>
      <c r="AM525" s="131"/>
      <c r="AN525" s="131"/>
      <c r="AO525" s="131"/>
      <c r="AP525" s="88"/>
      <c r="AQ525" s="88"/>
    </row>
    <row r="526">
      <c r="A526" s="173"/>
      <c r="B526" s="173"/>
      <c r="C526" s="174"/>
      <c r="D526" s="173"/>
      <c r="E526" s="155"/>
      <c r="F526" s="155"/>
      <c r="G526" s="88"/>
      <c r="H526" s="155"/>
      <c r="I526" s="155"/>
      <c r="J526" s="155"/>
      <c r="K526" s="15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58"/>
      <c r="AA526" s="105"/>
      <c r="AB526" s="105"/>
      <c r="AC526" s="105"/>
      <c r="AD526" s="105"/>
      <c r="AE526" s="105"/>
      <c r="AF526" s="105"/>
      <c r="AG526" s="105"/>
      <c r="AH526" s="158"/>
      <c r="AI526" s="88"/>
      <c r="AJ526" s="88"/>
      <c r="AK526" s="131"/>
      <c r="AL526" s="131"/>
      <c r="AM526" s="131"/>
      <c r="AN526" s="131"/>
      <c r="AO526" s="131"/>
      <c r="AP526" s="88"/>
      <c r="AQ526" s="88"/>
    </row>
    <row r="527">
      <c r="A527" s="173"/>
      <c r="B527" s="173"/>
      <c r="C527" s="174"/>
      <c r="D527" s="173"/>
      <c r="E527" s="155"/>
      <c r="F527" s="155"/>
      <c r="G527" s="88"/>
      <c r="H527" s="155"/>
      <c r="I527" s="155"/>
      <c r="J527" s="155"/>
      <c r="K527" s="15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58"/>
      <c r="AA527" s="105"/>
      <c r="AB527" s="105"/>
      <c r="AC527" s="105"/>
      <c r="AD527" s="105"/>
      <c r="AE527" s="105"/>
      <c r="AF527" s="105"/>
      <c r="AG527" s="105"/>
      <c r="AH527" s="158"/>
      <c r="AI527" s="88"/>
      <c r="AJ527" s="88"/>
      <c r="AK527" s="131"/>
      <c r="AL527" s="131"/>
      <c r="AM527" s="131"/>
      <c r="AN527" s="131"/>
      <c r="AO527" s="131"/>
      <c r="AP527" s="88"/>
      <c r="AQ527" s="88"/>
    </row>
    <row r="528">
      <c r="A528" s="173"/>
      <c r="B528" s="173"/>
      <c r="C528" s="174"/>
      <c r="D528" s="173"/>
      <c r="E528" s="155"/>
      <c r="F528" s="155"/>
      <c r="G528" s="88"/>
      <c r="H528" s="155"/>
      <c r="I528" s="155"/>
      <c r="J528" s="155"/>
      <c r="K528" s="15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58"/>
      <c r="AA528" s="105"/>
      <c r="AB528" s="105"/>
      <c r="AC528" s="105"/>
      <c r="AD528" s="105"/>
      <c r="AE528" s="105"/>
      <c r="AF528" s="105"/>
      <c r="AG528" s="105"/>
      <c r="AH528" s="158"/>
      <c r="AI528" s="88"/>
      <c r="AJ528" s="88"/>
      <c r="AK528" s="131"/>
      <c r="AL528" s="131"/>
      <c r="AM528" s="131"/>
      <c r="AN528" s="131"/>
      <c r="AO528" s="131"/>
      <c r="AP528" s="88"/>
      <c r="AQ528" s="88"/>
    </row>
    <row r="529">
      <c r="A529" s="173"/>
      <c r="B529" s="173"/>
      <c r="C529" s="174"/>
      <c r="D529" s="173"/>
      <c r="E529" s="155"/>
      <c r="F529" s="155"/>
      <c r="G529" s="88"/>
      <c r="H529" s="155"/>
      <c r="I529" s="155"/>
      <c r="J529" s="155"/>
      <c r="K529" s="15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58"/>
      <c r="AA529" s="105"/>
      <c r="AB529" s="105"/>
      <c r="AC529" s="105"/>
      <c r="AD529" s="105"/>
      <c r="AE529" s="105"/>
      <c r="AF529" s="105"/>
      <c r="AG529" s="105"/>
      <c r="AH529" s="158"/>
      <c r="AI529" s="88"/>
      <c r="AJ529" s="88"/>
      <c r="AK529" s="131"/>
      <c r="AL529" s="131"/>
      <c r="AM529" s="131"/>
      <c r="AN529" s="131"/>
      <c r="AO529" s="131"/>
      <c r="AP529" s="88"/>
      <c r="AQ529" s="88"/>
    </row>
    <row r="530">
      <c r="A530" s="173"/>
      <c r="B530" s="173"/>
      <c r="C530" s="174"/>
      <c r="D530" s="173"/>
      <c r="E530" s="155"/>
      <c r="F530" s="155"/>
      <c r="G530" s="88"/>
      <c r="H530" s="155"/>
      <c r="I530" s="155"/>
      <c r="J530" s="155"/>
      <c r="K530" s="15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58"/>
      <c r="AA530" s="105"/>
      <c r="AB530" s="105"/>
      <c r="AC530" s="105"/>
      <c r="AD530" s="105"/>
      <c r="AE530" s="105"/>
      <c r="AF530" s="105"/>
      <c r="AG530" s="105"/>
      <c r="AH530" s="158"/>
      <c r="AI530" s="88"/>
      <c r="AJ530" s="88"/>
      <c r="AK530" s="131"/>
      <c r="AL530" s="131"/>
      <c r="AM530" s="131"/>
      <c r="AN530" s="131"/>
      <c r="AO530" s="131"/>
      <c r="AP530" s="88"/>
      <c r="AQ530" s="88"/>
    </row>
    <row r="531">
      <c r="A531" s="173"/>
      <c r="B531" s="173"/>
      <c r="C531" s="174"/>
      <c r="D531" s="173"/>
      <c r="E531" s="155"/>
      <c r="F531" s="155"/>
      <c r="G531" s="88"/>
      <c r="H531" s="155"/>
      <c r="I531" s="155"/>
      <c r="J531" s="155"/>
      <c r="K531" s="15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58"/>
      <c r="AA531" s="105"/>
      <c r="AB531" s="105"/>
      <c r="AC531" s="105"/>
      <c r="AD531" s="105"/>
      <c r="AE531" s="105"/>
      <c r="AF531" s="105"/>
      <c r="AG531" s="105"/>
      <c r="AH531" s="158"/>
      <c r="AI531" s="88"/>
      <c r="AJ531" s="88"/>
      <c r="AK531" s="131"/>
      <c r="AL531" s="131"/>
      <c r="AM531" s="131"/>
      <c r="AN531" s="131"/>
      <c r="AO531" s="131"/>
      <c r="AP531" s="88"/>
      <c r="AQ531" s="88"/>
    </row>
    <row r="532">
      <c r="A532" s="173"/>
      <c r="B532" s="173"/>
      <c r="C532" s="174"/>
      <c r="D532" s="173"/>
      <c r="E532" s="155"/>
      <c r="F532" s="155"/>
      <c r="G532" s="88"/>
      <c r="H532" s="155"/>
      <c r="I532" s="155"/>
      <c r="J532" s="155"/>
      <c r="K532" s="15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58"/>
      <c r="AA532" s="105"/>
      <c r="AB532" s="105"/>
      <c r="AC532" s="105"/>
      <c r="AD532" s="105"/>
      <c r="AE532" s="105"/>
      <c r="AF532" s="105"/>
      <c r="AG532" s="105"/>
      <c r="AH532" s="158"/>
      <c r="AI532" s="88"/>
      <c r="AJ532" s="88"/>
      <c r="AK532" s="131"/>
      <c r="AL532" s="131"/>
      <c r="AM532" s="131"/>
      <c r="AN532" s="131"/>
      <c r="AO532" s="131"/>
      <c r="AP532" s="88"/>
      <c r="AQ532" s="88"/>
    </row>
    <row r="533">
      <c r="A533" s="173"/>
      <c r="B533" s="173"/>
      <c r="C533" s="174"/>
      <c r="D533" s="173"/>
      <c r="E533" s="155"/>
      <c r="F533" s="155"/>
      <c r="G533" s="88"/>
      <c r="H533" s="155"/>
      <c r="I533" s="155"/>
      <c r="J533" s="155"/>
      <c r="K533" s="15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58"/>
      <c r="AA533" s="105"/>
      <c r="AB533" s="105"/>
      <c r="AC533" s="105"/>
      <c r="AD533" s="105"/>
      <c r="AE533" s="105"/>
      <c r="AF533" s="105"/>
      <c r="AG533" s="105"/>
      <c r="AH533" s="158"/>
      <c r="AI533" s="88"/>
      <c r="AJ533" s="88"/>
      <c r="AK533" s="131"/>
      <c r="AL533" s="131"/>
      <c r="AM533" s="131"/>
      <c r="AN533" s="131"/>
      <c r="AO533" s="131"/>
      <c r="AP533" s="88"/>
      <c r="AQ533" s="88"/>
    </row>
    <row r="534">
      <c r="A534" s="173"/>
      <c r="B534" s="173"/>
      <c r="C534" s="174"/>
      <c r="D534" s="173"/>
      <c r="E534" s="155"/>
      <c r="F534" s="155"/>
      <c r="G534" s="88"/>
      <c r="H534" s="155"/>
      <c r="I534" s="155"/>
      <c r="J534" s="155"/>
      <c r="K534" s="15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58"/>
      <c r="AA534" s="105"/>
      <c r="AB534" s="105"/>
      <c r="AC534" s="105"/>
      <c r="AD534" s="105"/>
      <c r="AE534" s="105"/>
      <c r="AF534" s="105"/>
      <c r="AG534" s="105"/>
      <c r="AH534" s="158"/>
      <c r="AI534" s="88"/>
      <c r="AJ534" s="88"/>
      <c r="AK534" s="131"/>
      <c r="AL534" s="131"/>
      <c r="AM534" s="131"/>
      <c r="AN534" s="131"/>
      <c r="AO534" s="131"/>
      <c r="AP534" s="88"/>
      <c r="AQ534" s="88"/>
    </row>
    <row r="535">
      <c r="A535" s="173"/>
      <c r="B535" s="173"/>
      <c r="C535" s="174"/>
      <c r="D535" s="173"/>
      <c r="E535" s="155"/>
      <c r="F535" s="155"/>
      <c r="G535" s="88"/>
      <c r="H535" s="155"/>
      <c r="I535" s="155"/>
      <c r="J535" s="155"/>
      <c r="K535" s="15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58"/>
      <c r="AA535" s="105"/>
      <c r="AB535" s="105"/>
      <c r="AC535" s="105"/>
      <c r="AD535" s="105"/>
      <c r="AE535" s="105"/>
      <c r="AF535" s="105"/>
      <c r="AG535" s="105"/>
      <c r="AH535" s="158"/>
      <c r="AI535" s="88"/>
      <c r="AJ535" s="88"/>
      <c r="AK535" s="131"/>
      <c r="AL535" s="131"/>
      <c r="AM535" s="131"/>
      <c r="AN535" s="131"/>
      <c r="AO535" s="131"/>
      <c r="AP535" s="88"/>
      <c r="AQ535" s="88"/>
    </row>
    <row r="536">
      <c r="A536" s="173"/>
      <c r="B536" s="173"/>
      <c r="C536" s="174"/>
      <c r="D536" s="173"/>
      <c r="E536" s="155"/>
      <c r="F536" s="155"/>
      <c r="G536" s="88"/>
      <c r="H536" s="155"/>
      <c r="I536" s="155"/>
      <c r="J536" s="155"/>
      <c r="K536" s="15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58"/>
      <c r="AA536" s="105"/>
      <c r="AB536" s="105"/>
      <c r="AC536" s="105"/>
      <c r="AD536" s="105"/>
      <c r="AE536" s="105"/>
      <c r="AF536" s="105"/>
      <c r="AG536" s="105"/>
      <c r="AH536" s="158"/>
      <c r="AI536" s="88"/>
      <c r="AJ536" s="88"/>
      <c r="AK536" s="131"/>
      <c r="AL536" s="131"/>
      <c r="AM536" s="131"/>
      <c r="AN536" s="131"/>
      <c r="AO536" s="131"/>
      <c r="AP536" s="88"/>
      <c r="AQ536" s="88"/>
    </row>
    <row r="537">
      <c r="A537" s="173"/>
      <c r="B537" s="173"/>
      <c r="C537" s="174"/>
      <c r="D537" s="173"/>
      <c r="E537" s="155"/>
      <c r="F537" s="155"/>
      <c r="G537" s="88"/>
      <c r="H537" s="155"/>
      <c r="I537" s="155"/>
      <c r="J537" s="155"/>
      <c r="K537" s="15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58"/>
      <c r="AA537" s="105"/>
      <c r="AB537" s="105"/>
      <c r="AC537" s="105"/>
      <c r="AD537" s="105"/>
      <c r="AE537" s="105"/>
      <c r="AF537" s="105"/>
      <c r="AG537" s="105"/>
      <c r="AH537" s="158"/>
      <c r="AI537" s="88"/>
      <c r="AJ537" s="88"/>
      <c r="AK537" s="131"/>
      <c r="AL537" s="131"/>
      <c r="AM537" s="131"/>
      <c r="AN537" s="131"/>
      <c r="AO537" s="131"/>
      <c r="AP537" s="88"/>
      <c r="AQ537" s="88"/>
    </row>
    <row r="538">
      <c r="A538" s="173"/>
      <c r="B538" s="173"/>
      <c r="C538" s="174"/>
      <c r="D538" s="173"/>
      <c r="E538" s="155"/>
      <c r="F538" s="155"/>
      <c r="G538" s="88"/>
      <c r="H538" s="155"/>
      <c r="I538" s="155"/>
      <c r="J538" s="155"/>
      <c r="K538" s="15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58"/>
      <c r="AA538" s="105"/>
      <c r="AB538" s="105"/>
      <c r="AC538" s="105"/>
      <c r="AD538" s="105"/>
      <c r="AE538" s="105"/>
      <c r="AF538" s="105"/>
      <c r="AG538" s="105"/>
      <c r="AH538" s="158"/>
      <c r="AI538" s="88"/>
      <c r="AJ538" s="88"/>
      <c r="AK538" s="131"/>
      <c r="AL538" s="131"/>
      <c r="AM538" s="131"/>
      <c r="AN538" s="131"/>
      <c r="AO538" s="131"/>
      <c r="AP538" s="88"/>
      <c r="AQ538" s="88"/>
    </row>
    <row r="539">
      <c r="A539" s="173"/>
      <c r="B539" s="173"/>
      <c r="C539" s="174"/>
      <c r="D539" s="173"/>
      <c r="E539" s="155"/>
      <c r="F539" s="155"/>
      <c r="G539" s="88"/>
      <c r="H539" s="155"/>
      <c r="I539" s="155"/>
      <c r="J539" s="155"/>
      <c r="K539" s="15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58"/>
      <c r="AA539" s="105"/>
      <c r="AB539" s="105"/>
      <c r="AC539" s="105"/>
      <c r="AD539" s="105"/>
      <c r="AE539" s="105"/>
      <c r="AF539" s="105"/>
      <c r="AG539" s="105"/>
      <c r="AH539" s="158"/>
      <c r="AI539" s="88"/>
      <c r="AJ539" s="88"/>
      <c r="AK539" s="131"/>
      <c r="AL539" s="131"/>
      <c r="AM539" s="131"/>
      <c r="AN539" s="131"/>
      <c r="AO539" s="131"/>
      <c r="AP539" s="88"/>
      <c r="AQ539" s="88"/>
    </row>
    <row r="540">
      <c r="A540" s="173"/>
      <c r="B540" s="173"/>
      <c r="C540" s="174"/>
      <c r="D540" s="173"/>
      <c r="E540" s="155"/>
      <c r="F540" s="155"/>
      <c r="G540" s="88"/>
      <c r="H540" s="155"/>
      <c r="I540" s="155"/>
      <c r="J540" s="155"/>
      <c r="K540" s="15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58"/>
      <c r="AA540" s="105"/>
      <c r="AB540" s="105"/>
      <c r="AC540" s="105"/>
      <c r="AD540" s="105"/>
      <c r="AE540" s="105"/>
      <c r="AF540" s="105"/>
      <c r="AG540" s="105"/>
      <c r="AH540" s="158"/>
      <c r="AI540" s="88"/>
      <c r="AJ540" s="88"/>
      <c r="AK540" s="131"/>
      <c r="AL540" s="131"/>
      <c r="AM540" s="131"/>
      <c r="AN540" s="131"/>
      <c r="AO540" s="131"/>
      <c r="AP540" s="88"/>
      <c r="AQ540" s="88"/>
    </row>
    <row r="541">
      <c r="A541" s="173"/>
      <c r="B541" s="173"/>
      <c r="C541" s="174"/>
      <c r="D541" s="173"/>
      <c r="E541" s="155"/>
      <c r="F541" s="155"/>
      <c r="G541" s="88"/>
      <c r="H541" s="155"/>
      <c r="I541" s="155"/>
      <c r="J541" s="155"/>
      <c r="K541" s="15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58"/>
      <c r="AA541" s="105"/>
      <c r="AB541" s="105"/>
      <c r="AC541" s="105"/>
      <c r="AD541" s="105"/>
      <c r="AE541" s="105"/>
      <c r="AF541" s="105"/>
      <c r="AG541" s="105"/>
      <c r="AH541" s="158"/>
      <c r="AI541" s="88"/>
      <c r="AJ541" s="88"/>
      <c r="AK541" s="131"/>
      <c r="AL541" s="131"/>
      <c r="AM541" s="131"/>
      <c r="AN541" s="131"/>
      <c r="AO541" s="131"/>
      <c r="AP541" s="88"/>
      <c r="AQ541" s="88"/>
    </row>
    <row r="542">
      <c r="A542" s="173"/>
      <c r="B542" s="173"/>
      <c r="C542" s="174"/>
      <c r="D542" s="173"/>
      <c r="E542" s="155"/>
      <c r="F542" s="155"/>
      <c r="G542" s="88"/>
      <c r="H542" s="155"/>
      <c r="I542" s="155"/>
      <c r="J542" s="155"/>
      <c r="K542" s="15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58"/>
      <c r="AA542" s="105"/>
      <c r="AB542" s="105"/>
      <c r="AC542" s="105"/>
      <c r="AD542" s="105"/>
      <c r="AE542" s="105"/>
      <c r="AF542" s="105"/>
      <c r="AG542" s="105"/>
      <c r="AH542" s="158"/>
      <c r="AI542" s="88"/>
      <c r="AJ542" s="88"/>
      <c r="AK542" s="131"/>
      <c r="AL542" s="131"/>
      <c r="AM542" s="131"/>
      <c r="AN542" s="131"/>
      <c r="AO542" s="131"/>
      <c r="AP542" s="88"/>
      <c r="AQ542" s="88"/>
    </row>
    <row r="543">
      <c r="A543" s="173"/>
      <c r="B543" s="173"/>
      <c r="C543" s="174"/>
      <c r="D543" s="173"/>
      <c r="E543" s="155"/>
      <c r="F543" s="155"/>
      <c r="G543" s="88"/>
      <c r="H543" s="155"/>
      <c r="I543" s="155"/>
      <c r="J543" s="155"/>
      <c r="K543" s="15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58"/>
      <c r="AA543" s="105"/>
      <c r="AB543" s="105"/>
      <c r="AC543" s="105"/>
      <c r="AD543" s="105"/>
      <c r="AE543" s="105"/>
      <c r="AF543" s="105"/>
      <c r="AG543" s="105"/>
      <c r="AH543" s="158"/>
      <c r="AI543" s="88"/>
      <c r="AJ543" s="88"/>
      <c r="AK543" s="131"/>
      <c r="AL543" s="131"/>
      <c r="AM543" s="131"/>
      <c r="AN543" s="131"/>
      <c r="AO543" s="131"/>
      <c r="AP543" s="88"/>
      <c r="AQ543" s="88"/>
    </row>
    <row r="544">
      <c r="A544" s="173"/>
      <c r="B544" s="173"/>
      <c r="C544" s="174"/>
      <c r="D544" s="173"/>
      <c r="E544" s="155"/>
      <c r="F544" s="155"/>
      <c r="G544" s="88"/>
      <c r="H544" s="155"/>
      <c r="I544" s="155"/>
      <c r="J544" s="155"/>
      <c r="K544" s="15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58"/>
      <c r="AA544" s="105"/>
      <c r="AB544" s="105"/>
      <c r="AC544" s="105"/>
      <c r="AD544" s="105"/>
      <c r="AE544" s="105"/>
      <c r="AF544" s="105"/>
      <c r="AG544" s="105"/>
      <c r="AH544" s="158"/>
      <c r="AI544" s="88"/>
      <c r="AJ544" s="88"/>
      <c r="AK544" s="131"/>
      <c r="AL544" s="131"/>
      <c r="AM544" s="131"/>
      <c r="AN544" s="131"/>
      <c r="AO544" s="131"/>
      <c r="AP544" s="88"/>
      <c r="AQ544" s="88"/>
    </row>
    <row r="545">
      <c r="A545" s="173"/>
      <c r="B545" s="173"/>
      <c r="C545" s="174"/>
      <c r="D545" s="173"/>
      <c r="E545" s="155"/>
      <c r="F545" s="155"/>
      <c r="G545" s="88"/>
      <c r="H545" s="155"/>
      <c r="I545" s="155"/>
      <c r="J545" s="155"/>
      <c r="K545" s="15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58"/>
      <c r="AA545" s="105"/>
      <c r="AB545" s="105"/>
      <c r="AC545" s="105"/>
      <c r="AD545" s="105"/>
      <c r="AE545" s="105"/>
      <c r="AF545" s="105"/>
      <c r="AG545" s="105"/>
      <c r="AH545" s="158"/>
      <c r="AI545" s="88"/>
      <c r="AJ545" s="88"/>
      <c r="AK545" s="131"/>
      <c r="AL545" s="131"/>
      <c r="AM545" s="131"/>
      <c r="AN545" s="131"/>
      <c r="AO545" s="131"/>
      <c r="AP545" s="88"/>
      <c r="AQ545" s="88"/>
    </row>
    <row r="546">
      <c r="A546" s="173"/>
      <c r="B546" s="173"/>
      <c r="C546" s="174"/>
      <c r="D546" s="173"/>
      <c r="E546" s="155"/>
      <c r="F546" s="155"/>
      <c r="G546" s="88"/>
      <c r="H546" s="155"/>
      <c r="I546" s="155"/>
      <c r="J546" s="155"/>
      <c r="K546" s="15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58"/>
      <c r="AA546" s="105"/>
      <c r="AB546" s="105"/>
      <c r="AC546" s="105"/>
      <c r="AD546" s="105"/>
      <c r="AE546" s="105"/>
      <c r="AF546" s="105"/>
      <c r="AG546" s="105"/>
      <c r="AH546" s="158"/>
      <c r="AI546" s="88"/>
      <c r="AJ546" s="88"/>
      <c r="AK546" s="131"/>
      <c r="AL546" s="131"/>
      <c r="AM546" s="131"/>
      <c r="AN546" s="131"/>
      <c r="AO546" s="131"/>
      <c r="AP546" s="88"/>
      <c r="AQ546" s="88"/>
    </row>
    <row r="547">
      <c r="A547" s="173"/>
      <c r="B547" s="173"/>
      <c r="C547" s="174"/>
      <c r="D547" s="173"/>
      <c r="E547" s="155"/>
      <c r="F547" s="155"/>
      <c r="G547" s="88"/>
      <c r="H547" s="155"/>
      <c r="I547" s="155"/>
      <c r="J547" s="155"/>
      <c r="K547" s="15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58"/>
      <c r="AA547" s="105"/>
      <c r="AB547" s="105"/>
      <c r="AC547" s="105"/>
      <c r="AD547" s="105"/>
      <c r="AE547" s="105"/>
      <c r="AF547" s="105"/>
      <c r="AG547" s="105"/>
      <c r="AH547" s="158"/>
      <c r="AI547" s="88"/>
      <c r="AJ547" s="88"/>
      <c r="AK547" s="131"/>
      <c r="AL547" s="131"/>
      <c r="AM547" s="131"/>
      <c r="AN547" s="131"/>
      <c r="AO547" s="131"/>
      <c r="AP547" s="88"/>
      <c r="AQ547" s="88"/>
    </row>
    <row r="548">
      <c r="A548" s="173"/>
      <c r="B548" s="173"/>
      <c r="C548" s="174"/>
      <c r="D548" s="173"/>
      <c r="E548" s="155"/>
      <c r="F548" s="155"/>
      <c r="G548" s="88"/>
      <c r="H548" s="155"/>
      <c r="I548" s="155"/>
      <c r="J548" s="155"/>
      <c r="K548" s="15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58"/>
      <c r="AA548" s="105"/>
      <c r="AB548" s="105"/>
      <c r="AC548" s="105"/>
      <c r="AD548" s="105"/>
      <c r="AE548" s="105"/>
      <c r="AF548" s="105"/>
      <c r="AG548" s="105"/>
      <c r="AH548" s="158"/>
      <c r="AI548" s="88"/>
      <c r="AJ548" s="88"/>
      <c r="AK548" s="131"/>
      <c r="AL548" s="131"/>
      <c r="AM548" s="131"/>
      <c r="AN548" s="131"/>
      <c r="AO548" s="131"/>
      <c r="AP548" s="88"/>
      <c r="AQ548" s="88"/>
    </row>
    <row r="549">
      <c r="A549" s="173"/>
      <c r="B549" s="173"/>
      <c r="C549" s="174"/>
      <c r="D549" s="173"/>
      <c r="E549" s="155"/>
      <c r="F549" s="155"/>
      <c r="G549" s="88"/>
      <c r="H549" s="155"/>
      <c r="I549" s="155"/>
      <c r="J549" s="155"/>
      <c r="K549" s="15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58"/>
      <c r="AA549" s="105"/>
      <c r="AB549" s="105"/>
      <c r="AC549" s="105"/>
      <c r="AD549" s="105"/>
      <c r="AE549" s="105"/>
      <c r="AF549" s="105"/>
      <c r="AG549" s="105"/>
      <c r="AH549" s="158"/>
      <c r="AI549" s="88"/>
      <c r="AJ549" s="88"/>
      <c r="AK549" s="131"/>
      <c r="AL549" s="131"/>
      <c r="AM549" s="131"/>
      <c r="AN549" s="131"/>
      <c r="AO549" s="131"/>
      <c r="AP549" s="88"/>
      <c r="AQ549" s="88"/>
    </row>
    <row r="550">
      <c r="A550" s="173"/>
      <c r="B550" s="173"/>
      <c r="C550" s="174"/>
      <c r="D550" s="173"/>
      <c r="E550" s="155"/>
      <c r="F550" s="155"/>
      <c r="G550" s="88"/>
      <c r="H550" s="155"/>
      <c r="I550" s="155"/>
      <c r="J550" s="155"/>
      <c r="K550" s="15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58"/>
      <c r="AA550" s="105"/>
      <c r="AB550" s="105"/>
      <c r="AC550" s="105"/>
      <c r="AD550" s="105"/>
      <c r="AE550" s="105"/>
      <c r="AF550" s="105"/>
      <c r="AG550" s="105"/>
      <c r="AH550" s="158"/>
      <c r="AI550" s="88"/>
      <c r="AJ550" s="88"/>
      <c r="AK550" s="131"/>
      <c r="AL550" s="131"/>
      <c r="AM550" s="131"/>
      <c r="AN550" s="131"/>
      <c r="AO550" s="131"/>
      <c r="AP550" s="88"/>
      <c r="AQ550" s="88"/>
    </row>
    <row r="551">
      <c r="A551" s="173"/>
      <c r="B551" s="173"/>
      <c r="C551" s="174"/>
      <c r="D551" s="173"/>
      <c r="E551" s="155"/>
      <c r="F551" s="155"/>
      <c r="G551" s="88"/>
      <c r="H551" s="155"/>
      <c r="I551" s="155"/>
      <c r="J551" s="155"/>
      <c r="K551" s="15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58"/>
      <c r="AA551" s="105"/>
      <c r="AB551" s="105"/>
      <c r="AC551" s="105"/>
      <c r="AD551" s="105"/>
      <c r="AE551" s="105"/>
      <c r="AF551" s="105"/>
      <c r="AG551" s="105"/>
      <c r="AH551" s="158"/>
      <c r="AI551" s="88"/>
      <c r="AJ551" s="88"/>
      <c r="AK551" s="131"/>
      <c r="AL551" s="131"/>
      <c r="AM551" s="131"/>
      <c r="AN551" s="131"/>
      <c r="AO551" s="131"/>
      <c r="AP551" s="88"/>
      <c r="AQ551" s="88"/>
    </row>
    <row r="552">
      <c r="A552" s="173"/>
      <c r="B552" s="173"/>
      <c r="C552" s="174"/>
      <c r="D552" s="173"/>
      <c r="E552" s="155"/>
      <c r="F552" s="155"/>
      <c r="G552" s="88"/>
      <c r="H552" s="155"/>
      <c r="I552" s="155"/>
      <c r="J552" s="155"/>
      <c r="K552" s="15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58"/>
      <c r="AA552" s="105"/>
      <c r="AB552" s="105"/>
      <c r="AC552" s="105"/>
      <c r="AD552" s="105"/>
      <c r="AE552" s="105"/>
      <c r="AF552" s="105"/>
      <c r="AG552" s="105"/>
      <c r="AH552" s="158"/>
      <c r="AI552" s="88"/>
      <c r="AJ552" s="88"/>
      <c r="AK552" s="131"/>
      <c r="AL552" s="131"/>
      <c r="AM552" s="131"/>
      <c r="AN552" s="131"/>
      <c r="AO552" s="131"/>
      <c r="AP552" s="88"/>
      <c r="AQ552" s="88"/>
    </row>
    <row r="553">
      <c r="A553" s="173"/>
      <c r="B553" s="173"/>
      <c r="C553" s="174"/>
      <c r="D553" s="173"/>
      <c r="E553" s="155"/>
      <c r="F553" s="155"/>
      <c r="G553" s="88"/>
      <c r="H553" s="155"/>
      <c r="I553" s="155"/>
      <c r="J553" s="155"/>
      <c r="K553" s="15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58"/>
      <c r="AA553" s="105"/>
      <c r="AB553" s="105"/>
      <c r="AC553" s="105"/>
      <c r="AD553" s="105"/>
      <c r="AE553" s="105"/>
      <c r="AF553" s="105"/>
      <c r="AG553" s="105"/>
      <c r="AH553" s="158"/>
      <c r="AI553" s="88"/>
      <c r="AJ553" s="88"/>
      <c r="AK553" s="131"/>
      <c r="AL553" s="131"/>
      <c r="AM553" s="131"/>
      <c r="AN553" s="131"/>
      <c r="AO553" s="131"/>
      <c r="AP553" s="88"/>
      <c r="AQ553" s="88"/>
    </row>
    <row r="554">
      <c r="A554" s="173"/>
      <c r="B554" s="173"/>
      <c r="C554" s="174"/>
      <c r="D554" s="173"/>
      <c r="E554" s="155"/>
      <c r="F554" s="155"/>
      <c r="G554" s="88"/>
      <c r="H554" s="155"/>
      <c r="I554" s="155"/>
      <c r="J554" s="155"/>
      <c r="K554" s="15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58"/>
      <c r="AA554" s="105"/>
      <c r="AB554" s="105"/>
      <c r="AC554" s="105"/>
      <c r="AD554" s="105"/>
      <c r="AE554" s="105"/>
      <c r="AF554" s="105"/>
      <c r="AG554" s="105"/>
      <c r="AH554" s="158"/>
      <c r="AI554" s="88"/>
      <c r="AJ554" s="88"/>
      <c r="AK554" s="131"/>
      <c r="AL554" s="131"/>
      <c r="AM554" s="131"/>
      <c r="AN554" s="131"/>
      <c r="AO554" s="131"/>
      <c r="AP554" s="88"/>
      <c r="AQ554" s="88"/>
    </row>
    <row r="555">
      <c r="A555" s="173"/>
      <c r="B555" s="173"/>
      <c r="C555" s="174"/>
      <c r="D555" s="173"/>
      <c r="E555" s="155"/>
      <c r="F555" s="155"/>
      <c r="G555" s="88"/>
      <c r="H555" s="155"/>
      <c r="I555" s="155"/>
      <c r="J555" s="155"/>
      <c r="K555" s="15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58"/>
      <c r="AA555" s="105"/>
      <c r="AB555" s="105"/>
      <c r="AC555" s="105"/>
      <c r="AD555" s="105"/>
      <c r="AE555" s="105"/>
      <c r="AF555" s="105"/>
      <c r="AG555" s="105"/>
      <c r="AH555" s="158"/>
      <c r="AI555" s="88"/>
      <c r="AJ555" s="88"/>
      <c r="AK555" s="131"/>
      <c r="AL555" s="131"/>
      <c r="AM555" s="131"/>
      <c r="AN555" s="131"/>
      <c r="AO555" s="131"/>
      <c r="AP555" s="88"/>
      <c r="AQ555" s="88"/>
    </row>
    <row r="556">
      <c r="A556" s="173"/>
      <c r="B556" s="173"/>
      <c r="C556" s="174"/>
      <c r="D556" s="173"/>
      <c r="E556" s="155"/>
      <c r="F556" s="155"/>
      <c r="G556" s="88"/>
      <c r="H556" s="155"/>
      <c r="I556" s="155"/>
      <c r="J556" s="155"/>
      <c r="K556" s="15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58"/>
      <c r="AA556" s="105"/>
      <c r="AB556" s="105"/>
      <c r="AC556" s="105"/>
      <c r="AD556" s="105"/>
      <c r="AE556" s="105"/>
      <c r="AF556" s="105"/>
      <c r="AG556" s="105"/>
      <c r="AH556" s="158"/>
      <c r="AI556" s="88"/>
      <c r="AJ556" s="88"/>
      <c r="AK556" s="131"/>
      <c r="AL556" s="131"/>
      <c r="AM556" s="131"/>
      <c r="AN556" s="131"/>
      <c r="AO556" s="131"/>
      <c r="AP556" s="88"/>
      <c r="AQ556" s="88"/>
    </row>
    <row r="557">
      <c r="A557" s="173"/>
      <c r="B557" s="173"/>
      <c r="C557" s="174"/>
      <c r="D557" s="173"/>
      <c r="E557" s="155"/>
      <c r="F557" s="155"/>
      <c r="G557" s="88"/>
      <c r="H557" s="155"/>
      <c r="I557" s="155"/>
      <c r="J557" s="155"/>
      <c r="K557" s="15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58"/>
      <c r="AA557" s="105"/>
      <c r="AB557" s="105"/>
      <c r="AC557" s="105"/>
      <c r="AD557" s="105"/>
      <c r="AE557" s="105"/>
      <c r="AF557" s="105"/>
      <c r="AG557" s="105"/>
      <c r="AH557" s="158"/>
      <c r="AI557" s="88"/>
      <c r="AJ557" s="88"/>
      <c r="AK557" s="131"/>
      <c r="AL557" s="131"/>
      <c r="AM557" s="131"/>
      <c r="AN557" s="131"/>
      <c r="AO557" s="131"/>
      <c r="AP557" s="88"/>
      <c r="AQ557" s="88"/>
    </row>
    <row r="558">
      <c r="A558" s="173"/>
      <c r="B558" s="173"/>
      <c r="C558" s="174"/>
      <c r="D558" s="173"/>
      <c r="E558" s="155"/>
      <c r="F558" s="155"/>
      <c r="G558" s="88"/>
      <c r="H558" s="155"/>
      <c r="I558" s="155"/>
      <c r="J558" s="155"/>
      <c r="K558" s="15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58"/>
      <c r="AA558" s="105"/>
      <c r="AB558" s="105"/>
      <c r="AC558" s="105"/>
      <c r="AD558" s="105"/>
      <c r="AE558" s="105"/>
      <c r="AF558" s="105"/>
      <c r="AG558" s="105"/>
      <c r="AH558" s="158"/>
      <c r="AI558" s="88"/>
      <c r="AJ558" s="88"/>
      <c r="AK558" s="131"/>
      <c r="AL558" s="131"/>
      <c r="AM558" s="131"/>
      <c r="AN558" s="131"/>
      <c r="AO558" s="131"/>
      <c r="AP558" s="88"/>
      <c r="AQ558" s="88"/>
    </row>
    <row r="559">
      <c r="A559" s="173"/>
      <c r="B559" s="173"/>
      <c r="C559" s="174"/>
      <c r="D559" s="173"/>
      <c r="E559" s="155"/>
      <c r="F559" s="155"/>
      <c r="G559" s="88"/>
      <c r="H559" s="155"/>
      <c r="I559" s="155"/>
      <c r="J559" s="155"/>
      <c r="K559" s="15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58"/>
      <c r="AA559" s="105"/>
      <c r="AB559" s="105"/>
      <c r="AC559" s="105"/>
      <c r="AD559" s="105"/>
      <c r="AE559" s="105"/>
      <c r="AF559" s="105"/>
      <c r="AG559" s="105"/>
      <c r="AH559" s="158"/>
      <c r="AI559" s="88"/>
      <c r="AJ559" s="88"/>
      <c r="AK559" s="131"/>
      <c r="AL559" s="131"/>
      <c r="AM559" s="131"/>
      <c r="AN559" s="131"/>
      <c r="AO559" s="131"/>
      <c r="AP559" s="88"/>
      <c r="AQ559" s="88"/>
    </row>
    <row r="560">
      <c r="A560" s="173"/>
      <c r="B560" s="173"/>
      <c r="C560" s="174"/>
      <c r="D560" s="173"/>
      <c r="E560" s="155"/>
      <c r="F560" s="155"/>
      <c r="G560" s="88"/>
      <c r="H560" s="155"/>
      <c r="I560" s="155"/>
      <c r="J560" s="155"/>
      <c r="K560" s="15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58"/>
      <c r="AA560" s="105"/>
      <c r="AB560" s="105"/>
      <c r="AC560" s="105"/>
      <c r="AD560" s="105"/>
      <c r="AE560" s="105"/>
      <c r="AF560" s="105"/>
      <c r="AG560" s="105"/>
      <c r="AH560" s="158"/>
      <c r="AI560" s="88"/>
      <c r="AJ560" s="88"/>
      <c r="AK560" s="131"/>
      <c r="AL560" s="131"/>
      <c r="AM560" s="131"/>
      <c r="AN560" s="131"/>
      <c r="AO560" s="131"/>
      <c r="AP560" s="88"/>
      <c r="AQ560" s="88"/>
    </row>
    <row r="561">
      <c r="A561" s="173"/>
      <c r="B561" s="173"/>
      <c r="C561" s="174"/>
      <c r="D561" s="173"/>
      <c r="E561" s="155"/>
      <c r="F561" s="155"/>
      <c r="G561" s="88"/>
      <c r="H561" s="155"/>
      <c r="I561" s="155"/>
      <c r="J561" s="155"/>
      <c r="K561" s="15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58"/>
      <c r="AA561" s="105"/>
      <c r="AB561" s="105"/>
      <c r="AC561" s="105"/>
      <c r="AD561" s="105"/>
      <c r="AE561" s="105"/>
      <c r="AF561" s="105"/>
      <c r="AG561" s="105"/>
      <c r="AH561" s="158"/>
      <c r="AI561" s="88"/>
      <c r="AJ561" s="88"/>
      <c r="AK561" s="131"/>
      <c r="AL561" s="131"/>
      <c r="AM561" s="131"/>
      <c r="AN561" s="131"/>
      <c r="AO561" s="131"/>
      <c r="AP561" s="88"/>
      <c r="AQ561" s="88"/>
    </row>
    <row r="562">
      <c r="A562" s="173"/>
      <c r="B562" s="173"/>
      <c r="C562" s="174"/>
      <c r="D562" s="173"/>
      <c r="E562" s="155"/>
      <c r="F562" s="155"/>
      <c r="G562" s="88"/>
      <c r="H562" s="155"/>
      <c r="I562" s="155"/>
      <c r="J562" s="155"/>
      <c r="K562" s="15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58"/>
      <c r="AA562" s="105"/>
      <c r="AB562" s="105"/>
      <c r="AC562" s="105"/>
      <c r="AD562" s="105"/>
      <c r="AE562" s="105"/>
      <c r="AF562" s="105"/>
      <c r="AG562" s="105"/>
      <c r="AH562" s="158"/>
      <c r="AI562" s="88"/>
      <c r="AJ562" s="88"/>
      <c r="AK562" s="131"/>
      <c r="AL562" s="131"/>
      <c r="AM562" s="131"/>
      <c r="AN562" s="131"/>
      <c r="AO562" s="131"/>
      <c r="AP562" s="88"/>
      <c r="AQ562" s="88"/>
    </row>
    <row r="563">
      <c r="A563" s="173"/>
      <c r="B563" s="173"/>
      <c r="C563" s="174"/>
      <c r="D563" s="173"/>
      <c r="E563" s="155"/>
      <c r="F563" s="155"/>
      <c r="G563" s="88"/>
      <c r="H563" s="155"/>
      <c r="I563" s="155"/>
      <c r="J563" s="155"/>
      <c r="K563" s="15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58"/>
      <c r="AA563" s="105"/>
      <c r="AB563" s="105"/>
      <c r="AC563" s="105"/>
      <c r="AD563" s="105"/>
      <c r="AE563" s="105"/>
      <c r="AF563" s="105"/>
      <c r="AG563" s="105"/>
      <c r="AH563" s="158"/>
      <c r="AI563" s="88"/>
      <c r="AJ563" s="88"/>
      <c r="AK563" s="131"/>
      <c r="AL563" s="131"/>
      <c r="AM563" s="131"/>
      <c r="AN563" s="131"/>
      <c r="AO563" s="131"/>
      <c r="AP563" s="88"/>
      <c r="AQ563" s="88"/>
    </row>
    <row r="564">
      <c r="A564" s="173"/>
      <c r="B564" s="173"/>
      <c r="C564" s="174"/>
      <c r="D564" s="173"/>
      <c r="E564" s="155"/>
      <c r="F564" s="155"/>
      <c r="G564" s="88"/>
      <c r="H564" s="155"/>
      <c r="I564" s="155"/>
      <c r="J564" s="155"/>
      <c r="K564" s="15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58"/>
      <c r="AA564" s="105"/>
      <c r="AB564" s="105"/>
      <c r="AC564" s="105"/>
      <c r="AD564" s="105"/>
      <c r="AE564" s="105"/>
      <c r="AF564" s="105"/>
      <c r="AG564" s="105"/>
      <c r="AH564" s="158"/>
      <c r="AI564" s="88"/>
      <c r="AJ564" s="88"/>
      <c r="AK564" s="131"/>
      <c r="AL564" s="131"/>
      <c r="AM564" s="131"/>
      <c r="AN564" s="131"/>
      <c r="AO564" s="131"/>
      <c r="AP564" s="88"/>
      <c r="AQ564" s="88"/>
    </row>
    <row r="565">
      <c r="A565" s="173"/>
      <c r="B565" s="173"/>
      <c r="C565" s="174"/>
      <c r="D565" s="173"/>
      <c r="E565" s="155"/>
      <c r="F565" s="155"/>
      <c r="G565" s="88"/>
      <c r="H565" s="155"/>
      <c r="I565" s="155"/>
      <c r="J565" s="155"/>
      <c r="K565" s="15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58"/>
      <c r="AA565" s="105"/>
      <c r="AB565" s="105"/>
      <c r="AC565" s="105"/>
      <c r="AD565" s="105"/>
      <c r="AE565" s="105"/>
      <c r="AF565" s="105"/>
      <c r="AG565" s="105"/>
      <c r="AH565" s="158"/>
      <c r="AI565" s="88"/>
      <c r="AJ565" s="88"/>
      <c r="AK565" s="131"/>
      <c r="AL565" s="131"/>
      <c r="AM565" s="131"/>
      <c r="AN565" s="131"/>
      <c r="AO565" s="131"/>
      <c r="AP565" s="88"/>
      <c r="AQ565" s="88"/>
    </row>
    <row r="566">
      <c r="A566" s="173"/>
      <c r="B566" s="173"/>
      <c r="C566" s="174"/>
      <c r="D566" s="173"/>
      <c r="E566" s="155"/>
      <c r="F566" s="155"/>
      <c r="G566" s="88"/>
      <c r="H566" s="155"/>
      <c r="I566" s="155"/>
      <c r="J566" s="155"/>
      <c r="K566" s="15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58"/>
      <c r="AA566" s="105"/>
      <c r="AB566" s="105"/>
      <c r="AC566" s="105"/>
      <c r="AD566" s="105"/>
      <c r="AE566" s="105"/>
      <c r="AF566" s="105"/>
      <c r="AG566" s="105"/>
      <c r="AH566" s="158"/>
      <c r="AI566" s="88"/>
      <c r="AJ566" s="88"/>
      <c r="AK566" s="131"/>
      <c r="AL566" s="131"/>
      <c r="AM566" s="131"/>
      <c r="AN566" s="131"/>
      <c r="AO566" s="131"/>
      <c r="AP566" s="88"/>
      <c r="AQ566" s="88"/>
    </row>
    <row r="567">
      <c r="A567" s="173"/>
      <c r="B567" s="173"/>
      <c r="C567" s="174"/>
      <c r="D567" s="173"/>
      <c r="E567" s="155"/>
      <c r="F567" s="155"/>
      <c r="G567" s="88"/>
      <c r="H567" s="155"/>
      <c r="I567" s="155"/>
      <c r="J567" s="155"/>
      <c r="K567" s="15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58"/>
      <c r="AA567" s="105"/>
      <c r="AB567" s="105"/>
      <c r="AC567" s="105"/>
      <c r="AD567" s="105"/>
      <c r="AE567" s="105"/>
      <c r="AF567" s="105"/>
      <c r="AG567" s="105"/>
      <c r="AH567" s="158"/>
      <c r="AI567" s="88"/>
      <c r="AJ567" s="88"/>
      <c r="AK567" s="131"/>
      <c r="AL567" s="131"/>
      <c r="AM567" s="131"/>
      <c r="AN567" s="131"/>
      <c r="AO567" s="131"/>
      <c r="AP567" s="88"/>
      <c r="AQ567" s="88"/>
    </row>
    <row r="568">
      <c r="A568" s="173"/>
      <c r="B568" s="173"/>
      <c r="C568" s="174"/>
      <c r="D568" s="173"/>
      <c r="E568" s="155"/>
      <c r="F568" s="155"/>
      <c r="G568" s="88"/>
      <c r="H568" s="155"/>
      <c r="I568" s="155"/>
      <c r="J568" s="155"/>
      <c r="K568" s="15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58"/>
      <c r="AA568" s="105"/>
      <c r="AB568" s="105"/>
      <c r="AC568" s="105"/>
      <c r="AD568" s="105"/>
      <c r="AE568" s="105"/>
      <c r="AF568" s="105"/>
      <c r="AG568" s="105"/>
      <c r="AH568" s="158"/>
      <c r="AI568" s="88"/>
      <c r="AJ568" s="88"/>
      <c r="AK568" s="131"/>
      <c r="AL568" s="131"/>
      <c r="AM568" s="131"/>
      <c r="AN568" s="131"/>
      <c r="AO568" s="131"/>
      <c r="AP568" s="88"/>
      <c r="AQ568" s="88"/>
    </row>
    <row r="569">
      <c r="A569" s="173"/>
      <c r="B569" s="173"/>
      <c r="C569" s="174"/>
      <c r="D569" s="173"/>
      <c r="E569" s="155"/>
      <c r="F569" s="155"/>
      <c r="G569" s="88"/>
      <c r="H569" s="155"/>
      <c r="I569" s="155"/>
      <c r="J569" s="155"/>
      <c r="K569" s="15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58"/>
      <c r="AA569" s="105"/>
      <c r="AB569" s="105"/>
      <c r="AC569" s="105"/>
      <c r="AD569" s="105"/>
      <c r="AE569" s="105"/>
      <c r="AF569" s="105"/>
      <c r="AG569" s="105"/>
      <c r="AH569" s="158"/>
      <c r="AI569" s="88"/>
      <c r="AJ569" s="88"/>
      <c r="AK569" s="131"/>
      <c r="AL569" s="131"/>
      <c r="AM569" s="131"/>
      <c r="AN569" s="131"/>
      <c r="AO569" s="131"/>
      <c r="AP569" s="88"/>
      <c r="AQ569" s="88"/>
    </row>
    <row r="570">
      <c r="A570" s="173"/>
      <c r="B570" s="173"/>
      <c r="C570" s="174"/>
      <c r="D570" s="173"/>
      <c r="E570" s="155"/>
      <c r="F570" s="155"/>
      <c r="G570" s="88"/>
      <c r="H570" s="155"/>
      <c r="I570" s="155"/>
      <c r="J570" s="155"/>
      <c r="K570" s="15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58"/>
      <c r="AA570" s="105"/>
      <c r="AB570" s="105"/>
      <c r="AC570" s="105"/>
      <c r="AD570" s="105"/>
      <c r="AE570" s="105"/>
      <c r="AF570" s="105"/>
      <c r="AG570" s="105"/>
      <c r="AH570" s="158"/>
      <c r="AI570" s="88"/>
      <c r="AJ570" s="88"/>
      <c r="AK570" s="131"/>
      <c r="AL570" s="131"/>
      <c r="AM570" s="131"/>
      <c r="AN570" s="131"/>
      <c r="AO570" s="131"/>
      <c r="AP570" s="88"/>
      <c r="AQ570" s="88"/>
    </row>
    <row r="571">
      <c r="A571" s="173"/>
      <c r="B571" s="173"/>
      <c r="C571" s="174"/>
      <c r="D571" s="173"/>
      <c r="E571" s="155"/>
      <c r="F571" s="155"/>
      <c r="G571" s="88"/>
      <c r="H571" s="155"/>
      <c r="I571" s="155"/>
      <c r="J571" s="155"/>
      <c r="K571" s="15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58"/>
      <c r="AA571" s="105"/>
      <c r="AB571" s="105"/>
      <c r="AC571" s="105"/>
      <c r="AD571" s="105"/>
      <c r="AE571" s="105"/>
      <c r="AF571" s="105"/>
      <c r="AG571" s="105"/>
      <c r="AH571" s="158"/>
      <c r="AI571" s="88"/>
      <c r="AJ571" s="88"/>
      <c r="AK571" s="131"/>
      <c r="AL571" s="131"/>
      <c r="AM571" s="131"/>
      <c r="AN571" s="131"/>
      <c r="AO571" s="131"/>
      <c r="AP571" s="88"/>
      <c r="AQ571" s="88"/>
    </row>
    <row r="572">
      <c r="A572" s="173"/>
      <c r="B572" s="173"/>
      <c r="C572" s="174"/>
      <c r="D572" s="173"/>
      <c r="E572" s="155"/>
      <c r="F572" s="155"/>
      <c r="G572" s="88"/>
      <c r="H572" s="155"/>
      <c r="I572" s="155"/>
      <c r="J572" s="155"/>
      <c r="K572" s="15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58"/>
      <c r="AA572" s="105"/>
      <c r="AB572" s="105"/>
      <c r="AC572" s="105"/>
      <c r="AD572" s="105"/>
      <c r="AE572" s="105"/>
      <c r="AF572" s="105"/>
      <c r="AG572" s="105"/>
      <c r="AH572" s="158"/>
      <c r="AI572" s="88"/>
      <c r="AJ572" s="88"/>
      <c r="AK572" s="131"/>
      <c r="AL572" s="131"/>
      <c r="AM572" s="131"/>
      <c r="AN572" s="131"/>
      <c r="AO572" s="131"/>
      <c r="AP572" s="88"/>
      <c r="AQ572" s="88"/>
    </row>
    <row r="573">
      <c r="A573" s="173"/>
      <c r="B573" s="173"/>
      <c r="C573" s="174"/>
      <c r="D573" s="173"/>
      <c r="E573" s="155"/>
      <c r="F573" s="155"/>
      <c r="G573" s="88"/>
      <c r="H573" s="155"/>
      <c r="I573" s="155"/>
      <c r="J573" s="155"/>
      <c r="K573" s="15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58"/>
      <c r="AA573" s="105"/>
      <c r="AB573" s="105"/>
      <c r="AC573" s="105"/>
      <c r="AD573" s="105"/>
      <c r="AE573" s="105"/>
      <c r="AF573" s="105"/>
      <c r="AG573" s="105"/>
      <c r="AH573" s="158"/>
      <c r="AI573" s="88"/>
      <c r="AJ573" s="88"/>
      <c r="AK573" s="131"/>
      <c r="AL573" s="131"/>
      <c r="AM573" s="131"/>
      <c r="AN573" s="131"/>
      <c r="AO573" s="131"/>
      <c r="AP573" s="88"/>
      <c r="AQ573" s="88"/>
    </row>
    <row r="574">
      <c r="A574" s="173"/>
      <c r="B574" s="173"/>
      <c r="C574" s="174"/>
      <c r="D574" s="173"/>
      <c r="E574" s="155"/>
      <c r="F574" s="155"/>
      <c r="G574" s="88"/>
      <c r="H574" s="155"/>
      <c r="I574" s="155"/>
      <c r="J574" s="155"/>
      <c r="K574" s="15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58"/>
      <c r="AA574" s="105"/>
      <c r="AB574" s="105"/>
      <c r="AC574" s="105"/>
      <c r="AD574" s="105"/>
      <c r="AE574" s="105"/>
      <c r="AF574" s="105"/>
      <c r="AG574" s="105"/>
      <c r="AH574" s="158"/>
      <c r="AI574" s="88"/>
      <c r="AJ574" s="88"/>
      <c r="AK574" s="131"/>
      <c r="AL574" s="131"/>
      <c r="AM574" s="131"/>
      <c r="AN574" s="131"/>
      <c r="AO574" s="131"/>
      <c r="AP574" s="88"/>
      <c r="AQ574" s="88"/>
    </row>
    <row r="575">
      <c r="A575" s="173"/>
      <c r="B575" s="173"/>
      <c r="C575" s="174"/>
      <c r="D575" s="173"/>
      <c r="E575" s="155"/>
      <c r="F575" s="155"/>
      <c r="G575" s="88"/>
      <c r="H575" s="155"/>
      <c r="I575" s="155"/>
      <c r="J575" s="155"/>
      <c r="K575" s="15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58"/>
      <c r="AA575" s="105"/>
      <c r="AB575" s="105"/>
      <c r="AC575" s="105"/>
      <c r="AD575" s="105"/>
      <c r="AE575" s="105"/>
      <c r="AF575" s="105"/>
      <c r="AG575" s="105"/>
      <c r="AH575" s="158"/>
      <c r="AI575" s="88"/>
      <c r="AJ575" s="88"/>
      <c r="AK575" s="131"/>
      <c r="AL575" s="131"/>
      <c r="AM575" s="131"/>
      <c r="AN575" s="131"/>
      <c r="AO575" s="131"/>
      <c r="AP575" s="88"/>
      <c r="AQ575" s="88"/>
    </row>
    <row r="576">
      <c r="A576" s="173"/>
      <c r="B576" s="173"/>
      <c r="C576" s="174"/>
      <c r="D576" s="173"/>
      <c r="E576" s="155"/>
      <c r="F576" s="155"/>
      <c r="G576" s="88"/>
      <c r="H576" s="155"/>
      <c r="I576" s="155"/>
      <c r="J576" s="155"/>
      <c r="K576" s="15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58"/>
      <c r="AA576" s="105"/>
      <c r="AB576" s="105"/>
      <c r="AC576" s="105"/>
      <c r="AD576" s="105"/>
      <c r="AE576" s="105"/>
      <c r="AF576" s="105"/>
      <c r="AG576" s="105"/>
      <c r="AH576" s="158"/>
      <c r="AI576" s="88"/>
      <c r="AJ576" s="88"/>
      <c r="AK576" s="131"/>
      <c r="AL576" s="131"/>
      <c r="AM576" s="131"/>
      <c r="AN576" s="131"/>
      <c r="AO576" s="131"/>
      <c r="AP576" s="88"/>
      <c r="AQ576" s="88"/>
    </row>
    <row r="577">
      <c r="A577" s="173"/>
      <c r="B577" s="173"/>
      <c r="C577" s="174"/>
      <c r="D577" s="173"/>
      <c r="E577" s="155"/>
      <c r="F577" s="155"/>
      <c r="G577" s="88"/>
      <c r="H577" s="155"/>
      <c r="I577" s="155"/>
      <c r="J577" s="155"/>
      <c r="K577" s="15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58"/>
      <c r="AA577" s="105"/>
      <c r="AB577" s="105"/>
      <c r="AC577" s="105"/>
      <c r="AD577" s="105"/>
      <c r="AE577" s="105"/>
      <c r="AF577" s="105"/>
      <c r="AG577" s="105"/>
      <c r="AH577" s="158"/>
      <c r="AI577" s="88"/>
      <c r="AJ577" s="88"/>
      <c r="AK577" s="131"/>
      <c r="AL577" s="131"/>
      <c r="AM577" s="131"/>
      <c r="AN577" s="131"/>
      <c r="AO577" s="131"/>
      <c r="AP577" s="88"/>
      <c r="AQ577" s="88"/>
    </row>
    <row r="578">
      <c r="A578" s="173"/>
      <c r="B578" s="173"/>
      <c r="C578" s="174"/>
      <c r="D578" s="173"/>
      <c r="E578" s="155"/>
      <c r="F578" s="155"/>
      <c r="G578" s="88"/>
      <c r="H578" s="155"/>
      <c r="I578" s="155"/>
      <c r="J578" s="155"/>
      <c r="K578" s="15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58"/>
      <c r="AA578" s="105"/>
      <c r="AB578" s="105"/>
      <c r="AC578" s="105"/>
      <c r="AD578" s="105"/>
      <c r="AE578" s="105"/>
      <c r="AF578" s="105"/>
      <c r="AG578" s="105"/>
      <c r="AH578" s="158"/>
      <c r="AI578" s="88"/>
      <c r="AJ578" s="88"/>
      <c r="AK578" s="131"/>
      <c r="AL578" s="131"/>
      <c r="AM578" s="131"/>
      <c r="AN578" s="131"/>
      <c r="AO578" s="131"/>
      <c r="AP578" s="88"/>
      <c r="AQ578" s="88"/>
    </row>
    <row r="579">
      <c r="A579" s="173"/>
      <c r="B579" s="173"/>
      <c r="C579" s="174"/>
      <c r="D579" s="173"/>
      <c r="E579" s="155"/>
      <c r="F579" s="155"/>
      <c r="G579" s="88"/>
      <c r="H579" s="155"/>
      <c r="I579" s="155"/>
      <c r="J579" s="155"/>
      <c r="K579" s="15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58"/>
      <c r="AA579" s="105"/>
      <c r="AB579" s="105"/>
      <c r="AC579" s="105"/>
      <c r="AD579" s="105"/>
      <c r="AE579" s="105"/>
      <c r="AF579" s="105"/>
      <c r="AG579" s="105"/>
      <c r="AH579" s="158"/>
      <c r="AI579" s="88"/>
      <c r="AJ579" s="88"/>
      <c r="AK579" s="131"/>
      <c r="AL579" s="131"/>
      <c r="AM579" s="131"/>
      <c r="AN579" s="131"/>
      <c r="AO579" s="131"/>
      <c r="AP579" s="88"/>
      <c r="AQ579" s="88"/>
    </row>
    <row r="580">
      <c r="A580" s="173"/>
      <c r="B580" s="173"/>
      <c r="C580" s="174"/>
      <c r="D580" s="173"/>
      <c r="E580" s="155"/>
      <c r="F580" s="155"/>
      <c r="G580" s="88"/>
      <c r="H580" s="155"/>
      <c r="I580" s="155"/>
      <c r="J580" s="155"/>
      <c r="K580" s="15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58"/>
      <c r="AA580" s="105"/>
      <c r="AB580" s="105"/>
      <c r="AC580" s="105"/>
      <c r="AD580" s="105"/>
      <c r="AE580" s="105"/>
      <c r="AF580" s="105"/>
      <c r="AG580" s="105"/>
      <c r="AH580" s="158"/>
      <c r="AI580" s="88"/>
      <c r="AJ580" s="88"/>
      <c r="AK580" s="131"/>
      <c r="AL580" s="131"/>
      <c r="AM580" s="131"/>
      <c r="AN580" s="131"/>
      <c r="AO580" s="131"/>
      <c r="AP580" s="88"/>
      <c r="AQ580" s="88"/>
    </row>
    <row r="581">
      <c r="A581" s="173"/>
      <c r="B581" s="173"/>
      <c r="C581" s="174"/>
      <c r="D581" s="173"/>
      <c r="E581" s="155"/>
      <c r="F581" s="155"/>
      <c r="G581" s="88"/>
      <c r="H581" s="155"/>
      <c r="I581" s="155"/>
      <c r="J581" s="155"/>
      <c r="K581" s="15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58"/>
      <c r="AA581" s="105"/>
      <c r="AB581" s="105"/>
      <c r="AC581" s="105"/>
      <c r="AD581" s="105"/>
      <c r="AE581" s="105"/>
      <c r="AF581" s="105"/>
      <c r="AG581" s="105"/>
      <c r="AH581" s="158"/>
      <c r="AI581" s="88"/>
      <c r="AJ581" s="88"/>
      <c r="AK581" s="131"/>
      <c r="AL581" s="131"/>
      <c r="AM581" s="131"/>
      <c r="AN581" s="131"/>
      <c r="AO581" s="131"/>
      <c r="AP581" s="88"/>
      <c r="AQ581" s="88"/>
    </row>
    <row r="582">
      <c r="A582" s="173"/>
      <c r="B582" s="173"/>
      <c r="C582" s="174"/>
      <c r="D582" s="173"/>
      <c r="E582" s="155"/>
      <c r="F582" s="155"/>
      <c r="G582" s="88"/>
      <c r="H582" s="155"/>
      <c r="I582" s="155"/>
      <c r="J582" s="155"/>
      <c r="K582" s="15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58"/>
      <c r="AA582" s="105"/>
      <c r="AB582" s="105"/>
      <c r="AC582" s="105"/>
      <c r="AD582" s="105"/>
      <c r="AE582" s="105"/>
      <c r="AF582" s="105"/>
      <c r="AG582" s="105"/>
      <c r="AH582" s="158"/>
      <c r="AI582" s="88"/>
      <c r="AJ582" s="88"/>
      <c r="AK582" s="131"/>
      <c r="AL582" s="131"/>
      <c r="AM582" s="131"/>
      <c r="AN582" s="131"/>
      <c r="AO582" s="131"/>
      <c r="AP582" s="88"/>
      <c r="AQ582" s="88"/>
    </row>
    <row r="583">
      <c r="A583" s="173"/>
      <c r="B583" s="173"/>
      <c r="C583" s="174"/>
      <c r="D583" s="173"/>
      <c r="E583" s="155"/>
      <c r="F583" s="155"/>
      <c r="G583" s="88"/>
      <c r="H583" s="155"/>
      <c r="I583" s="155"/>
      <c r="J583" s="155"/>
      <c r="K583" s="15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58"/>
      <c r="AA583" s="105"/>
      <c r="AB583" s="105"/>
      <c r="AC583" s="105"/>
      <c r="AD583" s="105"/>
      <c r="AE583" s="105"/>
      <c r="AF583" s="105"/>
      <c r="AG583" s="105"/>
      <c r="AH583" s="158"/>
      <c r="AI583" s="88"/>
      <c r="AJ583" s="88"/>
      <c r="AK583" s="131"/>
      <c r="AL583" s="131"/>
      <c r="AM583" s="131"/>
      <c r="AN583" s="131"/>
      <c r="AO583" s="131"/>
      <c r="AP583" s="88"/>
      <c r="AQ583" s="88"/>
    </row>
    <row r="584">
      <c r="A584" s="173"/>
      <c r="B584" s="173"/>
      <c r="C584" s="174"/>
      <c r="D584" s="173"/>
      <c r="E584" s="155"/>
      <c r="F584" s="155"/>
      <c r="G584" s="88"/>
      <c r="H584" s="155"/>
      <c r="I584" s="155"/>
      <c r="J584" s="155"/>
      <c r="K584" s="15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58"/>
      <c r="AA584" s="105"/>
      <c r="AB584" s="105"/>
      <c r="AC584" s="105"/>
      <c r="AD584" s="105"/>
      <c r="AE584" s="105"/>
      <c r="AF584" s="105"/>
      <c r="AG584" s="105"/>
      <c r="AH584" s="158"/>
      <c r="AI584" s="88"/>
      <c r="AJ584" s="88"/>
      <c r="AK584" s="131"/>
      <c r="AL584" s="131"/>
      <c r="AM584" s="131"/>
      <c r="AN584" s="131"/>
      <c r="AO584" s="131"/>
      <c r="AP584" s="88"/>
      <c r="AQ584" s="88"/>
    </row>
    <row r="585">
      <c r="A585" s="173"/>
      <c r="B585" s="173"/>
      <c r="C585" s="174"/>
      <c r="D585" s="173"/>
      <c r="E585" s="155"/>
      <c r="F585" s="155"/>
      <c r="G585" s="88"/>
      <c r="H585" s="155"/>
      <c r="I585" s="155"/>
      <c r="J585" s="155"/>
      <c r="K585" s="15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58"/>
      <c r="AA585" s="105"/>
      <c r="AB585" s="105"/>
      <c r="AC585" s="105"/>
      <c r="AD585" s="105"/>
      <c r="AE585" s="105"/>
      <c r="AF585" s="105"/>
      <c r="AG585" s="105"/>
      <c r="AH585" s="158"/>
      <c r="AI585" s="88"/>
      <c r="AJ585" s="88"/>
      <c r="AK585" s="131"/>
      <c r="AL585" s="131"/>
      <c r="AM585" s="131"/>
      <c r="AN585" s="131"/>
      <c r="AO585" s="131"/>
      <c r="AP585" s="88"/>
      <c r="AQ585" s="88"/>
    </row>
    <row r="586">
      <c r="A586" s="173"/>
      <c r="B586" s="173"/>
      <c r="C586" s="174"/>
      <c r="D586" s="173"/>
      <c r="E586" s="155"/>
      <c r="F586" s="155"/>
      <c r="G586" s="88"/>
      <c r="H586" s="155"/>
      <c r="I586" s="155"/>
      <c r="J586" s="155"/>
      <c r="K586" s="15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58"/>
      <c r="AA586" s="105"/>
      <c r="AB586" s="105"/>
      <c r="AC586" s="105"/>
      <c r="AD586" s="105"/>
      <c r="AE586" s="105"/>
      <c r="AF586" s="105"/>
      <c r="AG586" s="105"/>
      <c r="AH586" s="158"/>
      <c r="AI586" s="88"/>
      <c r="AJ586" s="88"/>
      <c r="AK586" s="131"/>
      <c r="AL586" s="131"/>
      <c r="AM586" s="131"/>
      <c r="AN586" s="131"/>
      <c r="AO586" s="131"/>
      <c r="AP586" s="88"/>
      <c r="AQ586" s="88"/>
    </row>
    <row r="587">
      <c r="A587" s="173"/>
      <c r="B587" s="173"/>
      <c r="C587" s="174"/>
      <c r="D587" s="173"/>
      <c r="E587" s="155"/>
      <c r="F587" s="155"/>
      <c r="G587" s="88"/>
      <c r="H587" s="155"/>
      <c r="I587" s="155"/>
      <c r="J587" s="155"/>
      <c r="K587" s="15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58"/>
      <c r="AA587" s="105"/>
      <c r="AB587" s="105"/>
      <c r="AC587" s="105"/>
      <c r="AD587" s="105"/>
      <c r="AE587" s="105"/>
      <c r="AF587" s="105"/>
      <c r="AG587" s="105"/>
      <c r="AH587" s="158"/>
      <c r="AI587" s="88"/>
      <c r="AJ587" s="88"/>
      <c r="AK587" s="131"/>
      <c r="AL587" s="131"/>
      <c r="AM587" s="131"/>
      <c r="AN587" s="131"/>
      <c r="AO587" s="131"/>
      <c r="AP587" s="88"/>
      <c r="AQ587" s="88"/>
    </row>
    <row r="588">
      <c r="A588" s="173"/>
      <c r="B588" s="173"/>
      <c r="C588" s="174"/>
      <c r="D588" s="173"/>
      <c r="E588" s="155"/>
      <c r="F588" s="155"/>
      <c r="G588" s="88"/>
      <c r="H588" s="155"/>
      <c r="I588" s="155"/>
      <c r="J588" s="155"/>
      <c r="K588" s="15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58"/>
      <c r="AA588" s="105"/>
      <c r="AB588" s="105"/>
      <c r="AC588" s="105"/>
      <c r="AD588" s="105"/>
      <c r="AE588" s="105"/>
      <c r="AF588" s="105"/>
      <c r="AG588" s="105"/>
      <c r="AH588" s="158"/>
      <c r="AI588" s="88"/>
      <c r="AJ588" s="88"/>
      <c r="AK588" s="131"/>
      <c r="AL588" s="131"/>
      <c r="AM588" s="131"/>
      <c r="AN588" s="131"/>
      <c r="AO588" s="131"/>
      <c r="AP588" s="88"/>
      <c r="AQ588" s="88"/>
    </row>
    <row r="589">
      <c r="A589" s="173"/>
      <c r="B589" s="173"/>
      <c r="C589" s="174"/>
      <c r="D589" s="173"/>
      <c r="E589" s="155"/>
      <c r="F589" s="155"/>
      <c r="G589" s="88"/>
      <c r="H589" s="155"/>
      <c r="I589" s="155"/>
      <c r="J589" s="155"/>
      <c r="K589" s="15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58"/>
      <c r="AA589" s="105"/>
      <c r="AB589" s="105"/>
      <c r="AC589" s="105"/>
      <c r="AD589" s="105"/>
      <c r="AE589" s="105"/>
      <c r="AF589" s="105"/>
      <c r="AG589" s="105"/>
      <c r="AH589" s="158"/>
      <c r="AI589" s="88"/>
      <c r="AJ589" s="88"/>
      <c r="AK589" s="131"/>
      <c r="AL589" s="131"/>
      <c r="AM589" s="131"/>
      <c r="AN589" s="131"/>
      <c r="AO589" s="131"/>
      <c r="AP589" s="88"/>
      <c r="AQ589" s="88"/>
    </row>
    <row r="590">
      <c r="A590" s="173"/>
      <c r="B590" s="173"/>
      <c r="C590" s="174"/>
      <c r="D590" s="173"/>
      <c r="E590" s="155"/>
      <c r="F590" s="155"/>
      <c r="G590" s="88"/>
      <c r="H590" s="155"/>
      <c r="I590" s="155"/>
      <c r="J590" s="155"/>
      <c r="K590" s="15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58"/>
      <c r="AA590" s="105"/>
      <c r="AB590" s="105"/>
      <c r="AC590" s="105"/>
      <c r="AD590" s="105"/>
      <c r="AE590" s="105"/>
      <c r="AF590" s="105"/>
      <c r="AG590" s="105"/>
      <c r="AH590" s="158"/>
      <c r="AI590" s="88"/>
      <c r="AJ590" s="88"/>
      <c r="AK590" s="131"/>
      <c r="AL590" s="131"/>
      <c r="AM590" s="131"/>
      <c r="AN590" s="131"/>
      <c r="AO590" s="131"/>
      <c r="AP590" s="88"/>
      <c r="AQ590" s="88"/>
    </row>
    <row r="591">
      <c r="A591" s="173"/>
      <c r="B591" s="173"/>
      <c r="C591" s="174"/>
      <c r="D591" s="173"/>
      <c r="E591" s="155"/>
      <c r="F591" s="155"/>
      <c r="G591" s="88"/>
      <c r="H591" s="155"/>
      <c r="I591" s="155"/>
      <c r="J591" s="155"/>
      <c r="K591" s="15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58"/>
      <c r="AA591" s="105"/>
      <c r="AB591" s="105"/>
      <c r="AC591" s="105"/>
      <c r="AD591" s="105"/>
      <c r="AE591" s="105"/>
      <c r="AF591" s="105"/>
      <c r="AG591" s="105"/>
      <c r="AH591" s="158"/>
      <c r="AI591" s="88"/>
      <c r="AJ591" s="88"/>
      <c r="AK591" s="131"/>
      <c r="AL591" s="131"/>
      <c r="AM591" s="131"/>
      <c r="AN591" s="131"/>
      <c r="AO591" s="131"/>
      <c r="AP591" s="88"/>
      <c r="AQ591" s="88"/>
    </row>
    <row r="592">
      <c r="A592" s="173"/>
      <c r="B592" s="173"/>
      <c r="C592" s="174"/>
      <c r="D592" s="173"/>
      <c r="E592" s="155"/>
      <c r="F592" s="155"/>
      <c r="G592" s="88"/>
      <c r="H592" s="155"/>
      <c r="I592" s="155"/>
      <c r="J592" s="155"/>
      <c r="K592" s="15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58"/>
      <c r="AA592" s="105"/>
      <c r="AB592" s="105"/>
      <c r="AC592" s="105"/>
      <c r="AD592" s="105"/>
      <c r="AE592" s="105"/>
      <c r="AF592" s="105"/>
      <c r="AG592" s="105"/>
      <c r="AH592" s="158"/>
      <c r="AI592" s="88"/>
      <c r="AJ592" s="88"/>
      <c r="AK592" s="131"/>
      <c r="AL592" s="131"/>
      <c r="AM592" s="131"/>
      <c r="AN592" s="131"/>
      <c r="AO592" s="131"/>
      <c r="AP592" s="88"/>
      <c r="AQ592" s="88"/>
    </row>
    <row r="593">
      <c r="A593" s="173"/>
      <c r="B593" s="173"/>
      <c r="C593" s="174"/>
      <c r="D593" s="173"/>
      <c r="E593" s="155"/>
      <c r="F593" s="155"/>
      <c r="G593" s="88"/>
      <c r="H593" s="155"/>
      <c r="I593" s="155"/>
      <c r="J593" s="155"/>
      <c r="K593" s="15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58"/>
      <c r="AA593" s="105"/>
      <c r="AB593" s="105"/>
      <c r="AC593" s="105"/>
      <c r="AD593" s="105"/>
      <c r="AE593" s="105"/>
      <c r="AF593" s="105"/>
      <c r="AG593" s="105"/>
      <c r="AH593" s="158"/>
      <c r="AI593" s="88"/>
      <c r="AJ593" s="88"/>
      <c r="AK593" s="131"/>
      <c r="AL593" s="131"/>
      <c r="AM593" s="131"/>
      <c r="AN593" s="131"/>
      <c r="AO593" s="131"/>
      <c r="AP593" s="88"/>
      <c r="AQ593" s="88"/>
    </row>
    <row r="594">
      <c r="A594" s="173"/>
      <c r="B594" s="173"/>
      <c r="C594" s="174"/>
      <c r="D594" s="173"/>
      <c r="E594" s="155"/>
      <c r="F594" s="155"/>
      <c r="G594" s="88"/>
      <c r="H594" s="155"/>
      <c r="I594" s="155"/>
      <c r="J594" s="155"/>
      <c r="K594" s="15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58"/>
      <c r="AA594" s="105"/>
      <c r="AB594" s="105"/>
      <c r="AC594" s="105"/>
      <c r="AD594" s="105"/>
      <c r="AE594" s="105"/>
      <c r="AF594" s="105"/>
      <c r="AG594" s="105"/>
      <c r="AH594" s="158"/>
      <c r="AI594" s="88"/>
      <c r="AJ594" s="88"/>
      <c r="AK594" s="131"/>
      <c r="AL594" s="131"/>
      <c r="AM594" s="131"/>
      <c r="AN594" s="131"/>
      <c r="AO594" s="131"/>
      <c r="AP594" s="88"/>
      <c r="AQ594" s="88"/>
    </row>
    <row r="595">
      <c r="A595" s="173"/>
      <c r="B595" s="173"/>
      <c r="C595" s="174"/>
      <c r="D595" s="173"/>
      <c r="E595" s="155"/>
      <c r="F595" s="155"/>
      <c r="G595" s="88"/>
      <c r="H595" s="155"/>
      <c r="I595" s="155"/>
      <c r="J595" s="155"/>
      <c r="K595" s="15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58"/>
      <c r="AA595" s="105"/>
      <c r="AB595" s="105"/>
      <c r="AC595" s="105"/>
      <c r="AD595" s="105"/>
      <c r="AE595" s="105"/>
      <c r="AF595" s="105"/>
      <c r="AG595" s="105"/>
      <c r="AH595" s="158"/>
      <c r="AI595" s="88"/>
      <c r="AJ595" s="88"/>
      <c r="AK595" s="131"/>
      <c r="AL595" s="131"/>
      <c r="AM595" s="131"/>
      <c r="AN595" s="131"/>
      <c r="AO595" s="131"/>
      <c r="AP595" s="88"/>
      <c r="AQ595" s="88"/>
    </row>
    <row r="596">
      <c r="A596" s="173"/>
      <c r="B596" s="173"/>
      <c r="C596" s="174"/>
      <c r="D596" s="173"/>
      <c r="E596" s="155"/>
      <c r="F596" s="155"/>
      <c r="G596" s="88"/>
      <c r="H596" s="155"/>
      <c r="I596" s="155"/>
      <c r="J596" s="155"/>
      <c r="K596" s="15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58"/>
      <c r="AA596" s="105"/>
      <c r="AB596" s="105"/>
      <c r="AC596" s="105"/>
      <c r="AD596" s="105"/>
      <c r="AE596" s="105"/>
      <c r="AF596" s="105"/>
      <c r="AG596" s="105"/>
      <c r="AH596" s="158"/>
      <c r="AI596" s="88"/>
      <c r="AJ596" s="88"/>
      <c r="AK596" s="131"/>
      <c r="AL596" s="131"/>
      <c r="AM596" s="131"/>
      <c r="AN596" s="131"/>
      <c r="AO596" s="131"/>
      <c r="AP596" s="88"/>
      <c r="AQ596" s="88"/>
    </row>
    <row r="597">
      <c r="A597" s="173"/>
      <c r="B597" s="173"/>
      <c r="C597" s="174"/>
      <c r="D597" s="173"/>
      <c r="E597" s="155"/>
      <c r="F597" s="155"/>
      <c r="G597" s="88"/>
      <c r="H597" s="155"/>
      <c r="I597" s="155"/>
      <c r="J597" s="155"/>
      <c r="K597" s="15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58"/>
      <c r="AA597" s="105"/>
      <c r="AB597" s="105"/>
      <c r="AC597" s="105"/>
      <c r="AD597" s="105"/>
      <c r="AE597" s="105"/>
      <c r="AF597" s="105"/>
      <c r="AG597" s="105"/>
      <c r="AH597" s="158"/>
      <c r="AI597" s="88"/>
      <c r="AJ597" s="88"/>
      <c r="AK597" s="131"/>
      <c r="AL597" s="131"/>
      <c r="AM597" s="131"/>
      <c r="AN597" s="131"/>
      <c r="AO597" s="131"/>
      <c r="AP597" s="88"/>
      <c r="AQ597" s="88"/>
    </row>
    <row r="598">
      <c r="A598" s="173"/>
      <c r="B598" s="173"/>
      <c r="C598" s="174"/>
      <c r="D598" s="173"/>
      <c r="E598" s="155"/>
      <c r="F598" s="155"/>
      <c r="G598" s="88"/>
      <c r="H598" s="155"/>
      <c r="I598" s="155"/>
      <c r="J598" s="155"/>
      <c r="K598" s="15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58"/>
      <c r="AA598" s="105"/>
      <c r="AB598" s="105"/>
      <c r="AC598" s="105"/>
      <c r="AD598" s="105"/>
      <c r="AE598" s="105"/>
      <c r="AF598" s="105"/>
      <c r="AG598" s="105"/>
      <c r="AH598" s="158"/>
      <c r="AI598" s="88"/>
      <c r="AJ598" s="88"/>
      <c r="AK598" s="131"/>
      <c r="AL598" s="131"/>
      <c r="AM598" s="131"/>
      <c r="AN598" s="131"/>
      <c r="AO598" s="131"/>
      <c r="AP598" s="88"/>
      <c r="AQ598" s="88"/>
    </row>
    <row r="599">
      <c r="A599" s="173"/>
      <c r="B599" s="173"/>
      <c r="C599" s="174"/>
      <c r="D599" s="173"/>
      <c r="E599" s="155"/>
      <c r="F599" s="155"/>
      <c r="G599" s="88"/>
      <c r="H599" s="155"/>
      <c r="I599" s="155"/>
      <c r="J599" s="155"/>
      <c r="K599" s="15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58"/>
      <c r="AA599" s="105"/>
      <c r="AB599" s="105"/>
      <c r="AC599" s="105"/>
      <c r="AD599" s="105"/>
      <c r="AE599" s="105"/>
      <c r="AF599" s="105"/>
      <c r="AG599" s="105"/>
      <c r="AH599" s="158"/>
      <c r="AI599" s="88"/>
      <c r="AJ599" s="88"/>
      <c r="AK599" s="131"/>
      <c r="AL599" s="131"/>
      <c r="AM599" s="131"/>
      <c r="AN599" s="131"/>
      <c r="AO599" s="131"/>
      <c r="AP599" s="88"/>
      <c r="AQ599" s="88"/>
    </row>
    <row r="600">
      <c r="A600" s="173"/>
      <c r="B600" s="173"/>
      <c r="C600" s="174"/>
      <c r="D600" s="173"/>
      <c r="E600" s="155"/>
      <c r="F600" s="155"/>
      <c r="G600" s="88"/>
      <c r="H600" s="155"/>
      <c r="I600" s="155"/>
      <c r="J600" s="155"/>
      <c r="K600" s="15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58"/>
      <c r="AA600" s="105"/>
      <c r="AB600" s="105"/>
      <c r="AC600" s="105"/>
      <c r="AD600" s="105"/>
      <c r="AE600" s="105"/>
      <c r="AF600" s="105"/>
      <c r="AG600" s="105"/>
      <c r="AH600" s="158"/>
      <c r="AI600" s="88"/>
      <c r="AJ600" s="88"/>
      <c r="AK600" s="131"/>
      <c r="AL600" s="131"/>
      <c r="AM600" s="131"/>
      <c r="AN600" s="131"/>
      <c r="AO600" s="131"/>
      <c r="AP600" s="88"/>
      <c r="AQ600" s="88"/>
    </row>
    <row r="601">
      <c r="A601" s="173"/>
      <c r="B601" s="173"/>
      <c r="C601" s="174"/>
      <c r="D601" s="173"/>
      <c r="E601" s="155"/>
      <c r="F601" s="155"/>
      <c r="G601" s="88"/>
      <c r="H601" s="155"/>
      <c r="I601" s="155"/>
      <c r="J601" s="155"/>
      <c r="K601" s="15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58"/>
      <c r="AA601" s="105"/>
      <c r="AB601" s="105"/>
      <c r="AC601" s="105"/>
      <c r="AD601" s="105"/>
      <c r="AE601" s="105"/>
      <c r="AF601" s="105"/>
      <c r="AG601" s="105"/>
      <c r="AH601" s="158"/>
      <c r="AI601" s="88"/>
      <c r="AJ601" s="88"/>
      <c r="AK601" s="131"/>
      <c r="AL601" s="131"/>
      <c r="AM601" s="131"/>
      <c r="AN601" s="131"/>
      <c r="AO601" s="131"/>
      <c r="AP601" s="88"/>
      <c r="AQ601" s="88"/>
    </row>
    <row r="602">
      <c r="A602" s="173"/>
      <c r="B602" s="173"/>
      <c r="C602" s="174"/>
      <c r="D602" s="173"/>
      <c r="E602" s="155"/>
      <c r="F602" s="155"/>
      <c r="G602" s="88"/>
      <c r="H602" s="155"/>
      <c r="I602" s="155"/>
      <c r="J602" s="155"/>
      <c r="K602" s="15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58"/>
      <c r="AA602" s="105"/>
      <c r="AB602" s="105"/>
      <c r="AC602" s="105"/>
      <c r="AD602" s="105"/>
      <c r="AE602" s="105"/>
      <c r="AF602" s="105"/>
      <c r="AG602" s="105"/>
      <c r="AH602" s="158"/>
      <c r="AI602" s="88"/>
      <c r="AJ602" s="88"/>
      <c r="AK602" s="131"/>
      <c r="AL602" s="131"/>
      <c r="AM602" s="131"/>
      <c r="AN602" s="131"/>
      <c r="AO602" s="131"/>
      <c r="AP602" s="88"/>
      <c r="AQ602" s="88"/>
    </row>
    <row r="603">
      <c r="A603" s="173"/>
      <c r="B603" s="173"/>
      <c r="C603" s="174"/>
      <c r="D603" s="173"/>
      <c r="E603" s="155"/>
      <c r="F603" s="155"/>
      <c r="G603" s="88"/>
      <c r="H603" s="155"/>
      <c r="I603" s="155"/>
      <c r="J603" s="155"/>
      <c r="K603" s="15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58"/>
      <c r="AA603" s="105"/>
      <c r="AB603" s="105"/>
      <c r="AC603" s="105"/>
      <c r="AD603" s="105"/>
      <c r="AE603" s="105"/>
      <c r="AF603" s="105"/>
      <c r="AG603" s="105"/>
      <c r="AH603" s="158"/>
      <c r="AI603" s="88"/>
      <c r="AJ603" s="88"/>
      <c r="AK603" s="131"/>
      <c r="AL603" s="131"/>
      <c r="AM603" s="131"/>
      <c r="AN603" s="131"/>
      <c r="AO603" s="131"/>
      <c r="AP603" s="88"/>
      <c r="AQ603" s="88"/>
    </row>
    <row r="604">
      <c r="A604" s="173"/>
      <c r="B604" s="173"/>
      <c r="C604" s="174"/>
      <c r="D604" s="173"/>
      <c r="E604" s="155"/>
      <c r="F604" s="155"/>
      <c r="G604" s="88"/>
      <c r="H604" s="155"/>
      <c r="I604" s="155"/>
      <c r="J604" s="155"/>
      <c r="K604" s="15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58"/>
      <c r="AA604" s="105"/>
      <c r="AB604" s="105"/>
      <c r="AC604" s="105"/>
      <c r="AD604" s="105"/>
      <c r="AE604" s="105"/>
      <c r="AF604" s="105"/>
      <c r="AG604" s="105"/>
      <c r="AH604" s="158"/>
      <c r="AI604" s="88"/>
      <c r="AJ604" s="88"/>
      <c r="AK604" s="131"/>
      <c r="AL604" s="131"/>
      <c r="AM604" s="131"/>
      <c r="AN604" s="131"/>
      <c r="AO604" s="131"/>
      <c r="AP604" s="88"/>
      <c r="AQ604" s="88"/>
    </row>
    <row r="605">
      <c r="A605" s="173"/>
      <c r="B605" s="173"/>
      <c r="C605" s="174"/>
      <c r="D605" s="173"/>
      <c r="E605" s="155"/>
      <c r="F605" s="155"/>
      <c r="G605" s="88"/>
      <c r="H605" s="155"/>
      <c r="I605" s="155"/>
      <c r="J605" s="155"/>
      <c r="K605" s="15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58"/>
      <c r="AA605" s="105"/>
      <c r="AB605" s="105"/>
      <c r="AC605" s="105"/>
      <c r="AD605" s="105"/>
      <c r="AE605" s="105"/>
      <c r="AF605" s="105"/>
      <c r="AG605" s="105"/>
      <c r="AH605" s="158"/>
      <c r="AI605" s="88"/>
      <c r="AJ605" s="88"/>
      <c r="AK605" s="131"/>
      <c r="AL605" s="131"/>
      <c r="AM605" s="131"/>
      <c r="AN605" s="131"/>
      <c r="AO605" s="131"/>
      <c r="AP605" s="88"/>
      <c r="AQ605" s="88"/>
    </row>
    <row r="606">
      <c r="A606" s="173"/>
      <c r="B606" s="173"/>
      <c r="C606" s="174"/>
      <c r="D606" s="173"/>
      <c r="E606" s="155"/>
      <c r="F606" s="155"/>
      <c r="G606" s="88"/>
      <c r="H606" s="155"/>
      <c r="I606" s="155"/>
      <c r="J606" s="155"/>
      <c r="K606" s="15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58"/>
      <c r="AA606" s="105"/>
      <c r="AB606" s="105"/>
      <c r="AC606" s="105"/>
      <c r="AD606" s="105"/>
      <c r="AE606" s="105"/>
      <c r="AF606" s="105"/>
      <c r="AG606" s="105"/>
      <c r="AH606" s="158"/>
      <c r="AI606" s="88"/>
      <c r="AJ606" s="88"/>
      <c r="AK606" s="131"/>
      <c r="AL606" s="131"/>
      <c r="AM606" s="131"/>
      <c r="AN606" s="131"/>
      <c r="AO606" s="131"/>
      <c r="AP606" s="88"/>
      <c r="AQ606" s="88"/>
    </row>
    <row r="607">
      <c r="A607" s="173"/>
      <c r="B607" s="173"/>
      <c r="C607" s="174"/>
      <c r="D607" s="173"/>
      <c r="E607" s="155"/>
      <c r="F607" s="155"/>
      <c r="G607" s="88"/>
      <c r="H607" s="155"/>
      <c r="I607" s="155"/>
      <c r="J607" s="155"/>
      <c r="K607" s="15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58"/>
      <c r="AA607" s="105"/>
      <c r="AB607" s="105"/>
      <c r="AC607" s="105"/>
      <c r="AD607" s="105"/>
      <c r="AE607" s="105"/>
      <c r="AF607" s="105"/>
      <c r="AG607" s="105"/>
      <c r="AH607" s="158"/>
      <c r="AI607" s="88"/>
      <c r="AJ607" s="88"/>
      <c r="AK607" s="131"/>
      <c r="AL607" s="131"/>
      <c r="AM607" s="131"/>
      <c r="AN607" s="131"/>
      <c r="AO607" s="131"/>
      <c r="AP607" s="88"/>
      <c r="AQ607" s="88"/>
    </row>
    <row r="608">
      <c r="A608" s="173"/>
      <c r="B608" s="173"/>
      <c r="C608" s="174"/>
      <c r="D608" s="173"/>
      <c r="E608" s="155"/>
      <c r="F608" s="155"/>
      <c r="G608" s="88"/>
      <c r="H608" s="155"/>
      <c r="I608" s="155"/>
      <c r="J608" s="155"/>
      <c r="K608" s="15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58"/>
      <c r="AA608" s="105"/>
      <c r="AB608" s="105"/>
      <c r="AC608" s="105"/>
      <c r="AD608" s="105"/>
      <c r="AE608" s="105"/>
      <c r="AF608" s="105"/>
      <c r="AG608" s="105"/>
      <c r="AH608" s="158"/>
      <c r="AI608" s="88"/>
      <c r="AJ608" s="88"/>
      <c r="AK608" s="131"/>
      <c r="AL608" s="131"/>
      <c r="AM608" s="131"/>
      <c r="AN608" s="131"/>
      <c r="AO608" s="131"/>
      <c r="AP608" s="88"/>
      <c r="AQ608" s="88"/>
    </row>
    <row r="609">
      <c r="A609" s="173"/>
      <c r="B609" s="173"/>
      <c r="C609" s="174"/>
      <c r="D609" s="173"/>
      <c r="E609" s="155"/>
      <c r="F609" s="155"/>
      <c r="G609" s="88"/>
      <c r="H609" s="155"/>
      <c r="I609" s="155"/>
      <c r="J609" s="155"/>
      <c r="K609" s="15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58"/>
      <c r="AA609" s="105"/>
      <c r="AB609" s="105"/>
      <c r="AC609" s="105"/>
      <c r="AD609" s="105"/>
      <c r="AE609" s="105"/>
      <c r="AF609" s="105"/>
      <c r="AG609" s="105"/>
      <c r="AH609" s="158"/>
      <c r="AI609" s="88"/>
      <c r="AJ609" s="88"/>
      <c r="AK609" s="131"/>
      <c r="AL609" s="131"/>
      <c r="AM609" s="131"/>
      <c r="AN609" s="131"/>
      <c r="AO609" s="131"/>
      <c r="AP609" s="88"/>
      <c r="AQ609" s="88"/>
    </row>
    <row r="610">
      <c r="A610" s="173"/>
      <c r="B610" s="173"/>
      <c r="C610" s="174"/>
      <c r="D610" s="173"/>
      <c r="E610" s="155"/>
      <c r="F610" s="155"/>
      <c r="G610" s="88"/>
      <c r="H610" s="155"/>
      <c r="I610" s="155"/>
      <c r="J610" s="155"/>
      <c r="K610" s="15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58"/>
      <c r="AA610" s="105"/>
      <c r="AB610" s="105"/>
      <c r="AC610" s="105"/>
      <c r="AD610" s="105"/>
      <c r="AE610" s="105"/>
      <c r="AF610" s="105"/>
      <c r="AG610" s="105"/>
      <c r="AH610" s="158"/>
      <c r="AI610" s="88"/>
      <c r="AJ610" s="88"/>
      <c r="AK610" s="131"/>
      <c r="AL610" s="131"/>
      <c r="AM610" s="131"/>
      <c r="AN610" s="131"/>
      <c r="AO610" s="131"/>
      <c r="AP610" s="88"/>
      <c r="AQ610" s="88"/>
    </row>
    <row r="611">
      <c r="A611" s="173"/>
      <c r="B611" s="173"/>
      <c r="C611" s="174"/>
      <c r="D611" s="173"/>
      <c r="E611" s="155"/>
      <c r="F611" s="155"/>
      <c r="G611" s="88"/>
      <c r="H611" s="155"/>
      <c r="I611" s="155"/>
      <c r="J611" s="155"/>
      <c r="K611" s="15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58"/>
      <c r="AA611" s="105"/>
      <c r="AB611" s="105"/>
      <c r="AC611" s="105"/>
      <c r="AD611" s="105"/>
      <c r="AE611" s="105"/>
      <c r="AF611" s="105"/>
      <c r="AG611" s="105"/>
      <c r="AH611" s="158"/>
      <c r="AI611" s="88"/>
      <c r="AJ611" s="88"/>
      <c r="AK611" s="131"/>
      <c r="AL611" s="131"/>
      <c r="AM611" s="131"/>
      <c r="AN611" s="131"/>
      <c r="AO611" s="131"/>
      <c r="AP611" s="88"/>
      <c r="AQ611" s="88"/>
    </row>
    <row r="612">
      <c r="A612" s="173"/>
      <c r="B612" s="173"/>
      <c r="C612" s="174"/>
      <c r="D612" s="173"/>
      <c r="E612" s="155"/>
      <c r="F612" s="155"/>
      <c r="G612" s="88"/>
      <c r="H612" s="155"/>
      <c r="I612" s="155"/>
      <c r="J612" s="155"/>
      <c r="K612" s="15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58"/>
      <c r="AA612" s="105"/>
      <c r="AB612" s="105"/>
      <c r="AC612" s="105"/>
      <c r="AD612" s="105"/>
      <c r="AE612" s="105"/>
      <c r="AF612" s="105"/>
      <c r="AG612" s="105"/>
      <c r="AH612" s="158"/>
      <c r="AI612" s="88"/>
      <c r="AJ612" s="88"/>
      <c r="AK612" s="131"/>
      <c r="AL612" s="131"/>
      <c r="AM612" s="131"/>
      <c r="AN612" s="131"/>
      <c r="AO612" s="131"/>
      <c r="AP612" s="88"/>
      <c r="AQ612" s="88"/>
    </row>
    <row r="613">
      <c r="A613" s="173"/>
      <c r="B613" s="173"/>
      <c r="C613" s="174"/>
      <c r="D613" s="173"/>
      <c r="E613" s="155"/>
      <c r="F613" s="155"/>
      <c r="G613" s="88"/>
      <c r="H613" s="155"/>
      <c r="I613" s="155"/>
      <c r="J613" s="155"/>
      <c r="K613" s="15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58"/>
      <c r="AA613" s="105"/>
      <c r="AB613" s="105"/>
      <c r="AC613" s="105"/>
      <c r="AD613" s="105"/>
      <c r="AE613" s="105"/>
      <c r="AF613" s="105"/>
      <c r="AG613" s="105"/>
      <c r="AH613" s="158"/>
      <c r="AI613" s="88"/>
      <c r="AJ613" s="88"/>
      <c r="AK613" s="131"/>
      <c r="AL613" s="131"/>
      <c r="AM613" s="131"/>
      <c r="AN613" s="131"/>
      <c r="AO613" s="131"/>
      <c r="AP613" s="88"/>
      <c r="AQ613" s="88"/>
    </row>
    <row r="614">
      <c r="A614" s="173"/>
      <c r="B614" s="173"/>
      <c r="C614" s="174"/>
      <c r="D614" s="173"/>
      <c r="E614" s="155"/>
      <c r="F614" s="155"/>
      <c r="G614" s="88"/>
      <c r="H614" s="155"/>
      <c r="I614" s="155"/>
      <c r="J614" s="155"/>
      <c r="K614" s="15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58"/>
      <c r="AA614" s="105"/>
      <c r="AB614" s="105"/>
      <c r="AC614" s="105"/>
      <c r="AD614" s="105"/>
      <c r="AE614" s="105"/>
      <c r="AF614" s="105"/>
      <c r="AG614" s="105"/>
      <c r="AH614" s="158"/>
      <c r="AI614" s="88"/>
      <c r="AJ614" s="88"/>
      <c r="AK614" s="131"/>
      <c r="AL614" s="131"/>
      <c r="AM614" s="131"/>
      <c r="AN614" s="131"/>
      <c r="AO614" s="131"/>
      <c r="AP614" s="88"/>
      <c r="AQ614" s="88"/>
    </row>
    <row r="615">
      <c r="A615" s="173"/>
      <c r="B615" s="173"/>
      <c r="C615" s="174"/>
      <c r="D615" s="173"/>
      <c r="E615" s="155"/>
      <c r="F615" s="155"/>
      <c r="G615" s="88"/>
      <c r="H615" s="155"/>
      <c r="I615" s="155"/>
      <c r="J615" s="155"/>
      <c r="K615" s="15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58"/>
      <c r="AA615" s="105"/>
      <c r="AB615" s="105"/>
      <c r="AC615" s="105"/>
      <c r="AD615" s="105"/>
      <c r="AE615" s="105"/>
      <c r="AF615" s="105"/>
      <c r="AG615" s="105"/>
      <c r="AH615" s="158"/>
      <c r="AI615" s="88"/>
      <c r="AJ615" s="88"/>
      <c r="AK615" s="131"/>
      <c r="AL615" s="131"/>
      <c r="AM615" s="131"/>
      <c r="AN615" s="131"/>
      <c r="AO615" s="131"/>
      <c r="AP615" s="88"/>
      <c r="AQ615" s="88"/>
    </row>
    <row r="616">
      <c r="A616" s="173"/>
      <c r="B616" s="173"/>
      <c r="C616" s="174"/>
      <c r="D616" s="173"/>
      <c r="E616" s="155"/>
      <c r="F616" s="155"/>
      <c r="G616" s="88"/>
      <c r="H616" s="155"/>
      <c r="I616" s="155"/>
      <c r="J616" s="155"/>
      <c r="K616" s="15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58"/>
      <c r="AA616" s="105"/>
      <c r="AB616" s="105"/>
      <c r="AC616" s="105"/>
      <c r="AD616" s="105"/>
      <c r="AE616" s="105"/>
      <c r="AF616" s="105"/>
      <c r="AG616" s="105"/>
      <c r="AH616" s="158"/>
      <c r="AI616" s="88"/>
      <c r="AJ616" s="88"/>
      <c r="AK616" s="131"/>
      <c r="AL616" s="131"/>
      <c r="AM616" s="131"/>
      <c r="AN616" s="131"/>
      <c r="AO616" s="131"/>
      <c r="AP616" s="88"/>
      <c r="AQ616" s="88"/>
    </row>
    <row r="617">
      <c r="A617" s="173"/>
      <c r="B617" s="173"/>
      <c r="C617" s="174"/>
      <c r="D617" s="173"/>
      <c r="E617" s="155"/>
      <c r="F617" s="155"/>
      <c r="G617" s="88"/>
      <c r="H617" s="155"/>
      <c r="I617" s="155"/>
      <c r="J617" s="155"/>
      <c r="K617" s="15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58"/>
      <c r="AA617" s="105"/>
      <c r="AB617" s="105"/>
      <c r="AC617" s="105"/>
      <c r="AD617" s="105"/>
      <c r="AE617" s="105"/>
      <c r="AF617" s="105"/>
      <c r="AG617" s="105"/>
      <c r="AH617" s="158"/>
      <c r="AI617" s="88"/>
      <c r="AJ617" s="88"/>
      <c r="AK617" s="131"/>
      <c r="AL617" s="131"/>
      <c r="AM617" s="131"/>
      <c r="AN617" s="131"/>
      <c r="AO617" s="131"/>
      <c r="AP617" s="88"/>
      <c r="AQ617" s="88"/>
    </row>
    <row r="618">
      <c r="A618" s="173"/>
      <c r="B618" s="173"/>
      <c r="C618" s="174"/>
      <c r="D618" s="173"/>
      <c r="E618" s="155"/>
      <c r="F618" s="155"/>
      <c r="G618" s="88"/>
      <c r="H618" s="155"/>
      <c r="I618" s="155"/>
      <c r="J618" s="155"/>
      <c r="K618" s="15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58"/>
      <c r="AA618" s="105"/>
      <c r="AB618" s="105"/>
      <c r="AC618" s="105"/>
      <c r="AD618" s="105"/>
      <c r="AE618" s="105"/>
      <c r="AF618" s="105"/>
      <c r="AG618" s="105"/>
      <c r="AH618" s="158"/>
      <c r="AI618" s="88"/>
      <c r="AJ618" s="88"/>
      <c r="AK618" s="131"/>
      <c r="AL618" s="131"/>
      <c r="AM618" s="131"/>
      <c r="AN618" s="131"/>
      <c r="AO618" s="131"/>
      <c r="AP618" s="88"/>
      <c r="AQ618" s="88"/>
    </row>
    <row r="619">
      <c r="A619" s="173"/>
      <c r="B619" s="173"/>
      <c r="C619" s="174"/>
      <c r="D619" s="173"/>
      <c r="E619" s="155"/>
      <c r="F619" s="155"/>
      <c r="G619" s="88"/>
      <c r="H619" s="155"/>
      <c r="I619" s="155"/>
      <c r="J619" s="155"/>
      <c r="K619" s="15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58"/>
      <c r="AA619" s="105"/>
      <c r="AB619" s="105"/>
      <c r="AC619" s="105"/>
      <c r="AD619" s="105"/>
      <c r="AE619" s="105"/>
      <c r="AF619" s="105"/>
      <c r="AG619" s="105"/>
      <c r="AH619" s="158"/>
      <c r="AI619" s="88"/>
      <c r="AJ619" s="88"/>
      <c r="AK619" s="131"/>
      <c r="AL619" s="131"/>
      <c r="AM619" s="131"/>
      <c r="AN619" s="131"/>
      <c r="AO619" s="131"/>
      <c r="AP619" s="88"/>
      <c r="AQ619" s="88"/>
    </row>
    <row r="620">
      <c r="A620" s="173"/>
      <c r="B620" s="173"/>
      <c r="C620" s="174"/>
      <c r="D620" s="173"/>
      <c r="E620" s="155"/>
      <c r="F620" s="155"/>
      <c r="G620" s="88"/>
      <c r="H620" s="155"/>
      <c r="I620" s="155"/>
      <c r="J620" s="155"/>
      <c r="K620" s="15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58"/>
      <c r="AA620" s="105"/>
      <c r="AB620" s="105"/>
      <c r="AC620" s="105"/>
      <c r="AD620" s="105"/>
      <c r="AE620" s="105"/>
      <c r="AF620" s="105"/>
      <c r="AG620" s="105"/>
      <c r="AH620" s="158"/>
      <c r="AI620" s="88"/>
      <c r="AJ620" s="88"/>
      <c r="AK620" s="131"/>
      <c r="AL620" s="131"/>
      <c r="AM620" s="131"/>
      <c r="AN620" s="131"/>
      <c r="AO620" s="131"/>
      <c r="AP620" s="88"/>
      <c r="AQ620" s="88"/>
    </row>
    <row r="621">
      <c r="A621" s="173"/>
      <c r="B621" s="173"/>
      <c r="C621" s="174"/>
      <c r="D621" s="173"/>
      <c r="E621" s="155"/>
      <c r="F621" s="155"/>
      <c r="G621" s="88"/>
      <c r="H621" s="155"/>
      <c r="I621" s="155"/>
      <c r="J621" s="155"/>
      <c r="K621" s="15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58"/>
      <c r="AA621" s="105"/>
      <c r="AB621" s="105"/>
      <c r="AC621" s="105"/>
      <c r="AD621" s="105"/>
      <c r="AE621" s="105"/>
      <c r="AF621" s="105"/>
      <c r="AG621" s="105"/>
      <c r="AH621" s="158"/>
      <c r="AI621" s="88"/>
      <c r="AJ621" s="88"/>
      <c r="AK621" s="131"/>
      <c r="AL621" s="131"/>
      <c r="AM621" s="131"/>
      <c r="AN621" s="131"/>
      <c r="AO621" s="131"/>
      <c r="AP621" s="88"/>
      <c r="AQ621" s="88"/>
    </row>
    <row r="622">
      <c r="A622" s="173"/>
      <c r="B622" s="173"/>
      <c r="C622" s="174"/>
      <c r="D622" s="173"/>
      <c r="E622" s="155"/>
      <c r="F622" s="155"/>
      <c r="G622" s="88"/>
      <c r="H622" s="155"/>
      <c r="I622" s="155"/>
      <c r="J622" s="155"/>
      <c r="K622" s="15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58"/>
      <c r="AA622" s="105"/>
      <c r="AB622" s="105"/>
      <c r="AC622" s="105"/>
      <c r="AD622" s="105"/>
      <c r="AE622" s="105"/>
      <c r="AF622" s="105"/>
      <c r="AG622" s="105"/>
      <c r="AH622" s="158"/>
      <c r="AI622" s="88"/>
      <c r="AJ622" s="88"/>
      <c r="AK622" s="131"/>
      <c r="AL622" s="131"/>
      <c r="AM622" s="131"/>
      <c r="AN622" s="131"/>
      <c r="AO622" s="131"/>
      <c r="AP622" s="88"/>
      <c r="AQ622" s="88"/>
    </row>
    <row r="623">
      <c r="A623" s="173"/>
      <c r="B623" s="173"/>
      <c r="C623" s="174"/>
      <c r="D623" s="173"/>
      <c r="E623" s="155"/>
      <c r="F623" s="155"/>
      <c r="G623" s="88"/>
      <c r="H623" s="155"/>
      <c r="I623" s="155"/>
      <c r="J623" s="155"/>
      <c r="K623" s="15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58"/>
      <c r="AA623" s="105"/>
      <c r="AB623" s="105"/>
      <c r="AC623" s="105"/>
      <c r="AD623" s="105"/>
      <c r="AE623" s="105"/>
      <c r="AF623" s="105"/>
      <c r="AG623" s="105"/>
      <c r="AH623" s="158"/>
      <c r="AI623" s="88"/>
      <c r="AJ623" s="88"/>
      <c r="AK623" s="131"/>
      <c r="AL623" s="131"/>
      <c r="AM623" s="131"/>
      <c r="AN623" s="131"/>
      <c r="AO623" s="131"/>
      <c r="AP623" s="88"/>
      <c r="AQ623" s="88"/>
    </row>
    <row r="624">
      <c r="A624" s="173"/>
      <c r="B624" s="173"/>
      <c r="C624" s="174"/>
      <c r="D624" s="173"/>
      <c r="E624" s="155"/>
      <c r="F624" s="155"/>
      <c r="G624" s="88"/>
      <c r="H624" s="155"/>
      <c r="I624" s="155"/>
      <c r="J624" s="155"/>
      <c r="K624" s="15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58"/>
      <c r="AA624" s="105"/>
      <c r="AB624" s="105"/>
      <c r="AC624" s="105"/>
      <c r="AD624" s="105"/>
      <c r="AE624" s="105"/>
      <c r="AF624" s="105"/>
      <c r="AG624" s="105"/>
      <c r="AH624" s="158"/>
      <c r="AI624" s="88"/>
      <c r="AJ624" s="88"/>
      <c r="AK624" s="131"/>
      <c r="AL624" s="131"/>
      <c r="AM624" s="131"/>
      <c r="AN624" s="131"/>
      <c r="AO624" s="131"/>
      <c r="AP624" s="88"/>
      <c r="AQ624" s="88"/>
    </row>
    <row r="625">
      <c r="A625" s="173"/>
      <c r="B625" s="173"/>
      <c r="C625" s="174"/>
      <c r="D625" s="173"/>
      <c r="E625" s="155"/>
      <c r="F625" s="155"/>
      <c r="G625" s="88"/>
      <c r="H625" s="155"/>
      <c r="I625" s="155"/>
      <c r="J625" s="155"/>
      <c r="K625" s="15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58"/>
      <c r="AA625" s="105"/>
      <c r="AB625" s="105"/>
      <c r="AC625" s="105"/>
      <c r="AD625" s="105"/>
      <c r="AE625" s="105"/>
      <c r="AF625" s="105"/>
      <c r="AG625" s="105"/>
      <c r="AH625" s="158"/>
      <c r="AI625" s="88"/>
      <c r="AJ625" s="88"/>
      <c r="AK625" s="131"/>
      <c r="AL625" s="131"/>
      <c r="AM625" s="131"/>
      <c r="AN625" s="131"/>
      <c r="AO625" s="131"/>
      <c r="AP625" s="88"/>
      <c r="AQ625" s="88"/>
    </row>
    <row r="626">
      <c r="A626" s="173"/>
      <c r="B626" s="173"/>
      <c r="C626" s="174"/>
      <c r="D626" s="173"/>
      <c r="E626" s="155"/>
      <c r="F626" s="155"/>
      <c r="G626" s="88"/>
      <c r="H626" s="155"/>
      <c r="I626" s="155"/>
      <c r="J626" s="155"/>
      <c r="K626" s="15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58"/>
      <c r="AA626" s="105"/>
      <c r="AB626" s="105"/>
      <c r="AC626" s="105"/>
      <c r="AD626" s="105"/>
      <c r="AE626" s="105"/>
      <c r="AF626" s="105"/>
      <c r="AG626" s="105"/>
      <c r="AH626" s="158"/>
      <c r="AI626" s="88"/>
      <c r="AJ626" s="88"/>
      <c r="AK626" s="131"/>
      <c r="AL626" s="131"/>
      <c r="AM626" s="131"/>
      <c r="AN626" s="131"/>
      <c r="AO626" s="131"/>
      <c r="AP626" s="88"/>
      <c r="AQ626" s="88"/>
    </row>
    <row r="627">
      <c r="A627" s="173"/>
      <c r="B627" s="173"/>
      <c r="C627" s="174"/>
      <c r="D627" s="173"/>
      <c r="E627" s="155"/>
      <c r="F627" s="155"/>
      <c r="G627" s="88"/>
      <c r="H627" s="155"/>
      <c r="I627" s="155"/>
      <c r="J627" s="155"/>
      <c r="K627" s="15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58"/>
      <c r="AA627" s="105"/>
      <c r="AB627" s="105"/>
      <c r="AC627" s="105"/>
      <c r="AD627" s="105"/>
      <c r="AE627" s="105"/>
      <c r="AF627" s="105"/>
      <c r="AG627" s="105"/>
      <c r="AH627" s="158"/>
      <c r="AI627" s="88"/>
      <c r="AJ627" s="88"/>
      <c r="AK627" s="131"/>
      <c r="AL627" s="131"/>
      <c r="AM627" s="131"/>
      <c r="AN627" s="131"/>
      <c r="AO627" s="131"/>
      <c r="AP627" s="88"/>
      <c r="AQ627" s="88"/>
    </row>
    <row r="628">
      <c r="A628" s="173"/>
      <c r="B628" s="173"/>
      <c r="C628" s="174"/>
      <c r="D628" s="173"/>
      <c r="E628" s="155"/>
      <c r="F628" s="155"/>
      <c r="G628" s="88"/>
      <c r="H628" s="155"/>
      <c r="I628" s="155"/>
      <c r="J628" s="155"/>
      <c r="K628" s="15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58"/>
      <c r="AA628" s="105"/>
      <c r="AB628" s="105"/>
      <c r="AC628" s="105"/>
      <c r="AD628" s="105"/>
      <c r="AE628" s="105"/>
      <c r="AF628" s="105"/>
      <c r="AG628" s="105"/>
      <c r="AH628" s="158"/>
      <c r="AI628" s="88"/>
      <c r="AJ628" s="88"/>
      <c r="AK628" s="131"/>
      <c r="AL628" s="131"/>
      <c r="AM628" s="131"/>
      <c r="AN628" s="131"/>
      <c r="AO628" s="131"/>
      <c r="AP628" s="88"/>
      <c r="AQ628" s="88"/>
    </row>
    <row r="629">
      <c r="A629" s="173"/>
      <c r="B629" s="173"/>
      <c r="C629" s="174"/>
      <c r="D629" s="173"/>
      <c r="E629" s="155"/>
      <c r="F629" s="155"/>
      <c r="G629" s="88"/>
      <c r="H629" s="155"/>
      <c r="I629" s="155"/>
      <c r="J629" s="155"/>
      <c r="K629" s="15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58"/>
      <c r="AA629" s="105"/>
      <c r="AB629" s="105"/>
      <c r="AC629" s="105"/>
      <c r="AD629" s="105"/>
      <c r="AE629" s="105"/>
      <c r="AF629" s="105"/>
      <c r="AG629" s="105"/>
      <c r="AH629" s="158"/>
      <c r="AI629" s="88"/>
      <c r="AJ629" s="88"/>
      <c r="AK629" s="131"/>
      <c r="AL629" s="131"/>
      <c r="AM629" s="131"/>
      <c r="AN629" s="131"/>
      <c r="AO629" s="131"/>
      <c r="AP629" s="88"/>
      <c r="AQ629" s="88"/>
    </row>
    <row r="630">
      <c r="A630" s="173"/>
      <c r="B630" s="173"/>
      <c r="C630" s="174"/>
      <c r="D630" s="173"/>
      <c r="E630" s="155"/>
      <c r="F630" s="155"/>
      <c r="G630" s="88"/>
      <c r="H630" s="155"/>
      <c r="I630" s="155"/>
      <c r="J630" s="155"/>
      <c r="K630" s="15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58"/>
      <c r="AA630" s="105"/>
      <c r="AB630" s="105"/>
      <c r="AC630" s="105"/>
      <c r="AD630" s="105"/>
      <c r="AE630" s="105"/>
      <c r="AF630" s="105"/>
      <c r="AG630" s="105"/>
      <c r="AH630" s="158"/>
      <c r="AI630" s="88"/>
      <c r="AJ630" s="88"/>
      <c r="AK630" s="131"/>
      <c r="AL630" s="131"/>
      <c r="AM630" s="131"/>
      <c r="AN630" s="131"/>
      <c r="AO630" s="131"/>
      <c r="AP630" s="88"/>
      <c r="AQ630" s="88"/>
    </row>
    <row r="631">
      <c r="A631" s="173"/>
      <c r="B631" s="173"/>
      <c r="C631" s="174"/>
      <c r="D631" s="173"/>
      <c r="E631" s="155"/>
      <c r="F631" s="155"/>
      <c r="G631" s="88"/>
      <c r="H631" s="155"/>
      <c r="I631" s="155"/>
      <c r="J631" s="155"/>
      <c r="K631" s="15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58"/>
      <c r="AA631" s="105"/>
      <c r="AB631" s="105"/>
      <c r="AC631" s="105"/>
      <c r="AD631" s="105"/>
      <c r="AE631" s="105"/>
      <c r="AF631" s="105"/>
      <c r="AG631" s="105"/>
      <c r="AH631" s="158"/>
      <c r="AI631" s="88"/>
      <c r="AJ631" s="88"/>
      <c r="AK631" s="131"/>
      <c r="AL631" s="131"/>
      <c r="AM631" s="131"/>
      <c r="AN631" s="131"/>
      <c r="AO631" s="131"/>
      <c r="AP631" s="88"/>
      <c r="AQ631" s="88"/>
    </row>
    <row r="632">
      <c r="A632" s="173"/>
      <c r="B632" s="173"/>
      <c r="C632" s="174"/>
      <c r="D632" s="173"/>
      <c r="E632" s="155"/>
      <c r="F632" s="155"/>
      <c r="G632" s="88"/>
      <c r="H632" s="155"/>
      <c r="I632" s="155"/>
      <c r="J632" s="155"/>
      <c r="K632" s="15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58"/>
      <c r="AA632" s="105"/>
      <c r="AB632" s="105"/>
      <c r="AC632" s="105"/>
      <c r="AD632" s="105"/>
      <c r="AE632" s="105"/>
      <c r="AF632" s="105"/>
      <c r="AG632" s="105"/>
      <c r="AH632" s="158"/>
      <c r="AI632" s="88"/>
      <c r="AJ632" s="88"/>
      <c r="AK632" s="131"/>
      <c r="AL632" s="131"/>
      <c r="AM632" s="131"/>
      <c r="AN632" s="131"/>
      <c r="AO632" s="131"/>
      <c r="AP632" s="88"/>
      <c r="AQ632" s="88"/>
    </row>
    <row r="633">
      <c r="A633" s="173"/>
      <c r="B633" s="173"/>
      <c r="C633" s="174"/>
      <c r="D633" s="173"/>
      <c r="E633" s="155"/>
      <c r="F633" s="155"/>
      <c r="G633" s="88"/>
      <c r="H633" s="155"/>
      <c r="I633" s="155"/>
      <c r="J633" s="155"/>
      <c r="K633" s="15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58"/>
      <c r="AA633" s="105"/>
      <c r="AB633" s="105"/>
      <c r="AC633" s="105"/>
      <c r="AD633" s="105"/>
      <c r="AE633" s="105"/>
      <c r="AF633" s="105"/>
      <c r="AG633" s="105"/>
      <c r="AH633" s="158"/>
      <c r="AI633" s="88"/>
      <c r="AJ633" s="88"/>
      <c r="AK633" s="131"/>
      <c r="AL633" s="131"/>
      <c r="AM633" s="131"/>
      <c r="AN633" s="131"/>
      <c r="AO633" s="131"/>
      <c r="AP633" s="88"/>
      <c r="AQ633" s="88"/>
    </row>
    <row r="634">
      <c r="A634" s="173"/>
      <c r="B634" s="173"/>
      <c r="C634" s="174"/>
      <c r="D634" s="173"/>
      <c r="E634" s="155"/>
      <c r="F634" s="155"/>
      <c r="G634" s="88"/>
      <c r="H634" s="155"/>
      <c r="I634" s="155"/>
      <c r="J634" s="155"/>
      <c r="K634" s="15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58"/>
      <c r="AA634" s="105"/>
      <c r="AB634" s="105"/>
      <c r="AC634" s="105"/>
      <c r="AD634" s="105"/>
      <c r="AE634" s="105"/>
      <c r="AF634" s="105"/>
      <c r="AG634" s="105"/>
      <c r="AH634" s="158"/>
      <c r="AI634" s="88"/>
      <c r="AJ634" s="88"/>
      <c r="AK634" s="131"/>
      <c r="AL634" s="131"/>
      <c r="AM634" s="131"/>
      <c r="AN634" s="131"/>
      <c r="AO634" s="131"/>
      <c r="AP634" s="88"/>
      <c r="AQ634" s="88"/>
    </row>
    <row r="635">
      <c r="A635" s="173"/>
      <c r="B635" s="173"/>
      <c r="C635" s="174"/>
      <c r="D635" s="173"/>
      <c r="E635" s="155"/>
      <c r="F635" s="155"/>
      <c r="G635" s="88"/>
      <c r="H635" s="155"/>
      <c r="I635" s="155"/>
      <c r="J635" s="155"/>
      <c r="K635" s="15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58"/>
      <c r="AA635" s="105"/>
      <c r="AB635" s="105"/>
      <c r="AC635" s="105"/>
      <c r="AD635" s="105"/>
      <c r="AE635" s="105"/>
      <c r="AF635" s="105"/>
      <c r="AG635" s="105"/>
      <c r="AH635" s="158"/>
      <c r="AI635" s="88"/>
      <c r="AJ635" s="88"/>
      <c r="AK635" s="131"/>
      <c r="AL635" s="131"/>
      <c r="AM635" s="131"/>
      <c r="AN635" s="131"/>
      <c r="AO635" s="131"/>
      <c r="AP635" s="88"/>
      <c r="AQ635" s="88"/>
    </row>
    <row r="636">
      <c r="A636" s="173"/>
      <c r="B636" s="173"/>
      <c r="C636" s="174"/>
      <c r="D636" s="173"/>
      <c r="E636" s="155"/>
      <c r="F636" s="155"/>
      <c r="G636" s="88"/>
      <c r="H636" s="155"/>
      <c r="I636" s="155"/>
      <c r="J636" s="155"/>
      <c r="K636" s="15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58"/>
      <c r="AA636" s="105"/>
      <c r="AB636" s="105"/>
      <c r="AC636" s="105"/>
      <c r="AD636" s="105"/>
      <c r="AE636" s="105"/>
      <c r="AF636" s="105"/>
      <c r="AG636" s="105"/>
      <c r="AH636" s="158"/>
      <c r="AI636" s="88"/>
      <c r="AJ636" s="88"/>
      <c r="AK636" s="131"/>
      <c r="AL636" s="131"/>
      <c r="AM636" s="131"/>
      <c r="AN636" s="131"/>
      <c r="AO636" s="131"/>
      <c r="AP636" s="88"/>
      <c r="AQ636" s="88"/>
    </row>
    <row r="637">
      <c r="A637" s="173"/>
      <c r="B637" s="173"/>
      <c r="C637" s="174"/>
      <c r="D637" s="173"/>
      <c r="E637" s="155"/>
      <c r="F637" s="155"/>
      <c r="G637" s="88"/>
      <c r="H637" s="155"/>
      <c r="I637" s="155"/>
      <c r="J637" s="155"/>
      <c r="K637" s="15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58"/>
      <c r="AA637" s="105"/>
      <c r="AB637" s="105"/>
      <c r="AC637" s="105"/>
      <c r="AD637" s="105"/>
      <c r="AE637" s="105"/>
      <c r="AF637" s="105"/>
      <c r="AG637" s="105"/>
      <c r="AH637" s="158"/>
      <c r="AI637" s="88"/>
      <c r="AJ637" s="88"/>
      <c r="AK637" s="131"/>
      <c r="AL637" s="131"/>
      <c r="AM637" s="131"/>
      <c r="AN637" s="131"/>
      <c r="AO637" s="131"/>
      <c r="AP637" s="88"/>
      <c r="AQ637" s="88"/>
    </row>
    <row r="638">
      <c r="A638" s="173"/>
      <c r="B638" s="173"/>
      <c r="C638" s="174"/>
      <c r="D638" s="173"/>
      <c r="E638" s="155"/>
      <c r="F638" s="155"/>
      <c r="G638" s="88"/>
      <c r="H638" s="155"/>
      <c r="I638" s="155"/>
      <c r="J638" s="155"/>
      <c r="K638" s="15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58"/>
      <c r="AA638" s="105"/>
      <c r="AB638" s="105"/>
      <c r="AC638" s="105"/>
      <c r="AD638" s="105"/>
      <c r="AE638" s="105"/>
      <c r="AF638" s="105"/>
      <c r="AG638" s="105"/>
      <c r="AH638" s="158"/>
      <c r="AI638" s="88"/>
      <c r="AJ638" s="88"/>
      <c r="AK638" s="131"/>
      <c r="AL638" s="131"/>
      <c r="AM638" s="131"/>
      <c r="AN638" s="131"/>
      <c r="AO638" s="131"/>
      <c r="AP638" s="88"/>
      <c r="AQ638" s="88"/>
    </row>
    <row r="639">
      <c r="A639" s="173"/>
      <c r="B639" s="173"/>
      <c r="C639" s="174"/>
      <c r="D639" s="173"/>
      <c r="E639" s="155"/>
      <c r="F639" s="155"/>
      <c r="G639" s="88"/>
      <c r="H639" s="155"/>
      <c r="I639" s="155"/>
      <c r="J639" s="155"/>
      <c r="K639" s="15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58"/>
      <c r="AA639" s="105"/>
      <c r="AB639" s="105"/>
      <c r="AC639" s="105"/>
      <c r="AD639" s="105"/>
      <c r="AE639" s="105"/>
      <c r="AF639" s="105"/>
      <c r="AG639" s="105"/>
      <c r="AH639" s="158"/>
      <c r="AI639" s="88"/>
      <c r="AJ639" s="88"/>
      <c r="AK639" s="131"/>
      <c r="AL639" s="131"/>
      <c r="AM639" s="131"/>
      <c r="AN639" s="131"/>
      <c r="AO639" s="131"/>
      <c r="AP639" s="88"/>
      <c r="AQ639" s="88"/>
    </row>
    <row r="640">
      <c r="A640" s="173"/>
      <c r="B640" s="173"/>
      <c r="C640" s="174"/>
      <c r="D640" s="173"/>
      <c r="E640" s="155"/>
      <c r="F640" s="155"/>
      <c r="G640" s="88"/>
      <c r="H640" s="155"/>
      <c r="I640" s="155"/>
      <c r="J640" s="155"/>
      <c r="K640" s="15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58"/>
      <c r="AA640" s="105"/>
      <c r="AB640" s="105"/>
      <c r="AC640" s="105"/>
      <c r="AD640" s="105"/>
      <c r="AE640" s="105"/>
      <c r="AF640" s="105"/>
      <c r="AG640" s="105"/>
      <c r="AH640" s="158"/>
      <c r="AI640" s="88"/>
      <c r="AJ640" s="88"/>
      <c r="AK640" s="131"/>
      <c r="AL640" s="131"/>
      <c r="AM640" s="131"/>
      <c r="AN640" s="131"/>
      <c r="AO640" s="131"/>
      <c r="AP640" s="88"/>
      <c r="AQ640" s="88"/>
    </row>
    <row r="641">
      <c r="A641" s="173"/>
      <c r="B641" s="173"/>
      <c r="C641" s="174"/>
      <c r="D641" s="173"/>
      <c r="E641" s="155"/>
      <c r="F641" s="155"/>
      <c r="G641" s="88"/>
      <c r="H641" s="155"/>
      <c r="I641" s="155"/>
      <c r="J641" s="155"/>
      <c r="K641" s="15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58"/>
      <c r="AA641" s="105"/>
      <c r="AB641" s="105"/>
      <c r="AC641" s="105"/>
      <c r="AD641" s="105"/>
      <c r="AE641" s="105"/>
      <c r="AF641" s="105"/>
      <c r="AG641" s="105"/>
      <c r="AH641" s="158"/>
      <c r="AI641" s="88"/>
      <c r="AJ641" s="88"/>
      <c r="AK641" s="131"/>
      <c r="AL641" s="131"/>
      <c r="AM641" s="131"/>
      <c r="AN641" s="131"/>
      <c r="AO641" s="131"/>
      <c r="AP641" s="88"/>
      <c r="AQ641" s="88"/>
    </row>
    <row r="642">
      <c r="A642" s="173"/>
      <c r="B642" s="173"/>
      <c r="C642" s="174"/>
      <c r="D642" s="173"/>
      <c r="E642" s="155"/>
      <c r="F642" s="155"/>
      <c r="G642" s="88"/>
      <c r="H642" s="155"/>
      <c r="I642" s="155"/>
      <c r="J642" s="155"/>
      <c r="K642" s="15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58"/>
      <c r="AA642" s="105"/>
      <c r="AB642" s="105"/>
      <c r="AC642" s="105"/>
      <c r="AD642" s="105"/>
      <c r="AE642" s="105"/>
      <c r="AF642" s="105"/>
      <c r="AG642" s="105"/>
      <c r="AH642" s="158"/>
      <c r="AI642" s="88"/>
      <c r="AJ642" s="88"/>
      <c r="AK642" s="131"/>
      <c r="AL642" s="131"/>
      <c r="AM642" s="131"/>
      <c r="AN642" s="131"/>
      <c r="AO642" s="131"/>
      <c r="AP642" s="88"/>
      <c r="AQ642" s="88"/>
    </row>
    <row r="643">
      <c r="A643" s="173"/>
      <c r="B643" s="173"/>
      <c r="C643" s="174"/>
      <c r="D643" s="173"/>
      <c r="E643" s="155"/>
      <c r="F643" s="155"/>
      <c r="G643" s="88"/>
      <c r="H643" s="155"/>
      <c r="I643" s="155"/>
      <c r="J643" s="155"/>
      <c r="K643" s="15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58"/>
      <c r="AA643" s="105"/>
      <c r="AB643" s="105"/>
      <c r="AC643" s="105"/>
      <c r="AD643" s="105"/>
      <c r="AE643" s="105"/>
      <c r="AF643" s="105"/>
      <c r="AG643" s="105"/>
      <c r="AH643" s="158"/>
      <c r="AI643" s="88"/>
      <c r="AJ643" s="88"/>
      <c r="AK643" s="131"/>
      <c r="AL643" s="131"/>
      <c r="AM643" s="131"/>
      <c r="AN643" s="131"/>
      <c r="AO643" s="131"/>
      <c r="AP643" s="88"/>
      <c r="AQ643" s="88"/>
    </row>
    <row r="644">
      <c r="A644" s="173"/>
      <c r="B644" s="173"/>
      <c r="C644" s="174"/>
      <c r="D644" s="173"/>
      <c r="E644" s="155"/>
      <c r="F644" s="155"/>
      <c r="G644" s="88"/>
      <c r="H644" s="155"/>
      <c r="I644" s="155"/>
      <c r="J644" s="155"/>
      <c r="K644" s="15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58"/>
      <c r="AA644" s="105"/>
      <c r="AB644" s="105"/>
      <c r="AC644" s="105"/>
      <c r="AD644" s="105"/>
      <c r="AE644" s="105"/>
      <c r="AF644" s="105"/>
      <c r="AG644" s="105"/>
      <c r="AH644" s="158"/>
      <c r="AI644" s="88"/>
      <c r="AJ644" s="88"/>
      <c r="AK644" s="131"/>
      <c r="AL644" s="131"/>
      <c r="AM644" s="131"/>
      <c r="AN644" s="131"/>
      <c r="AO644" s="131"/>
      <c r="AP644" s="88"/>
      <c r="AQ644" s="88"/>
    </row>
    <row r="645">
      <c r="A645" s="173"/>
      <c r="B645" s="173"/>
      <c r="C645" s="174"/>
      <c r="D645" s="173"/>
      <c r="E645" s="155"/>
      <c r="F645" s="155"/>
      <c r="G645" s="88"/>
      <c r="H645" s="155"/>
      <c r="I645" s="155"/>
      <c r="J645" s="155"/>
      <c r="K645" s="15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58"/>
      <c r="AA645" s="105"/>
      <c r="AB645" s="105"/>
      <c r="AC645" s="105"/>
      <c r="AD645" s="105"/>
      <c r="AE645" s="105"/>
      <c r="AF645" s="105"/>
      <c r="AG645" s="105"/>
      <c r="AH645" s="158"/>
      <c r="AI645" s="88"/>
      <c r="AJ645" s="88"/>
      <c r="AK645" s="131"/>
      <c r="AL645" s="131"/>
      <c r="AM645" s="131"/>
      <c r="AN645" s="131"/>
      <c r="AO645" s="131"/>
      <c r="AP645" s="88"/>
      <c r="AQ645" s="88"/>
    </row>
    <row r="646">
      <c r="A646" s="173"/>
      <c r="B646" s="173"/>
      <c r="C646" s="174"/>
      <c r="D646" s="173"/>
      <c r="E646" s="155"/>
      <c r="F646" s="155"/>
      <c r="G646" s="88"/>
      <c r="H646" s="155"/>
      <c r="I646" s="155"/>
      <c r="J646" s="155"/>
      <c r="K646" s="15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58"/>
      <c r="AA646" s="105"/>
      <c r="AB646" s="105"/>
      <c r="AC646" s="105"/>
      <c r="AD646" s="105"/>
      <c r="AE646" s="105"/>
      <c r="AF646" s="105"/>
      <c r="AG646" s="105"/>
      <c r="AH646" s="158"/>
      <c r="AI646" s="88"/>
      <c r="AJ646" s="88"/>
      <c r="AK646" s="131"/>
      <c r="AL646" s="131"/>
      <c r="AM646" s="131"/>
      <c r="AN646" s="131"/>
      <c r="AO646" s="131"/>
      <c r="AP646" s="88"/>
      <c r="AQ646" s="88"/>
    </row>
    <row r="647">
      <c r="A647" s="173"/>
      <c r="B647" s="173"/>
      <c r="C647" s="174"/>
      <c r="D647" s="173"/>
      <c r="E647" s="155"/>
      <c r="F647" s="155"/>
      <c r="G647" s="88"/>
      <c r="H647" s="155"/>
      <c r="I647" s="155"/>
      <c r="J647" s="155"/>
      <c r="K647" s="15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58"/>
      <c r="AA647" s="105"/>
      <c r="AB647" s="105"/>
      <c r="AC647" s="105"/>
      <c r="AD647" s="105"/>
      <c r="AE647" s="105"/>
      <c r="AF647" s="105"/>
      <c r="AG647" s="105"/>
      <c r="AH647" s="158"/>
      <c r="AI647" s="88"/>
      <c r="AJ647" s="88"/>
      <c r="AK647" s="131"/>
      <c r="AL647" s="131"/>
      <c r="AM647" s="131"/>
      <c r="AN647" s="131"/>
      <c r="AO647" s="131"/>
      <c r="AP647" s="88"/>
      <c r="AQ647" s="88"/>
    </row>
    <row r="648">
      <c r="A648" s="173"/>
      <c r="B648" s="173"/>
      <c r="C648" s="174"/>
      <c r="D648" s="173"/>
      <c r="E648" s="155"/>
      <c r="F648" s="155"/>
      <c r="G648" s="88"/>
      <c r="H648" s="155"/>
      <c r="I648" s="155"/>
      <c r="J648" s="155"/>
      <c r="K648" s="15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58"/>
      <c r="AA648" s="105"/>
      <c r="AB648" s="105"/>
      <c r="AC648" s="105"/>
      <c r="AD648" s="105"/>
      <c r="AE648" s="105"/>
      <c r="AF648" s="105"/>
      <c r="AG648" s="105"/>
      <c r="AH648" s="158"/>
      <c r="AI648" s="88"/>
      <c r="AJ648" s="88"/>
      <c r="AK648" s="131"/>
      <c r="AL648" s="131"/>
      <c r="AM648" s="131"/>
      <c r="AN648" s="131"/>
      <c r="AO648" s="131"/>
      <c r="AP648" s="88"/>
      <c r="AQ648" s="88"/>
    </row>
    <row r="649">
      <c r="A649" s="173"/>
      <c r="B649" s="173"/>
      <c r="C649" s="174"/>
      <c r="D649" s="173"/>
      <c r="E649" s="155"/>
      <c r="F649" s="155"/>
      <c r="G649" s="88"/>
      <c r="H649" s="155"/>
      <c r="I649" s="155"/>
      <c r="J649" s="155"/>
      <c r="K649" s="15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58"/>
      <c r="AA649" s="105"/>
      <c r="AB649" s="105"/>
      <c r="AC649" s="105"/>
      <c r="AD649" s="105"/>
      <c r="AE649" s="105"/>
      <c r="AF649" s="105"/>
      <c r="AG649" s="105"/>
      <c r="AH649" s="158"/>
      <c r="AI649" s="88"/>
      <c r="AJ649" s="88"/>
      <c r="AK649" s="131"/>
      <c r="AL649" s="131"/>
      <c r="AM649" s="131"/>
      <c r="AN649" s="131"/>
      <c r="AO649" s="131"/>
      <c r="AP649" s="88"/>
      <c r="AQ649" s="88"/>
    </row>
    <row r="650">
      <c r="A650" s="173"/>
      <c r="B650" s="173"/>
      <c r="C650" s="174"/>
      <c r="D650" s="173"/>
      <c r="E650" s="155"/>
      <c r="F650" s="155"/>
      <c r="G650" s="88"/>
      <c r="H650" s="155"/>
      <c r="I650" s="155"/>
      <c r="J650" s="155"/>
      <c r="K650" s="15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58"/>
      <c r="AA650" s="105"/>
      <c r="AB650" s="105"/>
      <c r="AC650" s="105"/>
      <c r="AD650" s="105"/>
      <c r="AE650" s="105"/>
      <c r="AF650" s="105"/>
      <c r="AG650" s="105"/>
      <c r="AH650" s="158"/>
      <c r="AI650" s="88"/>
      <c r="AJ650" s="88"/>
      <c r="AK650" s="131"/>
      <c r="AL650" s="131"/>
      <c r="AM650" s="131"/>
      <c r="AN650" s="131"/>
      <c r="AO650" s="131"/>
      <c r="AP650" s="88"/>
      <c r="AQ650" s="88"/>
    </row>
    <row r="651">
      <c r="A651" s="173"/>
      <c r="B651" s="173"/>
      <c r="C651" s="174"/>
      <c r="D651" s="173"/>
      <c r="E651" s="155"/>
      <c r="F651" s="155"/>
      <c r="G651" s="88"/>
      <c r="H651" s="155"/>
      <c r="I651" s="155"/>
      <c r="J651" s="155"/>
      <c r="K651" s="15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58"/>
      <c r="AA651" s="105"/>
      <c r="AB651" s="105"/>
      <c r="AC651" s="105"/>
      <c r="AD651" s="105"/>
      <c r="AE651" s="105"/>
      <c r="AF651" s="105"/>
      <c r="AG651" s="105"/>
      <c r="AH651" s="158"/>
      <c r="AI651" s="88"/>
      <c r="AJ651" s="88"/>
      <c r="AK651" s="131"/>
      <c r="AL651" s="131"/>
      <c r="AM651" s="131"/>
      <c r="AN651" s="131"/>
      <c r="AO651" s="131"/>
      <c r="AP651" s="88"/>
      <c r="AQ651" s="88"/>
    </row>
    <row r="652">
      <c r="A652" s="173"/>
      <c r="B652" s="173"/>
      <c r="C652" s="174"/>
      <c r="D652" s="173"/>
      <c r="E652" s="155"/>
      <c r="F652" s="155"/>
      <c r="G652" s="88"/>
      <c r="H652" s="155"/>
      <c r="I652" s="155"/>
      <c r="J652" s="155"/>
      <c r="K652" s="15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58"/>
      <c r="AA652" s="105"/>
      <c r="AB652" s="105"/>
      <c r="AC652" s="105"/>
      <c r="AD652" s="105"/>
      <c r="AE652" s="105"/>
      <c r="AF652" s="105"/>
      <c r="AG652" s="105"/>
      <c r="AH652" s="158"/>
      <c r="AI652" s="88"/>
      <c r="AJ652" s="88"/>
      <c r="AK652" s="131"/>
      <c r="AL652" s="131"/>
      <c r="AM652" s="131"/>
      <c r="AN652" s="131"/>
      <c r="AO652" s="131"/>
      <c r="AP652" s="88"/>
      <c r="AQ652" s="88"/>
    </row>
    <row r="653">
      <c r="A653" s="173"/>
      <c r="B653" s="173"/>
      <c r="C653" s="174"/>
      <c r="D653" s="173"/>
      <c r="E653" s="155"/>
      <c r="F653" s="155"/>
      <c r="G653" s="88"/>
      <c r="H653" s="155"/>
      <c r="I653" s="155"/>
      <c r="J653" s="155"/>
      <c r="K653" s="15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58"/>
      <c r="AA653" s="105"/>
      <c r="AB653" s="105"/>
      <c r="AC653" s="105"/>
      <c r="AD653" s="105"/>
      <c r="AE653" s="105"/>
      <c r="AF653" s="105"/>
      <c r="AG653" s="105"/>
      <c r="AH653" s="158"/>
      <c r="AI653" s="88"/>
      <c r="AJ653" s="88"/>
      <c r="AK653" s="131"/>
      <c r="AL653" s="131"/>
      <c r="AM653" s="131"/>
      <c r="AN653" s="131"/>
      <c r="AO653" s="131"/>
      <c r="AP653" s="88"/>
      <c r="AQ653" s="88"/>
    </row>
    <row r="654">
      <c r="A654" s="173"/>
      <c r="B654" s="173"/>
      <c r="C654" s="174"/>
      <c r="D654" s="173"/>
      <c r="E654" s="155"/>
      <c r="F654" s="155"/>
      <c r="G654" s="88"/>
      <c r="H654" s="155"/>
      <c r="I654" s="155"/>
      <c r="J654" s="155"/>
      <c r="K654" s="15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58"/>
      <c r="AA654" s="105"/>
      <c r="AB654" s="105"/>
      <c r="AC654" s="105"/>
      <c r="AD654" s="105"/>
      <c r="AE654" s="105"/>
      <c r="AF654" s="105"/>
      <c r="AG654" s="105"/>
      <c r="AH654" s="158"/>
      <c r="AI654" s="88"/>
      <c r="AJ654" s="88"/>
      <c r="AK654" s="131"/>
      <c r="AL654" s="131"/>
      <c r="AM654" s="131"/>
      <c r="AN654" s="131"/>
      <c r="AO654" s="131"/>
      <c r="AP654" s="88"/>
      <c r="AQ654" s="88"/>
    </row>
    <row r="655">
      <c r="A655" s="173"/>
      <c r="B655" s="173"/>
      <c r="C655" s="174"/>
      <c r="D655" s="173"/>
      <c r="E655" s="155"/>
      <c r="F655" s="155"/>
      <c r="G655" s="88"/>
      <c r="H655" s="155"/>
      <c r="I655" s="155"/>
      <c r="J655" s="155"/>
      <c r="K655" s="15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58"/>
      <c r="AA655" s="105"/>
      <c r="AB655" s="105"/>
      <c r="AC655" s="105"/>
      <c r="AD655" s="105"/>
      <c r="AE655" s="105"/>
      <c r="AF655" s="105"/>
      <c r="AG655" s="105"/>
      <c r="AH655" s="158"/>
      <c r="AI655" s="88"/>
      <c r="AJ655" s="88"/>
      <c r="AK655" s="131"/>
      <c r="AL655" s="131"/>
      <c r="AM655" s="131"/>
      <c r="AN655" s="131"/>
      <c r="AO655" s="131"/>
      <c r="AP655" s="88"/>
      <c r="AQ655" s="88"/>
    </row>
    <row r="656">
      <c r="A656" s="173"/>
      <c r="B656" s="173"/>
      <c r="C656" s="174"/>
      <c r="D656" s="173"/>
      <c r="E656" s="155"/>
      <c r="F656" s="155"/>
      <c r="G656" s="88"/>
      <c r="H656" s="155"/>
      <c r="I656" s="155"/>
      <c r="J656" s="155"/>
      <c r="K656" s="15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58"/>
      <c r="AA656" s="105"/>
      <c r="AB656" s="105"/>
      <c r="AC656" s="105"/>
      <c r="AD656" s="105"/>
      <c r="AE656" s="105"/>
      <c r="AF656" s="105"/>
      <c r="AG656" s="105"/>
      <c r="AH656" s="158"/>
      <c r="AI656" s="88"/>
      <c r="AJ656" s="88"/>
      <c r="AK656" s="131"/>
      <c r="AL656" s="131"/>
      <c r="AM656" s="131"/>
      <c r="AN656" s="131"/>
      <c r="AO656" s="131"/>
      <c r="AP656" s="88"/>
      <c r="AQ656" s="88"/>
    </row>
    <row r="657">
      <c r="A657" s="173"/>
      <c r="B657" s="173"/>
      <c r="C657" s="174"/>
      <c r="D657" s="173"/>
      <c r="E657" s="155"/>
      <c r="F657" s="155"/>
      <c r="G657" s="88"/>
      <c r="H657" s="155"/>
      <c r="I657" s="155"/>
      <c r="J657" s="155"/>
      <c r="K657" s="15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58"/>
      <c r="AA657" s="105"/>
      <c r="AB657" s="105"/>
      <c r="AC657" s="105"/>
      <c r="AD657" s="105"/>
      <c r="AE657" s="105"/>
      <c r="AF657" s="105"/>
      <c r="AG657" s="105"/>
      <c r="AH657" s="158"/>
      <c r="AI657" s="88"/>
      <c r="AJ657" s="88"/>
      <c r="AK657" s="131"/>
      <c r="AL657" s="131"/>
      <c r="AM657" s="131"/>
      <c r="AN657" s="131"/>
      <c r="AO657" s="131"/>
      <c r="AP657" s="88"/>
      <c r="AQ657" s="88"/>
    </row>
    <row r="658">
      <c r="A658" s="173"/>
      <c r="B658" s="173"/>
      <c r="C658" s="174"/>
      <c r="D658" s="173"/>
      <c r="E658" s="155"/>
      <c r="F658" s="155"/>
      <c r="G658" s="88"/>
      <c r="H658" s="155"/>
      <c r="I658" s="155"/>
      <c r="J658" s="155"/>
      <c r="K658" s="15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58"/>
      <c r="AA658" s="105"/>
      <c r="AB658" s="105"/>
      <c r="AC658" s="105"/>
      <c r="AD658" s="105"/>
      <c r="AE658" s="105"/>
      <c r="AF658" s="105"/>
      <c r="AG658" s="105"/>
      <c r="AH658" s="158"/>
      <c r="AI658" s="88"/>
      <c r="AJ658" s="88"/>
      <c r="AK658" s="131"/>
      <c r="AL658" s="131"/>
      <c r="AM658" s="131"/>
      <c r="AN658" s="131"/>
      <c r="AO658" s="131"/>
      <c r="AP658" s="88"/>
      <c r="AQ658" s="88"/>
    </row>
    <row r="659">
      <c r="A659" s="173"/>
      <c r="B659" s="173"/>
      <c r="C659" s="174"/>
      <c r="D659" s="173"/>
      <c r="E659" s="155"/>
      <c r="F659" s="155"/>
      <c r="G659" s="88"/>
      <c r="H659" s="155"/>
      <c r="I659" s="155"/>
      <c r="J659" s="155"/>
      <c r="K659" s="15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58"/>
      <c r="AA659" s="105"/>
      <c r="AB659" s="105"/>
      <c r="AC659" s="105"/>
      <c r="AD659" s="105"/>
      <c r="AE659" s="105"/>
      <c r="AF659" s="105"/>
      <c r="AG659" s="105"/>
      <c r="AH659" s="158"/>
      <c r="AI659" s="88"/>
      <c r="AJ659" s="88"/>
      <c r="AK659" s="131"/>
      <c r="AL659" s="131"/>
      <c r="AM659" s="131"/>
      <c r="AN659" s="131"/>
      <c r="AO659" s="131"/>
      <c r="AP659" s="88"/>
      <c r="AQ659" s="88"/>
    </row>
    <row r="660">
      <c r="A660" s="173"/>
      <c r="B660" s="173"/>
      <c r="C660" s="174"/>
      <c r="D660" s="173"/>
      <c r="E660" s="155"/>
      <c r="F660" s="155"/>
      <c r="G660" s="88"/>
      <c r="H660" s="155"/>
      <c r="I660" s="155"/>
      <c r="J660" s="155"/>
      <c r="K660" s="15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58"/>
      <c r="AA660" s="105"/>
      <c r="AB660" s="105"/>
      <c r="AC660" s="105"/>
      <c r="AD660" s="105"/>
      <c r="AE660" s="105"/>
      <c r="AF660" s="105"/>
      <c r="AG660" s="105"/>
      <c r="AH660" s="158"/>
      <c r="AI660" s="88"/>
      <c r="AJ660" s="88"/>
      <c r="AK660" s="131"/>
      <c r="AL660" s="131"/>
      <c r="AM660" s="131"/>
      <c r="AN660" s="131"/>
      <c r="AO660" s="131"/>
      <c r="AP660" s="88"/>
      <c r="AQ660" s="88"/>
    </row>
    <row r="661">
      <c r="A661" s="173"/>
      <c r="B661" s="173"/>
      <c r="C661" s="174"/>
      <c r="D661" s="173"/>
      <c r="E661" s="155"/>
      <c r="F661" s="155"/>
      <c r="G661" s="88"/>
      <c r="H661" s="155"/>
      <c r="I661" s="155"/>
      <c r="J661" s="155"/>
      <c r="K661" s="15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58"/>
      <c r="AA661" s="105"/>
      <c r="AB661" s="105"/>
      <c r="AC661" s="105"/>
      <c r="AD661" s="105"/>
      <c r="AE661" s="105"/>
      <c r="AF661" s="105"/>
      <c r="AG661" s="105"/>
      <c r="AH661" s="158"/>
      <c r="AI661" s="88"/>
      <c r="AJ661" s="88"/>
      <c r="AK661" s="131"/>
      <c r="AL661" s="131"/>
      <c r="AM661" s="131"/>
      <c r="AN661" s="131"/>
      <c r="AO661" s="131"/>
      <c r="AP661" s="88"/>
      <c r="AQ661" s="88"/>
    </row>
    <row r="662">
      <c r="A662" s="173"/>
      <c r="B662" s="173"/>
      <c r="C662" s="174"/>
      <c r="D662" s="173"/>
      <c r="E662" s="155"/>
      <c r="F662" s="155"/>
      <c r="G662" s="88"/>
      <c r="H662" s="155"/>
      <c r="I662" s="155"/>
      <c r="J662" s="155"/>
      <c r="K662" s="15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58"/>
      <c r="AA662" s="105"/>
      <c r="AB662" s="105"/>
      <c r="AC662" s="105"/>
      <c r="AD662" s="105"/>
      <c r="AE662" s="105"/>
      <c r="AF662" s="105"/>
      <c r="AG662" s="105"/>
      <c r="AH662" s="158"/>
      <c r="AI662" s="88"/>
      <c r="AJ662" s="88"/>
      <c r="AK662" s="131"/>
      <c r="AL662" s="131"/>
      <c r="AM662" s="131"/>
      <c r="AN662" s="131"/>
      <c r="AO662" s="131"/>
      <c r="AP662" s="88"/>
      <c r="AQ662" s="88"/>
    </row>
    <row r="663">
      <c r="A663" s="173"/>
      <c r="B663" s="173"/>
      <c r="C663" s="174"/>
      <c r="D663" s="173"/>
      <c r="E663" s="155"/>
      <c r="F663" s="155"/>
      <c r="G663" s="88"/>
      <c r="H663" s="155"/>
      <c r="I663" s="155"/>
      <c r="J663" s="155"/>
      <c r="K663" s="15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58"/>
      <c r="AA663" s="105"/>
      <c r="AB663" s="105"/>
      <c r="AC663" s="105"/>
      <c r="AD663" s="105"/>
      <c r="AE663" s="105"/>
      <c r="AF663" s="105"/>
      <c r="AG663" s="105"/>
      <c r="AH663" s="158"/>
      <c r="AI663" s="88"/>
      <c r="AJ663" s="88"/>
      <c r="AK663" s="131"/>
      <c r="AL663" s="131"/>
      <c r="AM663" s="131"/>
      <c r="AN663" s="131"/>
      <c r="AO663" s="131"/>
      <c r="AP663" s="88"/>
      <c r="AQ663" s="88"/>
    </row>
    <row r="664">
      <c r="A664" s="173"/>
      <c r="B664" s="173"/>
      <c r="C664" s="174"/>
      <c r="D664" s="173"/>
      <c r="E664" s="155"/>
      <c r="F664" s="155"/>
      <c r="G664" s="88"/>
      <c r="H664" s="155"/>
      <c r="I664" s="155"/>
      <c r="J664" s="155"/>
      <c r="K664" s="15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58"/>
      <c r="AA664" s="105"/>
      <c r="AB664" s="105"/>
      <c r="AC664" s="105"/>
      <c r="AD664" s="105"/>
      <c r="AE664" s="105"/>
      <c r="AF664" s="105"/>
      <c r="AG664" s="105"/>
      <c r="AH664" s="158"/>
      <c r="AI664" s="88"/>
      <c r="AJ664" s="88"/>
      <c r="AK664" s="131"/>
      <c r="AL664" s="131"/>
      <c r="AM664" s="131"/>
      <c r="AN664" s="131"/>
      <c r="AO664" s="131"/>
      <c r="AP664" s="88"/>
      <c r="AQ664" s="88"/>
    </row>
    <row r="665">
      <c r="A665" s="173"/>
      <c r="B665" s="173"/>
      <c r="C665" s="174"/>
      <c r="D665" s="173"/>
      <c r="E665" s="155"/>
      <c r="F665" s="155"/>
      <c r="G665" s="88"/>
      <c r="H665" s="155"/>
      <c r="I665" s="155"/>
      <c r="J665" s="155"/>
      <c r="K665" s="15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58"/>
      <c r="AA665" s="105"/>
      <c r="AB665" s="105"/>
      <c r="AC665" s="105"/>
      <c r="AD665" s="105"/>
      <c r="AE665" s="105"/>
      <c r="AF665" s="105"/>
      <c r="AG665" s="105"/>
      <c r="AH665" s="158"/>
      <c r="AI665" s="88"/>
      <c r="AJ665" s="88"/>
      <c r="AK665" s="131"/>
      <c r="AL665" s="131"/>
      <c r="AM665" s="131"/>
      <c r="AN665" s="131"/>
      <c r="AO665" s="131"/>
      <c r="AP665" s="88"/>
      <c r="AQ665" s="88"/>
    </row>
    <row r="666">
      <c r="A666" s="173"/>
      <c r="B666" s="173"/>
      <c r="C666" s="174"/>
      <c r="D666" s="173"/>
      <c r="E666" s="155"/>
      <c r="F666" s="155"/>
      <c r="G666" s="88"/>
      <c r="H666" s="155"/>
      <c r="I666" s="155"/>
      <c r="J666" s="155"/>
      <c r="K666" s="15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58"/>
      <c r="AA666" s="105"/>
      <c r="AB666" s="105"/>
      <c r="AC666" s="105"/>
      <c r="AD666" s="105"/>
      <c r="AE666" s="105"/>
      <c r="AF666" s="105"/>
      <c r="AG666" s="105"/>
      <c r="AH666" s="158"/>
      <c r="AI666" s="88"/>
      <c r="AJ666" s="88"/>
      <c r="AK666" s="131"/>
      <c r="AL666" s="131"/>
      <c r="AM666" s="131"/>
      <c r="AN666" s="131"/>
      <c r="AO666" s="131"/>
      <c r="AP666" s="88"/>
      <c r="AQ666" s="88"/>
    </row>
    <row r="667">
      <c r="A667" s="173"/>
      <c r="B667" s="173"/>
      <c r="C667" s="174"/>
      <c r="D667" s="173"/>
      <c r="E667" s="155"/>
      <c r="F667" s="155"/>
      <c r="G667" s="88"/>
      <c r="H667" s="155"/>
      <c r="I667" s="155"/>
      <c r="J667" s="155"/>
      <c r="K667" s="15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58"/>
      <c r="AA667" s="105"/>
      <c r="AB667" s="105"/>
      <c r="AC667" s="105"/>
      <c r="AD667" s="105"/>
      <c r="AE667" s="105"/>
      <c r="AF667" s="105"/>
      <c r="AG667" s="105"/>
      <c r="AH667" s="158"/>
      <c r="AI667" s="88"/>
      <c r="AJ667" s="88"/>
      <c r="AK667" s="131"/>
      <c r="AL667" s="131"/>
      <c r="AM667" s="131"/>
      <c r="AN667" s="131"/>
      <c r="AO667" s="131"/>
      <c r="AP667" s="88"/>
      <c r="AQ667" s="88"/>
    </row>
    <row r="668">
      <c r="A668" s="173"/>
      <c r="B668" s="173"/>
      <c r="C668" s="174"/>
      <c r="D668" s="173"/>
      <c r="E668" s="155"/>
      <c r="F668" s="155"/>
      <c r="G668" s="88"/>
      <c r="H668" s="155"/>
      <c r="I668" s="155"/>
      <c r="J668" s="155"/>
      <c r="K668" s="15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58"/>
      <c r="AA668" s="105"/>
      <c r="AB668" s="105"/>
      <c r="AC668" s="105"/>
      <c r="AD668" s="105"/>
      <c r="AE668" s="105"/>
      <c r="AF668" s="105"/>
      <c r="AG668" s="105"/>
      <c r="AH668" s="158"/>
      <c r="AI668" s="88"/>
      <c r="AJ668" s="88"/>
      <c r="AK668" s="131"/>
      <c r="AL668" s="131"/>
      <c r="AM668" s="131"/>
      <c r="AN668" s="131"/>
      <c r="AO668" s="131"/>
      <c r="AP668" s="88"/>
      <c r="AQ668" s="88"/>
    </row>
    <row r="669">
      <c r="A669" s="173"/>
      <c r="B669" s="173"/>
      <c r="C669" s="174"/>
      <c r="D669" s="173"/>
      <c r="E669" s="155"/>
      <c r="F669" s="155"/>
      <c r="G669" s="88"/>
      <c r="H669" s="155"/>
      <c r="I669" s="155"/>
      <c r="J669" s="155"/>
      <c r="K669" s="15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58"/>
      <c r="AA669" s="105"/>
      <c r="AB669" s="105"/>
      <c r="AC669" s="105"/>
      <c r="AD669" s="105"/>
      <c r="AE669" s="105"/>
      <c r="AF669" s="105"/>
      <c r="AG669" s="105"/>
      <c r="AH669" s="158"/>
      <c r="AI669" s="88"/>
      <c r="AJ669" s="88"/>
      <c r="AK669" s="131"/>
      <c r="AL669" s="131"/>
      <c r="AM669" s="131"/>
      <c r="AN669" s="131"/>
      <c r="AO669" s="131"/>
      <c r="AP669" s="88"/>
      <c r="AQ669" s="88"/>
    </row>
    <row r="670">
      <c r="A670" s="173"/>
      <c r="B670" s="173"/>
      <c r="C670" s="174"/>
      <c r="D670" s="173"/>
      <c r="E670" s="155"/>
      <c r="F670" s="155"/>
      <c r="G670" s="88"/>
      <c r="H670" s="155"/>
      <c r="I670" s="155"/>
      <c r="J670" s="155"/>
      <c r="K670" s="15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58"/>
      <c r="AA670" s="105"/>
      <c r="AB670" s="105"/>
      <c r="AC670" s="105"/>
      <c r="AD670" s="105"/>
      <c r="AE670" s="105"/>
      <c r="AF670" s="105"/>
      <c r="AG670" s="105"/>
      <c r="AH670" s="158"/>
      <c r="AI670" s="88"/>
      <c r="AJ670" s="88"/>
      <c r="AK670" s="131"/>
      <c r="AL670" s="131"/>
      <c r="AM670" s="131"/>
      <c r="AN670" s="131"/>
      <c r="AO670" s="131"/>
      <c r="AP670" s="88"/>
      <c r="AQ670" s="88"/>
    </row>
    <row r="671">
      <c r="A671" s="173"/>
      <c r="B671" s="173"/>
      <c r="C671" s="174"/>
      <c r="D671" s="173"/>
      <c r="E671" s="155"/>
      <c r="F671" s="155"/>
      <c r="G671" s="88"/>
      <c r="H671" s="155"/>
      <c r="I671" s="155"/>
      <c r="J671" s="155"/>
      <c r="K671" s="15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58"/>
      <c r="AA671" s="105"/>
      <c r="AB671" s="105"/>
      <c r="AC671" s="105"/>
      <c r="AD671" s="105"/>
      <c r="AE671" s="105"/>
      <c r="AF671" s="105"/>
      <c r="AG671" s="105"/>
      <c r="AH671" s="158"/>
      <c r="AI671" s="88"/>
      <c r="AJ671" s="88"/>
      <c r="AK671" s="131"/>
      <c r="AL671" s="131"/>
      <c r="AM671" s="131"/>
      <c r="AN671" s="131"/>
      <c r="AO671" s="131"/>
      <c r="AP671" s="88"/>
      <c r="AQ671" s="88"/>
    </row>
    <row r="672">
      <c r="A672" s="173"/>
      <c r="B672" s="173"/>
      <c r="C672" s="174"/>
      <c r="D672" s="173"/>
      <c r="E672" s="155"/>
      <c r="F672" s="155"/>
      <c r="G672" s="88"/>
      <c r="H672" s="155"/>
      <c r="I672" s="155"/>
      <c r="J672" s="155"/>
      <c r="K672" s="15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58"/>
      <c r="AA672" s="105"/>
      <c r="AB672" s="105"/>
      <c r="AC672" s="105"/>
      <c r="AD672" s="105"/>
      <c r="AE672" s="105"/>
      <c r="AF672" s="105"/>
      <c r="AG672" s="105"/>
      <c r="AH672" s="158"/>
      <c r="AI672" s="88"/>
      <c r="AJ672" s="88"/>
      <c r="AK672" s="131"/>
      <c r="AL672" s="131"/>
      <c r="AM672" s="131"/>
      <c r="AN672" s="131"/>
      <c r="AO672" s="131"/>
      <c r="AP672" s="88"/>
      <c r="AQ672" s="88"/>
    </row>
    <row r="673">
      <c r="A673" s="173"/>
      <c r="B673" s="173"/>
      <c r="C673" s="174"/>
      <c r="D673" s="173"/>
      <c r="E673" s="155"/>
      <c r="F673" s="155"/>
      <c r="G673" s="88"/>
      <c r="H673" s="155"/>
      <c r="I673" s="155"/>
      <c r="J673" s="155"/>
      <c r="K673" s="15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58"/>
      <c r="AA673" s="105"/>
      <c r="AB673" s="105"/>
      <c r="AC673" s="105"/>
      <c r="AD673" s="105"/>
      <c r="AE673" s="105"/>
      <c r="AF673" s="105"/>
      <c r="AG673" s="105"/>
      <c r="AH673" s="158"/>
      <c r="AI673" s="88"/>
      <c r="AJ673" s="88"/>
      <c r="AK673" s="131"/>
      <c r="AL673" s="131"/>
      <c r="AM673" s="131"/>
      <c r="AN673" s="131"/>
      <c r="AO673" s="131"/>
      <c r="AP673" s="88"/>
      <c r="AQ673" s="88"/>
    </row>
    <row r="674">
      <c r="A674" s="173"/>
      <c r="B674" s="173"/>
      <c r="C674" s="174"/>
      <c r="D674" s="173"/>
      <c r="E674" s="155"/>
      <c r="F674" s="155"/>
      <c r="G674" s="88"/>
      <c r="H674" s="155"/>
      <c r="I674" s="155"/>
      <c r="J674" s="155"/>
      <c r="K674" s="15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58"/>
      <c r="AA674" s="105"/>
      <c r="AB674" s="105"/>
      <c r="AC674" s="105"/>
      <c r="AD674" s="105"/>
      <c r="AE674" s="105"/>
      <c r="AF674" s="105"/>
      <c r="AG674" s="105"/>
      <c r="AH674" s="158"/>
      <c r="AI674" s="88"/>
      <c r="AJ674" s="88"/>
      <c r="AK674" s="131"/>
      <c r="AL674" s="131"/>
      <c r="AM674" s="131"/>
      <c r="AN674" s="131"/>
      <c r="AO674" s="131"/>
      <c r="AP674" s="88"/>
      <c r="AQ674" s="88"/>
    </row>
    <row r="675">
      <c r="A675" s="173"/>
      <c r="B675" s="173"/>
      <c r="C675" s="174"/>
      <c r="D675" s="173"/>
      <c r="E675" s="155"/>
      <c r="F675" s="155"/>
      <c r="G675" s="88"/>
      <c r="H675" s="155"/>
      <c r="I675" s="155"/>
      <c r="J675" s="155"/>
      <c r="K675" s="15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58"/>
      <c r="AA675" s="105"/>
      <c r="AB675" s="105"/>
      <c r="AC675" s="105"/>
      <c r="AD675" s="105"/>
      <c r="AE675" s="105"/>
      <c r="AF675" s="105"/>
      <c r="AG675" s="105"/>
      <c r="AH675" s="158"/>
      <c r="AI675" s="88"/>
      <c r="AJ675" s="88"/>
      <c r="AK675" s="131"/>
      <c r="AL675" s="131"/>
      <c r="AM675" s="131"/>
      <c r="AN675" s="131"/>
      <c r="AO675" s="131"/>
      <c r="AP675" s="88"/>
      <c r="AQ675" s="88"/>
    </row>
    <row r="676">
      <c r="A676" s="173"/>
      <c r="B676" s="173"/>
      <c r="C676" s="174"/>
      <c r="D676" s="173"/>
      <c r="E676" s="155"/>
      <c r="F676" s="155"/>
      <c r="G676" s="88"/>
      <c r="H676" s="155"/>
      <c r="I676" s="155"/>
      <c r="J676" s="155"/>
      <c r="K676" s="15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58"/>
      <c r="AA676" s="105"/>
      <c r="AB676" s="105"/>
      <c r="AC676" s="105"/>
      <c r="AD676" s="105"/>
      <c r="AE676" s="105"/>
      <c r="AF676" s="105"/>
      <c r="AG676" s="105"/>
      <c r="AH676" s="158"/>
      <c r="AI676" s="88"/>
      <c r="AJ676" s="88"/>
      <c r="AK676" s="131"/>
      <c r="AL676" s="131"/>
      <c r="AM676" s="131"/>
      <c r="AN676" s="131"/>
      <c r="AO676" s="131"/>
      <c r="AP676" s="88"/>
      <c r="AQ676" s="88"/>
    </row>
    <row r="677">
      <c r="A677" s="173"/>
      <c r="B677" s="173"/>
      <c r="C677" s="174"/>
      <c r="D677" s="173"/>
      <c r="E677" s="155"/>
      <c r="F677" s="155"/>
      <c r="G677" s="88"/>
      <c r="H677" s="155"/>
      <c r="I677" s="155"/>
      <c r="J677" s="155"/>
      <c r="K677" s="15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58"/>
      <c r="AA677" s="105"/>
      <c r="AB677" s="105"/>
      <c r="AC677" s="105"/>
      <c r="AD677" s="105"/>
      <c r="AE677" s="105"/>
      <c r="AF677" s="105"/>
      <c r="AG677" s="105"/>
      <c r="AH677" s="158"/>
      <c r="AI677" s="88"/>
      <c r="AJ677" s="88"/>
      <c r="AK677" s="131"/>
      <c r="AL677" s="131"/>
      <c r="AM677" s="131"/>
      <c r="AN677" s="131"/>
      <c r="AO677" s="131"/>
      <c r="AP677" s="88"/>
      <c r="AQ677" s="88"/>
    </row>
    <row r="678">
      <c r="A678" s="173"/>
      <c r="B678" s="173"/>
      <c r="C678" s="174"/>
      <c r="D678" s="173"/>
      <c r="E678" s="155"/>
      <c r="F678" s="155"/>
      <c r="G678" s="88"/>
      <c r="H678" s="155"/>
      <c r="I678" s="155"/>
      <c r="J678" s="155"/>
      <c r="K678" s="15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58"/>
      <c r="AA678" s="105"/>
      <c r="AB678" s="105"/>
      <c r="AC678" s="105"/>
      <c r="AD678" s="105"/>
      <c r="AE678" s="105"/>
      <c r="AF678" s="105"/>
      <c r="AG678" s="105"/>
      <c r="AH678" s="158"/>
      <c r="AI678" s="88"/>
      <c r="AJ678" s="88"/>
      <c r="AK678" s="131"/>
      <c r="AL678" s="131"/>
      <c r="AM678" s="131"/>
      <c r="AN678" s="131"/>
      <c r="AO678" s="131"/>
      <c r="AP678" s="88"/>
      <c r="AQ678" s="88"/>
    </row>
    <row r="679">
      <c r="A679" s="173"/>
      <c r="B679" s="173"/>
      <c r="C679" s="174"/>
      <c r="D679" s="173"/>
      <c r="E679" s="155"/>
      <c r="F679" s="155"/>
      <c r="G679" s="88"/>
      <c r="H679" s="155"/>
      <c r="I679" s="155"/>
      <c r="J679" s="155"/>
      <c r="K679" s="15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58"/>
      <c r="AA679" s="105"/>
      <c r="AB679" s="105"/>
      <c r="AC679" s="105"/>
      <c r="AD679" s="105"/>
      <c r="AE679" s="105"/>
      <c r="AF679" s="105"/>
      <c r="AG679" s="105"/>
      <c r="AH679" s="158"/>
      <c r="AI679" s="88"/>
      <c r="AJ679" s="88"/>
      <c r="AK679" s="131"/>
      <c r="AL679" s="131"/>
      <c r="AM679" s="131"/>
      <c r="AN679" s="131"/>
      <c r="AO679" s="131"/>
      <c r="AP679" s="88"/>
      <c r="AQ679" s="88"/>
    </row>
    <row r="680">
      <c r="A680" s="173"/>
      <c r="B680" s="173"/>
      <c r="C680" s="174"/>
      <c r="D680" s="173"/>
      <c r="E680" s="155"/>
      <c r="F680" s="155"/>
      <c r="G680" s="88"/>
      <c r="H680" s="155"/>
      <c r="I680" s="155"/>
      <c r="J680" s="155"/>
      <c r="K680" s="15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58"/>
      <c r="AA680" s="105"/>
      <c r="AB680" s="105"/>
      <c r="AC680" s="105"/>
      <c r="AD680" s="105"/>
      <c r="AE680" s="105"/>
      <c r="AF680" s="105"/>
      <c r="AG680" s="105"/>
      <c r="AH680" s="158"/>
      <c r="AI680" s="88"/>
      <c r="AJ680" s="88"/>
      <c r="AK680" s="131"/>
      <c r="AL680" s="131"/>
      <c r="AM680" s="131"/>
      <c r="AN680" s="131"/>
      <c r="AO680" s="131"/>
      <c r="AP680" s="88"/>
      <c r="AQ680" s="88"/>
    </row>
    <row r="681">
      <c r="A681" s="173"/>
      <c r="B681" s="173"/>
      <c r="C681" s="174"/>
      <c r="D681" s="173"/>
      <c r="E681" s="155"/>
      <c r="F681" s="155"/>
      <c r="G681" s="88"/>
      <c r="H681" s="155"/>
      <c r="I681" s="155"/>
      <c r="J681" s="155"/>
      <c r="K681" s="15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58"/>
      <c r="AA681" s="105"/>
      <c r="AB681" s="105"/>
      <c r="AC681" s="105"/>
      <c r="AD681" s="105"/>
      <c r="AE681" s="105"/>
      <c r="AF681" s="105"/>
      <c r="AG681" s="105"/>
      <c r="AH681" s="158"/>
      <c r="AI681" s="88"/>
      <c r="AJ681" s="88"/>
      <c r="AK681" s="131"/>
      <c r="AL681" s="131"/>
      <c r="AM681" s="131"/>
      <c r="AN681" s="131"/>
      <c r="AO681" s="131"/>
      <c r="AP681" s="88"/>
      <c r="AQ681" s="88"/>
    </row>
    <row r="682">
      <c r="A682" s="173"/>
      <c r="B682" s="173"/>
      <c r="C682" s="174"/>
      <c r="D682" s="173"/>
      <c r="E682" s="155"/>
      <c r="F682" s="155"/>
      <c r="G682" s="88"/>
      <c r="H682" s="155"/>
      <c r="I682" s="155"/>
      <c r="J682" s="155"/>
      <c r="K682" s="15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58"/>
      <c r="AA682" s="105"/>
      <c r="AB682" s="105"/>
      <c r="AC682" s="105"/>
      <c r="AD682" s="105"/>
      <c r="AE682" s="105"/>
      <c r="AF682" s="105"/>
      <c r="AG682" s="105"/>
      <c r="AH682" s="158"/>
      <c r="AI682" s="88"/>
      <c r="AJ682" s="88"/>
      <c r="AK682" s="131"/>
      <c r="AL682" s="131"/>
      <c r="AM682" s="131"/>
      <c r="AN682" s="131"/>
      <c r="AO682" s="131"/>
      <c r="AP682" s="88"/>
      <c r="AQ682" s="88"/>
    </row>
    <row r="683">
      <c r="A683" s="173"/>
      <c r="B683" s="173"/>
      <c r="C683" s="174"/>
      <c r="D683" s="173"/>
      <c r="E683" s="155"/>
      <c r="F683" s="155"/>
      <c r="G683" s="88"/>
      <c r="H683" s="155"/>
      <c r="I683" s="155"/>
      <c r="J683" s="155"/>
      <c r="K683" s="15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58"/>
      <c r="AA683" s="105"/>
      <c r="AB683" s="105"/>
      <c r="AC683" s="105"/>
      <c r="AD683" s="105"/>
      <c r="AE683" s="105"/>
      <c r="AF683" s="105"/>
      <c r="AG683" s="105"/>
      <c r="AH683" s="158"/>
      <c r="AI683" s="88"/>
      <c r="AJ683" s="88"/>
      <c r="AK683" s="131"/>
      <c r="AL683" s="131"/>
      <c r="AM683" s="131"/>
      <c r="AN683" s="131"/>
      <c r="AO683" s="131"/>
      <c r="AP683" s="88"/>
      <c r="AQ683" s="88"/>
    </row>
    <row r="684">
      <c r="A684" s="173"/>
      <c r="B684" s="173"/>
      <c r="C684" s="174"/>
      <c r="D684" s="173"/>
      <c r="E684" s="155"/>
      <c r="F684" s="155"/>
      <c r="G684" s="88"/>
      <c r="H684" s="155"/>
      <c r="I684" s="155"/>
      <c r="J684" s="155"/>
      <c r="K684" s="15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58"/>
      <c r="AA684" s="105"/>
      <c r="AB684" s="105"/>
      <c r="AC684" s="105"/>
      <c r="AD684" s="105"/>
      <c r="AE684" s="105"/>
      <c r="AF684" s="105"/>
      <c r="AG684" s="105"/>
      <c r="AH684" s="158"/>
      <c r="AI684" s="88"/>
      <c r="AJ684" s="88"/>
      <c r="AK684" s="131"/>
      <c r="AL684" s="131"/>
      <c r="AM684" s="131"/>
      <c r="AN684" s="131"/>
      <c r="AO684" s="131"/>
      <c r="AP684" s="88"/>
      <c r="AQ684" s="88"/>
    </row>
    <row r="685">
      <c r="A685" s="173"/>
      <c r="B685" s="173"/>
      <c r="C685" s="174"/>
      <c r="D685" s="173"/>
      <c r="E685" s="155"/>
      <c r="F685" s="155"/>
      <c r="G685" s="88"/>
      <c r="H685" s="155"/>
      <c r="I685" s="155"/>
      <c r="J685" s="155"/>
      <c r="K685" s="15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58"/>
      <c r="AA685" s="105"/>
      <c r="AB685" s="105"/>
      <c r="AC685" s="105"/>
      <c r="AD685" s="105"/>
      <c r="AE685" s="105"/>
      <c r="AF685" s="105"/>
      <c r="AG685" s="105"/>
      <c r="AH685" s="158"/>
      <c r="AI685" s="88"/>
      <c r="AJ685" s="88"/>
      <c r="AK685" s="131"/>
      <c r="AL685" s="131"/>
      <c r="AM685" s="131"/>
      <c r="AN685" s="131"/>
      <c r="AO685" s="131"/>
      <c r="AP685" s="88"/>
      <c r="AQ685" s="88"/>
    </row>
    <row r="686">
      <c r="A686" s="173"/>
      <c r="B686" s="173"/>
      <c r="C686" s="174"/>
      <c r="D686" s="173"/>
      <c r="E686" s="155"/>
      <c r="F686" s="155"/>
      <c r="G686" s="88"/>
      <c r="H686" s="155"/>
      <c r="I686" s="155"/>
      <c r="J686" s="155"/>
      <c r="K686" s="15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58"/>
      <c r="AA686" s="105"/>
      <c r="AB686" s="105"/>
      <c r="AC686" s="105"/>
      <c r="AD686" s="105"/>
      <c r="AE686" s="105"/>
      <c r="AF686" s="105"/>
      <c r="AG686" s="105"/>
      <c r="AH686" s="158"/>
      <c r="AI686" s="88"/>
      <c r="AJ686" s="88"/>
      <c r="AK686" s="131"/>
      <c r="AL686" s="131"/>
      <c r="AM686" s="131"/>
      <c r="AN686" s="131"/>
      <c r="AO686" s="131"/>
      <c r="AP686" s="88"/>
      <c r="AQ686" s="88"/>
    </row>
    <row r="687">
      <c r="A687" s="173"/>
      <c r="B687" s="173"/>
      <c r="C687" s="174"/>
      <c r="D687" s="173"/>
      <c r="E687" s="155"/>
      <c r="F687" s="155"/>
      <c r="G687" s="88"/>
      <c r="H687" s="155"/>
      <c r="I687" s="155"/>
      <c r="J687" s="155"/>
      <c r="K687" s="15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58"/>
      <c r="AA687" s="105"/>
      <c r="AB687" s="105"/>
      <c r="AC687" s="105"/>
      <c r="AD687" s="105"/>
      <c r="AE687" s="105"/>
      <c r="AF687" s="105"/>
      <c r="AG687" s="105"/>
      <c r="AH687" s="158"/>
      <c r="AI687" s="88"/>
      <c r="AJ687" s="88"/>
      <c r="AK687" s="131"/>
      <c r="AL687" s="131"/>
      <c r="AM687" s="131"/>
      <c r="AN687" s="131"/>
      <c r="AO687" s="131"/>
      <c r="AP687" s="88"/>
      <c r="AQ687" s="88"/>
    </row>
    <row r="688">
      <c r="A688" s="173"/>
      <c r="B688" s="173"/>
      <c r="C688" s="174"/>
      <c r="D688" s="173"/>
      <c r="E688" s="155"/>
      <c r="F688" s="155"/>
      <c r="G688" s="88"/>
      <c r="H688" s="155"/>
      <c r="I688" s="155"/>
      <c r="J688" s="155"/>
      <c r="K688" s="15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58"/>
      <c r="AA688" s="105"/>
      <c r="AB688" s="105"/>
      <c r="AC688" s="105"/>
      <c r="AD688" s="105"/>
      <c r="AE688" s="105"/>
      <c r="AF688" s="105"/>
      <c r="AG688" s="105"/>
      <c r="AH688" s="158"/>
      <c r="AI688" s="88"/>
      <c r="AJ688" s="88"/>
      <c r="AK688" s="131"/>
      <c r="AL688" s="131"/>
      <c r="AM688" s="131"/>
      <c r="AN688" s="131"/>
      <c r="AO688" s="131"/>
      <c r="AP688" s="88"/>
      <c r="AQ688" s="88"/>
    </row>
    <row r="689">
      <c r="A689" s="173"/>
      <c r="B689" s="173"/>
      <c r="C689" s="174"/>
      <c r="D689" s="173"/>
      <c r="E689" s="155"/>
      <c r="F689" s="155"/>
      <c r="G689" s="88"/>
      <c r="H689" s="155"/>
      <c r="I689" s="155"/>
      <c r="J689" s="155"/>
      <c r="K689" s="15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58"/>
      <c r="AA689" s="105"/>
      <c r="AB689" s="105"/>
      <c r="AC689" s="105"/>
      <c r="AD689" s="105"/>
      <c r="AE689" s="105"/>
      <c r="AF689" s="105"/>
      <c r="AG689" s="105"/>
      <c r="AH689" s="158"/>
      <c r="AI689" s="88"/>
      <c r="AJ689" s="88"/>
      <c r="AK689" s="131"/>
      <c r="AL689" s="131"/>
      <c r="AM689" s="131"/>
      <c r="AN689" s="131"/>
      <c r="AO689" s="131"/>
      <c r="AP689" s="88"/>
      <c r="AQ689" s="88"/>
    </row>
    <row r="690">
      <c r="A690" s="173"/>
      <c r="B690" s="173"/>
      <c r="C690" s="174"/>
      <c r="D690" s="173"/>
      <c r="E690" s="155"/>
      <c r="F690" s="155"/>
      <c r="G690" s="88"/>
      <c r="H690" s="155"/>
      <c r="I690" s="155"/>
      <c r="J690" s="155"/>
      <c r="K690" s="15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58"/>
      <c r="AA690" s="105"/>
      <c r="AB690" s="105"/>
      <c r="AC690" s="105"/>
      <c r="AD690" s="105"/>
      <c r="AE690" s="105"/>
      <c r="AF690" s="105"/>
      <c r="AG690" s="105"/>
      <c r="AH690" s="158"/>
      <c r="AI690" s="88"/>
      <c r="AJ690" s="88"/>
      <c r="AK690" s="131"/>
      <c r="AL690" s="131"/>
      <c r="AM690" s="131"/>
      <c r="AN690" s="131"/>
      <c r="AO690" s="131"/>
      <c r="AP690" s="88"/>
      <c r="AQ690" s="88"/>
    </row>
    <row r="691">
      <c r="A691" s="173"/>
      <c r="B691" s="173"/>
      <c r="C691" s="174"/>
      <c r="D691" s="173"/>
      <c r="E691" s="155"/>
      <c r="F691" s="155"/>
      <c r="G691" s="88"/>
      <c r="H691" s="155"/>
      <c r="I691" s="155"/>
      <c r="J691" s="155"/>
      <c r="K691" s="15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58"/>
      <c r="AA691" s="105"/>
      <c r="AB691" s="105"/>
      <c r="AC691" s="105"/>
      <c r="AD691" s="105"/>
      <c r="AE691" s="105"/>
      <c r="AF691" s="105"/>
      <c r="AG691" s="105"/>
      <c r="AH691" s="158"/>
      <c r="AI691" s="88"/>
      <c r="AJ691" s="88"/>
      <c r="AK691" s="131"/>
      <c r="AL691" s="131"/>
      <c r="AM691" s="131"/>
      <c r="AN691" s="131"/>
      <c r="AO691" s="131"/>
      <c r="AP691" s="88"/>
      <c r="AQ691" s="88"/>
    </row>
    <row r="692">
      <c r="A692" s="173"/>
      <c r="B692" s="173"/>
      <c r="C692" s="174"/>
      <c r="D692" s="173"/>
      <c r="E692" s="155"/>
      <c r="F692" s="155"/>
      <c r="G692" s="88"/>
      <c r="H692" s="155"/>
      <c r="I692" s="155"/>
      <c r="J692" s="155"/>
      <c r="K692" s="15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58"/>
      <c r="AA692" s="105"/>
      <c r="AB692" s="105"/>
      <c r="AC692" s="105"/>
      <c r="AD692" s="105"/>
      <c r="AE692" s="105"/>
      <c r="AF692" s="105"/>
      <c r="AG692" s="105"/>
      <c r="AH692" s="158"/>
      <c r="AI692" s="88"/>
      <c r="AJ692" s="88"/>
      <c r="AK692" s="131"/>
      <c r="AL692" s="131"/>
      <c r="AM692" s="131"/>
      <c r="AN692" s="131"/>
      <c r="AO692" s="131"/>
      <c r="AP692" s="88"/>
      <c r="AQ692" s="88"/>
    </row>
    <row r="693">
      <c r="A693" s="173"/>
      <c r="B693" s="173"/>
      <c r="C693" s="174"/>
      <c r="D693" s="173"/>
      <c r="E693" s="155"/>
      <c r="F693" s="155"/>
      <c r="G693" s="88"/>
      <c r="H693" s="155"/>
      <c r="I693" s="155"/>
      <c r="J693" s="155"/>
      <c r="K693" s="15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58"/>
      <c r="AA693" s="105"/>
      <c r="AB693" s="105"/>
      <c r="AC693" s="105"/>
      <c r="AD693" s="105"/>
      <c r="AE693" s="105"/>
      <c r="AF693" s="105"/>
      <c r="AG693" s="105"/>
      <c r="AH693" s="158"/>
      <c r="AI693" s="88"/>
      <c r="AJ693" s="88"/>
      <c r="AK693" s="131"/>
      <c r="AL693" s="131"/>
      <c r="AM693" s="131"/>
      <c r="AN693" s="131"/>
      <c r="AO693" s="131"/>
      <c r="AP693" s="88"/>
      <c r="AQ693" s="88"/>
    </row>
    <row r="694">
      <c r="A694" s="173"/>
      <c r="B694" s="173"/>
      <c r="C694" s="174"/>
      <c r="D694" s="173"/>
      <c r="E694" s="155"/>
      <c r="F694" s="155"/>
      <c r="G694" s="88"/>
      <c r="H694" s="155"/>
      <c r="I694" s="155"/>
      <c r="J694" s="155"/>
      <c r="K694" s="15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58"/>
      <c r="AA694" s="105"/>
      <c r="AB694" s="105"/>
      <c r="AC694" s="105"/>
      <c r="AD694" s="105"/>
      <c r="AE694" s="105"/>
      <c r="AF694" s="105"/>
      <c r="AG694" s="105"/>
      <c r="AH694" s="158"/>
      <c r="AI694" s="88"/>
      <c r="AJ694" s="88"/>
      <c r="AK694" s="131"/>
      <c r="AL694" s="131"/>
      <c r="AM694" s="131"/>
      <c r="AN694" s="131"/>
      <c r="AO694" s="131"/>
      <c r="AP694" s="88"/>
      <c r="AQ694" s="88"/>
    </row>
    <row r="695">
      <c r="A695" s="173"/>
      <c r="B695" s="173"/>
      <c r="C695" s="174"/>
      <c r="D695" s="173"/>
      <c r="E695" s="155"/>
      <c r="F695" s="155"/>
      <c r="G695" s="88"/>
      <c r="H695" s="155"/>
      <c r="I695" s="155"/>
      <c r="J695" s="155"/>
      <c r="K695" s="15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58"/>
      <c r="AA695" s="105"/>
      <c r="AB695" s="105"/>
      <c r="AC695" s="105"/>
      <c r="AD695" s="105"/>
      <c r="AE695" s="105"/>
      <c r="AF695" s="105"/>
      <c r="AG695" s="105"/>
      <c r="AH695" s="158"/>
      <c r="AI695" s="88"/>
      <c r="AJ695" s="88"/>
      <c r="AK695" s="131"/>
      <c r="AL695" s="131"/>
      <c r="AM695" s="131"/>
      <c r="AN695" s="131"/>
      <c r="AO695" s="131"/>
      <c r="AP695" s="88"/>
      <c r="AQ695" s="88"/>
    </row>
    <row r="696">
      <c r="A696" s="173"/>
      <c r="B696" s="173"/>
      <c r="C696" s="174"/>
      <c r="D696" s="173"/>
      <c r="E696" s="155"/>
      <c r="F696" s="155"/>
      <c r="G696" s="88"/>
      <c r="H696" s="155"/>
      <c r="I696" s="155"/>
      <c r="J696" s="155"/>
      <c r="K696" s="15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58"/>
      <c r="AA696" s="105"/>
      <c r="AB696" s="105"/>
      <c r="AC696" s="105"/>
      <c r="AD696" s="105"/>
      <c r="AE696" s="105"/>
      <c r="AF696" s="105"/>
      <c r="AG696" s="105"/>
      <c r="AH696" s="158"/>
      <c r="AI696" s="88"/>
      <c r="AJ696" s="88"/>
      <c r="AK696" s="131"/>
      <c r="AL696" s="131"/>
      <c r="AM696" s="131"/>
      <c r="AN696" s="131"/>
      <c r="AO696" s="131"/>
      <c r="AP696" s="88"/>
      <c r="AQ696" s="88"/>
    </row>
    <row r="697">
      <c r="A697" s="173"/>
      <c r="B697" s="173"/>
      <c r="C697" s="174"/>
      <c r="D697" s="173"/>
      <c r="E697" s="155"/>
      <c r="F697" s="155"/>
      <c r="G697" s="88"/>
      <c r="H697" s="155"/>
      <c r="I697" s="155"/>
      <c r="J697" s="155"/>
      <c r="K697" s="15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58"/>
      <c r="AA697" s="105"/>
      <c r="AB697" s="105"/>
      <c r="AC697" s="105"/>
      <c r="AD697" s="105"/>
      <c r="AE697" s="105"/>
      <c r="AF697" s="105"/>
      <c r="AG697" s="105"/>
      <c r="AH697" s="158"/>
      <c r="AI697" s="88"/>
      <c r="AJ697" s="88"/>
      <c r="AK697" s="131"/>
      <c r="AL697" s="131"/>
      <c r="AM697" s="131"/>
      <c r="AN697" s="131"/>
      <c r="AO697" s="131"/>
      <c r="AP697" s="88"/>
      <c r="AQ697" s="88"/>
    </row>
    <row r="698">
      <c r="A698" s="173"/>
      <c r="B698" s="173"/>
      <c r="C698" s="174"/>
      <c r="D698" s="173"/>
      <c r="E698" s="155"/>
      <c r="F698" s="155"/>
      <c r="G698" s="88"/>
      <c r="H698" s="155"/>
      <c r="I698" s="155"/>
      <c r="J698" s="155"/>
      <c r="K698" s="15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58"/>
      <c r="AA698" s="105"/>
      <c r="AB698" s="105"/>
      <c r="AC698" s="105"/>
      <c r="AD698" s="105"/>
      <c r="AE698" s="105"/>
      <c r="AF698" s="105"/>
      <c r="AG698" s="105"/>
      <c r="AH698" s="158"/>
      <c r="AI698" s="88"/>
      <c r="AJ698" s="88"/>
      <c r="AK698" s="131"/>
      <c r="AL698" s="131"/>
      <c r="AM698" s="131"/>
      <c r="AN698" s="131"/>
      <c r="AO698" s="131"/>
      <c r="AP698" s="88"/>
      <c r="AQ698" s="88"/>
    </row>
    <row r="699">
      <c r="A699" s="173"/>
      <c r="B699" s="173"/>
      <c r="C699" s="174"/>
      <c r="D699" s="173"/>
      <c r="E699" s="155"/>
      <c r="F699" s="155"/>
      <c r="G699" s="88"/>
      <c r="H699" s="155"/>
      <c r="I699" s="155"/>
      <c r="J699" s="155"/>
      <c r="K699" s="15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58"/>
      <c r="AA699" s="105"/>
      <c r="AB699" s="105"/>
      <c r="AC699" s="105"/>
      <c r="AD699" s="105"/>
      <c r="AE699" s="105"/>
      <c r="AF699" s="105"/>
      <c r="AG699" s="105"/>
      <c r="AH699" s="158"/>
      <c r="AI699" s="88"/>
      <c r="AJ699" s="88"/>
      <c r="AK699" s="131"/>
      <c r="AL699" s="131"/>
      <c r="AM699" s="131"/>
      <c r="AN699" s="131"/>
      <c r="AO699" s="131"/>
      <c r="AP699" s="88"/>
      <c r="AQ699" s="88"/>
    </row>
    <row r="700">
      <c r="A700" s="173"/>
      <c r="B700" s="173"/>
      <c r="C700" s="174"/>
      <c r="D700" s="173"/>
      <c r="E700" s="155"/>
      <c r="F700" s="155"/>
      <c r="G700" s="88"/>
      <c r="H700" s="155"/>
      <c r="I700" s="155"/>
      <c r="J700" s="155"/>
      <c r="K700" s="15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58"/>
      <c r="AA700" s="105"/>
      <c r="AB700" s="105"/>
      <c r="AC700" s="105"/>
      <c r="AD700" s="105"/>
      <c r="AE700" s="105"/>
      <c r="AF700" s="105"/>
      <c r="AG700" s="105"/>
      <c r="AH700" s="158"/>
      <c r="AI700" s="88"/>
      <c r="AJ700" s="88"/>
      <c r="AK700" s="131"/>
      <c r="AL700" s="131"/>
      <c r="AM700" s="131"/>
      <c r="AN700" s="131"/>
      <c r="AO700" s="131"/>
      <c r="AP700" s="88"/>
      <c r="AQ700" s="88"/>
    </row>
    <row r="701">
      <c r="A701" s="173"/>
      <c r="B701" s="173"/>
      <c r="C701" s="174"/>
      <c r="D701" s="173"/>
      <c r="E701" s="155"/>
      <c r="F701" s="155"/>
      <c r="G701" s="88"/>
      <c r="H701" s="155"/>
      <c r="I701" s="155"/>
      <c r="J701" s="155"/>
      <c r="K701" s="15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58"/>
      <c r="AA701" s="105"/>
      <c r="AB701" s="105"/>
      <c r="AC701" s="105"/>
      <c r="AD701" s="105"/>
      <c r="AE701" s="105"/>
      <c r="AF701" s="105"/>
      <c r="AG701" s="105"/>
      <c r="AH701" s="158"/>
      <c r="AI701" s="88"/>
      <c r="AJ701" s="88"/>
      <c r="AK701" s="131"/>
      <c r="AL701" s="131"/>
      <c r="AM701" s="131"/>
      <c r="AN701" s="131"/>
      <c r="AO701" s="131"/>
      <c r="AP701" s="88"/>
      <c r="AQ701" s="88"/>
    </row>
    <row r="702">
      <c r="A702" s="173"/>
      <c r="B702" s="173"/>
      <c r="C702" s="174"/>
      <c r="D702" s="173"/>
      <c r="E702" s="155"/>
      <c r="F702" s="155"/>
      <c r="G702" s="88"/>
      <c r="H702" s="155"/>
      <c r="I702" s="155"/>
      <c r="J702" s="155"/>
      <c r="K702" s="15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58"/>
      <c r="AA702" s="105"/>
      <c r="AB702" s="105"/>
      <c r="AC702" s="105"/>
      <c r="AD702" s="105"/>
      <c r="AE702" s="105"/>
      <c r="AF702" s="105"/>
      <c r="AG702" s="105"/>
      <c r="AH702" s="158"/>
      <c r="AI702" s="88"/>
      <c r="AJ702" s="88"/>
      <c r="AK702" s="131"/>
      <c r="AL702" s="131"/>
      <c r="AM702" s="131"/>
      <c r="AN702" s="131"/>
      <c r="AO702" s="131"/>
      <c r="AP702" s="88"/>
      <c r="AQ702" s="88"/>
    </row>
    <row r="703">
      <c r="A703" s="173"/>
      <c r="B703" s="173"/>
      <c r="C703" s="174"/>
      <c r="D703" s="173"/>
      <c r="E703" s="155"/>
      <c r="F703" s="155"/>
      <c r="G703" s="88"/>
      <c r="H703" s="155"/>
      <c r="I703" s="155"/>
      <c r="J703" s="155"/>
      <c r="K703" s="15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58"/>
      <c r="AA703" s="105"/>
      <c r="AB703" s="105"/>
      <c r="AC703" s="105"/>
      <c r="AD703" s="105"/>
      <c r="AE703" s="105"/>
      <c r="AF703" s="105"/>
      <c r="AG703" s="105"/>
      <c r="AH703" s="158"/>
      <c r="AI703" s="88"/>
      <c r="AJ703" s="88"/>
      <c r="AK703" s="131"/>
      <c r="AL703" s="131"/>
      <c r="AM703" s="131"/>
      <c r="AN703" s="131"/>
      <c r="AO703" s="131"/>
      <c r="AP703" s="88"/>
      <c r="AQ703" s="88"/>
    </row>
    <row r="704">
      <c r="A704" s="173"/>
      <c r="B704" s="173"/>
      <c r="C704" s="174"/>
      <c r="D704" s="173"/>
      <c r="E704" s="155"/>
      <c r="F704" s="155"/>
      <c r="G704" s="88"/>
      <c r="H704" s="155"/>
      <c r="I704" s="155"/>
      <c r="J704" s="155"/>
      <c r="K704" s="15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58"/>
      <c r="AA704" s="105"/>
      <c r="AB704" s="105"/>
      <c r="AC704" s="105"/>
      <c r="AD704" s="105"/>
      <c r="AE704" s="105"/>
      <c r="AF704" s="105"/>
      <c r="AG704" s="105"/>
      <c r="AH704" s="158"/>
      <c r="AI704" s="88"/>
      <c r="AJ704" s="88"/>
      <c r="AK704" s="131"/>
      <c r="AL704" s="131"/>
      <c r="AM704" s="131"/>
      <c r="AN704" s="131"/>
      <c r="AO704" s="131"/>
      <c r="AP704" s="88"/>
      <c r="AQ704" s="88"/>
    </row>
    <row r="705">
      <c r="A705" s="173"/>
      <c r="B705" s="173"/>
      <c r="C705" s="174"/>
      <c r="D705" s="173"/>
      <c r="E705" s="155"/>
      <c r="F705" s="155"/>
      <c r="G705" s="88"/>
      <c r="H705" s="155"/>
      <c r="I705" s="155"/>
      <c r="J705" s="155"/>
      <c r="K705" s="15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58"/>
      <c r="AA705" s="105"/>
      <c r="AB705" s="105"/>
      <c r="AC705" s="105"/>
      <c r="AD705" s="105"/>
      <c r="AE705" s="105"/>
      <c r="AF705" s="105"/>
      <c r="AG705" s="105"/>
      <c r="AH705" s="158"/>
      <c r="AI705" s="88"/>
      <c r="AJ705" s="88"/>
      <c r="AK705" s="131"/>
      <c r="AL705" s="131"/>
      <c r="AM705" s="131"/>
      <c r="AN705" s="131"/>
      <c r="AO705" s="131"/>
      <c r="AP705" s="88"/>
      <c r="AQ705" s="88"/>
    </row>
    <row r="706">
      <c r="A706" s="173"/>
      <c r="B706" s="173"/>
      <c r="C706" s="174"/>
      <c r="D706" s="173"/>
      <c r="E706" s="155"/>
      <c r="F706" s="155"/>
      <c r="G706" s="88"/>
      <c r="H706" s="155"/>
      <c r="I706" s="155"/>
      <c r="J706" s="155"/>
      <c r="K706" s="15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58"/>
      <c r="AA706" s="105"/>
      <c r="AB706" s="105"/>
      <c r="AC706" s="105"/>
      <c r="AD706" s="105"/>
      <c r="AE706" s="105"/>
      <c r="AF706" s="105"/>
      <c r="AG706" s="105"/>
      <c r="AH706" s="158"/>
      <c r="AI706" s="88"/>
      <c r="AJ706" s="88"/>
      <c r="AK706" s="131"/>
      <c r="AL706" s="131"/>
      <c r="AM706" s="131"/>
      <c r="AN706" s="131"/>
      <c r="AO706" s="131"/>
      <c r="AP706" s="88"/>
      <c r="AQ706" s="88"/>
    </row>
    <row r="707">
      <c r="A707" s="173"/>
      <c r="B707" s="173"/>
      <c r="C707" s="174"/>
      <c r="D707" s="173"/>
      <c r="E707" s="155"/>
      <c r="F707" s="155"/>
      <c r="G707" s="88"/>
      <c r="H707" s="155"/>
      <c r="I707" s="155"/>
      <c r="J707" s="155"/>
      <c r="K707" s="15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58"/>
      <c r="AA707" s="105"/>
      <c r="AB707" s="105"/>
      <c r="AC707" s="105"/>
      <c r="AD707" s="105"/>
      <c r="AE707" s="105"/>
      <c r="AF707" s="105"/>
      <c r="AG707" s="105"/>
      <c r="AH707" s="158"/>
      <c r="AI707" s="88"/>
      <c r="AJ707" s="88"/>
      <c r="AK707" s="131"/>
      <c r="AL707" s="131"/>
      <c r="AM707" s="131"/>
      <c r="AN707" s="131"/>
      <c r="AO707" s="131"/>
      <c r="AP707" s="88"/>
      <c r="AQ707" s="88"/>
    </row>
    <row r="708">
      <c r="A708" s="173"/>
      <c r="B708" s="173"/>
      <c r="C708" s="174"/>
      <c r="D708" s="173"/>
      <c r="E708" s="155"/>
      <c r="F708" s="155"/>
      <c r="G708" s="88"/>
      <c r="H708" s="155"/>
      <c r="I708" s="155"/>
      <c r="J708" s="155"/>
      <c r="K708" s="15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58"/>
      <c r="AA708" s="105"/>
      <c r="AB708" s="105"/>
      <c r="AC708" s="105"/>
      <c r="AD708" s="105"/>
      <c r="AE708" s="105"/>
      <c r="AF708" s="105"/>
      <c r="AG708" s="105"/>
      <c r="AH708" s="158"/>
      <c r="AI708" s="88"/>
      <c r="AJ708" s="88"/>
      <c r="AK708" s="131"/>
      <c r="AL708" s="131"/>
      <c r="AM708" s="131"/>
      <c r="AN708" s="131"/>
      <c r="AO708" s="131"/>
      <c r="AP708" s="88"/>
      <c r="AQ708" s="88"/>
    </row>
    <row r="709">
      <c r="A709" s="173"/>
      <c r="B709" s="173"/>
      <c r="C709" s="174"/>
      <c r="D709" s="173"/>
      <c r="E709" s="155"/>
      <c r="F709" s="155"/>
      <c r="G709" s="88"/>
      <c r="H709" s="155"/>
      <c r="I709" s="155"/>
      <c r="J709" s="155"/>
      <c r="K709" s="15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58"/>
      <c r="AA709" s="105"/>
      <c r="AB709" s="105"/>
      <c r="AC709" s="105"/>
      <c r="AD709" s="105"/>
      <c r="AE709" s="105"/>
      <c r="AF709" s="105"/>
      <c r="AG709" s="105"/>
      <c r="AH709" s="158"/>
      <c r="AI709" s="88"/>
      <c r="AJ709" s="88"/>
      <c r="AK709" s="131"/>
      <c r="AL709" s="131"/>
      <c r="AM709" s="131"/>
      <c r="AN709" s="131"/>
      <c r="AO709" s="131"/>
      <c r="AP709" s="88"/>
      <c r="AQ709" s="88"/>
    </row>
    <row r="710">
      <c r="A710" s="173"/>
      <c r="B710" s="173"/>
      <c r="C710" s="174"/>
      <c r="D710" s="173"/>
      <c r="E710" s="155"/>
      <c r="F710" s="155"/>
      <c r="G710" s="88"/>
      <c r="H710" s="155"/>
      <c r="I710" s="155"/>
      <c r="J710" s="155"/>
      <c r="K710" s="15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58"/>
      <c r="AA710" s="105"/>
      <c r="AB710" s="105"/>
      <c r="AC710" s="105"/>
      <c r="AD710" s="105"/>
      <c r="AE710" s="105"/>
      <c r="AF710" s="105"/>
      <c r="AG710" s="105"/>
      <c r="AH710" s="158"/>
      <c r="AI710" s="88"/>
      <c r="AJ710" s="88"/>
      <c r="AK710" s="131"/>
      <c r="AL710" s="131"/>
      <c r="AM710" s="131"/>
      <c r="AN710" s="131"/>
      <c r="AO710" s="131"/>
      <c r="AP710" s="88"/>
      <c r="AQ710" s="88"/>
    </row>
    <row r="711">
      <c r="A711" s="173"/>
      <c r="B711" s="173"/>
      <c r="C711" s="174"/>
      <c r="D711" s="173"/>
      <c r="E711" s="155"/>
      <c r="F711" s="155"/>
      <c r="G711" s="88"/>
      <c r="H711" s="155"/>
      <c r="I711" s="155"/>
      <c r="J711" s="155"/>
      <c r="K711" s="15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58"/>
      <c r="AA711" s="105"/>
      <c r="AB711" s="105"/>
      <c r="AC711" s="105"/>
      <c r="AD711" s="105"/>
      <c r="AE711" s="105"/>
      <c r="AF711" s="105"/>
      <c r="AG711" s="105"/>
      <c r="AH711" s="158"/>
      <c r="AI711" s="88"/>
      <c r="AJ711" s="88"/>
      <c r="AK711" s="131"/>
      <c r="AL711" s="131"/>
      <c r="AM711" s="131"/>
      <c r="AN711" s="131"/>
      <c r="AO711" s="131"/>
      <c r="AP711" s="88"/>
      <c r="AQ711" s="88"/>
    </row>
    <row r="712">
      <c r="A712" s="173"/>
      <c r="B712" s="173"/>
      <c r="C712" s="174"/>
      <c r="D712" s="173"/>
      <c r="E712" s="155"/>
      <c r="F712" s="155"/>
      <c r="G712" s="88"/>
      <c r="H712" s="155"/>
      <c r="I712" s="155"/>
      <c r="J712" s="155"/>
      <c r="K712" s="15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58"/>
      <c r="AA712" s="105"/>
      <c r="AB712" s="105"/>
      <c r="AC712" s="105"/>
      <c r="AD712" s="105"/>
      <c r="AE712" s="105"/>
      <c r="AF712" s="105"/>
      <c r="AG712" s="105"/>
      <c r="AH712" s="158"/>
      <c r="AI712" s="88"/>
      <c r="AJ712" s="88"/>
      <c r="AK712" s="131"/>
      <c r="AL712" s="131"/>
      <c r="AM712" s="131"/>
      <c r="AN712" s="131"/>
      <c r="AO712" s="131"/>
      <c r="AP712" s="88"/>
      <c r="AQ712" s="88"/>
    </row>
    <row r="713">
      <c r="A713" s="173"/>
      <c r="B713" s="173"/>
      <c r="C713" s="174"/>
      <c r="D713" s="173"/>
      <c r="E713" s="155"/>
      <c r="F713" s="155"/>
      <c r="G713" s="88"/>
      <c r="H713" s="155"/>
      <c r="I713" s="155"/>
      <c r="J713" s="155"/>
      <c r="K713" s="15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58"/>
      <c r="AA713" s="105"/>
      <c r="AB713" s="105"/>
      <c r="AC713" s="105"/>
      <c r="AD713" s="105"/>
      <c r="AE713" s="105"/>
      <c r="AF713" s="105"/>
      <c r="AG713" s="105"/>
      <c r="AH713" s="158"/>
      <c r="AI713" s="88"/>
      <c r="AJ713" s="88"/>
      <c r="AK713" s="131"/>
      <c r="AL713" s="131"/>
      <c r="AM713" s="131"/>
      <c r="AN713" s="131"/>
      <c r="AO713" s="131"/>
      <c r="AP713" s="88"/>
      <c r="AQ713" s="88"/>
    </row>
    <row r="714">
      <c r="A714" s="173"/>
      <c r="B714" s="173"/>
      <c r="C714" s="174"/>
      <c r="D714" s="173"/>
      <c r="E714" s="155"/>
      <c r="F714" s="155"/>
      <c r="G714" s="88"/>
      <c r="H714" s="155"/>
      <c r="I714" s="155"/>
      <c r="J714" s="155"/>
      <c r="K714" s="15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58"/>
      <c r="AA714" s="105"/>
      <c r="AB714" s="105"/>
      <c r="AC714" s="105"/>
      <c r="AD714" s="105"/>
      <c r="AE714" s="105"/>
      <c r="AF714" s="105"/>
      <c r="AG714" s="105"/>
      <c r="AH714" s="158"/>
      <c r="AI714" s="88"/>
      <c r="AJ714" s="88"/>
      <c r="AK714" s="131"/>
      <c r="AL714" s="131"/>
      <c r="AM714" s="131"/>
      <c r="AN714" s="131"/>
      <c r="AO714" s="131"/>
      <c r="AP714" s="88"/>
      <c r="AQ714" s="88"/>
    </row>
    <row r="715">
      <c r="A715" s="173"/>
      <c r="B715" s="173"/>
      <c r="C715" s="174"/>
      <c r="D715" s="173"/>
      <c r="E715" s="155"/>
      <c r="F715" s="155"/>
      <c r="G715" s="88"/>
      <c r="H715" s="155"/>
      <c r="I715" s="155"/>
      <c r="J715" s="155"/>
      <c r="K715" s="15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58"/>
      <c r="AA715" s="105"/>
      <c r="AB715" s="105"/>
      <c r="AC715" s="105"/>
      <c r="AD715" s="105"/>
      <c r="AE715" s="105"/>
      <c r="AF715" s="105"/>
      <c r="AG715" s="105"/>
      <c r="AH715" s="158"/>
      <c r="AI715" s="88"/>
      <c r="AJ715" s="88"/>
      <c r="AK715" s="131"/>
      <c r="AL715" s="131"/>
      <c r="AM715" s="131"/>
      <c r="AN715" s="131"/>
      <c r="AO715" s="131"/>
      <c r="AP715" s="88"/>
      <c r="AQ715" s="88"/>
    </row>
    <row r="716">
      <c r="A716" s="173"/>
      <c r="B716" s="173"/>
      <c r="C716" s="174"/>
      <c r="D716" s="173"/>
      <c r="E716" s="155"/>
      <c r="F716" s="155"/>
      <c r="G716" s="88"/>
      <c r="H716" s="155"/>
      <c r="I716" s="155"/>
      <c r="J716" s="155"/>
      <c r="K716" s="15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58"/>
      <c r="AA716" s="105"/>
      <c r="AB716" s="105"/>
      <c r="AC716" s="105"/>
      <c r="AD716" s="105"/>
      <c r="AE716" s="105"/>
      <c r="AF716" s="105"/>
      <c r="AG716" s="105"/>
      <c r="AH716" s="158"/>
      <c r="AI716" s="88"/>
      <c r="AJ716" s="88"/>
      <c r="AK716" s="131"/>
      <c r="AL716" s="131"/>
      <c r="AM716" s="131"/>
      <c r="AN716" s="131"/>
      <c r="AO716" s="131"/>
      <c r="AP716" s="88"/>
      <c r="AQ716" s="88"/>
    </row>
    <row r="717">
      <c r="A717" s="173"/>
      <c r="B717" s="173"/>
      <c r="C717" s="174"/>
      <c r="D717" s="173"/>
      <c r="E717" s="155"/>
      <c r="F717" s="155"/>
      <c r="G717" s="88"/>
      <c r="H717" s="155"/>
      <c r="I717" s="155"/>
      <c r="J717" s="155"/>
      <c r="K717" s="15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58"/>
      <c r="AA717" s="105"/>
      <c r="AB717" s="105"/>
      <c r="AC717" s="105"/>
      <c r="AD717" s="105"/>
      <c r="AE717" s="105"/>
      <c r="AF717" s="105"/>
      <c r="AG717" s="105"/>
      <c r="AH717" s="158"/>
      <c r="AI717" s="88"/>
      <c r="AJ717" s="88"/>
      <c r="AK717" s="131"/>
      <c r="AL717" s="131"/>
      <c r="AM717" s="131"/>
      <c r="AN717" s="131"/>
      <c r="AO717" s="131"/>
      <c r="AP717" s="88"/>
      <c r="AQ717" s="88"/>
    </row>
    <row r="718">
      <c r="A718" s="173"/>
      <c r="B718" s="173"/>
      <c r="C718" s="174"/>
      <c r="D718" s="173"/>
      <c r="E718" s="155"/>
      <c r="F718" s="155"/>
      <c r="G718" s="88"/>
      <c r="H718" s="155"/>
      <c r="I718" s="155"/>
      <c r="J718" s="155"/>
      <c r="K718" s="15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58"/>
      <c r="AA718" s="105"/>
      <c r="AB718" s="105"/>
      <c r="AC718" s="105"/>
      <c r="AD718" s="105"/>
      <c r="AE718" s="105"/>
      <c r="AF718" s="105"/>
      <c r="AG718" s="105"/>
      <c r="AH718" s="158"/>
      <c r="AI718" s="88"/>
      <c r="AJ718" s="88"/>
      <c r="AK718" s="131"/>
      <c r="AL718" s="131"/>
      <c r="AM718" s="131"/>
      <c r="AN718" s="131"/>
      <c r="AO718" s="131"/>
      <c r="AP718" s="88"/>
      <c r="AQ718" s="88"/>
    </row>
    <row r="719">
      <c r="A719" s="173"/>
      <c r="B719" s="173"/>
      <c r="C719" s="174"/>
      <c r="D719" s="173"/>
      <c r="E719" s="155"/>
      <c r="F719" s="155"/>
      <c r="G719" s="88"/>
      <c r="H719" s="155"/>
      <c r="I719" s="155"/>
      <c r="J719" s="155"/>
      <c r="K719" s="15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58"/>
      <c r="AA719" s="105"/>
      <c r="AB719" s="105"/>
      <c r="AC719" s="105"/>
      <c r="AD719" s="105"/>
      <c r="AE719" s="105"/>
      <c r="AF719" s="105"/>
      <c r="AG719" s="105"/>
      <c r="AH719" s="158"/>
      <c r="AI719" s="88"/>
      <c r="AJ719" s="88"/>
      <c r="AK719" s="131"/>
      <c r="AL719" s="131"/>
      <c r="AM719" s="131"/>
      <c r="AN719" s="131"/>
      <c r="AO719" s="131"/>
      <c r="AP719" s="88"/>
      <c r="AQ719" s="88"/>
    </row>
    <row r="720">
      <c r="A720" s="173"/>
      <c r="B720" s="173"/>
      <c r="C720" s="174"/>
      <c r="D720" s="173"/>
      <c r="E720" s="155"/>
      <c r="F720" s="155"/>
      <c r="G720" s="88"/>
      <c r="H720" s="155"/>
      <c r="I720" s="155"/>
      <c r="J720" s="155"/>
      <c r="K720" s="15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58"/>
      <c r="AA720" s="105"/>
      <c r="AB720" s="105"/>
      <c r="AC720" s="105"/>
      <c r="AD720" s="105"/>
      <c r="AE720" s="105"/>
      <c r="AF720" s="105"/>
      <c r="AG720" s="105"/>
      <c r="AH720" s="158"/>
      <c r="AI720" s="88"/>
      <c r="AJ720" s="88"/>
      <c r="AK720" s="131"/>
      <c r="AL720" s="131"/>
      <c r="AM720" s="131"/>
      <c r="AN720" s="131"/>
      <c r="AO720" s="131"/>
      <c r="AP720" s="88"/>
      <c r="AQ720" s="88"/>
    </row>
    <row r="721">
      <c r="A721" s="173"/>
      <c r="B721" s="173"/>
      <c r="C721" s="174"/>
      <c r="D721" s="173"/>
      <c r="E721" s="155"/>
      <c r="F721" s="155"/>
      <c r="G721" s="88"/>
      <c r="H721" s="155"/>
      <c r="I721" s="155"/>
      <c r="J721" s="155"/>
      <c r="K721" s="15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58"/>
      <c r="AA721" s="105"/>
      <c r="AB721" s="105"/>
      <c r="AC721" s="105"/>
      <c r="AD721" s="105"/>
      <c r="AE721" s="105"/>
      <c r="AF721" s="105"/>
      <c r="AG721" s="105"/>
      <c r="AH721" s="158"/>
      <c r="AI721" s="88"/>
      <c r="AJ721" s="88"/>
      <c r="AK721" s="131"/>
      <c r="AL721" s="131"/>
      <c r="AM721" s="131"/>
      <c r="AN721" s="131"/>
      <c r="AO721" s="131"/>
      <c r="AP721" s="88"/>
      <c r="AQ721" s="88"/>
    </row>
    <row r="722">
      <c r="A722" s="173"/>
      <c r="B722" s="173"/>
      <c r="C722" s="174"/>
      <c r="D722" s="173"/>
      <c r="E722" s="155"/>
      <c r="F722" s="155"/>
      <c r="G722" s="88"/>
      <c r="H722" s="155"/>
      <c r="I722" s="155"/>
      <c r="J722" s="155"/>
      <c r="K722" s="15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58"/>
      <c r="AA722" s="105"/>
      <c r="AB722" s="105"/>
      <c r="AC722" s="105"/>
      <c r="AD722" s="105"/>
      <c r="AE722" s="105"/>
      <c r="AF722" s="105"/>
      <c r="AG722" s="105"/>
      <c r="AH722" s="158"/>
      <c r="AI722" s="88"/>
      <c r="AJ722" s="88"/>
      <c r="AK722" s="131"/>
      <c r="AL722" s="131"/>
      <c r="AM722" s="131"/>
      <c r="AN722" s="131"/>
      <c r="AO722" s="131"/>
      <c r="AP722" s="88"/>
      <c r="AQ722" s="88"/>
    </row>
    <row r="723">
      <c r="A723" s="173"/>
      <c r="B723" s="173"/>
      <c r="C723" s="174"/>
      <c r="D723" s="173"/>
      <c r="E723" s="155"/>
      <c r="F723" s="155"/>
      <c r="G723" s="88"/>
      <c r="H723" s="155"/>
      <c r="I723" s="155"/>
      <c r="J723" s="155"/>
      <c r="K723" s="15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58"/>
      <c r="AA723" s="105"/>
      <c r="AB723" s="105"/>
      <c r="AC723" s="105"/>
      <c r="AD723" s="105"/>
      <c r="AE723" s="105"/>
      <c r="AF723" s="105"/>
      <c r="AG723" s="105"/>
      <c r="AH723" s="158"/>
      <c r="AI723" s="88"/>
      <c r="AJ723" s="88"/>
      <c r="AK723" s="131"/>
      <c r="AL723" s="131"/>
      <c r="AM723" s="131"/>
      <c r="AN723" s="131"/>
      <c r="AO723" s="131"/>
      <c r="AP723" s="88"/>
      <c r="AQ723" s="88"/>
    </row>
    <row r="724">
      <c r="A724" s="173"/>
      <c r="B724" s="173"/>
      <c r="C724" s="174"/>
      <c r="D724" s="173"/>
      <c r="E724" s="155"/>
      <c r="F724" s="155"/>
      <c r="G724" s="88"/>
      <c r="H724" s="155"/>
      <c r="I724" s="155"/>
      <c r="J724" s="155"/>
      <c r="K724" s="15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58"/>
      <c r="AA724" s="105"/>
      <c r="AB724" s="105"/>
      <c r="AC724" s="105"/>
      <c r="AD724" s="105"/>
      <c r="AE724" s="105"/>
      <c r="AF724" s="105"/>
      <c r="AG724" s="105"/>
      <c r="AH724" s="158"/>
      <c r="AI724" s="88"/>
      <c r="AJ724" s="88"/>
      <c r="AK724" s="131"/>
      <c r="AL724" s="131"/>
      <c r="AM724" s="131"/>
      <c r="AN724" s="131"/>
      <c r="AO724" s="131"/>
      <c r="AP724" s="88"/>
      <c r="AQ724" s="88"/>
    </row>
    <row r="725">
      <c r="A725" s="173"/>
      <c r="B725" s="173"/>
      <c r="C725" s="174"/>
      <c r="D725" s="173"/>
      <c r="E725" s="155"/>
      <c r="F725" s="155"/>
      <c r="G725" s="88"/>
      <c r="H725" s="155"/>
      <c r="I725" s="155"/>
      <c r="J725" s="155"/>
      <c r="K725" s="15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58"/>
      <c r="AA725" s="105"/>
      <c r="AB725" s="105"/>
      <c r="AC725" s="105"/>
      <c r="AD725" s="105"/>
      <c r="AE725" s="105"/>
      <c r="AF725" s="105"/>
      <c r="AG725" s="105"/>
      <c r="AH725" s="158"/>
      <c r="AI725" s="88"/>
      <c r="AJ725" s="88"/>
      <c r="AK725" s="131"/>
      <c r="AL725" s="131"/>
      <c r="AM725" s="131"/>
      <c r="AN725" s="131"/>
      <c r="AO725" s="131"/>
      <c r="AP725" s="88"/>
      <c r="AQ725" s="88"/>
    </row>
    <row r="726">
      <c r="A726" s="173"/>
      <c r="B726" s="173"/>
      <c r="C726" s="174"/>
      <c r="D726" s="173"/>
      <c r="E726" s="155"/>
      <c r="F726" s="155"/>
      <c r="G726" s="88"/>
      <c r="H726" s="155"/>
      <c r="I726" s="155"/>
      <c r="J726" s="155"/>
      <c r="K726" s="15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58"/>
      <c r="AA726" s="105"/>
      <c r="AB726" s="105"/>
      <c r="AC726" s="105"/>
      <c r="AD726" s="105"/>
      <c r="AE726" s="105"/>
      <c r="AF726" s="105"/>
      <c r="AG726" s="105"/>
      <c r="AH726" s="158"/>
      <c r="AI726" s="88"/>
      <c r="AJ726" s="88"/>
      <c r="AK726" s="131"/>
      <c r="AL726" s="131"/>
      <c r="AM726" s="131"/>
      <c r="AN726" s="131"/>
      <c r="AO726" s="131"/>
      <c r="AP726" s="88"/>
      <c r="AQ726" s="88"/>
    </row>
    <row r="727">
      <c r="A727" s="173"/>
      <c r="B727" s="173"/>
      <c r="C727" s="174"/>
      <c r="D727" s="173"/>
      <c r="E727" s="155"/>
      <c r="F727" s="155"/>
      <c r="G727" s="88"/>
      <c r="H727" s="155"/>
      <c r="I727" s="155"/>
      <c r="J727" s="155"/>
      <c r="K727" s="15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58"/>
      <c r="AA727" s="105"/>
      <c r="AB727" s="105"/>
      <c r="AC727" s="105"/>
      <c r="AD727" s="105"/>
      <c r="AE727" s="105"/>
      <c r="AF727" s="105"/>
      <c r="AG727" s="105"/>
      <c r="AH727" s="158"/>
      <c r="AI727" s="88"/>
      <c r="AJ727" s="88"/>
      <c r="AK727" s="131"/>
      <c r="AL727" s="131"/>
      <c r="AM727" s="131"/>
      <c r="AN727" s="131"/>
      <c r="AO727" s="131"/>
      <c r="AP727" s="88"/>
      <c r="AQ727" s="88"/>
    </row>
    <row r="728">
      <c r="A728" s="173"/>
      <c r="B728" s="173"/>
      <c r="C728" s="174"/>
      <c r="D728" s="173"/>
      <c r="E728" s="155"/>
      <c r="F728" s="155"/>
      <c r="G728" s="88"/>
      <c r="H728" s="155"/>
      <c r="I728" s="155"/>
      <c r="J728" s="155"/>
      <c r="K728" s="15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58"/>
      <c r="AA728" s="105"/>
      <c r="AB728" s="105"/>
      <c r="AC728" s="105"/>
      <c r="AD728" s="105"/>
      <c r="AE728" s="105"/>
      <c r="AF728" s="105"/>
      <c r="AG728" s="105"/>
      <c r="AH728" s="158"/>
      <c r="AI728" s="88"/>
      <c r="AJ728" s="88"/>
      <c r="AK728" s="131"/>
      <c r="AL728" s="131"/>
      <c r="AM728" s="131"/>
      <c r="AN728" s="131"/>
      <c r="AO728" s="131"/>
      <c r="AP728" s="88"/>
      <c r="AQ728" s="88"/>
    </row>
    <row r="729">
      <c r="A729" s="173"/>
      <c r="B729" s="173"/>
      <c r="C729" s="174"/>
      <c r="D729" s="173"/>
      <c r="E729" s="155"/>
      <c r="F729" s="155"/>
      <c r="G729" s="88"/>
      <c r="H729" s="155"/>
      <c r="I729" s="155"/>
      <c r="J729" s="155"/>
      <c r="K729" s="15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58"/>
      <c r="AA729" s="105"/>
      <c r="AB729" s="105"/>
      <c r="AC729" s="105"/>
      <c r="AD729" s="105"/>
      <c r="AE729" s="105"/>
      <c r="AF729" s="105"/>
      <c r="AG729" s="105"/>
      <c r="AH729" s="158"/>
      <c r="AI729" s="88"/>
      <c r="AJ729" s="88"/>
      <c r="AK729" s="131"/>
      <c r="AL729" s="131"/>
      <c r="AM729" s="131"/>
      <c r="AN729" s="131"/>
      <c r="AO729" s="131"/>
      <c r="AP729" s="88"/>
      <c r="AQ729" s="88"/>
    </row>
    <row r="730">
      <c r="A730" s="173"/>
      <c r="B730" s="173"/>
      <c r="C730" s="174"/>
      <c r="D730" s="173"/>
      <c r="E730" s="155"/>
      <c r="F730" s="155"/>
      <c r="G730" s="88"/>
      <c r="H730" s="155"/>
      <c r="I730" s="155"/>
      <c r="J730" s="155"/>
      <c r="K730" s="15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58"/>
      <c r="AA730" s="105"/>
      <c r="AB730" s="105"/>
      <c r="AC730" s="105"/>
      <c r="AD730" s="105"/>
      <c r="AE730" s="105"/>
      <c r="AF730" s="105"/>
      <c r="AG730" s="105"/>
      <c r="AH730" s="158"/>
      <c r="AI730" s="88"/>
      <c r="AJ730" s="88"/>
      <c r="AK730" s="131"/>
      <c r="AL730" s="131"/>
      <c r="AM730" s="131"/>
      <c r="AN730" s="131"/>
      <c r="AO730" s="131"/>
      <c r="AP730" s="88"/>
      <c r="AQ730" s="88"/>
    </row>
    <row r="731">
      <c r="A731" s="173"/>
      <c r="B731" s="173"/>
      <c r="C731" s="174"/>
      <c r="D731" s="173"/>
      <c r="E731" s="155"/>
      <c r="F731" s="155"/>
      <c r="G731" s="88"/>
      <c r="H731" s="155"/>
      <c r="I731" s="155"/>
      <c r="J731" s="155"/>
      <c r="K731" s="15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58"/>
      <c r="AA731" s="105"/>
      <c r="AB731" s="105"/>
      <c r="AC731" s="105"/>
      <c r="AD731" s="105"/>
      <c r="AE731" s="105"/>
      <c r="AF731" s="105"/>
      <c r="AG731" s="105"/>
      <c r="AH731" s="158"/>
      <c r="AI731" s="88"/>
      <c r="AJ731" s="88"/>
      <c r="AK731" s="131"/>
      <c r="AL731" s="131"/>
      <c r="AM731" s="131"/>
      <c r="AN731" s="131"/>
      <c r="AO731" s="131"/>
      <c r="AP731" s="88"/>
      <c r="AQ731" s="88"/>
    </row>
    <row r="732">
      <c r="A732" s="173"/>
      <c r="B732" s="173"/>
      <c r="C732" s="174"/>
      <c r="D732" s="173"/>
      <c r="E732" s="155"/>
      <c r="F732" s="155"/>
      <c r="G732" s="88"/>
      <c r="H732" s="155"/>
      <c r="I732" s="155"/>
      <c r="J732" s="155"/>
      <c r="K732" s="15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58"/>
      <c r="AA732" s="105"/>
      <c r="AB732" s="105"/>
      <c r="AC732" s="105"/>
      <c r="AD732" s="105"/>
      <c r="AE732" s="105"/>
      <c r="AF732" s="105"/>
      <c r="AG732" s="105"/>
      <c r="AH732" s="158"/>
      <c r="AI732" s="88"/>
      <c r="AJ732" s="88"/>
      <c r="AK732" s="131"/>
      <c r="AL732" s="131"/>
      <c r="AM732" s="131"/>
      <c r="AN732" s="131"/>
      <c r="AO732" s="131"/>
      <c r="AP732" s="88"/>
      <c r="AQ732" s="88"/>
    </row>
    <row r="733">
      <c r="A733" s="173"/>
      <c r="B733" s="173"/>
      <c r="C733" s="174"/>
      <c r="D733" s="173"/>
      <c r="E733" s="155"/>
      <c r="F733" s="155"/>
      <c r="G733" s="88"/>
      <c r="H733" s="155"/>
      <c r="I733" s="155"/>
      <c r="J733" s="155"/>
      <c r="K733" s="15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58"/>
      <c r="AA733" s="105"/>
      <c r="AB733" s="105"/>
      <c r="AC733" s="105"/>
      <c r="AD733" s="105"/>
      <c r="AE733" s="105"/>
      <c r="AF733" s="105"/>
      <c r="AG733" s="105"/>
      <c r="AH733" s="158"/>
      <c r="AI733" s="88"/>
      <c r="AJ733" s="88"/>
      <c r="AK733" s="131"/>
      <c r="AL733" s="131"/>
      <c r="AM733" s="131"/>
      <c r="AN733" s="131"/>
      <c r="AO733" s="131"/>
      <c r="AP733" s="88"/>
      <c r="AQ733" s="88"/>
    </row>
    <row r="734">
      <c r="A734" s="173"/>
      <c r="B734" s="173"/>
      <c r="C734" s="174"/>
      <c r="D734" s="173"/>
      <c r="E734" s="155"/>
      <c r="F734" s="155"/>
      <c r="G734" s="88"/>
      <c r="H734" s="155"/>
      <c r="I734" s="155"/>
      <c r="J734" s="155"/>
      <c r="K734" s="15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58"/>
      <c r="AA734" s="105"/>
      <c r="AB734" s="105"/>
      <c r="AC734" s="105"/>
      <c r="AD734" s="105"/>
      <c r="AE734" s="105"/>
      <c r="AF734" s="105"/>
      <c r="AG734" s="105"/>
      <c r="AH734" s="158"/>
      <c r="AI734" s="88"/>
      <c r="AJ734" s="88"/>
      <c r="AK734" s="131"/>
      <c r="AL734" s="131"/>
      <c r="AM734" s="131"/>
      <c r="AN734" s="131"/>
      <c r="AO734" s="131"/>
      <c r="AP734" s="88"/>
      <c r="AQ734" s="88"/>
    </row>
    <row r="735">
      <c r="A735" s="173"/>
      <c r="B735" s="173"/>
      <c r="C735" s="174"/>
      <c r="D735" s="173"/>
      <c r="E735" s="155"/>
      <c r="F735" s="155"/>
      <c r="G735" s="88"/>
      <c r="H735" s="155"/>
      <c r="I735" s="155"/>
      <c r="J735" s="155"/>
      <c r="K735" s="15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58"/>
      <c r="AA735" s="105"/>
      <c r="AB735" s="105"/>
      <c r="AC735" s="105"/>
      <c r="AD735" s="105"/>
      <c r="AE735" s="105"/>
      <c r="AF735" s="105"/>
      <c r="AG735" s="105"/>
      <c r="AH735" s="158"/>
      <c r="AI735" s="88"/>
      <c r="AJ735" s="88"/>
      <c r="AK735" s="131"/>
      <c r="AL735" s="131"/>
      <c r="AM735" s="131"/>
      <c r="AN735" s="131"/>
      <c r="AO735" s="131"/>
      <c r="AP735" s="88"/>
      <c r="AQ735" s="88"/>
    </row>
    <row r="736">
      <c r="A736" s="173"/>
      <c r="B736" s="173"/>
      <c r="C736" s="174"/>
      <c r="D736" s="173"/>
      <c r="E736" s="155"/>
      <c r="F736" s="155"/>
      <c r="G736" s="88"/>
      <c r="H736" s="155"/>
      <c r="I736" s="155"/>
      <c r="J736" s="155"/>
      <c r="K736" s="15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58"/>
      <c r="AA736" s="105"/>
      <c r="AB736" s="105"/>
      <c r="AC736" s="105"/>
      <c r="AD736" s="105"/>
      <c r="AE736" s="105"/>
      <c r="AF736" s="105"/>
      <c r="AG736" s="105"/>
      <c r="AH736" s="158"/>
      <c r="AI736" s="88"/>
      <c r="AJ736" s="88"/>
      <c r="AK736" s="131"/>
      <c r="AL736" s="131"/>
      <c r="AM736" s="131"/>
      <c r="AN736" s="131"/>
      <c r="AO736" s="131"/>
      <c r="AP736" s="88"/>
      <c r="AQ736" s="88"/>
    </row>
    <row r="737">
      <c r="A737" s="173"/>
      <c r="B737" s="173"/>
      <c r="C737" s="174"/>
      <c r="D737" s="173"/>
      <c r="E737" s="155"/>
      <c r="F737" s="155"/>
      <c r="G737" s="88"/>
      <c r="H737" s="155"/>
      <c r="I737" s="155"/>
      <c r="J737" s="155"/>
      <c r="K737" s="15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58"/>
      <c r="AA737" s="105"/>
      <c r="AB737" s="105"/>
      <c r="AC737" s="105"/>
      <c r="AD737" s="105"/>
      <c r="AE737" s="105"/>
      <c r="AF737" s="105"/>
      <c r="AG737" s="105"/>
      <c r="AH737" s="158"/>
      <c r="AI737" s="88"/>
      <c r="AJ737" s="88"/>
      <c r="AK737" s="131"/>
      <c r="AL737" s="131"/>
      <c r="AM737" s="131"/>
      <c r="AN737" s="131"/>
      <c r="AO737" s="131"/>
      <c r="AP737" s="88"/>
      <c r="AQ737" s="88"/>
    </row>
    <row r="738">
      <c r="A738" s="173"/>
      <c r="B738" s="173"/>
      <c r="C738" s="174"/>
      <c r="D738" s="173"/>
      <c r="E738" s="155"/>
      <c r="F738" s="155"/>
      <c r="G738" s="88"/>
      <c r="H738" s="155"/>
      <c r="I738" s="155"/>
      <c r="J738" s="155"/>
      <c r="K738" s="15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58"/>
      <c r="AA738" s="105"/>
      <c r="AB738" s="105"/>
      <c r="AC738" s="105"/>
      <c r="AD738" s="105"/>
      <c r="AE738" s="105"/>
      <c r="AF738" s="105"/>
      <c r="AG738" s="105"/>
      <c r="AH738" s="158"/>
      <c r="AI738" s="88"/>
      <c r="AJ738" s="88"/>
      <c r="AK738" s="131"/>
      <c r="AL738" s="131"/>
      <c r="AM738" s="131"/>
      <c r="AN738" s="131"/>
      <c r="AO738" s="131"/>
      <c r="AP738" s="88"/>
      <c r="AQ738" s="88"/>
    </row>
    <row r="739">
      <c r="A739" s="173"/>
      <c r="B739" s="173"/>
      <c r="C739" s="174"/>
      <c r="D739" s="173"/>
      <c r="E739" s="155"/>
      <c r="F739" s="155"/>
      <c r="G739" s="88"/>
      <c r="H739" s="155"/>
      <c r="I739" s="155"/>
      <c r="J739" s="155"/>
      <c r="K739" s="15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58"/>
      <c r="AA739" s="105"/>
      <c r="AB739" s="105"/>
      <c r="AC739" s="105"/>
      <c r="AD739" s="105"/>
      <c r="AE739" s="105"/>
      <c r="AF739" s="105"/>
      <c r="AG739" s="105"/>
      <c r="AH739" s="158"/>
      <c r="AI739" s="88"/>
      <c r="AJ739" s="88"/>
      <c r="AK739" s="131"/>
      <c r="AL739" s="131"/>
      <c r="AM739" s="131"/>
      <c r="AN739" s="131"/>
      <c r="AO739" s="131"/>
      <c r="AP739" s="88"/>
      <c r="AQ739" s="88"/>
    </row>
    <row r="740">
      <c r="A740" s="173"/>
      <c r="B740" s="173"/>
      <c r="C740" s="174"/>
      <c r="D740" s="173"/>
      <c r="E740" s="155"/>
      <c r="F740" s="155"/>
      <c r="G740" s="88"/>
      <c r="H740" s="155"/>
      <c r="I740" s="155"/>
      <c r="J740" s="155"/>
      <c r="K740" s="15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58"/>
      <c r="AA740" s="105"/>
      <c r="AB740" s="105"/>
      <c r="AC740" s="105"/>
      <c r="AD740" s="105"/>
      <c r="AE740" s="105"/>
      <c r="AF740" s="105"/>
      <c r="AG740" s="105"/>
      <c r="AH740" s="158"/>
      <c r="AI740" s="88"/>
      <c r="AJ740" s="88"/>
      <c r="AK740" s="131"/>
      <c r="AL740" s="131"/>
      <c r="AM740" s="131"/>
      <c r="AN740" s="131"/>
      <c r="AO740" s="131"/>
      <c r="AP740" s="88"/>
      <c r="AQ740" s="88"/>
    </row>
    <row r="741">
      <c r="A741" s="173"/>
      <c r="B741" s="173"/>
      <c r="C741" s="174"/>
      <c r="D741" s="173"/>
      <c r="E741" s="155"/>
      <c r="F741" s="155"/>
      <c r="G741" s="88"/>
      <c r="H741" s="155"/>
      <c r="I741" s="155"/>
      <c r="J741" s="155"/>
      <c r="K741" s="15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58"/>
      <c r="AA741" s="105"/>
      <c r="AB741" s="105"/>
      <c r="AC741" s="105"/>
      <c r="AD741" s="105"/>
      <c r="AE741" s="105"/>
      <c r="AF741" s="105"/>
      <c r="AG741" s="105"/>
      <c r="AH741" s="158"/>
      <c r="AI741" s="88"/>
      <c r="AJ741" s="88"/>
      <c r="AK741" s="131"/>
      <c r="AL741" s="131"/>
      <c r="AM741" s="131"/>
      <c r="AN741" s="131"/>
      <c r="AO741" s="131"/>
      <c r="AP741" s="88"/>
      <c r="AQ741" s="88"/>
    </row>
    <row r="742">
      <c r="A742" s="173"/>
      <c r="B742" s="173"/>
      <c r="C742" s="174"/>
      <c r="D742" s="173"/>
      <c r="E742" s="155"/>
      <c r="F742" s="155"/>
      <c r="G742" s="88"/>
      <c r="H742" s="155"/>
      <c r="I742" s="155"/>
      <c r="J742" s="155"/>
      <c r="K742" s="15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58"/>
      <c r="AA742" s="105"/>
      <c r="AB742" s="105"/>
      <c r="AC742" s="105"/>
      <c r="AD742" s="105"/>
      <c r="AE742" s="105"/>
      <c r="AF742" s="105"/>
      <c r="AG742" s="105"/>
      <c r="AH742" s="158"/>
      <c r="AI742" s="88"/>
      <c r="AJ742" s="88"/>
      <c r="AK742" s="131"/>
      <c r="AL742" s="131"/>
      <c r="AM742" s="131"/>
      <c r="AN742" s="131"/>
      <c r="AO742" s="131"/>
      <c r="AP742" s="88"/>
      <c r="AQ742" s="88"/>
    </row>
    <row r="743">
      <c r="A743" s="173"/>
      <c r="B743" s="173"/>
      <c r="C743" s="174"/>
      <c r="D743" s="173"/>
      <c r="E743" s="155"/>
      <c r="F743" s="155"/>
      <c r="G743" s="88"/>
      <c r="H743" s="155"/>
      <c r="I743" s="155"/>
      <c r="J743" s="155"/>
      <c r="K743" s="15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58"/>
      <c r="AA743" s="105"/>
      <c r="AB743" s="105"/>
      <c r="AC743" s="105"/>
      <c r="AD743" s="105"/>
      <c r="AE743" s="105"/>
      <c r="AF743" s="105"/>
      <c r="AG743" s="105"/>
      <c r="AH743" s="158"/>
      <c r="AI743" s="88"/>
      <c r="AJ743" s="88"/>
      <c r="AK743" s="131"/>
      <c r="AL743" s="131"/>
      <c r="AM743" s="131"/>
      <c r="AN743" s="131"/>
      <c r="AO743" s="131"/>
      <c r="AP743" s="88"/>
      <c r="AQ743" s="88"/>
    </row>
    <row r="744">
      <c r="A744" s="173"/>
      <c r="B744" s="173"/>
      <c r="C744" s="174"/>
      <c r="D744" s="173"/>
      <c r="E744" s="155"/>
      <c r="F744" s="155"/>
      <c r="G744" s="88"/>
      <c r="H744" s="155"/>
      <c r="I744" s="155"/>
      <c r="J744" s="155"/>
      <c r="K744" s="15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58"/>
      <c r="AA744" s="105"/>
      <c r="AB744" s="105"/>
      <c r="AC744" s="105"/>
      <c r="AD744" s="105"/>
      <c r="AE744" s="105"/>
      <c r="AF744" s="105"/>
      <c r="AG744" s="105"/>
      <c r="AH744" s="158"/>
      <c r="AI744" s="88"/>
      <c r="AJ744" s="88"/>
      <c r="AK744" s="131"/>
      <c r="AL744" s="131"/>
      <c r="AM744" s="131"/>
      <c r="AN744" s="131"/>
      <c r="AO744" s="131"/>
      <c r="AP744" s="88"/>
      <c r="AQ744" s="88"/>
    </row>
    <row r="745">
      <c r="A745" s="173"/>
      <c r="B745" s="173"/>
      <c r="C745" s="174"/>
      <c r="D745" s="173"/>
      <c r="E745" s="155"/>
      <c r="F745" s="155"/>
      <c r="G745" s="88"/>
      <c r="H745" s="155"/>
      <c r="I745" s="155"/>
      <c r="J745" s="155"/>
      <c r="K745" s="15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58"/>
      <c r="AA745" s="105"/>
      <c r="AB745" s="105"/>
      <c r="AC745" s="105"/>
      <c r="AD745" s="105"/>
      <c r="AE745" s="105"/>
      <c r="AF745" s="105"/>
      <c r="AG745" s="105"/>
      <c r="AH745" s="158"/>
      <c r="AI745" s="88"/>
      <c r="AJ745" s="88"/>
      <c r="AK745" s="131"/>
      <c r="AL745" s="131"/>
      <c r="AM745" s="131"/>
      <c r="AN745" s="131"/>
      <c r="AO745" s="131"/>
      <c r="AP745" s="88"/>
      <c r="AQ745" s="88"/>
    </row>
    <row r="746">
      <c r="A746" s="173"/>
      <c r="B746" s="173"/>
      <c r="C746" s="174"/>
      <c r="D746" s="173"/>
      <c r="E746" s="155"/>
      <c r="F746" s="155"/>
      <c r="G746" s="88"/>
      <c r="H746" s="155"/>
      <c r="I746" s="155"/>
      <c r="J746" s="155"/>
      <c r="K746" s="15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58"/>
      <c r="AA746" s="105"/>
      <c r="AB746" s="105"/>
      <c r="AC746" s="105"/>
      <c r="AD746" s="105"/>
      <c r="AE746" s="105"/>
      <c r="AF746" s="105"/>
      <c r="AG746" s="105"/>
      <c r="AH746" s="158"/>
      <c r="AI746" s="88"/>
      <c r="AJ746" s="88"/>
      <c r="AK746" s="131"/>
      <c r="AL746" s="131"/>
      <c r="AM746" s="131"/>
      <c r="AN746" s="131"/>
      <c r="AO746" s="131"/>
      <c r="AP746" s="88"/>
      <c r="AQ746" s="88"/>
    </row>
    <row r="747">
      <c r="A747" s="173"/>
      <c r="B747" s="173"/>
      <c r="C747" s="174"/>
      <c r="D747" s="173"/>
      <c r="E747" s="155"/>
      <c r="F747" s="155"/>
      <c r="G747" s="88"/>
      <c r="H747" s="155"/>
      <c r="I747" s="155"/>
      <c r="J747" s="155"/>
      <c r="K747" s="15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58"/>
      <c r="AA747" s="105"/>
      <c r="AB747" s="105"/>
      <c r="AC747" s="105"/>
      <c r="AD747" s="105"/>
      <c r="AE747" s="105"/>
      <c r="AF747" s="105"/>
      <c r="AG747" s="105"/>
      <c r="AH747" s="158"/>
      <c r="AI747" s="88"/>
      <c r="AJ747" s="88"/>
      <c r="AK747" s="131"/>
      <c r="AL747" s="131"/>
      <c r="AM747" s="131"/>
      <c r="AN747" s="131"/>
      <c r="AO747" s="131"/>
      <c r="AP747" s="88"/>
      <c r="AQ747" s="88"/>
    </row>
    <row r="748">
      <c r="A748" s="173"/>
      <c r="B748" s="173"/>
      <c r="C748" s="174"/>
      <c r="D748" s="173"/>
      <c r="E748" s="155"/>
      <c r="F748" s="155"/>
      <c r="G748" s="88"/>
      <c r="H748" s="155"/>
      <c r="I748" s="155"/>
      <c r="J748" s="155"/>
      <c r="K748" s="15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58"/>
      <c r="AA748" s="105"/>
      <c r="AB748" s="105"/>
      <c r="AC748" s="105"/>
      <c r="AD748" s="105"/>
      <c r="AE748" s="105"/>
      <c r="AF748" s="105"/>
      <c r="AG748" s="105"/>
      <c r="AH748" s="158"/>
      <c r="AI748" s="88"/>
      <c r="AJ748" s="88"/>
      <c r="AK748" s="131"/>
      <c r="AL748" s="131"/>
      <c r="AM748" s="131"/>
      <c r="AN748" s="131"/>
      <c r="AO748" s="131"/>
      <c r="AP748" s="88"/>
      <c r="AQ748" s="88"/>
    </row>
    <row r="749">
      <c r="A749" s="173"/>
      <c r="B749" s="173"/>
      <c r="C749" s="174"/>
      <c r="D749" s="173"/>
      <c r="E749" s="155"/>
      <c r="F749" s="155"/>
      <c r="G749" s="88"/>
      <c r="H749" s="155"/>
      <c r="I749" s="155"/>
      <c r="J749" s="155"/>
      <c r="K749" s="15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58"/>
      <c r="AA749" s="105"/>
      <c r="AB749" s="105"/>
      <c r="AC749" s="105"/>
      <c r="AD749" s="105"/>
      <c r="AE749" s="105"/>
      <c r="AF749" s="105"/>
      <c r="AG749" s="105"/>
      <c r="AH749" s="158"/>
      <c r="AI749" s="88"/>
      <c r="AJ749" s="88"/>
      <c r="AK749" s="131"/>
      <c r="AL749" s="131"/>
      <c r="AM749" s="131"/>
      <c r="AN749" s="131"/>
      <c r="AO749" s="131"/>
      <c r="AP749" s="88"/>
      <c r="AQ749" s="88"/>
    </row>
    <row r="750">
      <c r="A750" s="173"/>
      <c r="B750" s="173"/>
      <c r="C750" s="174"/>
      <c r="D750" s="173"/>
      <c r="E750" s="155"/>
      <c r="F750" s="155"/>
      <c r="G750" s="88"/>
      <c r="H750" s="155"/>
      <c r="I750" s="155"/>
      <c r="J750" s="155"/>
      <c r="K750" s="15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58"/>
      <c r="AA750" s="105"/>
      <c r="AB750" s="105"/>
      <c r="AC750" s="105"/>
      <c r="AD750" s="105"/>
      <c r="AE750" s="105"/>
      <c r="AF750" s="105"/>
      <c r="AG750" s="105"/>
      <c r="AH750" s="158"/>
      <c r="AI750" s="88"/>
      <c r="AJ750" s="88"/>
      <c r="AK750" s="131"/>
      <c r="AL750" s="131"/>
      <c r="AM750" s="131"/>
      <c r="AN750" s="131"/>
      <c r="AO750" s="131"/>
      <c r="AP750" s="88"/>
      <c r="AQ750" s="88"/>
    </row>
    <row r="751">
      <c r="A751" s="173"/>
      <c r="B751" s="173"/>
      <c r="C751" s="174"/>
      <c r="D751" s="173"/>
      <c r="E751" s="155"/>
      <c r="F751" s="155"/>
      <c r="G751" s="88"/>
      <c r="H751" s="155"/>
      <c r="I751" s="155"/>
      <c r="J751" s="155"/>
      <c r="K751" s="15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58"/>
      <c r="AA751" s="105"/>
      <c r="AB751" s="105"/>
      <c r="AC751" s="105"/>
      <c r="AD751" s="105"/>
      <c r="AE751" s="105"/>
      <c r="AF751" s="105"/>
      <c r="AG751" s="105"/>
      <c r="AH751" s="158"/>
      <c r="AI751" s="88"/>
      <c r="AJ751" s="88"/>
      <c r="AK751" s="131"/>
      <c r="AL751" s="131"/>
      <c r="AM751" s="131"/>
      <c r="AN751" s="131"/>
      <c r="AO751" s="131"/>
      <c r="AP751" s="88"/>
      <c r="AQ751" s="88"/>
    </row>
    <row r="752">
      <c r="A752" s="173"/>
      <c r="B752" s="173"/>
      <c r="C752" s="174"/>
      <c r="D752" s="173"/>
      <c r="E752" s="155"/>
      <c r="F752" s="155"/>
      <c r="G752" s="88"/>
      <c r="H752" s="155"/>
      <c r="I752" s="155"/>
      <c r="J752" s="155"/>
      <c r="K752" s="15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58"/>
      <c r="AA752" s="105"/>
      <c r="AB752" s="105"/>
      <c r="AC752" s="105"/>
      <c r="AD752" s="105"/>
      <c r="AE752" s="105"/>
      <c r="AF752" s="105"/>
      <c r="AG752" s="105"/>
      <c r="AH752" s="158"/>
      <c r="AI752" s="88"/>
      <c r="AJ752" s="88"/>
      <c r="AK752" s="131"/>
      <c r="AL752" s="131"/>
      <c r="AM752" s="131"/>
      <c r="AN752" s="131"/>
      <c r="AO752" s="131"/>
      <c r="AP752" s="88"/>
      <c r="AQ752" s="88"/>
    </row>
    <row r="753">
      <c r="A753" s="173"/>
      <c r="B753" s="173"/>
      <c r="C753" s="174"/>
      <c r="D753" s="173"/>
      <c r="E753" s="155"/>
      <c r="F753" s="155"/>
      <c r="G753" s="88"/>
      <c r="H753" s="155"/>
      <c r="I753" s="155"/>
      <c r="J753" s="155"/>
      <c r="K753" s="15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58"/>
      <c r="AA753" s="105"/>
      <c r="AB753" s="105"/>
      <c r="AC753" s="105"/>
      <c r="AD753" s="105"/>
      <c r="AE753" s="105"/>
      <c r="AF753" s="105"/>
      <c r="AG753" s="105"/>
      <c r="AH753" s="158"/>
      <c r="AI753" s="88"/>
      <c r="AJ753" s="88"/>
      <c r="AK753" s="131"/>
      <c r="AL753" s="131"/>
      <c r="AM753" s="131"/>
      <c r="AN753" s="131"/>
      <c r="AO753" s="131"/>
      <c r="AP753" s="88"/>
      <c r="AQ753" s="88"/>
    </row>
    <row r="754">
      <c r="A754" s="173"/>
      <c r="B754" s="173"/>
      <c r="C754" s="174"/>
      <c r="D754" s="173"/>
      <c r="E754" s="155"/>
      <c r="F754" s="155"/>
      <c r="G754" s="88"/>
      <c r="H754" s="155"/>
      <c r="I754" s="155"/>
      <c r="J754" s="155"/>
      <c r="K754" s="15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58"/>
      <c r="AA754" s="105"/>
      <c r="AB754" s="105"/>
      <c r="AC754" s="105"/>
      <c r="AD754" s="105"/>
      <c r="AE754" s="105"/>
      <c r="AF754" s="105"/>
      <c r="AG754" s="105"/>
      <c r="AH754" s="158"/>
      <c r="AI754" s="88"/>
      <c r="AJ754" s="88"/>
      <c r="AK754" s="131"/>
      <c r="AL754" s="131"/>
      <c r="AM754" s="131"/>
      <c r="AN754" s="131"/>
      <c r="AO754" s="131"/>
      <c r="AP754" s="88"/>
      <c r="AQ754" s="88"/>
    </row>
    <row r="755">
      <c r="A755" s="173"/>
      <c r="B755" s="173"/>
      <c r="C755" s="174"/>
      <c r="D755" s="173"/>
      <c r="E755" s="155"/>
      <c r="F755" s="155"/>
      <c r="G755" s="88"/>
      <c r="H755" s="155"/>
      <c r="I755" s="155"/>
      <c r="J755" s="155"/>
      <c r="K755" s="15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58"/>
      <c r="AA755" s="105"/>
      <c r="AB755" s="105"/>
      <c r="AC755" s="105"/>
      <c r="AD755" s="105"/>
      <c r="AE755" s="105"/>
      <c r="AF755" s="105"/>
      <c r="AG755" s="105"/>
      <c r="AH755" s="158"/>
      <c r="AI755" s="88"/>
      <c r="AJ755" s="88"/>
      <c r="AK755" s="131"/>
      <c r="AL755" s="131"/>
      <c r="AM755" s="131"/>
      <c r="AN755" s="131"/>
      <c r="AO755" s="131"/>
      <c r="AP755" s="88"/>
      <c r="AQ755" s="88"/>
    </row>
    <row r="756">
      <c r="A756" s="173"/>
      <c r="B756" s="173"/>
      <c r="C756" s="174"/>
      <c r="D756" s="173"/>
      <c r="E756" s="155"/>
      <c r="F756" s="155"/>
      <c r="G756" s="88"/>
      <c r="H756" s="155"/>
      <c r="I756" s="155"/>
      <c r="J756" s="155"/>
      <c r="K756" s="15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58"/>
      <c r="AA756" s="105"/>
      <c r="AB756" s="105"/>
      <c r="AC756" s="105"/>
      <c r="AD756" s="105"/>
      <c r="AE756" s="105"/>
      <c r="AF756" s="105"/>
      <c r="AG756" s="105"/>
      <c r="AH756" s="158"/>
      <c r="AI756" s="88"/>
      <c r="AJ756" s="88"/>
      <c r="AK756" s="131"/>
      <c r="AL756" s="131"/>
      <c r="AM756" s="131"/>
      <c r="AN756" s="131"/>
      <c r="AO756" s="131"/>
      <c r="AP756" s="88"/>
      <c r="AQ756" s="88"/>
    </row>
    <row r="757">
      <c r="A757" s="173"/>
      <c r="B757" s="173"/>
      <c r="C757" s="174"/>
      <c r="D757" s="173"/>
      <c r="E757" s="155"/>
      <c r="F757" s="155"/>
      <c r="G757" s="88"/>
      <c r="H757" s="155"/>
      <c r="I757" s="155"/>
      <c r="J757" s="155"/>
      <c r="K757" s="15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58"/>
      <c r="AA757" s="105"/>
      <c r="AB757" s="105"/>
      <c r="AC757" s="105"/>
      <c r="AD757" s="105"/>
      <c r="AE757" s="105"/>
      <c r="AF757" s="105"/>
      <c r="AG757" s="105"/>
      <c r="AH757" s="158"/>
      <c r="AI757" s="88"/>
      <c r="AJ757" s="88"/>
      <c r="AK757" s="131"/>
      <c r="AL757" s="131"/>
      <c r="AM757" s="131"/>
      <c r="AN757" s="131"/>
      <c r="AO757" s="131"/>
      <c r="AP757" s="88"/>
      <c r="AQ757" s="88"/>
    </row>
    <row r="758">
      <c r="A758" s="173"/>
      <c r="B758" s="173"/>
      <c r="C758" s="174"/>
      <c r="D758" s="173"/>
      <c r="E758" s="155"/>
      <c r="F758" s="155"/>
      <c r="G758" s="88"/>
      <c r="H758" s="155"/>
      <c r="I758" s="155"/>
      <c r="J758" s="155"/>
      <c r="K758" s="15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58"/>
      <c r="AA758" s="105"/>
      <c r="AB758" s="105"/>
      <c r="AC758" s="105"/>
      <c r="AD758" s="105"/>
      <c r="AE758" s="105"/>
      <c r="AF758" s="105"/>
      <c r="AG758" s="105"/>
      <c r="AH758" s="158"/>
      <c r="AI758" s="88"/>
      <c r="AJ758" s="88"/>
      <c r="AK758" s="131"/>
      <c r="AL758" s="131"/>
      <c r="AM758" s="131"/>
      <c r="AN758" s="131"/>
      <c r="AO758" s="131"/>
      <c r="AP758" s="88"/>
      <c r="AQ758" s="88"/>
    </row>
    <row r="759">
      <c r="A759" s="173"/>
      <c r="B759" s="173"/>
      <c r="C759" s="174"/>
      <c r="D759" s="173"/>
      <c r="E759" s="155"/>
      <c r="F759" s="155"/>
      <c r="G759" s="88"/>
      <c r="H759" s="155"/>
      <c r="I759" s="155"/>
      <c r="J759" s="155"/>
      <c r="K759" s="15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58"/>
      <c r="AA759" s="105"/>
      <c r="AB759" s="105"/>
      <c r="AC759" s="105"/>
      <c r="AD759" s="105"/>
      <c r="AE759" s="105"/>
      <c r="AF759" s="105"/>
      <c r="AG759" s="105"/>
      <c r="AH759" s="158"/>
      <c r="AI759" s="88"/>
      <c r="AJ759" s="88"/>
      <c r="AK759" s="131"/>
      <c r="AL759" s="131"/>
      <c r="AM759" s="131"/>
      <c r="AN759" s="131"/>
      <c r="AO759" s="131"/>
      <c r="AP759" s="88"/>
      <c r="AQ759" s="88"/>
    </row>
    <row r="760">
      <c r="A760" s="173"/>
      <c r="B760" s="173"/>
      <c r="C760" s="174"/>
      <c r="D760" s="173"/>
      <c r="E760" s="155"/>
      <c r="F760" s="155"/>
      <c r="G760" s="88"/>
      <c r="H760" s="155"/>
      <c r="I760" s="155"/>
      <c r="J760" s="155"/>
      <c r="K760" s="15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58"/>
      <c r="AA760" s="105"/>
      <c r="AB760" s="105"/>
      <c r="AC760" s="105"/>
      <c r="AD760" s="105"/>
      <c r="AE760" s="105"/>
      <c r="AF760" s="105"/>
      <c r="AG760" s="105"/>
      <c r="AH760" s="158"/>
      <c r="AI760" s="88"/>
      <c r="AJ760" s="88"/>
      <c r="AK760" s="131"/>
      <c r="AL760" s="131"/>
      <c r="AM760" s="131"/>
      <c r="AN760" s="131"/>
      <c r="AO760" s="131"/>
      <c r="AP760" s="88"/>
      <c r="AQ760" s="88"/>
    </row>
    <row r="761">
      <c r="A761" s="173"/>
      <c r="B761" s="173"/>
      <c r="C761" s="174"/>
      <c r="D761" s="173"/>
      <c r="E761" s="155"/>
      <c r="F761" s="155"/>
      <c r="G761" s="88"/>
      <c r="H761" s="155"/>
      <c r="I761" s="155"/>
      <c r="J761" s="155"/>
      <c r="K761" s="15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58"/>
      <c r="AA761" s="105"/>
      <c r="AB761" s="105"/>
      <c r="AC761" s="105"/>
      <c r="AD761" s="105"/>
      <c r="AE761" s="105"/>
      <c r="AF761" s="105"/>
      <c r="AG761" s="105"/>
      <c r="AH761" s="158"/>
      <c r="AI761" s="88"/>
      <c r="AJ761" s="88"/>
      <c r="AK761" s="131"/>
      <c r="AL761" s="131"/>
      <c r="AM761" s="131"/>
      <c r="AN761" s="131"/>
      <c r="AO761" s="131"/>
      <c r="AP761" s="88"/>
      <c r="AQ761" s="88"/>
    </row>
    <row r="762">
      <c r="A762" s="173"/>
      <c r="B762" s="173"/>
      <c r="C762" s="174"/>
      <c r="D762" s="173"/>
      <c r="E762" s="155"/>
      <c r="F762" s="155"/>
      <c r="G762" s="88"/>
      <c r="H762" s="155"/>
      <c r="I762" s="155"/>
      <c r="J762" s="155"/>
      <c r="K762" s="15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58"/>
      <c r="AA762" s="105"/>
      <c r="AB762" s="105"/>
      <c r="AC762" s="105"/>
      <c r="AD762" s="105"/>
      <c r="AE762" s="105"/>
      <c r="AF762" s="105"/>
      <c r="AG762" s="105"/>
      <c r="AH762" s="158"/>
      <c r="AI762" s="88"/>
      <c r="AJ762" s="88"/>
      <c r="AK762" s="131"/>
      <c r="AL762" s="131"/>
      <c r="AM762" s="131"/>
      <c r="AN762" s="131"/>
      <c r="AO762" s="131"/>
      <c r="AP762" s="88"/>
      <c r="AQ762" s="88"/>
    </row>
    <row r="763">
      <c r="A763" s="173"/>
      <c r="B763" s="173"/>
      <c r="C763" s="174"/>
      <c r="D763" s="173"/>
      <c r="E763" s="155"/>
      <c r="F763" s="155"/>
      <c r="G763" s="88"/>
      <c r="H763" s="155"/>
      <c r="I763" s="155"/>
      <c r="J763" s="155"/>
      <c r="K763" s="15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58"/>
      <c r="AA763" s="105"/>
      <c r="AB763" s="105"/>
      <c r="AC763" s="105"/>
      <c r="AD763" s="105"/>
      <c r="AE763" s="105"/>
      <c r="AF763" s="105"/>
      <c r="AG763" s="105"/>
      <c r="AH763" s="158"/>
      <c r="AI763" s="88"/>
      <c r="AJ763" s="88"/>
      <c r="AK763" s="131"/>
      <c r="AL763" s="131"/>
      <c r="AM763" s="131"/>
      <c r="AN763" s="131"/>
      <c r="AO763" s="131"/>
      <c r="AP763" s="88"/>
      <c r="AQ763" s="88"/>
    </row>
    <row r="764">
      <c r="A764" s="173"/>
      <c r="B764" s="173"/>
      <c r="C764" s="174"/>
      <c r="D764" s="173"/>
      <c r="E764" s="155"/>
      <c r="F764" s="155"/>
      <c r="G764" s="88"/>
      <c r="H764" s="155"/>
      <c r="I764" s="155"/>
      <c r="J764" s="155"/>
      <c r="K764" s="15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58"/>
      <c r="AA764" s="105"/>
      <c r="AB764" s="105"/>
      <c r="AC764" s="105"/>
      <c r="AD764" s="105"/>
      <c r="AE764" s="105"/>
      <c r="AF764" s="105"/>
      <c r="AG764" s="105"/>
      <c r="AH764" s="158"/>
      <c r="AI764" s="88"/>
      <c r="AJ764" s="88"/>
      <c r="AK764" s="131"/>
      <c r="AL764" s="131"/>
      <c r="AM764" s="131"/>
      <c r="AN764" s="131"/>
      <c r="AO764" s="131"/>
      <c r="AP764" s="88"/>
      <c r="AQ764" s="88"/>
    </row>
    <row r="765">
      <c r="A765" s="173"/>
      <c r="B765" s="173"/>
      <c r="C765" s="174"/>
      <c r="D765" s="173"/>
      <c r="E765" s="155"/>
      <c r="F765" s="155"/>
      <c r="G765" s="88"/>
      <c r="H765" s="155"/>
      <c r="I765" s="155"/>
      <c r="J765" s="155"/>
      <c r="K765" s="15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58"/>
      <c r="AA765" s="105"/>
      <c r="AB765" s="105"/>
      <c r="AC765" s="105"/>
      <c r="AD765" s="105"/>
      <c r="AE765" s="105"/>
      <c r="AF765" s="105"/>
      <c r="AG765" s="105"/>
      <c r="AH765" s="158"/>
      <c r="AI765" s="88"/>
      <c r="AJ765" s="88"/>
      <c r="AK765" s="131"/>
      <c r="AL765" s="131"/>
      <c r="AM765" s="131"/>
      <c r="AN765" s="131"/>
      <c r="AO765" s="131"/>
      <c r="AP765" s="88"/>
      <c r="AQ765" s="88"/>
    </row>
    <row r="766">
      <c r="A766" s="173"/>
      <c r="B766" s="173"/>
      <c r="C766" s="174"/>
      <c r="D766" s="173"/>
      <c r="E766" s="155"/>
      <c r="F766" s="155"/>
      <c r="G766" s="88"/>
      <c r="H766" s="155"/>
      <c r="I766" s="155"/>
      <c r="J766" s="155"/>
      <c r="K766" s="15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58"/>
      <c r="AA766" s="105"/>
      <c r="AB766" s="105"/>
      <c r="AC766" s="105"/>
      <c r="AD766" s="105"/>
      <c r="AE766" s="105"/>
      <c r="AF766" s="105"/>
      <c r="AG766" s="105"/>
      <c r="AH766" s="158"/>
      <c r="AI766" s="88"/>
      <c r="AJ766" s="88"/>
      <c r="AK766" s="131"/>
      <c r="AL766" s="131"/>
      <c r="AM766" s="131"/>
      <c r="AN766" s="131"/>
      <c r="AO766" s="131"/>
      <c r="AP766" s="88"/>
      <c r="AQ766" s="88"/>
    </row>
    <row r="767">
      <c r="A767" s="173"/>
      <c r="B767" s="173"/>
      <c r="C767" s="174"/>
      <c r="D767" s="173"/>
      <c r="E767" s="155"/>
      <c r="F767" s="155"/>
      <c r="G767" s="88"/>
      <c r="H767" s="155"/>
      <c r="I767" s="155"/>
      <c r="J767" s="155"/>
      <c r="K767" s="15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58"/>
      <c r="AA767" s="105"/>
      <c r="AB767" s="105"/>
      <c r="AC767" s="105"/>
      <c r="AD767" s="105"/>
      <c r="AE767" s="105"/>
      <c r="AF767" s="105"/>
      <c r="AG767" s="105"/>
      <c r="AH767" s="158"/>
      <c r="AI767" s="88"/>
      <c r="AJ767" s="88"/>
      <c r="AK767" s="131"/>
      <c r="AL767" s="131"/>
      <c r="AM767" s="131"/>
      <c r="AN767" s="131"/>
      <c r="AO767" s="131"/>
      <c r="AP767" s="88"/>
      <c r="AQ767" s="88"/>
    </row>
    <row r="768">
      <c r="A768" s="173"/>
      <c r="B768" s="173"/>
      <c r="C768" s="174"/>
      <c r="D768" s="173"/>
      <c r="E768" s="155"/>
      <c r="F768" s="155"/>
      <c r="G768" s="88"/>
      <c r="H768" s="155"/>
      <c r="I768" s="155"/>
      <c r="J768" s="155"/>
      <c r="K768" s="15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58"/>
      <c r="AA768" s="105"/>
      <c r="AB768" s="105"/>
      <c r="AC768" s="105"/>
      <c r="AD768" s="105"/>
      <c r="AE768" s="105"/>
      <c r="AF768" s="105"/>
      <c r="AG768" s="105"/>
      <c r="AH768" s="158"/>
      <c r="AI768" s="88"/>
      <c r="AJ768" s="88"/>
      <c r="AK768" s="131"/>
      <c r="AL768" s="131"/>
      <c r="AM768" s="131"/>
      <c r="AN768" s="131"/>
      <c r="AO768" s="131"/>
      <c r="AP768" s="88"/>
      <c r="AQ768" s="88"/>
    </row>
    <row r="769">
      <c r="A769" s="173"/>
      <c r="B769" s="173"/>
      <c r="C769" s="174"/>
      <c r="D769" s="173"/>
      <c r="E769" s="155"/>
      <c r="F769" s="155"/>
      <c r="G769" s="88"/>
      <c r="H769" s="155"/>
      <c r="I769" s="155"/>
      <c r="J769" s="155"/>
      <c r="K769" s="15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58"/>
      <c r="AA769" s="105"/>
      <c r="AB769" s="105"/>
      <c r="AC769" s="105"/>
      <c r="AD769" s="105"/>
      <c r="AE769" s="105"/>
      <c r="AF769" s="105"/>
      <c r="AG769" s="105"/>
      <c r="AH769" s="158"/>
      <c r="AI769" s="88"/>
      <c r="AJ769" s="88"/>
      <c r="AK769" s="131"/>
      <c r="AL769" s="131"/>
      <c r="AM769" s="131"/>
      <c r="AN769" s="131"/>
      <c r="AO769" s="131"/>
      <c r="AP769" s="88"/>
      <c r="AQ769" s="88"/>
    </row>
    <row r="770">
      <c r="A770" s="173"/>
      <c r="B770" s="173"/>
      <c r="C770" s="174"/>
      <c r="D770" s="173"/>
      <c r="E770" s="155"/>
      <c r="F770" s="155"/>
      <c r="G770" s="88"/>
      <c r="H770" s="155"/>
      <c r="I770" s="155"/>
      <c r="J770" s="155"/>
      <c r="K770" s="15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58"/>
      <c r="AA770" s="105"/>
      <c r="AB770" s="105"/>
      <c r="AC770" s="105"/>
      <c r="AD770" s="105"/>
      <c r="AE770" s="105"/>
      <c r="AF770" s="105"/>
      <c r="AG770" s="105"/>
      <c r="AH770" s="158"/>
      <c r="AI770" s="88"/>
      <c r="AJ770" s="88"/>
      <c r="AK770" s="131"/>
      <c r="AL770" s="131"/>
      <c r="AM770" s="131"/>
      <c r="AN770" s="131"/>
      <c r="AO770" s="131"/>
      <c r="AP770" s="88"/>
      <c r="AQ770" s="88"/>
    </row>
    <row r="771">
      <c r="A771" s="173"/>
      <c r="B771" s="173"/>
      <c r="C771" s="174"/>
      <c r="D771" s="173"/>
      <c r="E771" s="155"/>
      <c r="F771" s="155"/>
      <c r="G771" s="88"/>
      <c r="H771" s="155"/>
      <c r="I771" s="155"/>
      <c r="J771" s="155"/>
      <c r="K771" s="15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58"/>
      <c r="AA771" s="105"/>
      <c r="AB771" s="105"/>
      <c r="AC771" s="105"/>
      <c r="AD771" s="105"/>
      <c r="AE771" s="105"/>
      <c r="AF771" s="105"/>
      <c r="AG771" s="105"/>
      <c r="AH771" s="158"/>
      <c r="AI771" s="88"/>
      <c r="AJ771" s="88"/>
      <c r="AK771" s="131"/>
      <c r="AL771" s="131"/>
      <c r="AM771" s="131"/>
      <c r="AN771" s="131"/>
      <c r="AO771" s="131"/>
      <c r="AP771" s="88"/>
      <c r="AQ771" s="88"/>
    </row>
    <row r="772">
      <c r="A772" s="173"/>
      <c r="B772" s="173"/>
      <c r="C772" s="174"/>
      <c r="D772" s="173"/>
      <c r="E772" s="155"/>
      <c r="F772" s="155"/>
      <c r="G772" s="88"/>
      <c r="H772" s="155"/>
      <c r="I772" s="155"/>
      <c r="J772" s="155"/>
      <c r="K772" s="15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58"/>
      <c r="AA772" s="105"/>
      <c r="AB772" s="105"/>
      <c r="AC772" s="105"/>
      <c r="AD772" s="105"/>
      <c r="AE772" s="105"/>
      <c r="AF772" s="105"/>
      <c r="AG772" s="105"/>
      <c r="AH772" s="158"/>
      <c r="AI772" s="88"/>
      <c r="AJ772" s="88"/>
      <c r="AK772" s="131"/>
      <c r="AL772" s="131"/>
      <c r="AM772" s="131"/>
      <c r="AN772" s="131"/>
      <c r="AO772" s="131"/>
      <c r="AP772" s="88"/>
      <c r="AQ772" s="88"/>
    </row>
    <row r="773">
      <c r="A773" s="173"/>
      <c r="B773" s="173"/>
      <c r="C773" s="174"/>
      <c r="D773" s="173"/>
      <c r="E773" s="155"/>
      <c r="F773" s="155"/>
      <c r="G773" s="88"/>
      <c r="H773" s="155"/>
      <c r="I773" s="155"/>
      <c r="J773" s="155"/>
      <c r="K773" s="15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58"/>
      <c r="AA773" s="105"/>
      <c r="AB773" s="105"/>
      <c r="AC773" s="105"/>
      <c r="AD773" s="105"/>
      <c r="AE773" s="105"/>
      <c r="AF773" s="105"/>
      <c r="AG773" s="105"/>
      <c r="AH773" s="158"/>
      <c r="AI773" s="88"/>
      <c r="AJ773" s="88"/>
      <c r="AK773" s="131"/>
      <c r="AL773" s="131"/>
      <c r="AM773" s="131"/>
      <c r="AN773" s="131"/>
      <c r="AO773" s="131"/>
      <c r="AP773" s="88"/>
      <c r="AQ773" s="88"/>
    </row>
    <row r="774">
      <c r="A774" s="173"/>
      <c r="B774" s="173"/>
      <c r="C774" s="174"/>
      <c r="D774" s="173"/>
      <c r="E774" s="155"/>
      <c r="F774" s="155"/>
      <c r="G774" s="88"/>
      <c r="H774" s="155"/>
      <c r="I774" s="155"/>
      <c r="J774" s="155"/>
      <c r="K774" s="15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58"/>
      <c r="AA774" s="105"/>
      <c r="AB774" s="105"/>
      <c r="AC774" s="105"/>
      <c r="AD774" s="105"/>
      <c r="AE774" s="105"/>
      <c r="AF774" s="105"/>
      <c r="AG774" s="105"/>
      <c r="AH774" s="158"/>
      <c r="AI774" s="88"/>
      <c r="AJ774" s="88"/>
      <c r="AK774" s="131"/>
      <c r="AL774" s="131"/>
      <c r="AM774" s="131"/>
      <c r="AN774" s="131"/>
      <c r="AO774" s="131"/>
      <c r="AP774" s="88"/>
      <c r="AQ774" s="88"/>
    </row>
    <row r="775">
      <c r="A775" s="173"/>
      <c r="B775" s="173"/>
      <c r="C775" s="174"/>
      <c r="D775" s="173"/>
      <c r="E775" s="155"/>
      <c r="F775" s="155"/>
      <c r="G775" s="88"/>
      <c r="H775" s="155"/>
      <c r="I775" s="155"/>
      <c r="J775" s="155"/>
      <c r="K775" s="15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58"/>
      <c r="AA775" s="105"/>
      <c r="AB775" s="105"/>
      <c r="AC775" s="105"/>
      <c r="AD775" s="105"/>
      <c r="AE775" s="105"/>
      <c r="AF775" s="105"/>
      <c r="AG775" s="105"/>
      <c r="AH775" s="158"/>
      <c r="AI775" s="88"/>
      <c r="AJ775" s="88"/>
      <c r="AK775" s="131"/>
      <c r="AL775" s="131"/>
      <c r="AM775" s="131"/>
      <c r="AN775" s="131"/>
      <c r="AO775" s="131"/>
      <c r="AP775" s="88"/>
      <c r="AQ775" s="88"/>
    </row>
    <row r="776">
      <c r="A776" s="173"/>
      <c r="B776" s="173"/>
      <c r="C776" s="174"/>
      <c r="D776" s="173"/>
      <c r="E776" s="155"/>
      <c r="F776" s="155"/>
      <c r="G776" s="88"/>
      <c r="H776" s="155"/>
      <c r="I776" s="155"/>
      <c r="J776" s="155"/>
      <c r="K776" s="15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58"/>
      <c r="AA776" s="105"/>
      <c r="AB776" s="105"/>
      <c r="AC776" s="105"/>
      <c r="AD776" s="105"/>
      <c r="AE776" s="105"/>
      <c r="AF776" s="105"/>
      <c r="AG776" s="105"/>
      <c r="AH776" s="158"/>
      <c r="AI776" s="88"/>
      <c r="AJ776" s="88"/>
      <c r="AK776" s="131"/>
      <c r="AL776" s="131"/>
      <c r="AM776" s="131"/>
      <c r="AN776" s="131"/>
      <c r="AO776" s="131"/>
      <c r="AP776" s="88"/>
      <c r="AQ776" s="88"/>
    </row>
    <row r="777">
      <c r="A777" s="173"/>
      <c r="B777" s="173"/>
      <c r="C777" s="174"/>
      <c r="D777" s="173"/>
      <c r="E777" s="155"/>
      <c r="F777" s="155"/>
      <c r="G777" s="88"/>
      <c r="H777" s="155"/>
      <c r="I777" s="155"/>
      <c r="J777" s="155"/>
      <c r="K777" s="15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58"/>
      <c r="AA777" s="105"/>
      <c r="AB777" s="105"/>
      <c r="AC777" s="105"/>
      <c r="AD777" s="105"/>
      <c r="AE777" s="105"/>
      <c r="AF777" s="105"/>
      <c r="AG777" s="105"/>
      <c r="AH777" s="158"/>
      <c r="AI777" s="88"/>
      <c r="AJ777" s="88"/>
      <c r="AK777" s="131"/>
      <c r="AL777" s="131"/>
      <c r="AM777" s="131"/>
      <c r="AN777" s="131"/>
      <c r="AO777" s="131"/>
      <c r="AP777" s="88"/>
      <c r="AQ777" s="88"/>
    </row>
    <row r="778">
      <c r="A778" s="173"/>
      <c r="B778" s="173"/>
      <c r="C778" s="174"/>
      <c r="D778" s="173"/>
      <c r="E778" s="155"/>
      <c r="F778" s="155"/>
      <c r="G778" s="88"/>
      <c r="H778" s="155"/>
      <c r="I778" s="155"/>
      <c r="J778" s="155"/>
      <c r="K778" s="15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58"/>
      <c r="AA778" s="105"/>
      <c r="AB778" s="105"/>
      <c r="AC778" s="105"/>
      <c r="AD778" s="105"/>
      <c r="AE778" s="105"/>
      <c r="AF778" s="105"/>
      <c r="AG778" s="105"/>
      <c r="AH778" s="158"/>
      <c r="AI778" s="88"/>
      <c r="AJ778" s="88"/>
      <c r="AK778" s="131"/>
      <c r="AL778" s="131"/>
      <c r="AM778" s="131"/>
      <c r="AN778" s="131"/>
      <c r="AO778" s="131"/>
      <c r="AP778" s="88"/>
      <c r="AQ778" s="88"/>
    </row>
    <row r="779">
      <c r="A779" s="173"/>
      <c r="B779" s="173"/>
      <c r="C779" s="174"/>
      <c r="D779" s="173"/>
      <c r="E779" s="155"/>
      <c r="F779" s="155"/>
      <c r="G779" s="88"/>
      <c r="H779" s="155"/>
      <c r="I779" s="155"/>
      <c r="J779" s="155"/>
      <c r="K779" s="15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58"/>
      <c r="AA779" s="105"/>
      <c r="AB779" s="105"/>
      <c r="AC779" s="105"/>
      <c r="AD779" s="105"/>
      <c r="AE779" s="105"/>
      <c r="AF779" s="105"/>
      <c r="AG779" s="105"/>
      <c r="AH779" s="158"/>
      <c r="AI779" s="88"/>
      <c r="AJ779" s="88"/>
      <c r="AK779" s="131"/>
      <c r="AL779" s="131"/>
      <c r="AM779" s="131"/>
      <c r="AN779" s="131"/>
      <c r="AO779" s="131"/>
      <c r="AP779" s="88"/>
      <c r="AQ779" s="88"/>
    </row>
    <row r="780">
      <c r="A780" s="173"/>
      <c r="B780" s="173"/>
      <c r="C780" s="174"/>
      <c r="D780" s="173"/>
      <c r="E780" s="155"/>
      <c r="F780" s="155"/>
      <c r="G780" s="88"/>
      <c r="H780" s="155"/>
      <c r="I780" s="155"/>
      <c r="J780" s="155"/>
      <c r="K780" s="15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58"/>
      <c r="AA780" s="105"/>
      <c r="AB780" s="105"/>
      <c r="AC780" s="105"/>
      <c r="AD780" s="105"/>
      <c r="AE780" s="105"/>
      <c r="AF780" s="105"/>
      <c r="AG780" s="105"/>
      <c r="AH780" s="158"/>
      <c r="AI780" s="88"/>
      <c r="AJ780" s="88"/>
      <c r="AK780" s="131"/>
      <c r="AL780" s="131"/>
      <c r="AM780" s="131"/>
      <c r="AN780" s="131"/>
      <c r="AO780" s="131"/>
      <c r="AP780" s="88"/>
      <c r="AQ780" s="88"/>
    </row>
    <row r="781">
      <c r="A781" s="173"/>
      <c r="B781" s="173"/>
      <c r="C781" s="174"/>
      <c r="D781" s="173"/>
      <c r="E781" s="155"/>
      <c r="F781" s="155"/>
      <c r="G781" s="88"/>
      <c r="H781" s="155"/>
      <c r="I781" s="155"/>
      <c r="J781" s="155"/>
      <c r="K781" s="15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58"/>
      <c r="AA781" s="105"/>
      <c r="AB781" s="105"/>
      <c r="AC781" s="105"/>
      <c r="AD781" s="105"/>
      <c r="AE781" s="105"/>
      <c r="AF781" s="105"/>
      <c r="AG781" s="105"/>
      <c r="AH781" s="158"/>
      <c r="AI781" s="88"/>
      <c r="AJ781" s="88"/>
      <c r="AK781" s="131"/>
      <c r="AL781" s="131"/>
      <c r="AM781" s="131"/>
      <c r="AN781" s="131"/>
      <c r="AO781" s="131"/>
      <c r="AP781" s="88"/>
      <c r="AQ781" s="88"/>
    </row>
    <row r="782">
      <c r="A782" s="173"/>
      <c r="B782" s="173"/>
      <c r="C782" s="174"/>
      <c r="D782" s="173"/>
      <c r="E782" s="155"/>
      <c r="F782" s="155"/>
      <c r="G782" s="88"/>
      <c r="H782" s="155"/>
      <c r="I782" s="155"/>
      <c r="J782" s="155"/>
      <c r="K782" s="15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58"/>
      <c r="AA782" s="105"/>
      <c r="AB782" s="105"/>
      <c r="AC782" s="105"/>
      <c r="AD782" s="105"/>
      <c r="AE782" s="105"/>
      <c r="AF782" s="105"/>
      <c r="AG782" s="105"/>
      <c r="AH782" s="158"/>
      <c r="AI782" s="88"/>
      <c r="AJ782" s="88"/>
      <c r="AK782" s="131"/>
      <c r="AL782" s="131"/>
      <c r="AM782" s="131"/>
      <c r="AN782" s="131"/>
      <c r="AO782" s="131"/>
      <c r="AP782" s="88"/>
      <c r="AQ782" s="88"/>
    </row>
    <row r="783">
      <c r="A783" s="173"/>
      <c r="B783" s="173"/>
      <c r="C783" s="174"/>
      <c r="D783" s="173"/>
      <c r="E783" s="155"/>
      <c r="F783" s="155"/>
      <c r="G783" s="88"/>
      <c r="H783" s="155"/>
      <c r="I783" s="155"/>
      <c r="J783" s="155"/>
      <c r="K783" s="15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58"/>
      <c r="AA783" s="105"/>
      <c r="AB783" s="105"/>
      <c r="AC783" s="105"/>
      <c r="AD783" s="105"/>
      <c r="AE783" s="105"/>
      <c r="AF783" s="105"/>
      <c r="AG783" s="105"/>
      <c r="AH783" s="158"/>
      <c r="AI783" s="88"/>
      <c r="AJ783" s="88"/>
      <c r="AK783" s="131"/>
      <c r="AL783" s="131"/>
      <c r="AM783" s="131"/>
      <c r="AN783" s="131"/>
      <c r="AO783" s="131"/>
      <c r="AP783" s="88"/>
      <c r="AQ783" s="88"/>
    </row>
    <row r="784">
      <c r="A784" s="173"/>
      <c r="B784" s="173"/>
      <c r="C784" s="174"/>
      <c r="D784" s="173"/>
      <c r="E784" s="155"/>
      <c r="F784" s="155"/>
      <c r="G784" s="88"/>
      <c r="H784" s="155"/>
      <c r="I784" s="155"/>
      <c r="J784" s="155"/>
      <c r="K784" s="15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58"/>
      <c r="AA784" s="105"/>
      <c r="AB784" s="105"/>
      <c r="AC784" s="105"/>
      <c r="AD784" s="105"/>
      <c r="AE784" s="105"/>
      <c r="AF784" s="105"/>
      <c r="AG784" s="105"/>
      <c r="AH784" s="158"/>
      <c r="AI784" s="88"/>
      <c r="AJ784" s="88"/>
      <c r="AK784" s="131"/>
      <c r="AL784" s="131"/>
      <c r="AM784" s="131"/>
      <c r="AN784" s="131"/>
      <c r="AO784" s="131"/>
      <c r="AP784" s="88"/>
      <c r="AQ784" s="88"/>
    </row>
    <row r="785">
      <c r="A785" s="173"/>
      <c r="B785" s="173"/>
      <c r="C785" s="174"/>
      <c r="D785" s="173"/>
      <c r="E785" s="155"/>
      <c r="F785" s="155"/>
      <c r="G785" s="88"/>
      <c r="H785" s="155"/>
      <c r="I785" s="155"/>
      <c r="J785" s="155"/>
      <c r="K785" s="15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58"/>
      <c r="AA785" s="105"/>
      <c r="AB785" s="105"/>
      <c r="AC785" s="105"/>
      <c r="AD785" s="105"/>
      <c r="AE785" s="105"/>
      <c r="AF785" s="105"/>
      <c r="AG785" s="105"/>
      <c r="AH785" s="158"/>
      <c r="AI785" s="88"/>
      <c r="AJ785" s="88"/>
      <c r="AK785" s="131"/>
      <c r="AL785" s="131"/>
      <c r="AM785" s="131"/>
      <c r="AN785" s="131"/>
      <c r="AO785" s="131"/>
      <c r="AP785" s="88"/>
      <c r="AQ785" s="88"/>
    </row>
    <row r="786">
      <c r="A786" s="173"/>
      <c r="B786" s="173"/>
      <c r="C786" s="174"/>
      <c r="D786" s="173"/>
      <c r="E786" s="155"/>
      <c r="F786" s="155"/>
      <c r="G786" s="88"/>
      <c r="H786" s="155"/>
      <c r="I786" s="155"/>
      <c r="J786" s="155"/>
      <c r="K786" s="15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58"/>
      <c r="AA786" s="105"/>
      <c r="AB786" s="105"/>
      <c r="AC786" s="105"/>
      <c r="AD786" s="105"/>
      <c r="AE786" s="105"/>
      <c r="AF786" s="105"/>
      <c r="AG786" s="105"/>
      <c r="AH786" s="158"/>
      <c r="AI786" s="88"/>
      <c r="AJ786" s="88"/>
      <c r="AK786" s="131"/>
      <c r="AL786" s="131"/>
      <c r="AM786" s="131"/>
      <c r="AN786" s="131"/>
      <c r="AO786" s="131"/>
      <c r="AP786" s="88"/>
      <c r="AQ786" s="88"/>
    </row>
    <row r="787">
      <c r="A787" s="173"/>
      <c r="B787" s="173"/>
      <c r="C787" s="174"/>
      <c r="D787" s="173"/>
      <c r="E787" s="155"/>
      <c r="F787" s="155"/>
      <c r="G787" s="88"/>
      <c r="H787" s="155"/>
      <c r="I787" s="155"/>
      <c r="J787" s="155"/>
      <c r="K787" s="15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58"/>
      <c r="AA787" s="105"/>
      <c r="AB787" s="105"/>
      <c r="AC787" s="105"/>
      <c r="AD787" s="105"/>
      <c r="AE787" s="105"/>
      <c r="AF787" s="105"/>
      <c r="AG787" s="105"/>
      <c r="AH787" s="158"/>
      <c r="AI787" s="88"/>
      <c r="AJ787" s="88"/>
      <c r="AK787" s="131"/>
      <c r="AL787" s="131"/>
      <c r="AM787" s="131"/>
      <c r="AN787" s="131"/>
      <c r="AO787" s="131"/>
      <c r="AP787" s="88"/>
      <c r="AQ787" s="88"/>
    </row>
    <row r="788">
      <c r="A788" s="173"/>
      <c r="B788" s="173"/>
      <c r="C788" s="174"/>
      <c r="D788" s="173"/>
      <c r="E788" s="155"/>
      <c r="F788" s="155"/>
      <c r="G788" s="88"/>
      <c r="H788" s="155"/>
      <c r="I788" s="155"/>
      <c r="J788" s="155"/>
      <c r="K788" s="15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58"/>
      <c r="AA788" s="105"/>
      <c r="AB788" s="105"/>
      <c r="AC788" s="105"/>
      <c r="AD788" s="105"/>
      <c r="AE788" s="105"/>
      <c r="AF788" s="105"/>
      <c r="AG788" s="105"/>
      <c r="AH788" s="158"/>
      <c r="AI788" s="88"/>
      <c r="AJ788" s="88"/>
      <c r="AK788" s="131"/>
      <c r="AL788" s="131"/>
      <c r="AM788" s="131"/>
      <c r="AN788" s="131"/>
      <c r="AO788" s="131"/>
      <c r="AP788" s="88"/>
      <c r="AQ788" s="88"/>
    </row>
    <row r="789">
      <c r="A789" s="173"/>
      <c r="B789" s="173"/>
      <c r="C789" s="174"/>
      <c r="D789" s="173"/>
      <c r="E789" s="155"/>
      <c r="F789" s="155"/>
      <c r="G789" s="88"/>
      <c r="H789" s="155"/>
      <c r="I789" s="155"/>
      <c r="J789" s="155"/>
      <c r="K789" s="15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58"/>
      <c r="AA789" s="105"/>
      <c r="AB789" s="105"/>
      <c r="AC789" s="105"/>
      <c r="AD789" s="105"/>
      <c r="AE789" s="105"/>
      <c r="AF789" s="105"/>
      <c r="AG789" s="105"/>
      <c r="AH789" s="158"/>
      <c r="AI789" s="88"/>
      <c r="AJ789" s="88"/>
      <c r="AK789" s="131"/>
      <c r="AL789" s="131"/>
      <c r="AM789" s="131"/>
      <c r="AN789" s="131"/>
      <c r="AO789" s="131"/>
      <c r="AP789" s="88"/>
      <c r="AQ789" s="88"/>
    </row>
    <row r="790">
      <c r="A790" s="173"/>
      <c r="B790" s="173"/>
      <c r="C790" s="174"/>
      <c r="D790" s="173"/>
      <c r="E790" s="155"/>
      <c r="F790" s="155"/>
      <c r="G790" s="88"/>
      <c r="H790" s="155"/>
      <c r="I790" s="155"/>
      <c r="J790" s="155"/>
      <c r="K790" s="15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58"/>
      <c r="AA790" s="105"/>
      <c r="AB790" s="105"/>
      <c r="AC790" s="105"/>
      <c r="AD790" s="105"/>
      <c r="AE790" s="105"/>
      <c r="AF790" s="105"/>
      <c r="AG790" s="105"/>
      <c r="AH790" s="158"/>
      <c r="AI790" s="88"/>
      <c r="AJ790" s="88"/>
      <c r="AK790" s="131"/>
      <c r="AL790" s="131"/>
      <c r="AM790" s="131"/>
      <c r="AN790" s="131"/>
      <c r="AO790" s="131"/>
      <c r="AP790" s="88"/>
      <c r="AQ790" s="88"/>
    </row>
    <row r="791">
      <c r="A791" s="173"/>
      <c r="B791" s="173"/>
      <c r="C791" s="174"/>
      <c r="D791" s="173"/>
      <c r="E791" s="155"/>
      <c r="F791" s="155"/>
      <c r="G791" s="88"/>
      <c r="H791" s="155"/>
      <c r="I791" s="155"/>
      <c r="J791" s="155"/>
      <c r="K791" s="15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58"/>
      <c r="AA791" s="105"/>
      <c r="AB791" s="105"/>
      <c r="AC791" s="105"/>
      <c r="AD791" s="105"/>
      <c r="AE791" s="105"/>
      <c r="AF791" s="105"/>
      <c r="AG791" s="105"/>
      <c r="AH791" s="158"/>
      <c r="AI791" s="88"/>
      <c r="AJ791" s="88"/>
      <c r="AK791" s="131"/>
      <c r="AL791" s="131"/>
      <c r="AM791" s="131"/>
      <c r="AN791" s="131"/>
      <c r="AO791" s="131"/>
      <c r="AP791" s="88"/>
      <c r="AQ791" s="88"/>
    </row>
    <row r="792">
      <c r="A792" s="173"/>
      <c r="B792" s="173"/>
      <c r="C792" s="174"/>
      <c r="D792" s="173"/>
      <c r="E792" s="155"/>
      <c r="F792" s="155"/>
      <c r="G792" s="88"/>
      <c r="H792" s="155"/>
      <c r="I792" s="155"/>
      <c r="J792" s="155"/>
      <c r="K792" s="15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58"/>
      <c r="AA792" s="105"/>
      <c r="AB792" s="105"/>
      <c r="AC792" s="105"/>
      <c r="AD792" s="105"/>
      <c r="AE792" s="105"/>
      <c r="AF792" s="105"/>
      <c r="AG792" s="105"/>
      <c r="AH792" s="158"/>
      <c r="AI792" s="88"/>
      <c r="AJ792" s="88"/>
      <c r="AK792" s="131"/>
      <c r="AL792" s="131"/>
      <c r="AM792" s="131"/>
      <c r="AN792" s="131"/>
      <c r="AO792" s="131"/>
      <c r="AP792" s="88"/>
      <c r="AQ792" s="88"/>
    </row>
    <row r="793">
      <c r="A793" s="173"/>
      <c r="B793" s="173"/>
      <c r="C793" s="174"/>
      <c r="D793" s="173"/>
      <c r="E793" s="155"/>
      <c r="F793" s="155"/>
      <c r="G793" s="88"/>
      <c r="H793" s="155"/>
      <c r="I793" s="155"/>
      <c r="J793" s="155"/>
      <c r="K793" s="15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58"/>
      <c r="AA793" s="105"/>
      <c r="AB793" s="105"/>
      <c r="AC793" s="105"/>
      <c r="AD793" s="105"/>
      <c r="AE793" s="105"/>
      <c r="AF793" s="105"/>
      <c r="AG793" s="105"/>
      <c r="AH793" s="158"/>
      <c r="AI793" s="88"/>
      <c r="AJ793" s="88"/>
      <c r="AK793" s="131"/>
      <c r="AL793" s="131"/>
      <c r="AM793" s="131"/>
      <c r="AN793" s="131"/>
      <c r="AO793" s="131"/>
      <c r="AP793" s="88"/>
      <c r="AQ793" s="88"/>
    </row>
    <row r="794">
      <c r="A794" s="173"/>
      <c r="B794" s="173"/>
      <c r="C794" s="174"/>
      <c r="D794" s="173"/>
      <c r="E794" s="155"/>
      <c r="F794" s="155"/>
      <c r="G794" s="88"/>
      <c r="H794" s="155"/>
      <c r="I794" s="155"/>
      <c r="J794" s="155"/>
      <c r="K794" s="15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58"/>
      <c r="AA794" s="105"/>
      <c r="AB794" s="105"/>
      <c r="AC794" s="105"/>
      <c r="AD794" s="105"/>
      <c r="AE794" s="105"/>
      <c r="AF794" s="105"/>
      <c r="AG794" s="105"/>
      <c r="AH794" s="158"/>
      <c r="AI794" s="88"/>
      <c r="AJ794" s="88"/>
      <c r="AK794" s="131"/>
      <c r="AL794" s="131"/>
      <c r="AM794" s="131"/>
      <c r="AN794" s="131"/>
      <c r="AO794" s="131"/>
      <c r="AP794" s="88"/>
      <c r="AQ794" s="88"/>
    </row>
    <row r="795">
      <c r="A795" s="173"/>
      <c r="B795" s="173"/>
      <c r="C795" s="174"/>
      <c r="D795" s="173"/>
      <c r="E795" s="155"/>
      <c r="F795" s="155"/>
      <c r="G795" s="88"/>
      <c r="H795" s="155"/>
      <c r="I795" s="155"/>
      <c r="J795" s="155"/>
      <c r="K795" s="15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58"/>
      <c r="AA795" s="105"/>
      <c r="AB795" s="105"/>
      <c r="AC795" s="105"/>
      <c r="AD795" s="105"/>
      <c r="AE795" s="105"/>
      <c r="AF795" s="105"/>
      <c r="AG795" s="105"/>
      <c r="AH795" s="158"/>
      <c r="AI795" s="88"/>
      <c r="AJ795" s="88"/>
      <c r="AK795" s="131"/>
      <c r="AL795" s="131"/>
      <c r="AM795" s="131"/>
      <c r="AN795" s="131"/>
      <c r="AO795" s="131"/>
      <c r="AP795" s="88"/>
      <c r="AQ795" s="88"/>
    </row>
    <row r="796">
      <c r="A796" s="173"/>
      <c r="B796" s="173"/>
      <c r="C796" s="174"/>
      <c r="D796" s="173"/>
      <c r="E796" s="155"/>
      <c r="F796" s="155"/>
      <c r="G796" s="88"/>
      <c r="H796" s="155"/>
      <c r="I796" s="155"/>
      <c r="J796" s="155"/>
      <c r="K796" s="15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58"/>
      <c r="AA796" s="105"/>
      <c r="AB796" s="105"/>
      <c r="AC796" s="105"/>
      <c r="AD796" s="105"/>
      <c r="AE796" s="105"/>
      <c r="AF796" s="105"/>
      <c r="AG796" s="105"/>
      <c r="AH796" s="158"/>
      <c r="AI796" s="88"/>
      <c r="AJ796" s="88"/>
      <c r="AK796" s="131"/>
      <c r="AL796" s="131"/>
      <c r="AM796" s="131"/>
      <c r="AN796" s="131"/>
      <c r="AO796" s="131"/>
      <c r="AP796" s="88"/>
      <c r="AQ796" s="88"/>
    </row>
    <row r="797">
      <c r="A797" s="173"/>
      <c r="B797" s="173"/>
      <c r="C797" s="174"/>
      <c r="D797" s="173"/>
      <c r="E797" s="155"/>
      <c r="F797" s="155"/>
      <c r="G797" s="88"/>
      <c r="H797" s="155"/>
      <c r="I797" s="155"/>
      <c r="J797" s="155"/>
      <c r="K797" s="15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58"/>
      <c r="AA797" s="105"/>
      <c r="AB797" s="105"/>
      <c r="AC797" s="105"/>
      <c r="AD797" s="105"/>
      <c r="AE797" s="105"/>
      <c r="AF797" s="105"/>
      <c r="AG797" s="105"/>
      <c r="AH797" s="158"/>
      <c r="AI797" s="88"/>
      <c r="AJ797" s="88"/>
      <c r="AK797" s="131"/>
      <c r="AL797" s="131"/>
      <c r="AM797" s="131"/>
      <c r="AN797" s="131"/>
      <c r="AO797" s="131"/>
      <c r="AP797" s="88"/>
      <c r="AQ797" s="88"/>
    </row>
    <row r="798">
      <c r="A798" s="173"/>
      <c r="B798" s="173"/>
      <c r="C798" s="174"/>
      <c r="D798" s="173"/>
      <c r="E798" s="155"/>
      <c r="F798" s="155"/>
      <c r="G798" s="88"/>
      <c r="H798" s="155"/>
      <c r="I798" s="155"/>
      <c r="J798" s="155"/>
      <c r="K798" s="15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58"/>
      <c r="AA798" s="105"/>
      <c r="AB798" s="105"/>
      <c r="AC798" s="105"/>
      <c r="AD798" s="105"/>
      <c r="AE798" s="105"/>
      <c r="AF798" s="105"/>
      <c r="AG798" s="105"/>
      <c r="AH798" s="158"/>
      <c r="AI798" s="88"/>
      <c r="AJ798" s="88"/>
      <c r="AK798" s="131"/>
      <c r="AL798" s="131"/>
      <c r="AM798" s="131"/>
      <c r="AN798" s="131"/>
      <c r="AO798" s="131"/>
      <c r="AP798" s="88"/>
      <c r="AQ798" s="88"/>
    </row>
    <row r="799">
      <c r="A799" s="173"/>
      <c r="B799" s="173"/>
      <c r="C799" s="174"/>
      <c r="D799" s="173"/>
      <c r="E799" s="155"/>
      <c r="F799" s="155"/>
      <c r="G799" s="88"/>
      <c r="H799" s="155"/>
      <c r="I799" s="155"/>
      <c r="J799" s="155"/>
      <c r="K799" s="15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58"/>
      <c r="AA799" s="105"/>
      <c r="AB799" s="105"/>
      <c r="AC799" s="105"/>
      <c r="AD799" s="105"/>
      <c r="AE799" s="105"/>
      <c r="AF799" s="105"/>
      <c r="AG799" s="105"/>
      <c r="AH799" s="158"/>
      <c r="AI799" s="88"/>
      <c r="AJ799" s="88"/>
      <c r="AK799" s="131"/>
      <c r="AL799" s="131"/>
      <c r="AM799" s="131"/>
      <c r="AN799" s="131"/>
      <c r="AO799" s="131"/>
      <c r="AP799" s="88"/>
      <c r="AQ799" s="88"/>
    </row>
    <row r="800">
      <c r="A800" s="173"/>
      <c r="B800" s="173"/>
      <c r="C800" s="174"/>
      <c r="D800" s="173"/>
      <c r="E800" s="155"/>
      <c r="F800" s="155"/>
      <c r="G800" s="88"/>
      <c r="H800" s="155"/>
      <c r="I800" s="155"/>
      <c r="J800" s="155"/>
      <c r="K800" s="15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58"/>
      <c r="AA800" s="105"/>
      <c r="AB800" s="105"/>
      <c r="AC800" s="105"/>
      <c r="AD800" s="105"/>
      <c r="AE800" s="105"/>
      <c r="AF800" s="105"/>
      <c r="AG800" s="105"/>
      <c r="AH800" s="158"/>
      <c r="AI800" s="88"/>
      <c r="AJ800" s="88"/>
      <c r="AK800" s="131"/>
      <c r="AL800" s="131"/>
      <c r="AM800" s="131"/>
      <c r="AN800" s="131"/>
      <c r="AO800" s="131"/>
      <c r="AP800" s="88"/>
      <c r="AQ800" s="88"/>
    </row>
    <row r="801">
      <c r="A801" s="173"/>
      <c r="B801" s="173"/>
      <c r="C801" s="174"/>
      <c r="D801" s="173"/>
      <c r="E801" s="155"/>
      <c r="F801" s="155"/>
      <c r="G801" s="88"/>
      <c r="H801" s="155"/>
      <c r="I801" s="155"/>
      <c r="J801" s="155"/>
      <c r="K801" s="15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58"/>
      <c r="AA801" s="105"/>
      <c r="AB801" s="105"/>
      <c r="AC801" s="105"/>
      <c r="AD801" s="105"/>
      <c r="AE801" s="105"/>
      <c r="AF801" s="105"/>
      <c r="AG801" s="105"/>
      <c r="AH801" s="158"/>
      <c r="AI801" s="88"/>
      <c r="AJ801" s="88"/>
      <c r="AK801" s="131"/>
      <c r="AL801" s="131"/>
      <c r="AM801" s="131"/>
      <c r="AN801" s="131"/>
      <c r="AO801" s="131"/>
      <c r="AP801" s="88"/>
      <c r="AQ801" s="88"/>
    </row>
    <row r="802">
      <c r="A802" s="173"/>
      <c r="B802" s="173"/>
      <c r="C802" s="174"/>
      <c r="D802" s="173"/>
      <c r="E802" s="155"/>
      <c r="F802" s="155"/>
      <c r="G802" s="88"/>
      <c r="H802" s="155"/>
      <c r="I802" s="155"/>
      <c r="J802" s="155"/>
      <c r="K802" s="15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58"/>
      <c r="AA802" s="105"/>
      <c r="AB802" s="105"/>
      <c r="AC802" s="105"/>
      <c r="AD802" s="105"/>
      <c r="AE802" s="105"/>
      <c r="AF802" s="105"/>
      <c r="AG802" s="105"/>
      <c r="AH802" s="158"/>
      <c r="AI802" s="88"/>
      <c r="AJ802" s="88"/>
      <c r="AK802" s="131"/>
      <c r="AL802" s="131"/>
      <c r="AM802" s="131"/>
      <c r="AN802" s="131"/>
      <c r="AO802" s="131"/>
      <c r="AP802" s="88"/>
      <c r="AQ802" s="88"/>
    </row>
    <row r="803">
      <c r="A803" s="173"/>
      <c r="B803" s="173"/>
      <c r="C803" s="174"/>
      <c r="D803" s="173"/>
      <c r="E803" s="155"/>
      <c r="F803" s="155"/>
      <c r="G803" s="88"/>
      <c r="H803" s="155"/>
      <c r="I803" s="155"/>
      <c r="J803" s="155"/>
      <c r="K803" s="15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58"/>
      <c r="AA803" s="105"/>
      <c r="AB803" s="105"/>
      <c r="AC803" s="105"/>
      <c r="AD803" s="105"/>
      <c r="AE803" s="105"/>
      <c r="AF803" s="105"/>
      <c r="AG803" s="105"/>
      <c r="AH803" s="158"/>
      <c r="AI803" s="88"/>
      <c r="AJ803" s="88"/>
      <c r="AK803" s="131"/>
      <c r="AL803" s="131"/>
      <c r="AM803" s="131"/>
      <c r="AN803" s="131"/>
      <c r="AO803" s="131"/>
      <c r="AP803" s="88"/>
      <c r="AQ803" s="88"/>
    </row>
    <row r="804">
      <c r="A804" s="173"/>
      <c r="B804" s="173"/>
      <c r="C804" s="174"/>
      <c r="D804" s="173"/>
      <c r="E804" s="155"/>
      <c r="F804" s="155"/>
      <c r="G804" s="88"/>
      <c r="H804" s="155"/>
      <c r="I804" s="155"/>
      <c r="J804" s="155"/>
      <c r="K804" s="15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58"/>
      <c r="AA804" s="105"/>
      <c r="AB804" s="105"/>
      <c r="AC804" s="105"/>
      <c r="AD804" s="105"/>
      <c r="AE804" s="105"/>
      <c r="AF804" s="105"/>
      <c r="AG804" s="105"/>
      <c r="AH804" s="158"/>
      <c r="AI804" s="88"/>
      <c r="AJ804" s="88"/>
      <c r="AK804" s="131"/>
      <c r="AL804" s="131"/>
      <c r="AM804" s="131"/>
      <c r="AN804" s="131"/>
      <c r="AO804" s="131"/>
      <c r="AP804" s="88"/>
      <c r="AQ804" s="88"/>
    </row>
  </sheetData>
  <mergeCells count="12">
    <mergeCell ref="D1:D2"/>
    <mergeCell ref="B3:D3"/>
    <mergeCell ref="E3:G3"/>
    <mergeCell ref="B4:D4"/>
    <mergeCell ref="E4:G4"/>
    <mergeCell ref="F1:F2"/>
    <mergeCell ref="G1:G2"/>
    <mergeCell ref="H1:K1"/>
    <mergeCell ref="L1:O1"/>
    <mergeCell ref="P1:R1"/>
    <mergeCell ref="T1:Z1"/>
    <mergeCell ref="AA1:AH1"/>
  </mergeCells>
  <drawing r:id="rId2"/>
  <legacyDrawing r:id="rId3"/>
  <tableParts count="4">
    <tablePart r:id="rId8"/>
    <tablePart r:id="rId9"/>
    <tablePart r:id="rId10"/>
    <tablePart r:id="rId1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37.63"/>
  </cols>
  <sheetData>
    <row r="1">
      <c r="A1" s="175" t="s">
        <v>2711</v>
      </c>
      <c r="B1" s="175" t="s">
        <v>2712</v>
      </c>
      <c r="C1" s="175" t="s">
        <v>2713</v>
      </c>
      <c r="D1" s="175" t="s">
        <v>2714</v>
      </c>
      <c r="E1" s="175" t="s">
        <v>2715</v>
      </c>
      <c r="F1" s="175" t="s">
        <v>2716</v>
      </c>
      <c r="G1" s="175" t="s">
        <v>2717</v>
      </c>
      <c r="H1" s="175" t="s">
        <v>2718</v>
      </c>
      <c r="I1" s="176" t="s">
        <v>2719</v>
      </c>
    </row>
    <row r="2">
      <c r="A2" s="177" t="s">
        <v>2703</v>
      </c>
      <c r="B2" s="177" t="s">
        <v>2704</v>
      </c>
      <c r="C2" s="177" t="s">
        <v>379</v>
      </c>
      <c r="D2" s="177">
        <v>0.0</v>
      </c>
      <c r="E2" s="177">
        <v>0.0</v>
      </c>
      <c r="F2" s="177">
        <v>0.0</v>
      </c>
      <c r="G2" s="178">
        <v>0.0</v>
      </c>
      <c r="H2" s="177">
        <v>0.0</v>
      </c>
      <c r="I2" s="178">
        <v>0.0</v>
      </c>
    </row>
    <row r="3">
      <c r="A3" s="177" t="s">
        <v>2705</v>
      </c>
      <c r="B3" s="177" t="s">
        <v>2706</v>
      </c>
      <c r="C3" s="177" t="s">
        <v>1348</v>
      </c>
      <c r="D3" s="177">
        <v>0.0</v>
      </c>
      <c r="E3" s="177">
        <v>0.0</v>
      </c>
      <c r="F3" s="177">
        <v>0.0</v>
      </c>
      <c r="G3" s="178">
        <v>0.0</v>
      </c>
      <c r="H3" s="177">
        <v>0.0</v>
      </c>
      <c r="I3" s="178">
        <v>0.0</v>
      </c>
    </row>
    <row r="4">
      <c r="A4" s="177" t="s">
        <v>2707</v>
      </c>
      <c r="B4" s="177" t="s">
        <v>2708</v>
      </c>
      <c r="C4" s="177" t="s">
        <v>378</v>
      </c>
      <c r="D4" s="177">
        <v>0.0</v>
      </c>
      <c r="E4" s="177">
        <v>0.0</v>
      </c>
      <c r="F4" s="177">
        <v>0.0</v>
      </c>
      <c r="G4" s="178">
        <v>3.4482758620689653</v>
      </c>
      <c r="H4" s="177">
        <v>0.0</v>
      </c>
      <c r="I4" s="178">
        <v>0.0</v>
      </c>
    </row>
    <row r="5">
      <c r="A5" s="177" t="s">
        <v>2709</v>
      </c>
      <c r="B5" s="177" t="s">
        <v>2710</v>
      </c>
      <c r="C5" s="177" t="s">
        <v>380</v>
      </c>
      <c r="D5" s="177">
        <v>0.0</v>
      </c>
      <c r="E5" s="177">
        <v>0.0</v>
      </c>
      <c r="F5" s="177">
        <v>0.0</v>
      </c>
      <c r="G5" s="178">
        <v>27.586206896551722</v>
      </c>
      <c r="H5" s="177">
        <v>0.0</v>
      </c>
      <c r="I5" s="178">
        <v>0.0</v>
      </c>
    </row>
    <row r="6">
      <c r="A6" s="177" t="s">
        <v>2720</v>
      </c>
      <c r="B6" s="177" t="s">
        <v>2721</v>
      </c>
      <c r="C6" s="177" t="s">
        <v>636</v>
      </c>
      <c r="D6" s="177">
        <v>11.75</v>
      </c>
      <c r="E6" s="177">
        <v>7.5</v>
      </c>
      <c r="F6" s="177">
        <v>19.25</v>
      </c>
      <c r="G6" s="178">
        <v>76.92307692307692</v>
      </c>
      <c r="H6" s="177">
        <v>7.0</v>
      </c>
      <c r="I6" s="178">
        <v>26.25</v>
      </c>
    </row>
    <row r="7">
      <c r="A7" s="177" t="s">
        <v>2720</v>
      </c>
      <c r="B7" s="177" t="s">
        <v>2722</v>
      </c>
      <c r="C7" s="177" t="s">
        <v>1349</v>
      </c>
      <c r="D7" s="177">
        <v>0.0</v>
      </c>
      <c r="E7" s="177">
        <v>0.0</v>
      </c>
      <c r="F7" s="177">
        <v>0.0</v>
      </c>
      <c r="G7" s="178">
        <v>3.8461538461538463</v>
      </c>
      <c r="H7" s="177">
        <v>0.0</v>
      </c>
      <c r="I7" s="178">
        <v>0.0</v>
      </c>
    </row>
    <row r="8">
      <c r="A8" s="177" t="s">
        <v>1754</v>
      </c>
      <c r="B8" s="177" t="s">
        <v>2723</v>
      </c>
      <c r="C8" s="177" t="s">
        <v>883</v>
      </c>
      <c r="D8" s="177">
        <v>35.0</v>
      </c>
      <c r="E8" s="177">
        <v>19.5</v>
      </c>
      <c r="F8" s="177">
        <v>54.5</v>
      </c>
      <c r="G8" s="178">
        <v>0.0</v>
      </c>
      <c r="H8" s="177">
        <v>0.0</v>
      </c>
      <c r="I8" s="178">
        <v>54.5</v>
      </c>
    </row>
    <row r="9">
      <c r="A9" s="177" t="s">
        <v>1802</v>
      </c>
      <c r="B9" s="177" t="s">
        <v>2724</v>
      </c>
      <c r="C9" s="177" t="s">
        <v>884</v>
      </c>
      <c r="D9" s="177">
        <v>30.0</v>
      </c>
      <c r="E9" s="177">
        <v>24.5</v>
      </c>
      <c r="F9" s="177">
        <v>54.5</v>
      </c>
      <c r="G9" s="178">
        <v>60.869565217391305</v>
      </c>
      <c r="H9" s="177">
        <v>0.0</v>
      </c>
      <c r="I9" s="178">
        <v>54.5</v>
      </c>
    </row>
    <row r="10">
      <c r="A10" s="177" t="s">
        <v>1816</v>
      </c>
      <c r="B10" s="177" t="s">
        <v>2725</v>
      </c>
      <c r="C10" s="177" t="s">
        <v>885</v>
      </c>
      <c r="D10" s="177">
        <v>23.75</v>
      </c>
      <c r="E10" s="177">
        <v>23.5</v>
      </c>
      <c r="F10" s="177">
        <v>47.25</v>
      </c>
      <c r="G10" s="178">
        <v>78.26086956521739</v>
      </c>
      <c r="H10" s="177">
        <v>7.0</v>
      </c>
      <c r="I10" s="178">
        <v>54.25</v>
      </c>
    </row>
    <row r="11">
      <c r="A11" s="177" t="s">
        <v>1755</v>
      </c>
      <c r="B11" s="177" t="s">
        <v>2726</v>
      </c>
      <c r="C11" s="177" t="s">
        <v>886</v>
      </c>
      <c r="D11" s="177">
        <v>25.0</v>
      </c>
      <c r="E11" s="177">
        <v>39.5</v>
      </c>
      <c r="F11" s="177">
        <v>64.5</v>
      </c>
      <c r="G11" s="178">
        <v>26.08695652173913</v>
      </c>
      <c r="H11" s="177">
        <v>0.0</v>
      </c>
      <c r="I11" s="178">
        <v>64.5</v>
      </c>
    </row>
    <row r="12">
      <c r="A12" s="177" t="s">
        <v>1756</v>
      </c>
      <c r="B12" s="177" t="s">
        <v>2727</v>
      </c>
      <c r="C12" s="177" t="s">
        <v>887</v>
      </c>
      <c r="D12" s="177">
        <v>21.5</v>
      </c>
      <c r="E12" s="177">
        <v>22.25</v>
      </c>
      <c r="F12" s="177">
        <v>43.75</v>
      </c>
      <c r="G12" s="178">
        <v>86.95652173913044</v>
      </c>
      <c r="H12" s="177">
        <v>9.0</v>
      </c>
      <c r="I12" s="178">
        <v>52.75</v>
      </c>
    </row>
    <row r="13">
      <c r="A13" s="177" t="s">
        <v>1806</v>
      </c>
      <c r="B13" s="177" t="s">
        <v>2728</v>
      </c>
      <c r="C13" s="177" t="s">
        <v>888</v>
      </c>
      <c r="D13" s="177">
        <v>22.75</v>
      </c>
      <c r="E13" s="177">
        <v>0.0</v>
      </c>
      <c r="F13" s="177">
        <v>22.75</v>
      </c>
      <c r="G13" s="178">
        <v>30.434782608695652</v>
      </c>
      <c r="H13" s="177">
        <v>0.0</v>
      </c>
      <c r="I13" s="178">
        <v>22.75</v>
      </c>
    </row>
    <row r="14">
      <c r="A14" s="177" t="s">
        <v>65</v>
      </c>
      <c r="B14" s="177" t="s">
        <v>2729</v>
      </c>
      <c r="C14" s="177" t="s">
        <v>889</v>
      </c>
      <c r="D14" s="177">
        <v>0.0</v>
      </c>
      <c r="E14" s="177">
        <v>0.0</v>
      </c>
      <c r="F14" s="177">
        <v>0.0</v>
      </c>
      <c r="G14" s="178">
        <v>0.0</v>
      </c>
      <c r="H14" s="177">
        <v>0.0</v>
      </c>
      <c r="I14" s="178">
        <v>0.0</v>
      </c>
    </row>
    <row r="15">
      <c r="A15" s="177" t="s">
        <v>1815</v>
      </c>
      <c r="B15" s="177" t="s">
        <v>2730</v>
      </c>
      <c r="C15" s="177" t="s">
        <v>890</v>
      </c>
      <c r="D15" s="177">
        <v>36.25</v>
      </c>
      <c r="E15" s="177">
        <v>29.5</v>
      </c>
      <c r="F15" s="177">
        <v>65.75</v>
      </c>
      <c r="G15" s="178">
        <v>78.26086956521739</v>
      </c>
      <c r="H15" s="177">
        <v>7.0</v>
      </c>
      <c r="I15" s="178">
        <v>72.75</v>
      </c>
    </row>
    <row r="16">
      <c r="A16" s="177" t="s">
        <v>1882</v>
      </c>
      <c r="B16" s="177" t="s">
        <v>2731</v>
      </c>
      <c r="C16" s="177" t="s">
        <v>891</v>
      </c>
      <c r="D16" s="177">
        <v>30.0</v>
      </c>
      <c r="E16" s="177">
        <v>27.75</v>
      </c>
      <c r="F16" s="177">
        <v>57.75</v>
      </c>
      <c r="G16" s="178">
        <v>78.26086956521739</v>
      </c>
      <c r="H16" s="177">
        <v>7.0</v>
      </c>
      <c r="I16" s="178">
        <v>64.75</v>
      </c>
    </row>
    <row r="17">
      <c r="A17" s="177" t="s">
        <v>1817</v>
      </c>
      <c r="B17" s="177" t="s">
        <v>2732</v>
      </c>
      <c r="C17" s="177" t="s">
        <v>892</v>
      </c>
      <c r="D17" s="177">
        <v>0.0</v>
      </c>
      <c r="E17" s="177">
        <v>0.0</v>
      </c>
      <c r="F17" s="177">
        <v>0.0</v>
      </c>
      <c r="G17" s="178">
        <v>13.043478260869565</v>
      </c>
      <c r="H17" s="177">
        <v>0.0</v>
      </c>
      <c r="I17" s="178">
        <v>0.0</v>
      </c>
    </row>
    <row r="18">
      <c r="A18" s="177" t="s">
        <v>1757</v>
      </c>
      <c r="B18" s="177" t="s">
        <v>2733</v>
      </c>
      <c r="C18" s="177" t="s">
        <v>893</v>
      </c>
      <c r="D18" s="177">
        <v>27.5</v>
      </c>
      <c r="E18" s="177">
        <v>22.5</v>
      </c>
      <c r="F18" s="177">
        <v>50.0</v>
      </c>
      <c r="G18" s="178">
        <v>26.08695652173913</v>
      </c>
      <c r="H18" s="177">
        <v>0.0</v>
      </c>
      <c r="I18" s="178">
        <v>50.0</v>
      </c>
    </row>
    <row r="19">
      <c r="A19" s="177" t="s">
        <v>1758</v>
      </c>
      <c r="B19" s="177" t="s">
        <v>2734</v>
      </c>
      <c r="C19" s="177" t="s">
        <v>894</v>
      </c>
      <c r="D19" s="177">
        <v>27.5</v>
      </c>
      <c r="E19" s="177">
        <v>20.5</v>
      </c>
      <c r="F19" s="177">
        <v>48.0</v>
      </c>
      <c r="G19" s="178">
        <v>91.30434782608695</v>
      </c>
      <c r="H19" s="177">
        <v>10.0</v>
      </c>
      <c r="I19" s="178">
        <v>58.0</v>
      </c>
    </row>
    <row r="20">
      <c r="A20" s="177" t="s">
        <v>1759</v>
      </c>
      <c r="B20" s="177" t="s">
        <v>2735</v>
      </c>
      <c r="C20" s="177" t="s">
        <v>895</v>
      </c>
      <c r="D20" s="177">
        <v>26.5</v>
      </c>
      <c r="E20" s="177">
        <v>23.5</v>
      </c>
      <c r="F20" s="177">
        <v>50.0</v>
      </c>
      <c r="G20" s="178">
        <v>21.73913043478261</v>
      </c>
      <c r="H20" s="177">
        <v>0.0</v>
      </c>
      <c r="I20" s="178">
        <v>50.0</v>
      </c>
    </row>
    <row r="21">
      <c r="A21" s="177" t="s">
        <v>1789</v>
      </c>
      <c r="B21" s="177" t="s">
        <v>2736</v>
      </c>
      <c r="C21" s="177" t="s">
        <v>896</v>
      </c>
      <c r="D21" s="177">
        <v>0.0</v>
      </c>
      <c r="E21" s="177">
        <v>0.0</v>
      </c>
      <c r="F21" s="177">
        <v>0.0</v>
      </c>
      <c r="G21" s="178">
        <v>4.3478260869565215</v>
      </c>
      <c r="H21" s="177">
        <v>0.0</v>
      </c>
      <c r="I21" s="178">
        <v>0.0</v>
      </c>
    </row>
    <row r="22">
      <c r="A22" s="177" t="s">
        <v>1883</v>
      </c>
      <c r="B22" s="177" t="s">
        <v>2737</v>
      </c>
      <c r="C22" s="177" t="s">
        <v>897</v>
      </c>
      <c r="D22" s="177">
        <v>27.0</v>
      </c>
      <c r="E22" s="177">
        <v>30.0</v>
      </c>
      <c r="F22" s="177">
        <v>57.0</v>
      </c>
      <c r="G22" s="178">
        <v>65.21739130434783</v>
      </c>
      <c r="H22" s="177">
        <v>0.0</v>
      </c>
      <c r="I22" s="178">
        <v>57.0</v>
      </c>
    </row>
    <row r="23">
      <c r="A23" s="177" t="s">
        <v>1795</v>
      </c>
      <c r="B23" s="177" t="s">
        <v>2738</v>
      </c>
      <c r="C23" s="177" t="s">
        <v>898</v>
      </c>
      <c r="D23" s="177">
        <v>0.0</v>
      </c>
      <c r="E23" s="177">
        <v>0.0</v>
      </c>
      <c r="F23" s="177">
        <v>0.0</v>
      </c>
      <c r="G23" s="178">
        <v>0.0</v>
      </c>
      <c r="H23" s="177">
        <v>0.0</v>
      </c>
      <c r="I23" s="178">
        <v>0.0</v>
      </c>
    </row>
    <row r="24">
      <c r="A24" s="177" t="s">
        <v>1760</v>
      </c>
      <c r="B24" s="177" t="s">
        <v>2739</v>
      </c>
      <c r="C24" s="177" t="s">
        <v>899</v>
      </c>
      <c r="D24" s="177">
        <v>22.0</v>
      </c>
      <c r="E24" s="177">
        <v>31.25</v>
      </c>
      <c r="F24" s="177">
        <v>53.25</v>
      </c>
      <c r="G24" s="178">
        <v>69.56521739130434</v>
      </c>
      <c r="H24" s="177">
        <v>6.0</v>
      </c>
      <c r="I24" s="178">
        <v>59.25</v>
      </c>
    </row>
    <row r="25">
      <c r="A25" s="177" t="s">
        <v>123</v>
      </c>
      <c r="B25" s="177" t="s">
        <v>2740</v>
      </c>
      <c r="C25" s="177" t="s">
        <v>900</v>
      </c>
      <c r="D25" s="177">
        <v>24.75</v>
      </c>
      <c r="E25" s="177">
        <v>20.5</v>
      </c>
      <c r="F25" s="177">
        <v>45.25</v>
      </c>
      <c r="G25" s="178">
        <v>26.08695652173913</v>
      </c>
      <c r="H25" s="177">
        <v>0.0</v>
      </c>
      <c r="I25" s="178">
        <v>45.25</v>
      </c>
    </row>
    <row r="26">
      <c r="A26" s="177" t="s">
        <v>1798</v>
      </c>
      <c r="B26" s="177" t="s">
        <v>2741</v>
      </c>
      <c r="C26" s="177" t="s">
        <v>901</v>
      </c>
      <c r="D26" s="177">
        <v>22.0</v>
      </c>
      <c r="E26" s="177">
        <v>19.75</v>
      </c>
      <c r="F26" s="177">
        <v>41.75</v>
      </c>
      <c r="G26" s="178">
        <v>65.21739130434783</v>
      </c>
      <c r="H26" s="177">
        <v>0.0</v>
      </c>
      <c r="I26" s="178">
        <v>41.75</v>
      </c>
    </row>
    <row r="27">
      <c r="A27" s="177" t="s">
        <v>1761</v>
      </c>
      <c r="B27" s="177" t="s">
        <v>2742</v>
      </c>
      <c r="C27" s="177" t="s">
        <v>902</v>
      </c>
      <c r="D27" s="177">
        <v>13.25</v>
      </c>
      <c r="E27" s="177">
        <v>22.5</v>
      </c>
      <c r="F27" s="177">
        <v>35.75</v>
      </c>
      <c r="G27" s="178">
        <v>95.65217391304348</v>
      </c>
      <c r="H27" s="177">
        <v>10.0</v>
      </c>
      <c r="I27" s="178">
        <v>45.75</v>
      </c>
    </row>
    <row r="28">
      <c r="A28" s="177" t="s">
        <v>1762</v>
      </c>
      <c r="B28" s="177" t="s">
        <v>2743</v>
      </c>
      <c r="C28" s="177" t="s">
        <v>903</v>
      </c>
      <c r="D28" s="177">
        <v>0.0</v>
      </c>
      <c r="E28" s="177">
        <v>0.0</v>
      </c>
      <c r="F28" s="177">
        <v>0.0</v>
      </c>
      <c r="G28" s="178">
        <v>4.3478260869565215</v>
      </c>
      <c r="H28" s="177">
        <v>0.0</v>
      </c>
      <c r="I28" s="178">
        <v>0.0</v>
      </c>
    </row>
    <row r="29">
      <c r="A29" s="177" t="s">
        <v>1763</v>
      </c>
      <c r="B29" s="177" t="s">
        <v>2744</v>
      </c>
      <c r="C29" s="177" t="s">
        <v>904</v>
      </c>
      <c r="D29" s="177">
        <v>0.0</v>
      </c>
      <c r="E29" s="177">
        <v>0.0</v>
      </c>
      <c r="F29" s="177">
        <v>0.0</v>
      </c>
      <c r="G29" s="178">
        <v>34.78260869565217</v>
      </c>
      <c r="H29" s="177">
        <v>0.0</v>
      </c>
      <c r="I29" s="178">
        <v>0.0</v>
      </c>
    </row>
    <row r="30">
      <c r="A30" s="177" t="s">
        <v>1807</v>
      </c>
      <c r="B30" s="177" t="s">
        <v>2745</v>
      </c>
      <c r="C30" s="177" t="s">
        <v>905</v>
      </c>
      <c r="D30" s="177">
        <v>36.25</v>
      </c>
      <c r="E30" s="177">
        <v>11.75</v>
      </c>
      <c r="F30" s="177">
        <v>48.0</v>
      </c>
      <c r="G30" s="178">
        <v>86.95652173913044</v>
      </c>
      <c r="H30" s="177">
        <v>9.0</v>
      </c>
      <c r="I30" s="178">
        <v>57.0</v>
      </c>
    </row>
    <row r="31">
      <c r="A31" s="177" t="s">
        <v>1764</v>
      </c>
      <c r="B31" s="177" t="s">
        <v>2746</v>
      </c>
      <c r="C31" s="177" t="s">
        <v>906</v>
      </c>
      <c r="D31" s="177">
        <v>25.75</v>
      </c>
      <c r="E31" s="177">
        <v>16.0</v>
      </c>
      <c r="F31" s="177">
        <v>41.75</v>
      </c>
      <c r="G31" s="178">
        <v>86.95652173913044</v>
      </c>
      <c r="H31" s="177">
        <v>9.0</v>
      </c>
      <c r="I31" s="178">
        <v>50.75</v>
      </c>
    </row>
    <row r="32">
      <c r="A32" s="177" t="s">
        <v>1765</v>
      </c>
      <c r="B32" s="177" t="s">
        <v>2747</v>
      </c>
      <c r="C32" s="177" t="s">
        <v>907</v>
      </c>
      <c r="D32" s="177">
        <v>29.75</v>
      </c>
      <c r="E32" s="177">
        <v>13.0</v>
      </c>
      <c r="F32" s="177">
        <v>42.75</v>
      </c>
      <c r="G32" s="178">
        <v>91.30434782608695</v>
      </c>
      <c r="H32" s="177">
        <v>10.0</v>
      </c>
      <c r="I32" s="178">
        <v>52.75</v>
      </c>
    </row>
    <row r="33">
      <c r="A33" s="177" t="s">
        <v>1796</v>
      </c>
      <c r="B33" s="177" t="s">
        <v>2748</v>
      </c>
      <c r="C33" s="177" t="s">
        <v>908</v>
      </c>
      <c r="D33" s="177">
        <v>0.0</v>
      </c>
      <c r="E33" s="177">
        <v>0.0</v>
      </c>
      <c r="F33" s="177">
        <v>0.0</v>
      </c>
      <c r="G33" s="178">
        <v>4.3478260869565215</v>
      </c>
      <c r="H33" s="177">
        <v>0.0</v>
      </c>
      <c r="I33" s="178">
        <v>0.0</v>
      </c>
    </row>
    <row r="34">
      <c r="A34" s="177" t="s">
        <v>1766</v>
      </c>
      <c r="B34" s="177" t="s">
        <v>2749</v>
      </c>
      <c r="C34" s="177" t="s">
        <v>909</v>
      </c>
      <c r="D34" s="177">
        <v>22.5</v>
      </c>
      <c r="E34" s="177">
        <v>15.75</v>
      </c>
      <c r="F34" s="177">
        <v>38.25</v>
      </c>
      <c r="G34" s="178">
        <v>43.47826086956522</v>
      </c>
      <c r="H34" s="177">
        <v>0.0</v>
      </c>
      <c r="I34" s="178">
        <v>38.25</v>
      </c>
    </row>
    <row r="35">
      <c r="A35" s="177" t="s">
        <v>31</v>
      </c>
      <c r="B35" s="177" t="s">
        <v>2750</v>
      </c>
      <c r="C35" s="177" t="s">
        <v>910</v>
      </c>
      <c r="D35" s="177">
        <v>36.25</v>
      </c>
      <c r="E35" s="177">
        <v>14.5</v>
      </c>
      <c r="F35" s="177">
        <v>50.75</v>
      </c>
      <c r="G35" s="178">
        <v>60.869565217391305</v>
      </c>
      <c r="H35" s="177">
        <v>0.0</v>
      </c>
      <c r="I35" s="178">
        <v>50.75</v>
      </c>
    </row>
    <row r="36">
      <c r="A36" s="177" t="s">
        <v>1767</v>
      </c>
      <c r="B36" s="177" t="s">
        <v>2751</v>
      </c>
      <c r="C36" s="177" t="s">
        <v>911</v>
      </c>
      <c r="D36" s="177">
        <v>4.0</v>
      </c>
      <c r="E36" s="177">
        <v>0.0</v>
      </c>
      <c r="F36" s="177">
        <v>4.0</v>
      </c>
      <c r="G36" s="178">
        <v>56.52173913043478</v>
      </c>
      <c r="H36" s="177">
        <v>0.0</v>
      </c>
      <c r="I36" s="178">
        <v>4.0</v>
      </c>
    </row>
    <row r="37">
      <c r="A37" s="177" t="s">
        <v>1872</v>
      </c>
      <c r="B37" s="177" t="s">
        <v>2752</v>
      </c>
      <c r="C37" s="177" t="s">
        <v>912</v>
      </c>
      <c r="D37" s="177">
        <v>32.75</v>
      </c>
      <c r="E37" s="177">
        <v>0.0</v>
      </c>
      <c r="F37" s="177">
        <v>32.75</v>
      </c>
      <c r="G37" s="178">
        <v>56.52173913043478</v>
      </c>
      <c r="H37" s="177">
        <v>0.0</v>
      </c>
      <c r="I37" s="178">
        <v>32.75</v>
      </c>
    </row>
    <row r="38">
      <c r="A38" s="177" t="s">
        <v>1810</v>
      </c>
      <c r="B38" s="177" t="s">
        <v>2753</v>
      </c>
      <c r="C38" s="177" t="s">
        <v>913</v>
      </c>
      <c r="D38" s="177">
        <v>10.0</v>
      </c>
      <c r="E38" s="177">
        <v>0.0</v>
      </c>
      <c r="F38" s="177">
        <v>10.0</v>
      </c>
      <c r="G38" s="178">
        <v>52.17391304347826</v>
      </c>
      <c r="H38" s="177">
        <v>0.0</v>
      </c>
      <c r="I38" s="178">
        <v>10.0</v>
      </c>
    </row>
    <row r="39">
      <c r="A39" s="177" t="s">
        <v>1768</v>
      </c>
      <c r="B39" s="177" t="s">
        <v>2754</v>
      </c>
      <c r="C39" s="177" t="s">
        <v>914</v>
      </c>
      <c r="D39" s="177">
        <v>37.5</v>
      </c>
      <c r="E39" s="177">
        <v>11.25</v>
      </c>
      <c r="F39" s="177">
        <v>48.75</v>
      </c>
      <c r="G39" s="178">
        <v>86.95652173913044</v>
      </c>
      <c r="H39" s="177">
        <v>9.0</v>
      </c>
      <c r="I39" s="178">
        <v>57.75</v>
      </c>
    </row>
    <row r="40">
      <c r="A40" s="177" t="s">
        <v>1769</v>
      </c>
      <c r="B40" s="177" t="s">
        <v>2755</v>
      </c>
      <c r="C40" s="177" t="s">
        <v>915</v>
      </c>
      <c r="D40" s="177">
        <v>37.5</v>
      </c>
      <c r="E40" s="177">
        <v>15.75</v>
      </c>
      <c r="F40" s="177">
        <v>53.25</v>
      </c>
      <c r="G40" s="178">
        <v>78.26086956521739</v>
      </c>
      <c r="H40" s="177">
        <v>7.0</v>
      </c>
      <c r="I40" s="178">
        <v>60.25</v>
      </c>
    </row>
    <row r="41">
      <c r="A41" s="177" t="s">
        <v>1770</v>
      </c>
      <c r="B41" s="177" t="s">
        <v>2756</v>
      </c>
      <c r="C41" s="177" t="s">
        <v>916</v>
      </c>
      <c r="D41" s="177">
        <v>36.5</v>
      </c>
      <c r="E41" s="177">
        <v>7.75</v>
      </c>
      <c r="F41" s="177">
        <v>44.25</v>
      </c>
      <c r="G41" s="178">
        <v>91.30434782608695</v>
      </c>
      <c r="H41" s="177">
        <v>10.0</v>
      </c>
      <c r="I41" s="178">
        <v>54.25</v>
      </c>
    </row>
    <row r="42">
      <c r="A42" s="177" t="s">
        <v>1797</v>
      </c>
      <c r="B42" s="177" t="s">
        <v>2757</v>
      </c>
      <c r="C42" s="177" t="s">
        <v>917</v>
      </c>
      <c r="D42" s="177">
        <v>15.25</v>
      </c>
      <c r="E42" s="177">
        <v>18.0</v>
      </c>
      <c r="F42" s="177">
        <v>33.25</v>
      </c>
      <c r="G42" s="178">
        <v>73.91304347826087</v>
      </c>
      <c r="H42" s="177">
        <v>6.0</v>
      </c>
      <c r="I42" s="178">
        <v>39.25</v>
      </c>
    </row>
    <row r="43">
      <c r="A43" s="177" t="s">
        <v>1771</v>
      </c>
      <c r="B43" s="177" t="s">
        <v>2758</v>
      </c>
      <c r="C43" s="177" t="s">
        <v>918</v>
      </c>
      <c r="D43" s="177">
        <v>33.75</v>
      </c>
      <c r="E43" s="177">
        <v>11.25</v>
      </c>
      <c r="F43" s="177">
        <v>45.0</v>
      </c>
      <c r="G43" s="178">
        <v>82.6086956521739</v>
      </c>
      <c r="H43" s="177">
        <v>8.0</v>
      </c>
      <c r="I43" s="178">
        <v>53.0</v>
      </c>
    </row>
    <row r="44">
      <c r="A44" s="177" t="s">
        <v>1772</v>
      </c>
      <c r="B44" s="177" t="s">
        <v>2759</v>
      </c>
      <c r="C44" s="177" t="s">
        <v>919</v>
      </c>
      <c r="D44" s="177">
        <v>21.5</v>
      </c>
      <c r="E44" s="177" t="s">
        <v>2491</v>
      </c>
      <c r="F44" s="177" t="s">
        <v>2491</v>
      </c>
      <c r="G44" s="178">
        <v>100.0</v>
      </c>
      <c r="H44" s="177">
        <v>10.0</v>
      </c>
      <c r="I44" s="179">
        <v>0.0</v>
      </c>
    </row>
    <row r="45">
      <c r="A45" s="177" t="s">
        <v>1773</v>
      </c>
      <c r="B45" s="177" t="s">
        <v>2760</v>
      </c>
      <c r="C45" s="177" t="s">
        <v>920</v>
      </c>
      <c r="D45" s="177">
        <v>15.75</v>
      </c>
      <c r="E45" s="177" t="s">
        <v>2491</v>
      </c>
      <c r="F45" s="177" t="s">
        <v>2491</v>
      </c>
      <c r="G45" s="178">
        <v>95.65217391304348</v>
      </c>
      <c r="H45" s="177">
        <v>10.0</v>
      </c>
      <c r="I45" s="179">
        <v>0.0</v>
      </c>
    </row>
    <row r="46">
      <c r="A46" s="177" t="s">
        <v>1774</v>
      </c>
      <c r="B46" s="177" t="s">
        <v>2761</v>
      </c>
      <c r="C46" s="177" t="s">
        <v>921</v>
      </c>
      <c r="D46" s="177">
        <v>22.25</v>
      </c>
      <c r="E46" s="177">
        <v>15.5</v>
      </c>
      <c r="F46" s="177">
        <v>37.75</v>
      </c>
      <c r="G46" s="178">
        <v>86.95652173913044</v>
      </c>
      <c r="H46" s="177">
        <v>9.0</v>
      </c>
      <c r="I46" s="178">
        <v>46.75</v>
      </c>
    </row>
    <row r="47">
      <c r="A47" s="177" t="s">
        <v>1775</v>
      </c>
      <c r="B47" s="177" t="s">
        <v>2762</v>
      </c>
      <c r="C47" s="177" t="s">
        <v>922</v>
      </c>
      <c r="D47" s="177">
        <v>28.75</v>
      </c>
      <c r="E47" s="177">
        <v>24.5</v>
      </c>
      <c r="F47" s="177">
        <v>53.25</v>
      </c>
      <c r="G47" s="178">
        <v>78.26086956521739</v>
      </c>
      <c r="H47" s="177">
        <v>7.0</v>
      </c>
      <c r="I47" s="178">
        <v>60.25</v>
      </c>
    </row>
    <row r="48">
      <c r="A48" s="177" t="s">
        <v>1800</v>
      </c>
      <c r="B48" s="177" t="s">
        <v>2763</v>
      </c>
      <c r="C48" s="177" t="s">
        <v>923</v>
      </c>
      <c r="D48" s="177">
        <v>29.0</v>
      </c>
      <c r="E48" s="177">
        <v>27.5</v>
      </c>
      <c r="F48" s="177">
        <v>56.5</v>
      </c>
      <c r="G48" s="178">
        <v>86.95652173913044</v>
      </c>
      <c r="H48" s="177">
        <v>9.0</v>
      </c>
      <c r="I48" s="178">
        <v>65.5</v>
      </c>
    </row>
    <row r="49">
      <c r="A49" s="177" t="s">
        <v>1790</v>
      </c>
      <c r="B49" s="177" t="s">
        <v>2764</v>
      </c>
      <c r="C49" s="177" t="s">
        <v>924</v>
      </c>
      <c r="D49" s="177">
        <v>8.75</v>
      </c>
      <c r="E49" s="177">
        <v>0.0</v>
      </c>
      <c r="F49" s="177">
        <v>8.75</v>
      </c>
      <c r="G49" s="178">
        <v>52.17391304347826</v>
      </c>
      <c r="H49" s="177">
        <v>0.0</v>
      </c>
      <c r="I49" s="178">
        <v>8.75</v>
      </c>
    </row>
    <row r="50">
      <c r="A50" s="177" t="s">
        <v>1776</v>
      </c>
      <c r="B50" s="177" t="s">
        <v>2765</v>
      </c>
      <c r="C50" s="177" t="s">
        <v>925</v>
      </c>
      <c r="D50" s="177">
        <v>22.0</v>
      </c>
      <c r="E50" s="177">
        <v>14.0</v>
      </c>
      <c r="F50" s="177">
        <v>36.0</v>
      </c>
      <c r="G50" s="178">
        <v>60.869565217391305</v>
      </c>
      <c r="H50" s="177">
        <v>0.0</v>
      </c>
      <c r="I50" s="178">
        <v>36.0</v>
      </c>
    </row>
    <row r="51">
      <c r="A51" s="177" t="s">
        <v>1818</v>
      </c>
      <c r="B51" s="177" t="s">
        <v>2766</v>
      </c>
      <c r="C51" s="177" t="s">
        <v>926</v>
      </c>
      <c r="D51" s="177">
        <v>25.75</v>
      </c>
      <c r="E51" s="177">
        <v>17.25</v>
      </c>
      <c r="F51" s="177">
        <v>43.0</v>
      </c>
      <c r="G51" s="178">
        <v>86.95652173913044</v>
      </c>
      <c r="H51" s="177">
        <v>9.0</v>
      </c>
      <c r="I51" s="178">
        <v>52.0</v>
      </c>
    </row>
    <row r="52">
      <c r="A52" s="177" t="s">
        <v>1791</v>
      </c>
      <c r="B52" s="177" t="s">
        <v>2767</v>
      </c>
      <c r="C52" s="177" t="s">
        <v>927</v>
      </c>
      <c r="D52" s="177">
        <v>21.25</v>
      </c>
      <c r="E52" s="177">
        <v>12.0</v>
      </c>
      <c r="F52" s="177">
        <v>33.25</v>
      </c>
      <c r="G52" s="178">
        <v>91.30434782608695</v>
      </c>
      <c r="H52" s="177">
        <v>10.0</v>
      </c>
      <c r="I52" s="178">
        <v>43.25</v>
      </c>
    </row>
    <row r="53">
      <c r="A53" s="177" t="s">
        <v>1878</v>
      </c>
      <c r="B53" s="177" t="s">
        <v>2768</v>
      </c>
      <c r="C53" s="177" t="s">
        <v>928</v>
      </c>
      <c r="D53" s="177">
        <v>7.5</v>
      </c>
      <c r="E53" s="177">
        <v>0.0</v>
      </c>
      <c r="F53" s="177">
        <v>7.5</v>
      </c>
      <c r="G53" s="178">
        <v>40.74074074074074</v>
      </c>
      <c r="H53" s="177">
        <v>0.0</v>
      </c>
      <c r="I53" s="178">
        <v>7.5</v>
      </c>
    </row>
    <row r="54">
      <c r="A54" s="177" t="s">
        <v>1813</v>
      </c>
      <c r="B54" s="177" t="s">
        <v>2769</v>
      </c>
      <c r="C54" s="177" t="s">
        <v>929</v>
      </c>
      <c r="D54" s="177">
        <v>11.25</v>
      </c>
      <c r="E54" s="177">
        <v>22.0</v>
      </c>
      <c r="F54" s="177">
        <v>33.25</v>
      </c>
      <c r="G54" s="178">
        <v>82.6086956521739</v>
      </c>
      <c r="H54" s="177">
        <v>8.0</v>
      </c>
      <c r="I54" s="178">
        <v>41.25</v>
      </c>
    </row>
    <row r="55">
      <c r="A55" s="177" t="s">
        <v>1777</v>
      </c>
      <c r="B55" s="177" t="s">
        <v>2770</v>
      </c>
      <c r="C55" s="177" t="s">
        <v>930</v>
      </c>
      <c r="D55" s="177">
        <v>8.75</v>
      </c>
      <c r="E55" s="177">
        <v>0.0</v>
      </c>
      <c r="F55" s="177">
        <v>8.75</v>
      </c>
      <c r="G55" s="178">
        <v>30.434782608695652</v>
      </c>
      <c r="H55" s="177">
        <v>0.0</v>
      </c>
      <c r="I55" s="178">
        <v>8.75</v>
      </c>
    </row>
    <row r="56">
      <c r="A56" s="177" t="s">
        <v>1811</v>
      </c>
      <c r="B56" s="177" t="s">
        <v>2771</v>
      </c>
      <c r="C56" s="177" t="s">
        <v>931</v>
      </c>
      <c r="D56" s="177">
        <v>35.0</v>
      </c>
      <c r="E56" s="177">
        <v>20.0</v>
      </c>
      <c r="F56" s="177">
        <v>55.0</v>
      </c>
      <c r="G56" s="178">
        <v>82.6086956521739</v>
      </c>
      <c r="H56" s="177">
        <v>8.0</v>
      </c>
      <c r="I56" s="178">
        <v>63.0</v>
      </c>
    </row>
    <row r="57">
      <c r="A57" s="177" t="s">
        <v>1778</v>
      </c>
      <c r="B57" s="177" t="s">
        <v>2772</v>
      </c>
      <c r="C57" s="177" t="s">
        <v>932</v>
      </c>
      <c r="D57" s="177">
        <v>3.0</v>
      </c>
      <c r="E57" s="177">
        <v>22.0</v>
      </c>
      <c r="F57" s="177">
        <v>25.0</v>
      </c>
      <c r="G57" s="178">
        <v>95.65217391304348</v>
      </c>
      <c r="H57" s="177">
        <v>10.0</v>
      </c>
      <c r="I57" s="178">
        <v>35.0</v>
      </c>
    </row>
    <row r="58">
      <c r="A58" s="177" t="s">
        <v>1805</v>
      </c>
      <c r="B58" s="177" t="s">
        <v>2773</v>
      </c>
      <c r="C58" s="177" t="s">
        <v>933</v>
      </c>
      <c r="D58" s="177">
        <v>16.25</v>
      </c>
      <c r="E58" s="177">
        <v>24.75</v>
      </c>
      <c r="F58" s="177">
        <v>41.0</v>
      </c>
      <c r="G58" s="178">
        <v>86.95652173913044</v>
      </c>
      <c r="H58" s="177">
        <v>9.0</v>
      </c>
      <c r="I58" s="178">
        <v>50.0</v>
      </c>
    </row>
    <row r="59">
      <c r="A59" s="177" t="s">
        <v>1779</v>
      </c>
      <c r="B59" s="177" t="s">
        <v>2774</v>
      </c>
      <c r="C59" s="177" t="s">
        <v>934</v>
      </c>
      <c r="D59" s="177">
        <v>0.0</v>
      </c>
      <c r="E59" s="177">
        <v>0.0</v>
      </c>
      <c r="F59" s="177">
        <v>0.0</v>
      </c>
      <c r="G59" s="178">
        <v>13.043478260869565</v>
      </c>
      <c r="H59" s="177">
        <v>0.0</v>
      </c>
      <c r="I59" s="178">
        <v>0.0</v>
      </c>
    </row>
    <row r="60">
      <c r="A60" s="177" t="s">
        <v>1804</v>
      </c>
      <c r="B60" s="177" t="s">
        <v>2775</v>
      </c>
      <c r="C60" s="177" t="s">
        <v>935</v>
      </c>
      <c r="D60" s="177">
        <v>0.0</v>
      </c>
      <c r="E60" s="177">
        <v>0.0</v>
      </c>
      <c r="F60" s="177">
        <v>0.0</v>
      </c>
      <c r="G60" s="178">
        <v>4.3478260869565215</v>
      </c>
      <c r="H60" s="177">
        <v>0.0</v>
      </c>
      <c r="I60" s="178">
        <v>0.0</v>
      </c>
    </row>
    <row r="61">
      <c r="A61" s="177" t="s">
        <v>1780</v>
      </c>
      <c r="B61" s="177" t="s">
        <v>2776</v>
      </c>
      <c r="C61" s="177" t="s">
        <v>936</v>
      </c>
      <c r="D61" s="177">
        <v>17.25</v>
      </c>
      <c r="E61" s="177">
        <v>17.5</v>
      </c>
      <c r="F61" s="177">
        <v>34.75</v>
      </c>
      <c r="G61" s="178">
        <v>69.56521739130434</v>
      </c>
      <c r="H61" s="177">
        <v>6.0</v>
      </c>
      <c r="I61" s="178">
        <v>40.75</v>
      </c>
    </row>
    <row r="62">
      <c r="A62" s="177" t="s">
        <v>1781</v>
      </c>
      <c r="B62" s="177" t="s">
        <v>2777</v>
      </c>
      <c r="C62" s="177" t="s">
        <v>937</v>
      </c>
      <c r="D62" s="177">
        <v>0.0</v>
      </c>
      <c r="E62" s="177">
        <v>0.0</v>
      </c>
      <c r="F62" s="177">
        <v>0.0</v>
      </c>
      <c r="G62" s="178">
        <v>69.56521739130434</v>
      </c>
      <c r="H62" s="177">
        <v>6.0</v>
      </c>
      <c r="I62" s="178">
        <v>6.0</v>
      </c>
    </row>
    <row r="63">
      <c r="A63" s="177" t="s">
        <v>1782</v>
      </c>
      <c r="B63" s="177" t="s">
        <v>2778</v>
      </c>
      <c r="C63" s="177" t="s">
        <v>938</v>
      </c>
      <c r="D63" s="177">
        <v>0.0</v>
      </c>
      <c r="E63" s="177">
        <v>8.5</v>
      </c>
      <c r="F63" s="177">
        <v>8.5</v>
      </c>
      <c r="G63" s="178">
        <v>73.91304347826087</v>
      </c>
      <c r="H63" s="177">
        <v>6.0</v>
      </c>
      <c r="I63" s="178">
        <v>14.5</v>
      </c>
    </row>
    <row r="64">
      <c r="A64" s="177" t="s">
        <v>1792</v>
      </c>
      <c r="B64" s="177" t="s">
        <v>2779</v>
      </c>
      <c r="C64" s="177" t="s">
        <v>939</v>
      </c>
      <c r="D64" s="177">
        <v>9.75</v>
      </c>
      <c r="E64" s="177">
        <v>15.75</v>
      </c>
      <c r="F64" s="177">
        <v>25.5</v>
      </c>
      <c r="G64" s="178">
        <v>91.30434782608695</v>
      </c>
      <c r="H64" s="177">
        <v>10.0</v>
      </c>
      <c r="I64" s="178">
        <v>35.5</v>
      </c>
    </row>
    <row r="65">
      <c r="A65" s="177" t="s">
        <v>1812</v>
      </c>
      <c r="B65" s="177" t="s">
        <v>2780</v>
      </c>
      <c r="C65" s="177" t="s">
        <v>940</v>
      </c>
      <c r="D65" s="177">
        <v>12.25</v>
      </c>
      <c r="E65" s="177" t="s">
        <v>2491</v>
      </c>
      <c r="F65" s="177">
        <v>12.25</v>
      </c>
      <c r="G65" s="178">
        <v>73.91304347826087</v>
      </c>
      <c r="H65" s="177">
        <v>6.0</v>
      </c>
      <c r="I65" s="179">
        <v>0.0</v>
      </c>
    </row>
    <row r="66">
      <c r="A66" s="177" t="s">
        <v>1783</v>
      </c>
      <c r="B66" s="177" t="s">
        <v>2781</v>
      </c>
      <c r="C66" s="177" t="s">
        <v>941</v>
      </c>
      <c r="D66" s="177">
        <v>32.5</v>
      </c>
      <c r="E66" s="177">
        <v>16.75</v>
      </c>
      <c r="F66" s="177">
        <v>49.25</v>
      </c>
      <c r="G66" s="178">
        <v>95.65217391304348</v>
      </c>
      <c r="H66" s="177">
        <v>10.0</v>
      </c>
      <c r="I66" s="178">
        <v>59.25</v>
      </c>
    </row>
    <row r="67">
      <c r="A67" s="177" t="s">
        <v>1784</v>
      </c>
      <c r="B67" s="177" t="s">
        <v>2782</v>
      </c>
      <c r="C67" s="177" t="s">
        <v>942</v>
      </c>
      <c r="D67" s="177">
        <v>5.25</v>
      </c>
      <c r="E67" s="177">
        <v>15.75</v>
      </c>
      <c r="F67" s="177">
        <v>21.0</v>
      </c>
      <c r="G67" s="178">
        <v>78.26086956521739</v>
      </c>
      <c r="H67" s="177">
        <v>7.0</v>
      </c>
      <c r="I67" s="178">
        <v>28.0</v>
      </c>
    </row>
    <row r="68">
      <c r="A68" s="177" t="s">
        <v>1867</v>
      </c>
      <c r="B68" s="177" t="s">
        <v>2783</v>
      </c>
      <c r="C68" s="177" t="s">
        <v>943</v>
      </c>
      <c r="D68" s="177">
        <v>10.5</v>
      </c>
      <c r="E68" s="177">
        <v>19.0</v>
      </c>
      <c r="F68" s="177">
        <v>29.5</v>
      </c>
      <c r="G68" s="178">
        <v>60.869565217391305</v>
      </c>
      <c r="H68" s="177">
        <v>0.0</v>
      </c>
      <c r="I68" s="178">
        <v>29.5</v>
      </c>
    </row>
    <row r="69">
      <c r="A69" s="177" t="s">
        <v>1785</v>
      </c>
      <c r="B69" s="177" t="s">
        <v>2784</v>
      </c>
      <c r="C69" s="177" t="s">
        <v>944</v>
      </c>
      <c r="D69" s="177">
        <v>5.0</v>
      </c>
      <c r="E69" s="177">
        <v>14.25</v>
      </c>
      <c r="F69" s="177">
        <v>19.25</v>
      </c>
      <c r="G69" s="178">
        <v>73.91304347826087</v>
      </c>
      <c r="H69" s="177">
        <v>6.0</v>
      </c>
      <c r="I69" s="178">
        <v>25.25</v>
      </c>
    </row>
    <row r="70">
      <c r="A70" s="177" t="s">
        <v>1786</v>
      </c>
      <c r="B70" s="177" t="s">
        <v>2785</v>
      </c>
      <c r="C70" s="177" t="s">
        <v>945</v>
      </c>
      <c r="D70" s="177">
        <v>9.0</v>
      </c>
      <c r="E70" s="177">
        <v>0.0</v>
      </c>
      <c r="F70" s="177">
        <v>9.0</v>
      </c>
      <c r="G70" s="178">
        <v>69.56521739130434</v>
      </c>
      <c r="H70" s="177">
        <v>6.0</v>
      </c>
      <c r="I70" s="178">
        <v>15.0</v>
      </c>
    </row>
    <row r="71">
      <c r="A71" s="177" t="s">
        <v>1787</v>
      </c>
      <c r="B71" s="177" t="s">
        <v>2786</v>
      </c>
      <c r="C71" s="177" t="s">
        <v>946</v>
      </c>
      <c r="D71" s="177">
        <v>0.0</v>
      </c>
      <c r="E71" s="177">
        <v>0.0</v>
      </c>
      <c r="F71" s="177">
        <v>0.0</v>
      </c>
      <c r="G71" s="177">
        <v>0.0</v>
      </c>
      <c r="H71" s="177">
        <v>0.0</v>
      </c>
      <c r="I71" s="178">
        <v>0.0</v>
      </c>
    </row>
    <row r="72">
      <c r="A72" s="177" t="s">
        <v>1799</v>
      </c>
      <c r="B72" s="177" t="s">
        <v>2787</v>
      </c>
      <c r="C72" s="177" t="s">
        <v>947</v>
      </c>
      <c r="D72" s="177">
        <v>20.25</v>
      </c>
      <c r="E72" s="177">
        <v>25.25</v>
      </c>
      <c r="F72" s="177">
        <f>D72+E72</f>
        <v>45.5</v>
      </c>
      <c r="G72" s="178">
        <v>95.65217391304348</v>
      </c>
      <c r="H72" s="177">
        <v>10.0</v>
      </c>
      <c r="I72" s="178">
        <v>55.5</v>
      </c>
    </row>
    <row r="73">
      <c r="A73" s="177" t="s">
        <v>1788</v>
      </c>
      <c r="B73" s="177" t="s">
        <v>2788</v>
      </c>
      <c r="C73" s="177" t="s">
        <v>948</v>
      </c>
      <c r="D73" s="177">
        <v>26.75</v>
      </c>
      <c r="E73" s="177">
        <v>23.5</v>
      </c>
      <c r="F73" s="177">
        <v>50.25</v>
      </c>
      <c r="G73" s="178">
        <v>91.30434782608695</v>
      </c>
      <c r="H73" s="177">
        <v>10.0</v>
      </c>
      <c r="I73" s="178">
        <v>60.25</v>
      </c>
    </row>
    <row r="74">
      <c r="A74" s="177" t="s">
        <v>1822</v>
      </c>
      <c r="B74" s="177" t="s">
        <v>2789</v>
      </c>
      <c r="C74" s="177" t="s">
        <v>949</v>
      </c>
      <c r="D74" s="177">
        <v>5.0</v>
      </c>
      <c r="E74" s="177">
        <v>26.25</v>
      </c>
      <c r="F74" s="177">
        <v>31.25</v>
      </c>
      <c r="G74" s="178">
        <v>96.29629629629629</v>
      </c>
      <c r="H74" s="177">
        <v>10.0</v>
      </c>
      <c r="I74" s="178">
        <v>41.25</v>
      </c>
    </row>
    <row r="75">
      <c r="A75" s="177" t="s">
        <v>1823</v>
      </c>
      <c r="B75" s="177" t="s">
        <v>2790</v>
      </c>
      <c r="C75" s="177" t="s">
        <v>950</v>
      </c>
      <c r="D75" s="177">
        <v>17.0</v>
      </c>
      <c r="E75" s="177">
        <v>18.5</v>
      </c>
      <c r="F75" s="177">
        <v>35.5</v>
      </c>
      <c r="G75" s="178">
        <v>66.66666666666667</v>
      </c>
      <c r="H75" s="177">
        <v>0.0</v>
      </c>
      <c r="I75" s="178">
        <v>35.5</v>
      </c>
    </row>
    <row r="76">
      <c r="A76" s="177" t="s">
        <v>1824</v>
      </c>
      <c r="B76" s="177" t="s">
        <v>2791</v>
      </c>
      <c r="C76" s="177" t="s">
        <v>951</v>
      </c>
      <c r="D76" s="177">
        <v>7.5</v>
      </c>
      <c r="E76" s="177">
        <v>0.0</v>
      </c>
      <c r="F76" s="177">
        <v>7.5</v>
      </c>
      <c r="G76" s="178">
        <v>44.44444444444444</v>
      </c>
      <c r="H76" s="177">
        <v>0.0</v>
      </c>
      <c r="I76" s="178">
        <v>7.5</v>
      </c>
    </row>
    <row r="77">
      <c r="A77" s="177" t="s">
        <v>1871</v>
      </c>
      <c r="B77" s="177" t="s">
        <v>2792</v>
      </c>
      <c r="C77" s="177" t="s">
        <v>952</v>
      </c>
      <c r="D77" s="177">
        <v>11.25</v>
      </c>
      <c r="E77" s="177">
        <v>0.0</v>
      </c>
      <c r="F77" s="177">
        <v>11.25</v>
      </c>
      <c r="G77" s="178">
        <v>39.130434782608695</v>
      </c>
      <c r="H77" s="177">
        <v>0.0</v>
      </c>
      <c r="I77" s="178">
        <v>11.25</v>
      </c>
    </row>
    <row r="78">
      <c r="A78" s="177" t="s">
        <v>1859</v>
      </c>
      <c r="B78" s="177" t="s">
        <v>2793</v>
      </c>
      <c r="C78" s="177" t="s">
        <v>953</v>
      </c>
      <c r="D78" s="177">
        <v>27.5</v>
      </c>
      <c r="E78" s="177">
        <v>6.25</v>
      </c>
      <c r="F78" s="177">
        <v>33.75</v>
      </c>
      <c r="G78" s="178">
        <v>86.95652173913044</v>
      </c>
      <c r="H78" s="177">
        <v>9.0</v>
      </c>
      <c r="I78" s="178">
        <v>42.75</v>
      </c>
    </row>
    <row r="79">
      <c r="A79" s="177" t="s">
        <v>1826</v>
      </c>
      <c r="B79" s="177" t="s">
        <v>2794</v>
      </c>
      <c r="C79" s="177" t="s">
        <v>954</v>
      </c>
      <c r="D79" s="177">
        <v>8.75</v>
      </c>
      <c r="E79" s="177">
        <v>5.5</v>
      </c>
      <c r="F79" s="177">
        <v>14.25</v>
      </c>
      <c r="G79" s="178">
        <v>77.77777777777777</v>
      </c>
      <c r="H79" s="177">
        <v>7.0</v>
      </c>
      <c r="I79" s="178">
        <v>21.25</v>
      </c>
    </row>
    <row r="80">
      <c r="A80" s="177" t="s">
        <v>1877</v>
      </c>
      <c r="B80" s="177" t="s">
        <v>2795</v>
      </c>
      <c r="C80" s="177" t="s">
        <v>955</v>
      </c>
      <c r="D80" s="177">
        <v>0.0</v>
      </c>
      <c r="E80" s="177">
        <v>0.0</v>
      </c>
      <c r="F80" s="177">
        <v>0.0</v>
      </c>
      <c r="G80" s="178">
        <v>29.62962962962963</v>
      </c>
      <c r="H80" s="177">
        <v>0.0</v>
      </c>
      <c r="I80" s="178">
        <v>0.0</v>
      </c>
    </row>
    <row r="81">
      <c r="A81" s="177" t="s">
        <v>1864</v>
      </c>
      <c r="B81" s="177" t="s">
        <v>2796</v>
      </c>
      <c r="C81" s="177" t="s">
        <v>956</v>
      </c>
      <c r="D81" s="177">
        <v>0.0</v>
      </c>
      <c r="E81" s="177">
        <v>0.0</v>
      </c>
      <c r="F81" s="177">
        <v>0.0</v>
      </c>
      <c r="G81" s="178">
        <v>51.851851851851855</v>
      </c>
      <c r="H81" s="177">
        <v>0.0</v>
      </c>
      <c r="I81" s="178">
        <v>0.0</v>
      </c>
    </row>
    <row r="82">
      <c r="A82" s="177" t="s">
        <v>109</v>
      </c>
      <c r="B82" s="177" t="s">
        <v>2797</v>
      </c>
      <c r="C82" s="177" t="s">
        <v>957</v>
      </c>
      <c r="D82" s="177">
        <v>21.25</v>
      </c>
      <c r="E82" s="177">
        <v>39.5</v>
      </c>
      <c r="F82" s="177">
        <v>60.75</v>
      </c>
      <c r="G82" s="178">
        <v>81.48148148148148</v>
      </c>
      <c r="H82" s="177">
        <v>8.0</v>
      </c>
      <c r="I82" s="178">
        <v>68.75</v>
      </c>
    </row>
    <row r="83">
      <c r="A83" s="177" t="s">
        <v>1793</v>
      </c>
      <c r="B83" s="177" t="s">
        <v>2798</v>
      </c>
      <c r="C83" s="177" t="s">
        <v>959</v>
      </c>
      <c r="D83" s="177">
        <v>12.0</v>
      </c>
      <c r="E83" s="177">
        <v>13.25</v>
      </c>
      <c r="F83" s="177">
        <v>25.25</v>
      </c>
      <c r="G83" s="178">
        <v>91.30434782608695</v>
      </c>
      <c r="H83" s="177">
        <v>10.0</v>
      </c>
      <c r="I83" s="178">
        <v>35.25</v>
      </c>
    </row>
    <row r="84">
      <c r="A84" s="177" t="s">
        <v>1814</v>
      </c>
      <c r="B84" s="177" t="s">
        <v>2799</v>
      </c>
      <c r="C84" s="177" t="s">
        <v>960</v>
      </c>
      <c r="D84" s="177">
        <v>0.0</v>
      </c>
      <c r="E84" s="177">
        <v>0.0</v>
      </c>
      <c r="F84" s="177">
        <v>0.0</v>
      </c>
      <c r="G84" s="178">
        <v>82.6086956521739</v>
      </c>
      <c r="H84" s="177">
        <v>8.0</v>
      </c>
      <c r="I84" s="178">
        <v>8.0</v>
      </c>
    </row>
    <row r="85">
      <c r="A85" s="177" t="s">
        <v>1801</v>
      </c>
      <c r="B85" s="177" t="s">
        <v>2800</v>
      </c>
      <c r="C85" s="177" t="s">
        <v>961</v>
      </c>
      <c r="D85" s="177">
        <v>36.25</v>
      </c>
      <c r="E85" s="177">
        <v>14.0</v>
      </c>
      <c r="F85" s="177">
        <v>50.25</v>
      </c>
      <c r="G85" s="178">
        <v>60.0</v>
      </c>
      <c r="H85" s="177">
        <v>0.0</v>
      </c>
      <c r="I85" s="178">
        <v>50.25</v>
      </c>
    </row>
    <row r="86">
      <c r="A86" s="177" t="s">
        <v>1827</v>
      </c>
      <c r="B86" s="177" t="s">
        <v>2801</v>
      </c>
      <c r="C86" s="177" t="s">
        <v>962</v>
      </c>
      <c r="D86" s="177">
        <v>27.5</v>
      </c>
      <c r="E86" s="177">
        <v>35.0</v>
      </c>
      <c r="F86" s="177">
        <v>62.5</v>
      </c>
      <c r="G86" s="178">
        <v>60.0</v>
      </c>
      <c r="H86" s="177">
        <v>0.0</v>
      </c>
      <c r="I86" s="178">
        <v>62.5</v>
      </c>
    </row>
    <row r="87">
      <c r="A87" s="177" t="s">
        <v>1860</v>
      </c>
      <c r="B87" s="177" t="s">
        <v>2802</v>
      </c>
      <c r="C87" s="177" t="s">
        <v>963</v>
      </c>
      <c r="D87" s="177">
        <v>28.75</v>
      </c>
      <c r="E87" s="177">
        <v>0.0</v>
      </c>
      <c r="F87" s="177">
        <v>28.75</v>
      </c>
      <c r="G87" s="178">
        <v>51.851851851851855</v>
      </c>
      <c r="H87" s="177">
        <v>0.0</v>
      </c>
      <c r="I87" s="178">
        <v>28.75</v>
      </c>
    </row>
    <row r="88">
      <c r="A88" s="177" t="s">
        <v>1861</v>
      </c>
      <c r="B88" s="177" t="s">
        <v>2803</v>
      </c>
      <c r="C88" s="177" t="s">
        <v>964</v>
      </c>
      <c r="D88" s="177">
        <v>27.5</v>
      </c>
      <c r="E88" s="177">
        <v>0.0</v>
      </c>
      <c r="F88" s="177">
        <v>27.5</v>
      </c>
      <c r="G88" s="178">
        <v>33.333333333333336</v>
      </c>
      <c r="H88" s="177">
        <v>0.0</v>
      </c>
      <c r="I88" s="178">
        <v>27.5</v>
      </c>
    </row>
    <row r="89">
      <c r="A89" s="177" t="s">
        <v>1874</v>
      </c>
      <c r="B89" s="177" t="s">
        <v>2804</v>
      </c>
      <c r="C89" s="177" t="s">
        <v>965</v>
      </c>
      <c r="D89" s="177">
        <v>21.25</v>
      </c>
      <c r="E89" s="177">
        <v>37.75</v>
      </c>
      <c r="F89" s="177">
        <v>59.0</v>
      </c>
      <c r="G89" s="178">
        <v>92.5925925925926</v>
      </c>
      <c r="H89" s="177">
        <v>10.0</v>
      </c>
      <c r="I89" s="178">
        <v>69.0</v>
      </c>
    </row>
    <row r="90">
      <c r="A90" s="177" t="s">
        <v>1828</v>
      </c>
      <c r="B90" s="177" t="s">
        <v>2805</v>
      </c>
      <c r="C90" s="177" t="s">
        <v>966</v>
      </c>
      <c r="D90" s="177">
        <v>34.75</v>
      </c>
      <c r="E90" s="177">
        <v>37.5</v>
      </c>
      <c r="F90" s="177">
        <v>72.25</v>
      </c>
      <c r="G90" s="178">
        <v>70.37037037037037</v>
      </c>
      <c r="H90" s="177">
        <v>6.0</v>
      </c>
      <c r="I90" s="178">
        <v>78.25</v>
      </c>
    </row>
    <row r="91">
      <c r="A91" s="177" t="s">
        <v>1829</v>
      </c>
      <c r="B91" s="177" t="s">
        <v>2806</v>
      </c>
      <c r="C91" s="177" t="s">
        <v>967</v>
      </c>
      <c r="D91" s="177">
        <v>23.75</v>
      </c>
      <c r="E91" s="177">
        <v>0.0</v>
      </c>
      <c r="F91" s="177">
        <v>23.75</v>
      </c>
      <c r="G91" s="178">
        <v>88.88888888888889</v>
      </c>
      <c r="H91" s="177">
        <v>9.0</v>
      </c>
      <c r="I91" s="178">
        <v>32.75</v>
      </c>
    </row>
    <row r="92">
      <c r="A92" s="177" t="s">
        <v>1794</v>
      </c>
      <c r="B92" s="177" t="s">
        <v>2807</v>
      </c>
      <c r="C92" s="177" t="s">
        <v>968</v>
      </c>
      <c r="D92" s="177">
        <v>15.75</v>
      </c>
      <c r="E92" s="177">
        <v>35.75</v>
      </c>
      <c r="F92" s="177">
        <v>51.5</v>
      </c>
      <c r="G92" s="178">
        <v>82.6086956521739</v>
      </c>
      <c r="H92" s="177">
        <v>8.0</v>
      </c>
      <c r="I92" s="178">
        <v>59.5</v>
      </c>
    </row>
    <row r="93">
      <c r="A93" s="177" t="s">
        <v>1830</v>
      </c>
      <c r="B93" s="177" t="s">
        <v>2808</v>
      </c>
      <c r="C93" s="177" t="s">
        <v>969</v>
      </c>
      <c r="D93" s="177">
        <v>19.25</v>
      </c>
      <c r="E93" s="177" t="s">
        <v>2491</v>
      </c>
      <c r="F93" s="177" t="s">
        <v>2491</v>
      </c>
      <c r="G93" s="178">
        <v>92.5925925925926</v>
      </c>
      <c r="H93" s="177">
        <v>10.0</v>
      </c>
      <c r="I93" s="179">
        <v>0.0</v>
      </c>
    </row>
    <row r="94">
      <c r="A94" s="177" t="s">
        <v>1862</v>
      </c>
      <c r="B94" s="177" t="s">
        <v>2809</v>
      </c>
      <c r="C94" s="177" t="s">
        <v>970</v>
      </c>
      <c r="D94" s="177">
        <v>31.25</v>
      </c>
      <c r="E94" s="177" t="s">
        <v>2491</v>
      </c>
      <c r="F94" s="177" t="s">
        <v>2491</v>
      </c>
      <c r="G94" s="178">
        <v>66.66666666666667</v>
      </c>
      <c r="H94" s="177">
        <v>0.0</v>
      </c>
      <c r="I94" s="179">
        <v>0.0</v>
      </c>
    </row>
    <row r="95">
      <c r="A95" s="177" t="s">
        <v>1866</v>
      </c>
      <c r="B95" s="177" t="s">
        <v>2810</v>
      </c>
      <c r="C95" s="177" t="s">
        <v>971</v>
      </c>
      <c r="D95" s="177">
        <v>33.5</v>
      </c>
      <c r="E95" s="177">
        <v>36.75</v>
      </c>
      <c r="F95" s="177">
        <f>D95+E95</f>
        <v>70.25</v>
      </c>
      <c r="G95" s="178">
        <v>77.77777777777777</v>
      </c>
      <c r="H95" s="177">
        <v>7.0</v>
      </c>
      <c r="I95" s="178">
        <v>77.25</v>
      </c>
    </row>
    <row r="96">
      <c r="A96" s="177" t="s">
        <v>85</v>
      </c>
      <c r="B96" s="177" t="s">
        <v>2811</v>
      </c>
      <c r="C96" s="177" t="s">
        <v>972</v>
      </c>
      <c r="D96" s="177">
        <v>22.5</v>
      </c>
      <c r="E96" s="177">
        <v>0.0</v>
      </c>
      <c r="F96" s="177">
        <v>22.5</v>
      </c>
      <c r="G96" s="178">
        <v>70.37037037037037</v>
      </c>
      <c r="H96" s="177">
        <v>6.0</v>
      </c>
      <c r="I96" s="178">
        <v>28.5</v>
      </c>
    </row>
    <row r="97">
      <c r="A97" s="177" t="s">
        <v>1831</v>
      </c>
      <c r="B97" s="177" t="s">
        <v>2812</v>
      </c>
      <c r="C97" s="177" t="s">
        <v>973</v>
      </c>
      <c r="D97" s="177">
        <v>0.0</v>
      </c>
      <c r="E97" s="177">
        <v>0.0</v>
      </c>
      <c r="F97" s="177">
        <v>0.0</v>
      </c>
      <c r="G97" s="178">
        <v>3.7037037037037037</v>
      </c>
      <c r="H97" s="177">
        <v>0.0</v>
      </c>
      <c r="I97" s="178">
        <v>0.0</v>
      </c>
    </row>
    <row r="98">
      <c r="A98" s="177" t="s">
        <v>1832</v>
      </c>
      <c r="B98" s="177" t="s">
        <v>2813</v>
      </c>
      <c r="C98" s="177" t="s">
        <v>974</v>
      </c>
      <c r="D98" s="177">
        <v>0.0</v>
      </c>
      <c r="E98" s="177">
        <v>0.0</v>
      </c>
      <c r="F98" s="177">
        <v>0.0</v>
      </c>
      <c r="G98" s="178">
        <v>7.407407407407407</v>
      </c>
      <c r="H98" s="177">
        <v>0.0</v>
      </c>
      <c r="I98" s="178">
        <v>0.0</v>
      </c>
    </row>
    <row r="99">
      <c r="A99" s="177" t="s">
        <v>1833</v>
      </c>
      <c r="B99" s="177" t="s">
        <v>2814</v>
      </c>
      <c r="C99" s="177" t="s">
        <v>975</v>
      </c>
      <c r="D99" s="177">
        <v>14.75</v>
      </c>
      <c r="E99" s="177">
        <v>8.0</v>
      </c>
      <c r="F99" s="177">
        <v>22.75</v>
      </c>
      <c r="G99" s="178">
        <v>81.48148148148148</v>
      </c>
      <c r="H99" s="177">
        <v>8.0</v>
      </c>
      <c r="I99" s="178">
        <v>30.75</v>
      </c>
    </row>
    <row r="100">
      <c r="A100" s="177" t="s">
        <v>1881</v>
      </c>
      <c r="B100" s="177" t="s">
        <v>2815</v>
      </c>
      <c r="C100" s="177" t="s">
        <v>976</v>
      </c>
      <c r="D100" s="177">
        <v>6.25</v>
      </c>
      <c r="E100" s="177">
        <v>10.0</v>
      </c>
      <c r="F100" s="177">
        <v>16.25</v>
      </c>
      <c r="G100" s="178">
        <v>40.74074074074074</v>
      </c>
      <c r="H100" s="177">
        <v>0.0</v>
      </c>
      <c r="I100" s="178">
        <v>16.25</v>
      </c>
    </row>
    <row r="101">
      <c r="A101" s="177" t="s">
        <v>1834</v>
      </c>
      <c r="B101" s="177" t="s">
        <v>2816</v>
      </c>
      <c r="C101" s="177" t="s">
        <v>977</v>
      </c>
      <c r="D101" s="177">
        <v>28.75</v>
      </c>
      <c r="E101" s="177">
        <v>24.25</v>
      </c>
      <c r="F101" s="177">
        <f>D101+E101</f>
        <v>53</v>
      </c>
      <c r="G101" s="178">
        <v>93.0</v>
      </c>
      <c r="H101" s="177">
        <v>10.0</v>
      </c>
      <c r="I101" s="178">
        <v>63.0</v>
      </c>
    </row>
    <row r="102">
      <c r="A102" s="177" t="s">
        <v>1870</v>
      </c>
      <c r="B102" s="177" t="s">
        <v>2817</v>
      </c>
      <c r="C102" s="177" t="s">
        <v>978</v>
      </c>
      <c r="D102" s="177">
        <v>19.0</v>
      </c>
      <c r="E102" s="177">
        <v>0.0</v>
      </c>
      <c r="F102" s="177">
        <v>19.0</v>
      </c>
      <c r="G102" s="178">
        <v>62.96296296296296</v>
      </c>
      <c r="H102" s="177">
        <v>0.0</v>
      </c>
      <c r="I102" s="178">
        <v>19.0</v>
      </c>
    </row>
    <row r="103">
      <c r="A103" s="177" t="s">
        <v>1869</v>
      </c>
      <c r="B103" s="177" t="s">
        <v>2818</v>
      </c>
      <c r="C103" s="177" t="s">
        <v>979</v>
      </c>
      <c r="D103" s="177">
        <v>12.75</v>
      </c>
      <c r="E103" s="177">
        <v>23.0</v>
      </c>
      <c r="F103" s="177">
        <v>35.75</v>
      </c>
      <c r="G103" s="178">
        <v>0.0</v>
      </c>
      <c r="H103" s="177">
        <v>0.0</v>
      </c>
      <c r="I103" s="178">
        <v>35.75</v>
      </c>
    </row>
    <row r="104">
      <c r="A104" s="177" t="s">
        <v>1855</v>
      </c>
      <c r="B104" s="177" t="s">
        <v>2819</v>
      </c>
      <c r="C104" s="177" t="s">
        <v>980</v>
      </c>
      <c r="D104" s="177">
        <v>6.25</v>
      </c>
      <c r="E104" s="177">
        <v>0.0</v>
      </c>
      <c r="F104" s="177">
        <v>6.25</v>
      </c>
      <c r="G104" s="178">
        <v>18.51851851851852</v>
      </c>
      <c r="H104" s="177">
        <v>0.0</v>
      </c>
      <c r="I104" s="178">
        <v>6.25</v>
      </c>
    </row>
    <row r="105">
      <c r="A105" s="177" t="s">
        <v>61</v>
      </c>
      <c r="B105" s="177" t="s">
        <v>2820</v>
      </c>
      <c r="C105" s="177" t="s">
        <v>981</v>
      </c>
      <c r="D105" s="177">
        <v>2.5</v>
      </c>
      <c r="E105" s="177">
        <v>0.0</v>
      </c>
      <c r="F105" s="177">
        <v>2.5</v>
      </c>
      <c r="G105" s="178">
        <v>11.11111111111111</v>
      </c>
      <c r="H105" s="177">
        <v>0.0</v>
      </c>
      <c r="I105" s="178">
        <v>2.5</v>
      </c>
    </row>
    <row r="106">
      <c r="A106" s="177" t="s">
        <v>1825</v>
      </c>
      <c r="B106" s="177" t="s">
        <v>2821</v>
      </c>
      <c r="C106" s="177" t="s">
        <v>982</v>
      </c>
      <c r="D106" s="177">
        <v>1.25</v>
      </c>
      <c r="E106" s="177">
        <v>3.25</v>
      </c>
      <c r="F106" s="177">
        <v>4.5</v>
      </c>
      <c r="G106" s="178">
        <v>81.48148148148148</v>
      </c>
      <c r="H106" s="177">
        <v>8.0</v>
      </c>
      <c r="I106" s="178">
        <v>12.5</v>
      </c>
    </row>
    <row r="107">
      <c r="A107" s="177" t="s">
        <v>1835</v>
      </c>
      <c r="B107" s="177" t="s">
        <v>2822</v>
      </c>
      <c r="C107" s="177" t="s">
        <v>983</v>
      </c>
      <c r="D107" s="177">
        <v>16.0</v>
      </c>
      <c r="E107" s="177">
        <v>13.0</v>
      </c>
      <c r="F107" s="177">
        <v>29.0</v>
      </c>
      <c r="G107" s="178">
        <v>92.5925925925926</v>
      </c>
      <c r="H107" s="177">
        <v>10.0</v>
      </c>
      <c r="I107" s="178">
        <v>39.0</v>
      </c>
    </row>
    <row r="108">
      <c r="A108" s="177" t="s">
        <v>1875</v>
      </c>
      <c r="B108" s="177" t="s">
        <v>2823</v>
      </c>
      <c r="C108" s="177" t="s">
        <v>984</v>
      </c>
      <c r="D108" s="177">
        <v>8.75</v>
      </c>
      <c r="E108" s="177">
        <v>8.25</v>
      </c>
      <c r="F108" s="177">
        <v>17.0</v>
      </c>
      <c r="G108" s="178">
        <v>77.77777777777777</v>
      </c>
      <c r="H108" s="177">
        <v>7.0</v>
      </c>
      <c r="I108" s="178">
        <v>24.0</v>
      </c>
    </row>
    <row r="109">
      <c r="A109" s="177" t="s">
        <v>40</v>
      </c>
      <c r="B109" s="177" t="s">
        <v>2824</v>
      </c>
      <c r="C109" s="177" t="s">
        <v>985</v>
      </c>
      <c r="D109" s="177">
        <v>4.5</v>
      </c>
      <c r="E109" s="177">
        <v>0.0</v>
      </c>
      <c r="F109" s="177">
        <v>4.5</v>
      </c>
      <c r="G109" s="178">
        <v>7.407407407407407</v>
      </c>
      <c r="H109" s="177">
        <v>0.0</v>
      </c>
      <c r="I109" s="178">
        <v>4.5</v>
      </c>
    </row>
    <row r="110">
      <c r="A110" s="177" t="s">
        <v>1803</v>
      </c>
      <c r="B110" s="177" t="s">
        <v>2825</v>
      </c>
      <c r="C110" s="177" t="s">
        <v>986</v>
      </c>
      <c r="D110" s="177">
        <v>0.0</v>
      </c>
      <c r="E110" s="177">
        <v>0.0</v>
      </c>
      <c r="F110" s="177">
        <v>0.0</v>
      </c>
      <c r="G110" s="178">
        <v>7.407407407407407</v>
      </c>
      <c r="H110" s="177">
        <v>0.0</v>
      </c>
      <c r="I110" s="178">
        <v>0.0</v>
      </c>
    </row>
    <row r="111">
      <c r="A111" s="177" t="s">
        <v>1884</v>
      </c>
      <c r="B111" s="177" t="s">
        <v>2826</v>
      </c>
      <c r="C111" s="177" t="s">
        <v>987</v>
      </c>
      <c r="D111" s="177">
        <v>0.0</v>
      </c>
      <c r="E111" s="177">
        <v>0.0</v>
      </c>
      <c r="F111" s="177">
        <v>0.0</v>
      </c>
      <c r="G111" s="178">
        <v>11.11111111111111</v>
      </c>
      <c r="H111" s="177">
        <v>0.0</v>
      </c>
      <c r="I111" s="178">
        <v>0.0</v>
      </c>
    </row>
    <row r="112">
      <c r="A112" s="177" t="s">
        <v>1868</v>
      </c>
      <c r="B112" s="177" t="s">
        <v>2827</v>
      </c>
      <c r="C112" s="177" t="s">
        <v>988</v>
      </c>
      <c r="D112" s="177">
        <v>0.0</v>
      </c>
      <c r="E112" s="177">
        <v>0.0</v>
      </c>
      <c r="F112" s="177">
        <v>0.0</v>
      </c>
      <c r="G112" s="178">
        <v>3.7037037037037037</v>
      </c>
      <c r="H112" s="177">
        <v>0.0</v>
      </c>
      <c r="I112" s="178">
        <v>0.0</v>
      </c>
    </row>
    <row r="113">
      <c r="A113" s="177" t="s">
        <v>1863</v>
      </c>
      <c r="B113" s="177" t="s">
        <v>2828</v>
      </c>
      <c r="C113" s="177" t="s">
        <v>989</v>
      </c>
      <c r="D113" s="177">
        <v>19.0</v>
      </c>
      <c r="E113" s="177">
        <v>17.25</v>
      </c>
      <c r="F113" s="177">
        <v>36.25</v>
      </c>
      <c r="G113" s="178">
        <v>85.18518518518519</v>
      </c>
      <c r="H113" s="177">
        <v>8.0</v>
      </c>
      <c r="I113" s="178">
        <v>44.25</v>
      </c>
    </row>
    <row r="114">
      <c r="A114" s="177" t="s">
        <v>1856</v>
      </c>
      <c r="B114" s="177" t="s">
        <v>2829</v>
      </c>
      <c r="C114" s="177" t="s">
        <v>990</v>
      </c>
      <c r="D114" s="177">
        <v>23.75</v>
      </c>
      <c r="E114" s="177">
        <v>21.25</v>
      </c>
      <c r="F114" s="177">
        <v>45.0</v>
      </c>
      <c r="G114" s="178">
        <v>88.88888888888889</v>
      </c>
      <c r="H114" s="177">
        <v>9.0</v>
      </c>
      <c r="I114" s="178">
        <v>54.0</v>
      </c>
    </row>
    <row r="115">
      <c r="A115" s="177" t="s">
        <v>1836</v>
      </c>
      <c r="B115" s="177" t="s">
        <v>2830</v>
      </c>
      <c r="C115" s="177" t="s">
        <v>991</v>
      </c>
      <c r="D115" s="177">
        <v>12.75</v>
      </c>
      <c r="E115" s="177">
        <v>15.0</v>
      </c>
      <c r="F115" s="177">
        <v>27.75</v>
      </c>
      <c r="G115" s="178">
        <v>81.48148148148148</v>
      </c>
      <c r="H115" s="177">
        <v>8.0</v>
      </c>
      <c r="I115" s="178">
        <v>35.75</v>
      </c>
    </row>
    <row r="116">
      <c r="A116" s="177" t="s">
        <v>1809</v>
      </c>
      <c r="B116" s="177" t="s">
        <v>2831</v>
      </c>
      <c r="C116" s="177" t="s">
        <v>992</v>
      </c>
      <c r="D116" s="177">
        <v>0.0</v>
      </c>
      <c r="E116" s="177">
        <v>0.0</v>
      </c>
      <c r="F116" s="177">
        <v>0.0</v>
      </c>
      <c r="G116" s="178">
        <v>7.407407407407407</v>
      </c>
      <c r="H116" s="177">
        <v>0.0</v>
      </c>
      <c r="I116" s="178">
        <v>0.0</v>
      </c>
    </row>
    <row r="117">
      <c r="A117" s="177" t="s">
        <v>1857</v>
      </c>
      <c r="B117" s="177" t="s">
        <v>2832</v>
      </c>
      <c r="C117" s="177" t="s">
        <v>993</v>
      </c>
      <c r="D117" s="177">
        <v>15.0</v>
      </c>
      <c r="E117" s="177">
        <v>21.5</v>
      </c>
      <c r="F117" s="177">
        <v>36.5</v>
      </c>
      <c r="G117" s="178">
        <v>92.5925925925926</v>
      </c>
      <c r="H117" s="177">
        <v>10.0</v>
      </c>
      <c r="I117" s="178">
        <v>46.5</v>
      </c>
    </row>
    <row r="118">
      <c r="A118" s="177" t="s">
        <v>1837</v>
      </c>
      <c r="B118" s="177" t="s">
        <v>2833</v>
      </c>
      <c r="C118" s="177" t="s">
        <v>994</v>
      </c>
      <c r="D118" s="177">
        <v>19.75</v>
      </c>
      <c r="E118" s="177">
        <v>20.0</v>
      </c>
      <c r="F118" s="177">
        <v>39.75</v>
      </c>
      <c r="G118" s="178">
        <v>62.96296296296296</v>
      </c>
      <c r="H118" s="177">
        <v>0.0</v>
      </c>
      <c r="I118" s="178">
        <v>39.75</v>
      </c>
    </row>
    <row r="119">
      <c r="A119" s="177" t="s">
        <v>1821</v>
      </c>
      <c r="B119" s="177" t="s">
        <v>2834</v>
      </c>
      <c r="C119" s="177" t="s">
        <v>995</v>
      </c>
      <c r="D119" s="177">
        <v>0.0</v>
      </c>
      <c r="E119" s="177">
        <v>0.0</v>
      </c>
      <c r="F119" s="177">
        <v>0.0</v>
      </c>
      <c r="G119" s="178">
        <v>7.407407407407407</v>
      </c>
      <c r="H119" s="177">
        <v>0.0</v>
      </c>
      <c r="I119" s="178">
        <v>0.0</v>
      </c>
    </row>
    <row r="120">
      <c r="A120" s="177" t="s">
        <v>1838</v>
      </c>
      <c r="B120" s="177" t="s">
        <v>2835</v>
      </c>
      <c r="C120" s="177" t="s">
        <v>996</v>
      </c>
      <c r="D120" s="177">
        <v>11.0</v>
      </c>
      <c r="E120" s="177">
        <v>21.0</v>
      </c>
      <c r="F120" s="177">
        <v>32.0</v>
      </c>
      <c r="G120" s="178">
        <v>77.77777777777777</v>
      </c>
      <c r="H120" s="177">
        <v>7.0</v>
      </c>
      <c r="I120" s="178">
        <v>39.0</v>
      </c>
    </row>
    <row r="121">
      <c r="A121" s="177" t="s">
        <v>16</v>
      </c>
      <c r="B121" s="177" t="s">
        <v>2836</v>
      </c>
      <c r="C121" s="177" t="s">
        <v>997</v>
      </c>
      <c r="D121" s="177">
        <v>6.0</v>
      </c>
      <c r="E121" s="177">
        <v>0.0</v>
      </c>
      <c r="F121" s="177">
        <v>6.0</v>
      </c>
      <c r="G121" s="178">
        <v>17.391304347826086</v>
      </c>
      <c r="H121" s="177">
        <v>0.0</v>
      </c>
      <c r="I121" s="178">
        <v>6.0</v>
      </c>
    </row>
    <row r="122">
      <c r="A122" s="177" t="s">
        <v>1839</v>
      </c>
      <c r="B122" s="177" t="s">
        <v>2837</v>
      </c>
      <c r="C122" s="177" t="s">
        <v>998</v>
      </c>
      <c r="D122" s="177">
        <v>0.0</v>
      </c>
      <c r="E122" s="177">
        <v>0.0</v>
      </c>
      <c r="F122" s="177">
        <v>0.0</v>
      </c>
      <c r="G122" s="178">
        <v>7.407407407407407</v>
      </c>
      <c r="H122" s="177">
        <v>0.0</v>
      </c>
      <c r="I122" s="178">
        <v>0.0</v>
      </c>
    </row>
    <row r="123">
      <c r="A123" s="177" t="s">
        <v>1840</v>
      </c>
      <c r="B123" s="177" t="s">
        <v>2838</v>
      </c>
      <c r="C123" s="177" t="s">
        <v>999</v>
      </c>
      <c r="D123" s="177">
        <v>26.75</v>
      </c>
      <c r="E123" s="177">
        <v>16.25</v>
      </c>
      <c r="F123" s="177">
        <v>43.0</v>
      </c>
      <c r="G123" s="178">
        <v>88.88888888888889</v>
      </c>
      <c r="H123" s="177">
        <v>9.0</v>
      </c>
      <c r="I123" s="178">
        <v>52.0</v>
      </c>
    </row>
    <row r="124">
      <c r="A124" s="177" t="s">
        <v>1841</v>
      </c>
      <c r="B124" s="177" t="s">
        <v>2839</v>
      </c>
      <c r="C124" s="177" t="s">
        <v>1000</v>
      </c>
      <c r="D124" s="177">
        <v>32.5</v>
      </c>
      <c r="E124" s="177">
        <v>0.0</v>
      </c>
      <c r="F124" s="177">
        <v>32.5</v>
      </c>
      <c r="G124" s="178">
        <v>77.77777777777777</v>
      </c>
      <c r="H124" s="177">
        <v>7.0</v>
      </c>
      <c r="I124" s="178">
        <v>39.5</v>
      </c>
    </row>
    <row r="125">
      <c r="A125" s="177" t="s">
        <v>79</v>
      </c>
      <c r="B125" s="177" t="s">
        <v>2840</v>
      </c>
      <c r="C125" s="177" t="s">
        <v>1001</v>
      </c>
      <c r="D125" s="177">
        <v>-1.25</v>
      </c>
      <c r="E125" s="177">
        <v>0.0</v>
      </c>
      <c r="F125" s="177">
        <v>-1.25</v>
      </c>
      <c r="G125" s="178">
        <v>22.22222222222222</v>
      </c>
      <c r="H125" s="177">
        <v>0.0</v>
      </c>
      <c r="I125" s="178">
        <v>-1.25</v>
      </c>
    </row>
    <row r="126">
      <c r="A126" s="177" t="s">
        <v>1876</v>
      </c>
      <c r="B126" s="177" t="s">
        <v>2841</v>
      </c>
      <c r="C126" s="177" t="s">
        <v>1002</v>
      </c>
      <c r="D126" s="177">
        <v>2.5</v>
      </c>
      <c r="E126" s="177">
        <v>7.75</v>
      </c>
      <c r="F126" s="177">
        <v>10.25</v>
      </c>
      <c r="G126" s="178">
        <v>92.5925925925926</v>
      </c>
      <c r="H126" s="177">
        <v>10.0</v>
      </c>
      <c r="I126" s="178">
        <v>20.25</v>
      </c>
    </row>
    <row r="127">
      <c r="A127" s="177" t="s">
        <v>1842</v>
      </c>
      <c r="B127" s="177" t="s">
        <v>2842</v>
      </c>
      <c r="C127" s="177" t="s">
        <v>1003</v>
      </c>
      <c r="D127" s="177">
        <v>8.0</v>
      </c>
      <c r="E127" s="177">
        <v>3.5</v>
      </c>
      <c r="F127" s="177">
        <v>11.5</v>
      </c>
      <c r="G127" s="178">
        <v>81.48148148148148</v>
      </c>
      <c r="H127" s="177">
        <v>8.0</v>
      </c>
      <c r="I127" s="178">
        <v>19.5</v>
      </c>
    </row>
    <row r="128">
      <c r="A128" s="177" t="s">
        <v>1843</v>
      </c>
      <c r="B128" s="177" t="s">
        <v>2843</v>
      </c>
      <c r="C128" s="177" t="s">
        <v>1004</v>
      </c>
      <c r="D128" s="177">
        <v>7.25</v>
      </c>
      <c r="E128" s="177">
        <v>4.75</v>
      </c>
      <c r="F128" s="177">
        <v>12.0</v>
      </c>
      <c r="G128" s="178">
        <v>92.5925925925926</v>
      </c>
      <c r="H128" s="177">
        <v>10.0</v>
      </c>
      <c r="I128" s="178">
        <v>22.0</v>
      </c>
    </row>
    <row r="129">
      <c r="A129" s="177" t="s">
        <v>1820</v>
      </c>
      <c r="B129" s="177" t="s">
        <v>2844</v>
      </c>
      <c r="C129" s="177" t="s">
        <v>1005</v>
      </c>
      <c r="D129" s="177">
        <v>0.0</v>
      </c>
      <c r="E129" s="177">
        <v>0.0</v>
      </c>
      <c r="F129" s="177">
        <v>0.0</v>
      </c>
      <c r="G129" s="178">
        <v>11.11111111111111</v>
      </c>
      <c r="H129" s="177">
        <v>0.0</v>
      </c>
      <c r="I129" s="178">
        <v>0.0</v>
      </c>
    </row>
    <row r="130">
      <c r="A130" s="177" t="s">
        <v>1880</v>
      </c>
      <c r="B130" s="177" t="s">
        <v>2845</v>
      </c>
      <c r="C130" s="177" t="s">
        <v>1006</v>
      </c>
      <c r="D130" s="177">
        <v>9.25</v>
      </c>
      <c r="E130" s="177">
        <v>11.25</v>
      </c>
      <c r="F130" s="177">
        <v>20.5</v>
      </c>
      <c r="G130" s="178">
        <v>74.07407407407408</v>
      </c>
      <c r="H130" s="177">
        <v>6.0</v>
      </c>
      <c r="I130" s="178">
        <v>26.5</v>
      </c>
    </row>
    <row r="131">
      <c r="A131" s="177" t="s">
        <v>1808</v>
      </c>
      <c r="B131" s="177" t="s">
        <v>2846</v>
      </c>
      <c r="C131" s="177" t="s">
        <v>1007</v>
      </c>
      <c r="D131" s="177">
        <v>0.0</v>
      </c>
      <c r="E131" s="177">
        <v>0.0</v>
      </c>
      <c r="F131" s="177">
        <v>0.0</v>
      </c>
      <c r="G131" s="178">
        <v>44.44444444444444</v>
      </c>
      <c r="H131" s="177">
        <v>0.0</v>
      </c>
      <c r="I131" s="178">
        <v>0.0</v>
      </c>
    </row>
    <row r="132">
      <c r="A132" s="177" t="s">
        <v>48</v>
      </c>
      <c r="B132" s="177" t="s">
        <v>2847</v>
      </c>
      <c r="C132" s="177" t="s">
        <v>1008</v>
      </c>
      <c r="D132" s="177">
        <v>11.75</v>
      </c>
      <c r="E132" s="177">
        <v>0.0</v>
      </c>
      <c r="F132" s="177">
        <v>11.75</v>
      </c>
      <c r="G132" s="178">
        <v>0.0</v>
      </c>
      <c r="H132" s="177">
        <v>0.0</v>
      </c>
      <c r="I132" s="178">
        <v>11.75</v>
      </c>
    </row>
    <row r="133">
      <c r="A133" s="177" t="s">
        <v>1819</v>
      </c>
      <c r="B133" s="177" t="s">
        <v>2848</v>
      </c>
      <c r="C133" s="177" t="s">
        <v>1009</v>
      </c>
      <c r="D133" s="177">
        <v>3.75</v>
      </c>
      <c r="E133" s="177">
        <v>3.25</v>
      </c>
      <c r="F133" s="177">
        <v>7.0</v>
      </c>
      <c r="G133" s="178">
        <v>95.65217391304348</v>
      </c>
      <c r="H133" s="177">
        <v>10.0</v>
      </c>
      <c r="I133" s="178">
        <v>17.0</v>
      </c>
    </row>
    <row r="134">
      <c r="A134" s="177" t="s">
        <v>1844</v>
      </c>
      <c r="B134" s="177" t="s">
        <v>2849</v>
      </c>
      <c r="C134" s="177" t="s">
        <v>1010</v>
      </c>
      <c r="D134" s="177">
        <v>16.75</v>
      </c>
      <c r="E134" s="177">
        <v>0.0</v>
      </c>
      <c r="F134" s="177">
        <v>16.75</v>
      </c>
      <c r="G134" s="178">
        <v>55.55555555555556</v>
      </c>
      <c r="H134" s="177">
        <v>0.0</v>
      </c>
      <c r="I134" s="178">
        <v>16.75</v>
      </c>
    </row>
    <row r="135">
      <c r="A135" s="177" t="s">
        <v>1845</v>
      </c>
      <c r="B135" s="177" t="s">
        <v>2850</v>
      </c>
      <c r="C135" s="177" t="s">
        <v>1011</v>
      </c>
      <c r="D135" s="177">
        <v>17.5</v>
      </c>
      <c r="E135" s="177">
        <v>0.0</v>
      </c>
      <c r="F135" s="177">
        <v>17.5</v>
      </c>
      <c r="G135" s="178">
        <v>11.11111111111111</v>
      </c>
      <c r="H135" s="177">
        <v>0.0</v>
      </c>
      <c r="I135" s="178">
        <v>17.5</v>
      </c>
    </row>
    <row r="136">
      <c r="A136" s="177" t="s">
        <v>1846</v>
      </c>
      <c r="B136" s="177" t="s">
        <v>2851</v>
      </c>
      <c r="C136" s="177" t="s">
        <v>1012</v>
      </c>
      <c r="D136" s="177">
        <v>21.0</v>
      </c>
      <c r="E136" s="177">
        <v>0.0</v>
      </c>
      <c r="F136" s="177">
        <v>21.0</v>
      </c>
      <c r="G136" s="178">
        <v>22.22222222222222</v>
      </c>
      <c r="H136" s="177">
        <v>0.0</v>
      </c>
      <c r="I136" s="178">
        <v>21.0</v>
      </c>
    </row>
    <row r="137">
      <c r="A137" s="177" t="s">
        <v>1873</v>
      </c>
      <c r="B137" s="177" t="s">
        <v>2852</v>
      </c>
      <c r="C137" s="177" t="s">
        <v>1013</v>
      </c>
      <c r="D137" s="177">
        <v>18.0</v>
      </c>
      <c r="E137" s="177">
        <v>0.0</v>
      </c>
      <c r="F137" s="177">
        <v>18.0</v>
      </c>
      <c r="G137" s="178">
        <v>29.62962962962963</v>
      </c>
      <c r="H137" s="177">
        <v>0.0</v>
      </c>
      <c r="I137" s="178">
        <v>18.0</v>
      </c>
    </row>
    <row r="138">
      <c r="A138" s="177" t="s">
        <v>55</v>
      </c>
      <c r="B138" s="177" t="s">
        <v>2853</v>
      </c>
      <c r="C138" s="177" t="s">
        <v>1014</v>
      </c>
      <c r="D138" s="177">
        <v>11.25</v>
      </c>
      <c r="E138" s="177">
        <v>0.0</v>
      </c>
      <c r="F138" s="177">
        <v>11.25</v>
      </c>
      <c r="G138" s="178">
        <v>14.814814814814815</v>
      </c>
      <c r="H138" s="177">
        <v>0.0</v>
      </c>
      <c r="I138" s="178">
        <v>11.25</v>
      </c>
    </row>
    <row r="139">
      <c r="A139" s="177" t="s">
        <v>1879</v>
      </c>
      <c r="B139" s="177" t="s">
        <v>2854</v>
      </c>
      <c r="C139" s="177" t="s">
        <v>1015</v>
      </c>
      <c r="D139" s="177">
        <v>0.0</v>
      </c>
      <c r="E139" s="177">
        <v>0.0</v>
      </c>
      <c r="F139" s="177">
        <v>0.0</v>
      </c>
      <c r="G139" s="178">
        <v>48.148148148148145</v>
      </c>
      <c r="H139" s="177">
        <v>0.0</v>
      </c>
      <c r="I139" s="178">
        <v>0.0</v>
      </c>
    </row>
    <row r="140">
      <c r="A140" s="177" t="s">
        <v>1847</v>
      </c>
      <c r="B140" s="177" t="s">
        <v>2855</v>
      </c>
      <c r="C140" s="177" t="s">
        <v>1016</v>
      </c>
      <c r="D140" s="177">
        <v>5.5</v>
      </c>
      <c r="E140" s="177">
        <v>6.5</v>
      </c>
      <c r="F140" s="177">
        <v>12.0</v>
      </c>
      <c r="G140" s="178">
        <v>70.37037037037037</v>
      </c>
      <c r="H140" s="177">
        <v>6.0</v>
      </c>
      <c r="I140" s="178">
        <v>18.0</v>
      </c>
    </row>
    <row r="141">
      <c r="A141" s="177" t="s">
        <v>1848</v>
      </c>
      <c r="B141" s="177" t="s">
        <v>2856</v>
      </c>
      <c r="C141" s="177" t="s">
        <v>1017</v>
      </c>
      <c r="D141" s="177">
        <v>11.5</v>
      </c>
      <c r="E141" s="177">
        <v>15.5</v>
      </c>
      <c r="F141" s="177">
        <v>27.0</v>
      </c>
      <c r="G141" s="178">
        <v>100.0</v>
      </c>
      <c r="H141" s="180"/>
      <c r="I141" s="178">
        <v>27.0</v>
      </c>
    </row>
    <row r="142">
      <c r="A142" s="177" t="s">
        <v>1858</v>
      </c>
      <c r="B142" s="177" t="s">
        <v>2857</v>
      </c>
      <c r="C142" s="177" t="s">
        <v>1018</v>
      </c>
      <c r="D142" s="177">
        <v>22.5</v>
      </c>
      <c r="E142" s="177">
        <v>27.0</v>
      </c>
      <c r="F142" s="177">
        <v>49.5</v>
      </c>
      <c r="G142" s="178">
        <v>88.88888888888889</v>
      </c>
      <c r="H142" s="177">
        <v>9.0</v>
      </c>
      <c r="I142" s="178">
        <v>58.5</v>
      </c>
    </row>
    <row r="143">
      <c r="A143" s="177" t="s">
        <v>1849</v>
      </c>
      <c r="B143" s="177" t="s">
        <v>2858</v>
      </c>
      <c r="C143" s="177" t="s">
        <v>1019</v>
      </c>
      <c r="D143" s="177">
        <v>21.0</v>
      </c>
      <c r="E143" s="177">
        <v>0.0</v>
      </c>
      <c r="F143" s="177">
        <v>21.0</v>
      </c>
      <c r="G143" s="178">
        <v>44.44444444444444</v>
      </c>
      <c r="H143" s="177">
        <v>0.0</v>
      </c>
      <c r="I143" s="178">
        <v>21.0</v>
      </c>
    </row>
    <row r="144">
      <c r="A144" s="177" t="s">
        <v>1850</v>
      </c>
      <c r="B144" s="177" t="s">
        <v>2859</v>
      </c>
      <c r="C144" s="177" t="s">
        <v>1020</v>
      </c>
      <c r="D144" s="177">
        <v>21.25</v>
      </c>
      <c r="E144" s="177">
        <v>0.0</v>
      </c>
      <c r="F144" s="177">
        <v>21.25</v>
      </c>
      <c r="G144" s="178">
        <v>37.03703703703704</v>
      </c>
      <c r="H144" s="177">
        <v>0.0</v>
      </c>
      <c r="I144" s="178">
        <v>21.25</v>
      </c>
    </row>
    <row r="145">
      <c r="A145" s="177" t="s">
        <v>1851</v>
      </c>
      <c r="B145" s="177" t="s">
        <v>2860</v>
      </c>
      <c r="C145" s="177" t="s">
        <v>1021</v>
      </c>
      <c r="D145" s="177">
        <v>15.25</v>
      </c>
      <c r="E145" s="177">
        <v>0.0</v>
      </c>
      <c r="F145" s="177">
        <v>15.25</v>
      </c>
      <c r="G145" s="178">
        <v>33.333333333333336</v>
      </c>
      <c r="H145" s="177">
        <v>0.0</v>
      </c>
      <c r="I145" s="178">
        <v>15.25</v>
      </c>
    </row>
    <row r="146">
      <c r="A146" s="177" t="s">
        <v>1852</v>
      </c>
      <c r="B146" s="177" t="s">
        <v>2861</v>
      </c>
      <c r="C146" s="177" t="s">
        <v>1022</v>
      </c>
      <c r="D146" s="177">
        <v>19.5</v>
      </c>
      <c r="E146" s="177">
        <v>0.0</v>
      </c>
      <c r="F146" s="177">
        <v>19.5</v>
      </c>
      <c r="G146" s="178">
        <v>14.814814814814815</v>
      </c>
      <c r="H146" s="177">
        <v>0.0</v>
      </c>
      <c r="I146" s="178">
        <v>19.5</v>
      </c>
    </row>
    <row r="147">
      <c r="A147" s="177" t="s">
        <v>1853</v>
      </c>
      <c r="B147" s="177" t="s">
        <v>2862</v>
      </c>
      <c r="C147" s="177" t="s">
        <v>1023</v>
      </c>
      <c r="D147" s="177">
        <v>8.75</v>
      </c>
      <c r="E147" s="177">
        <v>0.0</v>
      </c>
      <c r="F147" s="177">
        <v>8.75</v>
      </c>
      <c r="G147" s="178">
        <v>40.74074074074074</v>
      </c>
      <c r="H147" s="177">
        <v>0.0</v>
      </c>
      <c r="I147" s="178">
        <v>8.75</v>
      </c>
    </row>
    <row r="148">
      <c r="A148" s="177" t="s">
        <v>1854</v>
      </c>
      <c r="B148" s="177" t="s">
        <v>2863</v>
      </c>
      <c r="C148" s="177" t="s">
        <v>1024</v>
      </c>
      <c r="D148" s="177">
        <v>0.0</v>
      </c>
      <c r="E148" s="177">
        <v>0.0</v>
      </c>
      <c r="F148" s="177">
        <v>0.0</v>
      </c>
      <c r="G148" s="178">
        <v>7.407407407407407</v>
      </c>
      <c r="H148" s="177">
        <v>0.0</v>
      </c>
      <c r="I148" s="178">
        <v>0.0</v>
      </c>
    </row>
    <row r="149">
      <c r="A149" s="177" t="s">
        <v>99</v>
      </c>
      <c r="B149" s="177" t="s">
        <v>2864</v>
      </c>
      <c r="C149" s="177" t="s">
        <v>1025</v>
      </c>
      <c r="D149" s="177">
        <v>22.25</v>
      </c>
      <c r="E149" s="177">
        <v>0.0</v>
      </c>
      <c r="F149" s="177">
        <v>22.25</v>
      </c>
      <c r="G149" s="178">
        <v>0.0</v>
      </c>
      <c r="H149" s="177">
        <v>0.0</v>
      </c>
      <c r="I149" s="178">
        <v>22.25</v>
      </c>
    </row>
    <row r="150">
      <c r="A150" s="177" t="s">
        <v>2865</v>
      </c>
      <c r="B150" s="177" t="s">
        <v>2866</v>
      </c>
      <c r="C150" s="177" t="s">
        <v>1026</v>
      </c>
      <c r="D150" s="177">
        <v>21.25</v>
      </c>
      <c r="E150" s="177">
        <v>0.0</v>
      </c>
      <c r="F150" s="177">
        <v>21.25</v>
      </c>
      <c r="G150" s="178">
        <v>73.91304347826087</v>
      </c>
      <c r="H150" s="177">
        <v>6.0</v>
      </c>
      <c r="I150" s="178">
        <v>27.25</v>
      </c>
    </row>
    <row r="151">
      <c r="A151" s="177" t="s">
        <v>2274</v>
      </c>
      <c r="B151" s="177" t="s">
        <v>2867</v>
      </c>
      <c r="C151" s="177" t="s">
        <v>1347</v>
      </c>
      <c r="D151" s="177">
        <v>6.75</v>
      </c>
      <c r="E151" s="177">
        <v>0.0</v>
      </c>
      <c r="F151" s="177">
        <v>6.75</v>
      </c>
      <c r="G151" s="178">
        <v>37.03703703703704</v>
      </c>
      <c r="H151" s="177">
        <v>0.0</v>
      </c>
      <c r="I151" s="178">
        <v>6.75</v>
      </c>
    </row>
    <row r="152">
      <c r="A152" s="177" t="s">
        <v>1616</v>
      </c>
      <c r="B152" s="177" t="s">
        <v>2868</v>
      </c>
      <c r="C152" s="177" t="s">
        <v>1039</v>
      </c>
      <c r="D152" s="177">
        <v>19.5</v>
      </c>
      <c r="E152" s="177">
        <v>27.75</v>
      </c>
      <c r="F152" s="177">
        <v>47.25</v>
      </c>
      <c r="G152" s="178">
        <v>79.16666666666667</v>
      </c>
      <c r="H152" s="177">
        <v>7.0</v>
      </c>
      <c r="I152" s="178">
        <v>54.25</v>
      </c>
    </row>
    <row r="153">
      <c r="A153" s="177" t="s">
        <v>1617</v>
      </c>
      <c r="B153" s="177" t="s">
        <v>2869</v>
      </c>
      <c r="C153" s="177" t="s">
        <v>1040</v>
      </c>
      <c r="D153" s="177">
        <v>17.25</v>
      </c>
      <c r="E153" s="177">
        <v>16.5</v>
      </c>
      <c r="F153" s="177">
        <v>33.75</v>
      </c>
      <c r="G153" s="178">
        <v>95.83333333333333</v>
      </c>
      <c r="H153" s="177">
        <v>10.0</v>
      </c>
      <c r="I153" s="178">
        <v>43.75</v>
      </c>
    </row>
    <row r="154">
      <c r="A154" s="177" t="s">
        <v>1618</v>
      </c>
      <c r="B154" s="177" t="s">
        <v>2870</v>
      </c>
      <c r="C154" s="177" t="s">
        <v>1041</v>
      </c>
      <c r="D154" s="177">
        <v>0.0</v>
      </c>
      <c r="E154" s="177">
        <v>0.0</v>
      </c>
      <c r="F154" s="177">
        <v>0.0</v>
      </c>
      <c r="G154" s="178">
        <v>50.0</v>
      </c>
      <c r="H154" s="177">
        <v>0.0</v>
      </c>
      <c r="I154" s="178">
        <v>0.0</v>
      </c>
    </row>
    <row r="155">
      <c r="A155" s="177" t="s">
        <v>1749</v>
      </c>
      <c r="B155" s="177" t="s">
        <v>2871</v>
      </c>
      <c r="C155" s="177" t="s">
        <v>1042</v>
      </c>
      <c r="D155" s="177">
        <v>0.0</v>
      </c>
      <c r="E155" s="177">
        <v>0.0</v>
      </c>
      <c r="F155" s="177">
        <v>0.0</v>
      </c>
      <c r="G155" s="178">
        <v>20.833333333333332</v>
      </c>
      <c r="H155" s="177">
        <v>0.0</v>
      </c>
      <c r="I155" s="178">
        <v>0.0</v>
      </c>
    </row>
    <row r="156">
      <c r="A156" s="177" t="s">
        <v>78</v>
      </c>
      <c r="B156" s="177" t="s">
        <v>2872</v>
      </c>
      <c r="C156" s="177" t="s">
        <v>1043</v>
      </c>
      <c r="D156" s="177">
        <v>2.75</v>
      </c>
      <c r="E156" s="177">
        <v>0.0</v>
      </c>
      <c r="F156" s="177">
        <v>2.75</v>
      </c>
      <c r="G156" s="178">
        <v>79.16666666666667</v>
      </c>
      <c r="H156" s="177">
        <v>7.0</v>
      </c>
      <c r="I156" s="178">
        <v>9.75</v>
      </c>
    </row>
    <row r="157">
      <c r="A157" s="177" t="s">
        <v>1656</v>
      </c>
      <c r="B157" s="177" t="s">
        <v>2873</v>
      </c>
      <c r="C157" s="177" t="s">
        <v>1044</v>
      </c>
      <c r="D157" s="177">
        <v>0.0</v>
      </c>
      <c r="E157" s="177">
        <v>0.0</v>
      </c>
      <c r="F157" s="177">
        <v>0.0</v>
      </c>
      <c r="G157" s="178">
        <v>45.833333333333336</v>
      </c>
      <c r="H157" s="177">
        <v>0.0</v>
      </c>
      <c r="I157" s="178">
        <v>0.0</v>
      </c>
    </row>
    <row r="158">
      <c r="A158" s="177" t="s">
        <v>1651</v>
      </c>
      <c r="B158" s="177" t="s">
        <v>2874</v>
      </c>
      <c r="C158" s="177" t="s">
        <v>1045</v>
      </c>
      <c r="D158" s="177">
        <v>13.5</v>
      </c>
      <c r="E158" s="177">
        <v>21.5</v>
      </c>
      <c r="F158" s="177">
        <v>35.0</v>
      </c>
      <c r="G158" s="178">
        <v>91.66666666666667</v>
      </c>
      <c r="H158" s="177">
        <v>10.0</v>
      </c>
      <c r="I158" s="178">
        <v>45.0</v>
      </c>
    </row>
    <row r="159">
      <c r="A159" s="177" t="s">
        <v>1619</v>
      </c>
      <c r="B159" s="177" t="s">
        <v>2875</v>
      </c>
      <c r="C159" s="177" t="s">
        <v>1046</v>
      </c>
      <c r="D159" s="177">
        <v>15.75</v>
      </c>
      <c r="E159" s="177">
        <v>0.0</v>
      </c>
      <c r="F159" s="177">
        <v>15.75</v>
      </c>
      <c r="G159" s="178">
        <v>79.16666666666667</v>
      </c>
      <c r="H159" s="177">
        <v>7.0</v>
      </c>
      <c r="I159" s="178">
        <v>22.75</v>
      </c>
    </row>
    <row r="160">
      <c r="A160" s="177" t="s">
        <v>1620</v>
      </c>
      <c r="B160" s="177" t="s">
        <v>2876</v>
      </c>
      <c r="C160" s="177" t="s">
        <v>1047</v>
      </c>
      <c r="D160" s="177">
        <v>22.0</v>
      </c>
      <c r="E160" s="177">
        <v>22.75</v>
      </c>
      <c r="F160" s="177">
        <v>44.75</v>
      </c>
      <c r="G160" s="178">
        <v>87.5</v>
      </c>
      <c r="H160" s="177">
        <v>9.0</v>
      </c>
      <c r="I160" s="178">
        <v>53.75</v>
      </c>
    </row>
    <row r="161">
      <c r="A161" s="177" t="s">
        <v>1621</v>
      </c>
      <c r="B161" s="177" t="s">
        <v>2877</v>
      </c>
      <c r="C161" s="177" t="s">
        <v>1048</v>
      </c>
      <c r="D161" s="177">
        <v>0.0</v>
      </c>
      <c r="E161" s="177">
        <v>0.0</v>
      </c>
      <c r="F161" s="177">
        <v>0.0</v>
      </c>
      <c r="G161" s="178">
        <v>91.66666666666667</v>
      </c>
      <c r="H161" s="177">
        <v>10.0</v>
      </c>
      <c r="I161" s="178">
        <v>10.0</v>
      </c>
    </row>
    <row r="162">
      <c r="A162" s="177" t="s">
        <v>1622</v>
      </c>
      <c r="B162" s="177" t="s">
        <v>2878</v>
      </c>
      <c r="C162" s="177" t="s">
        <v>1049</v>
      </c>
      <c r="D162" s="177">
        <v>11.0</v>
      </c>
      <c r="E162" s="177">
        <v>15.75</v>
      </c>
      <c r="F162" s="177">
        <v>26.75</v>
      </c>
      <c r="G162" s="178">
        <v>83.33333333333333</v>
      </c>
      <c r="H162" s="177">
        <v>8.0</v>
      </c>
      <c r="I162" s="178">
        <v>34.75</v>
      </c>
    </row>
    <row r="163">
      <c r="A163" s="177" t="s">
        <v>1659</v>
      </c>
      <c r="B163" s="177" t="s">
        <v>2879</v>
      </c>
      <c r="C163" s="177" t="s">
        <v>1050</v>
      </c>
      <c r="D163" s="177">
        <v>0.0</v>
      </c>
      <c r="E163" s="177">
        <v>0.0</v>
      </c>
      <c r="F163" s="177">
        <v>0.0</v>
      </c>
      <c r="G163" s="178">
        <v>25.0</v>
      </c>
      <c r="H163" s="177">
        <v>0.0</v>
      </c>
      <c r="I163" s="178">
        <v>0.0</v>
      </c>
    </row>
    <row r="164">
      <c r="A164" s="177" t="s">
        <v>1623</v>
      </c>
      <c r="B164" s="177" t="s">
        <v>2880</v>
      </c>
      <c r="C164" s="177" t="s">
        <v>1051</v>
      </c>
      <c r="D164" s="177">
        <v>24.25</v>
      </c>
      <c r="E164" s="177">
        <v>28.0</v>
      </c>
      <c r="F164" s="177">
        <v>52.25</v>
      </c>
      <c r="G164" s="178">
        <v>79.16666666666667</v>
      </c>
      <c r="H164" s="177">
        <v>7.0</v>
      </c>
      <c r="I164" s="178">
        <v>59.25</v>
      </c>
    </row>
    <row r="165">
      <c r="A165" s="177" t="s">
        <v>1624</v>
      </c>
      <c r="B165" s="177" t="s">
        <v>2881</v>
      </c>
      <c r="C165" s="177" t="s">
        <v>1052</v>
      </c>
      <c r="D165" s="177">
        <v>15.0</v>
      </c>
      <c r="E165" s="177">
        <v>25.0</v>
      </c>
      <c r="F165" s="177">
        <v>40.0</v>
      </c>
      <c r="G165" s="178">
        <v>91.66666666666667</v>
      </c>
      <c r="H165" s="177">
        <v>10.0</v>
      </c>
      <c r="I165" s="178">
        <v>50.0</v>
      </c>
    </row>
    <row r="166">
      <c r="A166" s="177" t="s">
        <v>1625</v>
      </c>
      <c r="B166" s="177" t="s">
        <v>2882</v>
      </c>
      <c r="C166" s="177" t="s">
        <v>1053</v>
      </c>
      <c r="D166" s="177">
        <v>13.5</v>
      </c>
      <c r="E166" s="177">
        <v>10.0</v>
      </c>
      <c r="F166" s="177">
        <v>23.5</v>
      </c>
      <c r="G166" s="178">
        <v>91.66666666666667</v>
      </c>
      <c r="H166" s="177">
        <v>10.0</v>
      </c>
      <c r="I166" s="178">
        <v>33.5</v>
      </c>
    </row>
    <row r="167">
      <c r="A167" s="177" t="s">
        <v>1670</v>
      </c>
      <c r="B167" s="177" t="s">
        <v>2883</v>
      </c>
      <c r="C167" s="177" t="s">
        <v>1054</v>
      </c>
      <c r="D167" s="177">
        <v>1.5</v>
      </c>
      <c r="E167" s="177">
        <v>0.0</v>
      </c>
      <c r="F167" s="177">
        <v>1.5</v>
      </c>
      <c r="G167" s="178">
        <v>58.333333333333336</v>
      </c>
      <c r="H167" s="177">
        <v>0.0</v>
      </c>
      <c r="I167" s="178">
        <v>1.5</v>
      </c>
    </row>
    <row r="168">
      <c r="A168" s="177" t="s">
        <v>1626</v>
      </c>
      <c r="B168" s="177" t="s">
        <v>2884</v>
      </c>
      <c r="C168" s="177" t="s">
        <v>1055</v>
      </c>
      <c r="D168" s="177">
        <v>18.75</v>
      </c>
      <c r="E168" s="177">
        <v>0.0</v>
      </c>
      <c r="F168" s="177">
        <v>18.75</v>
      </c>
      <c r="G168" s="178">
        <v>45.833333333333336</v>
      </c>
      <c r="H168" s="177">
        <v>0.0</v>
      </c>
      <c r="I168" s="178">
        <v>18.75</v>
      </c>
    </row>
    <row r="169">
      <c r="A169" s="177" t="s">
        <v>1663</v>
      </c>
      <c r="B169" s="177" t="s">
        <v>2885</v>
      </c>
      <c r="C169" s="177" t="s">
        <v>1056</v>
      </c>
      <c r="D169" s="177">
        <v>0.0</v>
      </c>
      <c r="E169" s="177">
        <v>0.0</v>
      </c>
      <c r="F169" s="177">
        <v>0.0</v>
      </c>
      <c r="G169" s="178">
        <v>0.0</v>
      </c>
      <c r="H169" s="177">
        <v>0.0</v>
      </c>
      <c r="I169" s="178">
        <v>0.0</v>
      </c>
    </row>
    <row r="170">
      <c r="A170" s="177" t="s">
        <v>1652</v>
      </c>
      <c r="B170" s="177" t="s">
        <v>2886</v>
      </c>
      <c r="C170" s="177" t="s">
        <v>1057</v>
      </c>
      <c r="D170" s="177">
        <v>0.0</v>
      </c>
      <c r="E170" s="177">
        <v>0.0</v>
      </c>
      <c r="F170" s="177">
        <v>0.0</v>
      </c>
      <c r="G170" s="178">
        <v>45.833333333333336</v>
      </c>
      <c r="H170" s="177">
        <v>0.0</v>
      </c>
      <c r="I170" s="178">
        <v>0.0</v>
      </c>
    </row>
    <row r="171">
      <c r="A171" s="177" t="s">
        <v>80</v>
      </c>
      <c r="B171" s="177" t="s">
        <v>2887</v>
      </c>
      <c r="C171" s="177" t="s">
        <v>1058</v>
      </c>
      <c r="D171" s="177">
        <v>26.25</v>
      </c>
      <c r="E171" s="177">
        <v>30.25</v>
      </c>
      <c r="F171" s="177">
        <v>56.5</v>
      </c>
      <c r="G171" s="178">
        <v>91.0</v>
      </c>
      <c r="H171" s="177">
        <v>10.0</v>
      </c>
      <c r="I171" s="178">
        <v>66.5</v>
      </c>
    </row>
    <row r="172">
      <c r="A172" s="177" t="s">
        <v>1676</v>
      </c>
      <c r="B172" s="177" t="s">
        <v>2888</v>
      </c>
      <c r="C172" s="177" t="s">
        <v>1059</v>
      </c>
      <c r="D172" s="177">
        <v>0.0</v>
      </c>
      <c r="E172" s="177">
        <v>0.0</v>
      </c>
      <c r="F172" s="177">
        <v>0.0</v>
      </c>
      <c r="G172" s="178">
        <v>41.666666666666664</v>
      </c>
      <c r="H172" s="177">
        <v>0.0</v>
      </c>
      <c r="I172" s="178">
        <v>0.0</v>
      </c>
    </row>
    <row r="173">
      <c r="A173" s="177" t="s">
        <v>1673</v>
      </c>
      <c r="B173" s="177" t="s">
        <v>2889</v>
      </c>
      <c r="C173" s="177" t="s">
        <v>1060</v>
      </c>
      <c r="D173" s="177">
        <v>24.5</v>
      </c>
      <c r="E173" s="177" t="s">
        <v>2491</v>
      </c>
      <c r="F173" s="177" t="s">
        <v>2491</v>
      </c>
      <c r="G173" s="178">
        <v>83.33333333333333</v>
      </c>
      <c r="H173" s="177">
        <v>8.0</v>
      </c>
      <c r="I173" s="179">
        <v>0.0</v>
      </c>
    </row>
    <row r="174">
      <c r="A174" s="177" t="s">
        <v>1681</v>
      </c>
      <c r="B174" s="177" t="s">
        <v>2890</v>
      </c>
      <c r="C174" s="177" t="s">
        <v>1061</v>
      </c>
      <c r="D174" s="177">
        <v>26.5</v>
      </c>
      <c r="E174" s="177" t="s">
        <v>2491</v>
      </c>
      <c r="F174" s="177" t="s">
        <v>2491</v>
      </c>
      <c r="G174" s="178">
        <v>79.16666666666667</v>
      </c>
      <c r="H174" s="177">
        <v>7.0</v>
      </c>
      <c r="I174" s="179">
        <v>0.0</v>
      </c>
    </row>
    <row r="175">
      <c r="A175" s="177" t="s">
        <v>1627</v>
      </c>
      <c r="B175" s="177" t="s">
        <v>2891</v>
      </c>
      <c r="C175" s="177" t="s">
        <v>1063</v>
      </c>
      <c r="D175" s="177">
        <v>30.25</v>
      </c>
      <c r="E175" s="177" t="s">
        <v>2491</v>
      </c>
      <c r="F175" s="177" t="s">
        <v>2491</v>
      </c>
      <c r="G175" s="178">
        <v>70.83333333333333</v>
      </c>
      <c r="H175" s="177">
        <v>6.0</v>
      </c>
      <c r="I175" s="179">
        <v>0.0</v>
      </c>
    </row>
    <row r="176">
      <c r="A176" s="177" t="s">
        <v>1628</v>
      </c>
      <c r="B176" s="177" t="s">
        <v>2892</v>
      </c>
      <c r="C176" s="177" t="s">
        <v>1064</v>
      </c>
      <c r="D176" s="177">
        <v>8.75</v>
      </c>
      <c r="E176" s="177">
        <v>0.0</v>
      </c>
      <c r="F176" s="177">
        <v>8.75</v>
      </c>
      <c r="G176" s="178">
        <v>33.333333333333336</v>
      </c>
      <c r="H176" s="177">
        <v>0.0</v>
      </c>
      <c r="I176" s="178">
        <v>8.75</v>
      </c>
    </row>
    <row r="177">
      <c r="A177" s="177" t="s">
        <v>1629</v>
      </c>
      <c r="B177" s="177" t="s">
        <v>2893</v>
      </c>
      <c r="C177" s="177" t="s">
        <v>1065</v>
      </c>
      <c r="D177" s="177">
        <v>0.75</v>
      </c>
      <c r="E177" s="177">
        <v>0.0</v>
      </c>
      <c r="F177" s="177">
        <v>0.75</v>
      </c>
      <c r="G177" s="178">
        <v>87.5</v>
      </c>
      <c r="H177" s="177">
        <v>9.0</v>
      </c>
      <c r="I177" s="178">
        <v>9.75</v>
      </c>
    </row>
    <row r="178">
      <c r="A178" s="177" t="s">
        <v>1653</v>
      </c>
      <c r="B178" s="177" t="s">
        <v>2894</v>
      </c>
      <c r="C178" s="177" t="s">
        <v>1066</v>
      </c>
      <c r="D178" s="177">
        <v>18.5</v>
      </c>
      <c r="E178" s="177" t="s">
        <v>2491</v>
      </c>
      <c r="F178" s="177" t="s">
        <v>2491</v>
      </c>
      <c r="G178" s="178">
        <v>87.5</v>
      </c>
      <c r="H178" s="177">
        <v>9.0</v>
      </c>
      <c r="I178" s="179">
        <v>0.0</v>
      </c>
    </row>
    <row r="179">
      <c r="A179" s="177" t="s">
        <v>1734</v>
      </c>
      <c r="B179" s="177" t="s">
        <v>2895</v>
      </c>
      <c r="C179" s="177" t="s">
        <v>1067</v>
      </c>
      <c r="D179" s="177">
        <v>9.0</v>
      </c>
      <c r="E179" s="177">
        <v>4.75</v>
      </c>
      <c r="F179" s="177">
        <v>13.75</v>
      </c>
      <c r="G179" s="178">
        <v>95.83333333333333</v>
      </c>
      <c r="H179" s="177">
        <v>10.0</v>
      </c>
      <c r="I179" s="178">
        <v>23.75</v>
      </c>
    </row>
    <row r="180">
      <c r="A180" s="177" t="s">
        <v>1630</v>
      </c>
      <c r="B180" s="177" t="s">
        <v>2896</v>
      </c>
      <c r="C180" s="177" t="s">
        <v>1068</v>
      </c>
      <c r="D180" s="177">
        <v>19.25</v>
      </c>
      <c r="E180" s="177">
        <v>36.25</v>
      </c>
      <c r="F180" s="177">
        <v>55.5</v>
      </c>
      <c r="G180" s="178">
        <v>75.0</v>
      </c>
      <c r="H180" s="177">
        <v>6.0</v>
      </c>
      <c r="I180" s="178">
        <v>61.5</v>
      </c>
    </row>
    <row r="181">
      <c r="A181" s="177" t="s">
        <v>1671</v>
      </c>
      <c r="B181" s="177" t="s">
        <v>2897</v>
      </c>
      <c r="C181" s="177" t="s">
        <v>1069</v>
      </c>
      <c r="D181" s="177">
        <v>0.0</v>
      </c>
      <c r="E181" s="177">
        <v>0.0</v>
      </c>
      <c r="F181" s="177">
        <v>0.0</v>
      </c>
      <c r="G181" s="178">
        <v>25.0</v>
      </c>
      <c r="H181" s="177">
        <v>0.0</v>
      </c>
      <c r="I181" s="178">
        <v>0.0</v>
      </c>
    </row>
    <row r="182">
      <c r="A182" s="177" t="s">
        <v>1631</v>
      </c>
      <c r="B182" s="177" t="s">
        <v>2898</v>
      </c>
      <c r="C182" s="177" t="s">
        <v>1070</v>
      </c>
      <c r="D182" s="177">
        <v>20.0</v>
      </c>
      <c r="E182" s="177">
        <v>36.25</v>
      </c>
      <c r="F182" s="177">
        <v>56.25</v>
      </c>
      <c r="G182" s="178">
        <v>83.33333333333333</v>
      </c>
      <c r="H182" s="177">
        <v>8.0</v>
      </c>
      <c r="I182" s="178">
        <v>64.25</v>
      </c>
    </row>
    <row r="183">
      <c r="A183" s="177" t="s">
        <v>1632</v>
      </c>
      <c r="B183" s="177" t="s">
        <v>2899</v>
      </c>
      <c r="C183" s="177" t="s">
        <v>1071</v>
      </c>
      <c r="D183" s="177">
        <v>24.0</v>
      </c>
      <c r="E183" s="177">
        <v>32.5</v>
      </c>
      <c r="F183" s="177">
        <v>56.5</v>
      </c>
      <c r="G183" s="178">
        <v>91.66666666666667</v>
      </c>
      <c r="H183" s="177">
        <v>10.0</v>
      </c>
      <c r="I183" s="178">
        <v>66.5</v>
      </c>
    </row>
    <row r="184">
      <c r="A184" s="177" t="s">
        <v>1633</v>
      </c>
      <c r="B184" s="177" t="s">
        <v>2900</v>
      </c>
      <c r="C184" s="177" t="s">
        <v>1072</v>
      </c>
      <c r="D184" s="177">
        <v>0.0</v>
      </c>
      <c r="E184" s="177">
        <v>0.0</v>
      </c>
      <c r="F184" s="177">
        <v>0.0</v>
      </c>
      <c r="G184" s="178">
        <v>25.0</v>
      </c>
      <c r="H184" s="177">
        <v>0.0</v>
      </c>
      <c r="I184" s="178">
        <v>0.0</v>
      </c>
    </row>
    <row r="185">
      <c r="A185" s="177" t="s">
        <v>1736</v>
      </c>
      <c r="B185" s="177" t="s">
        <v>2901</v>
      </c>
      <c r="C185" s="177" t="s">
        <v>1073</v>
      </c>
      <c r="D185" s="177">
        <v>0.0</v>
      </c>
      <c r="E185" s="177">
        <v>0.0</v>
      </c>
      <c r="F185" s="177">
        <v>0.0</v>
      </c>
      <c r="G185" s="178">
        <v>20.833333333333332</v>
      </c>
      <c r="H185" s="177">
        <v>0.0</v>
      </c>
      <c r="I185" s="178">
        <v>0.0</v>
      </c>
    </row>
    <row r="186">
      <c r="A186" s="177" t="s">
        <v>1634</v>
      </c>
      <c r="B186" s="177" t="s">
        <v>2902</v>
      </c>
      <c r="C186" s="177" t="s">
        <v>1074</v>
      </c>
      <c r="D186" s="177">
        <v>13.75</v>
      </c>
      <c r="E186" s="177">
        <v>0.0</v>
      </c>
      <c r="F186" s="177">
        <v>13.75</v>
      </c>
      <c r="G186" s="178">
        <v>58.333333333333336</v>
      </c>
      <c r="H186" s="177">
        <v>0.0</v>
      </c>
      <c r="I186" s="178">
        <v>13.75</v>
      </c>
    </row>
    <row r="187">
      <c r="A187" s="177" t="s">
        <v>1665</v>
      </c>
      <c r="B187" s="177" t="s">
        <v>2903</v>
      </c>
      <c r="C187" s="177" t="s">
        <v>1075</v>
      </c>
      <c r="D187" s="177">
        <v>0.0</v>
      </c>
      <c r="E187" s="177">
        <v>0.0</v>
      </c>
      <c r="F187" s="177">
        <v>0.0</v>
      </c>
      <c r="G187" s="178">
        <v>25.0</v>
      </c>
      <c r="H187" s="177">
        <v>0.0</v>
      </c>
      <c r="I187" s="178">
        <v>0.0</v>
      </c>
    </row>
    <row r="188">
      <c r="A188" s="177" t="s">
        <v>1678</v>
      </c>
      <c r="B188" s="177" t="s">
        <v>2904</v>
      </c>
      <c r="C188" s="177" t="s">
        <v>1076</v>
      </c>
      <c r="D188" s="177">
        <v>25.5</v>
      </c>
      <c r="E188" s="177">
        <v>22.5</v>
      </c>
      <c r="F188" s="177">
        <v>48.0</v>
      </c>
      <c r="G188" s="178">
        <v>75.0</v>
      </c>
      <c r="H188" s="177">
        <v>6.0</v>
      </c>
      <c r="I188" s="178">
        <v>54.0</v>
      </c>
    </row>
    <row r="189">
      <c r="A189" s="177" t="s">
        <v>1635</v>
      </c>
      <c r="B189" s="177" t="s">
        <v>2905</v>
      </c>
      <c r="C189" s="177" t="s">
        <v>1077</v>
      </c>
      <c r="D189" s="177">
        <v>0.0</v>
      </c>
      <c r="E189" s="177">
        <v>0.0</v>
      </c>
      <c r="F189" s="177">
        <v>0.0</v>
      </c>
      <c r="G189" s="178">
        <v>45.833333333333336</v>
      </c>
      <c r="H189" s="177">
        <v>0.0</v>
      </c>
      <c r="I189" s="178">
        <v>0.0</v>
      </c>
    </row>
    <row r="190">
      <c r="A190" s="177" t="s">
        <v>1662</v>
      </c>
      <c r="B190" s="177" t="s">
        <v>2906</v>
      </c>
      <c r="C190" s="177" t="s">
        <v>1078</v>
      </c>
      <c r="D190" s="177">
        <v>0.0</v>
      </c>
      <c r="E190" s="177">
        <v>0.0</v>
      </c>
      <c r="F190" s="177">
        <v>0.0</v>
      </c>
      <c r="G190" s="178">
        <v>45.833333333333336</v>
      </c>
      <c r="H190" s="177">
        <v>0.0</v>
      </c>
      <c r="I190" s="178">
        <v>0.0</v>
      </c>
    </row>
    <row r="191">
      <c r="A191" s="177" t="s">
        <v>1636</v>
      </c>
      <c r="B191" s="177" t="s">
        <v>2907</v>
      </c>
      <c r="C191" s="177" t="s">
        <v>1079</v>
      </c>
      <c r="D191" s="177">
        <v>16.0</v>
      </c>
      <c r="E191" s="177">
        <v>18.5</v>
      </c>
      <c r="F191" s="177">
        <v>34.5</v>
      </c>
      <c r="G191" s="178">
        <v>87.5</v>
      </c>
      <c r="H191" s="177">
        <v>9.0</v>
      </c>
      <c r="I191" s="178">
        <v>43.5</v>
      </c>
    </row>
    <row r="192">
      <c r="A192" s="177" t="s">
        <v>1661</v>
      </c>
      <c r="B192" s="177" t="s">
        <v>2908</v>
      </c>
      <c r="C192" s="177" t="s">
        <v>1080</v>
      </c>
      <c r="D192" s="177">
        <v>0.0</v>
      </c>
      <c r="E192" s="177">
        <v>0.0</v>
      </c>
      <c r="F192" s="177">
        <v>0.0</v>
      </c>
      <c r="G192" s="178">
        <v>29.166666666666668</v>
      </c>
      <c r="H192" s="177">
        <v>0.0</v>
      </c>
      <c r="I192" s="178">
        <v>0.0</v>
      </c>
    </row>
    <row r="193">
      <c r="A193" s="177" t="s">
        <v>1655</v>
      </c>
      <c r="B193" s="177" t="s">
        <v>2909</v>
      </c>
      <c r="C193" s="177" t="s">
        <v>1081</v>
      </c>
      <c r="D193" s="177">
        <v>11.25</v>
      </c>
      <c r="E193" s="177">
        <v>0.0</v>
      </c>
      <c r="F193" s="177">
        <v>11.25</v>
      </c>
      <c r="G193" s="178">
        <v>41.666666666666664</v>
      </c>
      <c r="H193" s="177">
        <v>0.0</v>
      </c>
      <c r="I193" s="178">
        <v>11.25</v>
      </c>
    </row>
    <row r="194">
      <c r="A194" s="177" t="s">
        <v>1680</v>
      </c>
      <c r="B194" s="177" t="s">
        <v>2910</v>
      </c>
      <c r="C194" s="177" t="s">
        <v>1082</v>
      </c>
      <c r="D194" s="177">
        <v>13.5</v>
      </c>
      <c r="E194" s="177">
        <v>0.0</v>
      </c>
      <c r="F194" s="177">
        <v>13.5</v>
      </c>
      <c r="G194" s="178">
        <v>12.5</v>
      </c>
      <c r="H194" s="177">
        <v>0.0</v>
      </c>
      <c r="I194" s="178">
        <v>13.5</v>
      </c>
    </row>
    <row r="195">
      <c r="A195" s="177" t="s">
        <v>1637</v>
      </c>
      <c r="B195" s="177" t="s">
        <v>2911</v>
      </c>
      <c r="C195" s="177" t="s">
        <v>1083</v>
      </c>
      <c r="D195" s="177">
        <v>9.25</v>
      </c>
      <c r="E195" s="177">
        <v>8.5</v>
      </c>
      <c r="F195" s="177">
        <v>17.75</v>
      </c>
      <c r="G195" s="178">
        <v>87.5</v>
      </c>
      <c r="H195" s="177">
        <v>9.0</v>
      </c>
      <c r="I195" s="178">
        <v>26.75</v>
      </c>
    </row>
    <row r="196">
      <c r="A196" s="177" t="s">
        <v>1638</v>
      </c>
      <c r="B196" s="177" t="s">
        <v>2912</v>
      </c>
      <c r="C196" s="177" t="s">
        <v>1084</v>
      </c>
      <c r="D196" s="177">
        <v>11.25</v>
      </c>
      <c r="E196" s="177">
        <v>20.0</v>
      </c>
      <c r="F196" s="177">
        <v>31.25</v>
      </c>
      <c r="G196" s="178">
        <v>66.66666666666667</v>
      </c>
      <c r="H196" s="177">
        <v>0.0</v>
      </c>
      <c r="I196" s="178">
        <v>31.25</v>
      </c>
    </row>
    <row r="197">
      <c r="A197" s="177" t="s">
        <v>1667</v>
      </c>
      <c r="B197" s="177" t="s">
        <v>2913</v>
      </c>
      <c r="C197" s="177" t="s">
        <v>1085</v>
      </c>
      <c r="D197" s="177">
        <v>0.0</v>
      </c>
      <c r="E197" s="177">
        <v>0.0</v>
      </c>
      <c r="F197" s="177">
        <v>0.0</v>
      </c>
      <c r="G197" s="178">
        <v>25.0</v>
      </c>
      <c r="H197" s="177">
        <v>0.0</v>
      </c>
      <c r="I197" s="178">
        <v>0.0</v>
      </c>
    </row>
    <row r="198">
      <c r="A198" s="177" t="s">
        <v>1639</v>
      </c>
      <c r="B198" s="177" t="s">
        <v>2914</v>
      </c>
      <c r="C198" s="177" t="s">
        <v>1086</v>
      </c>
      <c r="D198" s="177">
        <v>21.0</v>
      </c>
      <c r="E198" s="177">
        <v>29.75</v>
      </c>
      <c r="F198" s="177">
        <v>50.75</v>
      </c>
      <c r="G198" s="178">
        <v>91.66666666666667</v>
      </c>
      <c r="H198" s="177">
        <v>10.0</v>
      </c>
      <c r="I198" s="178">
        <v>60.75</v>
      </c>
    </row>
    <row r="199">
      <c r="A199" s="177" t="s">
        <v>1668</v>
      </c>
      <c r="B199" s="177" t="s">
        <v>2915</v>
      </c>
      <c r="C199" s="177" t="s">
        <v>1087</v>
      </c>
      <c r="D199" s="177">
        <v>22.0</v>
      </c>
      <c r="E199" s="177">
        <v>21.75</v>
      </c>
      <c r="F199" s="177">
        <v>43.75</v>
      </c>
      <c r="G199" s="178">
        <v>87.5</v>
      </c>
      <c r="H199" s="177">
        <v>9.0</v>
      </c>
      <c r="I199" s="178">
        <v>52.75</v>
      </c>
    </row>
    <row r="200">
      <c r="A200" s="177" t="s">
        <v>1677</v>
      </c>
      <c r="B200" s="177" t="s">
        <v>2916</v>
      </c>
      <c r="C200" s="177" t="s">
        <v>1089</v>
      </c>
      <c r="D200" s="177">
        <v>22.75</v>
      </c>
      <c r="E200" s="177">
        <v>22.0</v>
      </c>
      <c r="F200" s="177">
        <v>44.75</v>
      </c>
      <c r="G200" s="178">
        <v>91.66666666666667</v>
      </c>
      <c r="H200" s="177">
        <v>10.0</v>
      </c>
      <c r="I200" s="178">
        <v>54.75</v>
      </c>
    </row>
    <row r="201">
      <c r="A201" s="177" t="s">
        <v>1640</v>
      </c>
      <c r="B201" s="177" t="s">
        <v>2917</v>
      </c>
      <c r="C201" s="177" t="s">
        <v>1090</v>
      </c>
      <c r="D201" s="177">
        <v>16.5</v>
      </c>
      <c r="E201" s="177">
        <v>0.0</v>
      </c>
      <c r="F201" s="177">
        <v>16.5</v>
      </c>
      <c r="G201" s="178">
        <v>58.333333333333336</v>
      </c>
      <c r="H201" s="177">
        <v>0.0</v>
      </c>
      <c r="I201" s="178">
        <v>16.5</v>
      </c>
    </row>
    <row r="202">
      <c r="A202" s="177" t="s">
        <v>1641</v>
      </c>
      <c r="B202" s="177" t="s">
        <v>2918</v>
      </c>
      <c r="C202" s="177" t="s">
        <v>1091</v>
      </c>
      <c r="D202" s="177">
        <v>13.25</v>
      </c>
      <c r="E202" s="177">
        <v>21.5</v>
      </c>
      <c r="F202" s="177">
        <v>34.75</v>
      </c>
      <c r="G202" s="178">
        <v>70.83333333333333</v>
      </c>
      <c r="H202" s="177">
        <v>6.0</v>
      </c>
      <c r="I202" s="178">
        <v>40.75</v>
      </c>
    </row>
    <row r="203">
      <c r="A203" s="177" t="s">
        <v>1642</v>
      </c>
      <c r="B203" s="177" t="s">
        <v>2919</v>
      </c>
      <c r="C203" s="177" t="s">
        <v>1092</v>
      </c>
      <c r="D203" s="177">
        <v>0.0</v>
      </c>
      <c r="E203" s="177">
        <v>0.0</v>
      </c>
      <c r="F203" s="177">
        <v>0.0</v>
      </c>
      <c r="G203" s="178">
        <v>12.5</v>
      </c>
      <c r="H203" s="177">
        <v>0.0</v>
      </c>
      <c r="I203" s="178">
        <v>0.0</v>
      </c>
    </row>
    <row r="204">
      <c r="A204" s="177" t="s">
        <v>1672</v>
      </c>
      <c r="B204" s="177" t="s">
        <v>2920</v>
      </c>
      <c r="C204" s="177" t="s">
        <v>1093</v>
      </c>
      <c r="D204" s="177">
        <v>0.0</v>
      </c>
      <c r="E204" s="177">
        <v>0.0</v>
      </c>
      <c r="F204" s="177">
        <v>0.0</v>
      </c>
      <c r="G204" s="178">
        <v>8.333333333333334</v>
      </c>
      <c r="H204" s="177">
        <v>0.0</v>
      </c>
      <c r="I204" s="178">
        <v>0.0</v>
      </c>
    </row>
    <row r="205">
      <c r="A205" s="177" t="s">
        <v>1658</v>
      </c>
      <c r="B205" s="177" t="s">
        <v>2921</v>
      </c>
      <c r="C205" s="177" t="s">
        <v>1094</v>
      </c>
      <c r="D205" s="177">
        <v>15.25</v>
      </c>
      <c r="E205" s="177">
        <v>23.25</v>
      </c>
      <c r="F205" s="177">
        <v>38.5</v>
      </c>
      <c r="G205" s="178">
        <v>70.83333333333333</v>
      </c>
      <c r="H205" s="177">
        <v>6.0</v>
      </c>
      <c r="I205" s="178">
        <v>44.5</v>
      </c>
    </row>
    <row r="206">
      <c r="A206" s="177" t="s">
        <v>1654</v>
      </c>
      <c r="B206" s="177" t="s">
        <v>2922</v>
      </c>
      <c r="C206" s="177" t="s">
        <v>1095</v>
      </c>
      <c r="D206" s="177">
        <v>0.0</v>
      </c>
      <c r="E206" s="177">
        <v>0.0</v>
      </c>
      <c r="F206" s="177">
        <v>0.0</v>
      </c>
      <c r="G206" s="178">
        <v>0.0</v>
      </c>
      <c r="H206" s="177">
        <v>0.0</v>
      </c>
      <c r="I206" s="178">
        <v>0.0</v>
      </c>
    </row>
    <row r="207">
      <c r="A207" s="177" t="s">
        <v>1643</v>
      </c>
      <c r="B207" s="177" t="s">
        <v>2923</v>
      </c>
      <c r="C207" s="177" t="s">
        <v>1096</v>
      </c>
      <c r="D207" s="177">
        <v>14.75</v>
      </c>
      <c r="E207" s="177">
        <v>0.0</v>
      </c>
      <c r="F207" s="177">
        <v>14.75</v>
      </c>
      <c r="G207" s="178">
        <v>66.66666666666667</v>
      </c>
      <c r="H207" s="177">
        <v>0.0</v>
      </c>
      <c r="I207" s="178">
        <v>14.75</v>
      </c>
    </row>
    <row r="208">
      <c r="A208" s="177" t="s">
        <v>1748</v>
      </c>
      <c r="B208" s="177" t="s">
        <v>2924</v>
      </c>
      <c r="C208" s="177" t="s">
        <v>1097</v>
      </c>
      <c r="D208" s="177">
        <v>14.25</v>
      </c>
      <c r="E208" s="177">
        <v>17.0</v>
      </c>
      <c r="F208" s="177">
        <v>31.25</v>
      </c>
      <c r="G208" s="178">
        <v>95.83333333333333</v>
      </c>
      <c r="H208" s="177">
        <v>10.0</v>
      </c>
      <c r="I208" s="178">
        <v>41.25</v>
      </c>
    </row>
    <row r="209">
      <c r="A209" s="177" t="s">
        <v>1644</v>
      </c>
      <c r="B209" s="177" t="s">
        <v>2925</v>
      </c>
      <c r="C209" s="177" t="s">
        <v>1098</v>
      </c>
      <c r="D209" s="177">
        <v>3.5</v>
      </c>
      <c r="E209" s="177">
        <v>12.25</v>
      </c>
      <c r="F209" s="177">
        <v>15.75</v>
      </c>
      <c r="G209" s="178">
        <v>79.16666666666667</v>
      </c>
      <c r="H209" s="177">
        <v>7.0</v>
      </c>
      <c r="I209" s="178">
        <v>22.75</v>
      </c>
    </row>
    <row r="210">
      <c r="A210" s="177" t="s">
        <v>1741</v>
      </c>
      <c r="B210" s="177" t="s">
        <v>2926</v>
      </c>
      <c r="C210" s="177" t="s">
        <v>1099</v>
      </c>
      <c r="D210" s="177">
        <v>15.25</v>
      </c>
      <c r="E210" s="177">
        <v>21.0</v>
      </c>
      <c r="F210" s="177">
        <v>36.25</v>
      </c>
      <c r="G210" s="178">
        <v>87.5</v>
      </c>
      <c r="H210" s="177">
        <v>9.0</v>
      </c>
      <c r="I210" s="178">
        <v>45.25</v>
      </c>
    </row>
    <row r="211">
      <c r="A211" s="177" t="s">
        <v>1645</v>
      </c>
      <c r="B211" s="177" t="s">
        <v>2927</v>
      </c>
      <c r="C211" s="177" t="s">
        <v>1100</v>
      </c>
      <c r="D211" s="177">
        <v>5.5</v>
      </c>
      <c r="E211" s="177">
        <v>0.0</v>
      </c>
      <c r="F211" s="177">
        <v>5.5</v>
      </c>
      <c r="G211" s="178">
        <v>29.166666666666668</v>
      </c>
      <c r="H211" s="177">
        <v>0.0</v>
      </c>
      <c r="I211" s="178">
        <v>5.5</v>
      </c>
    </row>
    <row r="212">
      <c r="A212" s="177" t="s">
        <v>1646</v>
      </c>
      <c r="B212" s="177" t="s">
        <v>2928</v>
      </c>
      <c r="C212" s="177" t="s">
        <v>1101</v>
      </c>
      <c r="D212" s="177">
        <v>18.0</v>
      </c>
      <c r="E212" s="177">
        <v>20.25</v>
      </c>
      <c r="F212" s="177">
        <v>38.25</v>
      </c>
      <c r="G212" s="178">
        <v>83.33333333333333</v>
      </c>
      <c r="H212" s="177">
        <v>8.0</v>
      </c>
      <c r="I212" s="178">
        <v>46.25</v>
      </c>
    </row>
    <row r="213">
      <c r="A213" s="177" t="s">
        <v>1647</v>
      </c>
      <c r="B213" s="177" t="s">
        <v>2929</v>
      </c>
      <c r="C213" s="177" t="s">
        <v>1102</v>
      </c>
      <c r="D213" s="177">
        <v>20.25</v>
      </c>
      <c r="E213" s="177">
        <v>15.25</v>
      </c>
      <c r="F213" s="177">
        <v>35.5</v>
      </c>
      <c r="G213" s="178">
        <v>91.66666666666667</v>
      </c>
      <c r="H213" s="177">
        <v>10.0</v>
      </c>
      <c r="I213" s="178">
        <v>45.5</v>
      </c>
    </row>
    <row r="214">
      <c r="A214" s="177" t="s">
        <v>1742</v>
      </c>
      <c r="B214" s="177" t="s">
        <v>2930</v>
      </c>
      <c r="C214" s="177" t="s">
        <v>1103</v>
      </c>
      <c r="D214" s="177">
        <v>0.0</v>
      </c>
      <c r="E214" s="177">
        <v>0.0</v>
      </c>
      <c r="F214" s="177">
        <v>0.0</v>
      </c>
      <c r="G214" s="178">
        <v>45.833333333333336</v>
      </c>
      <c r="H214" s="177">
        <v>0.0</v>
      </c>
      <c r="I214" s="178">
        <v>0.0</v>
      </c>
    </row>
    <row r="215">
      <c r="A215" s="177" t="s">
        <v>1648</v>
      </c>
      <c r="B215" s="177" t="s">
        <v>2931</v>
      </c>
      <c r="C215" s="177" t="s">
        <v>1104</v>
      </c>
      <c r="D215" s="177">
        <v>27.25</v>
      </c>
      <c r="E215" s="177">
        <v>23.25</v>
      </c>
      <c r="F215" s="177">
        <v>50.5</v>
      </c>
      <c r="G215" s="178">
        <v>75.0</v>
      </c>
      <c r="H215" s="177">
        <v>6.0</v>
      </c>
      <c r="I215" s="178">
        <v>56.5</v>
      </c>
    </row>
    <row r="216">
      <c r="A216" s="177" t="s">
        <v>1664</v>
      </c>
      <c r="B216" s="177" t="s">
        <v>2932</v>
      </c>
      <c r="C216" s="177" t="s">
        <v>1105</v>
      </c>
      <c r="D216" s="177">
        <v>0.0</v>
      </c>
      <c r="E216" s="177">
        <v>0.0</v>
      </c>
      <c r="F216" s="177">
        <v>0.0</v>
      </c>
      <c r="G216" s="178">
        <v>0.0</v>
      </c>
      <c r="H216" s="177">
        <v>0.0</v>
      </c>
      <c r="I216" s="178">
        <v>0.0</v>
      </c>
    </row>
    <row r="217">
      <c r="A217" s="177" t="s">
        <v>1649</v>
      </c>
      <c r="B217" s="177" t="s">
        <v>2933</v>
      </c>
      <c r="C217" s="177" t="s">
        <v>1106</v>
      </c>
      <c r="D217" s="177">
        <v>0.0</v>
      </c>
      <c r="E217" s="177">
        <v>0.0</v>
      </c>
      <c r="F217" s="177">
        <v>0.0</v>
      </c>
      <c r="G217" s="178">
        <v>58.333333333333336</v>
      </c>
      <c r="H217" s="177">
        <v>0.0</v>
      </c>
      <c r="I217" s="178">
        <v>0.0</v>
      </c>
    </row>
    <row r="218">
      <c r="A218" s="177" t="s">
        <v>1737</v>
      </c>
      <c r="B218" s="177" t="s">
        <v>2934</v>
      </c>
      <c r="C218" s="177" t="s">
        <v>1107</v>
      </c>
      <c r="D218" s="177">
        <v>18.0</v>
      </c>
      <c r="E218" s="177">
        <v>22.0</v>
      </c>
      <c r="F218" s="177">
        <v>40.0</v>
      </c>
      <c r="G218" s="178">
        <v>95.83333333333333</v>
      </c>
      <c r="H218" s="177">
        <v>10.0</v>
      </c>
      <c r="I218" s="178">
        <v>50.0</v>
      </c>
    </row>
    <row r="219">
      <c r="A219" s="177" t="s">
        <v>1732</v>
      </c>
      <c r="B219" s="177" t="s">
        <v>2935</v>
      </c>
      <c r="C219" s="177" t="s">
        <v>1108</v>
      </c>
      <c r="D219" s="177">
        <v>0.0</v>
      </c>
      <c r="E219" s="177">
        <v>0.0</v>
      </c>
      <c r="F219" s="177">
        <v>0.0</v>
      </c>
      <c r="G219" s="178">
        <v>33.333333333333336</v>
      </c>
      <c r="H219" s="177">
        <v>0.0</v>
      </c>
      <c r="I219" s="178">
        <v>0.0</v>
      </c>
    </row>
    <row r="220">
      <c r="A220" s="177" t="s">
        <v>1726</v>
      </c>
      <c r="B220" s="177" t="s">
        <v>2936</v>
      </c>
      <c r="C220" s="177" t="s">
        <v>1109</v>
      </c>
      <c r="D220" s="177">
        <v>12.5</v>
      </c>
      <c r="E220" s="177">
        <v>11.25</v>
      </c>
      <c r="F220" s="177">
        <v>23.75</v>
      </c>
      <c r="G220" s="178">
        <v>91.66666666666667</v>
      </c>
      <c r="H220" s="177">
        <v>10.0</v>
      </c>
      <c r="I220" s="178">
        <v>33.75</v>
      </c>
    </row>
    <row r="221">
      <c r="A221" s="177" t="s">
        <v>1650</v>
      </c>
      <c r="B221" s="177" t="s">
        <v>2937</v>
      </c>
      <c r="C221" s="177" t="s">
        <v>1110</v>
      </c>
      <c r="D221" s="177">
        <v>0.0</v>
      </c>
      <c r="E221" s="177">
        <v>15.75</v>
      </c>
      <c r="F221" s="177">
        <v>15.75</v>
      </c>
      <c r="G221" s="178">
        <v>70.83333333333333</v>
      </c>
      <c r="H221" s="177">
        <v>6.0</v>
      </c>
      <c r="I221" s="178">
        <v>21.75</v>
      </c>
    </row>
    <row r="222">
      <c r="A222" s="177" t="s">
        <v>1751</v>
      </c>
      <c r="B222" s="177" t="s">
        <v>2938</v>
      </c>
      <c r="C222" s="177" t="s">
        <v>1111</v>
      </c>
      <c r="D222" s="177">
        <v>16.75</v>
      </c>
      <c r="E222" s="177">
        <v>0.0</v>
      </c>
      <c r="F222" s="177">
        <v>16.75</v>
      </c>
      <c r="G222" s="178">
        <v>60.714285714285715</v>
      </c>
      <c r="H222" s="177">
        <v>0.0</v>
      </c>
      <c r="I222" s="178">
        <v>16.75</v>
      </c>
    </row>
    <row r="223">
      <c r="A223" s="177" t="s">
        <v>1686</v>
      </c>
      <c r="B223" s="177" t="s">
        <v>2939</v>
      </c>
      <c r="C223" s="177" t="s">
        <v>1112</v>
      </c>
      <c r="D223" s="177">
        <v>14.0</v>
      </c>
      <c r="E223" s="177">
        <v>20.5</v>
      </c>
      <c r="F223" s="177">
        <v>34.5</v>
      </c>
      <c r="G223" s="178">
        <v>96.42857142857143</v>
      </c>
      <c r="H223" s="177">
        <v>10.0</v>
      </c>
      <c r="I223" s="178">
        <v>44.5</v>
      </c>
    </row>
    <row r="224">
      <c r="A224" s="177" t="s">
        <v>1657</v>
      </c>
      <c r="B224" s="177" t="s">
        <v>2940</v>
      </c>
      <c r="C224" s="177" t="s">
        <v>1113</v>
      </c>
      <c r="D224" s="177">
        <v>12.5</v>
      </c>
      <c r="E224" s="177">
        <v>0.0</v>
      </c>
      <c r="F224" s="177">
        <v>12.5</v>
      </c>
      <c r="G224" s="178">
        <v>53.57142857142857</v>
      </c>
      <c r="H224" s="177">
        <v>0.0</v>
      </c>
      <c r="I224" s="178">
        <v>12.5</v>
      </c>
    </row>
    <row r="225">
      <c r="A225" s="177" t="s">
        <v>1746</v>
      </c>
      <c r="B225" s="177" t="s">
        <v>2941</v>
      </c>
      <c r="C225" s="177" t="s">
        <v>1114</v>
      </c>
      <c r="D225" s="177">
        <v>0.0</v>
      </c>
      <c r="E225" s="177">
        <v>0.0</v>
      </c>
      <c r="F225" s="177">
        <v>0.0</v>
      </c>
      <c r="G225" s="178">
        <v>10.714285714285714</v>
      </c>
      <c r="H225" s="177">
        <v>0.0</v>
      </c>
      <c r="I225" s="178">
        <v>0.0</v>
      </c>
    </row>
    <row r="226">
      <c r="A226" s="177" t="s">
        <v>1687</v>
      </c>
      <c r="B226" s="177" t="s">
        <v>2942</v>
      </c>
      <c r="C226" s="177" t="s">
        <v>1115</v>
      </c>
      <c r="D226" s="177">
        <v>8.75</v>
      </c>
      <c r="E226" s="177">
        <v>0.0</v>
      </c>
      <c r="F226" s="177">
        <v>8.75</v>
      </c>
      <c r="G226" s="178">
        <v>35.714285714285715</v>
      </c>
      <c r="H226" s="177">
        <v>0.0</v>
      </c>
      <c r="I226" s="178">
        <v>8.75</v>
      </c>
    </row>
    <row r="227">
      <c r="A227" s="177" t="s">
        <v>15</v>
      </c>
      <c r="B227" s="177" t="s">
        <v>2943</v>
      </c>
      <c r="C227" s="177" t="s">
        <v>1116</v>
      </c>
      <c r="D227" s="177">
        <v>9.0</v>
      </c>
      <c r="E227" s="177">
        <v>8.75</v>
      </c>
      <c r="F227" s="177">
        <v>17.75</v>
      </c>
      <c r="G227" s="178">
        <v>71.42857142857143</v>
      </c>
      <c r="H227" s="177">
        <v>6.0</v>
      </c>
      <c r="I227" s="178">
        <v>23.75</v>
      </c>
    </row>
    <row r="228">
      <c r="A228" s="177" t="s">
        <v>1688</v>
      </c>
      <c r="B228" s="177" t="s">
        <v>2944</v>
      </c>
      <c r="C228" s="177" t="s">
        <v>1117</v>
      </c>
      <c r="D228" s="177">
        <v>15.5</v>
      </c>
      <c r="E228" s="177">
        <v>0.0</v>
      </c>
      <c r="F228" s="177">
        <v>15.5</v>
      </c>
      <c r="G228" s="178">
        <v>50.0</v>
      </c>
      <c r="H228" s="177">
        <v>0.0</v>
      </c>
      <c r="I228" s="178">
        <v>15.5</v>
      </c>
    </row>
    <row r="229">
      <c r="A229" s="177" t="s">
        <v>1738</v>
      </c>
      <c r="B229" s="177" t="s">
        <v>2945</v>
      </c>
      <c r="C229" s="177" t="s">
        <v>1118</v>
      </c>
      <c r="D229" s="177">
        <v>19.25</v>
      </c>
      <c r="E229" s="177">
        <v>16.25</v>
      </c>
      <c r="F229" s="177">
        <v>35.5</v>
      </c>
      <c r="G229" s="178">
        <v>96.0</v>
      </c>
      <c r="H229" s="177">
        <v>10.0</v>
      </c>
      <c r="I229" s="178">
        <v>45.5</v>
      </c>
    </row>
    <row r="230">
      <c r="A230" s="177" t="s">
        <v>1743</v>
      </c>
      <c r="B230" s="177" t="s">
        <v>2946</v>
      </c>
      <c r="C230" s="177" t="s">
        <v>1119</v>
      </c>
      <c r="D230" s="177">
        <v>16.5</v>
      </c>
      <c r="E230" s="177">
        <v>25.75</v>
      </c>
      <c r="F230" s="177">
        <v>42.25</v>
      </c>
      <c r="G230" s="178">
        <v>92.85714285714286</v>
      </c>
      <c r="H230" s="177">
        <v>10.0</v>
      </c>
      <c r="I230" s="178">
        <v>52.25</v>
      </c>
    </row>
    <row r="231">
      <c r="A231" s="177" t="s">
        <v>1689</v>
      </c>
      <c r="B231" s="177" t="s">
        <v>2947</v>
      </c>
      <c r="C231" s="177" t="s">
        <v>1120</v>
      </c>
      <c r="D231" s="177">
        <v>16.0</v>
      </c>
      <c r="E231" s="177">
        <v>18.0</v>
      </c>
      <c r="F231" s="177">
        <v>34.0</v>
      </c>
      <c r="G231" s="178">
        <v>67.85714285714286</v>
      </c>
      <c r="H231" s="177">
        <v>0.0</v>
      </c>
      <c r="I231" s="178">
        <v>34.0</v>
      </c>
    </row>
    <row r="232">
      <c r="A232" s="177" t="s">
        <v>1690</v>
      </c>
      <c r="B232" s="177" t="s">
        <v>2948</v>
      </c>
      <c r="C232" s="177" t="s">
        <v>1121</v>
      </c>
      <c r="D232" s="177">
        <v>13.0</v>
      </c>
      <c r="E232" s="177">
        <v>31.5</v>
      </c>
      <c r="F232" s="177">
        <v>44.5</v>
      </c>
      <c r="G232" s="178">
        <v>71.42857142857143</v>
      </c>
      <c r="H232" s="177">
        <v>6.0</v>
      </c>
      <c r="I232" s="178">
        <v>50.5</v>
      </c>
    </row>
    <row r="233">
      <c r="A233" s="177" t="s">
        <v>1691</v>
      </c>
      <c r="B233" s="177" t="s">
        <v>2949</v>
      </c>
      <c r="C233" s="177" t="s">
        <v>1122</v>
      </c>
      <c r="D233" s="177">
        <v>21.5</v>
      </c>
      <c r="E233" s="177">
        <v>14.0</v>
      </c>
      <c r="F233" s="177">
        <v>35.5</v>
      </c>
      <c r="G233" s="178">
        <v>60.714285714285715</v>
      </c>
      <c r="H233" s="177">
        <v>0.0</v>
      </c>
      <c r="I233" s="178">
        <v>35.5</v>
      </c>
    </row>
    <row r="234">
      <c r="A234" s="177" t="s">
        <v>1683</v>
      </c>
      <c r="B234" s="177" t="s">
        <v>2950</v>
      </c>
      <c r="C234" s="177" t="s">
        <v>1123</v>
      </c>
      <c r="D234" s="177">
        <v>1.25</v>
      </c>
      <c r="E234" s="177">
        <v>13.75</v>
      </c>
      <c r="F234" s="177">
        <v>15.0</v>
      </c>
      <c r="G234" s="178">
        <v>71.42857142857143</v>
      </c>
      <c r="H234" s="177">
        <v>6.0</v>
      </c>
      <c r="I234" s="178">
        <v>21.0</v>
      </c>
    </row>
    <row r="235">
      <c r="A235" s="177" t="s">
        <v>1750</v>
      </c>
      <c r="B235" s="177" t="s">
        <v>2951</v>
      </c>
      <c r="C235" s="177" t="s">
        <v>1124</v>
      </c>
      <c r="D235" s="177">
        <v>0.0</v>
      </c>
      <c r="E235" s="177">
        <v>0.0</v>
      </c>
      <c r="F235" s="177">
        <v>0.0</v>
      </c>
      <c r="G235" s="178">
        <v>25.0</v>
      </c>
      <c r="H235" s="177">
        <v>0.0</v>
      </c>
      <c r="I235" s="178">
        <v>0.0</v>
      </c>
    </row>
    <row r="236">
      <c r="A236" s="177" t="s">
        <v>1692</v>
      </c>
      <c r="B236" s="177" t="s">
        <v>2952</v>
      </c>
      <c r="C236" s="177" t="s">
        <v>1125</v>
      </c>
      <c r="D236" s="177">
        <v>0.0</v>
      </c>
      <c r="E236" s="177">
        <v>0.0</v>
      </c>
      <c r="F236" s="177">
        <v>0.0</v>
      </c>
      <c r="G236" s="178">
        <v>28.571428571428573</v>
      </c>
      <c r="H236" s="177">
        <v>0.0</v>
      </c>
      <c r="I236" s="178">
        <v>0.0</v>
      </c>
    </row>
    <row r="237">
      <c r="A237" s="177" t="s">
        <v>126</v>
      </c>
      <c r="B237" s="177" t="s">
        <v>2953</v>
      </c>
      <c r="C237" s="177" t="s">
        <v>1126</v>
      </c>
      <c r="D237" s="177">
        <v>30.0</v>
      </c>
      <c r="E237" s="177">
        <v>0.0</v>
      </c>
      <c r="F237" s="177">
        <v>30.0</v>
      </c>
      <c r="G237" s="178">
        <v>39.285714285714285</v>
      </c>
      <c r="H237" s="177">
        <v>0.0</v>
      </c>
      <c r="I237" s="178">
        <v>30.0</v>
      </c>
    </row>
    <row r="238">
      <c r="A238" s="177" t="s">
        <v>1693</v>
      </c>
      <c r="B238" s="177" t="s">
        <v>2954</v>
      </c>
      <c r="C238" s="177" t="s">
        <v>1127</v>
      </c>
      <c r="D238" s="177">
        <v>23.5</v>
      </c>
      <c r="E238" s="177">
        <v>27.0</v>
      </c>
      <c r="F238" s="177">
        <v>50.5</v>
      </c>
      <c r="G238" s="178">
        <v>75.0</v>
      </c>
      <c r="H238" s="177">
        <v>6.0</v>
      </c>
      <c r="I238" s="178">
        <v>56.5</v>
      </c>
    </row>
    <row r="239">
      <c r="A239" s="177" t="s">
        <v>1694</v>
      </c>
      <c r="B239" s="177" t="s">
        <v>2955</v>
      </c>
      <c r="C239" s="177" t="s">
        <v>1128</v>
      </c>
      <c r="D239" s="177">
        <v>0.0</v>
      </c>
      <c r="E239" s="177">
        <v>0.0</v>
      </c>
      <c r="F239" s="177">
        <v>0.0</v>
      </c>
      <c r="G239" s="178">
        <v>3.5714285714285716</v>
      </c>
      <c r="H239" s="177">
        <v>0.0</v>
      </c>
      <c r="I239" s="178">
        <v>0.0</v>
      </c>
    </row>
    <row r="240">
      <c r="A240" s="177" t="s">
        <v>1721</v>
      </c>
      <c r="B240" s="177" t="s">
        <v>2956</v>
      </c>
      <c r="C240" s="177" t="s">
        <v>1129</v>
      </c>
      <c r="D240" s="177">
        <v>14.5</v>
      </c>
      <c r="E240" s="177">
        <v>0.0</v>
      </c>
      <c r="F240" s="177">
        <v>14.5</v>
      </c>
      <c r="G240" s="178">
        <v>57.142857142857146</v>
      </c>
      <c r="H240" s="177">
        <v>0.0</v>
      </c>
      <c r="I240" s="178">
        <v>14.5</v>
      </c>
    </row>
    <row r="241">
      <c r="A241" s="177" t="s">
        <v>1717</v>
      </c>
      <c r="B241" s="177" t="s">
        <v>2957</v>
      </c>
      <c r="C241" s="177" t="s">
        <v>1130</v>
      </c>
      <c r="D241" s="177">
        <v>9.5</v>
      </c>
      <c r="E241" s="177">
        <v>0.0</v>
      </c>
      <c r="F241" s="177">
        <v>9.5</v>
      </c>
      <c r="G241" s="178">
        <v>85.71428571428571</v>
      </c>
      <c r="H241" s="177">
        <v>9.0</v>
      </c>
      <c r="I241" s="178">
        <v>18.5</v>
      </c>
    </row>
    <row r="242">
      <c r="A242" s="177" t="s">
        <v>1695</v>
      </c>
      <c r="B242" s="177" t="s">
        <v>2958</v>
      </c>
      <c r="C242" s="177" t="s">
        <v>1131</v>
      </c>
      <c r="D242" s="177">
        <v>30.25</v>
      </c>
      <c r="E242" s="177">
        <v>21.0</v>
      </c>
      <c r="F242" s="177">
        <v>51.25</v>
      </c>
      <c r="G242" s="178">
        <v>82.14285714285714</v>
      </c>
      <c r="H242" s="177">
        <v>8.0</v>
      </c>
      <c r="I242" s="178">
        <v>59.25</v>
      </c>
    </row>
    <row r="243">
      <c r="A243" s="177" t="s">
        <v>1696</v>
      </c>
      <c r="B243" s="177" t="s">
        <v>2959</v>
      </c>
      <c r="C243" s="177" t="s">
        <v>1132</v>
      </c>
      <c r="D243" s="177">
        <v>10.75</v>
      </c>
      <c r="E243" s="177">
        <v>20.5</v>
      </c>
      <c r="F243" s="177">
        <v>31.25</v>
      </c>
      <c r="G243" s="178">
        <v>78.57142857142857</v>
      </c>
      <c r="H243" s="177">
        <v>7.0</v>
      </c>
      <c r="I243" s="178">
        <v>38.25</v>
      </c>
    </row>
    <row r="244">
      <c r="A244" s="177" t="s">
        <v>1697</v>
      </c>
      <c r="B244" s="177" t="s">
        <v>2960</v>
      </c>
      <c r="C244" s="177" t="s">
        <v>1133</v>
      </c>
      <c r="D244" s="177">
        <v>23.5</v>
      </c>
      <c r="E244" s="177">
        <v>25.75</v>
      </c>
      <c r="F244" s="177">
        <v>49.25</v>
      </c>
      <c r="G244" s="178">
        <v>85.71428571428571</v>
      </c>
      <c r="H244" s="177">
        <v>9.0</v>
      </c>
      <c r="I244" s="178">
        <v>58.25</v>
      </c>
    </row>
    <row r="245">
      <c r="A245" s="177" t="s">
        <v>1698</v>
      </c>
      <c r="B245" s="177" t="s">
        <v>2961</v>
      </c>
      <c r="C245" s="177" t="s">
        <v>1134</v>
      </c>
      <c r="D245" s="177">
        <v>0.0</v>
      </c>
      <c r="E245" s="177">
        <v>0.0</v>
      </c>
      <c r="F245" s="177">
        <v>0.0</v>
      </c>
      <c r="G245" s="178">
        <v>21.428571428571427</v>
      </c>
      <c r="H245" s="177">
        <v>0.0</v>
      </c>
      <c r="I245" s="178">
        <v>0.0</v>
      </c>
    </row>
    <row r="246">
      <c r="A246" s="177" t="s">
        <v>1744</v>
      </c>
      <c r="B246" s="177" t="s">
        <v>2962</v>
      </c>
      <c r="C246" s="177" t="s">
        <v>1135</v>
      </c>
      <c r="D246" s="177">
        <v>23.5</v>
      </c>
      <c r="E246" s="177">
        <v>29.5</v>
      </c>
      <c r="F246" s="177">
        <v>53.0</v>
      </c>
      <c r="G246" s="178">
        <v>89.28571428571429</v>
      </c>
      <c r="H246" s="177">
        <v>9.0</v>
      </c>
      <c r="I246" s="178">
        <v>62.0</v>
      </c>
    </row>
    <row r="247">
      <c r="A247" s="177" t="s">
        <v>1674</v>
      </c>
      <c r="B247" s="177" t="s">
        <v>2963</v>
      </c>
      <c r="C247" s="177" t="s">
        <v>1136</v>
      </c>
      <c r="D247" s="177">
        <v>0.0</v>
      </c>
      <c r="E247" s="177">
        <v>0.0</v>
      </c>
      <c r="F247" s="177">
        <v>0.0</v>
      </c>
      <c r="G247" s="178">
        <v>28.571428571428573</v>
      </c>
      <c r="H247" s="177">
        <v>0.0</v>
      </c>
      <c r="I247" s="178">
        <v>0.0</v>
      </c>
    </row>
    <row r="248">
      <c r="A248" s="177" t="s">
        <v>1739</v>
      </c>
      <c r="B248" s="177" t="s">
        <v>2964</v>
      </c>
      <c r="C248" s="177" t="s">
        <v>1137</v>
      </c>
      <c r="D248" s="177">
        <v>14.5</v>
      </c>
      <c r="E248" s="177">
        <v>0.0</v>
      </c>
      <c r="F248" s="177">
        <v>14.5</v>
      </c>
      <c r="G248" s="178">
        <v>53.57142857142857</v>
      </c>
      <c r="H248" s="177">
        <v>0.0</v>
      </c>
      <c r="I248" s="178">
        <v>14.5</v>
      </c>
    </row>
    <row r="249">
      <c r="A249" s="177" t="s">
        <v>1660</v>
      </c>
      <c r="B249" s="177" t="s">
        <v>2965</v>
      </c>
      <c r="C249" s="177" t="s">
        <v>1138</v>
      </c>
      <c r="D249" s="177">
        <v>12.5</v>
      </c>
      <c r="E249" s="177">
        <v>0.0</v>
      </c>
      <c r="F249" s="177">
        <v>12.5</v>
      </c>
      <c r="G249" s="178">
        <v>42.857142857142854</v>
      </c>
      <c r="H249" s="177">
        <v>0.0</v>
      </c>
      <c r="I249" s="178">
        <v>12.5</v>
      </c>
    </row>
    <row r="250">
      <c r="A250" s="177" t="s">
        <v>1699</v>
      </c>
      <c r="B250" s="177" t="s">
        <v>2966</v>
      </c>
      <c r="C250" s="177" t="s">
        <v>1139</v>
      </c>
      <c r="D250" s="177">
        <v>12.0</v>
      </c>
      <c r="E250" s="177">
        <v>10.25</v>
      </c>
      <c r="F250" s="177">
        <v>22.25</v>
      </c>
      <c r="G250" s="178">
        <v>78.57142857142857</v>
      </c>
      <c r="H250" s="177">
        <v>7.0</v>
      </c>
      <c r="I250" s="178">
        <v>29.25</v>
      </c>
    </row>
    <row r="251">
      <c r="A251" s="177" t="s">
        <v>1745</v>
      </c>
      <c r="B251" s="177" t="s">
        <v>2967</v>
      </c>
      <c r="C251" s="177" t="s">
        <v>1141</v>
      </c>
      <c r="D251" s="177">
        <v>20.5</v>
      </c>
      <c r="E251" s="177">
        <v>11.75</v>
      </c>
      <c r="F251" s="177">
        <v>32.25</v>
      </c>
      <c r="G251" s="178">
        <v>92.85714285714286</v>
      </c>
      <c r="H251" s="177">
        <v>10.0</v>
      </c>
      <c r="I251" s="178">
        <v>42.25</v>
      </c>
    </row>
    <row r="252">
      <c r="A252" s="177" t="s">
        <v>62</v>
      </c>
      <c r="B252" s="177" t="s">
        <v>2968</v>
      </c>
      <c r="C252" s="177" t="s">
        <v>1142</v>
      </c>
      <c r="D252" s="177">
        <v>4.0</v>
      </c>
      <c r="E252" s="177">
        <v>0.0</v>
      </c>
      <c r="F252" s="177">
        <v>4.0</v>
      </c>
      <c r="G252" s="178">
        <v>82.14285714285714</v>
      </c>
      <c r="H252" s="177">
        <v>8.0</v>
      </c>
      <c r="I252" s="178">
        <v>12.0</v>
      </c>
    </row>
    <row r="253">
      <c r="A253" s="177" t="s">
        <v>1700</v>
      </c>
      <c r="B253" s="177" t="s">
        <v>2969</v>
      </c>
      <c r="C253" s="177" t="s">
        <v>1143</v>
      </c>
      <c r="D253" s="177">
        <v>28.25</v>
      </c>
      <c r="E253" s="177">
        <v>36.25</v>
      </c>
      <c r="F253" s="177">
        <v>64.5</v>
      </c>
      <c r="G253" s="178">
        <v>67.85714285714286</v>
      </c>
      <c r="H253" s="177">
        <v>0.0</v>
      </c>
      <c r="I253" s="178">
        <v>64.5</v>
      </c>
    </row>
    <row r="254">
      <c r="A254" s="177" t="s">
        <v>1701</v>
      </c>
      <c r="B254" s="177" t="s">
        <v>2970</v>
      </c>
      <c r="C254" s="177" t="s">
        <v>1144</v>
      </c>
      <c r="D254" s="177">
        <v>0.0</v>
      </c>
      <c r="E254" s="177">
        <v>0.0</v>
      </c>
      <c r="F254" s="177">
        <v>0.0</v>
      </c>
      <c r="G254" s="178">
        <v>21.428571428571427</v>
      </c>
      <c r="H254" s="177">
        <v>0.0</v>
      </c>
      <c r="I254" s="178">
        <v>0.0</v>
      </c>
    </row>
    <row r="255">
      <c r="A255" s="177" t="s">
        <v>1735</v>
      </c>
      <c r="B255" s="177" t="s">
        <v>2971</v>
      </c>
      <c r="C255" s="177" t="s">
        <v>1145</v>
      </c>
      <c r="D255" s="177">
        <v>19.5</v>
      </c>
      <c r="E255" s="177">
        <v>21.75</v>
      </c>
      <c r="F255" s="177">
        <v>41.25</v>
      </c>
      <c r="G255" s="178">
        <v>92.85714285714286</v>
      </c>
      <c r="H255" s="177">
        <v>10.0</v>
      </c>
      <c r="I255" s="178">
        <v>51.25</v>
      </c>
    </row>
    <row r="256">
      <c r="A256" s="177" t="s">
        <v>1702</v>
      </c>
      <c r="B256" s="177" t="s">
        <v>2972</v>
      </c>
      <c r="C256" s="177" t="s">
        <v>1146</v>
      </c>
      <c r="D256" s="177">
        <v>0.0</v>
      </c>
      <c r="E256" s="177">
        <v>0.0</v>
      </c>
      <c r="F256" s="177">
        <v>0.0</v>
      </c>
      <c r="G256" s="178">
        <v>60.714285714285715</v>
      </c>
      <c r="H256" s="177">
        <v>0.0</v>
      </c>
      <c r="I256" s="178">
        <v>0.0</v>
      </c>
    </row>
    <row r="257">
      <c r="A257" s="177" t="s">
        <v>1703</v>
      </c>
      <c r="B257" s="177" t="s">
        <v>2973</v>
      </c>
      <c r="C257" s="177" t="s">
        <v>1147</v>
      </c>
      <c r="D257" s="177">
        <v>10.75</v>
      </c>
      <c r="E257" s="177">
        <v>0.0</v>
      </c>
      <c r="F257" s="177">
        <v>10.75</v>
      </c>
      <c r="G257" s="178">
        <v>57.142857142857146</v>
      </c>
      <c r="H257" s="177">
        <v>0.0</v>
      </c>
      <c r="I257" s="178">
        <v>10.75</v>
      </c>
    </row>
    <row r="258">
      <c r="A258" s="177" t="s">
        <v>1704</v>
      </c>
      <c r="B258" s="177" t="s">
        <v>2974</v>
      </c>
      <c r="C258" s="177" t="s">
        <v>1148</v>
      </c>
      <c r="D258" s="177">
        <v>10.5</v>
      </c>
      <c r="E258" s="177">
        <v>33.5</v>
      </c>
      <c r="F258" s="177">
        <v>44.0</v>
      </c>
      <c r="G258" s="178">
        <v>75.0</v>
      </c>
      <c r="H258" s="177">
        <v>6.0</v>
      </c>
      <c r="I258" s="178">
        <v>50.0</v>
      </c>
    </row>
    <row r="259">
      <c r="A259" s="177" t="s">
        <v>1705</v>
      </c>
      <c r="B259" s="177" t="s">
        <v>2975</v>
      </c>
      <c r="C259" s="177" t="s">
        <v>1149</v>
      </c>
      <c r="D259" s="177">
        <v>19.25</v>
      </c>
      <c r="E259" s="177">
        <v>11.25</v>
      </c>
      <c r="F259" s="177">
        <v>30.5</v>
      </c>
      <c r="G259" s="178">
        <v>71.42857142857143</v>
      </c>
      <c r="H259" s="177">
        <v>6.0</v>
      </c>
      <c r="I259" s="178">
        <v>36.5</v>
      </c>
    </row>
    <row r="260">
      <c r="A260" s="177" t="s">
        <v>1718</v>
      </c>
      <c r="B260" s="177" t="s">
        <v>2976</v>
      </c>
      <c r="C260" s="177" t="s">
        <v>1150</v>
      </c>
      <c r="D260" s="177">
        <v>21.5</v>
      </c>
      <c r="E260" s="177">
        <v>22.75</v>
      </c>
      <c r="F260" s="177">
        <v>44.25</v>
      </c>
      <c r="G260" s="178">
        <v>85.71428571428571</v>
      </c>
      <c r="H260" s="177">
        <v>9.0</v>
      </c>
      <c r="I260" s="178">
        <v>53.25</v>
      </c>
    </row>
    <row r="261">
      <c r="A261" s="177" t="s">
        <v>1706</v>
      </c>
      <c r="B261" s="177" t="s">
        <v>2977</v>
      </c>
      <c r="C261" s="177" t="s">
        <v>1151</v>
      </c>
      <c r="D261" s="177">
        <v>0.0</v>
      </c>
      <c r="E261" s="177">
        <v>22.5</v>
      </c>
      <c r="F261" s="177">
        <v>22.5</v>
      </c>
      <c r="G261" s="178">
        <v>67.85714285714286</v>
      </c>
      <c r="H261" s="177">
        <v>0.0</v>
      </c>
      <c r="I261" s="178">
        <v>22.5</v>
      </c>
    </row>
    <row r="262">
      <c r="A262" s="177" t="s">
        <v>1707</v>
      </c>
      <c r="B262" s="177" t="s">
        <v>2978</v>
      </c>
      <c r="C262" s="177" t="s">
        <v>1152</v>
      </c>
      <c r="D262" s="177">
        <v>11.0</v>
      </c>
      <c r="E262" s="177">
        <v>0.0</v>
      </c>
      <c r="F262" s="177">
        <v>11.0</v>
      </c>
      <c r="G262" s="178">
        <v>50.0</v>
      </c>
      <c r="H262" s="177">
        <v>0.0</v>
      </c>
      <c r="I262" s="178">
        <v>11.0</v>
      </c>
    </row>
    <row r="263">
      <c r="A263" s="177" t="s">
        <v>1669</v>
      </c>
      <c r="B263" s="177" t="s">
        <v>2979</v>
      </c>
      <c r="C263" s="177" t="s">
        <v>1153</v>
      </c>
      <c r="D263" s="177">
        <v>17.5</v>
      </c>
      <c r="E263" s="177">
        <v>7.25</v>
      </c>
      <c r="F263" s="177">
        <v>24.75</v>
      </c>
      <c r="G263" s="178">
        <v>89.28571428571429</v>
      </c>
      <c r="H263" s="177">
        <v>9.0</v>
      </c>
      <c r="I263" s="178">
        <v>33.75</v>
      </c>
    </row>
    <row r="264">
      <c r="A264" s="177" t="s">
        <v>1679</v>
      </c>
      <c r="B264" s="177" t="s">
        <v>2980</v>
      </c>
      <c r="C264" s="177" t="s">
        <v>1155</v>
      </c>
      <c r="D264" s="177">
        <v>13.75</v>
      </c>
      <c r="E264" s="177">
        <v>15.0</v>
      </c>
      <c r="F264" s="177">
        <v>28.75</v>
      </c>
      <c r="G264" s="178">
        <v>78.57142857142857</v>
      </c>
      <c r="H264" s="177">
        <v>7.0</v>
      </c>
      <c r="I264" s="178">
        <v>35.75</v>
      </c>
    </row>
    <row r="265">
      <c r="A265" s="177" t="s">
        <v>1729</v>
      </c>
      <c r="B265" s="177" t="s">
        <v>2981</v>
      </c>
      <c r="C265" s="177" t="s">
        <v>1156</v>
      </c>
      <c r="D265" s="177">
        <v>8.0</v>
      </c>
      <c r="E265" s="177">
        <v>0.0</v>
      </c>
      <c r="F265" s="177">
        <v>8.0</v>
      </c>
      <c r="G265" s="178">
        <v>71.42857142857143</v>
      </c>
      <c r="H265" s="177">
        <v>6.0</v>
      </c>
      <c r="I265" s="178">
        <v>14.0</v>
      </c>
    </row>
    <row r="266">
      <c r="A266" s="177" t="s">
        <v>1708</v>
      </c>
      <c r="B266" s="177" t="s">
        <v>2982</v>
      </c>
      <c r="C266" s="177" t="s">
        <v>1157</v>
      </c>
      <c r="D266" s="177">
        <v>26.5</v>
      </c>
      <c r="E266" s="177">
        <v>30.75</v>
      </c>
      <c r="F266" s="177">
        <v>57.25</v>
      </c>
      <c r="G266" s="178">
        <v>85.71428571428571</v>
      </c>
      <c r="H266" s="177">
        <v>9.0</v>
      </c>
      <c r="I266" s="178">
        <v>66.25</v>
      </c>
    </row>
    <row r="267">
      <c r="A267" s="177" t="s">
        <v>1684</v>
      </c>
      <c r="B267" s="177" t="s">
        <v>2983</v>
      </c>
      <c r="C267" s="177" t="s">
        <v>1158</v>
      </c>
      <c r="D267" s="177">
        <v>24.25</v>
      </c>
      <c r="E267" s="177">
        <v>0.0</v>
      </c>
      <c r="F267" s="177">
        <v>24.25</v>
      </c>
      <c r="G267" s="178">
        <v>57.142857142857146</v>
      </c>
      <c r="H267" s="177">
        <v>0.0</v>
      </c>
      <c r="I267" s="178">
        <v>24.25</v>
      </c>
    </row>
    <row r="268">
      <c r="A268" s="177" t="s">
        <v>1709</v>
      </c>
      <c r="B268" s="177" t="s">
        <v>2984</v>
      </c>
      <c r="C268" s="177" t="s">
        <v>1159</v>
      </c>
      <c r="D268" s="177">
        <v>24.75</v>
      </c>
      <c r="E268" s="177">
        <v>23.75</v>
      </c>
      <c r="F268" s="177">
        <v>48.5</v>
      </c>
      <c r="G268" s="178">
        <v>82.14285714285714</v>
      </c>
      <c r="H268" s="177">
        <v>8.0</v>
      </c>
      <c r="I268" s="178">
        <v>56.5</v>
      </c>
    </row>
    <row r="269">
      <c r="A269" s="177" t="s">
        <v>1747</v>
      </c>
      <c r="B269" s="177" t="s">
        <v>2985</v>
      </c>
      <c r="C269" s="177" t="s">
        <v>1160</v>
      </c>
      <c r="D269" s="177">
        <v>0.0</v>
      </c>
      <c r="E269" s="177">
        <v>0.0</v>
      </c>
      <c r="F269" s="177">
        <v>0.0</v>
      </c>
      <c r="G269" s="178">
        <v>42.857142857142854</v>
      </c>
      <c r="H269" s="177">
        <v>0.0</v>
      </c>
      <c r="I269" s="178">
        <v>0.0</v>
      </c>
    </row>
    <row r="270">
      <c r="A270" s="177" t="s">
        <v>1727</v>
      </c>
      <c r="B270" s="177" t="s">
        <v>2986</v>
      </c>
      <c r="C270" s="177" t="s">
        <v>1161</v>
      </c>
      <c r="D270" s="177">
        <v>15.5</v>
      </c>
      <c r="E270" s="177">
        <v>7.25</v>
      </c>
      <c r="F270" s="177">
        <v>22.75</v>
      </c>
      <c r="G270" s="178">
        <v>89.28571428571429</v>
      </c>
      <c r="H270" s="177">
        <v>9.0</v>
      </c>
      <c r="I270" s="178">
        <v>31.75</v>
      </c>
    </row>
    <row r="271">
      <c r="A271" s="177" t="s">
        <v>1722</v>
      </c>
      <c r="B271" s="177" t="s">
        <v>2987</v>
      </c>
      <c r="C271" s="177" t="s">
        <v>1162</v>
      </c>
      <c r="D271" s="177">
        <v>19.75</v>
      </c>
      <c r="E271" s="177">
        <v>0.0</v>
      </c>
      <c r="F271" s="177">
        <v>19.75</v>
      </c>
      <c r="G271" s="178">
        <v>35.714285714285715</v>
      </c>
      <c r="H271" s="177">
        <v>0.0</v>
      </c>
      <c r="I271" s="178">
        <v>19.75</v>
      </c>
    </row>
    <row r="272">
      <c r="A272" s="177" t="s">
        <v>1710</v>
      </c>
      <c r="B272" s="177" t="s">
        <v>2988</v>
      </c>
      <c r="C272" s="177" t="s">
        <v>1164</v>
      </c>
      <c r="D272" s="177">
        <v>21.5</v>
      </c>
      <c r="E272" s="177">
        <v>11.5</v>
      </c>
      <c r="F272" s="177">
        <v>33.0</v>
      </c>
      <c r="G272" s="178">
        <v>71.42857142857143</v>
      </c>
      <c r="H272" s="177">
        <v>6.0</v>
      </c>
      <c r="I272" s="178">
        <v>39.0</v>
      </c>
    </row>
    <row r="273">
      <c r="A273" s="177" t="s">
        <v>1723</v>
      </c>
      <c r="B273" s="177" t="s">
        <v>2989</v>
      </c>
      <c r="C273" s="177" t="s">
        <v>1165</v>
      </c>
      <c r="D273" s="177">
        <v>15.0</v>
      </c>
      <c r="E273" s="177">
        <v>14.75</v>
      </c>
      <c r="F273" s="177">
        <v>29.75</v>
      </c>
      <c r="G273" s="178">
        <v>78.57142857142857</v>
      </c>
      <c r="H273" s="177">
        <v>7.0</v>
      </c>
      <c r="I273" s="178">
        <v>36.75</v>
      </c>
    </row>
    <row r="274">
      <c r="A274" s="177" t="s">
        <v>1711</v>
      </c>
      <c r="B274" s="177" t="s">
        <v>2990</v>
      </c>
      <c r="C274" s="177" t="s">
        <v>1166</v>
      </c>
      <c r="D274" s="177">
        <v>0.0</v>
      </c>
      <c r="E274" s="177">
        <v>0.0</v>
      </c>
      <c r="F274" s="177">
        <v>0.0</v>
      </c>
      <c r="G274" s="178">
        <v>14.285714285714286</v>
      </c>
      <c r="H274" s="177">
        <v>0.0</v>
      </c>
      <c r="I274" s="178">
        <v>0.0</v>
      </c>
    </row>
    <row r="275">
      <c r="A275" s="177" t="s">
        <v>1712</v>
      </c>
      <c r="B275" s="177" t="s">
        <v>2991</v>
      </c>
      <c r="C275" s="177" t="s">
        <v>1167</v>
      </c>
      <c r="D275" s="177">
        <v>23.25</v>
      </c>
      <c r="E275" s="177">
        <v>16.25</v>
      </c>
      <c r="F275" s="177">
        <v>39.5</v>
      </c>
      <c r="G275" s="178">
        <v>75.0</v>
      </c>
      <c r="H275" s="177">
        <v>6.0</v>
      </c>
      <c r="I275" s="178">
        <v>45.5</v>
      </c>
    </row>
    <row r="276">
      <c r="A276" s="177" t="s">
        <v>1733</v>
      </c>
      <c r="B276" s="177" t="s">
        <v>2992</v>
      </c>
      <c r="C276" s="177" t="s">
        <v>1168</v>
      </c>
      <c r="D276" s="177">
        <v>25.75</v>
      </c>
      <c r="E276" s="177">
        <v>12.5</v>
      </c>
      <c r="F276" s="177">
        <v>38.25</v>
      </c>
      <c r="G276" s="178">
        <v>82.14285714285714</v>
      </c>
      <c r="H276" s="177">
        <v>8.0</v>
      </c>
      <c r="I276" s="178">
        <v>46.25</v>
      </c>
    </row>
    <row r="277">
      <c r="A277" s="177" t="s">
        <v>1719</v>
      </c>
      <c r="B277" s="177" t="s">
        <v>2993</v>
      </c>
      <c r="C277" s="177" t="s">
        <v>1169</v>
      </c>
      <c r="D277" s="177">
        <v>21.5</v>
      </c>
      <c r="E277" s="177">
        <v>12.5</v>
      </c>
      <c r="F277" s="177">
        <v>34.0</v>
      </c>
      <c r="G277" s="178">
        <v>92.85714285714286</v>
      </c>
      <c r="H277" s="177">
        <v>10.0</v>
      </c>
      <c r="I277" s="178">
        <v>44.0</v>
      </c>
    </row>
    <row r="278">
      <c r="A278" s="177" t="s">
        <v>1713</v>
      </c>
      <c r="B278" s="177" t="s">
        <v>2994</v>
      </c>
      <c r="C278" s="177" t="s">
        <v>1170</v>
      </c>
      <c r="D278" s="177">
        <v>23.0</v>
      </c>
      <c r="E278" s="177">
        <v>0.0</v>
      </c>
      <c r="F278" s="177">
        <v>23.0</v>
      </c>
      <c r="G278" s="178">
        <v>57.142857142857146</v>
      </c>
      <c r="H278" s="177">
        <v>0.0</v>
      </c>
      <c r="I278" s="178">
        <v>23.0</v>
      </c>
    </row>
    <row r="279">
      <c r="A279" s="177" t="s">
        <v>1731</v>
      </c>
      <c r="B279" s="177" t="s">
        <v>2995</v>
      </c>
      <c r="C279" s="177" t="s">
        <v>1171</v>
      </c>
      <c r="D279" s="177">
        <v>19.0</v>
      </c>
      <c r="E279" s="177">
        <v>22.0</v>
      </c>
      <c r="F279" s="177">
        <v>41.0</v>
      </c>
      <c r="G279" s="178">
        <v>89.28571428571429</v>
      </c>
      <c r="H279" s="177">
        <v>9.0</v>
      </c>
      <c r="I279" s="178">
        <v>50.0</v>
      </c>
    </row>
    <row r="280">
      <c r="A280" s="177" t="s">
        <v>1720</v>
      </c>
      <c r="B280" s="177" t="s">
        <v>2996</v>
      </c>
      <c r="C280" s="177" t="s">
        <v>1172</v>
      </c>
      <c r="D280" s="177">
        <v>0.0</v>
      </c>
      <c r="E280" s="177">
        <v>0.0</v>
      </c>
      <c r="F280" s="177">
        <v>0.0</v>
      </c>
      <c r="G280" s="178">
        <v>0.0</v>
      </c>
      <c r="H280" s="177">
        <v>0.0</v>
      </c>
      <c r="I280" s="178">
        <v>0.0</v>
      </c>
    </row>
    <row r="281">
      <c r="A281" s="177" t="s">
        <v>1714</v>
      </c>
      <c r="B281" s="177" t="s">
        <v>2997</v>
      </c>
      <c r="C281" s="177" t="s">
        <v>1173</v>
      </c>
      <c r="D281" s="177">
        <v>20.5</v>
      </c>
      <c r="E281" s="177">
        <v>24.0</v>
      </c>
      <c r="F281" s="177">
        <v>44.5</v>
      </c>
      <c r="G281" s="178">
        <v>82.14285714285714</v>
      </c>
      <c r="H281" s="177">
        <v>8.0</v>
      </c>
      <c r="I281" s="178">
        <v>52.5</v>
      </c>
    </row>
    <row r="282">
      <c r="A282" s="177" t="s">
        <v>1715</v>
      </c>
      <c r="B282" s="177" t="s">
        <v>2998</v>
      </c>
      <c r="C282" s="177" t="s">
        <v>1174</v>
      </c>
      <c r="D282" s="177">
        <v>0.0</v>
      </c>
      <c r="E282" s="177">
        <v>6.75</v>
      </c>
      <c r="F282" s="177">
        <v>6.75</v>
      </c>
      <c r="G282" s="178">
        <v>85.71428571428571</v>
      </c>
      <c r="H282" s="177">
        <v>9.0</v>
      </c>
      <c r="I282" s="178">
        <v>15.75</v>
      </c>
    </row>
    <row r="283">
      <c r="A283" s="177" t="s">
        <v>1728</v>
      </c>
      <c r="B283" s="177" t="s">
        <v>2999</v>
      </c>
      <c r="C283" s="177" t="s">
        <v>1175</v>
      </c>
      <c r="D283" s="177">
        <v>17.5</v>
      </c>
      <c r="E283" s="177">
        <v>27.0</v>
      </c>
      <c r="F283" s="177">
        <v>44.5</v>
      </c>
      <c r="G283" s="178">
        <v>71.0</v>
      </c>
      <c r="H283" s="177">
        <v>6.0</v>
      </c>
      <c r="I283" s="178">
        <v>50.5</v>
      </c>
    </row>
    <row r="284">
      <c r="A284" s="177" t="s">
        <v>1716</v>
      </c>
      <c r="B284" s="177" t="s">
        <v>3000</v>
      </c>
      <c r="C284" s="177" t="s">
        <v>1176</v>
      </c>
      <c r="D284" s="177">
        <v>4.0</v>
      </c>
      <c r="E284" s="177">
        <v>0.0</v>
      </c>
      <c r="F284" s="177">
        <v>4.0</v>
      </c>
      <c r="G284" s="178">
        <v>85.71428571428571</v>
      </c>
      <c r="H284" s="177">
        <v>9.0</v>
      </c>
      <c r="I284" s="178">
        <v>13.0</v>
      </c>
    </row>
    <row r="285">
      <c r="A285" s="177" t="s">
        <v>1740</v>
      </c>
      <c r="B285" s="177" t="s">
        <v>3001</v>
      </c>
      <c r="C285" s="177" t="s">
        <v>1177</v>
      </c>
      <c r="D285" s="177">
        <v>13.0</v>
      </c>
      <c r="E285" s="177">
        <v>9.0</v>
      </c>
      <c r="F285" s="177">
        <v>22.0</v>
      </c>
      <c r="G285" s="178">
        <v>92.85714285714286</v>
      </c>
      <c r="H285" s="177">
        <v>10.0</v>
      </c>
      <c r="I285" s="178">
        <v>32.0</v>
      </c>
    </row>
    <row r="286">
      <c r="A286" s="177" t="s">
        <v>1724</v>
      </c>
      <c r="B286" s="177" t="s">
        <v>3002</v>
      </c>
      <c r="C286" s="177" t="s">
        <v>1178</v>
      </c>
      <c r="D286" s="177">
        <v>23.0</v>
      </c>
      <c r="E286" s="177">
        <v>7.75</v>
      </c>
      <c r="F286" s="177">
        <v>30.75</v>
      </c>
      <c r="G286" s="178">
        <v>82.14285714285714</v>
      </c>
      <c r="H286" s="177">
        <v>8.0</v>
      </c>
      <c r="I286" s="178">
        <v>38.75</v>
      </c>
    </row>
    <row r="287">
      <c r="A287" s="177" t="s">
        <v>1685</v>
      </c>
      <c r="B287" s="177" t="s">
        <v>3003</v>
      </c>
      <c r="C287" s="177" t="s">
        <v>1179</v>
      </c>
      <c r="D287" s="177">
        <v>19.0</v>
      </c>
      <c r="E287" s="177">
        <v>0.0</v>
      </c>
      <c r="F287" s="177">
        <v>19.0</v>
      </c>
      <c r="G287" s="178">
        <v>46.42857142857143</v>
      </c>
      <c r="H287" s="177">
        <v>0.0</v>
      </c>
      <c r="I287" s="178">
        <v>19.0</v>
      </c>
    </row>
    <row r="288">
      <c r="A288" s="177" t="s">
        <v>1725</v>
      </c>
      <c r="B288" s="177" t="s">
        <v>3004</v>
      </c>
      <c r="C288" s="177" t="s">
        <v>1180</v>
      </c>
      <c r="D288" s="177">
        <v>0.0</v>
      </c>
      <c r="E288" s="177">
        <v>13.75</v>
      </c>
      <c r="F288" s="177">
        <v>13.75</v>
      </c>
      <c r="G288" s="178">
        <v>60.714285714285715</v>
      </c>
      <c r="H288" s="177">
        <v>0.0</v>
      </c>
      <c r="I288" s="178">
        <v>13.75</v>
      </c>
    </row>
    <row r="289">
      <c r="A289" s="177" t="s">
        <v>1730</v>
      </c>
      <c r="B289" s="177" t="s">
        <v>3005</v>
      </c>
      <c r="C289" s="177" t="s">
        <v>1181</v>
      </c>
      <c r="D289" s="177">
        <v>12.75</v>
      </c>
      <c r="E289" s="177">
        <v>12.0</v>
      </c>
      <c r="F289" s="177">
        <v>24.75</v>
      </c>
      <c r="G289" s="178">
        <v>75.0</v>
      </c>
      <c r="H289" s="177">
        <v>6.0</v>
      </c>
      <c r="I289" s="178">
        <v>30.75</v>
      </c>
    </row>
    <row r="290">
      <c r="A290" s="177" t="s">
        <v>2101</v>
      </c>
      <c r="B290" s="177" t="s">
        <v>3006</v>
      </c>
      <c r="C290" s="177" t="s">
        <v>1196</v>
      </c>
      <c r="D290" s="177">
        <v>28.5</v>
      </c>
      <c r="E290" s="177">
        <v>30.25</v>
      </c>
      <c r="F290" s="177">
        <v>58.75</v>
      </c>
      <c r="G290" s="178">
        <v>80.0</v>
      </c>
      <c r="H290" s="177">
        <v>7.0</v>
      </c>
      <c r="I290" s="178">
        <v>65.75</v>
      </c>
    </row>
    <row r="291">
      <c r="A291" s="177" t="s">
        <v>2158</v>
      </c>
      <c r="B291" s="177" t="s">
        <v>3007</v>
      </c>
      <c r="C291" s="177" t="s">
        <v>1197</v>
      </c>
      <c r="D291" s="177">
        <v>19.0</v>
      </c>
      <c r="E291" s="177">
        <v>27.25</v>
      </c>
      <c r="F291" s="177">
        <v>46.25</v>
      </c>
      <c r="G291" s="178">
        <v>80.0</v>
      </c>
      <c r="H291" s="177">
        <v>7.0</v>
      </c>
      <c r="I291" s="178">
        <v>53.25</v>
      </c>
    </row>
    <row r="292">
      <c r="A292" s="177" t="s">
        <v>2102</v>
      </c>
      <c r="B292" s="177" t="s">
        <v>3008</v>
      </c>
      <c r="C292" s="177" t="s">
        <v>1198</v>
      </c>
      <c r="D292" s="177">
        <v>11.75</v>
      </c>
      <c r="E292" s="177">
        <v>0.0</v>
      </c>
      <c r="F292" s="177">
        <v>11.75</v>
      </c>
      <c r="G292" s="178">
        <v>44.0</v>
      </c>
      <c r="H292" s="177">
        <v>0.0</v>
      </c>
      <c r="I292" s="178">
        <v>11.75</v>
      </c>
    </row>
    <row r="293">
      <c r="A293" s="177" t="s">
        <v>2138</v>
      </c>
      <c r="B293" s="177" t="s">
        <v>3009</v>
      </c>
      <c r="C293" s="177" t="s">
        <v>1199</v>
      </c>
      <c r="D293" s="177">
        <v>11.0</v>
      </c>
      <c r="E293" s="177">
        <v>0.0</v>
      </c>
      <c r="F293" s="177">
        <v>11.0</v>
      </c>
      <c r="G293" s="178">
        <v>28.0</v>
      </c>
      <c r="H293" s="177">
        <v>0.0</v>
      </c>
      <c r="I293" s="178">
        <v>11.0</v>
      </c>
    </row>
    <row r="294">
      <c r="A294" s="177" t="s">
        <v>136</v>
      </c>
      <c r="B294" s="177" t="s">
        <v>3010</v>
      </c>
      <c r="C294" s="177" t="s">
        <v>1200</v>
      </c>
      <c r="D294" s="177">
        <v>10.0</v>
      </c>
      <c r="E294" s="177">
        <v>0.0</v>
      </c>
      <c r="F294" s="177">
        <v>10.0</v>
      </c>
      <c r="G294" s="178">
        <v>8.0</v>
      </c>
      <c r="H294" s="177">
        <v>0.0</v>
      </c>
      <c r="I294" s="178">
        <v>10.0</v>
      </c>
    </row>
    <row r="295">
      <c r="A295" s="177" t="s">
        <v>2103</v>
      </c>
      <c r="B295" s="177" t="s">
        <v>3011</v>
      </c>
      <c r="C295" s="177" t="s">
        <v>1201</v>
      </c>
      <c r="D295" s="177">
        <v>0.0</v>
      </c>
      <c r="E295" s="177">
        <v>0.0</v>
      </c>
      <c r="F295" s="177">
        <v>0.0</v>
      </c>
      <c r="G295" s="178">
        <v>8.0</v>
      </c>
      <c r="H295" s="177">
        <v>0.0</v>
      </c>
      <c r="I295" s="178">
        <v>0.0</v>
      </c>
    </row>
    <row r="296">
      <c r="A296" s="177" t="s">
        <v>2139</v>
      </c>
      <c r="B296" s="177" t="s">
        <v>3012</v>
      </c>
      <c r="C296" s="177" t="s">
        <v>1202</v>
      </c>
      <c r="D296" s="177">
        <v>8.75</v>
      </c>
      <c r="E296" s="177">
        <v>6.75</v>
      </c>
      <c r="F296" s="177">
        <v>15.5</v>
      </c>
      <c r="G296" s="178">
        <v>80.0</v>
      </c>
      <c r="H296" s="177">
        <v>7.0</v>
      </c>
      <c r="I296" s="178">
        <v>22.5</v>
      </c>
    </row>
    <row r="297">
      <c r="A297" s="177" t="s">
        <v>2152</v>
      </c>
      <c r="B297" s="177" t="s">
        <v>3013</v>
      </c>
      <c r="C297" s="177" t="s">
        <v>1203</v>
      </c>
      <c r="D297" s="177">
        <v>17.5</v>
      </c>
      <c r="E297" s="177">
        <v>24.0</v>
      </c>
      <c r="F297" s="177">
        <v>41.5</v>
      </c>
      <c r="G297" s="178">
        <v>88.0</v>
      </c>
      <c r="H297" s="177">
        <v>9.0</v>
      </c>
      <c r="I297" s="178">
        <v>50.5</v>
      </c>
    </row>
    <row r="298">
      <c r="A298" s="177" t="s">
        <v>2104</v>
      </c>
      <c r="B298" s="177" t="s">
        <v>3014</v>
      </c>
      <c r="C298" s="177" t="s">
        <v>1204</v>
      </c>
      <c r="D298" s="177">
        <v>17.5</v>
      </c>
      <c r="E298" s="177">
        <v>16.5</v>
      </c>
      <c r="F298" s="177">
        <v>34.0</v>
      </c>
      <c r="G298" s="178">
        <v>84.0</v>
      </c>
      <c r="H298" s="177">
        <v>8.0</v>
      </c>
      <c r="I298" s="178">
        <v>42.0</v>
      </c>
    </row>
    <row r="299">
      <c r="A299" s="177" t="s">
        <v>2161</v>
      </c>
      <c r="B299" s="177" t="s">
        <v>3015</v>
      </c>
      <c r="C299" s="177" t="s">
        <v>1205</v>
      </c>
      <c r="D299" s="177">
        <v>26.5</v>
      </c>
      <c r="E299" s="177">
        <v>19.5</v>
      </c>
      <c r="F299" s="177">
        <v>46.0</v>
      </c>
      <c r="G299" s="178">
        <v>88.0</v>
      </c>
      <c r="H299" s="177">
        <v>9.0</v>
      </c>
      <c r="I299" s="178">
        <v>55.0</v>
      </c>
    </row>
    <row r="300">
      <c r="A300" s="177" t="s">
        <v>2105</v>
      </c>
      <c r="B300" s="177" t="s">
        <v>3016</v>
      </c>
      <c r="C300" s="177" t="s">
        <v>1206</v>
      </c>
      <c r="D300" s="177">
        <v>21.75</v>
      </c>
      <c r="E300" s="177">
        <v>24.25</v>
      </c>
      <c r="F300" s="177">
        <v>46.0</v>
      </c>
      <c r="G300" s="178">
        <v>72.0</v>
      </c>
      <c r="H300" s="177">
        <v>6.0</v>
      </c>
      <c r="I300" s="178">
        <v>52.0</v>
      </c>
    </row>
    <row r="301">
      <c r="A301" s="177" t="s">
        <v>2162</v>
      </c>
      <c r="B301" s="177" t="s">
        <v>3017</v>
      </c>
      <c r="C301" s="177" t="s">
        <v>1207</v>
      </c>
      <c r="D301" s="177">
        <v>0.0</v>
      </c>
      <c r="E301" s="177">
        <v>0.0</v>
      </c>
      <c r="F301" s="177">
        <v>0.0</v>
      </c>
      <c r="G301" s="178">
        <v>8.0</v>
      </c>
      <c r="H301" s="177">
        <v>0.0</v>
      </c>
      <c r="I301" s="178">
        <v>0.0</v>
      </c>
    </row>
    <row r="302">
      <c r="A302" s="177" t="s">
        <v>2106</v>
      </c>
      <c r="B302" s="177" t="s">
        <v>3018</v>
      </c>
      <c r="C302" s="177" t="s">
        <v>1208</v>
      </c>
      <c r="D302" s="177">
        <v>0.0</v>
      </c>
      <c r="E302" s="177">
        <v>0.0</v>
      </c>
      <c r="F302" s="177">
        <v>0.0</v>
      </c>
      <c r="G302" s="178">
        <v>8.0</v>
      </c>
      <c r="H302" s="177">
        <v>0.0</v>
      </c>
      <c r="I302" s="178">
        <v>0.0</v>
      </c>
    </row>
    <row r="303">
      <c r="A303" s="177" t="s">
        <v>2122</v>
      </c>
      <c r="B303" s="177" t="s">
        <v>3019</v>
      </c>
      <c r="C303" s="177" t="s">
        <v>1209</v>
      </c>
      <c r="D303" s="177">
        <v>17.75</v>
      </c>
      <c r="E303" s="177">
        <v>26.75</v>
      </c>
      <c r="F303" s="177">
        <v>44.5</v>
      </c>
      <c r="G303" s="178">
        <v>80.0</v>
      </c>
      <c r="H303" s="177">
        <v>7.0</v>
      </c>
      <c r="I303" s="178">
        <v>51.5</v>
      </c>
    </row>
    <row r="304">
      <c r="A304" s="177" t="s">
        <v>2107</v>
      </c>
      <c r="B304" s="177" t="s">
        <v>3020</v>
      </c>
      <c r="C304" s="177" t="s">
        <v>1210</v>
      </c>
      <c r="D304" s="177">
        <v>29.0</v>
      </c>
      <c r="E304" s="177">
        <v>31.75</v>
      </c>
      <c r="F304" s="177">
        <v>60.75</v>
      </c>
      <c r="G304" s="178">
        <v>64.0</v>
      </c>
      <c r="H304" s="177">
        <v>0.0</v>
      </c>
      <c r="I304" s="178">
        <v>60.75</v>
      </c>
    </row>
    <row r="305">
      <c r="A305" s="177" t="s">
        <v>2155</v>
      </c>
      <c r="B305" s="177" t="s">
        <v>3021</v>
      </c>
      <c r="C305" s="177" t="s">
        <v>1211</v>
      </c>
      <c r="D305" s="177">
        <v>12.25</v>
      </c>
      <c r="E305" s="177">
        <v>0.0</v>
      </c>
      <c r="F305" s="177">
        <v>12.25</v>
      </c>
      <c r="G305" s="178">
        <v>24.0</v>
      </c>
      <c r="H305" s="177">
        <v>0.0</v>
      </c>
      <c r="I305" s="178">
        <v>12.25</v>
      </c>
    </row>
    <row r="306">
      <c r="A306" s="177" t="s">
        <v>2160</v>
      </c>
      <c r="B306" s="177" t="s">
        <v>3022</v>
      </c>
      <c r="C306" s="177" t="s">
        <v>1212</v>
      </c>
      <c r="D306" s="177">
        <v>11.5</v>
      </c>
      <c r="E306" s="177">
        <v>11.25</v>
      </c>
      <c r="F306" s="177">
        <v>22.75</v>
      </c>
      <c r="G306" s="178">
        <v>84.0</v>
      </c>
      <c r="H306" s="177">
        <v>8.0</v>
      </c>
      <c r="I306" s="178">
        <v>30.75</v>
      </c>
    </row>
    <row r="307">
      <c r="A307" s="177" t="s">
        <v>2156</v>
      </c>
      <c r="B307" s="177" t="s">
        <v>3023</v>
      </c>
      <c r="C307" s="177" t="s">
        <v>1213</v>
      </c>
      <c r="D307" s="177">
        <v>0.0</v>
      </c>
      <c r="E307" s="177">
        <v>0.0</v>
      </c>
      <c r="F307" s="177">
        <v>0.0</v>
      </c>
      <c r="G307" s="178">
        <v>8.0</v>
      </c>
      <c r="H307" s="177">
        <v>0.0</v>
      </c>
      <c r="I307" s="178">
        <v>0.0</v>
      </c>
    </row>
    <row r="308">
      <c r="A308" s="177" t="s">
        <v>2108</v>
      </c>
      <c r="B308" s="177" t="s">
        <v>3024</v>
      </c>
      <c r="C308" s="177" t="s">
        <v>1214</v>
      </c>
      <c r="D308" s="177">
        <v>20.0</v>
      </c>
      <c r="E308" s="177">
        <v>14.0</v>
      </c>
      <c r="F308" s="177">
        <v>34.0</v>
      </c>
      <c r="G308" s="178">
        <v>80.0</v>
      </c>
      <c r="H308" s="177">
        <v>7.0</v>
      </c>
      <c r="I308" s="178">
        <v>41.0</v>
      </c>
    </row>
    <row r="309">
      <c r="A309" s="177" t="s">
        <v>2147</v>
      </c>
      <c r="B309" s="177" t="s">
        <v>3025</v>
      </c>
      <c r="C309" s="177" t="s">
        <v>1215</v>
      </c>
      <c r="D309" s="177">
        <v>17.25</v>
      </c>
      <c r="E309" s="177">
        <v>26.0</v>
      </c>
      <c r="F309" s="177">
        <v>43.25</v>
      </c>
      <c r="G309" s="178">
        <v>100.0</v>
      </c>
      <c r="H309" s="177">
        <v>10.0</v>
      </c>
      <c r="I309" s="178">
        <v>53.25</v>
      </c>
    </row>
    <row r="310">
      <c r="A310" s="177" t="s">
        <v>2144</v>
      </c>
      <c r="B310" s="177" t="s">
        <v>3026</v>
      </c>
      <c r="C310" s="177" t="s">
        <v>1216</v>
      </c>
      <c r="D310" s="177">
        <v>4.5</v>
      </c>
      <c r="E310" s="177">
        <v>14.0</v>
      </c>
      <c r="F310" s="177">
        <v>18.5</v>
      </c>
      <c r="G310" s="178">
        <v>76.0</v>
      </c>
      <c r="H310" s="177">
        <v>7.0</v>
      </c>
      <c r="I310" s="178">
        <v>25.5</v>
      </c>
    </row>
    <row r="311">
      <c r="A311" s="177" t="s">
        <v>2109</v>
      </c>
      <c r="B311" s="177" t="s">
        <v>3027</v>
      </c>
      <c r="C311" s="177" t="s">
        <v>1217</v>
      </c>
      <c r="D311" s="177">
        <v>0.0</v>
      </c>
      <c r="E311" s="177">
        <v>0.0</v>
      </c>
      <c r="F311" s="177">
        <v>0.0</v>
      </c>
      <c r="G311" s="178">
        <v>0.0</v>
      </c>
      <c r="H311" s="177">
        <v>0.0</v>
      </c>
      <c r="I311" s="178">
        <v>0.0</v>
      </c>
    </row>
    <row r="312">
      <c r="A312" s="177" t="s">
        <v>3028</v>
      </c>
      <c r="B312" s="177" t="s">
        <v>3029</v>
      </c>
      <c r="C312" s="177" t="s">
        <v>1218</v>
      </c>
      <c r="D312" s="177">
        <v>24.0</v>
      </c>
      <c r="E312" s="177">
        <v>26.75</v>
      </c>
      <c r="F312" s="177">
        <v>50.75</v>
      </c>
      <c r="G312" s="178">
        <v>64.0</v>
      </c>
      <c r="H312" s="177">
        <v>0.0</v>
      </c>
      <c r="I312" s="178">
        <v>50.75</v>
      </c>
    </row>
    <row r="313">
      <c r="A313" s="177" t="s">
        <v>2110</v>
      </c>
      <c r="B313" s="177" t="s">
        <v>3030</v>
      </c>
      <c r="C313" s="177" t="s">
        <v>1219</v>
      </c>
      <c r="D313" s="177">
        <v>0.0</v>
      </c>
      <c r="E313" s="177">
        <v>0.0</v>
      </c>
      <c r="F313" s="177">
        <v>0.0</v>
      </c>
      <c r="G313" s="178">
        <v>24.0</v>
      </c>
      <c r="H313" s="177">
        <v>0.0</v>
      </c>
      <c r="I313" s="178">
        <v>0.0</v>
      </c>
    </row>
    <row r="314">
      <c r="A314" s="177" t="s">
        <v>2111</v>
      </c>
      <c r="B314" s="177" t="s">
        <v>3031</v>
      </c>
      <c r="C314" s="177" t="s">
        <v>1220</v>
      </c>
      <c r="D314" s="177">
        <v>15.25</v>
      </c>
      <c r="E314" s="177">
        <v>21.5</v>
      </c>
      <c r="F314" s="177">
        <v>36.75</v>
      </c>
      <c r="G314" s="178">
        <v>88.0</v>
      </c>
      <c r="H314" s="177">
        <v>9.0</v>
      </c>
      <c r="I314" s="178">
        <v>45.75</v>
      </c>
    </row>
    <row r="315">
      <c r="A315" s="177" t="s">
        <v>2143</v>
      </c>
      <c r="B315" s="177" t="s">
        <v>3032</v>
      </c>
      <c r="C315" s="177" t="s">
        <v>1221</v>
      </c>
      <c r="D315" s="177">
        <v>10.5</v>
      </c>
      <c r="E315" s="177">
        <v>0.0</v>
      </c>
      <c r="F315" s="177">
        <v>10.5</v>
      </c>
      <c r="G315" s="178">
        <v>60.0</v>
      </c>
      <c r="H315" s="177">
        <v>0.0</v>
      </c>
      <c r="I315" s="178">
        <v>10.5</v>
      </c>
    </row>
    <row r="316">
      <c r="A316" s="177" t="s">
        <v>2148</v>
      </c>
      <c r="B316" s="177" t="s">
        <v>3033</v>
      </c>
      <c r="C316" s="177" t="s">
        <v>1222</v>
      </c>
      <c r="D316" s="177">
        <v>13.25</v>
      </c>
      <c r="E316" s="177">
        <v>27.75</v>
      </c>
      <c r="F316" s="177">
        <v>41.0</v>
      </c>
      <c r="G316" s="178">
        <v>92.0</v>
      </c>
      <c r="H316" s="177">
        <v>10.0</v>
      </c>
      <c r="I316" s="178">
        <v>51.0</v>
      </c>
    </row>
    <row r="317">
      <c r="A317" s="177" t="s">
        <v>2145</v>
      </c>
      <c r="B317" s="177" t="s">
        <v>3034</v>
      </c>
      <c r="C317" s="177" t="s">
        <v>1223</v>
      </c>
      <c r="D317" s="177">
        <v>15.75</v>
      </c>
      <c r="E317" s="177">
        <v>26.25</v>
      </c>
      <c r="F317" s="177">
        <v>42.0</v>
      </c>
      <c r="G317" s="178">
        <v>84.0</v>
      </c>
      <c r="H317" s="177">
        <v>8.0</v>
      </c>
      <c r="I317" s="178">
        <v>50.0</v>
      </c>
    </row>
    <row r="318">
      <c r="A318" s="177" t="s">
        <v>2112</v>
      </c>
      <c r="B318" s="177" t="s">
        <v>3035</v>
      </c>
      <c r="C318" s="177" t="s">
        <v>1224</v>
      </c>
      <c r="D318" s="177">
        <v>26.0</v>
      </c>
      <c r="E318" s="177">
        <v>30.25</v>
      </c>
      <c r="F318" s="177">
        <v>56.25</v>
      </c>
      <c r="G318" s="178">
        <v>64.0</v>
      </c>
      <c r="H318" s="177">
        <v>0.0</v>
      </c>
      <c r="I318" s="178">
        <v>56.25</v>
      </c>
    </row>
    <row r="319">
      <c r="A319" s="177" t="s">
        <v>2113</v>
      </c>
      <c r="B319" s="177" t="s">
        <v>3036</v>
      </c>
      <c r="C319" s="177" t="s">
        <v>1225</v>
      </c>
      <c r="D319" s="177">
        <v>18.0</v>
      </c>
      <c r="E319" s="177" t="s">
        <v>2491</v>
      </c>
      <c r="F319" s="177" t="s">
        <v>2491</v>
      </c>
      <c r="G319" s="178">
        <v>88.0</v>
      </c>
      <c r="H319" s="177">
        <v>9.0</v>
      </c>
      <c r="I319" s="179">
        <v>0.0</v>
      </c>
    </row>
    <row r="320">
      <c r="A320" s="177" t="s">
        <v>2159</v>
      </c>
      <c r="B320" s="177" t="s">
        <v>3037</v>
      </c>
      <c r="C320" s="177" t="s">
        <v>1226</v>
      </c>
      <c r="D320" s="177">
        <v>0.0</v>
      </c>
      <c r="E320" s="177">
        <v>0.0</v>
      </c>
      <c r="F320" s="177">
        <v>0.0</v>
      </c>
      <c r="G320" s="178">
        <v>48.0</v>
      </c>
      <c r="H320" s="177">
        <v>0.0</v>
      </c>
      <c r="I320" s="178">
        <v>0.0</v>
      </c>
    </row>
    <row r="321">
      <c r="A321" s="177" t="s">
        <v>2114</v>
      </c>
      <c r="B321" s="177" t="s">
        <v>3038</v>
      </c>
      <c r="C321" s="177" t="s">
        <v>1227</v>
      </c>
      <c r="D321" s="177">
        <v>0.0</v>
      </c>
      <c r="E321" s="177">
        <v>0.0</v>
      </c>
      <c r="F321" s="177">
        <v>0.0</v>
      </c>
      <c r="G321" s="178">
        <v>0.0</v>
      </c>
      <c r="H321" s="177">
        <v>0.0</v>
      </c>
      <c r="I321" s="178">
        <v>0.0</v>
      </c>
    </row>
    <row r="322">
      <c r="A322" s="177" t="s">
        <v>2115</v>
      </c>
      <c r="B322" s="177" t="s">
        <v>3039</v>
      </c>
      <c r="C322" s="177" t="s">
        <v>1228</v>
      </c>
      <c r="D322" s="177">
        <v>8.25</v>
      </c>
      <c r="E322" s="177">
        <v>33.75</v>
      </c>
      <c r="F322" s="177">
        <v>42.0</v>
      </c>
      <c r="G322" s="178">
        <v>88.0</v>
      </c>
      <c r="H322" s="177">
        <v>9.0</v>
      </c>
      <c r="I322" s="178">
        <v>51.0</v>
      </c>
    </row>
    <row r="323">
      <c r="A323" s="177" t="s">
        <v>2116</v>
      </c>
      <c r="B323" s="177" t="s">
        <v>3040</v>
      </c>
      <c r="C323" s="177" t="s">
        <v>1229</v>
      </c>
      <c r="D323" s="177">
        <v>11.0</v>
      </c>
      <c r="E323" s="177">
        <v>31.25</v>
      </c>
      <c r="F323" s="177">
        <v>42.25</v>
      </c>
      <c r="G323" s="178">
        <v>72.0</v>
      </c>
      <c r="H323" s="177">
        <v>6.0</v>
      </c>
      <c r="I323" s="178">
        <v>48.25</v>
      </c>
    </row>
    <row r="324">
      <c r="A324" s="177" t="s">
        <v>2117</v>
      </c>
      <c r="B324" s="177" t="s">
        <v>3041</v>
      </c>
      <c r="C324" s="177" t="s">
        <v>1230</v>
      </c>
      <c r="D324" s="177">
        <v>18.25</v>
      </c>
      <c r="E324" s="177">
        <v>26.75</v>
      </c>
      <c r="F324" s="177">
        <v>45.0</v>
      </c>
      <c r="G324" s="178">
        <v>84.0</v>
      </c>
      <c r="H324" s="177">
        <v>8.0</v>
      </c>
      <c r="I324" s="178">
        <v>53.0</v>
      </c>
    </row>
    <row r="325">
      <c r="A325" s="177" t="s">
        <v>2118</v>
      </c>
      <c r="B325" s="177" t="s">
        <v>3042</v>
      </c>
      <c r="C325" s="177" t="s">
        <v>1231</v>
      </c>
      <c r="D325" s="177">
        <v>20.25</v>
      </c>
      <c r="E325" s="177">
        <v>29.75</v>
      </c>
      <c r="F325" s="177">
        <v>50.0</v>
      </c>
      <c r="G325" s="178">
        <v>68.0</v>
      </c>
      <c r="H325" s="177">
        <v>0.0</v>
      </c>
      <c r="I325" s="178">
        <v>50.0</v>
      </c>
    </row>
    <row r="326">
      <c r="A326" s="177" t="s">
        <v>2119</v>
      </c>
      <c r="B326" s="177" t="s">
        <v>3043</v>
      </c>
      <c r="C326" s="177" t="s">
        <v>1232</v>
      </c>
      <c r="D326" s="177">
        <v>21.0</v>
      </c>
      <c r="E326" s="177">
        <v>29.25</v>
      </c>
      <c r="F326" s="177">
        <v>50.25</v>
      </c>
      <c r="G326" s="178">
        <v>96.0</v>
      </c>
      <c r="H326" s="177">
        <v>10.0</v>
      </c>
      <c r="I326" s="178">
        <v>60.25</v>
      </c>
    </row>
    <row r="327">
      <c r="A327" s="177" t="s">
        <v>2120</v>
      </c>
      <c r="B327" s="177" t="s">
        <v>3044</v>
      </c>
      <c r="C327" s="177" t="s">
        <v>1233</v>
      </c>
      <c r="D327" s="177">
        <v>27.0</v>
      </c>
      <c r="E327" s="177">
        <v>36.25</v>
      </c>
      <c r="F327" s="177">
        <v>63.25</v>
      </c>
      <c r="G327" s="178">
        <v>68.0</v>
      </c>
      <c r="H327" s="177">
        <v>0.0</v>
      </c>
      <c r="I327" s="178">
        <v>63.25</v>
      </c>
    </row>
    <row r="328">
      <c r="A328" s="177" t="s">
        <v>2121</v>
      </c>
      <c r="B328" s="177" t="s">
        <v>3045</v>
      </c>
      <c r="C328" s="177" t="s">
        <v>1234</v>
      </c>
      <c r="D328" s="177">
        <v>28.25</v>
      </c>
      <c r="E328" s="177" t="s">
        <v>2491</v>
      </c>
      <c r="F328" s="177" t="s">
        <v>2491</v>
      </c>
      <c r="G328" s="178">
        <v>76.0</v>
      </c>
      <c r="H328" s="177">
        <v>7.0</v>
      </c>
      <c r="I328" s="179">
        <v>0.0</v>
      </c>
    </row>
    <row r="329">
      <c r="A329" s="177" t="s">
        <v>2146</v>
      </c>
      <c r="B329" s="177" t="s">
        <v>3046</v>
      </c>
      <c r="C329" s="177" t="s">
        <v>1235</v>
      </c>
      <c r="D329" s="177">
        <v>0.0</v>
      </c>
      <c r="E329" s="177">
        <v>0.0</v>
      </c>
      <c r="F329" s="177">
        <v>0.0</v>
      </c>
      <c r="G329" s="178">
        <v>28.0</v>
      </c>
      <c r="H329" s="177">
        <v>0.0</v>
      </c>
      <c r="I329" s="178">
        <v>0.0</v>
      </c>
    </row>
    <row r="330">
      <c r="A330" s="177" t="s">
        <v>2123</v>
      </c>
      <c r="B330" s="177" t="s">
        <v>3047</v>
      </c>
      <c r="C330" s="177" t="s">
        <v>1236</v>
      </c>
      <c r="D330" s="177">
        <v>8.25</v>
      </c>
      <c r="E330" s="177">
        <v>0.0</v>
      </c>
      <c r="F330" s="177">
        <v>8.25</v>
      </c>
      <c r="G330" s="178">
        <v>16.0</v>
      </c>
      <c r="H330" s="177">
        <v>0.0</v>
      </c>
      <c r="I330" s="178">
        <v>8.25</v>
      </c>
    </row>
    <row r="331">
      <c r="A331" s="177" t="s">
        <v>2141</v>
      </c>
      <c r="B331" s="177" t="s">
        <v>3048</v>
      </c>
      <c r="C331" s="177" t="s">
        <v>1237</v>
      </c>
      <c r="D331" s="177">
        <v>6.0</v>
      </c>
      <c r="E331" s="177">
        <v>0.0</v>
      </c>
      <c r="F331" s="177">
        <v>6.0</v>
      </c>
      <c r="G331" s="178">
        <v>4.0</v>
      </c>
      <c r="H331" s="177">
        <v>0.0</v>
      </c>
      <c r="I331" s="178">
        <v>6.0</v>
      </c>
    </row>
    <row r="332">
      <c r="A332" s="177" t="s">
        <v>2124</v>
      </c>
      <c r="B332" s="177" t="s">
        <v>3049</v>
      </c>
      <c r="C332" s="177" t="s">
        <v>1238</v>
      </c>
      <c r="D332" s="177">
        <v>11.75</v>
      </c>
      <c r="E332" s="177">
        <v>0.0</v>
      </c>
      <c r="F332" s="177">
        <v>11.75</v>
      </c>
      <c r="G332" s="178">
        <v>56.0</v>
      </c>
      <c r="H332" s="177">
        <v>0.0</v>
      </c>
      <c r="I332" s="178">
        <v>11.75</v>
      </c>
    </row>
    <row r="333">
      <c r="A333" s="177" t="s">
        <v>2125</v>
      </c>
      <c r="B333" s="177" t="s">
        <v>3050</v>
      </c>
      <c r="C333" s="177" t="s">
        <v>1239</v>
      </c>
      <c r="D333" s="177">
        <v>0.0</v>
      </c>
      <c r="E333" s="177">
        <v>0.0</v>
      </c>
      <c r="F333" s="177">
        <v>0.0</v>
      </c>
      <c r="G333" s="178">
        <v>32.0</v>
      </c>
      <c r="H333" s="177">
        <v>0.0</v>
      </c>
      <c r="I333" s="178">
        <v>0.0</v>
      </c>
    </row>
    <row r="334">
      <c r="A334" s="177" t="s">
        <v>2126</v>
      </c>
      <c r="B334" s="177" t="s">
        <v>3051</v>
      </c>
      <c r="C334" s="177" t="s">
        <v>1240</v>
      </c>
      <c r="D334" s="177">
        <v>0.0</v>
      </c>
      <c r="E334" s="177">
        <v>0.0</v>
      </c>
      <c r="F334" s="177">
        <v>0.0</v>
      </c>
      <c r="G334" s="178">
        <v>0.0</v>
      </c>
      <c r="H334" s="177">
        <v>0.0</v>
      </c>
      <c r="I334" s="178">
        <v>0.0</v>
      </c>
    </row>
    <row r="335">
      <c r="A335" s="177" t="s">
        <v>2127</v>
      </c>
      <c r="B335" s="177" t="s">
        <v>3052</v>
      </c>
      <c r="C335" s="177" t="s">
        <v>1241</v>
      </c>
      <c r="D335" s="177">
        <v>23.75</v>
      </c>
      <c r="E335" s="177">
        <v>32.0</v>
      </c>
      <c r="F335" s="177">
        <v>55.75</v>
      </c>
      <c r="G335" s="178">
        <v>96.0</v>
      </c>
      <c r="H335" s="177">
        <v>10.0</v>
      </c>
      <c r="I335" s="178">
        <v>65.75</v>
      </c>
    </row>
    <row r="336">
      <c r="A336" s="177" t="s">
        <v>2128</v>
      </c>
      <c r="B336" s="177" t="s">
        <v>3053</v>
      </c>
      <c r="C336" s="177" t="s">
        <v>1242</v>
      </c>
      <c r="D336" s="177">
        <v>11.0</v>
      </c>
      <c r="E336" s="177">
        <v>18.5</v>
      </c>
      <c r="F336" s="177">
        <v>29.5</v>
      </c>
      <c r="G336" s="178">
        <v>72.0</v>
      </c>
      <c r="H336" s="177">
        <v>6.0</v>
      </c>
      <c r="I336" s="178">
        <v>35.5</v>
      </c>
    </row>
    <row r="337">
      <c r="A337" s="177" t="s">
        <v>2129</v>
      </c>
      <c r="B337" s="177" t="s">
        <v>3054</v>
      </c>
      <c r="C337" s="177" t="s">
        <v>1243</v>
      </c>
      <c r="D337" s="177">
        <v>8.75</v>
      </c>
      <c r="E337" s="177">
        <v>14.0</v>
      </c>
      <c r="F337" s="177">
        <v>22.75</v>
      </c>
      <c r="G337" s="178">
        <v>84.0</v>
      </c>
      <c r="H337" s="177">
        <v>8.0</v>
      </c>
      <c r="I337" s="178">
        <v>30.75</v>
      </c>
    </row>
    <row r="338">
      <c r="A338" s="177" t="s">
        <v>2130</v>
      </c>
      <c r="B338" s="177" t="s">
        <v>3055</v>
      </c>
      <c r="C338" s="177" t="s">
        <v>1244</v>
      </c>
      <c r="D338" s="177">
        <v>10.25</v>
      </c>
      <c r="E338" s="177">
        <v>12.75</v>
      </c>
      <c r="F338" s="177">
        <v>23.0</v>
      </c>
      <c r="G338" s="178">
        <v>88.0</v>
      </c>
      <c r="H338" s="177">
        <v>9.0</v>
      </c>
      <c r="I338" s="178">
        <v>32.0</v>
      </c>
    </row>
    <row r="339">
      <c r="A339" s="177" t="s">
        <v>2131</v>
      </c>
      <c r="B339" s="177" t="s">
        <v>3056</v>
      </c>
      <c r="C339" s="177" t="s">
        <v>1245</v>
      </c>
      <c r="D339" s="177">
        <v>17.0</v>
      </c>
      <c r="E339" s="177">
        <v>0.0</v>
      </c>
      <c r="F339" s="177">
        <v>17.0</v>
      </c>
      <c r="G339" s="178">
        <v>44.0</v>
      </c>
      <c r="H339" s="177">
        <v>0.0</v>
      </c>
      <c r="I339" s="178">
        <v>17.0</v>
      </c>
    </row>
    <row r="340">
      <c r="A340" s="177" t="s">
        <v>2151</v>
      </c>
      <c r="B340" s="177" t="s">
        <v>3057</v>
      </c>
      <c r="C340" s="177" t="s">
        <v>1246</v>
      </c>
      <c r="D340" s="177">
        <v>14.0</v>
      </c>
      <c r="E340" s="177">
        <v>20.75</v>
      </c>
      <c r="F340" s="177">
        <v>34.75</v>
      </c>
      <c r="G340" s="178">
        <v>84.0</v>
      </c>
      <c r="H340" s="177">
        <v>8.0</v>
      </c>
      <c r="I340" s="178">
        <v>42.75</v>
      </c>
    </row>
    <row r="341">
      <c r="A341" s="177" t="s">
        <v>2132</v>
      </c>
      <c r="B341" s="177" t="s">
        <v>3058</v>
      </c>
      <c r="C341" s="177" t="s">
        <v>1247</v>
      </c>
      <c r="D341" s="177">
        <v>17.5</v>
      </c>
      <c r="E341" s="177">
        <v>16.5</v>
      </c>
      <c r="F341" s="177">
        <v>34.0</v>
      </c>
      <c r="G341" s="178">
        <v>48.0</v>
      </c>
      <c r="H341" s="177">
        <v>0.0</v>
      </c>
      <c r="I341" s="178">
        <v>34.0</v>
      </c>
    </row>
    <row r="342">
      <c r="A342" s="177" t="s">
        <v>2133</v>
      </c>
      <c r="B342" s="177" t="s">
        <v>3059</v>
      </c>
      <c r="C342" s="177" t="s">
        <v>1248</v>
      </c>
      <c r="D342" s="177">
        <v>7.25</v>
      </c>
      <c r="E342" s="177">
        <v>0.0</v>
      </c>
      <c r="F342" s="177">
        <v>7.25</v>
      </c>
      <c r="G342" s="178">
        <v>40.0</v>
      </c>
      <c r="H342" s="177">
        <v>0.0</v>
      </c>
      <c r="I342" s="178">
        <v>7.25</v>
      </c>
    </row>
    <row r="343">
      <c r="A343" s="177" t="s">
        <v>2154</v>
      </c>
      <c r="B343" s="177" t="s">
        <v>3060</v>
      </c>
      <c r="C343" s="177" t="s">
        <v>862</v>
      </c>
      <c r="D343" s="177">
        <v>0.0</v>
      </c>
      <c r="E343" s="177">
        <v>0.0</v>
      </c>
      <c r="F343" s="177">
        <v>0.0</v>
      </c>
      <c r="G343" s="178">
        <v>0.0</v>
      </c>
      <c r="H343" s="177">
        <v>0.0</v>
      </c>
      <c r="I343" s="178">
        <v>0.0</v>
      </c>
    </row>
    <row r="344">
      <c r="A344" s="177" t="s">
        <v>2157</v>
      </c>
      <c r="B344" s="177" t="s">
        <v>3061</v>
      </c>
      <c r="C344" s="177" t="s">
        <v>1250</v>
      </c>
      <c r="D344" s="177">
        <v>33.25</v>
      </c>
      <c r="E344" s="177">
        <v>34.0</v>
      </c>
      <c r="F344" s="177">
        <v>67.25</v>
      </c>
      <c r="G344" s="178">
        <v>76.0</v>
      </c>
      <c r="H344" s="177">
        <v>7.0</v>
      </c>
      <c r="I344" s="178">
        <v>74.25</v>
      </c>
    </row>
    <row r="345">
      <c r="A345" s="177" t="s">
        <v>2134</v>
      </c>
      <c r="B345" s="177" t="s">
        <v>3062</v>
      </c>
      <c r="C345" s="177" t="s">
        <v>1251</v>
      </c>
      <c r="D345" s="177">
        <v>0.0</v>
      </c>
      <c r="E345" s="177">
        <v>0.0</v>
      </c>
      <c r="F345" s="177">
        <v>0.0</v>
      </c>
      <c r="G345" s="178">
        <v>0.0</v>
      </c>
      <c r="H345" s="177">
        <v>0.0</v>
      </c>
      <c r="I345" s="178">
        <v>0.0</v>
      </c>
    </row>
    <row r="346">
      <c r="A346" s="177" t="s">
        <v>2149</v>
      </c>
      <c r="B346" s="177" t="s">
        <v>3063</v>
      </c>
      <c r="C346" s="177" t="s">
        <v>1252</v>
      </c>
      <c r="D346" s="177">
        <v>22.75</v>
      </c>
      <c r="E346" s="177">
        <v>34.0</v>
      </c>
      <c r="F346" s="177">
        <v>56.75</v>
      </c>
      <c r="G346" s="178">
        <v>92.0</v>
      </c>
      <c r="H346" s="177">
        <v>10.0</v>
      </c>
      <c r="I346" s="178">
        <v>66.75</v>
      </c>
    </row>
    <row r="347">
      <c r="A347" s="177" t="s">
        <v>2153</v>
      </c>
      <c r="B347" s="177" t="s">
        <v>3064</v>
      </c>
      <c r="C347" s="177" t="s">
        <v>1253</v>
      </c>
      <c r="D347" s="177">
        <v>3.0</v>
      </c>
      <c r="E347" s="177">
        <v>0.0</v>
      </c>
      <c r="F347" s="177">
        <v>3.0</v>
      </c>
      <c r="G347" s="178">
        <v>8.0</v>
      </c>
      <c r="H347" s="177">
        <v>0.0</v>
      </c>
      <c r="I347" s="178">
        <v>3.0</v>
      </c>
    </row>
    <row r="348">
      <c r="A348" s="177" t="s">
        <v>2135</v>
      </c>
      <c r="B348" s="177" t="s">
        <v>3065</v>
      </c>
      <c r="C348" s="177" t="s">
        <v>1254</v>
      </c>
      <c r="D348" s="177">
        <v>25.25</v>
      </c>
      <c r="E348" s="177">
        <v>25.0</v>
      </c>
      <c r="F348" s="177">
        <v>50.25</v>
      </c>
      <c r="G348" s="178">
        <v>88.0</v>
      </c>
      <c r="H348" s="177">
        <v>9.0</v>
      </c>
      <c r="I348" s="178">
        <v>59.25</v>
      </c>
    </row>
    <row r="349">
      <c r="A349" s="177" t="s">
        <v>2142</v>
      </c>
      <c r="B349" s="177" t="s">
        <v>3066</v>
      </c>
      <c r="C349" s="177" t="s">
        <v>1255</v>
      </c>
      <c r="D349" s="177">
        <v>20.5</v>
      </c>
      <c r="E349" s="177">
        <v>26.25</v>
      </c>
      <c r="F349" s="177">
        <v>46.75</v>
      </c>
      <c r="G349" s="178">
        <v>76.0</v>
      </c>
      <c r="H349" s="177">
        <v>7.0</v>
      </c>
      <c r="I349" s="178">
        <v>53.75</v>
      </c>
    </row>
    <row r="350">
      <c r="A350" s="177" t="s">
        <v>2136</v>
      </c>
      <c r="B350" s="177" t="s">
        <v>3067</v>
      </c>
      <c r="C350" s="177" t="s">
        <v>1256</v>
      </c>
      <c r="D350" s="177">
        <v>0.0</v>
      </c>
      <c r="E350" s="177">
        <v>0.0</v>
      </c>
      <c r="F350" s="177">
        <v>0.0</v>
      </c>
      <c r="G350" s="178">
        <v>16.0</v>
      </c>
      <c r="H350" s="177">
        <v>0.0</v>
      </c>
      <c r="I350" s="178">
        <v>0.0</v>
      </c>
    </row>
    <row r="351">
      <c r="A351" s="177" t="s">
        <v>2137</v>
      </c>
      <c r="B351" s="177" t="s">
        <v>3068</v>
      </c>
      <c r="C351" s="177" t="s">
        <v>1257</v>
      </c>
      <c r="D351" s="177">
        <v>0.0</v>
      </c>
      <c r="E351" s="177">
        <v>0.0</v>
      </c>
      <c r="F351" s="177">
        <v>0.0</v>
      </c>
      <c r="G351" s="178">
        <v>52.0</v>
      </c>
      <c r="H351" s="177">
        <v>0.0</v>
      </c>
      <c r="I351" s="178">
        <v>0.0</v>
      </c>
    </row>
    <row r="352">
      <c r="A352" s="177" t="s">
        <v>2150</v>
      </c>
      <c r="B352" s="177" t="s">
        <v>3069</v>
      </c>
      <c r="C352" s="177" t="s">
        <v>1258</v>
      </c>
      <c r="D352" s="177">
        <v>12.0</v>
      </c>
      <c r="E352" s="177">
        <v>16.75</v>
      </c>
      <c r="F352" s="177">
        <v>28.75</v>
      </c>
      <c r="G352" s="178">
        <v>72.0</v>
      </c>
      <c r="H352" s="177">
        <v>6.0</v>
      </c>
      <c r="I352" s="178">
        <v>34.75</v>
      </c>
    </row>
    <row r="353">
      <c r="A353" s="177" t="s">
        <v>3070</v>
      </c>
      <c r="B353" s="177" t="s">
        <v>3071</v>
      </c>
      <c r="C353" s="177" t="s">
        <v>1259</v>
      </c>
      <c r="D353" s="177">
        <v>23.75</v>
      </c>
      <c r="E353" s="177">
        <v>23.75</v>
      </c>
      <c r="F353" s="177">
        <v>47.5</v>
      </c>
      <c r="G353" s="178">
        <v>88.0</v>
      </c>
      <c r="H353" s="177">
        <v>9.0</v>
      </c>
      <c r="I353" s="178">
        <v>56.5</v>
      </c>
    </row>
    <row r="354">
      <c r="A354" s="177" t="s">
        <v>3072</v>
      </c>
      <c r="B354" s="177" t="s">
        <v>3073</v>
      </c>
      <c r="C354" s="177" t="s">
        <v>1260</v>
      </c>
      <c r="D354" s="177">
        <v>17.5</v>
      </c>
      <c r="E354" s="177" t="s">
        <v>2491</v>
      </c>
      <c r="F354" s="177" t="s">
        <v>2491</v>
      </c>
      <c r="G354" s="178">
        <v>76.0</v>
      </c>
      <c r="H354" s="177">
        <v>7.0</v>
      </c>
      <c r="I354" s="179">
        <v>0.0</v>
      </c>
    </row>
    <row r="355">
      <c r="A355" s="177" t="s">
        <v>3074</v>
      </c>
      <c r="B355" s="177" t="s">
        <v>3075</v>
      </c>
      <c r="C355" s="177" t="s">
        <v>1261</v>
      </c>
      <c r="D355" s="177">
        <v>18.25</v>
      </c>
      <c r="E355" s="177" t="s">
        <v>2491</v>
      </c>
      <c r="F355" s="177" t="s">
        <v>2491</v>
      </c>
      <c r="G355" s="178">
        <v>76.0</v>
      </c>
      <c r="H355" s="177">
        <v>7.0</v>
      </c>
      <c r="I355" s="179">
        <v>0.0</v>
      </c>
    </row>
    <row r="356">
      <c r="A356" s="177" t="s">
        <v>1605</v>
      </c>
      <c r="B356" s="177" t="s">
        <v>3076</v>
      </c>
      <c r="C356" s="177" t="s">
        <v>1269</v>
      </c>
      <c r="D356" s="177">
        <v>16.75</v>
      </c>
      <c r="E356" s="177">
        <v>18.5</v>
      </c>
      <c r="F356" s="177">
        <v>35.25</v>
      </c>
      <c r="G356" s="178">
        <v>83.33333333333333</v>
      </c>
      <c r="H356" s="177">
        <v>8.0</v>
      </c>
      <c r="I356" s="178">
        <v>43.25</v>
      </c>
    </row>
    <row r="357">
      <c r="A357" s="177" t="s">
        <v>1556</v>
      </c>
      <c r="B357" s="177" t="s">
        <v>3077</v>
      </c>
      <c r="C357" s="177" t="s">
        <v>1270</v>
      </c>
      <c r="D357" s="177">
        <v>12.75</v>
      </c>
      <c r="E357" s="177">
        <v>0.0</v>
      </c>
      <c r="F357" s="177">
        <v>12.75</v>
      </c>
      <c r="G357" s="178">
        <v>50.0</v>
      </c>
      <c r="H357" s="177">
        <v>0.0</v>
      </c>
      <c r="I357" s="178">
        <v>12.75</v>
      </c>
    </row>
    <row r="358">
      <c r="A358" s="177" t="s">
        <v>1557</v>
      </c>
      <c r="B358" s="177" t="s">
        <v>3078</v>
      </c>
      <c r="C358" s="177" t="s">
        <v>1271</v>
      </c>
      <c r="D358" s="177">
        <v>9.25</v>
      </c>
      <c r="E358" s="177">
        <v>25.0</v>
      </c>
      <c r="F358" s="177">
        <v>34.25</v>
      </c>
      <c r="G358" s="178">
        <v>91.66666666666667</v>
      </c>
      <c r="H358" s="177">
        <v>10.0</v>
      </c>
      <c r="I358" s="178">
        <v>44.25</v>
      </c>
    </row>
    <row r="359">
      <c r="A359" s="177" t="s">
        <v>1594</v>
      </c>
      <c r="B359" s="177" t="s">
        <v>3079</v>
      </c>
      <c r="C359" s="177" t="s">
        <v>1272</v>
      </c>
      <c r="D359" s="177">
        <v>12.5</v>
      </c>
      <c r="E359" s="177">
        <v>25.75</v>
      </c>
      <c r="F359" s="177">
        <v>38.25</v>
      </c>
      <c r="G359" s="178">
        <v>83.33333333333333</v>
      </c>
      <c r="H359" s="177">
        <v>8.0</v>
      </c>
      <c r="I359" s="178">
        <v>46.25</v>
      </c>
    </row>
    <row r="360">
      <c r="A360" s="177" t="s">
        <v>1558</v>
      </c>
      <c r="B360" s="177" t="s">
        <v>3080</v>
      </c>
      <c r="C360" s="177" t="s">
        <v>1273</v>
      </c>
      <c r="D360" s="177">
        <v>0.0</v>
      </c>
      <c r="E360" s="177">
        <v>0.0</v>
      </c>
      <c r="F360" s="177">
        <v>0.0</v>
      </c>
      <c r="G360" s="178">
        <v>0.0</v>
      </c>
      <c r="H360" s="177">
        <v>0.0</v>
      </c>
      <c r="I360" s="178">
        <v>0.0</v>
      </c>
    </row>
    <row r="361">
      <c r="A361" s="177" t="s">
        <v>1559</v>
      </c>
      <c r="B361" s="177" t="s">
        <v>3081</v>
      </c>
      <c r="C361" s="177" t="s">
        <v>1274</v>
      </c>
      <c r="D361" s="177">
        <v>24.25</v>
      </c>
      <c r="E361" s="177">
        <v>24.0</v>
      </c>
      <c r="F361" s="177">
        <v>48.25</v>
      </c>
      <c r="G361" s="178">
        <v>95.83333333333333</v>
      </c>
      <c r="H361" s="177">
        <v>10.0</v>
      </c>
      <c r="I361" s="178">
        <v>58.25</v>
      </c>
    </row>
    <row r="362">
      <c r="A362" s="177" t="s">
        <v>128</v>
      </c>
      <c r="B362" s="177" t="s">
        <v>3082</v>
      </c>
      <c r="C362" s="177" t="s">
        <v>1275</v>
      </c>
      <c r="D362" s="177">
        <v>24.25</v>
      </c>
      <c r="E362" s="177">
        <v>26.0</v>
      </c>
      <c r="F362" s="177">
        <v>50.25</v>
      </c>
      <c r="G362" s="178">
        <v>95.83333333333333</v>
      </c>
      <c r="H362" s="177">
        <v>10.0</v>
      </c>
      <c r="I362" s="178">
        <v>60.25</v>
      </c>
    </row>
    <row r="363">
      <c r="A363" s="177" t="s">
        <v>1560</v>
      </c>
      <c r="B363" s="177" t="s">
        <v>3083</v>
      </c>
      <c r="C363" s="177" t="s">
        <v>1276</v>
      </c>
      <c r="D363" s="177">
        <v>12.5</v>
      </c>
      <c r="E363" s="177">
        <v>0.0</v>
      </c>
      <c r="F363" s="177">
        <v>12.5</v>
      </c>
      <c r="G363" s="178">
        <v>50.0</v>
      </c>
      <c r="H363" s="177">
        <v>0.0</v>
      </c>
      <c r="I363" s="178">
        <v>12.5</v>
      </c>
    </row>
    <row r="364">
      <c r="A364" s="177" t="s">
        <v>1599</v>
      </c>
      <c r="B364" s="177" t="s">
        <v>3084</v>
      </c>
      <c r="C364" s="177" t="s">
        <v>1277</v>
      </c>
      <c r="D364" s="177">
        <v>15.0</v>
      </c>
      <c r="E364" s="177">
        <v>0.0</v>
      </c>
      <c r="F364" s="177">
        <v>15.0</v>
      </c>
      <c r="G364" s="178">
        <v>29.166666666666668</v>
      </c>
      <c r="H364" s="177">
        <v>0.0</v>
      </c>
      <c r="I364" s="178">
        <v>15.0</v>
      </c>
    </row>
    <row r="365">
      <c r="A365" s="177" t="s">
        <v>1561</v>
      </c>
      <c r="B365" s="177" t="s">
        <v>3085</v>
      </c>
      <c r="C365" s="177" t="s">
        <v>1278</v>
      </c>
      <c r="D365" s="177">
        <v>20.75</v>
      </c>
      <c r="E365" s="177">
        <v>16.75</v>
      </c>
      <c r="F365" s="177">
        <v>37.5</v>
      </c>
      <c r="G365" s="178">
        <v>75.0</v>
      </c>
      <c r="H365" s="177">
        <v>6.0</v>
      </c>
      <c r="I365" s="178">
        <v>43.5</v>
      </c>
    </row>
    <row r="366">
      <c r="A366" s="177" t="s">
        <v>1603</v>
      </c>
      <c r="B366" s="177" t="s">
        <v>3086</v>
      </c>
      <c r="C366" s="177" t="s">
        <v>1279</v>
      </c>
      <c r="D366" s="177">
        <v>16.5</v>
      </c>
      <c r="E366" s="177">
        <v>0.0</v>
      </c>
      <c r="F366" s="177">
        <v>16.5</v>
      </c>
      <c r="G366" s="178">
        <v>45.833333333333336</v>
      </c>
      <c r="H366" s="177">
        <v>0.0</v>
      </c>
      <c r="I366" s="178">
        <v>16.5</v>
      </c>
    </row>
    <row r="367">
      <c r="A367" s="177" t="s">
        <v>1563</v>
      </c>
      <c r="B367" s="177" t="s">
        <v>3087</v>
      </c>
      <c r="C367" s="177" t="s">
        <v>1280</v>
      </c>
      <c r="D367" s="177">
        <v>24.5</v>
      </c>
      <c r="E367" s="177">
        <v>28.0</v>
      </c>
      <c r="F367" s="177">
        <v>52.5</v>
      </c>
      <c r="G367" s="178">
        <v>75.0</v>
      </c>
      <c r="H367" s="177">
        <v>6.0</v>
      </c>
      <c r="I367" s="178">
        <v>58.5</v>
      </c>
    </row>
    <row r="368">
      <c r="A368" s="177" t="s">
        <v>34</v>
      </c>
      <c r="B368" s="177" t="s">
        <v>3088</v>
      </c>
      <c r="C368" s="177" t="s">
        <v>1281</v>
      </c>
      <c r="D368" s="177">
        <v>21.5</v>
      </c>
      <c r="E368" s="177">
        <v>24.25</v>
      </c>
      <c r="F368" s="177">
        <v>45.75</v>
      </c>
      <c r="G368" s="178">
        <v>70.83333333333333</v>
      </c>
      <c r="H368" s="177">
        <v>6.0</v>
      </c>
      <c r="I368" s="178">
        <v>51.75</v>
      </c>
    </row>
    <row r="369">
      <c r="A369" s="177" t="s">
        <v>1609</v>
      </c>
      <c r="B369" s="177" t="s">
        <v>3089</v>
      </c>
      <c r="C369" s="177" t="s">
        <v>1282</v>
      </c>
      <c r="D369" s="177">
        <v>8.25</v>
      </c>
      <c r="E369" s="177">
        <v>0.0</v>
      </c>
      <c r="F369" s="177">
        <v>8.25</v>
      </c>
      <c r="G369" s="178">
        <v>16.666666666666668</v>
      </c>
      <c r="H369" s="177">
        <v>0.0</v>
      </c>
      <c r="I369" s="178">
        <v>8.25</v>
      </c>
    </row>
    <row r="370">
      <c r="A370" s="177" t="s">
        <v>1564</v>
      </c>
      <c r="B370" s="177" t="s">
        <v>3090</v>
      </c>
      <c r="C370" s="177" t="s">
        <v>1283</v>
      </c>
      <c r="D370" s="177">
        <v>8.25</v>
      </c>
      <c r="E370" s="177">
        <v>6.5</v>
      </c>
      <c r="F370" s="177">
        <v>14.75</v>
      </c>
      <c r="G370" s="178">
        <v>66.66666666666667</v>
      </c>
      <c r="H370" s="177">
        <v>0.0</v>
      </c>
      <c r="I370" s="178">
        <v>14.75</v>
      </c>
    </row>
    <row r="371">
      <c r="A371" s="177" t="s">
        <v>1565</v>
      </c>
      <c r="B371" s="177" t="s">
        <v>3091</v>
      </c>
      <c r="C371" s="177" t="s">
        <v>1284</v>
      </c>
      <c r="D371" s="177">
        <v>10.0</v>
      </c>
      <c r="E371" s="177">
        <v>18.0</v>
      </c>
      <c r="F371" s="177">
        <v>28.0</v>
      </c>
      <c r="G371" s="178">
        <v>70.83333333333333</v>
      </c>
      <c r="H371" s="177">
        <v>6.0</v>
      </c>
      <c r="I371" s="178">
        <v>34.0</v>
      </c>
    </row>
    <row r="372">
      <c r="A372" s="177" t="s">
        <v>1566</v>
      </c>
      <c r="B372" s="177" t="s">
        <v>3092</v>
      </c>
      <c r="C372" s="177" t="s">
        <v>1285</v>
      </c>
      <c r="D372" s="177">
        <v>20.75</v>
      </c>
      <c r="E372" s="177">
        <v>30.5</v>
      </c>
      <c r="F372" s="177">
        <v>51.25</v>
      </c>
      <c r="G372" s="178">
        <v>91.66666666666667</v>
      </c>
      <c r="H372" s="177">
        <v>10.0</v>
      </c>
      <c r="I372" s="178">
        <v>61.25</v>
      </c>
    </row>
    <row r="373">
      <c r="A373" s="177" t="s">
        <v>1567</v>
      </c>
      <c r="B373" s="177" t="s">
        <v>3093</v>
      </c>
      <c r="C373" s="177" t="s">
        <v>1286</v>
      </c>
      <c r="D373" s="177">
        <v>22.0</v>
      </c>
      <c r="E373" s="177">
        <v>15.5</v>
      </c>
      <c r="F373" s="177">
        <v>37.5</v>
      </c>
      <c r="G373" s="178">
        <v>79.16666666666667</v>
      </c>
      <c r="H373" s="177">
        <v>7.0</v>
      </c>
      <c r="I373" s="178">
        <v>44.5</v>
      </c>
    </row>
    <row r="374">
      <c r="A374" s="177" t="s">
        <v>1613</v>
      </c>
      <c r="B374" s="177" t="s">
        <v>3094</v>
      </c>
      <c r="C374" s="177" t="s">
        <v>1287</v>
      </c>
      <c r="D374" s="177">
        <v>14.75</v>
      </c>
      <c r="E374" s="177">
        <v>13.25</v>
      </c>
      <c r="F374" s="177">
        <v>28.0</v>
      </c>
      <c r="G374" s="178">
        <v>75.0</v>
      </c>
      <c r="H374" s="177">
        <v>6.0</v>
      </c>
      <c r="I374" s="178">
        <v>34.0</v>
      </c>
    </row>
    <row r="375">
      <c r="A375" s="177" t="s">
        <v>1568</v>
      </c>
      <c r="B375" s="177" t="s">
        <v>3095</v>
      </c>
      <c r="C375" s="177" t="s">
        <v>1288</v>
      </c>
      <c r="D375" s="177">
        <v>18.5</v>
      </c>
      <c r="E375" s="177">
        <v>11.75</v>
      </c>
      <c r="F375" s="177">
        <v>30.25</v>
      </c>
      <c r="G375" s="178">
        <v>83.33333333333333</v>
      </c>
      <c r="H375" s="177">
        <v>8.0</v>
      </c>
      <c r="I375" s="178">
        <v>38.25</v>
      </c>
    </row>
    <row r="376">
      <c r="A376" s="177" t="s">
        <v>1569</v>
      </c>
      <c r="B376" s="177" t="s">
        <v>3096</v>
      </c>
      <c r="C376" s="177" t="s">
        <v>1289</v>
      </c>
      <c r="D376" s="177">
        <v>20.25</v>
      </c>
      <c r="E376" s="177">
        <v>20.5</v>
      </c>
      <c r="F376" s="177">
        <v>40.75</v>
      </c>
      <c r="G376" s="178">
        <v>70.83333333333333</v>
      </c>
      <c r="H376" s="177">
        <v>6.0</v>
      </c>
      <c r="I376" s="178">
        <v>46.75</v>
      </c>
    </row>
    <row r="377">
      <c r="A377" s="177" t="s">
        <v>1570</v>
      </c>
      <c r="B377" s="177" t="s">
        <v>3097</v>
      </c>
      <c r="C377" s="177" t="s">
        <v>1290</v>
      </c>
      <c r="D377" s="177">
        <v>23.75</v>
      </c>
      <c r="E377" s="177">
        <v>18.5</v>
      </c>
      <c r="F377" s="177">
        <v>42.25</v>
      </c>
      <c r="G377" s="178">
        <v>91.66666666666667</v>
      </c>
      <c r="H377" s="177">
        <v>10.0</v>
      </c>
      <c r="I377" s="178">
        <v>52.25</v>
      </c>
    </row>
    <row r="378">
      <c r="A378" s="177" t="s">
        <v>1571</v>
      </c>
      <c r="B378" s="177" t="s">
        <v>3098</v>
      </c>
      <c r="C378" s="177" t="s">
        <v>1291</v>
      </c>
      <c r="D378" s="177">
        <v>5.25</v>
      </c>
      <c r="E378" s="177">
        <v>0.0</v>
      </c>
      <c r="F378" s="177">
        <v>5.25</v>
      </c>
      <c r="G378" s="178">
        <v>50.0</v>
      </c>
      <c r="H378" s="177">
        <v>0.0</v>
      </c>
      <c r="I378" s="178">
        <v>5.25</v>
      </c>
    </row>
    <row r="379">
      <c r="A379" s="177" t="s">
        <v>1572</v>
      </c>
      <c r="B379" s="177" t="s">
        <v>3099</v>
      </c>
      <c r="C379" s="177" t="s">
        <v>1292</v>
      </c>
      <c r="D379" s="177">
        <v>31.0</v>
      </c>
      <c r="E379" s="177">
        <v>30.75</v>
      </c>
      <c r="F379" s="177">
        <v>61.75</v>
      </c>
      <c r="G379" s="178">
        <v>91.66666666666667</v>
      </c>
      <c r="H379" s="177">
        <v>10.0</v>
      </c>
      <c r="I379" s="178">
        <v>71.75</v>
      </c>
    </row>
    <row r="380">
      <c r="A380" s="177" t="s">
        <v>1615</v>
      </c>
      <c r="B380" s="177" t="s">
        <v>3100</v>
      </c>
      <c r="C380" s="177" t="s">
        <v>1293</v>
      </c>
      <c r="D380" s="177">
        <v>13.25</v>
      </c>
      <c r="E380" s="177">
        <v>14.0</v>
      </c>
      <c r="F380" s="177">
        <v>27.25</v>
      </c>
      <c r="G380" s="178">
        <v>87.5</v>
      </c>
      <c r="H380" s="177">
        <v>9.0</v>
      </c>
      <c r="I380" s="178">
        <v>36.25</v>
      </c>
    </row>
    <row r="381">
      <c r="A381" s="177" t="s">
        <v>1573</v>
      </c>
      <c r="B381" s="177" t="s">
        <v>3101</v>
      </c>
      <c r="C381" s="177" t="s">
        <v>1294</v>
      </c>
      <c r="D381" s="177">
        <v>17.25</v>
      </c>
      <c r="E381" s="177">
        <v>13.75</v>
      </c>
      <c r="F381" s="177">
        <v>31.0</v>
      </c>
      <c r="G381" s="178">
        <v>83.33333333333333</v>
      </c>
      <c r="H381" s="177">
        <v>8.0</v>
      </c>
      <c r="I381" s="178">
        <v>39.0</v>
      </c>
    </row>
    <row r="382">
      <c r="A382" s="177" t="s">
        <v>1610</v>
      </c>
      <c r="B382" s="177" t="s">
        <v>3102</v>
      </c>
      <c r="C382" s="177" t="s">
        <v>1295</v>
      </c>
      <c r="D382" s="177">
        <v>21.5</v>
      </c>
      <c r="E382" s="177">
        <v>0.0</v>
      </c>
      <c r="F382" s="177">
        <v>21.5</v>
      </c>
      <c r="G382" s="178">
        <v>37.5</v>
      </c>
      <c r="H382" s="177">
        <v>0.0</v>
      </c>
      <c r="I382" s="178">
        <v>21.5</v>
      </c>
    </row>
    <row r="383">
      <c r="A383" s="177" t="s">
        <v>1562</v>
      </c>
      <c r="B383" s="177" t="s">
        <v>3103</v>
      </c>
      <c r="C383" s="177" t="s">
        <v>1296</v>
      </c>
      <c r="D383" s="177">
        <v>25.0</v>
      </c>
      <c r="E383" s="177">
        <v>28.5</v>
      </c>
      <c r="F383" s="177">
        <v>53.5</v>
      </c>
      <c r="G383" s="178">
        <v>75.0</v>
      </c>
      <c r="H383" s="177">
        <v>6.0</v>
      </c>
      <c r="I383" s="178">
        <v>59.5</v>
      </c>
    </row>
    <row r="384">
      <c r="A384" s="177" t="s">
        <v>1592</v>
      </c>
      <c r="B384" s="177" t="s">
        <v>3104</v>
      </c>
      <c r="C384" s="177" t="s">
        <v>1297</v>
      </c>
      <c r="D384" s="177">
        <v>20.75</v>
      </c>
      <c r="E384" s="177">
        <v>19.25</v>
      </c>
      <c r="F384" s="177">
        <v>40.0</v>
      </c>
      <c r="G384" s="178">
        <v>95.83333333333333</v>
      </c>
      <c r="H384" s="177">
        <v>10.0</v>
      </c>
      <c r="I384" s="178">
        <v>50.0</v>
      </c>
    </row>
    <row r="385">
      <c r="A385" s="177" t="s">
        <v>1574</v>
      </c>
      <c r="B385" s="177" t="s">
        <v>3105</v>
      </c>
      <c r="C385" s="177" t="s">
        <v>1298</v>
      </c>
      <c r="D385" s="177">
        <v>0.0</v>
      </c>
      <c r="E385" s="177">
        <v>0.0</v>
      </c>
      <c r="F385" s="177">
        <v>0.0</v>
      </c>
      <c r="G385" s="178">
        <v>4.166666666666667</v>
      </c>
      <c r="H385" s="177">
        <v>0.0</v>
      </c>
      <c r="I385" s="178">
        <v>0.0</v>
      </c>
    </row>
    <row r="386">
      <c r="A386" s="177" t="s">
        <v>1612</v>
      </c>
      <c r="B386" s="177" t="s">
        <v>3106</v>
      </c>
      <c r="C386" s="177" t="s">
        <v>1299</v>
      </c>
      <c r="D386" s="177">
        <v>24.5</v>
      </c>
      <c r="E386" s="177">
        <v>19.0</v>
      </c>
      <c r="F386" s="177">
        <v>43.5</v>
      </c>
      <c r="G386" s="178">
        <v>83.33333333333333</v>
      </c>
      <c r="H386" s="177">
        <v>8.0</v>
      </c>
      <c r="I386" s="178">
        <v>51.5</v>
      </c>
    </row>
    <row r="387">
      <c r="A387" s="177" t="s">
        <v>1598</v>
      </c>
      <c r="B387" s="177" t="s">
        <v>3107</v>
      </c>
      <c r="C387" s="177" t="s">
        <v>1300</v>
      </c>
      <c r="D387" s="177">
        <v>20.25</v>
      </c>
      <c r="E387" s="177">
        <v>15.75</v>
      </c>
      <c r="F387" s="177">
        <v>36.0</v>
      </c>
      <c r="G387" s="178">
        <v>95.83333333333333</v>
      </c>
      <c r="H387" s="177">
        <v>10.0</v>
      </c>
      <c r="I387" s="178">
        <v>46.0</v>
      </c>
    </row>
    <row r="388">
      <c r="A388" s="177" t="s">
        <v>1575</v>
      </c>
      <c r="B388" s="177" t="s">
        <v>3108</v>
      </c>
      <c r="C388" s="177" t="s">
        <v>1302</v>
      </c>
      <c r="D388" s="177">
        <v>11.25</v>
      </c>
      <c r="E388" s="177">
        <v>20.0</v>
      </c>
      <c r="F388" s="177">
        <v>31.25</v>
      </c>
      <c r="G388" s="178">
        <v>62.5</v>
      </c>
      <c r="H388" s="177">
        <v>0.0</v>
      </c>
      <c r="I388" s="178">
        <v>31.25</v>
      </c>
    </row>
    <row r="389">
      <c r="A389" s="177" t="s">
        <v>1576</v>
      </c>
      <c r="B389" s="177" t="s">
        <v>3109</v>
      </c>
      <c r="C389" s="177" t="s">
        <v>1303</v>
      </c>
      <c r="D389" s="177">
        <v>20.75</v>
      </c>
      <c r="E389" s="177">
        <v>22.25</v>
      </c>
      <c r="F389" s="177">
        <v>43.0</v>
      </c>
      <c r="G389" s="178">
        <v>79.16666666666667</v>
      </c>
      <c r="H389" s="177">
        <v>7.0</v>
      </c>
      <c r="I389" s="178">
        <v>50.0</v>
      </c>
    </row>
    <row r="390">
      <c r="A390" s="177" t="s">
        <v>3110</v>
      </c>
      <c r="B390" s="177" t="s">
        <v>3111</v>
      </c>
      <c r="C390" s="177" t="s">
        <v>1304</v>
      </c>
      <c r="D390" s="177">
        <v>19.25</v>
      </c>
      <c r="E390" s="177">
        <v>16.25</v>
      </c>
      <c r="F390" s="177">
        <v>35.5</v>
      </c>
      <c r="G390" s="178">
        <v>79.16666666666667</v>
      </c>
      <c r="H390" s="177">
        <v>7.0</v>
      </c>
      <c r="I390" s="178">
        <v>42.5</v>
      </c>
    </row>
    <row r="391">
      <c r="A391" s="177" t="s">
        <v>1602</v>
      </c>
      <c r="B391" s="177" t="s">
        <v>3112</v>
      </c>
      <c r="C391" s="177" t="s">
        <v>1305</v>
      </c>
      <c r="D391" s="177">
        <v>12.5</v>
      </c>
      <c r="E391" s="177">
        <v>23.0</v>
      </c>
      <c r="F391" s="177">
        <v>35.5</v>
      </c>
      <c r="G391" s="178">
        <v>62.0</v>
      </c>
      <c r="H391" s="177">
        <v>0.0</v>
      </c>
      <c r="I391" s="178">
        <v>35.5</v>
      </c>
    </row>
    <row r="392">
      <c r="A392" s="177" t="s">
        <v>1578</v>
      </c>
      <c r="B392" s="177" t="s">
        <v>3113</v>
      </c>
      <c r="C392" s="177" t="s">
        <v>1306</v>
      </c>
      <c r="D392" s="177">
        <v>18.0</v>
      </c>
      <c r="E392" s="177">
        <v>16.75</v>
      </c>
      <c r="F392" s="177">
        <v>18.0</v>
      </c>
      <c r="G392" s="178">
        <v>100.0</v>
      </c>
      <c r="H392" s="177">
        <v>10.0</v>
      </c>
      <c r="I392" s="178">
        <v>44.75</v>
      </c>
    </row>
    <row r="393">
      <c r="A393" s="177" t="s">
        <v>1579</v>
      </c>
      <c r="B393" s="177" t="s">
        <v>3114</v>
      </c>
      <c r="C393" s="177" t="s">
        <v>1307</v>
      </c>
      <c r="D393" s="177">
        <v>16.75</v>
      </c>
      <c r="E393" s="177">
        <v>25.5</v>
      </c>
      <c r="F393" s="177">
        <v>42.25</v>
      </c>
      <c r="G393" s="178">
        <v>83.33333333333333</v>
      </c>
      <c r="H393" s="177">
        <v>8.0</v>
      </c>
      <c r="I393" s="178">
        <v>50.25</v>
      </c>
    </row>
    <row r="394">
      <c r="A394" s="177" t="s">
        <v>1607</v>
      </c>
      <c r="B394" s="177" t="s">
        <v>3115</v>
      </c>
      <c r="C394" s="177" t="s">
        <v>1308</v>
      </c>
      <c r="D394" s="177">
        <v>21.75</v>
      </c>
      <c r="E394" s="177">
        <v>24.25</v>
      </c>
      <c r="F394" s="177">
        <v>46.0</v>
      </c>
      <c r="G394" s="178">
        <v>75.0</v>
      </c>
      <c r="H394" s="177">
        <v>6.0</v>
      </c>
      <c r="I394" s="178">
        <v>52.0</v>
      </c>
    </row>
    <row r="395">
      <c r="A395" s="177" t="s">
        <v>1580</v>
      </c>
      <c r="B395" s="177" t="s">
        <v>3116</v>
      </c>
      <c r="C395" s="177" t="s">
        <v>1309</v>
      </c>
      <c r="D395" s="177">
        <v>0.0</v>
      </c>
      <c r="E395" s="177">
        <v>0.0</v>
      </c>
      <c r="F395" s="177">
        <v>0.0</v>
      </c>
      <c r="G395" s="178">
        <v>75.0</v>
      </c>
      <c r="H395" s="177">
        <v>6.0</v>
      </c>
      <c r="I395" s="178">
        <v>6.0</v>
      </c>
    </row>
    <row r="396">
      <c r="A396" s="177" t="s">
        <v>1604</v>
      </c>
      <c r="B396" s="177" t="s">
        <v>3117</v>
      </c>
      <c r="C396" s="177" t="s">
        <v>1310</v>
      </c>
      <c r="D396" s="177">
        <v>20.5</v>
      </c>
      <c r="E396" s="177">
        <v>23.25</v>
      </c>
      <c r="F396" s="177">
        <v>43.75</v>
      </c>
      <c r="G396" s="178">
        <v>87.5</v>
      </c>
      <c r="H396" s="177">
        <v>9.0</v>
      </c>
      <c r="I396" s="178">
        <v>52.75</v>
      </c>
    </row>
    <row r="397">
      <c r="A397" s="177" t="s">
        <v>1581</v>
      </c>
      <c r="B397" s="177" t="s">
        <v>3118</v>
      </c>
      <c r="C397" s="177" t="s">
        <v>1311</v>
      </c>
      <c r="D397" s="177">
        <v>20.75</v>
      </c>
      <c r="E397" s="177">
        <v>25.75</v>
      </c>
      <c r="F397" s="177">
        <v>46.5</v>
      </c>
      <c r="G397" s="178">
        <v>91.66666666666667</v>
      </c>
      <c r="H397" s="177">
        <v>10.0</v>
      </c>
      <c r="I397" s="178">
        <v>56.5</v>
      </c>
    </row>
    <row r="398">
      <c r="A398" s="177" t="s">
        <v>1595</v>
      </c>
      <c r="B398" s="177" t="s">
        <v>3119</v>
      </c>
      <c r="C398" s="177" t="s">
        <v>1312</v>
      </c>
      <c r="D398" s="177">
        <v>23.0</v>
      </c>
      <c r="E398" s="177">
        <v>27.0</v>
      </c>
      <c r="F398" s="177">
        <v>50.0</v>
      </c>
      <c r="G398" s="178">
        <v>70.83333333333333</v>
      </c>
      <c r="H398" s="177">
        <v>6.0</v>
      </c>
      <c r="I398" s="178">
        <v>56.0</v>
      </c>
    </row>
    <row r="399">
      <c r="A399" s="177" t="s">
        <v>1582</v>
      </c>
      <c r="B399" s="177" t="s">
        <v>3120</v>
      </c>
      <c r="C399" s="177" t="s">
        <v>1313</v>
      </c>
      <c r="D399" s="177">
        <v>0.0</v>
      </c>
      <c r="E399" s="177">
        <v>0.0</v>
      </c>
      <c r="F399" s="177">
        <v>0.0</v>
      </c>
      <c r="G399" s="178">
        <v>54.166666666666664</v>
      </c>
      <c r="H399" s="177">
        <v>0.0</v>
      </c>
      <c r="I399" s="178">
        <v>0.0</v>
      </c>
    </row>
    <row r="400">
      <c r="A400" s="177" t="s">
        <v>1611</v>
      </c>
      <c r="B400" s="177" t="s">
        <v>3121</v>
      </c>
      <c r="C400" s="177" t="s">
        <v>1314</v>
      </c>
      <c r="D400" s="177">
        <v>16.25</v>
      </c>
      <c r="E400" s="177" t="s">
        <v>2491</v>
      </c>
      <c r="F400" s="177" t="s">
        <v>2491</v>
      </c>
      <c r="G400" s="178">
        <v>91.66666666666667</v>
      </c>
      <c r="H400" s="177">
        <v>10.0</v>
      </c>
      <c r="I400" s="179">
        <v>0.0</v>
      </c>
    </row>
    <row r="401">
      <c r="A401" s="177" t="s">
        <v>1596</v>
      </c>
      <c r="B401" s="177" t="s">
        <v>3122</v>
      </c>
      <c r="C401" s="177" t="s">
        <v>1315</v>
      </c>
      <c r="D401" s="177">
        <v>17.5</v>
      </c>
      <c r="E401" s="177" t="s">
        <v>2491</v>
      </c>
      <c r="F401" s="177" t="s">
        <v>2491</v>
      </c>
      <c r="G401" s="178">
        <v>95.83333333333333</v>
      </c>
      <c r="H401" s="177">
        <v>10.0</v>
      </c>
      <c r="I401" s="179">
        <v>0.0</v>
      </c>
    </row>
    <row r="402">
      <c r="A402" s="177" t="s">
        <v>1583</v>
      </c>
      <c r="B402" s="177" t="s">
        <v>3123</v>
      </c>
      <c r="C402" s="177" t="s">
        <v>1316</v>
      </c>
      <c r="D402" s="177">
        <v>0.0</v>
      </c>
      <c r="E402" s="177">
        <v>0.0</v>
      </c>
      <c r="F402" s="177">
        <v>0.0</v>
      </c>
      <c r="G402" s="178">
        <v>0.0</v>
      </c>
      <c r="H402" s="177">
        <v>0.0</v>
      </c>
      <c r="I402" s="178">
        <v>0.0</v>
      </c>
    </row>
    <row r="403">
      <c r="A403" s="177" t="s">
        <v>1584</v>
      </c>
      <c r="B403" s="177" t="s">
        <v>3124</v>
      </c>
      <c r="C403" s="177" t="s">
        <v>1317</v>
      </c>
      <c r="D403" s="177">
        <v>12.25</v>
      </c>
      <c r="E403" s="177">
        <v>9.25</v>
      </c>
      <c r="F403" s="177">
        <v>21.5</v>
      </c>
      <c r="G403" s="178">
        <v>62.5</v>
      </c>
      <c r="H403" s="177">
        <v>0.0</v>
      </c>
      <c r="I403" s="178">
        <v>21.5</v>
      </c>
    </row>
    <row r="404">
      <c r="A404" s="177" t="s">
        <v>1585</v>
      </c>
      <c r="B404" s="177" t="s">
        <v>3125</v>
      </c>
      <c r="C404" s="177" t="s">
        <v>1318</v>
      </c>
      <c r="D404" s="177">
        <v>0.0</v>
      </c>
      <c r="E404" s="177">
        <v>0.0</v>
      </c>
      <c r="F404" s="177">
        <v>0.0</v>
      </c>
      <c r="G404" s="178">
        <v>8.333333333333334</v>
      </c>
      <c r="H404" s="177">
        <v>0.0</v>
      </c>
      <c r="I404" s="178">
        <v>0.0</v>
      </c>
    </row>
    <row r="405">
      <c r="A405" s="177" t="s">
        <v>1586</v>
      </c>
      <c r="B405" s="177" t="s">
        <v>3126</v>
      </c>
      <c r="C405" s="177" t="s">
        <v>1319</v>
      </c>
      <c r="D405" s="177">
        <v>19.0</v>
      </c>
      <c r="E405" s="177">
        <v>23.5</v>
      </c>
      <c r="F405" s="177">
        <v>19.0</v>
      </c>
      <c r="G405" s="178">
        <v>100.0</v>
      </c>
      <c r="H405" s="177">
        <v>10.0</v>
      </c>
      <c r="I405" s="178">
        <v>52.5</v>
      </c>
    </row>
    <row r="406">
      <c r="A406" s="177" t="s">
        <v>1606</v>
      </c>
      <c r="B406" s="177" t="s">
        <v>3127</v>
      </c>
      <c r="C406" s="177" t="s">
        <v>1320</v>
      </c>
      <c r="D406" s="177">
        <v>22.25</v>
      </c>
      <c r="E406" s="177">
        <v>18.25</v>
      </c>
      <c r="F406" s="177">
        <v>40.5</v>
      </c>
      <c r="G406" s="178">
        <v>70.83333333333333</v>
      </c>
      <c r="H406" s="177">
        <v>6.0</v>
      </c>
      <c r="I406" s="178">
        <v>46.5</v>
      </c>
    </row>
    <row r="407">
      <c r="A407" s="177" t="s">
        <v>1587</v>
      </c>
      <c r="B407" s="177" t="s">
        <v>3128</v>
      </c>
      <c r="C407" s="177" t="s">
        <v>1321</v>
      </c>
      <c r="D407" s="177">
        <v>28.5</v>
      </c>
      <c r="E407" s="177">
        <v>18.25</v>
      </c>
      <c r="F407" s="177">
        <v>46.75</v>
      </c>
      <c r="G407" s="178">
        <v>70.83333333333333</v>
      </c>
      <c r="H407" s="177">
        <v>6.0</v>
      </c>
      <c r="I407" s="178">
        <v>52.75</v>
      </c>
    </row>
    <row r="408">
      <c r="A408" s="177" t="s">
        <v>1600</v>
      </c>
      <c r="B408" s="177" t="s">
        <v>3129</v>
      </c>
      <c r="C408" s="177" t="s">
        <v>1322</v>
      </c>
      <c r="D408" s="177">
        <v>0.0</v>
      </c>
      <c r="E408" s="177">
        <v>11.75</v>
      </c>
      <c r="F408" s="177">
        <v>11.75</v>
      </c>
      <c r="G408" s="178">
        <v>66.66666666666667</v>
      </c>
      <c r="H408" s="177">
        <v>0.0</v>
      </c>
      <c r="I408" s="178">
        <v>11.75</v>
      </c>
    </row>
    <row r="409">
      <c r="A409" s="177" t="s">
        <v>1608</v>
      </c>
      <c r="B409" s="177" t="s">
        <v>3130</v>
      </c>
      <c r="C409" s="177" t="s">
        <v>1323</v>
      </c>
      <c r="D409" s="177">
        <v>20.25</v>
      </c>
      <c r="E409" s="177">
        <v>15.25</v>
      </c>
      <c r="F409" s="177">
        <v>35.5</v>
      </c>
      <c r="G409" s="178">
        <v>87.5</v>
      </c>
      <c r="H409" s="177">
        <v>9.0</v>
      </c>
      <c r="I409" s="178">
        <v>44.5</v>
      </c>
    </row>
    <row r="410">
      <c r="A410" s="177" t="s">
        <v>1588</v>
      </c>
      <c r="B410" s="177" t="s">
        <v>3131</v>
      </c>
      <c r="C410" s="177" t="s">
        <v>1324</v>
      </c>
      <c r="D410" s="177">
        <v>9.75</v>
      </c>
      <c r="E410" s="177">
        <v>19.75</v>
      </c>
      <c r="F410" s="177">
        <v>29.5</v>
      </c>
      <c r="G410" s="178">
        <v>75.0</v>
      </c>
      <c r="H410" s="177">
        <v>6.0</v>
      </c>
      <c r="I410" s="178">
        <v>35.5</v>
      </c>
    </row>
    <row r="411">
      <c r="A411" s="177" t="s">
        <v>129</v>
      </c>
      <c r="B411" s="177" t="s">
        <v>3132</v>
      </c>
      <c r="C411" s="177" t="s">
        <v>1325</v>
      </c>
      <c r="D411" s="177">
        <v>15.0</v>
      </c>
      <c r="E411" s="177">
        <v>0.0</v>
      </c>
      <c r="F411" s="177">
        <v>15.0</v>
      </c>
      <c r="G411" s="178">
        <v>12.5</v>
      </c>
      <c r="H411" s="177">
        <v>0.0</v>
      </c>
      <c r="I411" s="178">
        <v>15.0</v>
      </c>
    </row>
    <row r="412">
      <c r="A412" s="177" t="s">
        <v>1589</v>
      </c>
      <c r="B412" s="177" t="s">
        <v>3133</v>
      </c>
      <c r="C412" s="177" t="s">
        <v>1326</v>
      </c>
      <c r="D412" s="177">
        <v>15.0</v>
      </c>
      <c r="E412" s="177">
        <v>30.0</v>
      </c>
      <c r="F412" s="177">
        <v>15.0</v>
      </c>
      <c r="G412" s="178">
        <v>100.0</v>
      </c>
      <c r="H412" s="177">
        <v>10.0</v>
      </c>
      <c r="I412" s="178">
        <v>55.0</v>
      </c>
    </row>
    <row r="413">
      <c r="A413" s="177" t="s">
        <v>1597</v>
      </c>
      <c r="B413" s="177" t="s">
        <v>3134</v>
      </c>
      <c r="C413" s="177" t="s">
        <v>1327</v>
      </c>
      <c r="D413" s="177">
        <v>7.5</v>
      </c>
      <c r="E413" s="177">
        <v>0.0</v>
      </c>
      <c r="F413" s="177">
        <v>7.5</v>
      </c>
      <c r="G413" s="178">
        <v>58.333333333333336</v>
      </c>
      <c r="H413" s="177">
        <v>0.0</v>
      </c>
      <c r="I413" s="178">
        <v>7.5</v>
      </c>
    </row>
    <row r="414">
      <c r="A414" s="177" t="s">
        <v>1590</v>
      </c>
      <c r="B414" s="177" t="s">
        <v>3135</v>
      </c>
      <c r="C414" s="177" t="s">
        <v>1328</v>
      </c>
      <c r="D414" s="177">
        <v>-1.25</v>
      </c>
      <c r="E414" s="177">
        <v>21.0</v>
      </c>
      <c r="F414" s="177">
        <v>19.75</v>
      </c>
      <c r="G414" s="178">
        <v>66.66666666666667</v>
      </c>
      <c r="H414" s="177">
        <v>0.0</v>
      </c>
      <c r="I414" s="178">
        <v>19.75</v>
      </c>
    </row>
    <row r="415">
      <c r="A415" s="177" t="s">
        <v>1591</v>
      </c>
      <c r="B415" s="177" t="s">
        <v>3136</v>
      </c>
      <c r="C415" s="177" t="s">
        <v>1329</v>
      </c>
      <c r="D415" s="177">
        <v>9.0</v>
      </c>
      <c r="E415" s="177">
        <v>28.0</v>
      </c>
      <c r="F415" s="177">
        <v>37.0</v>
      </c>
      <c r="G415" s="178">
        <v>83.33333333333333</v>
      </c>
      <c r="H415" s="177">
        <v>8.0</v>
      </c>
      <c r="I415" s="178">
        <v>45.0</v>
      </c>
    </row>
    <row r="416">
      <c r="A416" s="177" t="s">
        <v>1614</v>
      </c>
      <c r="B416" s="177" t="s">
        <v>3137</v>
      </c>
      <c r="C416" s="177" t="s">
        <v>1330</v>
      </c>
      <c r="D416" s="177">
        <v>12.0</v>
      </c>
      <c r="E416" s="177">
        <v>10.5</v>
      </c>
      <c r="F416" s="177">
        <v>22.5</v>
      </c>
      <c r="G416" s="178">
        <v>87.5</v>
      </c>
      <c r="H416" s="177">
        <v>9.0</v>
      </c>
      <c r="I416" s="178">
        <v>31.5</v>
      </c>
    </row>
    <row r="417">
      <c r="A417" s="177" t="s">
        <v>1593</v>
      </c>
      <c r="B417" s="177" t="s">
        <v>3138</v>
      </c>
      <c r="C417" s="177" t="s">
        <v>1331</v>
      </c>
      <c r="D417" s="177">
        <v>18.25</v>
      </c>
      <c r="E417" s="177">
        <v>23.75</v>
      </c>
      <c r="F417" s="177">
        <v>42.0</v>
      </c>
      <c r="G417" s="178">
        <v>83.33333333333333</v>
      </c>
      <c r="H417" s="177">
        <v>8.0</v>
      </c>
      <c r="I417" s="178">
        <v>50.0</v>
      </c>
    </row>
    <row r="418">
      <c r="A418" s="177" t="s">
        <v>2295</v>
      </c>
      <c r="B418" s="177" t="s">
        <v>3139</v>
      </c>
      <c r="C418" s="177" t="s">
        <v>1345</v>
      </c>
      <c r="D418" s="177">
        <v>19.75</v>
      </c>
      <c r="E418" s="177">
        <v>27.0</v>
      </c>
      <c r="F418" s="177">
        <v>46.75</v>
      </c>
      <c r="G418" s="178">
        <v>83.33333333333333</v>
      </c>
      <c r="H418" s="177">
        <v>8.0</v>
      </c>
      <c r="I418" s="178">
        <v>54.75</v>
      </c>
    </row>
    <row r="419">
      <c r="A419" s="177" t="s">
        <v>1928</v>
      </c>
      <c r="B419" s="177" t="s">
        <v>2460</v>
      </c>
      <c r="C419" s="177" t="s">
        <v>138</v>
      </c>
      <c r="D419" s="177">
        <v>17.25</v>
      </c>
      <c r="E419" s="177">
        <v>22.75</v>
      </c>
      <c r="F419" s="177">
        <v>40.0</v>
      </c>
      <c r="G419" s="178">
        <v>65.38461538461539</v>
      </c>
      <c r="H419" s="177">
        <v>0.0</v>
      </c>
      <c r="I419" s="178">
        <v>40.0</v>
      </c>
    </row>
    <row r="420">
      <c r="A420" s="177" t="s">
        <v>1885</v>
      </c>
      <c r="B420" s="177" t="s">
        <v>2462</v>
      </c>
      <c r="C420" s="177" t="s">
        <v>139</v>
      </c>
      <c r="D420" s="177">
        <v>18.25</v>
      </c>
      <c r="E420" s="177">
        <v>23.75</v>
      </c>
      <c r="F420" s="177">
        <v>42.0</v>
      </c>
      <c r="G420" s="178">
        <v>69.23076923076923</v>
      </c>
      <c r="H420" s="177">
        <v>0.0</v>
      </c>
      <c r="I420" s="178">
        <v>42.0</v>
      </c>
    </row>
    <row r="421">
      <c r="A421" s="177" t="s">
        <v>1933</v>
      </c>
      <c r="B421" s="177" t="s">
        <v>2462</v>
      </c>
      <c r="C421" s="177" t="s">
        <v>140</v>
      </c>
      <c r="D421" s="177">
        <v>27.5</v>
      </c>
      <c r="E421" s="177">
        <v>14.5</v>
      </c>
      <c r="F421" s="177">
        <v>42.0</v>
      </c>
      <c r="G421" s="178">
        <v>80.76923076923077</v>
      </c>
      <c r="H421" s="177">
        <v>8.0</v>
      </c>
      <c r="I421" s="178">
        <v>50.0</v>
      </c>
    </row>
    <row r="422">
      <c r="A422" s="177" t="s">
        <v>1932</v>
      </c>
      <c r="B422" s="177" t="s">
        <v>2463</v>
      </c>
      <c r="C422" s="177" t="s">
        <v>141</v>
      </c>
      <c r="D422" s="177">
        <v>20.0</v>
      </c>
      <c r="E422" s="177">
        <v>19.5</v>
      </c>
      <c r="F422" s="177">
        <v>39.5</v>
      </c>
      <c r="G422" s="178">
        <v>69.23076923076923</v>
      </c>
      <c r="H422" s="177">
        <v>0.0</v>
      </c>
      <c r="I422" s="178">
        <v>39.5</v>
      </c>
    </row>
    <row r="423">
      <c r="A423" s="177" t="s">
        <v>1886</v>
      </c>
      <c r="B423" s="177" t="s">
        <v>2464</v>
      </c>
      <c r="C423" s="177" t="s">
        <v>142</v>
      </c>
      <c r="D423" s="177">
        <v>28.25</v>
      </c>
      <c r="E423" s="177">
        <v>13.5</v>
      </c>
      <c r="F423" s="177">
        <v>41.75</v>
      </c>
      <c r="G423" s="178">
        <v>88.46153846153847</v>
      </c>
      <c r="H423" s="177">
        <v>9.0</v>
      </c>
      <c r="I423" s="178">
        <v>50.75</v>
      </c>
    </row>
    <row r="424">
      <c r="A424" s="177" t="s">
        <v>1887</v>
      </c>
      <c r="B424" s="177" t="s">
        <v>2465</v>
      </c>
      <c r="C424" s="177" t="s">
        <v>143</v>
      </c>
      <c r="D424" s="177">
        <v>28.25</v>
      </c>
      <c r="E424" s="177">
        <v>0.0</v>
      </c>
      <c r="F424" s="177">
        <v>28.25</v>
      </c>
      <c r="G424" s="178">
        <v>38.46153846153846</v>
      </c>
      <c r="H424" s="177">
        <v>0.0</v>
      </c>
      <c r="I424" s="178">
        <v>28.25</v>
      </c>
    </row>
    <row r="425">
      <c r="A425" s="177" t="s">
        <v>2027</v>
      </c>
      <c r="B425" s="177" t="s">
        <v>3140</v>
      </c>
      <c r="C425" s="177" t="s">
        <v>145</v>
      </c>
      <c r="D425" s="177">
        <v>26.75</v>
      </c>
      <c r="E425" s="177">
        <v>17.75</v>
      </c>
      <c r="F425" s="177">
        <v>44.5</v>
      </c>
      <c r="G425" s="178">
        <v>65.38461538461539</v>
      </c>
      <c r="H425" s="177">
        <v>0.0</v>
      </c>
      <c r="I425" s="178">
        <v>44.5</v>
      </c>
    </row>
    <row r="426">
      <c r="A426" s="177" t="s">
        <v>1944</v>
      </c>
      <c r="B426" s="177" t="s">
        <v>2467</v>
      </c>
      <c r="C426" s="177" t="s">
        <v>146</v>
      </c>
      <c r="D426" s="177">
        <v>0.0</v>
      </c>
      <c r="E426" s="177">
        <v>0.0</v>
      </c>
      <c r="F426" s="177">
        <v>0.0</v>
      </c>
      <c r="G426" s="178">
        <v>23.076923076923077</v>
      </c>
      <c r="H426" s="177">
        <v>0.0</v>
      </c>
      <c r="I426" s="178">
        <v>0.0</v>
      </c>
    </row>
    <row r="427">
      <c r="A427" s="177" t="s">
        <v>2006</v>
      </c>
      <c r="B427" s="177" t="s">
        <v>2468</v>
      </c>
      <c r="C427" s="177" t="s">
        <v>147</v>
      </c>
      <c r="D427" s="177">
        <v>26.75</v>
      </c>
      <c r="E427" s="177">
        <v>17.5</v>
      </c>
      <c r="F427" s="177">
        <v>44.25</v>
      </c>
      <c r="G427" s="178">
        <v>73.0</v>
      </c>
      <c r="H427" s="177">
        <v>6.0</v>
      </c>
      <c r="I427" s="178">
        <v>50.25</v>
      </c>
    </row>
    <row r="428">
      <c r="A428" s="177" t="s">
        <v>1936</v>
      </c>
      <c r="B428" s="177" t="s">
        <v>2469</v>
      </c>
      <c r="C428" s="177" t="s">
        <v>148</v>
      </c>
      <c r="D428" s="177">
        <v>27.0</v>
      </c>
      <c r="E428" s="177">
        <v>19.75</v>
      </c>
      <c r="F428" s="177">
        <v>46.75</v>
      </c>
      <c r="G428" s="178">
        <v>88.46153846153847</v>
      </c>
      <c r="H428" s="177">
        <v>9.0</v>
      </c>
      <c r="I428" s="178">
        <v>55.75</v>
      </c>
    </row>
    <row r="429">
      <c r="A429" s="177" t="s">
        <v>2010</v>
      </c>
      <c r="B429" s="177" t="s">
        <v>2470</v>
      </c>
      <c r="C429" s="177" t="s">
        <v>149</v>
      </c>
      <c r="D429" s="177">
        <v>17.5</v>
      </c>
      <c r="E429" s="177">
        <v>0.0</v>
      </c>
      <c r="F429" s="177">
        <v>17.5</v>
      </c>
      <c r="G429" s="178">
        <v>11.538461538461538</v>
      </c>
      <c r="H429" s="177">
        <v>0.0</v>
      </c>
      <c r="I429" s="178">
        <v>17.5</v>
      </c>
    </row>
    <row r="430">
      <c r="A430" s="177" t="s">
        <v>2088</v>
      </c>
      <c r="B430" s="177" t="s">
        <v>3141</v>
      </c>
      <c r="C430" s="177" t="s">
        <v>150</v>
      </c>
      <c r="D430" s="177">
        <v>10.25</v>
      </c>
      <c r="E430" s="177">
        <v>4.5</v>
      </c>
      <c r="F430" s="177">
        <v>14.75</v>
      </c>
      <c r="G430" s="178">
        <v>86.20689655172414</v>
      </c>
      <c r="H430" s="177">
        <v>9.0</v>
      </c>
      <c r="I430" s="178">
        <v>23.75</v>
      </c>
    </row>
    <row r="431">
      <c r="A431" s="177" t="s">
        <v>1888</v>
      </c>
      <c r="B431" s="177" t="s">
        <v>2473</v>
      </c>
      <c r="C431" s="177" t="s">
        <v>151</v>
      </c>
      <c r="D431" s="177">
        <v>0.0</v>
      </c>
      <c r="E431" s="177">
        <v>0.0</v>
      </c>
      <c r="F431" s="177">
        <v>0.0</v>
      </c>
      <c r="G431" s="178">
        <v>0.0</v>
      </c>
      <c r="H431" s="177">
        <v>0.0</v>
      </c>
      <c r="I431" s="178">
        <v>0.0</v>
      </c>
    </row>
    <row r="432">
      <c r="A432" s="177" t="s">
        <v>1937</v>
      </c>
      <c r="B432" s="177" t="s">
        <v>2474</v>
      </c>
      <c r="C432" s="177" t="s">
        <v>152</v>
      </c>
      <c r="D432" s="177">
        <v>25.0</v>
      </c>
      <c r="E432" s="177">
        <v>27.75</v>
      </c>
      <c r="F432" s="177">
        <v>52.75</v>
      </c>
      <c r="G432" s="178">
        <v>84.61538461538461</v>
      </c>
      <c r="H432" s="177">
        <v>8.0</v>
      </c>
      <c r="I432" s="178">
        <v>60.75</v>
      </c>
    </row>
    <row r="433">
      <c r="A433" s="177" t="s">
        <v>1889</v>
      </c>
      <c r="B433" s="177" t="s">
        <v>2475</v>
      </c>
      <c r="C433" s="177" t="s">
        <v>153</v>
      </c>
      <c r="D433" s="177">
        <v>25.5</v>
      </c>
      <c r="E433" s="177">
        <v>18.25</v>
      </c>
      <c r="F433" s="177">
        <v>43.75</v>
      </c>
      <c r="G433" s="178">
        <v>96.15384615384616</v>
      </c>
      <c r="H433" s="177">
        <v>10.0</v>
      </c>
      <c r="I433" s="178">
        <v>53.75</v>
      </c>
    </row>
    <row r="434">
      <c r="A434" s="177" t="s">
        <v>2005</v>
      </c>
      <c r="B434" s="177" t="s">
        <v>2476</v>
      </c>
      <c r="C434" s="177" t="s">
        <v>154</v>
      </c>
      <c r="D434" s="177">
        <v>0.0</v>
      </c>
      <c r="E434" s="177">
        <v>0.0</v>
      </c>
      <c r="F434" s="177">
        <v>0.0</v>
      </c>
      <c r="G434" s="178">
        <v>15.384615384615385</v>
      </c>
      <c r="H434" s="177">
        <v>0.0</v>
      </c>
      <c r="I434" s="178">
        <v>0.0</v>
      </c>
    </row>
    <row r="435">
      <c r="A435" s="177" t="s">
        <v>1890</v>
      </c>
      <c r="B435" s="177" t="s">
        <v>3142</v>
      </c>
      <c r="C435" s="177" t="s">
        <v>155</v>
      </c>
      <c r="D435" s="177">
        <v>22.75</v>
      </c>
      <c r="E435" s="177">
        <v>21.5</v>
      </c>
      <c r="F435" s="177">
        <v>44.25</v>
      </c>
      <c r="G435" s="178">
        <v>84.61538461538461</v>
      </c>
      <c r="H435" s="177">
        <v>8.0</v>
      </c>
      <c r="I435" s="178">
        <v>52.25</v>
      </c>
    </row>
    <row r="436">
      <c r="A436" s="177" t="s">
        <v>1891</v>
      </c>
      <c r="B436" s="177" t="s">
        <v>2479</v>
      </c>
      <c r="C436" s="177" t="s">
        <v>156</v>
      </c>
      <c r="D436" s="177">
        <v>18.0</v>
      </c>
      <c r="E436" s="177">
        <v>24.0</v>
      </c>
      <c r="F436" s="177">
        <v>42.0</v>
      </c>
      <c r="G436" s="178">
        <v>80.76923076923077</v>
      </c>
      <c r="H436" s="177">
        <v>8.0</v>
      </c>
      <c r="I436" s="178">
        <v>50.0</v>
      </c>
    </row>
    <row r="437">
      <c r="A437" s="177" t="s">
        <v>1892</v>
      </c>
      <c r="B437" s="177" t="s">
        <v>2480</v>
      </c>
      <c r="C437" s="177" t="s">
        <v>157</v>
      </c>
      <c r="D437" s="177">
        <v>5.75</v>
      </c>
      <c r="E437" s="177">
        <v>0.0</v>
      </c>
      <c r="F437" s="177">
        <v>5.75</v>
      </c>
      <c r="G437" s="178">
        <v>46.15384615384615</v>
      </c>
      <c r="H437" s="177">
        <v>0.0</v>
      </c>
      <c r="I437" s="178">
        <v>5.75</v>
      </c>
    </row>
    <row r="438">
      <c r="A438" s="177" t="s">
        <v>1956</v>
      </c>
      <c r="B438" s="177" t="s">
        <v>2481</v>
      </c>
      <c r="C438" s="177" t="s">
        <v>158</v>
      </c>
      <c r="D438" s="177">
        <v>25.75</v>
      </c>
      <c r="E438" s="177">
        <v>16.25</v>
      </c>
      <c r="F438" s="177">
        <v>42.0</v>
      </c>
      <c r="G438" s="178">
        <v>84.61538461538461</v>
      </c>
      <c r="H438" s="177">
        <v>8.0</v>
      </c>
      <c r="I438" s="178">
        <v>50.0</v>
      </c>
    </row>
    <row r="439">
      <c r="A439" s="177" t="s">
        <v>1946</v>
      </c>
      <c r="B439" s="177" t="s">
        <v>2482</v>
      </c>
      <c r="C439" s="177" t="s">
        <v>159</v>
      </c>
      <c r="D439" s="177">
        <v>19.25</v>
      </c>
      <c r="E439" s="177">
        <v>20.75</v>
      </c>
      <c r="F439" s="177">
        <v>40.0</v>
      </c>
      <c r="G439" s="178">
        <v>92.3076923076923</v>
      </c>
      <c r="H439" s="177">
        <v>10.0</v>
      </c>
      <c r="I439" s="178">
        <v>50.0</v>
      </c>
    </row>
    <row r="440">
      <c r="A440" s="177" t="s">
        <v>1953</v>
      </c>
      <c r="B440" s="177" t="s">
        <v>2483</v>
      </c>
      <c r="C440" s="177" t="s">
        <v>160</v>
      </c>
      <c r="D440" s="177">
        <v>12.5</v>
      </c>
      <c r="E440" s="177">
        <v>0.0</v>
      </c>
      <c r="F440" s="177">
        <v>12.5</v>
      </c>
      <c r="G440" s="178">
        <v>38.46153846153846</v>
      </c>
      <c r="H440" s="177">
        <v>0.0</v>
      </c>
      <c r="I440" s="178">
        <v>12.5</v>
      </c>
    </row>
    <row r="441">
      <c r="A441" s="177" t="s">
        <v>1929</v>
      </c>
      <c r="B441" s="177" t="s">
        <v>2484</v>
      </c>
      <c r="C441" s="177" t="s">
        <v>161</v>
      </c>
      <c r="D441" s="177">
        <v>23.75</v>
      </c>
      <c r="E441" s="177">
        <v>20.25</v>
      </c>
      <c r="F441" s="177">
        <v>44.0</v>
      </c>
      <c r="G441" s="178">
        <v>84.61538461538461</v>
      </c>
      <c r="H441" s="177">
        <v>8.0</v>
      </c>
      <c r="I441" s="178">
        <v>52.0</v>
      </c>
    </row>
    <row r="442">
      <c r="A442" s="177" t="s">
        <v>1893</v>
      </c>
      <c r="B442" s="177" t="s">
        <v>2485</v>
      </c>
      <c r="C442" s="177" t="s">
        <v>162</v>
      </c>
      <c r="D442" s="177">
        <v>0.0</v>
      </c>
      <c r="E442" s="177">
        <v>0.0</v>
      </c>
      <c r="F442" s="177">
        <v>0.0</v>
      </c>
      <c r="G442" s="178">
        <v>11.538461538461538</v>
      </c>
      <c r="H442" s="177">
        <v>0.0</v>
      </c>
      <c r="I442" s="178">
        <v>0.0</v>
      </c>
    </row>
    <row r="443">
      <c r="A443" s="177" t="s">
        <v>2085</v>
      </c>
      <c r="B443" s="177" t="s">
        <v>2486</v>
      </c>
      <c r="C443" s="177" t="s">
        <v>163</v>
      </c>
      <c r="D443" s="177">
        <v>0.0</v>
      </c>
      <c r="E443" s="177">
        <v>0.0</v>
      </c>
      <c r="F443" s="177">
        <v>0.0</v>
      </c>
      <c r="G443" s="178">
        <v>0.0</v>
      </c>
      <c r="H443" s="177">
        <v>0.0</v>
      </c>
      <c r="I443" s="178">
        <v>0.0</v>
      </c>
    </row>
    <row r="444">
      <c r="A444" s="177" t="s">
        <v>2022</v>
      </c>
      <c r="B444" s="177" t="s">
        <v>2487</v>
      </c>
      <c r="C444" s="177" t="s">
        <v>164</v>
      </c>
      <c r="D444" s="177">
        <v>8.0</v>
      </c>
      <c r="E444" s="177">
        <v>0.0</v>
      </c>
      <c r="F444" s="177">
        <v>8.0</v>
      </c>
      <c r="G444" s="178">
        <v>88.46153846153847</v>
      </c>
      <c r="H444" s="177">
        <v>9.0</v>
      </c>
      <c r="I444" s="178">
        <v>17.0</v>
      </c>
    </row>
    <row r="445">
      <c r="A445" s="177" t="s">
        <v>1894</v>
      </c>
      <c r="B445" s="177" t="s">
        <v>2488</v>
      </c>
      <c r="C445" s="177" t="s">
        <v>165</v>
      </c>
      <c r="D445" s="177">
        <v>13.25</v>
      </c>
      <c r="E445" s="177">
        <v>0.0</v>
      </c>
      <c r="F445" s="177">
        <v>13.25</v>
      </c>
      <c r="G445" s="178">
        <v>50.0</v>
      </c>
      <c r="H445" s="177">
        <v>0.0</v>
      </c>
      <c r="I445" s="178">
        <v>13.25</v>
      </c>
    </row>
    <row r="446">
      <c r="A446" s="177" t="s">
        <v>1895</v>
      </c>
      <c r="B446" s="177" t="s">
        <v>2489</v>
      </c>
      <c r="C446" s="177" t="s">
        <v>166</v>
      </c>
      <c r="D446" s="177">
        <v>0.0</v>
      </c>
      <c r="E446" s="177">
        <v>0.0</v>
      </c>
      <c r="F446" s="177">
        <v>0.0</v>
      </c>
      <c r="G446" s="178">
        <v>26.923076923076923</v>
      </c>
      <c r="H446" s="177">
        <v>0.0</v>
      </c>
      <c r="I446" s="178">
        <v>0.0</v>
      </c>
    </row>
    <row r="447">
      <c r="A447" s="177" t="s">
        <v>2091</v>
      </c>
      <c r="B447" s="177" t="s">
        <v>3143</v>
      </c>
      <c r="C447" s="177" t="s">
        <v>167</v>
      </c>
      <c r="D447" s="177">
        <v>8.75</v>
      </c>
      <c r="E447" s="177">
        <v>0.0</v>
      </c>
      <c r="F447" s="177">
        <v>8.75</v>
      </c>
      <c r="G447" s="178">
        <v>3.8461538461538463</v>
      </c>
      <c r="H447" s="177">
        <v>0.0</v>
      </c>
      <c r="I447" s="178">
        <v>8.75</v>
      </c>
    </row>
    <row r="448">
      <c r="A448" s="177" t="s">
        <v>1896</v>
      </c>
      <c r="B448" s="177" t="s">
        <v>2492</v>
      </c>
      <c r="C448" s="177" t="s">
        <v>168</v>
      </c>
      <c r="D448" s="177">
        <v>0.0</v>
      </c>
      <c r="E448" s="177">
        <v>0.0</v>
      </c>
      <c r="F448" s="177">
        <v>0.0</v>
      </c>
      <c r="G448" s="178">
        <v>19.23076923076923</v>
      </c>
      <c r="H448" s="177">
        <v>0.0</v>
      </c>
      <c r="I448" s="178">
        <v>0.0</v>
      </c>
    </row>
    <row r="449">
      <c r="A449" s="177" t="s">
        <v>1897</v>
      </c>
      <c r="B449" s="177" t="s">
        <v>3144</v>
      </c>
      <c r="C449" s="177" t="s">
        <v>169</v>
      </c>
      <c r="D449" s="177">
        <v>11.5</v>
      </c>
      <c r="E449" s="177">
        <v>0.0</v>
      </c>
      <c r="F449" s="177">
        <v>11.5</v>
      </c>
      <c r="G449" s="178">
        <v>30.76923076923077</v>
      </c>
      <c r="H449" s="177">
        <v>0.0</v>
      </c>
      <c r="I449" s="178">
        <v>11.5</v>
      </c>
    </row>
    <row r="450">
      <c r="A450" s="177" t="s">
        <v>1898</v>
      </c>
      <c r="B450" s="177" t="s">
        <v>2494</v>
      </c>
      <c r="C450" s="177" t="s">
        <v>170</v>
      </c>
      <c r="D450" s="177">
        <v>9.5</v>
      </c>
      <c r="E450" s="177">
        <v>13.25</v>
      </c>
      <c r="F450" s="177">
        <v>22.75</v>
      </c>
      <c r="G450" s="178">
        <v>96.15384615384616</v>
      </c>
      <c r="H450" s="177">
        <v>10.0</v>
      </c>
      <c r="I450" s="178">
        <v>32.75</v>
      </c>
    </row>
    <row r="451">
      <c r="A451" s="177" t="s">
        <v>1899</v>
      </c>
      <c r="B451" s="177" t="s">
        <v>3145</v>
      </c>
      <c r="C451" s="177" t="s">
        <v>171</v>
      </c>
      <c r="D451" s="177">
        <v>8.75</v>
      </c>
      <c r="E451" s="177">
        <v>8.25</v>
      </c>
      <c r="F451" s="177">
        <v>17.0</v>
      </c>
      <c r="G451" s="178">
        <v>96.15384615384616</v>
      </c>
      <c r="H451" s="177">
        <v>10.0</v>
      </c>
      <c r="I451" s="178">
        <v>27.0</v>
      </c>
    </row>
    <row r="452">
      <c r="A452" s="177" t="s">
        <v>1900</v>
      </c>
      <c r="B452" s="177" t="s">
        <v>2496</v>
      </c>
      <c r="C452" s="177" t="s">
        <v>172</v>
      </c>
      <c r="D452" s="177">
        <v>26.5</v>
      </c>
      <c r="E452" s="177">
        <v>26.0</v>
      </c>
      <c r="F452" s="177">
        <v>52.5</v>
      </c>
      <c r="G452" s="178">
        <v>80.76923076923077</v>
      </c>
      <c r="H452" s="177">
        <v>8.0</v>
      </c>
      <c r="I452" s="178">
        <v>60.5</v>
      </c>
    </row>
    <row r="453">
      <c r="A453" s="177" t="s">
        <v>1925</v>
      </c>
      <c r="B453" s="177" t="s">
        <v>2497</v>
      </c>
      <c r="C453" s="177" t="s">
        <v>173</v>
      </c>
      <c r="D453" s="177">
        <v>19.75</v>
      </c>
      <c r="E453" s="177">
        <v>16.0</v>
      </c>
      <c r="F453" s="177">
        <v>35.75</v>
      </c>
      <c r="G453" s="178">
        <v>88.46153846153847</v>
      </c>
      <c r="H453" s="177">
        <v>9.0</v>
      </c>
      <c r="I453" s="178">
        <v>44.75</v>
      </c>
    </row>
    <row r="454">
      <c r="A454" s="177" t="s">
        <v>1901</v>
      </c>
      <c r="B454" s="177" t="s">
        <v>2498</v>
      </c>
      <c r="C454" s="177" t="s">
        <v>174</v>
      </c>
      <c r="D454" s="177">
        <v>27.0</v>
      </c>
      <c r="E454" s="177">
        <v>17.75</v>
      </c>
      <c r="F454" s="177">
        <v>44.75</v>
      </c>
      <c r="G454" s="178">
        <v>80.76923076923077</v>
      </c>
      <c r="H454" s="177">
        <v>8.0</v>
      </c>
      <c r="I454" s="178">
        <v>52.75</v>
      </c>
    </row>
    <row r="455">
      <c r="A455" s="177" t="s">
        <v>1926</v>
      </c>
      <c r="B455" s="177" t="s">
        <v>2499</v>
      </c>
      <c r="C455" s="177" t="s">
        <v>175</v>
      </c>
      <c r="D455" s="177">
        <v>24.25</v>
      </c>
      <c r="E455" s="177">
        <v>31.75</v>
      </c>
      <c r="F455" s="177">
        <v>56.0</v>
      </c>
      <c r="G455" s="178">
        <v>96.15384615384616</v>
      </c>
      <c r="H455" s="177">
        <v>10.0</v>
      </c>
      <c r="I455" s="178">
        <v>66.0</v>
      </c>
    </row>
    <row r="456">
      <c r="A456" s="177" t="s">
        <v>1940</v>
      </c>
      <c r="B456" s="177" t="s">
        <v>3146</v>
      </c>
      <c r="C456" s="177" t="s">
        <v>176</v>
      </c>
      <c r="D456" s="177">
        <v>0.0</v>
      </c>
      <c r="E456" s="177">
        <v>0.0</v>
      </c>
      <c r="F456" s="177">
        <v>0.0</v>
      </c>
      <c r="G456" s="177">
        <v>0.0</v>
      </c>
      <c r="H456" s="177">
        <v>0.0</v>
      </c>
      <c r="I456" s="178">
        <v>0.0</v>
      </c>
    </row>
    <row r="457">
      <c r="A457" s="177" t="s">
        <v>1945</v>
      </c>
      <c r="B457" s="177" t="s">
        <v>2500</v>
      </c>
      <c r="C457" s="177" t="s">
        <v>177</v>
      </c>
      <c r="D457" s="177">
        <v>0.0</v>
      </c>
      <c r="E457" s="177">
        <v>0.0</v>
      </c>
      <c r="F457" s="177">
        <v>0.0</v>
      </c>
      <c r="G457" s="178">
        <v>11.538461538461538</v>
      </c>
      <c r="H457" s="177">
        <v>0.0</v>
      </c>
      <c r="I457" s="178">
        <v>0.0</v>
      </c>
    </row>
    <row r="458">
      <c r="A458" s="177" t="s">
        <v>1927</v>
      </c>
      <c r="B458" s="177" t="s">
        <v>2501</v>
      </c>
      <c r="C458" s="177" t="s">
        <v>178</v>
      </c>
      <c r="D458" s="177">
        <v>0.0</v>
      </c>
      <c r="E458" s="177">
        <v>0.0</v>
      </c>
      <c r="F458" s="177">
        <v>0.0</v>
      </c>
      <c r="G458" s="178">
        <v>11.538461538461538</v>
      </c>
      <c r="H458" s="177">
        <v>0.0</v>
      </c>
      <c r="I458" s="178">
        <v>0.0</v>
      </c>
    </row>
    <row r="459">
      <c r="A459" s="177" t="s">
        <v>1903</v>
      </c>
      <c r="B459" s="177" t="s">
        <v>2502</v>
      </c>
      <c r="C459" s="177" t="s">
        <v>179</v>
      </c>
      <c r="D459" s="177">
        <v>12.25</v>
      </c>
      <c r="E459" s="177">
        <v>19.5</v>
      </c>
      <c r="F459" s="177">
        <v>31.75</v>
      </c>
      <c r="G459" s="178">
        <v>100.0</v>
      </c>
      <c r="H459" s="177">
        <v>10.0</v>
      </c>
      <c r="I459" s="178">
        <v>41.75</v>
      </c>
    </row>
    <row r="460">
      <c r="A460" s="177" t="s">
        <v>2011</v>
      </c>
      <c r="B460" s="177" t="s">
        <v>2503</v>
      </c>
      <c r="C460" s="177" t="s">
        <v>180</v>
      </c>
      <c r="D460" s="177">
        <v>2.25</v>
      </c>
      <c r="E460" s="177">
        <v>16.0</v>
      </c>
      <c r="F460" s="177">
        <v>18.25</v>
      </c>
      <c r="G460" s="178">
        <v>88.46153846153847</v>
      </c>
      <c r="H460" s="177">
        <v>9.0</v>
      </c>
      <c r="I460" s="178">
        <v>27.25</v>
      </c>
    </row>
    <row r="461">
      <c r="A461" s="177" t="s">
        <v>1904</v>
      </c>
      <c r="B461" s="177" t="s">
        <v>2504</v>
      </c>
      <c r="C461" s="177" t="s">
        <v>181</v>
      </c>
      <c r="D461" s="177">
        <v>6.75</v>
      </c>
      <c r="E461" s="177">
        <v>13.75</v>
      </c>
      <c r="F461" s="177">
        <v>20.5</v>
      </c>
      <c r="G461" s="178">
        <v>96.15384615384616</v>
      </c>
      <c r="H461" s="177">
        <v>10.0</v>
      </c>
      <c r="I461" s="178">
        <v>30.5</v>
      </c>
    </row>
    <row r="462">
      <c r="A462" s="177" t="s">
        <v>2100</v>
      </c>
      <c r="B462" s="177" t="s">
        <v>2505</v>
      </c>
      <c r="C462" s="177" t="s">
        <v>182</v>
      </c>
      <c r="D462" s="177">
        <v>3.75</v>
      </c>
      <c r="E462" s="177">
        <v>0.0</v>
      </c>
      <c r="F462" s="177">
        <v>3.75</v>
      </c>
      <c r="G462" s="178">
        <v>34.61538461538461</v>
      </c>
      <c r="H462" s="177">
        <v>0.0</v>
      </c>
      <c r="I462" s="178">
        <v>3.75</v>
      </c>
    </row>
    <row r="463">
      <c r="A463" s="177" t="s">
        <v>1905</v>
      </c>
      <c r="B463" s="177" t="s">
        <v>2506</v>
      </c>
      <c r="C463" s="177" t="s">
        <v>183</v>
      </c>
      <c r="D463" s="177">
        <v>10.0</v>
      </c>
      <c r="E463" s="177">
        <v>9.0</v>
      </c>
      <c r="F463" s="177">
        <v>19.0</v>
      </c>
      <c r="G463" s="178">
        <v>88.46153846153847</v>
      </c>
      <c r="H463" s="177">
        <v>9.0</v>
      </c>
      <c r="I463" s="178">
        <v>28.0</v>
      </c>
    </row>
    <row r="464">
      <c r="A464" s="177" t="s">
        <v>1930</v>
      </c>
      <c r="B464" s="177" t="s">
        <v>2507</v>
      </c>
      <c r="C464" s="177" t="s">
        <v>184</v>
      </c>
      <c r="D464" s="177">
        <v>24.75</v>
      </c>
      <c r="E464" s="177">
        <v>20.25</v>
      </c>
      <c r="F464" s="177">
        <v>45.0</v>
      </c>
      <c r="G464" s="178">
        <v>96.15384615384616</v>
      </c>
      <c r="H464" s="177">
        <v>10.0</v>
      </c>
      <c r="I464" s="178">
        <v>55.0</v>
      </c>
    </row>
    <row r="465">
      <c r="A465" s="177" t="s">
        <v>1906</v>
      </c>
      <c r="B465" s="177" t="s">
        <v>3147</v>
      </c>
      <c r="C465" s="177" t="s">
        <v>185</v>
      </c>
      <c r="D465" s="177">
        <v>0.0</v>
      </c>
      <c r="E465" s="177">
        <v>0.0</v>
      </c>
      <c r="F465" s="177">
        <v>0.0</v>
      </c>
      <c r="G465" s="178">
        <v>11.538461538461538</v>
      </c>
      <c r="H465" s="177">
        <v>0.0</v>
      </c>
      <c r="I465" s="178">
        <v>0.0</v>
      </c>
    </row>
    <row r="466">
      <c r="A466" s="177" t="s">
        <v>1907</v>
      </c>
      <c r="B466" s="177" t="s">
        <v>2509</v>
      </c>
      <c r="C466" s="177" t="s">
        <v>186</v>
      </c>
      <c r="D466" s="177">
        <v>22.0</v>
      </c>
      <c r="E466" s="177">
        <v>0.0</v>
      </c>
      <c r="F466" s="177">
        <v>22.0</v>
      </c>
      <c r="G466" s="178">
        <v>53.84615384615385</v>
      </c>
      <c r="H466" s="177">
        <v>0.0</v>
      </c>
      <c r="I466" s="178">
        <v>22.0</v>
      </c>
    </row>
    <row r="467">
      <c r="A467" s="177" t="s">
        <v>1948</v>
      </c>
      <c r="B467" s="177" t="s">
        <v>3148</v>
      </c>
      <c r="C467" s="177" t="s">
        <v>187</v>
      </c>
      <c r="D467" s="177">
        <v>19.25</v>
      </c>
      <c r="E467" s="177">
        <v>9.5</v>
      </c>
      <c r="F467" s="177">
        <v>28.75</v>
      </c>
      <c r="G467" s="178">
        <v>76.92307692307692</v>
      </c>
      <c r="H467" s="177">
        <v>7.0</v>
      </c>
      <c r="I467" s="178">
        <v>35.75</v>
      </c>
    </row>
    <row r="468">
      <c r="A468" s="177" t="s">
        <v>1931</v>
      </c>
      <c r="B468" s="177" t="s">
        <v>2511</v>
      </c>
      <c r="C468" s="177" t="s">
        <v>188</v>
      </c>
      <c r="D468" s="177">
        <v>24.75</v>
      </c>
      <c r="E468" s="177">
        <v>0.0</v>
      </c>
      <c r="F468" s="177">
        <v>24.75</v>
      </c>
      <c r="G468" s="178">
        <v>42.30769230769231</v>
      </c>
      <c r="H468" s="177">
        <v>0.0</v>
      </c>
      <c r="I468" s="178">
        <v>24.75</v>
      </c>
    </row>
    <row r="469">
      <c r="A469" s="177" t="s">
        <v>1908</v>
      </c>
      <c r="B469" s="177" t="s">
        <v>2512</v>
      </c>
      <c r="C469" s="177" t="s">
        <v>189</v>
      </c>
      <c r="D469" s="177">
        <v>24.0</v>
      </c>
      <c r="E469" s="177">
        <v>20.5</v>
      </c>
      <c r="F469" s="177">
        <v>44.5</v>
      </c>
      <c r="G469" s="178">
        <v>96.15384615384616</v>
      </c>
      <c r="H469" s="177">
        <v>10.0</v>
      </c>
      <c r="I469" s="178">
        <v>54.5</v>
      </c>
    </row>
    <row r="470">
      <c r="A470" s="177" t="s">
        <v>1909</v>
      </c>
      <c r="B470" s="177" t="s">
        <v>2513</v>
      </c>
      <c r="C470" s="177" t="s">
        <v>190</v>
      </c>
      <c r="D470" s="177">
        <v>0.0</v>
      </c>
      <c r="E470" s="177">
        <v>0.0</v>
      </c>
      <c r="F470" s="177">
        <v>0.0</v>
      </c>
      <c r="G470" s="178">
        <v>0.0</v>
      </c>
      <c r="H470" s="177">
        <v>0.0</v>
      </c>
      <c r="I470" s="178">
        <v>0.0</v>
      </c>
    </row>
    <row r="471">
      <c r="A471" s="177" t="s">
        <v>1910</v>
      </c>
      <c r="B471" s="177" t="s">
        <v>2514</v>
      </c>
      <c r="C471" s="177" t="s">
        <v>191</v>
      </c>
      <c r="D471" s="177">
        <v>13.25</v>
      </c>
      <c r="E471" s="177">
        <v>11.25</v>
      </c>
      <c r="F471" s="177">
        <v>24.5</v>
      </c>
      <c r="G471" s="178">
        <v>96.15384615384616</v>
      </c>
      <c r="H471" s="177">
        <v>10.0</v>
      </c>
      <c r="I471" s="178">
        <v>34.5</v>
      </c>
    </row>
    <row r="472">
      <c r="A472" s="177" t="s">
        <v>1949</v>
      </c>
      <c r="B472" s="177" t="s">
        <v>2515</v>
      </c>
      <c r="C472" s="177" t="s">
        <v>192</v>
      </c>
      <c r="D472" s="177">
        <v>28.0</v>
      </c>
      <c r="E472" s="177">
        <v>21.5</v>
      </c>
      <c r="F472" s="177">
        <v>49.5</v>
      </c>
      <c r="G472" s="178">
        <v>73.07692307692308</v>
      </c>
      <c r="H472" s="177">
        <v>6.0</v>
      </c>
      <c r="I472" s="178">
        <v>55.5</v>
      </c>
    </row>
    <row r="473">
      <c r="A473" s="177" t="s">
        <v>1911</v>
      </c>
      <c r="B473" s="177" t="s">
        <v>3149</v>
      </c>
      <c r="C473" s="177" t="s">
        <v>193</v>
      </c>
      <c r="D473" s="177">
        <v>25.75</v>
      </c>
      <c r="E473" s="177">
        <v>32.5</v>
      </c>
      <c r="F473" s="177">
        <v>58.25</v>
      </c>
      <c r="G473" s="178">
        <v>80.76923076923077</v>
      </c>
      <c r="H473" s="177">
        <v>8.0</v>
      </c>
      <c r="I473" s="178">
        <v>66.25</v>
      </c>
    </row>
    <row r="474">
      <c r="A474" s="177" t="s">
        <v>1950</v>
      </c>
      <c r="B474" s="177" t="s">
        <v>2517</v>
      </c>
      <c r="C474" s="177" t="s">
        <v>194</v>
      </c>
      <c r="D474" s="177">
        <v>22.25</v>
      </c>
      <c r="E474" s="177">
        <v>24.0</v>
      </c>
      <c r="F474" s="177">
        <v>46.25</v>
      </c>
      <c r="G474" s="178">
        <v>88.46153846153847</v>
      </c>
      <c r="H474" s="177">
        <v>9.0</v>
      </c>
      <c r="I474" s="178">
        <v>55.25</v>
      </c>
    </row>
    <row r="475">
      <c r="A475" s="177" t="s">
        <v>2021</v>
      </c>
      <c r="B475" s="177" t="s">
        <v>3150</v>
      </c>
      <c r="C475" s="177" t="s">
        <v>195</v>
      </c>
      <c r="D475" s="177">
        <v>17.5</v>
      </c>
      <c r="E475" s="177">
        <v>10.75</v>
      </c>
      <c r="F475" s="177">
        <v>28.25</v>
      </c>
      <c r="G475" s="178">
        <v>73.07692307692308</v>
      </c>
      <c r="H475" s="177">
        <v>6.0</v>
      </c>
      <c r="I475" s="178">
        <v>34.25</v>
      </c>
    </row>
    <row r="476">
      <c r="A476" s="177" t="s">
        <v>1912</v>
      </c>
      <c r="B476" s="177" t="s">
        <v>2519</v>
      </c>
      <c r="C476" s="177" t="s">
        <v>196</v>
      </c>
      <c r="D476" s="177">
        <v>0.0</v>
      </c>
      <c r="E476" s="177">
        <v>0.0</v>
      </c>
      <c r="F476" s="177">
        <v>0.0</v>
      </c>
      <c r="G476" s="178">
        <v>53.84615384615385</v>
      </c>
      <c r="H476" s="177">
        <v>0.0</v>
      </c>
      <c r="I476" s="178">
        <v>0.0</v>
      </c>
    </row>
    <row r="477">
      <c r="A477" s="177" t="s">
        <v>1913</v>
      </c>
      <c r="B477" s="177" t="s">
        <v>2520</v>
      </c>
      <c r="C477" s="177" t="s">
        <v>197</v>
      </c>
      <c r="D477" s="177">
        <v>21.75</v>
      </c>
      <c r="E477" s="177">
        <v>27.75</v>
      </c>
      <c r="F477" s="177">
        <v>49.5</v>
      </c>
      <c r="G477" s="178">
        <v>92.3076923076923</v>
      </c>
      <c r="H477" s="177">
        <v>10.0</v>
      </c>
      <c r="I477" s="178">
        <v>59.5</v>
      </c>
    </row>
    <row r="478">
      <c r="A478" s="177" t="s">
        <v>1914</v>
      </c>
      <c r="B478" s="177" t="s">
        <v>2521</v>
      </c>
      <c r="C478" s="177" t="s">
        <v>198</v>
      </c>
      <c r="D478" s="177">
        <v>8.75</v>
      </c>
      <c r="E478" s="177">
        <v>0.0</v>
      </c>
      <c r="F478" s="177">
        <v>8.75</v>
      </c>
      <c r="G478" s="178">
        <v>30.76923076923077</v>
      </c>
      <c r="H478" s="177">
        <v>0.0</v>
      </c>
      <c r="I478" s="178">
        <v>8.75</v>
      </c>
    </row>
    <row r="479">
      <c r="A479" s="177" t="s">
        <v>1915</v>
      </c>
      <c r="B479" s="177" t="s">
        <v>2522</v>
      </c>
      <c r="C479" s="177" t="s">
        <v>199</v>
      </c>
      <c r="D479" s="177">
        <v>15.25</v>
      </c>
      <c r="E479" s="177">
        <v>13.5</v>
      </c>
      <c r="F479" s="177">
        <v>28.75</v>
      </c>
      <c r="G479" s="178">
        <v>96.15384615384616</v>
      </c>
      <c r="H479" s="177">
        <v>10.0</v>
      </c>
      <c r="I479" s="178">
        <v>38.75</v>
      </c>
    </row>
    <row r="480">
      <c r="A480" s="177" t="s">
        <v>1943</v>
      </c>
      <c r="B480" s="177" t="s">
        <v>3151</v>
      </c>
      <c r="C480" s="177" t="s">
        <v>200</v>
      </c>
      <c r="D480" s="177">
        <v>0.0</v>
      </c>
      <c r="E480" s="177">
        <v>0.0</v>
      </c>
      <c r="F480" s="177">
        <v>0.0</v>
      </c>
      <c r="G480" s="177">
        <v>0.0</v>
      </c>
      <c r="H480" s="177">
        <v>0.0</v>
      </c>
      <c r="I480" s="178">
        <v>0.0</v>
      </c>
    </row>
    <row r="481">
      <c r="A481" s="177" t="s">
        <v>1916</v>
      </c>
      <c r="B481" s="177" t="s">
        <v>2523</v>
      </c>
      <c r="C481" s="177" t="s">
        <v>201</v>
      </c>
      <c r="D481" s="177">
        <v>20.75</v>
      </c>
      <c r="E481" s="177">
        <v>20.75</v>
      </c>
      <c r="F481" s="177">
        <v>41.5</v>
      </c>
      <c r="G481" s="178">
        <v>100.0</v>
      </c>
      <c r="H481" s="177">
        <v>10.0</v>
      </c>
      <c r="I481" s="178">
        <v>51.5</v>
      </c>
    </row>
    <row r="482">
      <c r="A482" s="177" t="s">
        <v>1939</v>
      </c>
      <c r="B482" s="177" t="s">
        <v>2524</v>
      </c>
      <c r="C482" s="177" t="s">
        <v>202</v>
      </c>
      <c r="D482" s="177">
        <v>14.25</v>
      </c>
      <c r="E482" s="177">
        <v>0.0</v>
      </c>
      <c r="F482" s="177">
        <v>14.25</v>
      </c>
      <c r="G482" s="178">
        <v>50.0</v>
      </c>
      <c r="H482" s="177">
        <v>0.0</v>
      </c>
      <c r="I482" s="178">
        <v>14.25</v>
      </c>
    </row>
    <row r="483">
      <c r="A483" s="177" t="s">
        <v>1947</v>
      </c>
      <c r="B483" s="177" t="s">
        <v>2525</v>
      </c>
      <c r="C483" s="177" t="s">
        <v>203</v>
      </c>
      <c r="D483" s="177">
        <v>17.75</v>
      </c>
      <c r="E483" s="177">
        <v>25.0</v>
      </c>
      <c r="F483" s="177">
        <v>42.75</v>
      </c>
      <c r="G483" s="178">
        <v>92.3076923076923</v>
      </c>
      <c r="H483" s="177">
        <v>10.0</v>
      </c>
      <c r="I483" s="178">
        <v>52.75</v>
      </c>
    </row>
    <row r="484">
      <c r="A484" s="177" t="s">
        <v>1917</v>
      </c>
      <c r="B484" s="177" t="s">
        <v>3152</v>
      </c>
      <c r="C484" s="177" t="s">
        <v>204</v>
      </c>
      <c r="D484" s="177">
        <v>15.0</v>
      </c>
      <c r="E484" s="177">
        <v>12.25</v>
      </c>
      <c r="F484" s="177">
        <v>27.25</v>
      </c>
      <c r="G484" s="178">
        <v>61.53846153846154</v>
      </c>
      <c r="H484" s="177">
        <v>0.0</v>
      </c>
      <c r="I484" s="178">
        <v>27.25</v>
      </c>
    </row>
    <row r="485">
      <c r="A485" s="177" t="s">
        <v>2017</v>
      </c>
      <c r="B485" s="177" t="s">
        <v>2527</v>
      </c>
      <c r="C485" s="177" t="s">
        <v>205</v>
      </c>
      <c r="D485" s="177">
        <v>8.25</v>
      </c>
      <c r="E485" s="177">
        <v>10.5</v>
      </c>
      <c r="F485" s="177">
        <v>18.75</v>
      </c>
      <c r="G485" s="178">
        <v>88.46153846153847</v>
      </c>
      <c r="H485" s="177">
        <v>9.0</v>
      </c>
      <c r="I485" s="178">
        <v>27.75</v>
      </c>
    </row>
    <row r="486">
      <c r="A486" s="177" t="s">
        <v>1902</v>
      </c>
      <c r="B486" s="177" t="s">
        <v>2528</v>
      </c>
      <c r="C486" s="177" t="s">
        <v>206</v>
      </c>
      <c r="D486" s="177">
        <v>14.25</v>
      </c>
      <c r="E486" s="177">
        <v>25.75</v>
      </c>
      <c r="F486" s="177">
        <v>40.0</v>
      </c>
      <c r="G486" s="178">
        <v>96.15384615384616</v>
      </c>
      <c r="H486" s="177">
        <v>10.0</v>
      </c>
      <c r="I486" s="178">
        <v>50.0</v>
      </c>
    </row>
    <row r="487">
      <c r="A487" s="177" t="s">
        <v>1918</v>
      </c>
      <c r="B487" s="177" t="s">
        <v>2529</v>
      </c>
      <c r="C487" s="177" t="s">
        <v>207</v>
      </c>
      <c r="D487" s="177">
        <v>0.0</v>
      </c>
      <c r="E487" s="177">
        <v>0.0</v>
      </c>
      <c r="F487" s="177">
        <v>0.0</v>
      </c>
      <c r="G487" s="178">
        <v>15.384615384615385</v>
      </c>
      <c r="H487" s="177">
        <v>0.0</v>
      </c>
      <c r="I487" s="178">
        <v>0.0</v>
      </c>
    </row>
    <row r="488">
      <c r="A488" s="177" t="s">
        <v>1919</v>
      </c>
      <c r="B488" s="177" t="s">
        <v>2530</v>
      </c>
      <c r="C488" s="177" t="s">
        <v>208</v>
      </c>
      <c r="D488" s="177">
        <v>23.5</v>
      </c>
      <c r="E488" s="177">
        <v>24.75</v>
      </c>
      <c r="F488" s="177">
        <v>48.25</v>
      </c>
      <c r="G488" s="178">
        <v>80.76923076923077</v>
      </c>
      <c r="H488" s="177">
        <v>8.0</v>
      </c>
      <c r="I488" s="178">
        <v>56.25</v>
      </c>
    </row>
    <row r="489">
      <c r="A489" s="177" t="s">
        <v>1955</v>
      </c>
      <c r="B489" s="177" t="s">
        <v>2531</v>
      </c>
      <c r="C489" s="177" t="s">
        <v>209</v>
      </c>
      <c r="D489" s="177">
        <v>15.5</v>
      </c>
      <c r="E489" s="177">
        <v>16.25</v>
      </c>
      <c r="F489" s="177">
        <v>31.75</v>
      </c>
      <c r="G489" s="178">
        <v>76.92307692307692</v>
      </c>
      <c r="H489" s="177">
        <v>7.0</v>
      </c>
      <c r="I489" s="178">
        <v>38.75</v>
      </c>
    </row>
    <row r="490">
      <c r="A490" s="177" t="s">
        <v>1996</v>
      </c>
      <c r="B490" s="177" t="s">
        <v>2532</v>
      </c>
      <c r="C490" s="177" t="s">
        <v>210</v>
      </c>
      <c r="D490" s="177">
        <v>2.5</v>
      </c>
      <c r="E490" s="177">
        <v>0.0</v>
      </c>
      <c r="F490" s="177">
        <v>2.5</v>
      </c>
      <c r="G490" s="178">
        <v>11.538461538461538</v>
      </c>
      <c r="H490" s="177">
        <v>0.0</v>
      </c>
      <c r="I490" s="178">
        <v>2.5</v>
      </c>
    </row>
    <row r="491">
      <c r="A491" s="177" t="s">
        <v>1920</v>
      </c>
      <c r="B491" s="177" t="s">
        <v>2533</v>
      </c>
      <c r="C491" s="177" t="s">
        <v>211</v>
      </c>
      <c r="D491" s="177">
        <v>6.25</v>
      </c>
      <c r="E491" s="177">
        <v>11.75</v>
      </c>
      <c r="F491" s="177">
        <v>18.0</v>
      </c>
      <c r="G491" s="178">
        <v>84.61538461538461</v>
      </c>
      <c r="H491" s="177">
        <v>8.0</v>
      </c>
      <c r="I491" s="178">
        <v>26.0</v>
      </c>
    </row>
    <row r="492">
      <c r="A492" s="177" t="s">
        <v>1921</v>
      </c>
      <c r="B492" s="177" t="s">
        <v>2534</v>
      </c>
      <c r="C492" s="177" t="s">
        <v>212</v>
      </c>
      <c r="D492" s="177">
        <v>11.25</v>
      </c>
      <c r="E492" s="177">
        <v>20.25</v>
      </c>
      <c r="F492" s="177">
        <v>31.5</v>
      </c>
      <c r="G492" s="178">
        <v>73.07692307692308</v>
      </c>
      <c r="H492" s="177">
        <v>6.0</v>
      </c>
      <c r="I492" s="178">
        <v>37.5</v>
      </c>
    </row>
    <row r="493">
      <c r="A493" s="177" t="s">
        <v>1922</v>
      </c>
      <c r="B493" s="177" t="s">
        <v>2535</v>
      </c>
      <c r="C493" s="177" t="s">
        <v>213</v>
      </c>
      <c r="D493" s="177">
        <v>0.0</v>
      </c>
      <c r="E493" s="177">
        <v>0.0</v>
      </c>
      <c r="F493" s="177">
        <v>0.0</v>
      </c>
      <c r="G493" s="178">
        <v>34.61538461538461</v>
      </c>
      <c r="H493" s="177">
        <v>0.0</v>
      </c>
      <c r="I493" s="178">
        <v>0.0</v>
      </c>
    </row>
    <row r="494">
      <c r="A494" s="177" t="s">
        <v>1923</v>
      </c>
      <c r="B494" s="177" t="s">
        <v>2536</v>
      </c>
      <c r="C494" s="177" t="s">
        <v>214</v>
      </c>
      <c r="D494" s="177">
        <v>0.0</v>
      </c>
      <c r="E494" s="177">
        <v>0.0</v>
      </c>
      <c r="F494" s="177">
        <v>0.0</v>
      </c>
      <c r="G494" s="178">
        <v>7.6923076923076925</v>
      </c>
      <c r="H494" s="177">
        <v>0.0</v>
      </c>
      <c r="I494" s="178">
        <v>0.0</v>
      </c>
    </row>
    <row r="495">
      <c r="A495" s="177" t="s">
        <v>1997</v>
      </c>
      <c r="B495" s="177" t="s">
        <v>2537</v>
      </c>
      <c r="C495" s="177" t="s">
        <v>215</v>
      </c>
      <c r="D495" s="177">
        <v>0.0</v>
      </c>
      <c r="E495" s="177">
        <v>14.0</v>
      </c>
      <c r="F495" s="177">
        <v>14.0</v>
      </c>
      <c r="G495" s="178">
        <v>7.6923076923076925</v>
      </c>
      <c r="H495" s="177">
        <v>0.0</v>
      </c>
      <c r="I495" s="178">
        <v>14.0</v>
      </c>
    </row>
    <row r="496">
      <c r="A496" s="177" t="s">
        <v>1924</v>
      </c>
      <c r="B496" s="177" t="s">
        <v>2538</v>
      </c>
      <c r="C496" s="177" t="s">
        <v>216</v>
      </c>
      <c r="D496" s="177">
        <v>17.0</v>
      </c>
      <c r="E496" s="177">
        <v>24.5</v>
      </c>
      <c r="F496" s="177">
        <v>41.5</v>
      </c>
      <c r="G496" s="178">
        <v>88.46153846153847</v>
      </c>
      <c r="H496" s="177">
        <v>9.0</v>
      </c>
      <c r="I496" s="178">
        <v>50.5</v>
      </c>
    </row>
    <row r="497">
      <c r="A497" s="177" t="s">
        <v>1958</v>
      </c>
      <c r="B497" s="177" t="s">
        <v>2539</v>
      </c>
      <c r="C497" s="177" t="s">
        <v>217</v>
      </c>
      <c r="D497" s="177">
        <v>0.0</v>
      </c>
      <c r="E497" s="177">
        <v>0.0</v>
      </c>
      <c r="F497" s="177">
        <v>0.0</v>
      </c>
      <c r="G497" s="178">
        <v>3.8461538461538463</v>
      </c>
      <c r="H497" s="177">
        <v>0.0</v>
      </c>
      <c r="I497" s="178">
        <v>0.0</v>
      </c>
    </row>
    <row r="498">
      <c r="A498" s="177" t="s">
        <v>1959</v>
      </c>
      <c r="B498" s="177" t="s">
        <v>2540</v>
      </c>
      <c r="C498" s="177" t="s">
        <v>218</v>
      </c>
      <c r="D498" s="177">
        <v>4.5</v>
      </c>
      <c r="E498" s="177">
        <v>17.0</v>
      </c>
      <c r="F498" s="177">
        <v>21.5</v>
      </c>
      <c r="G498" s="178">
        <v>61.53846153846154</v>
      </c>
      <c r="H498" s="177">
        <v>0.0</v>
      </c>
      <c r="I498" s="178">
        <v>21.5</v>
      </c>
    </row>
    <row r="499">
      <c r="A499" s="177" t="s">
        <v>125</v>
      </c>
      <c r="B499" s="177" t="s">
        <v>2541</v>
      </c>
      <c r="C499" s="177" t="s">
        <v>219</v>
      </c>
      <c r="D499" s="177">
        <v>12.25</v>
      </c>
      <c r="E499" s="177">
        <v>11.25</v>
      </c>
      <c r="F499" s="177">
        <v>23.5</v>
      </c>
      <c r="G499" s="178">
        <v>88.46153846153847</v>
      </c>
      <c r="H499" s="177">
        <v>9.0</v>
      </c>
      <c r="I499" s="178">
        <v>32.5</v>
      </c>
    </row>
    <row r="500">
      <c r="A500" s="177" t="s">
        <v>2082</v>
      </c>
      <c r="B500" s="177" t="s">
        <v>2542</v>
      </c>
      <c r="C500" s="177" t="s">
        <v>220</v>
      </c>
      <c r="D500" s="177">
        <v>21.25</v>
      </c>
      <c r="E500" s="177">
        <v>9.25</v>
      </c>
      <c r="F500" s="177">
        <v>30.5</v>
      </c>
      <c r="G500" s="178">
        <v>84.61538461538461</v>
      </c>
      <c r="H500" s="177">
        <v>8.0</v>
      </c>
      <c r="I500" s="178">
        <v>38.5</v>
      </c>
    </row>
    <row r="501">
      <c r="A501" s="177" t="s">
        <v>1934</v>
      </c>
      <c r="B501" s="177" t="s">
        <v>2543</v>
      </c>
      <c r="C501" s="177" t="s">
        <v>221</v>
      </c>
      <c r="D501" s="177">
        <v>4.25</v>
      </c>
      <c r="E501" s="177">
        <v>14.25</v>
      </c>
      <c r="F501" s="177">
        <v>18.5</v>
      </c>
      <c r="G501" s="178">
        <v>69.23076923076923</v>
      </c>
      <c r="H501" s="177">
        <v>0.0</v>
      </c>
      <c r="I501" s="178">
        <v>18.5</v>
      </c>
    </row>
    <row r="502">
      <c r="A502" s="177" t="s">
        <v>1960</v>
      </c>
      <c r="B502" s="177" t="s">
        <v>3153</v>
      </c>
      <c r="C502" s="177" t="s">
        <v>222</v>
      </c>
      <c r="D502" s="177">
        <v>23.0</v>
      </c>
      <c r="E502" s="177">
        <v>20.0</v>
      </c>
      <c r="F502" s="177">
        <v>43.0</v>
      </c>
      <c r="G502" s="178">
        <v>96.15384615384616</v>
      </c>
      <c r="H502" s="177">
        <v>10.0</v>
      </c>
      <c r="I502" s="178">
        <v>53.0</v>
      </c>
    </row>
    <row r="503">
      <c r="A503" s="177" t="s">
        <v>1941</v>
      </c>
      <c r="B503" s="177" t="s">
        <v>2545</v>
      </c>
      <c r="C503" s="177" t="s">
        <v>223</v>
      </c>
      <c r="D503" s="177">
        <v>8.75</v>
      </c>
      <c r="E503" s="177">
        <v>0.0</v>
      </c>
      <c r="F503" s="177">
        <v>8.75</v>
      </c>
      <c r="G503" s="178">
        <v>23.076923076923077</v>
      </c>
      <c r="H503" s="177">
        <v>0.0</v>
      </c>
      <c r="I503" s="178">
        <v>8.75</v>
      </c>
    </row>
    <row r="504">
      <c r="A504" s="177" t="s">
        <v>2003</v>
      </c>
      <c r="B504" s="177" t="s">
        <v>2546</v>
      </c>
      <c r="C504" s="177" t="s">
        <v>224</v>
      </c>
      <c r="D504" s="177">
        <v>5.0</v>
      </c>
      <c r="E504" s="177">
        <v>0.0</v>
      </c>
      <c r="F504" s="177">
        <v>5.0</v>
      </c>
      <c r="G504" s="178">
        <v>26.923076923076923</v>
      </c>
      <c r="H504" s="177">
        <v>0.0</v>
      </c>
      <c r="I504" s="178">
        <v>5.0</v>
      </c>
    </row>
    <row r="505">
      <c r="A505" s="177" t="s">
        <v>1951</v>
      </c>
      <c r="B505" s="177" t="s">
        <v>2547</v>
      </c>
      <c r="C505" s="177" t="s">
        <v>225</v>
      </c>
      <c r="D505" s="177">
        <v>0.0</v>
      </c>
      <c r="E505" s="177">
        <v>0.0</v>
      </c>
      <c r="F505" s="177">
        <v>0.0</v>
      </c>
      <c r="G505" s="178">
        <v>0.0</v>
      </c>
      <c r="H505" s="177">
        <v>0.0</v>
      </c>
      <c r="I505" s="178">
        <v>0.0</v>
      </c>
    </row>
    <row r="506">
      <c r="A506" s="177" t="s">
        <v>1998</v>
      </c>
      <c r="B506" s="177" t="s">
        <v>2548</v>
      </c>
      <c r="C506" s="177" t="s">
        <v>226</v>
      </c>
      <c r="D506" s="177">
        <v>17.5</v>
      </c>
      <c r="E506" s="177">
        <v>33.5</v>
      </c>
      <c r="F506" s="177">
        <v>51.0</v>
      </c>
      <c r="G506" s="178">
        <v>96.15384615384616</v>
      </c>
      <c r="H506" s="177">
        <v>10.0</v>
      </c>
      <c r="I506" s="178">
        <v>61.0</v>
      </c>
    </row>
    <row r="507">
      <c r="A507" s="177" t="s">
        <v>134</v>
      </c>
      <c r="B507" s="177" t="s">
        <v>2549</v>
      </c>
      <c r="C507" s="177" t="s">
        <v>227</v>
      </c>
      <c r="D507" s="177">
        <v>8.0</v>
      </c>
      <c r="E507" s="177">
        <v>3.0</v>
      </c>
      <c r="F507" s="177">
        <v>11.0</v>
      </c>
      <c r="G507" s="178">
        <v>96.15384615384616</v>
      </c>
      <c r="H507" s="177">
        <v>10.0</v>
      </c>
      <c r="I507" s="178">
        <v>21.0</v>
      </c>
    </row>
    <row r="508">
      <c r="A508" s="177" t="s">
        <v>1961</v>
      </c>
      <c r="B508" s="177" t="s">
        <v>2550</v>
      </c>
      <c r="C508" s="177" t="s">
        <v>228</v>
      </c>
      <c r="D508" s="177">
        <v>22.5</v>
      </c>
      <c r="E508" s="177">
        <v>29.75</v>
      </c>
      <c r="F508" s="177">
        <v>52.25</v>
      </c>
      <c r="G508" s="178">
        <v>92.3076923076923</v>
      </c>
      <c r="H508" s="177">
        <v>10.0</v>
      </c>
      <c r="I508" s="178">
        <v>62.25</v>
      </c>
    </row>
    <row r="509">
      <c r="A509" s="177" t="s">
        <v>1962</v>
      </c>
      <c r="B509" s="177" t="s">
        <v>2551</v>
      </c>
      <c r="C509" s="177" t="s">
        <v>229</v>
      </c>
      <c r="D509" s="177">
        <v>5.5</v>
      </c>
      <c r="E509" s="177">
        <v>0.0</v>
      </c>
      <c r="F509" s="177">
        <v>5.5</v>
      </c>
      <c r="G509" s="178">
        <v>38.46153846153846</v>
      </c>
      <c r="H509" s="177">
        <v>0.0</v>
      </c>
      <c r="I509" s="178">
        <v>5.5</v>
      </c>
    </row>
    <row r="510">
      <c r="A510" s="177" t="s">
        <v>1935</v>
      </c>
      <c r="B510" s="177" t="s">
        <v>2552</v>
      </c>
      <c r="C510" s="177" t="s">
        <v>230</v>
      </c>
      <c r="D510" s="177">
        <v>7.75</v>
      </c>
      <c r="E510" s="177">
        <v>10.5</v>
      </c>
      <c r="F510" s="177">
        <v>18.25</v>
      </c>
      <c r="G510" s="178">
        <v>73.07692307692308</v>
      </c>
      <c r="H510" s="177">
        <v>6.0</v>
      </c>
      <c r="I510" s="178">
        <v>24.25</v>
      </c>
    </row>
    <row r="511">
      <c r="A511" s="177" t="s">
        <v>1963</v>
      </c>
      <c r="B511" s="177" t="s">
        <v>2553</v>
      </c>
      <c r="C511" s="177" t="s">
        <v>231</v>
      </c>
      <c r="D511" s="177">
        <v>17.5</v>
      </c>
      <c r="E511" s="177">
        <v>0.0</v>
      </c>
      <c r="F511" s="177">
        <v>17.5</v>
      </c>
      <c r="G511" s="178">
        <v>46.15384615384615</v>
      </c>
      <c r="H511" s="177">
        <v>0.0</v>
      </c>
      <c r="I511" s="178">
        <v>17.5</v>
      </c>
    </row>
    <row r="512">
      <c r="A512" s="177" t="s">
        <v>1964</v>
      </c>
      <c r="B512" s="177" t="s">
        <v>2554</v>
      </c>
      <c r="C512" s="177" t="s">
        <v>232</v>
      </c>
      <c r="D512" s="177">
        <v>0.0</v>
      </c>
      <c r="E512" s="177">
        <v>0.0</v>
      </c>
      <c r="F512" s="177">
        <v>0.0</v>
      </c>
      <c r="G512" s="178">
        <v>38.46153846153846</v>
      </c>
      <c r="H512" s="177">
        <v>0.0</v>
      </c>
      <c r="I512" s="178">
        <v>0.0</v>
      </c>
    </row>
    <row r="513">
      <c r="A513" s="177" t="s">
        <v>121</v>
      </c>
      <c r="B513" s="177" t="s">
        <v>2555</v>
      </c>
      <c r="C513" s="177" t="s">
        <v>233</v>
      </c>
      <c r="D513" s="177">
        <v>1.25</v>
      </c>
      <c r="E513" s="177">
        <v>0.0</v>
      </c>
      <c r="F513" s="177">
        <v>1.25</v>
      </c>
      <c r="G513" s="178">
        <v>15.384615384615385</v>
      </c>
      <c r="H513" s="177">
        <v>0.0</v>
      </c>
      <c r="I513" s="178">
        <v>1.25</v>
      </c>
    </row>
    <row r="514">
      <c r="A514" s="177" t="s">
        <v>1999</v>
      </c>
      <c r="B514" s="177" t="s">
        <v>3154</v>
      </c>
      <c r="C514" s="177" t="s">
        <v>234</v>
      </c>
      <c r="D514" s="177">
        <v>0.0</v>
      </c>
      <c r="E514" s="177">
        <v>0.0</v>
      </c>
      <c r="F514" s="177">
        <v>0.0</v>
      </c>
      <c r="G514" s="177">
        <v>0.0</v>
      </c>
      <c r="H514" s="177">
        <v>0.0</v>
      </c>
      <c r="I514" s="178">
        <v>0.0</v>
      </c>
    </row>
    <row r="515">
      <c r="A515" s="177" t="s">
        <v>1965</v>
      </c>
      <c r="B515" s="177" t="s">
        <v>3155</v>
      </c>
      <c r="C515" s="177" t="s">
        <v>235</v>
      </c>
      <c r="D515" s="177">
        <v>0.0</v>
      </c>
      <c r="E515" s="177">
        <v>0.0</v>
      </c>
      <c r="F515" s="177">
        <v>0.0</v>
      </c>
      <c r="G515" s="178">
        <v>0.0</v>
      </c>
      <c r="H515" s="177">
        <v>0.0</v>
      </c>
      <c r="I515" s="178">
        <v>0.0</v>
      </c>
    </row>
    <row r="516">
      <c r="A516" s="177" t="s">
        <v>1966</v>
      </c>
      <c r="B516" s="177" t="s">
        <v>2556</v>
      </c>
      <c r="C516" s="177" t="s">
        <v>236</v>
      </c>
      <c r="D516" s="177">
        <v>27.25</v>
      </c>
      <c r="E516" s="177">
        <v>25.5</v>
      </c>
      <c r="F516" s="177">
        <v>52.75</v>
      </c>
      <c r="G516" s="178">
        <v>92.3076923076923</v>
      </c>
      <c r="H516" s="177">
        <v>10.0</v>
      </c>
      <c r="I516" s="178">
        <v>62.75</v>
      </c>
    </row>
    <row r="517">
      <c r="A517" s="177" t="s">
        <v>1942</v>
      </c>
      <c r="B517" s="177" t="s">
        <v>2557</v>
      </c>
      <c r="C517" s="177" t="s">
        <v>237</v>
      </c>
      <c r="D517" s="177">
        <v>17.0</v>
      </c>
      <c r="E517" s="177">
        <v>13.25</v>
      </c>
      <c r="F517" s="177">
        <v>30.25</v>
      </c>
      <c r="G517" s="178">
        <v>96.15384615384616</v>
      </c>
      <c r="H517" s="177">
        <v>10.0</v>
      </c>
      <c r="I517" s="178">
        <v>40.25</v>
      </c>
    </row>
    <row r="518">
      <c r="A518" s="177" t="s">
        <v>1967</v>
      </c>
      <c r="B518" s="177" t="s">
        <v>2558</v>
      </c>
      <c r="C518" s="177" t="s">
        <v>238</v>
      </c>
      <c r="D518" s="177">
        <v>16.5</v>
      </c>
      <c r="E518" s="177">
        <v>24.5</v>
      </c>
      <c r="F518" s="177">
        <v>41.0</v>
      </c>
      <c r="G518" s="178">
        <v>88.46153846153847</v>
      </c>
      <c r="H518" s="177">
        <v>9.0</v>
      </c>
      <c r="I518" s="178">
        <v>50.0</v>
      </c>
    </row>
    <row r="519">
      <c r="A519" s="177" t="s">
        <v>130</v>
      </c>
      <c r="B519" s="177" t="s">
        <v>2559</v>
      </c>
      <c r="C519" s="177" t="s">
        <v>239</v>
      </c>
      <c r="D519" s="177">
        <v>9.0</v>
      </c>
      <c r="E519" s="177">
        <v>0.0</v>
      </c>
      <c r="F519" s="177">
        <v>9.0</v>
      </c>
      <c r="G519" s="178">
        <v>30.76923076923077</v>
      </c>
      <c r="H519" s="177">
        <v>0.0</v>
      </c>
      <c r="I519" s="178">
        <v>9.0</v>
      </c>
    </row>
    <row r="520">
      <c r="A520" s="177" t="s">
        <v>2012</v>
      </c>
      <c r="B520" s="177" t="s">
        <v>2560</v>
      </c>
      <c r="C520" s="177" t="s">
        <v>240</v>
      </c>
      <c r="D520" s="177">
        <v>0.0</v>
      </c>
      <c r="E520" s="177">
        <v>0.0</v>
      </c>
      <c r="F520" s="177">
        <v>0.0</v>
      </c>
      <c r="G520" s="178">
        <v>11.538461538461538</v>
      </c>
      <c r="H520" s="177">
        <v>0.0</v>
      </c>
      <c r="I520" s="178">
        <v>0.0</v>
      </c>
    </row>
    <row r="521">
      <c r="A521" s="177" t="s">
        <v>1968</v>
      </c>
      <c r="B521" s="177" t="s">
        <v>2562</v>
      </c>
      <c r="C521" s="177" t="s">
        <v>241</v>
      </c>
      <c r="D521" s="177">
        <v>11.25</v>
      </c>
      <c r="E521" s="177">
        <v>9.0</v>
      </c>
      <c r="F521" s="177">
        <v>20.25</v>
      </c>
      <c r="G521" s="178">
        <v>76.92307692307692</v>
      </c>
      <c r="H521" s="177">
        <v>7.0</v>
      </c>
      <c r="I521" s="178">
        <v>27.25</v>
      </c>
    </row>
    <row r="522">
      <c r="A522" s="177" t="s">
        <v>1969</v>
      </c>
      <c r="B522" s="177" t="s">
        <v>2563</v>
      </c>
      <c r="C522" s="177" t="s">
        <v>242</v>
      </c>
      <c r="D522" s="177">
        <v>12.5</v>
      </c>
      <c r="E522" s="177">
        <v>0.0</v>
      </c>
      <c r="F522" s="177">
        <v>12.5</v>
      </c>
      <c r="G522" s="178">
        <v>30.76923076923077</v>
      </c>
      <c r="H522" s="177">
        <v>0.0</v>
      </c>
      <c r="I522" s="178">
        <v>12.5</v>
      </c>
    </row>
    <row r="523">
      <c r="A523" s="177" t="s">
        <v>2020</v>
      </c>
      <c r="B523" s="177" t="s">
        <v>3156</v>
      </c>
      <c r="C523" s="177" t="s">
        <v>243</v>
      </c>
      <c r="D523" s="177">
        <v>10.0</v>
      </c>
      <c r="E523" s="177">
        <v>0.0</v>
      </c>
      <c r="F523" s="177">
        <v>10.0</v>
      </c>
      <c r="G523" s="178">
        <v>42.30769230769231</v>
      </c>
      <c r="H523" s="177">
        <v>0.0</v>
      </c>
      <c r="I523" s="178">
        <v>10.0</v>
      </c>
    </row>
    <row r="524">
      <c r="A524" s="177" t="s">
        <v>1970</v>
      </c>
      <c r="B524" s="177" t="s">
        <v>2565</v>
      </c>
      <c r="C524" s="177" t="s">
        <v>244</v>
      </c>
      <c r="D524" s="177">
        <v>5.0</v>
      </c>
      <c r="E524" s="177">
        <v>0.0</v>
      </c>
      <c r="F524" s="177">
        <v>5.0</v>
      </c>
      <c r="G524" s="178">
        <v>46.15384615384615</v>
      </c>
      <c r="H524" s="177">
        <v>0.0</v>
      </c>
      <c r="I524" s="178">
        <v>5.0</v>
      </c>
    </row>
    <row r="525">
      <c r="A525" s="177" t="s">
        <v>1971</v>
      </c>
      <c r="B525" s="177" t="s">
        <v>2566</v>
      </c>
      <c r="C525" s="177" t="s">
        <v>245</v>
      </c>
      <c r="D525" s="177">
        <v>19.25</v>
      </c>
      <c r="E525" s="177">
        <v>0.0</v>
      </c>
      <c r="F525" s="177">
        <v>19.25</v>
      </c>
      <c r="G525" s="178">
        <v>7.6923076923076925</v>
      </c>
      <c r="H525" s="177">
        <v>0.0</v>
      </c>
      <c r="I525" s="178">
        <v>19.25</v>
      </c>
    </row>
    <row r="526">
      <c r="A526" s="177" t="s">
        <v>2016</v>
      </c>
      <c r="B526" s="177" t="s">
        <v>2567</v>
      </c>
      <c r="C526" s="177" t="s">
        <v>246</v>
      </c>
      <c r="D526" s="177">
        <v>11.25</v>
      </c>
      <c r="E526" s="177">
        <v>7.25</v>
      </c>
      <c r="F526" s="177">
        <v>18.5</v>
      </c>
      <c r="G526" s="178">
        <v>76.92307692307692</v>
      </c>
      <c r="H526" s="177">
        <v>7.0</v>
      </c>
      <c r="I526" s="178">
        <v>25.5</v>
      </c>
    </row>
    <row r="527">
      <c r="A527" s="177" t="s">
        <v>1972</v>
      </c>
      <c r="B527" s="177" t="s">
        <v>2568</v>
      </c>
      <c r="C527" s="177" t="s">
        <v>247</v>
      </c>
      <c r="D527" s="177">
        <v>32.0</v>
      </c>
      <c r="E527" s="177">
        <v>36.5</v>
      </c>
      <c r="F527" s="177">
        <v>68.5</v>
      </c>
      <c r="G527" s="178">
        <v>96.15384615384616</v>
      </c>
      <c r="H527" s="177">
        <v>10.0</v>
      </c>
      <c r="I527" s="178">
        <v>78.5</v>
      </c>
    </row>
    <row r="528">
      <c r="A528" s="177" t="s">
        <v>2064</v>
      </c>
      <c r="B528" s="177" t="s">
        <v>2569</v>
      </c>
      <c r="C528" s="177" t="s">
        <v>248</v>
      </c>
      <c r="D528" s="177">
        <v>21.0</v>
      </c>
      <c r="E528" s="177">
        <v>15.5</v>
      </c>
      <c r="F528" s="177">
        <v>36.5</v>
      </c>
      <c r="G528" s="178">
        <v>62.0</v>
      </c>
      <c r="H528" s="177">
        <v>0.0</v>
      </c>
      <c r="I528" s="178">
        <v>36.5</v>
      </c>
    </row>
    <row r="529">
      <c r="A529" s="177" t="s">
        <v>1973</v>
      </c>
      <c r="B529" s="177" t="s">
        <v>3157</v>
      </c>
      <c r="C529" s="177" t="s">
        <v>249</v>
      </c>
      <c r="D529" s="177">
        <v>11.5</v>
      </c>
      <c r="E529" s="177">
        <v>18.0</v>
      </c>
      <c r="F529" s="177">
        <v>29.5</v>
      </c>
      <c r="G529" s="178">
        <v>88.46153846153847</v>
      </c>
      <c r="H529" s="177">
        <v>9.0</v>
      </c>
      <c r="I529" s="178">
        <v>38.5</v>
      </c>
    </row>
    <row r="530">
      <c r="A530" s="177" t="s">
        <v>1975</v>
      </c>
      <c r="B530" s="177" t="s">
        <v>2571</v>
      </c>
      <c r="C530" s="177" t="s">
        <v>250</v>
      </c>
      <c r="D530" s="177">
        <v>24.5</v>
      </c>
      <c r="E530" s="177">
        <v>21.5</v>
      </c>
      <c r="F530" s="177">
        <v>46.0</v>
      </c>
      <c r="G530" s="178">
        <v>100.0</v>
      </c>
      <c r="H530" s="177">
        <v>10.0</v>
      </c>
      <c r="I530" s="178">
        <v>56.0</v>
      </c>
    </row>
    <row r="531">
      <c r="A531" s="177" t="s">
        <v>1976</v>
      </c>
      <c r="B531" s="177" t="s">
        <v>2572</v>
      </c>
      <c r="C531" s="177" t="s">
        <v>251</v>
      </c>
      <c r="D531" s="177">
        <v>14.5</v>
      </c>
      <c r="E531" s="177">
        <v>29.75</v>
      </c>
      <c r="F531" s="177">
        <v>44.25</v>
      </c>
      <c r="G531" s="178">
        <v>92.3076923076923</v>
      </c>
      <c r="H531" s="177">
        <v>10.0</v>
      </c>
      <c r="I531" s="178">
        <v>54.25</v>
      </c>
    </row>
    <row r="532">
      <c r="A532" s="177" t="s">
        <v>2025</v>
      </c>
      <c r="B532" s="177" t="s">
        <v>2573</v>
      </c>
      <c r="C532" s="177" t="s">
        <v>252</v>
      </c>
      <c r="D532" s="177">
        <v>0.0</v>
      </c>
      <c r="E532" s="177">
        <v>14.25</v>
      </c>
      <c r="F532" s="177">
        <v>14.25</v>
      </c>
      <c r="G532" s="178">
        <v>96.15384615384616</v>
      </c>
      <c r="H532" s="177">
        <v>10.0</v>
      </c>
      <c r="I532" s="178">
        <v>24.25</v>
      </c>
    </row>
    <row r="533">
      <c r="A533" s="177" t="s">
        <v>2024</v>
      </c>
      <c r="B533" s="177" t="s">
        <v>2574</v>
      </c>
      <c r="C533" s="177" t="s">
        <v>254</v>
      </c>
      <c r="D533" s="177">
        <v>3.5</v>
      </c>
      <c r="E533" s="177">
        <v>0.0</v>
      </c>
      <c r="F533" s="177">
        <v>3.5</v>
      </c>
      <c r="G533" s="178">
        <v>80.76923076923077</v>
      </c>
      <c r="H533" s="177">
        <v>8.0</v>
      </c>
      <c r="I533" s="178">
        <v>11.5</v>
      </c>
    </row>
    <row r="534">
      <c r="A534" s="177" t="s">
        <v>1977</v>
      </c>
      <c r="B534" s="177" t="s">
        <v>2575</v>
      </c>
      <c r="C534" s="177" t="s">
        <v>255</v>
      </c>
      <c r="D534" s="177">
        <v>8.5</v>
      </c>
      <c r="E534" s="177">
        <v>25.75</v>
      </c>
      <c r="F534" s="177">
        <v>34.25</v>
      </c>
      <c r="G534" s="178">
        <v>88.46153846153847</v>
      </c>
      <c r="H534" s="177">
        <v>9.0</v>
      </c>
      <c r="I534" s="178">
        <v>43.25</v>
      </c>
    </row>
    <row r="535">
      <c r="A535" s="177" t="s">
        <v>1978</v>
      </c>
      <c r="B535" s="177" t="s">
        <v>2576</v>
      </c>
      <c r="C535" s="177" t="s">
        <v>256</v>
      </c>
      <c r="D535" s="177">
        <v>12.0</v>
      </c>
      <c r="E535" s="177">
        <v>0.0</v>
      </c>
      <c r="F535" s="177">
        <v>12.0</v>
      </c>
      <c r="G535" s="178">
        <v>38.46153846153846</v>
      </c>
      <c r="H535" s="177">
        <v>0.0</v>
      </c>
      <c r="I535" s="178">
        <v>12.0</v>
      </c>
    </row>
    <row r="536">
      <c r="A536" s="177" t="s">
        <v>2083</v>
      </c>
      <c r="B536" s="177" t="s">
        <v>3158</v>
      </c>
      <c r="C536" s="177" t="s">
        <v>257</v>
      </c>
      <c r="D536" s="177">
        <v>21.25</v>
      </c>
      <c r="E536" s="177" t="s">
        <v>2491</v>
      </c>
      <c r="F536" s="177" t="s">
        <v>2491</v>
      </c>
      <c r="G536" s="178">
        <v>84.61538461538461</v>
      </c>
      <c r="H536" s="177">
        <v>8.0</v>
      </c>
      <c r="I536" s="179">
        <v>0.0</v>
      </c>
    </row>
    <row r="537">
      <c r="A537" s="177" t="s">
        <v>2008</v>
      </c>
      <c r="B537" s="177" t="s">
        <v>2578</v>
      </c>
      <c r="C537" s="177" t="s">
        <v>258</v>
      </c>
      <c r="D537" s="177">
        <v>13.75</v>
      </c>
      <c r="E537" s="177" t="s">
        <v>2491</v>
      </c>
      <c r="F537" s="177" t="s">
        <v>2491</v>
      </c>
      <c r="G537" s="178">
        <v>92.3076923076923</v>
      </c>
      <c r="H537" s="177">
        <v>10.0</v>
      </c>
      <c r="I537" s="179">
        <v>0.0</v>
      </c>
    </row>
    <row r="538">
      <c r="A538" s="177" t="s">
        <v>1954</v>
      </c>
      <c r="B538" s="177" t="s">
        <v>2579</v>
      </c>
      <c r="C538" s="177" t="s">
        <v>259</v>
      </c>
      <c r="D538" s="177">
        <v>20.5</v>
      </c>
      <c r="E538" s="177">
        <v>28.25</v>
      </c>
      <c r="F538" s="177">
        <v>48.75</v>
      </c>
      <c r="G538" s="178">
        <v>88.46153846153847</v>
      </c>
      <c r="H538" s="177">
        <v>9.0</v>
      </c>
      <c r="I538" s="178">
        <v>57.75</v>
      </c>
    </row>
    <row r="539">
      <c r="A539" s="177" t="s">
        <v>2065</v>
      </c>
      <c r="B539" s="177" t="s">
        <v>2580</v>
      </c>
      <c r="C539" s="177" t="s">
        <v>260</v>
      </c>
      <c r="D539" s="177">
        <v>10.5</v>
      </c>
      <c r="E539" s="177">
        <v>0.0</v>
      </c>
      <c r="F539" s="177">
        <v>10.5</v>
      </c>
      <c r="G539" s="178">
        <v>73.07692307692308</v>
      </c>
      <c r="H539" s="177">
        <v>6.0</v>
      </c>
      <c r="I539" s="178">
        <v>16.5</v>
      </c>
    </row>
    <row r="540">
      <c r="A540" s="177" t="s">
        <v>1979</v>
      </c>
      <c r="B540" s="177" t="s">
        <v>2581</v>
      </c>
      <c r="C540" s="177" t="s">
        <v>261</v>
      </c>
      <c r="D540" s="177">
        <v>16.5</v>
      </c>
      <c r="E540" s="177">
        <v>17.5</v>
      </c>
      <c r="F540" s="177">
        <v>34.0</v>
      </c>
      <c r="G540" s="178">
        <v>76.92307692307692</v>
      </c>
      <c r="H540" s="177">
        <v>7.0</v>
      </c>
      <c r="I540" s="178">
        <v>41.0</v>
      </c>
    </row>
    <row r="541">
      <c r="A541" s="177" t="s">
        <v>2014</v>
      </c>
      <c r="B541" s="177" t="s">
        <v>2582</v>
      </c>
      <c r="C541" s="177" t="s">
        <v>262</v>
      </c>
      <c r="D541" s="177">
        <v>0.0</v>
      </c>
      <c r="E541" s="177">
        <v>0.0</v>
      </c>
      <c r="F541" s="177">
        <v>0.0</v>
      </c>
      <c r="G541" s="178">
        <v>30.76923076923077</v>
      </c>
      <c r="H541" s="177">
        <v>0.0</v>
      </c>
      <c r="I541" s="178">
        <v>0.0</v>
      </c>
    </row>
    <row r="542">
      <c r="A542" s="177" t="s">
        <v>2066</v>
      </c>
      <c r="B542" s="177" t="s">
        <v>2583</v>
      </c>
      <c r="C542" s="177" t="s">
        <v>263</v>
      </c>
      <c r="D542" s="177">
        <v>15.25</v>
      </c>
      <c r="E542" s="177">
        <v>26.0</v>
      </c>
      <c r="F542" s="177">
        <v>41.25</v>
      </c>
      <c r="G542" s="178">
        <v>93.10344827586206</v>
      </c>
      <c r="H542" s="177">
        <v>10.0</v>
      </c>
      <c r="I542" s="178">
        <v>51.25</v>
      </c>
    </row>
    <row r="543">
      <c r="A543" s="177" t="s">
        <v>1980</v>
      </c>
      <c r="B543" s="177" t="s">
        <v>2584</v>
      </c>
      <c r="C543" s="177" t="s">
        <v>264</v>
      </c>
      <c r="D543" s="177">
        <v>6.25</v>
      </c>
      <c r="E543" s="177">
        <v>0.0</v>
      </c>
      <c r="F543" s="177">
        <v>6.25</v>
      </c>
      <c r="G543" s="178">
        <v>42.30769230769231</v>
      </c>
      <c r="H543" s="177">
        <v>0.0</v>
      </c>
      <c r="I543" s="178">
        <v>6.25</v>
      </c>
    </row>
    <row r="544">
      <c r="A544" s="177" t="s">
        <v>2007</v>
      </c>
      <c r="B544" s="177" t="s">
        <v>2585</v>
      </c>
      <c r="C544" s="177" t="s">
        <v>265</v>
      </c>
      <c r="D544" s="177">
        <v>13.0</v>
      </c>
      <c r="E544" s="177">
        <v>17.25</v>
      </c>
      <c r="F544" s="177">
        <v>30.25</v>
      </c>
      <c r="G544" s="178">
        <v>76.92307692307692</v>
      </c>
      <c r="H544" s="177">
        <v>7.0</v>
      </c>
      <c r="I544" s="178">
        <v>37.25</v>
      </c>
    </row>
    <row r="545">
      <c r="A545" s="177" t="s">
        <v>2009</v>
      </c>
      <c r="B545" s="177" t="s">
        <v>2586</v>
      </c>
      <c r="C545" s="177" t="s">
        <v>266</v>
      </c>
      <c r="D545" s="177">
        <v>11.75</v>
      </c>
      <c r="E545" s="177">
        <v>0.0</v>
      </c>
      <c r="F545" s="177">
        <v>11.75</v>
      </c>
      <c r="G545" s="178">
        <v>57.69230769230769</v>
      </c>
      <c r="H545" s="177">
        <v>0.0</v>
      </c>
      <c r="I545" s="178">
        <v>11.75</v>
      </c>
    </row>
    <row r="546">
      <c r="A546" s="177" t="s">
        <v>2092</v>
      </c>
      <c r="B546" s="177" t="s">
        <v>2587</v>
      </c>
      <c r="C546" s="177" t="s">
        <v>267</v>
      </c>
      <c r="D546" s="177">
        <v>15.25</v>
      </c>
      <c r="E546" s="177">
        <v>21.0</v>
      </c>
      <c r="F546" s="177">
        <v>36.25</v>
      </c>
      <c r="G546" s="178">
        <v>92.3076923076923</v>
      </c>
      <c r="H546" s="177">
        <v>10.0</v>
      </c>
      <c r="I546" s="178">
        <v>46.25</v>
      </c>
    </row>
    <row r="547">
      <c r="A547" s="177" t="s">
        <v>2094</v>
      </c>
      <c r="B547" s="177" t="s">
        <v>2588</v>
      </c>
      <c r="C547" s="177" t="s">
        <v>268</v>
      </c>
      <c r="D547" s="177">
        <v>11.25</v>
      </c>
      <c r="E547" s="177">
        <v>17.5</v>
      </c>
      <c r="F547" s="177">
        <v>28.75</v>
      </c>
      <c r="G547" s="178">
        <v>84.61538461538461</v>
      </c>
      <c r="H547" s="177">
        <v>8.0</v>
      </c>
      <c r="I547" s="178">
        <v>36.75</v>
      </c>
    </row>
    <row r="548">
      <c r="A548" s="177" t="s">
        <v>2000</v>
      </c>
      <c r="B548" s="177" t="s">
        <v>2589</v>
      </c>
      <c r="C548" s="177" t="s">
        <v>269</v>
      </c>
      <c r="D548" s="177">
        <v>17.75</v>
      </c>
      <c r="E548" s="177">
        <v>22.25</v>
      </c>
      <c r="F548" s="177">
        <v>40.0</v>
      </c>
      <c r="G548" s="178">
        <v>92.3076923076923</v>
      </c>
      <c r="H548" s="177">
        <v>10.0</v>
      </c>
      <c r="I548" s="178">
        <v>50.0</v>
      </c>
    </row>
    <row r="549">
      <c r="A549" s="177" t="s">
        <v>2067</v>
      </c>
      <c r="B549" s="177" t="s">
        <v>2590</v>
      </c>
      <c r="C549" s="177" t="s">
        <v>270</v>
      </c>
      <c r="D549" s="177">
        <v>21.75</v>
      </c>
      <c r="E549" s="177">
        <v>28.5</v>
      </c>
      <c r="F549" s="177">
        <v>50.25</v>
      </c>
      <c r="G549" s="178">
        <v>92.3076923076923</v>
      </c>
      <c r="H549" s="177">
        <v>10.0</v>
      </c>
      <c r="I549" s="178">
        <v>60.25</v>
      </c>
    </row>
    <row r="550">
      <c r="A550" s="177" t="s">
        <v>2019</v>
      </c>
      <c r="B550" s="177" t="s">
        <v>2591</v>
      </c>
      <c r="C550" s="177" t="s">
        <v>271</v>
      </c>
      <c r="D550" s="177">
        <v>12.0</v>
      </c>
      <c r="E550" s="177">
        <v>10.25</v>
      </c>
      <c r="F550" s="177">
        <v>22.25</v>
      </c>
      <c r="G550" s="178">
        <v>80.76923076923077</v>
      </c>
      <c r="H550" s="177">
        <v>8.0</v>
      </c>
      <c r="I550" s="178">
        <v>30.25</v>
      </c>
    </row>
    <row r="551">
      <c r="A551" s="177" t="s">
        <v>2001</v>
      </c>
      <c r="B551" s="177" t="s">
        <v>2592</v>
      </c>
      <c r="C551" s="177" t="s">
        <v>272</v>
      </c>
      <c r="D551" s="177">
        <v>17.25</v>
      </c>
      <c r="E551" s="177">
        <v>24.75</v>
      </c>
      <c r="F551" s="177">
        <v>42.0</v>
      </c>
      <c r="G551" s="178">
        <v>84.61538461538461</v>
      </c>
      <c r="H551" s="177">
        <v>8.0</v>
      </c>
      <c r="I551" s="178">
        <v>50.0</v>
      </c>
    </row>
    <row r="552">
      <c r="A552" s="177" t="s">
        <v>1952</v>
      </c>
      <c r="B552" s="177" t="s">
        <v>2593</v>
      </c>
      <c r="C552" s="177" t="s">
        <v>273</v>
      </c>
      <c r="D552" s="177">
        <v>6.75</v>
      </c>
      <c r="E552" s="177">
        <v>13.0</v>
      </c>
      <c r="F552" s="177">
        <v>19.75</v>
      </c>
      <c r="G552" s="178">
        <v>100.0</v>
      </c>
      <c r="H552" s="177">
        <v>10.0</v>
      </c>
      <c r="I552" s="178">
        <v>29.75</v>
      </c>
    </row>
    <row r="553">
      <c r="A553" s="177" t="s">
        <v>1982</v>
      </c>
      <c r="B553" s="177" t="s">
        <v>2594</v>
      </c>
      <c r="C553" s="177" t="s">
        <v>274</v>
      </c>
      <c r="D553" s="177">
        <v>4.25</v>
      </c>
      <c r="E553" s="177">
        <v>0.0</v>
      </c>
      <c r="F553" s="177">
        <v>4.25</v>
      </c>
      <c r="G553" s="178">
        <v>53.84615384615385</v>
      </c>
      <c r="H553" s="177">
        <v>0.0</v>
      </c>
      <c r="I553" s="178">
        <v>4.25</v>
      </c>
    </row>
    <row r="554">
      <c r="A554" s="177" t="s">
        <v>1983</v>
      </c>
      <c r="B554" s="177" t="s">
        <v>2595</v>
      </c>
      <c r="C554" s="177" t="s">
        <v>275</v>
      </c>
      <c r="D554" s="177">
        <v>11.25</v>
      </c>
      <c r="E554" s="177">
        <v>15.25</v>
      </c>
      <c r="F554" s="177">
        <v>26.5</v>
      </c>
      <c r="G554" s="178">
        <v>96.15384615384616</v>
      </c>
      <c r="H554" s="177">
        <v>10.0</v>
      </c>
      <c r="I554" s="178">
        <v>36.5</v>
      </c>
    </row>
    <row r="555">
      <c r="A555" s="177" t="s">
        <v>1984</v>
      </c>
      <c r="B555" s="177" t="s">
        <v>2596</v>
      </c>
      <c r="C555" s="177" t="s">
        <v>276</v>
      </c>
      <c r="D555" s="177">
        <v>0.0</v>
      </c>
      <c r="E555" s="177">
        <v>0.0</v>
      </c>
      <c r="F555" s="177">
        <v>0.0</v>
      </c>
      <c r="G555" s="178">
        <v>34.61538461538461</v>
      </c>
      <c r="H555" s="177">
        <v>0.0</v>
      </c>
      <c r="I555" s="178">
        <v>0.0</v>
      </c>
    </row>
    <row r="556">
      <c r="A556" s="177" t="s">
        <v>1985</v>
      </c>
      <c r="B556" s="177" t="s">
        <v>2597</v>
      </c>
      <c r="C556" s="177" t="s">
        <v>277</v>
      </c>
      <c r="D556" s="177">
        <v>18.25</v>
      </c>
      <c r="E556" s="177">
        <v>0.0</v>
      </c>
      <c r="F556" s="177">
        <v>18.25</v>
      </c>
      <c r="G556" s="178">
        <v>19.23076923076923</v>
      </c>
      <c r="H556" s="177">
        <v>0.0</v>
      </c>
      <c r="I556" s="178">
        <v>18.25</v>
      </c>
    </row>
    <row r="557">
      <c r="A557" s="177" t="s">
        <v>2018</v>
      </c>
      <c r="B557" s="177" t="s">
        <v>2598</v>
      </c>
      <c r="C557" s="177" t="s">
        <v>278</v>
      </c>
      <c r="D557" s="177">
        <v>7.75</v>
      </c>
      <c r="E557" s="177">
        <v>12.0</v>
      </c>
      <c r="F557" s="177">
        <v>19.75</v>
      </c>
      <c r="G557" s="178">
        <v>96.15384615384616</v>
      </c>
      <c r="H557" s="177">
        <v>10.0</v>
      </c>
      <c r="I557" s="178">
        <v>29.75</v>
      </c>
    </row>
    <row r="558">
      <c r="A558" s="177" t="s">
        <v>1986</v>
      </c>
      <c r="B558" s="177" t="s">
        <v>2599</v>
      </c>
      <c r="C558" s="177" t="s">
        <v>279</v>
      </c>
      <c r="D558" s="177">
        <v>0.0</v>
      </c>
      <c r="E558" s="177">
        <v>0.0</v>
      </c>
      <c r="F558" s="177">
        <v>0.0</v>
      </c>
      <c r="G558" s="178">
        <v>19.23076923076923</v>
      </c>
      <c r="H558" s="177">
        <v>0.0</v>
      </c>
      <c r="I558" s="178">
        <v>0.0</v>
      </c>
    </row>
    <row r="559">
      <c r="A559" s="177" t="s">
        <v>1987</v>
      </c>
      <c r="B559" s="177" t="s">
        <v>2600</v>
      </c>
      <c r="C559" s="177" t="s">
        <v>280</v>
      </c>
      <c r="D559" s="177">
        <v>6.75</v>
      </c>
      <c r="E559" s="177">
        <v>22.5</v>
      </c>
      <c r="F559" s="177">
        <v>29.25</v>
      </c>
      <c r="G559" s="178">
        <v>92.3076923076923</v>
      </c>
      <c r="H559" s="177">
        <v>10.0</v>
      </c>
      <c r="I559" s="178">
        <v>39.25</v>
      </c>
    </row>
    <row r="560">
      <c r="A560" s="177" t="s">
        <v>2068</v>
      </c>
      <c r="B560" s="177" t="s">
        <v>2601</v>
      </c>
      <c r="C560" s="177" t="s">
        <v>281</v>
      </c>
      <c r="D560" s="177">
        <v>10.5</v>
      </c>
      <c r="E560" s="177">
        <v>9.0</v>
      </c>
      <c r="F560" s="177">
        <v>19.5</v>
      </c>
      <c r="G560" s="178">
        <v>92.3076923076923</v>
      </c>
      <c r="H560" s="177">
        <v>10.0</v>
      </c>
      <c r="I560" s="178">
        <v>29.5</v>
      </c>
    </row>
    <row r="561">
      <c r="A561" s="177" t="s">
        <v>2069</v>
      </c>
      <c r="B561" s="177" t="s">
        <v>2602</v>
      </c>
      <c r="C561" s="177" t="s">
        <v>282</v>
      </c>
      <c r="D561" s="177">
        <v>15.0</v>
      </c>
      <c r="E561" s="177">
        <v>5.0</v>
      </c>
      <c r="F561" s="177">
        <v>20.0</v>
      </c>
      <c r="G561" s="178">
        <v>88.46153846153847</v>
      </c>
      <c r="H561" s="177">
        <v>9.0</v>
      </c>
      <c r="I561" s="178">
        <v>29.0</v>
      </c>
    </row>
    <row r="562">
      <c r="A562" s="177" t="s">
        <v>1988</v>
      </c>
      <c r="B562" s="177" t="s">
        <v>2603</v>
      </c>
      <c r="C562" s="177" t="s">
        <v>283</v>
      </c>
      <c r="D562" s="177">
        <v>0.0</v>
      </c>
      <c r="E562" s="177">
        <v>0.0</v>
      </c>
      <c r="F562" s="177">
        <v>0.0</v>
      </c>
      <c r="G562" s="178">
        <v>3.8461538461538463</v>
      </c>
      <c r="H562" s="177">
        <v>0.0</v>
      </c>
      <c r="I562" s="178">
        <v>0.0</v>
      </c>
    </row>
    <row r="563">
      <c r="A563" s="177" t="s">
        <v>2015</v>
      </c>
      <c r="B563" s="177" t="s">
        <v>3159</v>
      </c>
      <c r="C563" s="177" t="s">
        <v>284</v>
      </c>
      <c r="D563" s="177">
        <v>0.0</v>
      </c>
      <c r="E563" s="177">
        <v>0.0</v>
      </c>
      <c r="F563" s="177">
        <v>0.0</v>
      </c>
      <c r="G563" s="177">
        <v>0.0</v>
      </c>
      <c r="H563" s="177">
        <v>0.0</v>
      </c>
      <c r="I563" s="178">
        <v>0.0</v>
      </c>
    </row>
    <row r="564">
      <c r="A564" s="177" t="s">
        <v>2013</v>
      </c>
      <c r="B564" s="177" t="s">
        <v>2604</v>
      </c>
      <c r="C564" s="177" t="s">
        <v>285</v>
      </c>
      <c r="D564" s="177">
        <v>5.0</v>
      </c>
      <c r="E564" s="177">
        <v>0.0</v>
      </c>
      <c r="F564" s="177">
        <v>5.0</v>
      </c>
      <c r="G564" s="178">
        <v>46.15384615384615</v>
      </c>
      <c r="H564" s="177">
        <v>0.0</v>
      </c>
      <c r="I564" s="178">
        <v>5.0</v>
      </c>
    </row>
    <row r="565">
      <c r="A565" s="177" t="s">
        <v>1989</v>
      </c>
      <c r="B565" s="177" t="s">
        <v>2606</v>
      </c>
      <c r="C565" s="177" t="s">
        <v>286</v>
      </c>
      <c r="D565" s="177">
        <v>10.0</v>
      </c>
      <c r="E565" s="177">
        <v>0.0</v>
      </c>
      <c r="F565" s="177">
        <v>10.0</v>
      </c>
      <c r="G565" s="178">
        <v>7.6923076923076925</v>
      </c>
      <c r="H565" s="177">
        <v>0.0</v>
      </c>
      <c r="I565" s="178">
        <v>10.0</v>
      </c>
    </row>
    <row r="566">
      <c r="A566" s="177" t="s">
        <v>2002</v>
      </c>
      <c r="B566" s="177" t="s">
        <v>2608</v>
      </c>
      <c r="C566" s="177" t="s">
        <v>287</v>
      </c>
      <c r="D566" s="177">
        <v>15.25</v>
      </c>
      <c r="E566" s="177">
        <v>0.0</v>
      </c>
      <c r="F566" s="177">
        <v>15.25</v>
      </c>
      <c r="G566" s="178">
        <v>23.076923076923077</v>
      </c>
      <c r="H566" s="177">
        <v>0.0</v>
      </c>
      <c r="I566" s="178">
        <v>15.25</v>
      </c>
    </row>
    <row r="567">
      <c r="A567" s="177" t="s">
        <v>1990</v>
      </c>
      <c r="B567" s="177" t="s">
        <v>2609</v>
      </c>
      <c r="C567" s="177" t="s">
        <v>288</v>
      </c>
      <c r="D567" s="177">
        <v>17.5</v>
      </c>
      <c r="E567" s="177">
        <v>0.0</v>
      </c>
      <c r="F567" s="177">
        <v>17.5</v>
      </c>
      <c r="G567" s="178">
        <v>20.689655172413794</v>
      </c>
      <c r="H567" s="177">
        <v>0.0</v>
      </c>
      <c r="I567" s="178">
        <v>17.5</v>
      </c>
    </row>
    <row r="568">
      <c r="A568" s="177" t="s">
        <v>1991</v>
      </c>
      <c r="B568" s="177" t="s">
        <v>3160</v>
      </c>
      <c r="C568" s="177" t="s">
        <v>289</v>
      </c>
      <c r="D568" s="177">
        <v>0.0</v>
      </c>
      <c r="E568" s="177">
        <v>0.0</v>
      </c>
      <c r="F568" s="177">
        <v>0.0</v>
      </c>
      <c r="G568" s="177">
        <v>0.0</v>
      </c>
      <c r="H568" s="177">
        <v>0.0</v>
      </c>
      <c r="I568" s="178">
        <v>0.0</v>
      </c>
    </row>
    <row r="569">
      <c r="A569" s="177" t="s">
        <v>1992</v>
      </c>
      <c r="B569" s="177" t="s">
        <v>2610</v>
      </c>
      <c r="C569" s="177" t="s">
        <v>290</v>
      </c>
      <c r="D569" s="177">
        <v>14.75</v>
      </c>
      <c r="E569" s="177">
        <v>0.0</v>
      </c>
      <c r="F569" s="177">
        <v>14.75</v>
      </c>
      <c r="G569" s="178">
        <v>46.15384615384615</v>
      </c>
      <c r="H569" s="177">
        <v>0.0</v>
      </c>
      <c r="I569" s="178">
        <v>14.75</v>
      </c>
    </row>
    <row r="570">
      <c r="A570" s="177" t="s">
        <v>2086</v>
      </c>
      <c r="B570" s="177" t="s">
        <v>3161</v>
      </c>
      <c r="C570" s="177" t="s">
        <v>291</v>
      </c>
      <c r="D570" s="177">
        <v>8.0</v>
      </c>
      <c r="E570" s="177">
        <v>8.0</v>
      </c>
      <c r="F570" s="177">
        <v>16.0</v>
      </c>
      <c r="G570" s="178">
        <v>86.20689655172414</v>
      </c>
      <c r="H570" s="177">
        <v>9.0</v>
      </c>
      <c r="I570" s="178">
        <v>25.0</v>
      </c>
    </row>
    <row r="571">
      <c r="A571" s="177" t="s">
        <v>1993</v>
      </c>
      <c r="B571" s="177" t="s">
        <v>2612</v>
      </c>
      <c r="C571" s="177" t="s">
        <v>292</v>
      </c>
      <c r="D571" s="177">
        <v>12.25</v>
      </c>
      <c r="E571" s="177">
        <v>12.75</v>
      </c>
      <c r="F571" s="177">
        <v>25.0</v>
      </c>
      <c r="G571" s="178">
        <v>75.86206896551724</v>
      </c>
      <c r="H571" s="177">
        <v>7.0</v>
      </c>
      <c r="I571" s="178">
        <v>32.0</v>
      </c>
    </row>
    <row r="572">
      <c r="A572" s="177" t="s">
        <v>1994</v>
      </c>
      <c r="B572" s="177" t="s">
        <v>2613</v>
      </c>
      <c r="C572" s="177" t="s">
        <v>293</v>
      </c>
      <c r="D572" s="177">
        <v>20.25</v>
      </c>
      <c r="E572" s="177">
        <v>11.75</v>
      </c>
      <c r="F572" s="177">
        <v>32.0</v>
      </c>
      <c r="G572" s="178">
        <v>82.75862068965517</v>
      </c>
      <c r="H572" s="177">
        <v>8.0</v>
      </c>
      <c r="I572" s="178">
        <v>40.0</v>
      </c>
    </row>
    <row r="573">
      <c r="A573" s="177" t="s">
        <v>1995</v>
      </c>
      <c r="B573" s="177" t="s">
        <v>2614</v>
      </c>
      <c r="C573" s="177" t="s">
        <v>294</v>
      </c>
      <c r="D573" s="177">
        <v>8.5</v>
      </c>
      <c r="E573" s="177">
        <v>0.0</v>
      </c>
      <c r="F573" s="177">
        <v>8.5</v>
      </c>
      <c r="G573" s="178">
        <v>31.03448275862069</v>
      </c>
      <c r="H573" s="177">
        <v>0.0</v>
      </c>
      <c r="I573" s="178">
        <v>8.5</v>
      </c>
    </row>
    <row r="574">
      <c r="A574" s="177" t="s">
        <v>2029</v>
      </c>
      <c r="B574" s="177" t="s">
        <v>2615</v>
      </c>
      <c r="C574" s="177" t="s">
        <v>295</v>
      </c>
      <c r="D574" s="177">
        <v>2.5</v>
      </c>
      <c r="E574" s="177">
        <v>0.0</v>
      </c>
      <c r="F574" s="177">
        <v>2.5</v>
      </c>
      <c r="G574" s="178">
        <v>55.172413793103445</v>
      </c>
      <c r="H574" s="177">
        <v>0.0</v>
      </c>
      <c r="I574" s="178">
        <v>2.5</v>
      </c>
    </row>
    <row r="575">
      <c r="A575" s="177" t="s">
        <v>2030</v>
      </c>
      <c r="B575" s="177" t="s">
        <v>2616</v>
      </c>
      <c r="C575" s="177" t="s">
        <v>296</v>
      </c>
      <c r="D575" s="177">
        <v>14.5</v>
      </c>
      <c r="E575" s="177">
        <v>13.25</v>
      </c>
      <c r="F575" s="177">
        <v>27.75</v>
      </c>
      <c r="G575" s="178">
        <v>65.51724137931035</v>
      </c>
      <c r="H575" s="177">
        <v>0.0</v>
      </c>
      <c r="I575" s="178">
        <v>27.75</v>
      </c>
    </row>
    <row r="576">
      <c r="A576" s="177" t="s">
        <v>1938</v>
      </c>
      <c r="B576" s="177" t="s">
        <v>2617</v>
      </c>
      <c r="C576" s="177" t="s">
        <v>297</v>
      </c>
      <c r="D576" s="177">
        <v>0.0</v>
      </c>
      <c r="E576" s="177">
        <v>0.0</v>
      </c>
      <c r="F576" s="177">
        <v>0.0</v>
      </c>
      <c r="G576" s="178">
        <v>19.23076923076923</v>
      </c>
      <c r="H576" s="177">
        <v>0.0</v>
      </c>
      <c r="I576" s="178">
        <v>0.0</v>
      </c>
    </row>
    <row r="577">
      <c r="A577" s="177" t="s">
        <v>2031</v>
      </c>
      <c r="B577" s="177" t="s">
        <v>2618</v>
      </c>
      <c r="C577" s="177" t="s">
        <v>298</v>
      </c>
      <c r="D577" s="177">
        <v>22.5</v>
      </c>
      <c r="E577" s="177">
        <v>0.0</v>
      </c>
      <c r="F577" s="177">
        <v>22.5</v>
      </c>
      <c r="G577" s="178">
        <v>55.172413793103445</v>
      </c>
      <c r="H577" s="177">
        <v>0.0</v>
      </c>
      <c r="I577" s="178">
        <v>22.5</v>
      </c>
    </row>
    <row r="578">
      <c r="A578" s="177" t="s">
        <v>2090</v>
      </c>
      <c r="B578" s="177" t="s">
        <v>2619</v>
      </c>
      <c r="C578" s="177" t="s">
        <v>299</v>
      </c>
      <c r="D578" s="177">
        <v>22.25</v>
      </c>
      <c r="E578" s="177">
        <v>32.75</v>
      </c>
      <c r="F578" s="177">
        <v>55.0</v>
      </c>
      <c r="G578" s="178">
        <v>86.20689655172414</v>
      </c>
      <c r="H578" s="177">
        <v>9.0</v>
      </c>
      <c r="I578" s="178">
        <v>64.0</v>
      </c>
    </row>
    <row r="579">
      <c r="A579" s="177" t="s">
        <v>2071</v>
      </c>
      <c r="B579" s="177" t="s">
        <v>2620</v>
      </c>
      <c r="C579" s="177" t="s">
        <v>300</v>
      </c>
      <c r="D579" s="177">
        <v>0.0</v>
      </c>
      <c r="E579" s="177">
        <v>0.0</v>
      </c>
      <c r="F579" s="177">
        <v>0.0</v>
      </c>
      <c r="G579" s="178">
        <v>13.793103448275861</v>
      </c>
      <c r="H579" s="177">
        <v>0.0</v>
      </c>
      <c r="I579" s="178">
        <v>0.0</v>
      </c>
    </row>
    <row r="580">
      <c r="A580" s="177" t="s">
        <v>2081</v>
      </c>
      <c r="B580" s="177" t="s">
        <v>2621</v>
      </c>
      <c r="C580" s="177" t="s">
        <v>301</v>
      </c>
      <c r="D580" s="177">
        <v>0.0</v>
      </c>
      <c r="E580" s="177">
        <v>0.0</v>
      </c>
      <c r="F580" s="177">
        <v>0.0</v>
      </c>
      <c r="G580" s="178">
        <v>17.24137931034483</v>
      </c>
      <c r="H580" s="177">
        <v>0.0</v>
      </c>
      <c r="I580" s="178">
        <v>0.0</v>
      </c>
    </row>
    <row r="581">
      <c r="A581" s="177" t="s">
        <v>2032</v>
      </c>
      <c r="B581" s="177" t="s">
        <v>2622</v>
      </c>
      <c r="C581" s="177" t="s">
        <v>302</v>
      </c>
      <c r="D581" s="177">
        <v>0.0</v>
      </c>
      <c r="E581" s="177">
        <v>0.0</v>
      </c>
      <c r="F581" s="177">
        <v>0.0</v>
      </c>
      <c r="G581" s="177">
        <v>0.0</v>
      </c>
      <c r="H581" s="177">
        <v>0.0</v>
      </c>
      <c r="I581" s="178">
        <v>0.0</v>
      </c>
    </row>
    <row r="582">
      <c r="A582" s="177" t="s">
        <v>2033</v>
      </c>
      <c r="B582" s="177" t="s">
        <v>2623</v>
      </c>
      <c r="C582" s="177" t="s">
        <v>303</v>
      </c>
      <c r="D582" s="177">
        <v>21.0</v>
      </c>
      <c r="E582" s="177">
        <v>21.5</v>
      </c>
      <c r="F582" s="177">
        <v>42.5</v>
      </c>
      <c r="G582" s="178">
        <v>86.20689655172414</v>
      </c>
      <c r="H582" s="177">
        <v>9.0</v>
      </c>
      <c r="I582" s="178">
        <v>51.5</v>
      </c>
    </row>
    <row r="583">
      <c r="A583" s="177" t="s">
        <v>2028</v>
      </c>
      <c r="B583" s="177" t="s">
        <v>2624</v>
      </c>
      <c r="C583" s="177" t="s">
        <v>304</v>
      </c>
      <c r="D583" s="177">
        <v>3.25</v>
      </c>
      <c r="E583" s="177">
        <v>0.0</v>
      </c>
      <c r="F583" s="177">
        <v>3.25</v>
      </c>
      <c r="G583" s="178">
        <v>53.84615384615385</v>
      </c>
      <c r="H583" s="177">
        <v>0.0</v>
      </c>
      <c r="I583" s="178">
        <v>3.25</v>
      </c>
    </row>
    <row r="584">
      <c r="A584" s="177" t="s">
        <v>2070</v>
      </c>
      <c r="B584" s="177" t="s">
        <v>2625</v>
      </c>
      <c r="C584" s="177" t="s">
        <v>305</v>
      </c>
      <c r="D584" s="177">
        <v>16.5</v>
      </c>
      <c r="E584" s="177">
        <v>10.25</v>
      </c>
      <c r="F584" s="177">
        <v>26.75</v>
      </c>
      <c r="G584" s="178">
        <v>89.65517241379311</v>
      </c>
      <c r="H584" s="177">
        <v>9.0</v>
      </c>
      <c r="I584" s="178">
        <v>35.75</v>
      </c>
    </row>
    <row r="585">
      <c r="A585" s="177" t="s">
        <v>2078</v>
      </c>
      <c r="B585" s="177" t="s">
        <v>2626</v>
      </c>
      <c r="C585" s="177" t="s">
        <v>306</v>
      </c>
      <c r="D585" s="177">
        <v>22.25</v>
      </c>
      <c r="E585" s="177">
        <v>31.75</v>
      </c>
      <c r="F585" s="177">
        <v>54.0</v>
      </c>
      <c r="G585" s="178">
        <v>93.10344827586206</v>
      </c>
      <c r="H585" s="177">
        <v>10.0</v>
      </c>
      <c r="I585" s="178">
        <v>64.0</v>
      </c>
    </row>
    <row r="586">
      <c r="A586" s="177" t="s">
        <v>2034</v>
      </c>
      <c r="B586" s="177" t="s">
        <v>2627</v>
      </c>
      <c r="C586" s="177" t="s">
        <v>307</v>
      </c>
      <c r="D586" s="177">
        <v>0.0</v>
      </c>
      <c r="E586" s="177">
        <v>0.0</v>
      </c>
      <c r="F586" s="177">
        <v>0.0</v>
      </c>
      <c r="G586" s="178">
        <v>0.0</v>
      </c>
      <c r="H586" s="177">
        <v>0.0</v>
      </c>
      <c r="I586" s="178">
        <v>0.0</v>
      </c>
    </row>
    <row r="587">
      <c r="A587" s="177" t="s">
        <v>2035</v>
      </c>
      <c r="B587" s="177" t="s">
        <v>2628</v>
      </c>
      <c r="C587" s="177" t="s">
        <v>308</v>
      </c>
      <c r="D587" s="177">
        <v>6.25</v>
      </c>
      <c r="E587" s="177">
        <v>0.0</v>
      </c>
      <c r="F587" s="177">
        <v>6.25</v>
      </c>
      <c r="G587" s="178">
        <v>55.172413793103445</v>
      </c>
      <c r="H587" s="177">
        <v>0.0</v>
      </c>
      <c r="I587" s="178">
        <v>6.25</v>
      </c>
    </row>
    <row r="588">
      <c r="A588" s="177" t="s">
        <v>2036</v>
      </c>
      <c r="B588" s="177" t="s">
        <v>2629</v>
      </c>
      <c r="C588" s="177" t="s">
        <v>309</v>
      </c>
      <c r="D588" s="177">
        <v>10.25</v>
      </c>
      <c r="E588" s="177">
        <v>30.75</v>
      </c>
      <c r="F588" s="177">
        <v>41.0</v>
      </c>
      <c r="G588" s="178">
        <v>72.0</v>
      </c>
      <c r="H588" s="177">
        <v>6.0</v>
      </c>
      <c r="I588" s="178">
        <v>47.0</v>
      </c>
    </row>
    <row r="589">
      <c r="A589" s="177" t="s">
        <v>2080</v>
      </c>
      <c r="B589" s="177" t="s">
        <v>2630</v>
      </c>
      <c r="C589" s="177" t="s">
        <v>310</v>
      </c>
      <c r="D589" s="177">
        <v>22.75</v>
      </c>
      <c r="E589" s="177">
        <v>31.25</v>
      </c>
      <c r="F589" s="177">
        <v>54.0</v>
      </c>
      <c r="G589" s="178">
        <v>82.75862068965517</v>
      </c>
      <c r="H589" s="177">
        <v>8.0</v>
      </c>
      <c r="I589" s="178">
        <v>62.0</v>
      </c>
    </row>
    <row r="590">
      <c r="A590" s="177" t="s">
        <v>1957</v>
      </c>
      <c r="B590" s="177" t="s">
        <v>2631</v>
      </c>
      <c r="C590" s="177" t="s">
        <v>311</v>
      </c>
      <c r="D590" s="177">
        <v>0.0</v>
      </c>
      <c r="E590" s="177">
        <v>0.0</v>
      </c>
      <c r="F590" s="177">
        <v>0.0</v>
      </c>
      <c r="G590" s="178">
        <v>31.03448275862069</v>
      </c>
      <c r="H590" s="177">
        <v>0.0</v>
      </c>
      <c r="I590" s="178">
        <v>0.0</v>
      </c>
    </row>
    <row r="591">
      <c r="A591" s="177" t="s">
        <v>2037</v>
      </c>
      <c r="B591" s="177" t="s">
        <v>2632</v>
      </c>
      <c r="C591" s="177" t="s">
        <v>312</v>
      </c>
      <c r="D591" s="177">
        <v>0.0</v>
      </c>
      <c r="E591" s="177">
        <v>0.0</v>
      </c>
      <c r="F591" s="177">
        <v>0.0</v>
      </c>
      <c r="G591" s="178">
        <v>0.0</v>
      </c>
      <c r="H591" s="177">
        <v>0.0</v>
      </c>
      <c r="I591" s="178">
        <v>0.0</v>
      </c>
    </row>
    <row r="592">
      <c r="A592" s="177" t="s">
        <v>2038</v>
      </c>
      <c r="B592" s="177" t="s">
        <v>2633</v>
      </c>
      <c r="C592" s="177" t="s">
        <v>313</v>
      </c>
      <c r="D592" s="177">
        <v>28.0</v>
      </c>
      <c r="E592" s="177" t="s">
        <v>2491</v>
      </c>
      <c r="F592" s="177" t="s">
        <v>2491</v>
      </c>
      <c r="G592" s="178">
        <v>62.06896551724138</v>
      </c>
      <c r="H592" s="177">
        <v>0.0</v>
      </c>
      <c r="I592" s="179">
        <v>0.0</v>
      </c>
    </row>
    <row r="593">
      <c r="A593" s="177" t="s">
        <v>2096</v>
      </c>
      <c r="B593" s="177" t="s">
        <v>2634</v>
      </c>
      <c r="C593" s="177" t="s">
        <v>314</v>
      </c>
      <c r="D593" s="177">
        <v>9.0</v>
      </c>
      <c r="E593" s="177" t="s">
        <v>2491</v>
      </c>
      <c r="F593" s="177" t="s">
        <v>2491</v>
      </c>
      <c r="G593" s="178">
        <v>82.75862068965517</v>
      </c>
      <c r="H593" s="177">
        <v>8.0</v>
      </c>
      <c r="I593" s="179">
        <v>0.0</v>
      </c>
    </row>
    <row r="594">
      <c r="A594" s="177" t="s">
        <v>2026</v>
      </c>
      <c r="B594" s="177" t="s">
        <v>2635</v>
      </c>
      <c r="C594" s="177" t="s">
        <v>315</v>
      </c>
      <c r="D594" s="177">
        <v>24.0</v>
      </c>
      <c r="E594" s="177">
        <v>19.75</v>
      </c>
      <c r="F594" s="177">
        <v>43.75</v>
      </c>
      <c r="G594" s="178">
        <v>88.46153846153847</v>
      </c>
      <c r="H594" s="177">
        <v>9.0</v>
      </c>
      <c r="I594" s="178">
        <v>52.75</v>
      </c>
    </row>
    <row r="595">
      <c r="A595" s="177" t="s">
        <v>2039</v>
      </c>
      <c r="B595" s="177" t="s">
        <v>2636</v>
      </c>
      <c r="C595" s="177" t="s">
        <v>316</v>
      </c>
      <c r="D595" s="177">
        <v>30.75</v>
      </c>
      <c r="E595" s="177">
        <v>19.75</v>
      </c>
      <c r="F595" s="177">
        <v>50.5</v>
      </c>
      <c r="G595" s="178">
        <v>82.75862068965517</v>
      </c>
      <c r="H595" s="177">
        <v>8.0</v>
      </c>
      <c r="I595" s="178">
        <v>58.5</v>
      </c>
    </row>
    <row r="596">
      <c r="A596" s="177" t="s">
        <v>2040</v>
      </c>
      <c r="B596" s="177" t="s">
        <v>2637</v>
      </c>
      <c r="C596" s="177" t="s">
        <v>317</v>
      </c>
      <c r="D596" s="177">
        <v>22.0</v>
      </c>
      <c r="E596" s="177">
        <v>19.5</v>
      </c>
      <c r="F596" s="177">
        <v>41.5</v>
      </c>
      <c r="G596" s="178">
        <v>93.10344827586206</v>
      </c>
      <c r="H596" s="177">
        <v>10.0</v>
      </c>
      <c r="I596" s="178">
        <v>51.5</v>
      </c>
    </row>
    <row r="597">
      <c r="A597" s="177" t="s">
        <v>2041</v>
      </c>
      <c r="B597" s="177" t="s">
        <v>2638</v>
      </c>
      <c r="C597" s="177" t="s">
        <v>318</v>
      </c>
      <c r="D597" s="177">
        <v>30.0</v>
      </c>
      <c r="E597" s="177">
        <v>20.5</v>
      </c>
      <c r="F597" s="177">
        <v>50.5</v>
      </c>
      <c r="G597" s="178">
        <v>93.10344827586206</v>
      </c>
      <c r="H597" s="177">
        <v>10.0</v>
      </c>
      <c r="I597" s="178">
        <v>60.5</v>
      </c>
    </row>
    <row r="598">
      <c r="A598" s="177" t="s">
        <v>2042</v>
      </c>
      <c r="B598" s="177" t="s">
        <v>2639</v>
      </c>
      <c r="C598" s="177" t="s">
        <v>319</v>
      </c>
      <c r="D598" s="177">
        <v>22.75</v>
      </c>
      <c r="E598" s="177">
        <v>23.0</v>
      </c>
      <c r="F598" s="177">
        <v>45.75</v>
      </c>
      <c r="G598" s="178">
        <v>72.0</v>
      </c>
      <c r="H598" s="177">
        <v>6.0</v>
      </c>
      <c r="I598" s="178">
        <v>51.75</v>
      </c>
    </row>
    <row r="599">
      <c r="A599" s="177" t="s">
        <v>2097</v>
      </c>
      <c r="B599" s="177" t="s">
        <v>2640</v>
      </c>
      <c r="C599" s="177" t="s">
        <v>320</v>
      </c>
      <c r="D599" s="177">
        <v>21.25</v>
      </c>
      <c r="E599" s="177">
        <v>0.0</v>
      </c>
      <c r="F599" s="177">
        <v>21.25</v>
      </c>
      <c r="G599" s="178">
        <v>93.10344827586206</v>
      </c>
      <c r="H599" s="177">
        <v>10.0</v>
      </c>
      <c r="I599" s="178">
        <v>31.25</v>
      </c>
    </row>
    <row r="600">
      <c r="A600" s="177" t="s">
        <v>2043</v>
      </c>
      <c r="B600" s="177" t="s">
        <v>2641</v>
      </c>
      <c r="C600" s="177" t="s">
        <v>321</v>
      </c>
      <c r="D600" s="177">
        <v>7.75</v>
      </c>
      <c r="E600" s="177">
        <v>12.0</v>
      </c>
      <c r="F600" s="177">
        <v>19.75</v>
      </c>
      <c r="G600" s="178">
        <v>89.65517241379311</v>
      </c>
      <c r="H600" s="177">
        <v>9.0</v>
      </c>
      <c r="I600" s="178">
        <v>28.75</v>
      </c>
    </row>
    <row r="601">
      <c r="A601" s="177" t="s">
        <v>2089</v>
      </c>
      <c r="B601" s="177" t="s">
        <v>2642</v>
      </c>
      <c r="C601" s="177" t="s">
        <v>322</v>
      </c>
      <c r="D601" s="177">
        <v>6.25</v>
      </c>
      <c r="E601" s="177">
        <v>33.0</v>
      </c>
      <c r="F601" s="177">
        <v>39.25</v>
      </c>
      <c r="G601" s="178">
        <v>68.96551724137932</v>
      </c>
      <c r="H601" s="177">
        <v>0.0</v>
      </c>
      <c r="I601" s="178">
        <v>39.25</v>
      </c>
    </row>
    <row r="602">
      <c r="A602" s="177" t="s">
        <v>2084</v>
      </c>
      <c r="B602" s="177" t="s">
        <v>2643</v>
      </c>
      <c r="C602" s="177" t="s">
        <v>323</v>
      </c>
      <c r="D602" s="177">
        <v>13.75</v>
      </c>
      <c r="E602" s="177">
        <v>28.75</v>
      </c>
      <c r="F602" s="177">
        <v>42.5</v>
      </c>
      <c r="G602" s="178">
        <v>68.96551724137932</v>
      </c>
      <c r="H602" s="177">
        <v>0.0</v>
      </c>
      <c r="I602" s="178">
        <v>42.5</v>
      </c>
    </row>
    <row r="603">
      <c r="A603" s="177" t="s">
        <v>2072</v>
      </c>
      <c r="B603" s="177" t="s">
        <v>2644</v>
      </c>
      <c r="C603" s="177" t="s">
        <v>324</v>
      </c>
      <c r="D603" s="177">
        <v>10.75</v>
      </c>
      <c r="E603" s="177">
        <v>33.25</v>
      </c>
      <c r="F603" s="177">
        <v>44.0</v>
      </c>
      <c r="G603" s="178">
        <v>72.41379310344827</v>
      </c>
      <c r="H603" s="177">
        <v>6.0</v>
      </c>
      <c r="I603" s="178">
        <v>50.0</v>
      </c>
    </row>
    <row r="604">
      <c r="A604" s="177" t="s">
        <v>2044</v>
      </c>
      <c r="B604" s="177" t="s">
        <v>2645</v>
      </c>
      <c r="C604" s="177" t="s">
        <v>325</v>
      </c>
      <c r="D604" s="177">
        <v>9.75</v>
      </c>
      <c r="E604" s="177">
        <v>33.25</v>
      </c>
      <c r="F604" s="177">
        <v>43.0</v>
      </c>
      <c r="G604" s="178">
        <v>79.3103448275862</v>
      </c>
      <c r="H604" s="177">
        <v>7.0</v>
      </c>
      <c r="I604" s="178">
        <v>50.0</v>
      </c>
    </row>
    <row r="605">
      <c r="A605" s="177" t="s">
        <v>2045</v>
      </c>
      <c r="B605" s="177" t="s">
        <v>2646</v>
      </c>
      <c r="C605" s="177" t="s">
        <v>326</v>
      </c>
      <c r="D605" s="177">
        <v>21.75</v>
      </c>
      <c r="E605" s="177">
        <v>28.0</v>
      </c>
      <c r="F605" s="177">
        <v>49.75</v>
      </c>
      <c r="G605" s="178">
        <v>93.10344827586206</v>
      </c>
      <c r="H605" s="177">
        <v>10.0</v>
      </c>
      <c r="I605" s="178">
        <v>59.75</v>
      </c>
    </row>
    <row r="606">
      <c r="A606" s="177" t="s">
        <v>2046</v>
      </c>
      <c r="B606" s="177" t="s">
        <v>2647</v>
      </c>
      <c r="C606" s="177" t="s">
        <v>327</v>
      </c>
      <c r="D606" s="177">
        <v>18.5</v>
      </c>
      <c r="E606" s="177">
        <v>13.0</v>
      </c>
      <c r="F606" s="177">
        <v>31.5</v>
      </c>
      <c r="G606" s="178">
        <v>62.06896551724138</v>
      </c>
      <c r="H606" s="177">
        <v>0.0</v>
      </c>
      <c r="I606" s="178">
        <v>31.5</v>
      </c>
    </row>
    <row r="607">
      <c r="A607" s="177" t="s">
        <v>2047</v>
      </c>
      <c r="B607" s="177" t="s">
        <v>2648</v>
      </c>
      <c r="C607" s="177" t="s">
        <v>328</v>
      </c>
      <c r="D607" s="177">
        <v>18.25</v>
      </c>
      <c r="E607" s="177">
        <v>17.25</v>
      </c>
      <c r="F607" s="177">
        <v>35.5</v>
      </c>
      <c r="G607" s="178">
        <v>65.51724137931035</v>
      </c>
      <c r="H607" s="177">
        <v>0.0</v>
      </c>
      <c r="I607" s="178">
        <v>35.5</v>
      </c>
    </row>
    <row r="608">
      <c r="A608" s="177" t="s">
        <v>2048</v>
      </c>
      <c r="B608" s="177" t="s">
        <v>2649</v>
      </c>
      <c r="C608" s="177" t="s">
        <v>329</v>
      </c>
      <c r="D608" s="177">
        <v>19.0</v>
      </c>
      <c r="E608" s="177">
        <v>25.0</v>
      </c>
      <c r="F608" s="177">
        <v>40.25</v>
      </c>
      <c r="G608" s="178">
        <v>72.41379310344827</v>
      </c>
      <c r="H608" s="177">
        <v>6.0</v>
      </c>
      <c r="I608" s="178">
        <v>50.0</v>
      </c>
    </row>
    <row r="609">
      <c r="A609" s="177" t="s">
        <v>2049</v>
      </c>
      <c r="B609" s="177" t="s">
        <v>2650</v>
      </c>
      <c r="C609" s="177" t="s">
        <v>330</v>
      </c>
      <c r="D609" s="177">
        <v>0.0</v>
      </c>
      <c r="E609" s="177">
        <v>0.0</v>
      </c>
      <c r="F609" s="177">
        <v>0.0</v>
      </c>
      <c r="G609" s="178">
        <v>65.51724137931035</v>
      </c>
      <c r="H609" s="177">
        <v>0.0</v>
      </c>
      <c r="I609" s="178">
        <v>0.0</v>
      </c>
    </row>
    <row r="610">
      <c r="A610" s="177" t="s">
        <v>2079</v>
      </c>
      <c r="B610" s="177" t="s">
        <v>2651</v>
      </c>
      <c r="C610" s="177" t="s">
        <v>331</v>
      </c>
      <c r="D610" s="177">
        <v>0.0</v>
      </c>
      <c r="E610" s="177">
        <v>0.0</v>
      </c>
      <c r="F610" s="177">
        <v>0.0</v>
      </c>
      <c r="G610" s="178">
        <v>0.0</v>
      </c>
      <c r="H610" s="177">
        <v>0.0</v>
      </c>
      <c r="I610" s="178">
        <v>0.0</v>
      </c>
    </row>
    <row r="611">
      <c r="A611" s="177" t="s">
        <v>2050</v>
      </c>
      <c r="B611" s="177" t="s">
        <v>2652</v>
      </c>
      <c r="C611" s="177" t="s">
        <v>332</v>
      </c>
      <c r="D611" s="177">
        <v>0.0</v>
      </c>
      <c r="E611" s="177">
        <v>0.0</v>
      </c>
      <c r="F611" s="177">
        <v>0.0</v>
      </c>
      <c r="G611" s="178">
        <v>0.0</v>
      </c>
      <c r="H611" s="177">
        <v>0.0</v>
      </c>
      <c r="I611" s="178">
        <v>0.0</v>
      </c>
    </row>
    <row r="612">
      <c r="A612" s="177" t="s">
        <v>2004</v>
      </c>
      <c r="B612" s="177" t="s">
        <v>2653</v>
      </c>
      <c r="C612" s="177" t="s">
        <v>333</v>
      </c>
      <c r="D612" s="177">
        <v>0.0</v>
      </c>
      <c r="E612" s="177">
        <v>0.0</v>
      </c>
      <c r="F612" s="177">
        <v>0.0</v>
      </c>
      <c r="G612" s="178">
        <v>0.0</v>
      </c>
      <c r="H612" s="177">
        <v>0.0</v>
      </c>
      <c r="I612" s="178">
        <v>0.0</v>
      </c>
    </row>
    <row r="613">
      <c r="A613" s="177" t="s">
        <v>2051</v>
      </c>
      <c r="B613" s="177" t="s">
        <v>2654</v>
      </c>
      <c r="C613" s="177" t="s">
        <v>334</v>
      </c>
      <c r="D613" s="177">
        <v>16.5</v>
      </c>
      <c r="E613" s="177">
        <v>23.0</v>
      </c>
      <c r="F613" s="177">
        <v>39.5</v>
      </c>
      <c r="G613" s="178">
        <v>65.51724137931035</v>
      </c>
      <c r="H613" s="177">
        <v>0.0</v>
      </c>
      <c r="I613" s="178">
        <v>39.5</v>
      </c>
    </row>
    <row r="614">
      <c r="A614" s="177" t="s">
        <v>2052</v>
      </c>
      <c r="B614" s="177" t="s">
        <v>2655</v>
      </c>
      <c r="C614" s="177" t="s">
        <v>335</v>
      </c>
      <c r="D614" s="177">
        <v>20.75</v>
      </c>
      <c r="E614" s="177">
        <v>28.0</v>
      </c>
      <c r="F614" s="177">
        <v>48.75</v>
      </c>
      <c r="G614" s="178">
        <v>82.75862068965517</v>
      </c>
      <c r="H614" s="177">
        <v>8.0</v>
      </c>
      <c r="I614" s="178">
        <v>56.75</v>
      </c>
    </row>
    <row r="615">
      <c r="A615" s="177" t="s">
        <v>2053</v>
      </c>
      <c r="B615" s="177" t="s">
        <v>2656</v>
      </c>
      <c r="C615" s="177" t="s">
        <v>336</v>
      </c>
      <c r="D615" s="177">
        <v>0.0</v>
      </c>
      <c r="E615" s="177">
        <v>0.0</v>
      </c>
      <c r="F615" s="177">
        <v>0.0</v>
      </c>
      <c r="G615" s="178">
        <v>37.93103448275862</v>
      </c>
      <c r="H615" s="177">
        <v>0.0</v>
      </c>
      <c r="I615" s="178">
        <v>0.0</v>
      </c>
    </row>
    <row r="616">
      <c r="A616" s="177" t="s">
        <v>1974</v>
      </c>
      <c r="B616" s="177" t="s">
        <v>2657</v>
      </c>
      <c r="C616" s="177" t="s">
        <v>337</v>
      </c>
      <c r="D616" s="177">
        <v>15.0</v>
      </c>
      <c r="E616" s="177">
        <v>26.0</v>
      </c>
      <c r="F616" s="177">
        <v>41.0</v>
      </c>
      <c r="G616" s="178">
        <v>89.65517241379311</v>
      </c>
      <c r="H616" s="177">
        <v>9.0</v>
      </c>
      <c r="I616" s="178">
        <v>50.0</v>
      </c>
    </row>
    <row r="617">
      <c r="A617" s="177" t="s">
        <v>2054</v>
      </c>
      <c r="B617" s="177" t="s">
        <v>3162</v>
      </c>
      <c r="C617" s="177" t="s">
        <v>338</v>
      </c>
      <c r="D617" s="177">
        <v>25.75</v>
      </c>
      <c r="E617" s="177">
        <v>25.5</v>
      </c>
      <c r="F617" s="177">
        <v>51.25</v>
      </c>
      <c r="G617" s="178">
        <v>86.20689655172414</v>
      </c>
      <c r="H617" s="177">
        <v>9.0</v>
      </c>
      <c r="I617" s="178">
        <v>60.25</v>
      </c>
    </row>
    <row r="618">
      <c r="A618" s="177" t="s">
        <v>2055</v>
      </c>
      <c r="B618" s="177" t="s">
        <v>2659</v>
      </c>
      <c r="C618" s="177" t="s">
        <v>339</v>
      </c>
      <c r="D618" s="177">
        <v>0.0</v>
      </c>
      <c r="E618" s="177">
        <v>0.0</v>
      </c>
      <c r="F618" s="177">
        <v>0.0</v>
      </c>
      <c r="G618" s="178">
        <v>0.0</v>
      </c>
      <c r="H618" s="177">
        <v>0.0</v>
      </c>
      <c r="I618" s="178">
        <v>0.0</v>
      </c>
    </row>
    <row r="619">
      <c r="A619" s="177" t="s">
        <v>2098</v>
      </c>
      <c r="B619" s="177" t="s">
        <v>2660</v>
      </c>
      <c r="C619" s="177" t="s">
        <v>340</v>
      </c>
      <c r="D619" s="177">
        <v>15.25</v>
      </c>
      <c r="E619" s="177">
        <v>26.0</v>
      </c>
      <c r="F619" s="177">
        <v>41.25</v>
      </c>
      <c r="G619" s="178">
        <v>89.65517241379311</v>
      </c>
      <c r="H619" s="177">
        <v>9.0</v>
      </c>
      <c r="I619" s="178">
        <v>50.25</v>
      </c>
    </row>
    <row r="620">
      <c r="A620" s="177" t="s">
        <v>2087</v>
      </c>
      <c r="B620" s="177" t="s">
        <v>2661</v>
      </c>
      <c r="C620" s="177" t="s">
        <v>341</v>
      </c>
      <c r="D620" s="177">
        <v>0.0</v>
      </c>
      <c r="E620" s="177">
        <v>0.0</v>
      </c>
      <c r="F620" s="177">
        <v>0.0</v>
      </c>
      <c r="G620" s="178">
        <v>0.0</v>
      </c>
      <c r="H620" s="177">
        <v>0.0</v>
      </c>
      <c r="I620" s="178">
        <v>0.0</v>
      </c>
    </row>
    <row r="621">
      <c r="A621" s="177" t="s">
        <v>2056</v>
      </c>
      <c r="B621" s="177" t="s">
        <v>2662</v>
      </c>
      <c r="C621" s="177" t="s">
        <v>342</v>
      </c>
      <c r="D621" s="177">
        <v>0.0</v>
      </c>
      <c r="E621" s="177">
        <v>0.0</v>
      </c>
      <c r="F621" s="177">
        <v>0.0</v>
      </c>
      <c r="G621" s="178">
        <v>0.0</v>
      </c>
      <c r="H621" s="177">
        <v>0.0</v>
      </c>
      <c r="I621" s="178">
        <v>0.0</v>
      </c>
    </row>
    <row r="622">
      <c r="A622" s="177" t="s">
        <v>2057</v>
      </c>
      <c r="B622" s="177" t="s">
        <v>2663</v>
      </c>
      <c r="C622" s="177" t="s">
        <v>343</v>
      </c>
      <c r="D622" s="177">
        <v>14.75</v>
      </c>
      <c r="E622" s="177">
        <v>21.75</v>
      </c>
      <c r="F622" s="177">
        <v>36.5</v>
      </c>
      <c r="G622" s="178">
        <v>82.75862068965517</v>
      </c>
      <c r="H622" s="177">
        <v>8.0</v>
      </c>
      <c r="I622" s="178">
        <v>44.5</v>
      </c>
    </row>
    <row r="623">
      <c r="A623" s="177" t="s">
        <v>2093</v>
      </c>
      <c r="B623" s="177" t="s">
        <v>2664</v>
      </c>
      <c r="C623" s="177" t="s">
        <v>344</v>
      </c>
      <c r="D623" s="177">
        <v>23.75</v>
      </c>
      <c r="E623" s="177">
        <v>24.75</v>
      </c>
      <c r="F623" s="177">
        <v>48.5</v>
      </c>
      <c r="G623" s="178">
        <v>72.41379310344827</v>
      </c>
      <c r="H623" s="177">
        <v>6.0</v>
      </c>
      <c r="I623" s="178">
        <v>54.5</v>
      </c>
    </row>
    <row r="624">
      <c r="A624" s="177" t="s">
        <v>2076</v>
      </c>
      <c r="B624" s="177" t="s">
        <v>3163</v>
      </c>
      <c r="C624" s="177" t="s">
        <v>345</v>
      </c>
      <c r="D624" s="177">
        <v>17.0</v>
      </c>
      <c r="E624" s="177">
        <v>14.75</v>
      </c>
      <c r="F624" s="177">
        <v>31.75</v>
      </c>
      <c r="G624" s="178">
        <v>93.10344827586206</v>
      </c>
      <c r="H624" s="177">
        <v>10.0</v>
      </c>
      <c r="I624" s="178">
        <v>41.75</v>
      </c>
    </row>
    <row r="625">
      <c r="A625" s="177" t="s">
        <v>2058</v>
      </c>
      <c r="B625" s="177" t="s">
        <v>2666</v>
      </c>
      <c r="C625" s="177" t="s">
        <v>346</v>
      </c>
      <c r="D625" s="177">
        <v>18.25</v>
      </c>
      <c r="E625" s="177">
        <v>0.0</v>
      </c>
      <c r="F625" s="177">
        <v>18.25</v>
      </c>
      <c r="G625" s="178">
        <v>68.96551724137932</v>
      </c>
      <c r="H625" s="177">
        <v>0.0</v>
      </c>
      <c r="I625" s="178">
        <v>18.25</v>
      </c>
    </row>
    <row r="626">
      <c r="A626" s="177" t="s">
        <v>2099</v>
      </c>
      <c r="B626" s="177" t="s">
        <v>2668</v>
      </c>
      <c r="C626" s="177" t="s">
        <v>347</v>
      </c>
      <c r="D626" s="177">
        <v>14.0</v>
      </c>
      <c r="E626" s="177">
        <v>29.0</v>
      </c>
      <c r="F626" s="177">
        <v>43.0</v>
      </c>
      <c r="G626" s="178">
        <v>89.65517241379311</v>
      </c>
      <c r="H626" s="177">
        <v>9.0</v>
      </c>
      <c r="I626" s="178">
        <v>52.0</v>
      </c>
    </row>
    <row r="627">
      <c r="A627" s="177" t="s">
        <v>2059</v>
      </c>
      <c r="B627" s="177" t="s">
        <v>2669</v>
      </c>
      <c r="C627" s="177" t="s">
        <v>348</v>
      </c>
      <c r="D627" s="177">
        <v>19.5</v>
      </c>
      <c r="E627" s="177">
        <v>12.0</v>
      </c>
      <c r="F627" s="177">
        <v>31.5</v>
      </c>
      <c r="G627" s="178">
        <v>68.96551724137932</v>
      </c>
      <c r="H627" s="177">
        <v>0.0</v>
      </c>
      <c r="I627" s="178">
        <v>31.5</v>
      </c>
    </row>
    <row r="628">
      <c r="A628" s="177" t="s">
        <v>2077</v>
      </c>
      <c r="B628" s="177" t="s">
        <v>2670</v>
      </c>
      <c r="C628" s="177" t="s">
        <v>349</v>
      </c>
      <c r="D628" s="177">
        <v>0.0</v>
      </c>
      <c r="E628" s="177">
        <v>0.0</v>
      </c>
      <c r="F628" s="177">
        <v>0.0</v>
      </c>
      <c r="G628" s="178">
        <v>0.0</v>
      </c>
      <c r="H628" s="177">
        <v>0.0</v>
      </c>
      <c r="I628" s="178">
        <v>0.0</v>
      </c>
    </row>
    <row r="629">
      <c r="A629" s="177" t="s">
        <v>2073</v>
      </c>
      <c r="B629" s="177" t="s">
        <v>2671</v>
      </c>
      <c r="C629" s="177" t="s">
        <v>350</v>
      </c>
      <c r="D629" s="177">
        <v>15.0</v>
      </c>
      <c r="E629" s="177">
        <v>26.0</v>
      </c>
      <c r="F629" s="177">
        <v>41.0</v>
      </c>
      <c r="G629" s="178">
        <v>89.65517241379311</v>
      </c>
      <c r="H629" s="177">
        <v>9.0</v>
      </c>
      <c r="I629" s="178">
        <v>50.0</v>
      </c>
    </row>
    <row r="630">
      <c r="A630" s="177" t="s">
        <v>2060</v>
      </c>
      <c r="B630" s="177" t="s">
        <v>2672</v>
      </c>
      <c r="C630" s="177" t="s">
        <v>351</v>
      </c>
      <c r="D630" s="177">
        <v>0.0</v>
      </c>
      <c r="E630" s="177">
        <v>0.0</v>
      </c>
      <c r="F630" s="177">
        <v>0.0</v>
      </c>
      <c r="G630" s="178">
        <v>0.0</v>
      </c>
      <c r="H630" s="177">
        <v>0.0</v>
      </c>
      <c r="I630" s="178">
        <v>0.0</v>
      </c>
    </row>
    <row r="631">
      <c r="A631" s="177" t="s">
        <v>2074</v>
      </c>
      <c r="B631" s="177" t="s">
        <v>2673</v>
      </c>
      <c r="C631" s="177" t="s">
        <v>352</v>
      </c>
      <c r="D631" s="177">
        <v>0.0</v>
      </c>
      <c r="E631" s="177">
        <v>0.0</v>
      </c>
      <c r="F631" s="177">
        <v>0.0</v>
      </c>
      <c r="G631" s="178">
        <v>10.344827586206897</v>
      </c>
      <c r="H631" s="177">
        <v>0.0</v>
      </c>
      <c r="I631" s="178">
        <v>0.0</v>
      </c>
    </row>
    <row r="632">
      <c r="A632" s="177" t="s">
        <v>2061</v>
      </c>
      <c r="B632" s="177" t="s">
        <v>2674</v>
      </c>
      <c r="C632" s="177" t="s">
        <v>353</v>
      </c>
      <c r="D632" s="177">
        <v>0.0</v>
      </c>
      <c r="E632" s="177">
        <v>0.0</v>
      </c>
      <c r="F632" s="177">
        <v>0.0</v>
      </c>
      <c r="G632" s="178">
        <v>24.137931034482758</v>
      </c>
      <c r="H632" s="177">
        <v>0.0</v>
      </c>
      <c r="I632" s="178">
        <v>0.0</v>
      </c>
    </row>
    <row r="633">
      <c r="A633" s="177" t="s">
        <v>1981</v>
      </c>
      <c r="B633" s="177" t="s">
        <v>2675</v>
      </c>
      <c r="C633" s="177" t="s">
        <v>354</v>
      </c>
      <c r="D633" s="177">
        <v>0.0</v>
      </c>
      <c r="E633" s="177">
        <v>0.0</v>
      </c>
      <c r="F633" s="177">
        <v>0.0</v>
      </c>
      <c r="G633" s="178">
        <v>3.4482758620689653</v>
      </c>
      <c r="H633" s="177">
        <v>0.0</v>
      </c>
      <c r="I633" s="178">
        <v>0.0</v>
      </c>
    </row>
    <row r="634">
      <c r="A634" s="177" t="s">
        <v>2075</v>
      </c>
      <c r="B634" s="177" t="s">
        <v>2676</v>
      </c>
      <c r="C634" s="177" t="s">
        <v>355</v>
      </c>
      <c r="D634" s="177">
        <v>14.0</v>
      </c>
      <c r="E634" s="177">
        <v>13.0</v>
      </c>
      <c r="F634" s="177">
        <v>27.0</v>
      </c>
      <c r="G634" s="178">
        <v>82.75862068965517</v>
      </c>
      <c r="H634" s="177">
        <v>8.0</v>
      </c>
      <c r="I634" s="178">
        <v>35.0</v>
      </c>
    </row>
    <row r="635">
      <c r="A635" s="177" t="s">
        <v>2062</v>
      </c>
      <c r="B635" s="177" t="s">
        <v>2677</v>
      </c>
      <c r="C635" s="177" t="s">
        <v>356</v>
      </c>
      <c r="D635" s="177">
        <v>0.0</v>
      </c>
      <c r="E635" s="177">
        <v>0.0</v>
      </c>
      <c r="F635" s="177">
        <v>0.0</v>
      </c>
      <c r="G635" s="178">
        <v>0.0</v>
      </c>
      <c r="H635" s="177">
        <v>0.0</v>
      </c>
      <c r="I635" s="178">
        <v>0.0</v>
      </c>
    </row>
    <row r="636">
      <c r="A636" s="177" t="s">
        <v>2095</v>
      </c>
      <c r="B636" s="177" t="s">
        <v>2678</v>
      </c>
      <c r="C636" s="177" t="s">
        <v>357</v>
      </c>
      <c r="D636" s="177">
        <v>24.75</v>
      </c>
      <c r="E636" s="177">
        <v>24.75</v>
      </c>
      <c r="F636" s="177">
        <v>49.5</v>
      </c>
      <c r="G636" s="178">
        <v>96.55172413793103</v>
      </c>
      <c r="H636" s="177">
        <v>10.0</v>
      </c>
      <c r="I636" s="178">
        <v>59.5</v>
      </c>
    </row>
    <row r="637">
      <c r="A637" s="177" t="s">
        <v>2023</v>
      </c>
      <c r="B637" s="177" t="s">
        <v>2679</v>
      </c>
      <c r="C637" s="177" t="s">
        <v>358</v>
      </c>
      <c r="D637" s="177">
        <v>9.75</v>
      </c>
      <c r="E637" s="177">
        <v>14.5</v>
      </c>
      <c r="F637" s="177">
        <v>24.25</v>
      </c>
      <c r="G637" s="178">
        <v>88.46153846153847</v>
      </c>
      <c r="H637" s="177">
        <v>9.0</v>
      </c>
      <c r="I637" s="178">
        <v>33.25</v>
      </c>
    </row>
    <row r="638">
      <c r="A638" s="177" t="s">
        <v>2063</v>
      </c>
      <c r="B638" s="177" t="s">
        <v>2680</v>
      </c>
      <c r="C638" s="177" t="s">
        <v>359</v>
      </c>
      <c r="D638" s="177">
        <v>27.25</v>
      </c>
      <c r="E638" s="177">
        <v>31.0</v>
      </c>
      <c r="F638" s="177">
        <v>58.25</v>
      </c>
      <c r="G638" s="178">
        <v>89.65517241379311</v>
      </c>
      <c r="H638" s="177">
        <v>9.0</v>
      </c>
      <c r="I638" s="178">
        <v>67.25</v>
      </c>
    </row>
    <row r="639">
      <c r="A639" s="177" t="s">
        <v>2163</v>
      </c>
      <c r="B639" s="177" t="s">
        <v>3164</v>
      </c>
      <c r="C639" s="177" t="s">
        <v>381</v>
      </c>
      <c r="D639" s="177">
        <v>23.0</v>
      </c>
      <c r="E639" s="177">
        <v>23.5</v>
      </c>
      <c r="F639" s="177">
        <v>46.5</v>
      </c>
      <c r="G639" s="178">
        <v>92.85714285714286</v>
      </c>
      <c r="H639" s="177">
        <v>10.0</v>
      </c>
      <c r="I639" s="178">
        <v>56.5</v>
      </c>
    </row>
    <row r="640">
      <c r="A640" s="177" t="s">
        <v>2164</v>
      </c>
      <c r="B640" s="177" t="s">
        <v>3165</v>
      </c>
      <c r="C640" s="177" t="s">
        <v>382</v>
      </c>
      <c r="D640" s="177">
        <v>20.0</v>
      </c>
      <c r="E640" s="177">
        <v>11.5</v>
      </c>
      <c r="F640" s="177">
        <v>31.5</v>
      </c>
      <c r="G640" s="178">
        <v>85.71428571428571</v>
      </c>
      <c r="H640" s="177">
        <v>9.0</v>
      </c>
      <c r="I640" s="178">
        <v>40.5</v>
      </c>
    </row>
    <row r="641">
      <c r="A641" s="177" t="s">
        <v>2203</v>
      </c>
      <c r="B641" s="177" t="s">
        <v>3166</v>
      </c>
      <c r="C641" s="177" t="s">
        <v>383</v>
      </c>
      <c r="D641" s="177">
        <v>0.0</v>
      </c>
      <c r="E641" s="177">
        <v>0.0</v>
      </c>
      <c r="F641" s="177">
        <v>0.0</v>
      </c>
      <c r="G641" s="178">
        <v>25.0</v>
      </c>
      <c r="H641" s="177">
        <v>0.0</v>
      </c>
      <c r="I641" s="178">
        <v>0.0</v>
      </c>
    </row>
    <row r="642">
      <c r="A642" s="177" t="s">
        <v>2200</v>
      </c>
      <c r="B642" s="177" t="s">
        <v>3167</v>
      </c>
      <c r="C642" s="177" t="s">
        <v>384</v>
      </c>
      <c r="D642" s="177">
        <v>0.0</v>
      </c>
      <c r="E642" s="177">
        <v>0.0</v>
      </c>
      <c r="F642" s="177">
        <v>0.0</v>
      </c>
      <c r="G642" s="178">
        <v>17.857142857142858</v>
      </c>
      <c r="H642" s="177">
        <v>0.0</v>
      </c>
      <c r="I642" s="178">
        <v>0.0</v>
      </c>
    </row>
    <row r="643">
      <c r="A643" s="177" t="s">
        <v>2396</v>
      </c>
      <c r="B643" s="177" t="s">
        <v>3168</v>
      </c>
      <c r="C643" s="177" t="s">
        <v>385</v>
      </c>
      <c r="D643" s="177">
        <v>12.25</v>
      </c>
      <c r="E643" s="177">
        <v>0.0</v>
      </c>
      <c r="F643" s="177">
        <v>12.25</v>
      </c>
      <c r="G643" s="178">
        <v>25.0</v>
      </c>
      <c r="H643" s="177">
        <v>0.0</v>
      </c>
      <c r="I643" s="178">
        <v>12.25</v>
      </c>
    </row>
    <row r="644">
      <c r="A644" s="177" t="s">
        <v>2165</v>
      </c>
      <c r="B644" s="177" t="s">
        <v>3169</v>
      </c>
      <c r="C644" s="177" t="s">
        <v>386</v>
      </c>
      <c r="D644" s="177">
        <v>14.75</v>
      </c>
      <c r="E644" s="177">
        <v>0.0</v>
      </c>
      <c r="F644" s="177">
        <v>14.75</v>
      </c>
      <c r="G644" s="178">
        <v>21.428571428571427</v>
      </c>
      <c r="H644" s="177">
        <v>0.0</v>
      </c>
      <c r="I644" s="178">
        <v>14.75</v>
      </c>
    </row>
    <row r="645">
      <c r="A645" s="177" t="s">
        <v>2166</v>
      </c>
      <c r="B645" s="177" t="s">
        <v>3170</v>
      </c>
      <c r="C645" s="177" t="s">
        <v>387</v>
      </c>
      <c r="D645" s="177">
        <v>-1.25</v>
      </c>
      <c r="E645" s="177">
        <v>0.0</v>
      </c>
      <c r="F645" s="177">
        <v>-1.25</v>
      </c>
      <c r="G645" s="178">
        <v>46.42857142857143</v>
      </c>
      <c r="H645" s="177">
        <v>0.0</v>
      </c>
      <c r="I645" s="178">
        <v>-1.25</v>
      </c>
    </row>
    <row r="646">
      <c r="A646" s="177" t="s">
        <v>2167</v>
      </c>
      <c r="B646" s="177" t="s">
        <v>3171</v>
      </c>
      <c r="C646" s="177" t="s">
        <v>388</v>
      </c>
      <c r="D646" s="177">
        <v>0.0</v>
      </c>
      <c r="E646" s="177">
        <v>0.0</v>
      </c>
      <c r="F646" s="177">
        <v>0.0</v>
      </c>
      <c r="G646" s="177">
        <v>0.0</v>
      </c>
      <c r="H646" s="177">
        <v>0.0</v>
      </c>
      <c r="I646" s="178">
        <v>0.0</v>
      </c>
    </row>
    <row r="647">
      <c r="A647" s="177" t="s">
        <v>2168</v>
      </c>
      <c r="B647" s="177" t="s">
        <v>3172</v>
      </c>
      <c r="C647" s="177" t="s">
        <v>389</v>
      </c>
      <c r="D647" s="177">
        <v>6.25</v>
      </c>
      <c r="E647" s="177">
        <v>0.0</v>
      </c>
      <c r="F647" s="177">
        <v>6.25</v>
      </c>
      <c r="G647" s="178">
        <v>53.57142857142857</v>
      </c>
      <c r="H647" s="177">
        <v>0.0</v>
      </c>
      <c r="I647" s="178">
        <v>6.25</v>
      </c>
    </row>
    <row r="648">
      <c r="A648" s="177" t="s">
        <v>2220</v>
      </c>
      <c r="B648" s="177" t="s">
        <v>3173</v>
      </c>
      <c r="C648" s="177" t="s">
        <v>390</v>
      </c>
      <c r="D648" s="177">
        <v>7.75</v>
      </c>
      <c r="E648" s="177">
        <v>9.25</v>
      </c>
      <c r="F648" s="177">
        <v>17.0</v>
      </c>
      <c r="G648" s="178">
        <v>82.14285714285714</v>
      </c>
      <c r="H648" s="177">
        <v>8.0</v>
      </c>
      <c r="I648" s="178">
        <v>25.0</v>
      </c>
    </row>
    <row r="649">
      <c r="A649" s="177" t="s">
        <v>2169</v>
      </c>
      <c r="B649" s="177" t="s">
        <v>3174</v>
      </c>
      <c r="C649" s="177" t="s">
        <v>391</v>
      </c>
      <c r="D649" s="177">
        <v>9.75</v>
      </c>
      <c r="E649" s="177">
        <v>17.0</v>
      </c>
      <c r="F649" s="177">
        <v>26.75</v>
      </c>
      <c r="G649" s="178">
        <v>96.42857142857143</v>
      </c>
      <c r="H649" s="177">
        <v>10.0</v>
      </c>
      <c r="I649" s="178">
        <v>36.75</v>
      </c>
    </row>
    <row r="650">
      <c r="A650" s="177" t="s">
        <v>2209</v>
      </c>
      <c r="B650" s="177" t="s">
        <v>3175</v>
      </c>
      <c r="C650" s="177" t="s">
        <v>392</v>
      </c>
      <c r="D650" s="177">
        <v>5.75</v>
      </c>
      <c r="E650" s="177">
        <v>0.0</v>
      </c>
      <c r="F650" s="177">
        <v>5.75</v>
      </c>
      <c r="G650" s="178">
        <v>39.285714285714285</v>
      </c>
      <c r="H650" s="177">
        <v>0.0</v>
      </c>
      <c r="I650" s="178">
        <v>5.75</v>
      </c>
    </row>
    <row r="651">
      <c r="A651" s="177" t="s">
        <v>2170</v>
      </c>
      <c r="B651" s="177" t="s">
        <v>3176</v>
      </c>
      <c r="C651" s="177" t="s">
        <v>393</v>
      </c>
      <c r="D651" s="177">
        <v>19.5</v>
      </c>
      <c r="E651" s="177">
        <v>20.5</v>
      </c>
      <c r="F651" s="177">
        <v>40.0</v>
      </c>
      <c r="G651" s="178">
        <v>92.85714285714286</v>
      </c>
      <c r="H651" s="177">
        <v>10.0</v>
      </c>
      <c r="I651" s="178">
        <v>50.0</v>
      </c>
    </row>
    <row r="652">
      <c r="A652" s="177" t="s">
        <v>2171</v>
      </c>
      <c r="B652" s="177" t="s">
        <v>3177</v>
      </c>
      <c r="C652" s="177" t="s">
        <v>394</v>
      </c>
      <c r="D652" s="177">
        <v>4.5</v>
      </c>
      <c r="E652" s="177">
        <v>0.0</v>
      </c>
      <c r="F652" s="177">
        <v>4.5</v>
      </c>
      <c r="G652" s="178">
        <v>46.42857142857143</v>
      </c>
      <c r="H652" s="177">
        <v>0.0</v>
      </c>
      <c r="I652" s="178">
        <v>4.5</v>
      </c>
    </row>
    <row r="653">
      <c r="A653" s="177" t="s">
        <v>2201</v>
      </c>
      <c r="B653" s="177" t="s">
        <v>3178</v>
      </c>
      <c r="C653" s="177" t="s">
        <v>395</v>
      </c>
      <c r="D653" s="177">
        <v>16.25</v>
      </c>
      <c r="E653" s="177">
        <v>0.0</v>
      </c>
      <c r="F653" s="177">
        <v>16.25</v>
      </c>
      <c r="G653" s="178">
        <v>50.0</v>
      </c>
      <c r="H653" s="177">
        <v>0.0</v>
      </c>
      <c r="I653" s="178">
        <v>16.25</v>
      </c>
    </row>
    <row r="654">
      <c r="A654" s="177" t="s">
        <v>2172</v>
      </c>
      <c r="B654" s="177" t="s">
        <v>3179</v>
      </c>
      <c r="C654" s="177" t="s">
        <v>396</v>
      </c>
      <c r="D654" s="177">
        <v>6.75</v>
      </c>
      <c r="E654" s="177">
        <v>0.0</v>
      </c>
      <c r="F654" s="177">
        <v>6.75</v>
      </c>
      <c r="G654" s="178">
        <v>39.285714285714285</v>
      </c>
      <c r="H654" s="177">
        <v>0.0</v>
      </c>
      <c r="I654" s="178">
        <v>6.75</v>
      </c>
    </row>
    <row r="655">
      <c r="A655" s="177" t="s">
        <v>2173</v>
      </c>
      <c r="B655" s="177" t="s">
        <v>3180</v>
      </c>
      <c r="C655" s="177" t="s">
        <v>397</v>
      </c>
      <c r="D655" s="177">
        <v>24.25</v>
      </c>
      <c r="E655" s="177">
        <v>22.0</v>
      </c>
      <c r="F655" s="177">
        <v>46.25</v>
      </c>
      <c r="G655" s="178">
        <v>89.28571428571429</v>
      </c>
      <c r="H655" s="177">
        <v>9.0</v>
      </c>
      <c r="I655" s="178">
        <v>55.25</v>
      </c>
    </row>
    <row r="656">
      <c r="A656" s="177" t="s">
        <v>2174</v>
      </c>
      <c r="B656" s="177" t="s">
        <v>3181</v>
      </c>
      <c r="C656" s="177" t="s">
        <v>398</v>
      </c>
      <c r="D656" s="177">
        <v>21.5</v>
      </c>
      <c r="E656" s="177">
        <v>25.5</v>
      </c>
      <c r="F656" s="177">
        <v>47.0</v>
      </c>
      <c r="G656" s="178">
        <v>71.0</v>
      </c>
      <c r="H656" s="177">
        <v>6.0</v>
      </c>
      <c r="I656" s="178">
        <v>53.0</v>
      </c>
    </row>
    <row r="657">
      <c r="A657" s="177" t="s">
        <v>2202</v>
      </c>
      <c r="B657" s="177" t="s">
        <v>3182</v>
      </c>
      <c r="C657" s="177" t="s">
        <v>399</v>
      </c>
      <c r="D657" s="177">
        <v>23.0</v>
      </c>
      <c r="E657" s="177">
        <v>19.5</v>
      </c>
      <c r="F657" s="177">
        <v>42.5</v>
      </c>
      <c r="G657" s="178">
        <v>92.85714285714286</v>
      </c>
      <c r="H657" s="177">
        <v>10.0</v>
      </c>
      <c r="I657" s="178">
        <v>52.5</v>
      </c>
    </row>
    <row r="658">
      <c r="A658" s="177" t="s">
        <v>2175</v>
      </c>
      <c r="B658" s="177" t="s">
        <v>3183</v>
      </c>
      <c r="C658" s="177" t="s">
        <v>400</v>
      </c>
      <c r="D658" s="177">
        <v>20.75</v>
      </c>
      <c r="E658" s="177">
        <v>0.0</v>
      </c>
      <c r="F658" s="177">
        <v>20.75</v>
      </c>
      <c r="G658" s="178">
        <v>78.57142857142857</v>
      </c>
      <c r="H658" s="177">
        <v>7.0</v>
      </c>
      <c r="I658" s="178">
        <v>27.75</v>
      </c>
    </row>
    <row r="659">
      <c r="A659" s="177" t="s">
        <v>2400</v>
      </c>
      <c r="B659" s="177" t="s">
        <v>3184</v>
      </c>
      <c r="C659" s="177" t="s">
        <v>401</v>
      </c>
      <c r="D659" s="177">
        <v>13.25</v>
      </c>
      <c r="E659" s="177">
        <v>11.75</v>
      </c>
      <c r="F659" s="177">
        <v>25.0</v>
      </c>
      <c r="G659" s="178">
        <v>78.57142857142857</v>
      </c>
      <c r="H659" s="177">
        <v>7.0</v>
      </c>
      <c r="I659" s="178">
        <v>32.0</v>
      </c>
    </row>
    <row r="660">
      <c r="A660" s="177" t="s">
        <v>2394</v>
      </c>
      <c r="B660" s="177" t="s">
        <v>3185</v>
      </c>
      <c r="C660" s="177" t="s">
        <v>402</v>
      </c>
      <c r="D660" s="177">
        <v>12.0</v>
      </c>
      <c r="E660" s="177">
        <v>12.25</v>
      </c>
      <c r="F660" s="177">
        <v>24.25</v>
      </c>
      <c r="G660" s="178">
        <v>75.0</v>
      </c>
      <c r="H660" s="177">
        <v>6.0</v>
      </c>
      <c r="I660" s="178">
        <v>30.25</v>
      </c>
    </row>
    <row r="661">
      <c r="A661" s="177" t="s">
        <v>2176</v>
      </c>
      <c r="B661" s="177" t="s">
        <v>3186</v>
      </c>
      <c r="C661" s="177" t="s">
        <v>403</v>
      </c>
      <c r="D661" s="177">
        <v>0.0</v>
      </c>
      <c r="E661" s="177">
        <v>0.0</v>
      </c>
      <c r="F661" s="177">
        <v>0.0</v>
      </c>
      <c r="G661" s="178">
        <v>0.0</v>
      </c>
      <c r="H661" s="177">
        <v>0.0</v>
      </c>
      <c r="I661" s="178">
        <v>0.0</v>
      </c>
    </row>
    <row r="662">
      <c r="A662" s="177" t="s">
        <v>2266</v>
      </c>
      <c r="B662" s="177" t="s">
        <v>3187</v>
      </c>
      <c r="C662" s="177" t="s">
        <v>404</v>
      </c>
      <c r="D662" s="177">
        <v>0.0</v>
      </c>
      <c r="E662" s="177">
        <v>0.0</v>
      </c>
      <c r="F662" s="177">
        <v>0.0</v>
      </c>
      <c r="G662" s="178">
        <v>10.714285714285714</v>
      </c>
      <c r="H662" s="177">
        <v>0.0</v>
      </c>
      <c r="I662" s="178">
        <v>0.0</v>
      </c>
    </row>
    <row r="663">
      <c r="A663" s="177" t="s">
        <v>2177</v>
      </c>
      <c r="B663" s="177" t="s">
        <v>3188</v>
      </c>
      <c r="C663" s="177" t="s">
        <v>405</v>
      </c>
      <c r="D663" s="177">
        <v>29.0</v>
      </c>
      <c r="E663" s="177">
        <v>21.75</v>
      </c>
      <c r="F663" s="177">
        <v>50.75</v>
      </c>
      <c r="G663" s="178">
        <v>92.85714285714286</v>
      </c>
      <c r="H663" s="177">
        <v>10.0</v>
      </c>
      <c r="I663" s="178">
        <v>60.75</v>
      </c>
    </row>
    <row r="664">
      <c r="A664" s="177" t="s">
        <v>2178</v>
      </c>
      <c r="B664" s="177" t="s">
        <v>3189</v>
      </c>
      <c r="C664" s="177" t="s">
        <v>406</v>
      </c>
      <c r="D664" s="177">
        <v>6.0</v>
      </c>
      <c r="E664" s="177">
        <v>0.0</v>
      </c>
      <c r="F664" s="177">
        <v>6.0</v>
      </c>
      <c r="G664" s="178">
        <v>17.857142857142858</v>
      </c>
      <c r="H664" s="177">
        <v>0.0</v>
      </c>
      <c r="I664" s="178">
        <v>6.0</v>
      </c>
    </row>
    <row r="665">
      <c r="A665" s="177" t="s">
        <v>2179</v>
      </c>
      <c r="B665" s="177" t="s">
        <v>3190</v>
      </c>
      <c r="C665" s="177" t="s">
        <v>407</v>
      </c>
      <c r="D665" s="177">
        <v>17.25</v>
      </c>
      <c r="E665" s="177">
        <v>27.0</v>
      </c>
      <c r="F665" s="177">
        <v>44.25</v>
      </c>
      <c r="G665" s="178">
        <v>75.0</v>
      </c>
      <c r="H665" s="177">
        <v>6.0</v>
      </c>
      <c r="I665" s="178">
        <v>50.25</v>
      </c>
    </row>
    <row r="666">
      <c r="A666" s="177" t="s">
        <v>2180</v>
      </c>
      <c r="B666" s="177" t="s">
        <v>3190</v>
      </c>
      <c r="C666" s="177" t="s">
        <v>408</v>
      </c>
      <c r="D666" s="177">
        <v>15.25</v>
      </c>
      <c r="E666" s="177">
        <v>0.0</v>
      </c>
      <c r="F666" s="177">
        <v>15.25</v>
      </c>
      <c r="G666" s="178">
        <v>50.0</v>
      </c>
      <c r="H666" s="177">
        <v>0.0</v>
      </c>
      <c r="I666" s="178">
        <v>15.25</v>
      </c>
    </row>
    <row r="667">
      <c r="A667" s="177" t="s">
        <v>2181</v>
      </c>
      <c r="B667" s="177" t="s">
        <v>3191</v>
      </c>
      <c r="C667" s="177" t="s">
        <v>409</v>
      </c>
      <c r="D667" s="177">
        <v>11.75</v>
      </c>
      <c r="E667" s="177">
        <v>10.0</v>
      </c>
      <c r="F667" s="177">
        <v>21.75</v>
      </c>
      <c r="G667" s="178">
        <v>64.28571428571429</v>
      </c>
      <c r="H667" s="177">
        <v>0.0</v>
      </c>
      <c r="I667" s="178">
        <v>21.75</v>
      </c>
    </row>
    <row r="668">
      <c r="A668" s="177" t="s">
        <v>2182</v>
      </c>
      <c r="B668" s="177" t="s">
        <v>3192</v>
      </c>
      <c r="C668" s="177" t="s">
        <v>410</v>
      </c>
      <c r="D668" s="177">
        <v>0.0</v>
      </c>
      <c r="E668" s="177">
        <v>0.0</v>
      </c>
      <c r="F668" s="177">
        <v>0.0</v>
      </c>
      <c r="G668" s="178">
        <v>3.5714285714285716</v>
      </c>
      <c r="H668" s="177">
        <v>0.0</v>
      </c>
      <c r="I668" s="178">
        <v>0.0</v>
      </c>
    </row>
    <row r="669">
      <c r="A669" s="177" t="s">
        <v>2183</v>
      </c>
      <c r="B669" s="177" t="s">
        <v>3193</v>
      </c>
      <c r="C669" s="177" t="s">
        <v>411</v>
      </c>
      <c r="D669" s="177">
        <v>11.25</v>
      </c>
      <c r="E669" s="177">
        <v>0.0</v>
      </c>
      <c r="F669" s="177">
        <v>11.25</v>
      </c>
      <c r="G669" s="178">
        <v>28.571428571428573</v>
      </c>
      <c r="H669" s="177">
        <v>0.0</v>
      </c>
      <c r="I669" s="178">
        <v>11.25</v>
      </c>
    </row>
    <row r="670">
      <c r="A670" s="177" t="s">
        <v>2184</v>
      </c>
      <c r="B670" s="177" t="s">
        <v>3194</v>
      </c>
      <c r="C670" s="177" t="s">
        <v>412</v>
      </c>
      <c r="D670" s="177">
        <v>14.0</v>
      </c>
      <c r="E670" s="177">
        <v>16.25</v>
      </c>
      <c r="F670" s="177">
        <v>30.25</v>
      </c>
      <c r="G670" s="178">
        <v>92.85714285714286</v>
      </c>
      <c r="H670" s="177">
        <v>10.0</v>
      </c>
      <c r="I670" s="178">
        <v>40.25</v>
      </c>
    </row>
    <row r="671">
      <c r="A671" s="177" t="s">
        <v>2265</v>
      </c>
      <c r="B671" s="177" t="s">
        <v>3195</v>
      </c>
      <c r="C671" s="177" t="s">
        <v>413</v>
      </c>
      <c r="D671" s="177">
        <v>4.5</v>
      </c>
      <c r="E671" s="177">
        <v>0.0</v>
      </c>
      <c r="F671" s="177">
        <v>4.5</v>
      </c>
      <c r="G671" s="178">
        <v>39.285714285714285</v>
      </c>
      <c r="H671" s="177">
        <v>0.0</v>
      </c>
      <c r="I671" s="178">
        <v>4.5</v>
      </c>
    </row>
    <row r="672">
      <c r="A672" s="177" t="s">
        <v>2185</v>
      </c>
      <c r="B672" s="177" t="s">
        <v>3196</v>
      </c>
      <c r="C672" s="177" t="s">
        <v>414</v>
      </c>
      <c r="D672" s="177">
        <v>6.25</v>
      </c>
      <c r="E672" s="177">
        <v>9.25</v>
      </c>
      <c r="F672" s="177">
        <v>15.5</v>
      </c>
      <c r="G672" s="178">
        <v>89.28571428571429</v>
      </c>
      <c r="H672" s="177">
        <v>9.0</v>
      </c>
      <c r="I672" s="178">
        <v>24.5</v>
      </c>
    </row>
    <row r="673">
      <c r="A673" s="177" t="s">
        <v>2269</v>
      </c>
      <c r="B673" s="177" t="s">
        <v>3197</v>
      </c>
      <c r="C673" s="177" t="s">
        <v>415</v>
      </c>
      <c r="D673" s="177">
        <v>6.75</v>
      </c>
      <c r="E673" s="177">
        <v>0.0</v>
      </c>
      <c r="F673" s="177">
        <v>6.75</v>
      </c>
      <c r="G673" s="178">
        <v>50.0</v>
      </c>
      <c r="H673" s="177">
        <v>0.0</v>
      </c>
      <c r="I673" s="178">
        <v>6.75</v>
      </c>
    </row>
    <row r="674">
      <c r="A674" s="177" t="s">
        <v>2342</v>
      </c>
      <c r="B674" s="177" t="s">
        <v>3198</v>
      </c>
      <c r="C674" s="177" t="s">
        <v>416</v>
      </c>
      <c r="D674" s="177">
        <v>11.0</v>
      </c>
      <c r="E674" s="177">
        <v>10.75</v>
      </c>
      <c r="F674" s="177">
        <v>21.75</v>
      </c>
      <c r="G674" s="178">
        <v>64.28571428571429</v>
      </c>
      <c r="H674" s="177">
        <v>0.0</v>
      </c>
      <c r="I674" s="178">
        <v>21.75</v>
      </c>
    </row>
    <row r="675">
      <c r="A675" s="177" t="s">
        <v>2186</v>
      </c>
      <c r="B675" s="177" t="s">
        <v>3199</v>
      </c>
      <c r="C675" s="177" t="s">
        <v>417</v>
      </c>
      <c r="D675" s="177">
        <v>5.0</v>
      </c>
      <c r="E675" s="177">
        <v>0.0</v>
      </c>
      <c r="F675" s="177">
        <v>5.0</v>
      </c>
      <c r="G675" s="178">
        <v>39.285714285714285</v>
      </c>
      <c r="H675" s="177">
        <v>0.0</v>
      </c>
      <c r="I675" s="178">
        <v>5.0</v>
      </c>
    </row>
    <row r="676">
      <c r="A676" s="177" t="s">
        <v>2187</v>
      </c>
      <c r="B676" s="177" t="s">
        <v>3200</v>
      </c>
      <c r="C676" s="177" t="s">
        <v>418</v>
      </c>
      <c r="D676" s="177">
        <v>0.0</v>
      </c>
      <c r="E676" s="177">
        <v>0.0</v>
      </c>
      <c r="F676" s="177">
        <v>0.0</v>
      </c>
      <c r="G676" s="178">
        <v>10.714285714285714</v>
      </c>
      <c r="H676" s="177">
        <v>0.0</v>
      </c>
      <c r="I676" s="178">
        <v>0.0</v>
      </c>
    </row>
    <row r="677">
      <c r="A677" s="177" t="s">
        <v>2188</v>
      </c>
      <c r="B677" s="177" t="s">
        <v>3201</v>
      </c>
      <c r="C677" s="177" t="s">
        <v>419</v>
      </c>
      <c r="D677" s="177">
        <v>18.25</v>
      </c>
      <c r="E677" s="177">
        <v>0.0</v>
      </c>
      <c r="F677" s="177">
        <v>18.25</v>
      </c>
      <c r="G677" s="178">
        <v>53.57142857142857</v>
      </c>
      <c r="H677" s="177">
        <v>0.0</v>
      </c>
      <c r="I677" s="178">
        <v>18.25</v>
      </c>
    </row>
    <row r="678">
      <c r="A678" s="177" t="s">
        <v>2189</v>
      </c>
      <c r="B678" s="177" t="s">
        <v>3202</v>
      </c>
      <c r="C678" s="177" t="s">
        <v>420</v>
      </c>
      <c r="D678" s="177">
        <v>16.75</v>
      </c>
      <c r="E678" s="177">
        <v>27.5</v>
      </c>
      <c r="F678" s="177">
        <v>44.25</v>
      </c>
      <c r="G678" s="178">
        <v>82.14285714285714</v>
      </c>
      <c r="H678" s="177">
        <v>8.0</v>
      </c>
      <c r="I678" s="178">
        <v>52.25</v>
      </c>
    </row>
    <row r="679">
      <c r="A679" s="177" t="s">
        <v>2190</v>
      </c>
      <c r="B679" s="177" t="s">
        <v>3203</v>
      </c>
      <c r="C679" s="177" t="s">
        <v>421</v>
      </c>
      <c r="D679" s="177">
        <v>0.0</v>
      </c>
      <c r="E679" s="177">
        <v>0.0</v>
      </c>
      <c r="F679" s="177">
        <v>0.0</v>
      </c>
      <c r="G679" s="178">
        <v>60.714285714285715</v>
      </c>
      <c r="H679" s="177">
        <v>0.0</v>
      </c>
      <c r="I679" s="178">
        <v>0.0</v>
      </c>
    </row>
    <row r="680">
      <c r="A680" s="177" t="s">
        <v>2273</v>
      </c>
      <c r="B680" s="177" t="s">
        <v>3204</v>
      </c>
      <c r="C680" s="177" t="s">
        <v>422</v>
      </c>
      <c r="D680" s="177">
        <v>16.5</v>
      </c>
      <c r="E680" s="177">
        <v>13.75</v>
      </c>
      <c r="F680" s="177">
        <v>30.25</v>
      </c>
      <c r="G680" s="178">
        <v>82.14285714285714</v>
      </c>
      <c r="H680" s="177">
        <v>8.0</v>
      </c>
      <c r="I680" s="178">
        <v>38.25</v>
      </c>
    </row>
    <row r="681">
      <c r="A681" s="177" t="s">
        <v>2191</v>
      </c>
      <c r="B681" s="177" t="s">
        <v>3205</v>
      </c>
      <c r="C681" s="177" t="s">
        <v>423</v>
      </c>
      <c r="D681" s="177">
        <v>14.75</v>
      </c>
      <c r="E681" s="177">
        <v>9.25</v>
      </c>
      <c r="F681" s="177">
        <v>24.0</v>
      </c>
      <c r="G681" s="178">
        <v>71.42857142857143</v>
      </c>
      <c r="H681" s="177">
        <v>6.0</v>
      </c>
      <c r="I681" s="178">
        <v>30.0</v>
      </c>
    </row>
    <row r="682">
      <c r="A682" s="177" t="s">
        <v>2272</v>
      </c>
      <c r="B682" s="177" t="s">
        <v>3206</v>
      </c>
      <c r="C682" s="177" t="s">
        <v>424</v>
      </c>
      <c r="D682" s="177">
        <v>19.25</v>
      </c>
      <c r="E682" s="177">
        <v>16.5</v>
      </c>
      <c r="F682" s="177">
        <v>35.75</v>
      </c>
      <c r="G682" s="178">
        <v>82.14285714285714</v>
      </c>
      <c r="H682" s="177">
        <v>8.0</v>
      </c>
      <c r="I682" s="178">
        <v>43.75</v>
      </c>
    </row>
    <row r="683">
      <c r="A683" s="177" t="s">
        <v>2192</v>
      </c>
      <c r="B683" s="177" t="s">
        <v>3207</v>
      </c>
      <c r="C683" s="177" t="s">
        <v>425</v>
      </c>
      <c r="D683" s="177">
        <v>18.0</v>
      </c>
      <c r="E683" s="177">
        <v>17.75</v>
      </c>
      <c r="F683" s="177">
        <v>35.75</v>
      </c>
      <c r="G683" s="178">
        <v>75.0</v>
      </c>
      <c r="H683" s="177">
        <v>6.0</v>
      </c>
      <c r="I683" s="178">
        <v>41.75</v>
      </c>
    </row>
    <row r="684">
      <c r="A684" s="177" t="s">
        <v>2193</v>
      </c>
      <c r="B684" s="177" t="s">
        <v>3208</v>
      </c>
      <c r="C684" s="177" t="s">
        <v>426</v>
      </c>
      <c r="D684" s="177">
        <v>10.5</v>
      </c>
      <c r="E684" s="177">
        <v>0.0</v>
      </c>
      <c r="F684" s="177">
        <v>10.5</v>
      </c>
      <c r="G684" s="178">
        <v>32.142857142857146</v>
      </c>
      <c r="H684" s="177">
        <v>0.0</v>
      </c>
      <c r="I684" s="178">
        <v>10.5</v>
      </c>
    </row>
    <row r="685">
      <c r="A685" s="177" t="s">
        <v>2207</v>
      </c>
      <c r="B685" s="177" t="s">
        <v>3209</v>
      </c>
      <c r="C685" s="177" t="s">
        <v>427</v>
      </c>
      <c r="D685" s="177">
        <v>12.0</v>
      </c>
      <c r="E685" s="177">
        <v>10.25</v>
      </c>
      <c r="F685" s="177">
        <v>22.25</v>
      </c>
      <c r="G685" s="178">
        <v>67.85714285714286</v>
      </c>
      <c r="H685" s="177">
        <v>0.0</v>
      </c>
      <c r="I685" s="178">
        <v>22.25</v>
      </c>
    </row>
    <row r="686">
      <c r="A686" s="177" t="s">
        <v>2343</v>
      </c>
      <c r="B686" s="177" t="s">
        <v>3210</v>
      </c>
      <c r="C686" s="177" t="s">
        <v>428</v>
      </c>
      <c r="D686" s="177">
        <v>10.0</v>
      </c>
      <c r="E686" s="177">
        <v>9.75</v>
      </c>
      <c r="F686" s="177">
        <v>19.75</v>
      </c>
      <c r="G686" s="178">
        <v>64.28571428571429</v>
      </c>
      <c r="H686" s="177">
        <v>0.0</v>
      </c>
      <c r="I686" s="178">
        <v>19.75</v>
      </c>
    </row>
    <row r="687">
      <c r="A687" s="177" t="s">
        <v>2211</v>
      </c>
      <c r="B687" s="177" t="s">
        <v>3211</v>
      </c>
      <c r="C687" s="177" t="s">
        <v>429</v>
      </c>
      <c r="D687" s="177">
        <v>6.0</v>
      </c>
      <c r="E687" s="177">
        <v>0.0</v>
      </c>
      <c r="F687" s="177">
        <v>6.0</v>
      </c>
      <c r="G687" s="178">
        <v>39.285714285714285</v>
      </c>
      <c r="H687" s="177">
        <v>0.0</v>
      </c>
      <c r="I687" s="178">
        <v>6.0</v>
      </c>
    </row>
    <row r="688">
      <c r="A688" s="177" t="s">
        <v>2194</v>
      </c>
      <c r="B688" s="177" t="s">
        <v>3212</v>
      </c>
      <c r="C688" s="177" t="s">
        <v>430</v>
      </c>
      <c r="D688" s="177">
        <v>11.5</v>
      </c>
      <c r="E688" s="177">
        <v>17.75</v>
      </c>
      <c r="F688" s="177">
        <v>29.25</v>
      </c>
      <c r="G688" s="178">
        <v>89.28571428571429</v>
      </c>
      <c r="H688" s="177">
        <v>9.0</v>
      </c>
      <c r="I688" s="178">
        <v>38.25</v>
      </c>
    </row>
    <row r="689">
      <c r="A689" s="177" t="s">
        <v>2204</v>
      </c>
      <c r="B689" s="177" t="s">
        <v>3213</v>
      </c>
      <c r="C689" s="177" t="s">
        <v>431</v>
      </c>
      <c r="D689" s="177">
        <v>0.0</v>
      </c>
      <c r="E689" s="177">
        <v>0.0</v>
      </c>
      <c r="F689" s="177">
        <v>0.0</v>
      </c>
      <c r="G689" s="178">
        <v>10.714285714285714</v>
      </c>
      <c r="H689" s="177">
        <v>0.0</v>
      </c>
      <c r="I689" s="178">
        <v>0.0</v>
      </c>
    </row>
    <row r="690">
      <c r="A690" s="177" t="s">
        <v>2270</v>
      </c>
      <c r="B690" s="177" t="s">
        <v>3214</v>
      </c>
      <c r="C690" s="177" t="s">
        <v>432</v>
      </c>
      <c r="D690" s="177">
        <v>25.25</v>
      </c>
      <c r="E690" s="177">
        <v>15.75</v>
      </c>
      <c r="F690" s="177">
        <v>41.0</v>
      </c>
      <c r="G690" s="178">
        <v>85.71428571428571</v>
      </c>
      <c r="H690" s="177">
        <v>9.0</v>
      </c>
      <c r="I690" s="178">
        <v>50.0</v>
      </c>
    </row>
    <row r="691">
      <c r="A691" s="177" t="s">
        <v>2210</v>
      </c>
      <c r="B691" s="177" t="s">
        <v>3215</v>
      </c>
      <c r="C691" s="177" t="s">
        <v>433</v>
      </c>
      <c r="D691" s="177">
        <v>26.5</v>
      </c>
      <c r="E691" s="177">
        <v>25.25</v>
      </c>
      <c r="F691" s="177">
        <v>51.75</v>
      </c>
      <c r="G691" s="178">
        <v>71.42857142857143</v>
      </c>
      <c r="H691" s="177">
        <v>6.0</v>
      </c>
      <c r="I691" s="178">
        <v>57.75</v>
      </c>
    </row>
    <row r="692">
      <c r="A692" s="177" t="s">
        <v>2283</v>
      </c>
      <c r="B692" s="177" t="s">
        <v>3216</v>
      </c>
      <c r="C692" s="177" t="s">
        <v>434</v>
      </c>
      <c r="D692" s="177">
        <v>0.0</v>
      </c>
      <c r="E692" s="177">
        <v>0.0</v>
      </c>
      <c r="F692" s="177">
        <v>0.0</v>
      </c>
      <c r="G692" s="177">
        <v>0.0</v>
      </c>
      <c r="H692" s="177">
        <v>0.0</v>
      </c>
      <c r="I692" s="178">
        <v>0.0</v>
      </c>
    </row>
    <row r="693">
      <c r="A693" s="177" t="s">
        <v>2195</v>
      </c>
      <c r="B693" s="177" t="s">
        <v>3217</v>
      </c>
      <c r="C693" s="177" t="s">
        <v>435</v>
      </c>
      <c r="D693" s="177">
        <v>7.5</v>
      </c>
      <c r="E693" s="177">
        <v>11.0</v>
      </c>
      <c r="F693" s="177">
        <v>18.5</v>
      </c>
      <c r="G693" s="178">
        <v>60.714285714285715</v>
      </c>
      <c r="H693" s="177">
        <v>0.0</v>
      </c>
      <c r="I693" s="178">
        <v>18.5</v>
      </c>
    </row>
    <row r="694">
      <c r="A694" s="177" t="s">
        <v>2196</v>
      </c>
      <c r="B694" s="177" t="s">
        <v>3218</v>
      </c>
      <c r="C694" s="177" t="s">
        <v>436</v>
      </c>
      <c r="D694" s="177">
        <v>0.0</v>
      </c>
      <c r="E694" s="177">
        <v>0.0</v>
      </c>
      <c r="F694" s="177">
        <v>0.0</v>
      </c>
      <c r="G694" s="178">
        <v>14.285714285714286</v>
      </c>
      <c r="H694" s="177">
        <v>0.0</v>
      </c>
      <c r="I694" s="178">
        <v>0.0</v>
      </c>
    </row>
    <row r="695">
      <c r="A695" s="177" t="s">
        <v>2197</v>
      </c>
      <c r="B695" s="177" t="s">
        <v>3219</v>
      </c>
      <c r="C695" s="177" t="s">
        <v>437</v>
      </c>
      <c r="D695" s="177">
        <v>8.75</v>
      </c>
      <c r="E695" s="177">
        <v>0.0</v>
      </c>
      <c r="F695" s="177">
        <v>8.75</v>
      </c>
      <c r="G695" s="178">
        <v>75.0</v>
      </c>
      <c r="H695" s="177">
        <v>6.0</v>
      </c>
      <c r="I695" s="178">
        <v>14.75</v>
      </c>
    </row>
    <row r="696">
      <c r="A696" s="177" t="s">
        <v>2277</v>
      </c>
      <c r="B696" s="177" t="s">
        <v>3220</v>
      </c>
      <c r="C696" s="177" t="s">
        <v>438</v>
      </c>
      <c r="D696" s="177">
        <v>23.5</v>
      </c>
      <c r="E696" s="177">
        <v>12.5</v>
      </c>
      <c r="F696" s="177">
        <v>36.0</v>
      </c>
      <c r="G696" s="178">
        <v>85.71428571428571</v>
      </c>
      <c r="H696" s="177">
        <v>9.0</v>
      </c>
      <c r="I696" s="178">
        <v>45.0</v>
      </c>
    </row>
    <row r="697">
      <c r="A697" s="177" t="s">
        <v>2198</v>
      </c>
      <c r="B697" s="177" t="s">
        <v>3221</v>
      </c>
      <c r="C697" s="177" t="s">
        <v>439</v>
      </c>
      <c r="D697" s="177">
        <v>0.0</v>
      </c>
      <c r="E697" s="177">
        <v>0.0</v>
      </c>
      <c r="F697" s="177">
        <v>0.0</v>
      </c>
      <c r="G697" s="178">
        <v>39.285714285714285</v>
      </c>
      <c r="H697" s="177">
        <v>0.0</v>
      </c>
      <c r="I697" s="178">
        <v>0.0</v>
      </c>
    </row>
    <row r="698">
      <c r="A698" s="177" t="s">
        <v>2279</v>
      </c>
      <c r="B698" s="177" t="s">
        <v>3222</v>
      </c>
      <c r="C698" s="177" t="s">
        <v>440</v>
      </c>
      <c r="D698" s="177">
        <v>10.0</v>
      </c>
      <c r="E698" s="177">
        <v>7.75</v>
      </c>
      <c r="F698" s="177">
        <v>17.75</v>
      </c>
      <c r="G698" s="178">
        <v>0.0</v>
      </c>
      <c r="H698" s="177">
        <v>0.0</v>
      </c>
      <c r="I698" s="178">
        <v>17.75</v>
      </c>
    </row>
    <row r="699">
      <c r="A699" s="177" t="s">
        <v>2205</v>
      </c>
      <c r="B699" s="177" t="s">
        <v>3223</v>
      </c>
      <c r="C699" s="177" t="s">
        <v>441</v>
      </c>
      <c r="D699" s="177">
        <v>7.0</v>
      </c>
      <c r="E699" s="177">
        <v>5.5</v>
      </c>
      <c r="F699" s="177">
        <v>12.5</v>
      </c>
      <c r="G699" s="178">
        <v>85.71428571428571</v>
      </c>
      <c r="H699" s="177">
        <v>9.0</v>
      </c>
      <c r="I699" s="178">
        <v>21.5</v>
      </c>
    </row>
    <row r="700">
      <c r="A700" s="177" t="s">
        <v>2199</v>
      </c>
      <c r="B700" s="177" t="s">
        <v>3224</v>
      </c>
      <c r="C700" s="177" t="s">
        <v>442</v>
      </c>
      <c r="D700" s="177">
        <v>24.75</v>
      </c>
      <c r="E700" s="177">
        <v>0.0</v>
      </c>
      <c r="F700" s="177">
        <v>24.75</v>
      </c>
      <c r="G700" s="178">
        <v>42.857142857142854</v>
      </c>
      <c r="H700" s="177">
        <v>0.0</v>
      </c>
      <c r="I700" s="178">
        <v>24.75</v>
      </c>
    </row>
    <row r="701">
      <c r="A701" s="177" t="s">
        <v>2226</v>
      </c>
      <c r="B701" s="177" t="s">
        <v>3225</v>
      </c>
      <c r="C701" s="177" t="s">
        <v>443</v>
      </c>
      <c r="D701" s="177">
        <v>3.75</v>
      </c>
      <c r="E701" s="177">
        <v>0.0</v>
      </c>
      <c r="F701" s="177">
        <v>3.75</v>
      </c>
      <c r="G701" s="178">
        <v>3.5714285714285716</v>
      </c>
      <c r="H701" s="177">
        <v>0.0</v>
      </c>
      <c r="I701" s="178">
        <v>3.75</v>
      </c>
    </row>
    <row r="702">
      <c r="A702" s="177" t="s">
        <v>2206</v>
      </c>
      <c r="B702" s="177" t="s">
        <v>3226</v>
      </c>
      <c r="C702" s="177" t="s">
        <v>444</v>
      </c>
      <c r="D702" s="177">
        <v>23.75</v>
      </c>
      <c r="E702" s="177">
        <v>11.0</v>
      </c>
      <c r="F702" s="177">
        <v>34.75</v>
      </c>
      <c r="G702" s="178">
        <v>71.42857142857143</v>
      </c>
      <c r="H702" s="177">
        <v>6.0</v>
      </c>
      <c r="I702" s="178">
        <v>40.75</v>
      </c>
    </row>
    <row r="703">
      <c r="A703" s="177" t="s">
        <v>2227</v>
      </c>
      <c r="B703" s="177" t="s">
        <v>3227</v>
      </c>
      <c r="C703" s="177" t="s">
        <v>445</v>
      </c>
      <c r="D703" s="177">
        <v>5.0</v>
      </c>
      <c r="E703" s="177">
        <v>0.0</v>
      </c>
      <c r="F703" s="177">
        <v>5.0</v>
      </c>
      <c r="G703" s="178">
        <v>3.4482758620689653</v>
      </c>
      <c r="H703" s="177">
        <v>0.0</v>
      </c>
      <c r="I703" s="178">
        <v>5.0</v>
      </c>
    </row>
    <row r="704">
      <c r="A704" s="177" t="s">
        <v>2228</v>
      </c>
      <c r="B704" s="177" t="s">
        <v>3228</v>
      </c>
      <c r="C704" s="177" t="s">
        <v>446</v>
      </c>
      <c r="D704" s="177">
        <v>19.5</v>
      </c>
      <c r="E704" s="177">
        <v>23.5</v>
      </c>
      <c r="F704" s="177">
        <v>43.0</v>
      </c>
      <c r="G704" s="178">
        <v>75.86206896551724</v>
      </c>
      <c r="H704" s="177">
        <v>7.0</v>
      </c>
      <c r="I704" s="178">
        <v>50.0</v>
      </c>
    </row>
    <row r="705">
      <c r="A705" s="177" t="s">
        <v>2208</v>
      </c>
      <c r="B705" s="177" t="s">
        <v>3229</v>
      </c>
      <c r="C705" s="177" t="s">
        <v>447</v>
      </c>
      <c r="D705" s="177">
        <v>21.75</v>
      </c>
      <c r="E705" s="177">
        <v>24.0</v>
      </c>
      <c r="F705" s="177">
        <v>45.75</v>
      </c>
      <c r="G705" s="178">
        <v>100.0</v>
      </c>
      <c r="H705" s="177">
        <v>10.0</v>
      </c>
      <c r="I705" s="178">
        <v>55.75</v>
      </c>
    </row>
    <row r="706">
      <c r="A706" s="177" t="s">
        <v>2215</v>
      </c>
      <c r="B706" s="177" t="s">
        <v>3230</v>
      </c>
      <c r="C706" s="177" t="s">
        <v>448</v>
      </c>
      <c r="D706" s="177">
        <v>3.5</v>
      </c>
      <c r="E706" s="177">
        <v>0.0</v>
      </c>
      <c r="F706" s="177">
        <v>3.5</v>
      </c>
      <c r="G706" s="178">
        <v>0.0</v>
      </c>
      <c r="H706" s="177">
        <v>0.0</v>
      </c>
      <c r="I706" s="178">
        <v>3.5</v>
      </c>
    </row>
    <row r="707">
      <c r="A707" s="177" t="s">
        <v>2229</v>
      </c>
      <c r="B707" s="177" t="s">
        <v>3231</v>
      </c>
      <c r="C707" s="177" t="s">
        <v>449</v>
      </c>
      <c r="D707" s="177">
        <v>14.5</v>
      </c>
      <c r="E707" s="177">
        <v>13.0</v>
      </c>
      <c r="F707" s="177">
        <v>27.5</v>
      </c>
      <c r="G707" s="178">
        <v>75.86206896551724</v>
      </c>
      <c r="H707" s="177">
        <v>7.0</v>
      </c>
      <c r="I707" s="178">
        <v>34.5</v>
      </c>
    </row>
    <row r="708">
      <c r="A708" s="177" t="s">
        <v>2230</v>
      </c>
      <c r="B708" s="177" t="s">
        <v>3232</v>
      </c>
      <c r="C708" s="177" t="s">
        <v>450</v>
      </c>
      <c r="D708" s="177">
        <v>6.0</v>
      </c>
      <c r="E708" s="177">
        <v>0.0</v>
      </c>
      <c r="F708" s="177">
        <v>6.0</v>
      </c>
      <c r="G708" s="178">
        <v>13.793103448275861</v>
      </c>
      <c r="H708" s="177">
        <v>0.0</v>
      </c>
      <c r="I708" s="178">
        <v>6.0</v>
      </c>
    </row>
    <row r="709">
      <c r="A709" s="177" t="s">
        <v>2259</v>
      </c>
      <c r="B709" s="177" t="s">
        <v>3233</v>
      </c>
      <c r="C709" s="177" t="s">
        <v>451</v>
      </c>
      <c r="D709" s="177">
        <v>0.0</v>
      </c>
      <c r="E709" s="177">
        <v>0.0</v>
      </c>
      <c r="F709" s="177">
        <v>0.0</v>
      </c>
      <c r="G709" s="178">
        <v>3.4482758620689653</v>
      </c>
      <c r="H709" s="177">
        <v>0.0</v>
      </c>
      <c r="I709" s="178">
        <v>0.0</v>
      </c>
    </row>
    <row r="710">
      <c r="A710" s="177" t="s">
        <v>2231</v>
      </c>
      <c r="B710" s="177" t="s">
        <v>3234</v>
      </c>
      <c r="C710" s="177" t="s">
        <v>452</v>
      </c>
      <c r="D710" s="177">
        <v>0.0</v>
      </c>
      <c r="E710" s="177">
        <v>0.0</v>
      </c>
      <c r="F710" s="177">
        <v>0.0</v>
      </c>
      <c r="G710" s="178">
        <v>44.827586206896555</v>
      </c>
      <c r="H710" s="177">
        <v>0.0</v>
      </c>
      <c r="I710" s="178">
        <v>0.0</v>
      </c>
    </row>
    <row r="711">
      <c r="A711" s="177" t="s">
        <v>2232</v>
      </c>
      <c r="B711" s="177" t="s">
        <v>3235</v>
      </c>
      <c r="C711" s="177" t="s">
        <v>453</v>
      </c>
      <c r="D711" s="177">
        <v>19.5</v>
      </c>
      <c r="E711" s="177">
        <v>17.25</v>
      </c>
      <c r="F711" s="177">
        <v>36.75</v>
      </c>
      <c r="G711" s="178">
        <v>89.65517241379311</v>
      </c>
      <c r="H711" s="177">
        <v>9.0</v>
      </c>
      <c r="I711" s="178">
        <v>45.75</v>
      </c>
    </row>
    <row r="712">
      <c r="A712" s="177" t="s">
        <v>2233</v>
      </c>
      <c r="B712" s="177" t="s">
        <v>3236</v>
      </c>
      <c r="C712" s="177" t="s">
        <v>454</v>
      </c>
      <c r="D712" s="177">
        <v>13.75</v>
      </c>
      <c r="E712" s="177">
        <v>13.75</v>
      </c>
      <c r="F712" s="177">
        <v>27.5</v>
      </c>
      <c r="G712" s="178">
        <v>96.55172413793103</v>
      </c>
      <c r="H712" s="177">
        <v>10.0</v>
      </c>
      <c r="I712" s="178">
        <v>37.5</v>
      </c>
    </row>
    <row r="713">
      <c r="A713" s="177" t="s">
        <v>2339</v>
      </c>
      <c r="B713" s="177" t="s">
        <v>3237</v>
      </c>
      <c r="C713" s="177" t="s">
        <v>455</v>
      </c>
      <c r="D713" s="177">
        <v>10.75</v>
      </c>
      <c r="E713" s="177">
        <v>14.0</v>
      </c>
      <c r="F713" s="177">
        <v>24.75</v>
      </c>
      <c r="G713" s="178">
        <v>93.10344827586206</v>
      </c>
      <c r="H713" s="177">
        <v>10.0</v>
      </c>
      <c r="I713" s="178">
        <v>34.75</v>
      </c>
    </row>
    <row r="714">
      <c r="A714" s="177" t="s">
        <v>2234</v>
      </c>
      <c r="B714" s="177" t="s">
        <v>3238</v>
      </c>
      <c r="C714" s="177" t="s">
        <v>456</v>
      </c>
      <c r="D714" s="177">
        <v>12.75</v>
      </c>
      <c r="E714" s="177">
        <v>15.0</v>
      </c>
      <c r="F714" s="177">
        <v>27.75</v>
      </c>
      <c r="G714" s="178">
        <v>96.55172413793103</v>
      </c>
      <c r="H714" s="177">
        <v>10.0</v>
      </c>
      <c r="I714" s="178">
        <v>37.75</v>
      </c>
    </row>
    <row r="715">
      <c r="A715" s="177" t="s">
        <v>2214</v>
      </c>
      <c r="B715" s="177" t="s">
        <v>3239</v>
      </c>
      <c r="C715" s="177" t="s">
        <v>457</v>
      </c>
      <c r="D715" s="177">
        <v>15.5</v>
      </c>
      <c r="E715" s="177">
        <v>21.75</v>
      </c>
      <c r="F715" s="177">
        <v>37.25</v>
      </c>
      <c r="G715" s="178">
        <v>93.10344827586206</v>
      </c>
      <c r="H715" s="177">
        <v>10.0</v>
      </c>
      <c r="I715" s="178">
        <v>47.25</v>
      </c>
    </row>
    <row r="716">
      <c r="A716" s="177" t="s">
        <v>2235</v>
      </c>
      <c r="B716" s="177" t="s">
        <v>3240</v>
      </c>
      <c r="C716" s="177" t="s">
        <v>458</v>
      </c>
      <c r="D716" s="177">
        <v>13.0</v>
      </c>
      <c r="E716" s="177">
        <v>21.5</v>
      </c>
      <c r="F716" s="177">
        <v>34.5</v>
      </c>
      <c r="G716" s="178">
        <v>86.20689655172414</v>
      </c>
      <c r="H716" s="177">
        <v>9.0</v>
      </c>
      <c r="I716" s="178">
        <v>43.5</v>
      </c>
    </row>
    <row r="717">
      <c r="A717" s="177" t="s">
        <v>2236</v>
      </c>
      <c r="B717" s="177" t="s">
        <v>3241</v>
      </c>
      <c r="C717" s="177" t="s">
        <v>459</v>
      </c>
      <c r="D717" s="177">
        <v>13.25</v>
      </c>
      <c r="E717" s="177">
        <v>18.5</v>
      </c>
      <c r="F717" s="177">
        <v>31.75</v>
      </c>
      <c r="G717" s="178">
        <v>96.55172413793103</v>
      </c>
      <c r="H717" s="177">
        <v>10.0</v>
      </c>
      <c r="I717" s="178">
        <v>41.75</v>
      </c>
    </row>
    <row r="718">
      <c r="A718" s="177" t="s">
        <v>2237</v>
      </c>
      <c r="B718" s="177" t="s">
        <v>3242</v>
      </c>
      <c r="C718" s="177" t="s">
        <v>460</v>
      </c>
      <c r="D718" s="177">
        <v>7.5</v>
      </c>
      <c r="E718" s="177">
        <v>16.5</v>
      </c>
      <c r="F718" s="177">
        <v>24.0</v>
      </c>
      <c r="G718" s="178">
        <v>86.20689655172414</v>
      </c>
      <c r="H718" s="177">
        <v>9.0</v>
      </c>
      <c r="I718" s="178">
        <v>33.0</v>
      </c>
    </row>
    <row r="719">
      <c r="A719" s="177" t="s">
        <v>133</v>
      </c>
      <c r="B719" s="177" t="s">
        <v>3243</v>
      </c>
      <c r="C719" s="177" t="s">
        <v>461</v>
      </c>
      <c r="D719" s="177">
        <v>9.75</v>
      </c>
      <c r="E719" s="177">
        <v>0.0</v>
      </c>
      <c r="F719" s="177">
        <v>9.75</v>
      </c>
      <c r="G719" s="178">
        <v>75.86206896551724</v>
      </c>
      <c r="H719" s="177">
        <v>7.0</v>
      </c>
      <c r="I719" s="178">
        <v>16.75</v>
      </c>
    </row>
    <row r="720">
      <c r="A720" s="177" t="s">
        <v>137</v>
      </c>
      <c r="B720" s="177" t="s">
        <v>3244</v>
      </c>
      <c r="C720" s="177" t="s">
        <v>462</v>
      </c>
      <c r="D720" s="177">
        <v>2.5</v>
      </c>
      <c r="E720" s="177">
        <v>0.0</v>
      </c>
      <c r="F720" s="177">
        <v>2.5</v>
      </c>
      <c r="G720" s="178">
        <v>51.724137931034484</v>
      </c>
      <c r="H720" s="177">
        <v>0.0</v>
      </c>
      <c r="I720" s="178">
        <v>2.5</v>
      </c>
    </row>
    <row r="721">
      <c r="A721" s="177" t="s">
        <v>2267</v>
      </c>
      <c r="B721" s="177" t="s">
        <v>3245</v>
      </c>
      <c r="C721" s="177" t="s">
        <v>463</v>
      </c>
      <c r="D721" s="177">
        <v>0.0</v>
      </c>
      <c r="E721" s="177">
        <v>0.0</v>
      </c>
      <c r="F721" s="177">
        <v>0.0</v>
      </c>
      <c r="G721" s="178">
        <v>10.344827586206897</v>
      </c>
      <c r="H721" s="177">
        <v>0.0</v>
      </c>
      <c r="I721" s="178">
        <v>0.0</v>
      </c>
    </row>
    <row r="722">
      <c r="A722" s="177" t="s">
        <v>132</v>
      </c>
      <c r="B722" s="177" t="s">
        <v>3246</v>
      </c>
      <c r="C722" s="177" t="s">
        <v>464</v>
      </c>
      <c r="D722" s="177">
        <v>7.5</v>
      </c>
      <c r="E722" s="177">
        <v>0.0</v>
      </c>
      <c r="F722" s="177">
        <v>7.5</v>
      </c>
      <c r="G722" s="178">
        <v>51.724137931034484</v>
      </c>
      <c r="H722" s="177">
        <v>0.0</v>
      </c>
      <c r="I722" s="178">
        <v>7.5</v>
      </c>
    </row>
    <row r="723">
      <c r="A723" s="177" t="s">
        <v>2238</v>
      </c>
      <c r="B723" s="177" t="s">
        <v>3247</v>
      </c>
      <c r="C723" s="177" t="s">
        <v>465</v>
      </c>
      <c r="D723" s="177">
        <v>20.0</v>
      </c>
      <c r="E723" s="177">
        <v>24.0</v>
      </c>
      <c r="F723" s="177">
        <v>44.0</v>
      </c>
      <c r="G723" s="178">
        <v>93.10344827586206</v>
      </c>
      <c r="H723" s="177">
        <v>10.0</v>
      </c>
      <c r="I723" s="178">
        <v>54.0</v>
      </c>
    </row>
    <row r="724">
      <c r="A724" s="177" t="s">
        <v>2217</v>
      </c>
      <c r="B724" s="177" t="s">
        <v>3248</v>
      </c>
      <c r="C724" s="177" t="s">
        <v>466</v>
      </c>
      <c r="D724" s="177">
        <v>6.5</v>
      </c>
      <c r="E724" s="177">
        <v>6.0</v>
      </c>
      <c r="F724" s="177">
        <v>12.5</v>
      </c>
      <c r="G724" s="178">
        <v>75.86206896551724</v>
      </c>
      <c r="H724" s="177">
        <v>7.0</v>
      </c>
      <c r="I724" s="178">
        <v>19.5</v>
      </c>
    </row>
    <row r="725">
      <c r="A725" s="177" t="s">
        <v>131</v>
      </c>
      <c r="B725" s="177" t="s">
        <v>3249</v>
      </c>
      <c r="C725" s="177" t="s">
        <v>467</v>
      </c>
      <c r="D725" s="177">
        <v>12.25</v>
      </c>
      <c r="E725" s="177">
        <v>0.0</v>
      </c>
      <c r="F725" s="177">
        <v>12.25</v>
      </c>
      <c r="G725" s="178">
        <v>48.275862068965516</v>
      </c>
      <c r="H725" s="177">
        <v>0.0</v>
      </c>
      <c r="I725" s="178">
        <v>12.25</v>
      </c>
    </row>
    <row r="726">
      <c r="A726" s="177" t="s">
        <v>2260</v>
      </c>
      <c r="B726" s="177" t="s">
        <v>3250</v>
      </c>
      <c r="C726" s="177" t="s">
        <v>468</v>
      </c>
      <c r="D726" s="177">
        <v>6.75</v>
      </c>
      <c r="E726" s="177">
        <v>6.75</v>
      </c>
      <c r="F726" s="177">
        <v>13.5</v>
      </c>
      <c r="G726" s="178">
        <v>79.3103448275862</v>
      </c>
      <c r="H726" s="177">
        <v>7.0</v>
      </c>
      <c r="I726" s="178">
        <v>20.5</v>
      </c>
    </row>
    <row r="727">
      <c r="A727" s="177" t="s">
        <v>2257</v>
      </c>
      <c r="B727" s="177" t="s">
        <v>3251</v>
      </c>
      <c r="C727" s="177" t="s">
        <v>469</v>
      </c>
      <c r="D727" s="177">
        <v>0.0</v>
      </c>
      <c r="E727" s="177">
        <v>0.0</v>
      </c>
      <c r="F727" s="177">
        <v>0.0</v>
      </c>
      <c r="G727" s="178">
        <v>55.172413793103445</v>
      </c>
      <c r="H727" s="177">
        <v>0.0</v>
      </c>
      <c r="I727" s="178">
        <v>0.0</v>
      </c>
    </row>
    <row r="728">
      <c r="A728" s="177" t="s">
        <v>2239</v>
      </c>
      <c r="B728" s="177" t="s">
        <v>3252</v>
      </c>
      <c r="C728" s="177" t="s">
        <v>470</v>
      </c>
      <c r="D728" s="177">
        <v>21.5</v>
      </c>
      <c r="E728" s="177">
        <v>0.0</v>
      </c>
      <c r="F728" s="177">
        <v>21.5</v>
      </c>
      <c r="G728" s="178">
        <v>27.586206896551722</v>
      </c>
      <c r="H728" s="177">
        <v>0.0</v>
      </c>
      <c r="I728" s="178">
        <v>21.5</v>
      </c>
    </row>
    <row r="729">
      <c r="A729" s="177" t="s">
        <v>127</v>
      </c>
      <c r="B729" s="177" t="s">
        <v>3253</v>
      </c>
      <c r="C729" s="177" t="s">
        <v>471</v>
      </c>
      <c r="D729" s="177">
        <v>4.75</v>
      </c>
      <c r="E729" s="177">
        <v>0.0</v>
      </c>
      <c r="F729" s="177">
        <v>4.75</v>
      </c>
      <c r="G729" s="178">
        <v>34.48275862068966</v>
      </c>
      <c r="H729" s="177">
        <v>0.0</v>
      </c>
      <c r="I729" s="178">
        <v>4.75</v>
      </c>
    </row>
    <row r="730">
      <c r="A730" s="177" t="s">
        <v>2261</v>
      </c>
      <c r="B730" s="177" t="s">
        <v>3254</v>
      </c>
      <c r="C730" s="177" t="s">
        <v>472</v>
      </c>
      <c r="D730" s="177">
        <v>7.5</v>
      </c>
      <c r="E730" s="177">
        <v>0.0</v>
      </c>
      <c r="F730" s="177">
        <v>7.5</v>
      </c>
      <c r="G730" s="178">
        <v>58.62068965517241</v>
      </c>
      <c r="H730" s="177">
        <v>0.0</v>
      </c>
      <c r="I730" s="178">
        <v>7.5</v>
      </c>
    </row>
    <row r="731">
      <c r="A731" s="177" t="s">
        <v>2213</v>
      </c>
      <c r="B731" s="177" t="s">
        <v>3255</v>
      </c>
      <c r="C731" s="177" t="s">
        <v>473</v>
      </c>
      <c r="D731" s="177">
        <v>26.5</v>
      </c>
      <c r="E731" s="177">
        <v>20.0</v>
      </c>
      <c r="F731" s="177">
        <v>46.5</v>
      </c>
      <c r="G731" s="178">
        <v>96.55172413793103</v>
      </c>
      <c r="H731" s="177">
        <v>10.0</v>
      </c>
      <c r="I731" s="178">
        <v>56.5</v>
      </c>
    </row>
    <row r="732">
      <c r="A732" s="177" t="s">
        <v>2240</v>
      </c>
      <c r="B732" s="177" t="s">
        <v>3256</v>
      </c>
      <c r="C732" s="177" t="s">
        <v>474</v>
      </c>
      <c r="D732" s="177">
        <v>0.0</v>
      </c>
      <c r="E732" s="177">
        <v>0.0</v>
      </c>
      <c r="F732" s="177">
        <v>0.0</v>
      </c>
      <c r="G732" s="178">
        <v>0.0</v>
      </c>
      <c r="H732" s="177">
        <v>0.0</v>
      </c>
      <c r="I732" s="178">
        <v>0.0</v>
      </c>
    </row>
    <row r="733">
      <c r="A733" s="177" t="s">
        <v>2263</v>
      </c>
      <c r="B733" s="177" t="s">
        <v>3073</v>
      </c>
      <c r="C733" s="177" t="s">
        <v>475</v>
      </c>
      <c r="D733" s="177">
        <v>0.0</v>
      </c>
      <c r="E733" s="177">
        <v>0.0</v>
      </c>
      <c r="F733" s="177">
        <v>0.0</v>
      </c>
      <c r="G733" s="177">
        <v>0.0</v>
      </c>
      <c r="H733" s="177">
        <v>0.0</v>
      </c>
      <c r="I733" s="178">
        <v>0.0</v>
      </c>
    </row>
    <row r="734">
      <c r="A734" s="177" t="s">
        <v>2262</v>
      </c>
      <c r="B734" s="177" t="s">
        <v>3257</v>
      </c>
      <c r="C734" s="177" t="s">
        <v>476</v>
      </c>
      <c r="D734" s="177">
        <v>9.0</v>
      </c>
      <c r="E734" s="177">
        <v>5.5</v>
      </c>
      <c r="F734" s="177">
        <v>14.5</v>
      </c>
      <c r="G734" s="178">
        <v>79.3103448275862</v>
      </c>
      <c r="H734" s="177">
        <v>7.0</v>
      </c>
      <c r="I734" s="178">
        <v>21.5</v>
      </c>
    </row>
    <row r="735">
      <c r="A735" s="177" t="s">
        <v>2241</v>
      </c>
      <c r="B735" s="177" t="s">
        <v>3258</v>
      </c>
      <c r="C735" s="177" t="s">
        <v>477</v>
      </c>
      <c r="D735" s="177">
        <v>14.5</v>
      </c>
      <c r="E735" s="177">
        <v>0.0</v>
      </c>
      <c r="F735" s="177">
        <v>14.5</v>
      </c>
      <c r="G735" s="178">
        <v>89.65517241379311</v>
      </c>
      <c r="H735" s="177">
        <v>9.0</v>
      </c>
      <c r="I735" s="178">
        <v>23.5</v>
      </c>
    </row>
    <row r="736">
      <c r="A736" s="177" t="s">
        <v>2242</v>
      </c>
      <c r="B736" s="177" t="s">
        <v>3259</v>
      </c>
      <c r="C736" s="177" t="s">
        <v>478</v>
      </c>
      <c r="D736" s="177">
        <v>14.75</v>
      </c>
      <c r="E736" s="177">
        <v>0.0</v>
      </c>
      <c r="F736" s="177">
        <v>14.75</v>
      </c>
      <c r="G736" s="178">
        <v>41.37931034482759</v>
      </c>
      <c r="H736" s="177">
        <v>0.0</v>
      </c>
      <c r="I736" s="178">
        <v>14.75</v>
      </c>
    </row>
    <row r="737">
      <c r="A737" s="177" t="s">
        <v>2243</v>
      </c>
      <c r="B737" s="177" t="s">
        <v>3260</v>
      </c>
      <c r="C737" s="177" t="s">
        <v>479</v>
      </c>
      <c r="D737" s="177">
        <v>0.0</v>
      </c>
      <c r="E737" s="177">
        <v>0.0</v>
      </c>
      <c r="F737" s="177">
        <v>0.0</v>
      </c>
      <c r="G737" s="178">
        <v>48.275862068965516</v>
      </c>
      <c r="H737" s="177">
        <v>0.0</v>
      </c>
      <c r="I737" s="178">
        <v>0.0</v>
      </c>
    </row>
    <row r="738">
      <c r="A738" s="177" t="s">
        <v>2244</v>
      </c>
      <c r="B738" s="177" t="s">
        <v>3261</v>
      </c>
      <c r="C738" s="177" t="s">
        <v>480</v>
      </c>
      <c r="D738" s="177">
        <v>20.0</v>
      </c>
      <c r="E738" s="177">
        <v>16.5</v>
      </c>
      <c r="F738" s="177">
        <v>36.5</v>
      </c>
      <c r="G738" s="178">
        <v>93.10344827586206</v>
      </c>
      <c r="H738" s="177">
        <v>10.0</v>
      </c>
      <c r="I738" s="178">
        <v>46.5</v>
      </c>
    </row>
    <row r="739">
      <c r="A739" s="177" t="s">
        <v>2245</v>
      </c>
      <c r="B739" s="177" t="s">
        <v>3262</v>
      </c>
      <c r="C739" s="177" t="s">
        <v>481</v>
      </c>
      <c r="D739" s="177">
        <v>0.0</v>
      </c>
      <c r="E739" s="177">
        <v>7.5</v>
      </c>
      <c r="F739" s="177">
        <v>7.5</v>
      </c>
      <c r="G739" s="178">
        <v>65.51724137931035</v>
      </c>
      <c r="H739" s="177">
        <v>0.0</v>
      </c>
      <c r="I739" s="178">
        <v>7.5</v>
      </c>
    </row>
    <row r="740">
      <c r="A740" s="177" t="s">
        <v>2246</v>
      </c>
      <c r="B740" s="177" t="s">
        <v>3263</v>
      </c>
      <c r="C740" s="177" t="s">
        <v>482</v>
      </c>
      <c r="D740" s="177">
        <v>17.5</v>
      </c>
      <c r="E740" s="177">
        <v>0.0</v>
      </c>
      <c r="F740" s="177">
        <v>17.5</v>
      </c>
      <c r="G740" s="178">
        <v>20.689655172413794</v>
      </c>
      <c r="H740" s="177">
        <v>0.0</v>
      </c>
      <c r="I740" s="178">
        <v>17.5</v>
      </c>
    </row>
    <row r="741">
      <c r="A741" s="177" t="s">
        <v>2247</v>
      </c>
      <c r="B741" s="177" t="s">
        <v>3264</v>
      </c>
      <c r="C741" s="177" t="s">
        <v>483</v>
      </c>
      <c r="D741" s="177">
        <v>14.5</v>
      </c>
      <c r="E741" s="177">
        <v>0.0</v>
      </c>
      <c r="F741" s="177">
        <v>14.5</v>
      </c>
      <c r="G741" s="178">
        <v>55.172413793103445</v>
      </c>
      <c r="H741" s="177">
        <v>0.0</v>
      </c>
      <c r="I741" s="178">
        <v>14.5</v>
      </c>
    </row>
    <row r="742">
      <c r="A742" s="177" t="s">
        <v>2248</v>
      </c>
      <c r="B742" s="177" t="s">
        <v>3265</v>
      </c>
      <c r="C742" s="177" t="s">
        <v>484</v>
      </c>
      <c r="D742" s="177">
        <v>11.25</v>
      </c>
      <c r="E742" s="177">
        <v>0.0</v>
      </c>
      <c r="F742" s="177">
        <v>11.25</v>
      </c>
      <c r="G742" s="178">
        <v>75.86206896551724</v>
      </c>
      <c r="H742" s="177">
        <v>7.0</v>
      </c>
      <c r="I742" s="178">
        <v>18.25</v>
      </c>
    </row>
    <row r="743">
      <c r="A743" s="177" t="s">
        <v>2249</v>
      </c>
      <c r="B743" s="177" t="s">
        <v>3266</v>
      </c>
      <c r="C743" s="177" t="s">
        <v>485</v>
      </c>
      <c r="D743" s="177">
        <v>23.0</v>
      </c>
      <c r="E743" s="177">
        <v>28.25</v>
      </c>
      <c r="F743" s="177">
        <v>51.25</v>
      </c>
      <c r="G743" s="178">
        <v>93.10344827586206</v>
      </c>
      <c r="H743" s="177">
        <v>10.0</v>
      </c>
      <c r="I743" s="178">
        <v>61.25</v>
      </c>
    </row>
    <row r="744">
      <c r="A744" s="177" t="s">
        <v>2250</v>
      </c>
      <c r="B744" s="177" t="s">
        <v>3267</v>
      </c>
      <c r="C744" s="177" t="s">
        <v>486</v>
      </c>
      <c r="D744" s="177">
        <v>16.0</v>
      </c>
      <c r="E744" s="177">
        <v>0.0</v>
      </c>
      <c r="F744" s="177">
        <v>16.0</v>
      </c>
      <c r="G744" s="178">
        <v>62.06896551724138</v>
      </c>
      <c r="H744" s="177">
        <v>0.0</v>
      </c>
      <c r="I744" s="178">
        <v>16.0</v>
      </c>
    </row>
    <row r="745">
      <c r="A745" s="177" t="s">
        <v>2344</v>
      </c>
      <c r="B745" s="177" t="s">
        <v>3268</v>
      </c>
      <c r="C745" s="177" t="s">
        <v>487</v>
      </c>
      <c r="D745" s="177">
        <v>0.0</v>
      </c>
      <c r="E745" s="177">
        <v>0.0</v>
      </c>
      <c r="F745" s="177">
        <v>0.0</v>
      </c>
      <c r="G745" s="178">
        <v>20.689655172413794</v>
      </c>
      <c r="H745" s="177">
        <v>0.0</v>
      </c>
      <c r="I745" s="178">
        <v>0.0</v>
      </c>
    </row>
    <row r="746">
      <c r="A746" s="177" t="s">
        <v>2336</v>
      </c>
      <c r="B746" s="177" t="s">
        <v>3269</v>
      </c>
      <c r="C746" s="177" t="s">
        <v>488</v>
      </c>
      <c r="D746" s="177">
        <v>11.25</v>
      </c>
      <c r="E746" s="177">
        <v>15.25</v>
      </c>
      <c r="F746" s="177">
        <v>26.5</v>
      </c>
      <c r="G746" s="178">
        <v>72.41379310344827</v>
      </c>
      <c r="H746" s="177">
        <v>6.0</v>
      </c>
      <c r="I746" s="178">
        <v>32.5</v>
      </c>
    </row>
    <row r="747">
      <c r="A747" s="177" t="s">
        <v>2251</v>
      </c>
      <c r="B747" s="177" t="s">
        <v>3270</v>
      </c>
      <c r="C747" s="177" t="s">
        <v>489</v>
      </c>
      <c r="D747" s="177">
        <v>19.0</v>
      </c>
      <c r="E747" s="177">
        <v>23.0</v>
      </c>
      <c r="F747" s="177">
        <v>42.0</v>
      </c>
      <c r="G747" s="178">
        <v>89.65517241379311</v>
      </c>
      <c r="H747" s="177">
        <v>9.0</v>
      </c>
      <c r="I747" s="178">
        <v>51.0</v>
      </c>
    </row>
    <row r="748">
      <c r="A748" s="177" t="s">
        <v>2252</v>
      </c>
      <c r="B748" s="177" t="s">
        <v>3271</v>
      </c>
      <c r="C748" s="177" t="s">
        <v>490</v>
      </c>
      <c r="D748" s="177">
        <v>17.25</v>
      </c>
      <c r="E748" s="177">
        <v>0.0</v>
      </c>
      <c r="F748" s="177">
        <v>17.25</v>
      </c>
      <c r="G748" s="178">
        <v>58.62068965517241</v>
      </c>
      <c r="H748" s="177">
        <v>0.0</v>
      </c>
      <c r="I748" s="178">
        <v>17.25</v>
      </c>
    </row>
    <row r="749">
      <c r="A749" s="177" t="s">
        <v>2274</v>
      </c>
      <c r="B749" s="177" t="s">
        <v>2867</v>
      </c>
      <c r="C749" s="177" t="s">
        <v>491</v>
      </c>
      <c r="D749" s="177">
        <v>0.0</v>
      </c>
      <c r="E749" s="177">
        <v>0.0</v>
      </c>
      <c r="F749" s="177">
        <v>0.0</v>
      </c>
      <c r="G749" s="177">
        <v>0.0</v>
      </c>
      <c r="H749" s="177">
        <v>0.0</v>
      </c>
      <c r="I749" s="178">
        <v>0.0</v>
      </c>
    </row>
    <row r="750">
      <c r="A750" s="177" t="s">
        <v>2322</v>
      </c>
      <c r="B750" s="177" t="s">
        <v>3272</v>
      </c>
      <c r="C750" s="177" t="s">
        <v>492</v>
      </c>
      <c r="D750" s="177">
        <v>0.0</v>
      </c>
      <c r="E750" s="177">
        <v>0.0</v>
      </c>
      <c r="F750" s="177">
        <v>0.0</v>
      </c>
      <c r="G750" s="178">
        <v>27.586206896551722</v>
      </c>
      <c r="H750" s="177">
        <v>0.0</v>
      </c>
      <c r="I750" s="178">
        <v>0.0</v>
      </c>
    </row>
    <row r="751">
      <c r="A751" s="177" t="s">
        <v>2253</v>
      </c>
      <c r="B751" s="177" t="s">
        <v>3273</v>
      </c>
      <c r="C751" s="177" t="s">
        <v>493</v>
      </c>
      <c r="D751" s="177">
        <v>12.5</v>
      </c>
      <c r="E751" s="177">
        <v>0.0</v>
      </c>
      <c r="F751" s="177">
        <v>12.5</v>
      </c>
      <c r="G751" s="178">
        <v>6.896551724137931</v>
      </c>
      <c r="H751" s="177">
        <v>0.0</v>
      </c>
      <c r="I751" s="178">
        <v>12.5</v>
      </c>
    </row>
    <row r="752">
      <c r="A752" s="177" t="s">
        <v>2254</v>
      </c>
      <c r="B752" s="177" t="s">
        <v>3274</v>
      </c>
      <c r="C752" s="177" t="s">
        <v>494</v>
      </c>
      <c r="D752" s="177">
        <v>0.0</v>
      </c>
      <c r="E752" s="177">
        <v>0.0</v>
      </c>
      <c r="F752" s="177">
        <v>0.0</v>
      </c>
      <c r="G752" s="177">
        <v>0.0</v>
      </c>
      <c r="H752" s="177">
        <v>0.0</v>
      </c>
      <c r="I752" s="178">
        <v>0.0</v>
      </c>
    </row>
    <row r="753">
      <c r="A753" s="177" t="s">
        <v>2253</v>
      </c>
      <c r="B753" s="177" t="s">
        <v>3275</v>
      </c>
      <c r="C753" s="177" t="s">
        <v>495</v>
      </c>
      <c r="D753" s="177">
        <v>27.0</v>
      </c>
      <c r="E753" s="177">
        <v>0.0</v>
      </c>
      <c r="F753" s="177">
        <v>27.0</v>
      </c>
      <c r="G753" s="178">
        <v>68.96551724137932</v>
      </c>
      <c r="H753" s="177">
        <v>0.0</v>
      </c>
      <c r="I753" s="178">
        <v>27.0</v>
      </c>
    </row>
    <row r="754">
      <c r="A754" s="177" t="s">
        <v>2255</v>
      </c>
      <c r="B754" s="177" t="s">
        <v>3276</v>
      </c>
      <c r="C754" s="177" t="s">
        <v>496</v>
      </c>
      <c r="D754" s="177">
        <v>7.75</v>
      </c>
      <c r="E754" s="177">
        <v>0.0</v>
      </c>
      <c r="F754" s="177">
        <v>7.75</v>
      </c>
      <c r="G754" s="178">
        <v>68.96551724137932</v>
      </c>
      <c r="H754" s="177">
        <v>0.0</v>
      </c>
      <c r="I754" s="178">
        <v>7.75</v>
      </c>
    </row>
    <row r="755">
      <c r="A755" s="177" t="s">
        <v>2278</v>
      </c>
      <c r="B755" s="177" t="s">
        <v>3277</v>
      </c>
      <c r="C755" s="177" t="s">
        <v>497</v>
      </c>
      <c r="D755" s="177">
        <v>0.0</v>
      </c>
      <c r="E755" s="177">
        <v>0.0</v>
      </c>
      <c r="F755" s="177">
        <v>0.0</v>
      </c>
      <c r="G755" s="178">
        <v>13.793103448275861</v>
      </c>
      <c r="H755" s="177">
        <v>0.0</v>
      </c>
      <c r="I755" s="178">
        <v>0.0</v>
      </c>
    </row>
    <row r="756">
      <c r="A756" s="177" t="s">
        <v>2276</v>
      </c>
      <c r="B756" s="177" t="s">
        <v>3278</v>
      </c>
      <c r="C756" s="177" t="s">
        <v>498</v>
      </c>
      <c r="D756" s="177">
        <v>0.0</v>
      </c>
      <c r="E756" s="177">
        <v>0.0</v>
      </c>
      <c r="F756" s="177">
        <v>0.0</v>
      </c>
      <c r="G756" s="178">
        <v>3.4482758620689653</v>
      </c>
      <c r="H756" s="177">
        <v>0.0</v>
      </c>
      <c r="I756" s="178">
        <v>0.0</v>
      </c>
    </row>
    <row r="757">
      <c r="A757" s="177" t="s">
        <v>2256</v>
      </c>
      <c r="B757" s="177" t="s">
        <v>3279</v>
      </c>
      <c r="C757" s="177" t="s">
        <v>499</v>
      </c>
      <c r="D757" s="177">
        <v>0.0</v>
      </c>
      <c r="E757" s="177">
        <v>0.0</v>
      </c>
      <c r="F757" s="177">
        <v>0.0</v>
      </c>
      <c r="G757" s="178">
        <v>6.896551724137931</v>
      </c>
      <c r="H757" s="177">
        <v>0.0</v>
      </c>
      <c r="I757" s="178">
        <v>0.0</v>
      </c>
    </row>
    <row r="758">
      <c r="A758" s="177" t="s">
        <v>2284</v>
      </c>
      <c r="B758" s="177" t="s">
        <v>3280</v>
      </c>
      <c r="C758" s="177" t="s">
        <v>500</v>
      </c>
      <c r="D758" s="177">
        <v>27.5</v>
      </c>
      <c r="E758" s="177">
        <v>26.25</v>
      </c>
      <c r="F758" s="177">
        <v>53.75</v>
      </c>
      <c r="G758" s="178">
        <v>93.10344827586206</v>
      </c>
      <c r="H758" s="177">
        <v>10.0</v>
      </c>
      <c r="I758" s="178">
        <v>63.75</v>
      </c>
    </row>
    <row r="759">
      <c r="A759" s="177" t="s">
        <v>2258</v>
      </c>
      <c r="B759" s="177" t="s">
        <v>3281</v>
      </c>
      <c r="C759" s="177" t="s">
        <v>501</v>
      </c>
      <c r="D759" s="177">
        <v>0.0</v>
      </c>
      <c r="E759" s="177">
        <v>0.0</v>
      </c>
      <c r="F759" s="177">
        <v>0.0</v>
      </c>
      <c r="G759" s="178">
        <v>3.4482758620689653</v>
      </c>
      <c r="H759" s="177">
        <v>0.0</v>
      </c>
      <c r="I759" s="178">
        <v>0.0</v>
      </c>
    </row>
    <row r="760">
      <c r="A760" s="177" t="s">
        <v>2268</v>
      </c>
      <c r="B760" s="177" t="s">
        <v>3282</v>
      </c>
      <c r="C760" s="177" t="s">
        <v>502</v>
      </c>
      <c r="D760" s="177">
        <v>0.0</v>
      </c>
      <c r="E760" s="177">
        <v>0.0</v>
      </c>
      <c r="F760" s="177">
        <v>0.0</v>
      </c>
      <c r="G760" s="178">
        <v>10.344827586206897</v>
      </c>
      <c r="H760" s="177">
        <v>0.0</v>
      </c>
      <c r="I760" s="178">
        <v>0.0</v>
      </c>
    </row>
    <row r="761">
      <c r="A761" s="177" t="s">
        <v>2285</v>
      </c>
      <c r="B761" s="177" t="s">
        <v>3283</v>
      </c>
      <c r="C761" s="177" t="s">
        <v>503</v>
      </c>
      <c r="D761" s="177">
        <v>30.0</v>
      </c>
      <c r="E761" s="177">
        <v>32.5</v>
      </c>
      <c r="F761" s="177">
        <v>62.5</v>
      </c>
      <c r="G761" s="178">
        <v>68.96551724137932</v>
      </c>
      <c r="H761" s="177">
        <v>0.0</v>
      </c>
      <c r="I761" s="178">
        <v>62.5</v>
      </c>
    </row>
    <row r="762">
      <c r="A762" s="177" t="s">
        <v>2271</v>
      </c>
      <c r="B762" s="177" t="s">
        <v>3284</v>
      </c>
      <c r="C762" s="177" t="s">
        <v>504</v>
      </c>
      <c r="D762" s="177">
        <v>31.25</v>
      </c>
      <c r="E762" s="177">
        <v>0.0</v>
      </c>
      <c r="F762" s="177">
        <v>31.25</v>
      </c>
      <c r="G762" s="178">
        <v>44.827586206896555</v>
      </c>
      <c r="H762" s="177">
        <v>0.0</v>
      </c>
      <c r="I762" s="178">
        <v>31.25</v>
      </c>
    </row>
    <row r="763">
      <c r="A763" s="177" t="s">
        <v>2401</v>
      </c>
      <c r="B763" s="177" t="s">
        <v>3285</v>
      </c>
      <c r="C763" s="177" t="s">
        <v>505</v>
      </c>
      <c r="D763" s="177">
        <v>32.5</v>
      </c>
      <c r="E763" s="177">
        <v>31.5</v>
      </c>
      <c r="F763" s="177">
        <v>64.0</v>
      </c>
      <c r="G763" s="178">
        <v>82.75862068965517</v>
      </c>
      <c r="H763" s="177">
        <v>8.0</v>
      </c>
      <c r="I763" s="178">
        <v>72.0</v>
      </c>
    </row>
    <row r="764">
      <c r="A764" s="177" t="s">
        <v>2286</v>
      </c>
      <c r="B764" s="177" t="s">
        <v>3286</v>
      </c>
      <c r="C764" s="177" t="s">
        <v>506</v>
      </c>
      <c r="D764" s="177">
        <v>21.0</v>
      </c>
      <c r="E764" s="177">
        <v>11.25</v>
      </c>
      <c r="F764" s="177">
        <v>32.25</v>
      </c>
      <c r="G764" s="178">
        <v>96.55172413793103</v>
      </c>
      <c r="H764" s="177">
        <v>10.0</v>
      </c>
      <c r="I764" s="178">
        <v>42.25</v>
      </c>
    </row>
    <row r="765">
      <c r="A765" s="177" t="s">
        <v>2221</v>
      </c>
      <c r="B765" s="177" t="s">
        <v>3287</v>
      </c>
      <c r="C765" s="177" t="s">
        <v>507</v>
      </c>
      <c r="D765" s="177">
        <v>11.0</v>
      </c>
      <c r="E765" s="177">
        <v>20.0</v>
      </c>
      <c r="F765" s="177">
        <v>31.0</v>
      </c>
      <c r="G765" s="178">
        <v>86.20689655172414</v>
      </c>
      <c r="H765" s="177">
        <v>9.0</v>
      </c>
      <c r="I765" s="178">
        <v>40.0</v>
      </c>
    </row>
    <row r="766">
      <c r="A766" s="177" t="s">
        <v>2287</v>
      </c>
      <c r="B766" s="177" t="s">
        <v>3288</v>
      </c>
      <c r="C766" s="177" t="s">
        <v>508</v>
      </c>
      <c r="D766" s="177">
        <v>26.5</v>
      </c>
      <c r="E766" s="177">
        <v>28.25</v>
      </c>
      <c r="F766" s="177">
        <v>54.75</v>
      </c>
      <c r="G766" s="178">
        <v>93.10344827586206</v>
      </c>
      <c r="H766" s="177">
        <v>10.0</v>
      </c>
      <c r="I766" s="178">
        <v>64.75</v>
      </c>
    </row>
    <row r="767">
      <c r="A767" s="177" t="s">
        <v>2288</v>
      </c>
      <c r="B767" s="177" t="s">
        <v>3289</v>
      </c>
      <c r="C767" s="177" t="s">
        <v>509</v>
      </c>
      <c r="D767" s="177">
        <v>0.0</v>
      </c>
      <c r="E767" s="177">
        <v>0.0</v>
      </c>
      <c r="F767" s="177">
        <v>0.0</v>
      </c>
      <c r="G767" s="177">
        <v>0.0</v>
      </c>
      <c r="H767" s="177">
        <v>0.0</v>
      </c>
      <c r="I767" s="178">
        <v>0.0</v>
      </c>
    </row>
    <row r="768">
      <c r="A768" s="177" t="s">
        <v>2289</v>
      </c>
      <c r="B768" s="177" t="s">
        <v>3290</v>
      </c>
      <c r="C768" s="177" t="s">
        <v>510</v>
      </c>
      <c r="D768" s="177">
        <v>38.75</v>
      </c>
      <c r="E768" s="177">
        <v>30.25</v>
      </c>
      <c r="F768" s="177">
        <v>69.0</v>
      </c>
      <c r="G768" s="178">
        <v>87.5</v>
      </c>
      <c r="H768" s="177">
        <v>9.0</v>
      </c>
      <c r="I768" s="178">
        <v>78.0</v>
      </c>
    </row>
    <row r="769">
      <c r="A769" s="177" t="s">
        <v>2290</v>
      </c>
      <c r="B769" s="177" t="s">
        <v>3291</v>
      </c>
      <c r="C769" s="177" t="s">
        <v>511</v>
      </c>
      <c r="D769" s="177">
        <v>15.0</v>
      </c>
      <c r="E769" s="177">
        <v>0.0</v>
      </c>
      <c r="F769" s="177">
        <v>15.0</v>
      </c>
      <c r="G769" s="178">
        <v>58.333333333333336</v>
      </c>
      <c r="H769" s="177">
        <v>0.0</v>
      </c>
      <c r="I769" s="178">
        <v>15.0</v>
      </c>
    </row>
    <row r="770">
      <c r="A770" s="177" t="s">
        <v>2291</v>
      </c>
      <c r="B770" s="177" t="s">
        <v>3292</v>
      </c>
      <c r="C770" s="177" t="s">
        <v>512</v>
      </c>
      <c r="D770" s="177">
        <v>12.25</v>
      </c>
      <c r="E770" s="177">
        <v>6.25</v>
      </c>
      <c r="F770" s="177">
        <v>18.5</v>
      </c>
      <c r="G770" s="178">
        <v>91.66666666666667</v>
      </c>
      <c r="H770" s="177">
        <v>10.0</v>
      </c>
      <c r="I770" s="178">
        <v>28.5</v>
      </c>
    </row>
    <row r="771">
      <c r="A771" s="177" t="s">
        <v>2292</v>
      </c>
      <c r="B771" s="177" t="s">
        <v>3293</v>
      </c>
      <c r="C771" s="177" t="s">
        <v>513</v>
      </c>
      <c r="D771" s="177">
        <v>11.75</v>
      </c>
      <c r="E771" s="177">
        <v>23.75</v>
      </c>
      <c r="F771" s="177">
        <v>35.5</v>
      </c>
      <c r="G771" s="178">
        <v>83.33333333333333</v>
      </c>
      <c r="H771" s="177">
        <v>8.0</v>
      </c>
      <c r="I771" s="178">
        <v>43.5</v>
      </c>
    </row>
    <row r="772">
      <c r="A772" s="177" t="s">
        <v>2292</v>
      </c>
      <c r="B772" s="177" t="s">
        <v>3294</v>
      </c>
      <c r="C772" s="177" t="s">
        <v>514</v>
      </c>
      <c r="D772" s="177">
        <v>30.25</v>
      </c>
      <c r="E772" s="177" t="s">
        <v>2491</v>
      </c>
      <c r="F772" s="177" t="s">
        <v>2491</v>
      </c>
      <c r="G772" s="178">
        <v>75.0</v>
      </c>
      <c r="H772" s="177">
        <v>6.0</v>
      </c>
      <c r="I772" s="179">
        <v>0.0</v>
      </c>
    </row>
    <row r="773">
      <c r="A773" s="177" t="s">
        <v>2293</v>
      </c>
      <c r="B773" s="177" t="s">
        <v>3295</v>
      </c>
      <c r="C773" s="177" t="s">
        <v>515</v>
      </c>
      <c r="D773" s="177">
        <v>37.5</v>
      </c>
      <c r="E773" s="177" t="s">
        <v>2491</v>
      </c>
      <c r="F773" s="177" t="s">
        <v>2491</v>
      </c>
      <c r="G773" s="178">
        <v>75.0</v>
      </c>
      <c r="H773" s="177">
        <v>6.0</v>
      </c>
      <c r="I773" s="179">
        <v>0.0</v>
      </c>
    </row>
    <row r="774">
      <c r="A774" s="177" t="s">
        <v>2224</v>
      </c>
      <c r="B774" s="177" t="s">
        <v>3296</v>
      </c>
      <c r="C774" s="177" t="s">
        <v>516</v>
      </c>
      <c r="D774" s="177">
        <v>38.75</v>
      </c>
      <c r="E774" s="177">
        <v>31.25</v>
      </c>
      <c r="F774" s="177">
        <v>70.0</v>
      </c>
      <c r="G774" s="178">
        <v>16.666666666666668</v>
      </c>
      <c r="H774" s="177">
        <v>0.0</v>
      </c>
      <c r="I774" s="178">
        <v>70.0</v>
      </c>
    </row>
    <row r="775">
      <c r="A775" s="177" t="s">
        <v>2294</v>
      </c>
      <c r="B775" s="177" t="s">
        <v>3297</v>
      </c>
      <c r="C775" s="177" t="s">
        <v>517</v>
      </c>
      <c r="D775" s="177">
        <v>0.0</v>
      </c>
      <c r="E775" s="177">
        <v>0.0</v>
      </c>
      <c r="F775" s="177">
        <v>0.0</v>
      </c>
      <c r="G775" s="178">
        <v>16.666666666666668</v>
      </c>
      <c r="H775" s="177">
        <v>0.0</v>
      </c>
      <c r="I775" s="178">
        <v>0.0</v>
      </c>
    </row>
    <row r="776">
      <c r="A776" s="177" t="s">
        <v>2340</v>
      </c>
      <c r="B776" s="177" t="s">
        <v>3298</v>
      </c>
      <c r="C776" s="177" t="s">
        <v>518</v>
      </c>
      <c r="D776" s="177">
        <v>33.0</v>
      </c>
      <c r="E776" s="177">
        <v>22.75</v>
      </c>
      <c r="F776" s="177">
        <v>55.75</v>
      </c>
      <c r="G776" s="178">
        <v>83.33333333333333</v>
      </c>
      <c r="H776" s="177">
        <v>8.0</v>
      </c>
      <c r="I776" s="178">
        <v>63.75</v>
      </c>
    </row>
    <row r="777">
      <c r="A777" s="177" t="s">
        <v>2295</v>
      </c>
      <c r="B777" s="177" t="s">
        <v>3299</v>
      </c>
      <c r="C777" s="177" t="s">
        <v>519</v>
      </c>
      <c r="D777" s="177">
        <v>0.0</v>
      </c>
      <c r="E777" s="177">
        <v>0.0</v>
      </c>
      <c r="F777" s="177">
        <v>0.0</v>
      </c>
      <c r="G777" s="177">
        <v>0.0</v>
      </c>
      <c r="H777" s="177">
        <v>0.0</v>
      </c>
      <c r="I777" s="178">
        <v>0.0</v>
      </c>
    </row>
    <row r="778">
      <c r="A778" s="177" t="s">
        <v>2296</v>
      </c>
      <c r="B778" s="177" t="s">
        <v>3300</v>
      </c>
      <c r="C778" s="177" t="s">
        <v>520</v>
      </c>
      <c r="D778" s="177">
        <v>0.0</v>
      </c>
      <c r="E778" s="177">
        <v>0.0</v>
      </c>
      <c r="F778" s="177">
        <v>0.0</v>
      </c>
      <c r="G778" s="178">
        <v>12.5</v>
      </c>
      <c r="H778" s="177">
        <v>0.0</v>
      </c>
      <c r="I778" s="178">
        <v>0.0</v>
      </c>
    </row>
    <row r="779">
      <c r="A779" s="177" t="s">
        <v>2399</v>
      </c>
      <c r="B779" s="177" t="s">
        <v>3301</v>
      </c>
      <c r="C779" s="177" t="s">
        <v>521</v>
      </c>
      <c r="D779" s="177">
        <v>13.0</v>
      </c>
      <c r="E779" s="177">
        <v>10.5</v>
      </c>
      <c r="F779" s="177">
        <v>23.5</v>
      </c>
      <c r="G779" s="178">
        <v>91.66666666666667</v>
      </c>
      <c r="H779" s="177">
        <v>10.0</v>
      </c>
      <c r="I779" s="178">
        <v>33.5</v>
      </c>
    </row>
    <row r="780">
      <c r="A780" s="177" t="s">
        <v>2264</v>
      </c>
      <c r="B780" s="177" t="s">
        <v>3302</v>
      </c>
      <c r="C780" s="177" t="s">
        <v>522</v>
      </c>
      <c r="D780" s="177">
        <v>14.75</v>
      </c>
      <c r="E780" s="177">
        <v>30.25</v>
      </c>
      <c r="F780" s="177">
        <v>45.0</v>
      </c>
      <c r="G780" s="178">
        <v>83.33333333333333</v>
      </c>
      <c r="H780" s="177">
        <v>8.0</v>
      </c>
      <c r="I780" s="178">
        <v>53.0</v>
      </c>
    </row>
    <row r="781">
      <c r="A781" s="177" t="s">
        <v>2218</v>
      </c>
      <c r="B781" s="177" t="s">
        <v>3303</v>
      </c>
      <c r="C781" s="177" t="s">
        <v>523</v>
      </c>
      <c r="D781" s="177">
        <v>29.0</v>
      </c>
      <c r="E781" s="177" t="s">
        <v>2491</v>
      </c>
      <c r="F781" s="177" t="s">
        <v>2491</v>
      </c>
      <c r="G781" s="178">
        <v>75.0</v>
      </c>
      <c r="H781" s="177">
        <v>6.0</v>
      </c>
      <c r="I781" s="179">
        <v>0.0</v>
      </c>
    </row>
    <row r="782">
      <c r="A782" s="177" t="s">
        <v>2297</v>
      </c>
      <c r="B782" s="177" t="s">
        <v>3304</v>
      </c>
      <c r="C782" s="177" t="s">
        <v>524</v>
      </c>
      <c r="D782" s="177">
        <v>20.25</v>
      </c>
      <c r="E782" s="177" t="s">
        <v>2491</v>
      </c>
      <c r="F782" s="177" t="s">
        <v>2491</v>
      </c>
      <c r="G782" s="178">
        <v>95.83333333333333</v>
      </c>
      <c r="H782" s="177">
        <v>10.0</v>
      </c>
      <c r="I782" s="179">
        <v>0.0</v>
      </c>
    </row>
    <row r="783">
      <c r="A783" s="177" t="s">
        <v>2299</v>
      </c>
      <c r="B783" s="177" t="s">
        <v>3305</v>
      </c>
      <c r="C783" s="177" t="s">
        <v>525</v>
      </c>
      <c r="D783" s="177">
        <v>18.25</v>
      </c>
      <c r="E783" s="177" t="s">
        <v>2491</v>
      </c>
      <c r="F783" s="177" t="s">
        <v>2491</v>
      </c>
      <c r="G783" s="178">
        <v>83.33333333333333</v>
      </c>
      <c r="H783" s="177">
        <v>8.0</v>
      </c>
      <c r="I783" s="179">
        <v>0.0</v>
      </c>
    </row>
    <row r="784">
      <c r="A784" s="177" t="s">
        <v>2300</v>
      </c>
      <c r="B784" s="177" t="s">
        <v>3306</v>
      </c>
      <c r="C784" s="177" t="s">
        <v>526</v>
      </c>
      <c r="D784" s="177">
        <v>0.0</v>
      </c>
      <c r="E784" s="177">
        <v>0.0</v>
      </c>
      <c r="F784" s="177">
        <v>0.0</v>
      </c>
      <c r="G784" s="178">
        <v>20.833333333333332</v>
      </c>
      <c r="H784" s="177">
        <v>0.0</v>
      </c>
      <c r="I784" s="178">
        <v>0.0</v>
      </c>
    </row>
    <row r="785">
      <c r="A785" s="177" t="s">
        <v>2301</v>
      </c>
      <c r="B785" s="177" t="s">
        <v>3307</v>
      </c>
      <c r="C785" s="177" t="s">
        <v>527</v>
      </c>
      <c r="D785" s="177">
        <v>7.75</v>
      </c>
      <c r="E785" s="177">
        <v>0.0</v>
      </c>
      <c r="F785" s="177">
        <v>7.75</v>
      </c>
      <c r="G785" s="178">
        <v>29.166666666666668</v>
      </c>
      <c r="H785" s="177">
        <v>0.0</v>
      </c>
      <c r="I785" s="178">
        <v>7.75</v>
      </c>
    </row>
    <row r="786">
      <c r="A786" s="177" t="s">
        <v>2302</v>
      </c>
      <c r="B786" s="177" t="s">
        <v>3308</v>
      </c>
      <c r="C786" s="177" t="s">
        <v>528</v>
      </c>
      <c r="D786" s="177">
        <v>0.0</v>
      </c>
      <c r="E786" s="177">
        <v>0.0</v>
      </c>
      <c r="F786" s="177">
        <v>0.0</v>
      </c>
      <c r="G786" s="178">
        <v>12.5</v>
      </c>
      <c r="H786" s="177">
        <v>0.0</v>
      </c>
      <c r="I786" s="178">
        <v>0.0</v>
      </c>
    </row>
    <row r="787">
      <c r="A787" s="177" t="s">
        <v>2303</v>
      </c>
      <c r="B787" s="177" t="s">
        <v>3309</v>
      </c>
      <c r="C787" s="177" t="s">
        <v>529</v>
      </c>
      <c r="D787" s="177">
        <v>5.0</v>
      </c>
      <c r="E787" s="177" t="s">
        <v>2491</v>
      </c>
      <c r="F787" s="177" t="s">
        <v>2491</v>
      </c>
      <c r="G787" s="178">
        <v>75.0</v>
      </c>
      <c r="H787" s="177">
        <v>6.0</v>
      </c>
      <c r="I787" s="179">
        <v>0.0</v>
      </c>
    </row>
    <row r="788">
      <c r="A788" s="177" t="s">
        <v>2304</v>
      </c>
      <c r="B788" s="177" t="s">
        <v>3310</v>
      </c>
      <c r="C788" s="177" t="s">
        <v>530</v>
      </c>
      <c r="D788" s="177">
        <v>24.25</v>
      </c>
      <c r="E788" s="177" t="s">
        <v>2491</v>
      </c>
      <c r="F788" s="177" t="s">
        <v>2491</v>
      </c>
      <c r="G788" s="178">
        <v>58.333333333333336</v>
      </c>
      <c r="H788" s="177">
        <v>0.0</v>
      </c>
      <c r="I788" s="179">
        <v>0.0</v>
      </c>
    </row>
    <row r="789">
      <c r="A789" s="177" t="s">
        <v>2305</v>
      </c>
      <c r="B789" s="177" t="s">
        <v>3311</v>
      </c>
      <c r="C789" s="177" t="s">
        <v>531</v>
      </c>
      <c r="D789" s="177">
        <v>27.75</v>
      </c>
      <c r="E789" s="177">
        <v>0.0</v>
      </c>
      <c r="F789" s="177">
        <v>27.75</v>
      </c>
      <c r="G789" s="178">
        <v>37.5</v>
      </c>
      <c r="H789" s="177">
        <v>0.0</v>
      </c>
      <c r="I789" s="178">
        <v>27.75</v>
      </c>
    </row>
    <row r="790">
      <c r="A790" s="177" t="s">
        <v>2306</v>
      </c>
      <c r="B790" s="177" t="s">
        <v>3312</v>
      </c>
      <c r="C790" s="177" t="s">
        <v>532</v>
      </c>
      <c r="D790" s="177">
        <v>13.5</v>
      </c>
      <c r="E790" s="177">
        <v>30.0</v>
      </c>
      <c r="F790" s="177" t="s">
        <v>2491</v>
      </c>
      <c r="G790" s="178">
        <v>75.0</v>
      </c>
      <c r="H790" s="177">
        <v>6.0</v>
      </c>
      <c r="I790" s="179">
        <v>0.0</v>
      </c>
    </row>
    <row r="791">
      <c r="A791" s="177" t="s">
        <v>2306</v>
      </c>
      <c r="B791" s="177" t="s">
        <v>3313</v>
      </c>
      <c r="C791" s="177" t="s">
        <v>533</v>
      </c>
      <c r="D791" s="177">
        <v>13.25</v>
      </c>
      <c r="E791" s="177">
        <v>29.0</v>
      </c>
      <c r="F791" s="177">
        <v>42.25</v>
      </c>
      <c r="G791" s="178">
        <v>100.0</v>
      </c>
      <c r="H791" s="177">
        <v>10.0</v>
      </c>
      <c r="I791" s="178">
        <v>52.25</v>
      </c>
    </row>
    <row r="792">
      <c r="A792" s="177" t="s">
        <v>2320</v>
      </c>
      <c r="B792" s="177" t="s">
        <v>3314</v>
      </c>
      <c r="C792" s="177" t="s">
        <v>534</v>
      </c>
      <c r="D792" s="177">
        <v>16.25</v>
      </c>
      <c r="E792" s="177" t="s">
        <v>2491</v>
      </c>
      <c r="F792" s="177" t="s">
        <v>2491</v>
      </c>
      <c r="G792" s="178">
        <v>79.16666666666667</v>
      </c>
      <c r="H792" s="177">
        <v>7.0</v>
      </c>
      <c r="I792" s="179">
        <v>0.0</v>
      </c>
    </row>
    <row r="793">
      <c r="A793" s="177" t="s">
        <v>124</v>
      </c>
      <c r="B793" s="177" t="s">
        <v>3315</v>
      </c>
      <c r="C793" s="177" t="s">
        <v>535</v>
      </c>
      <c r="D793" s="177">
        <v>5.0</v>
      </c>
      <c r="E793" s="177">
        <v>0.0</v>
      </c>
      <c r="F793" s="177">
        <v>5.0</v>
      </c>
      <c r="G793" s="178">
        <v>20.833333333333332</v>
      </c>
      <c r="H793" s="177">
        <v>0.0</v>
      </c>
      <c r="I793" s="178">
        <v>5.0</v>
      </c>
    </row>
    <row r="794">
      <c r="A794" s="177" t="s">
        <v>2216</v>
      </c>
      <c r="B794" s="177" t="s">
        <v>3316</v>
      </c>
      <c r="C794" s="177" t="s">
        <v>536</v>
      </c>
      <c r="D794" s="177">
        <v>20.0</v>
      </c>
      <c r="E794" s="177">
        <v>32.25</v>
      </c>
      <c r="F794" s="177">
        <v>52.25</v>
      </c>
      <c r="G794" s="178">
        <v>75.0</v>
      </c>
      <c r="H794" s="177">
        <v>6.0</v>
      </c>
      <c r="I794" s="178">
        <v>58.25</v>
      </c>
    </row>
    <row r="795">
      <c r="A795" s="177" t="s">
        <v>2332</v>
      </c>
      <c r="B795" s="177" t="s">
        <v>3317</v>
      </c>
      <c r="C795" s="177" t="s">
        <v>537</v>
      </c>
      <c r="D795" s="177">
        <v>0.0</v>
      </c>
      <c r="E795" s="177">
        <v>0.0</v>
      </c>
      <c r="F795" s="177">
        <v>0.0</v>
      </c>
      <c r="G795" s="178">
        <v>8.333333333333334</v>
      </c>
      <c r="H795" s="177">
        <v>0.0</v>
      </c>
      <c r="I795" s="178">
        <v>0.0</v>
      </c>
    </row>
    <row r="796">
      <c r="A796" s="177" t="s">
        <v>2307</v>
      </c>
      <c r="B796" s="177" t="s">
        <v>3318</v>
      </c>
      <c r="C796" s="177" t="s">
        <v>538</v>
      </c>
      <c r="D796" s="177">
        <v>22.25</v>
      </c>
      <c r="E796" s="177">
        <v>32.75</v>
      </c>
      <c r="F796" s="177">
        <v>55.0</v>
      </c>
      <c r="G796" s="178">
        <v>62.5</v>
      </c>
      <c r="H796" s="177">
        <v>0.0</v>
      </c>
      <c r="I796" s="178">
        <v>55.0</v>
      </c>
    </row>
    <row r="797">
      <c r="A797" s="177" t="s">
        <v>2308</v>
      </c>
      <c r="B797" s="177" t="s">
        <v>3319</v>
      </c>
      <c r="C797" s="177" t="s">
        <v>539</v>
      </c>
      <c r="D797" s="177">
        <v>26.5</v>
      </c>
      <c r="E797" s="177">
        <v>25.25</v>
      </c>
      <c r="F797" s="177">
        <v>51.75</v>
      </c>
      <c r="G797" s="178">
        <v>87.5</v>
      </c>
      <c r="H797" s="177">
        <v>9.0</v>
      </c>
      <c r="I797" s="178">
        <v>60.75</v>
      </c>
    </row>
    <row r="798">
      <c r="A798" s="177" t="s">
        <v>2309</v>
      </c>
      <c r="B798" s="177" t="s">
        <v>3320</v>
      </c>
      <c r="C798" s="177" t="s">
        <v>540</v>
      </c>
      <c r="D798" s="177">
        <v>21.75</v>
      </c>
      <c r="E798" s="177">
        <v>21.75</v>
      </c>
      <c r="F798" s="177">
        <v>43.5</v>
      </c>
      <c r="G798" s="178">
        <v>75.0</v>
      </c>
      <c r="H798" s="177">
        <v>6.0</v>
      </c>
      <c r="I798" s="178">
        <v>50.0</v>
      </c>
    </row>
    <row r="799">
      <c r="A799" s="177" t="s">
        <v>2223</v>
      </c>
      <c r="B799" s="177" t="s">
        <v>3321</v>
      </c>
      <c r="C799" s="177" t="s">
        <v>541</v>
      </c>
      <c r="D799" s="177">
        <v>23.75</v>
      </c>
      <c r="E799" s="177">
        <v>21.25</v>
      </c>
      <c r="F799" s="177">
        <v>45.0</v>
      </c>
      <c r="G799" s="178">
        <v>75.0</v>
      </c>
      <c r="H799" s="177">
        <v>6.0</v>
      </c>
      <c r="I799" s="178">
        <v>51.0</v>
      </c>
    </row>
    <row r="800">
      <c r="A800" s="177" t="s">
        <v>2298</v>
      </c>
      <c r="B800" s="177" t="s">
        <v>3322</v>
      </c>
      <c r="C800" s="177" t="s">
        <v>542</v>
      </c>
      <c r="D800" s="177">
        <v>16.25</v>
      </c>
      <c r="E800" s="177">
        <v>26.5</v>
      </c>
      <c r="F800" s="177">
        <v>42.75</v>
      </c>
      <c r="G800" s="178">
        <v>87.5</v>
      </c>
      <c r="H800" s="177">
        <v>9.0</v>
      </c>
      <c r="I800" s="178">
        <v>51.75</v>
      </c>
    </row>
    <row r="801">
      <c r="A801" s="177" t="s">
        <v>2225</v>
      </c>
      <c r="B801" s="177" t="s">
        <v>3323</v>
      </c>
      <c r="C801" s="177" t="s">
        <v>543</v>
      </c>
      <c r="D801" s="177">
        <v>27.0</v>
      </c>
      <c r="E801" s="177">
        <v>21.25</v>
      </c>
      <c r="F801" s="177">
        <v>48.25</v>
      </c>
      <c r="G801" s="178">
        <v>70.83333333333333</v>
      </c>
      <c r="H801" s="177">
        <v>6.0</v>
      </c>
      <c r="I801" s="178">
        <v>54.25</v>
      </c>
    </row>
    <row r="802">
      <c r="A802" s="177" t="s">
        <v>2280</v>
      </c>
      <c r="B802" s="177" t="s">
        <v>3324</v>
      </c>
      <c r="C802" s="177" t="s">
        <v>544</v>
      </c>
      <c r="D802" s="177">
        <v>27.75</v>
      </c>
      <c r="E802" s="177">
        <v>23.75</v>
      </c>
      <c r="F802" s="177">
        <v>51.5</v>
      </c>
      <c r="G802" s="178">
        <v>75.0</v>
      </c>
      <c r="H802" s="177">
        <v>6.0</v>
      </c>
      <c r="I802" s="178">
        <v>57.5</v>
      </c>
    </row>
    <row r="803">
      <c r="A803" s="177" t="s">
        <v>2327</v>
      </c>
      <c r="B803" s="177" t="s">
        <v>3325</v>
      </c>
      <c r="C803" s="177" t="s">
        <v>545</v>
      </c>
      <c r="D803" s="177">
        <v>8.75</v>
      </c>
      <c r="E803" s="177">
        <v>18.25</v>
      </c>
      <c r="F803" s="177">
        <v>27.0</v>
      </c>
      <c r="G803" s="178">
        <v>95.83333333333333</v>
      </c>
      <c r="H803" s="177">
        <v>10.0</v>
      </c>
      <c r="I803" s="178">
        <v>37.0</v>
      </c>
    </row>
    <row r="804">
      <c r="A804" s="177" t="s">
        <v>2310</v>
      </c>
      <c r="B804" s="177" t="s">
        <v>3326</v>
      </c>
      <c r="C804" s="177" t="s">
        <v>546</v>
      </c>
      <c r="D804" s="177">
        <v>26.25</v>
      </c>
      <c r="E804" s="177">
        <v>23.75</v>
      </c>
      <c r="F804" s="177">
        <v>50.0</v>
      </c>
      <c r="G804" s="178">
        <v>62.5</v>
      </c>
      <c r="H804" s="177">
        <v>0.0</v>
      </c>
      <c r="I804" s="178">
        <v>50.0</v>
      </c>
    </row>
    <row r="805">
      <c r="A805" s="177" t="s">
        <v>2398</v>
      </c>
      <c r="B805" s="177" t="s">
        <v>3327</v>
      </c>
      <c r="C805" s="177" t="s">
        <v>547</v>
      </c>
      <c r="D805" s="177">
        <v>27.75</v>
      </c>
      <c r="E805" s="177">
        <v>19.25</v>
      </c>
      <c r="F805" s="177">
        <v>47.0</v>
      </c>
      <c r="G805" s="178">
        <v>70.83333333333333</v>
      </c>
      <c r="H805" s="177">
        <v>6.0</v>
      </c>
      <c r="I805" s="178">
        <v>53.0</v>
      </c>
    </row>
    <row r="806">
      <c r="A806" s="177" t="s">
        <v>2311</v>
      </c>
      <c r="B806" s="177" t="s">
        <v>3328</v>
      </c>
      <c r="C806" s="177" t="s">
        <v>548</v>
      </c>
      <c r="D806" s="177">
        <v>18.5</v>
      </c>
      <c r="E806" s="177">
        <v>16.25</v>
      </c>
      <c r="F806" s="177">
        <v>34.75</v>
      </c>
      <c r="G806" s="178">
        <v>87.5</v>
      </c>
      <c r="H806" s="177">
        <v>9.0</v>
      </c>
      <c r="I806" s="178">
        <v>43.75</v>
      </c>
    </row>
    <row r="807">
      <c r="A807" s="177" t="s">
        <v>2341</v>
      </c>
      <c r="B807" s="177" t="s">
        <v>3329</v>
      </c>
      <c r="C807" s="177" t="s">
        <v>549</v>
      </c>
      <c r="D807" s="177">
        <v>27.75</v>
      </c>
      <c r="E807" s="177">
        <v>22.0</v>
      </c>
      <c r="F807" s="177">
        <v>49.75</v>
      </c>
      <c r="G807" s="178">
        <v>83.33333333333333</v>
      </c>
      <c r="H807" s="177">
        <v>8.0</v>
      </c>
      <c r="I807" s="178">
        <v>57.75</v>
      </c>
    </row>
    <row r="808">
      <c r="A808" s="177" t="s">
        <v>2312</v>
      </c>
      <c r="B808" s="177" t="s">
        <v>3330</v>
      </c>
      <c r="C808" s="177" t="s">
        <v>550</v>
      </c>
      <c r="D808" s="177">
        <v>29.25</v>
      </c>
      <c r="E808" s="177">
        <v>22.75</v>
      </c>
      <c r="F808" s="177">
        <v>52.0</v>
      </c>
      <c r="G808" s="178">
        <v>83.33333333333333</v>
      </c>
      <c r="H808" s="177">
        <v>8.0</v>
      </c>
      <c r="I808" s="178">
        <v>60.0</v>
      </c>
    </row>
    <row r="809">
      <c r="A809" s="177" t="s">
        <v>2397</v>
      </c>
      <c r="B809" s="177" t="s">
        <v>3331</v>
      </c>
      <c r="C809" s="177" t="s">
        <v>551</v>
      </c>
      <c r="D809" s="177">
        <v>25.0</v>
      </c>
      <c r="E809" s="177">
        <v>25.0</v>
      </c>
      <c r="F809" s="177">
        <v>50.0</v>
      </c>
      <c r="G809" s="178">
        <v>83.33333333333333</v>
      </c>
      <c r="H809" s="177">
        <v>8.0</v>
      </c>
      <c r="I809" s="178">
        <v>58.0</v>
      </c>
    </row>
    <row r="810">
      <c r="A810" s="177" t="s">
        <v>2313</v>
      </c>
      <c r="B810" s="177" t="s">
        <v>3332</v>
      </c>
      <c r="C810" s="177" t="s">
        <v>552</v>
      </c>
      <c r="D810" s="177">
        <v>24.75</v>
      </c>
      <c r="E810" s="177">
        <v>13.0</v>
      </c>
      <c r="F810" s="177">
        <v>37.75</v>
      </c>
      <c r="G810" s="178">
        <v>83.33333333333333</v>
      </c>
      <c r="H810" s="177">
        <v>8.0</v>
      </c>
      <c r="I810" s="178">
        <v>45.75</v>
      </c>
    </row>
    <row r="811">
      <c r="A811" s="177" t="s">
        <v>2314</v>
      </c>
      <c r="B811" s="177" t="s">
        <v>3333</v>
      </c>
      <c r="C811" s="177" t="s">
        <v>553</v>
      </c>
      <c r="D811" s="177">
        <v>15.25</v>
      </c>
      <c r="E811" s="177">
        <v>23.75</v>
      </c>
      <c r="F811" s="177">
        <v>39.0</v>
      </c>
      <c r="G811" s="178">
        <v>83.33333333333333</v>
      </c>
      <c r="H811" s="177">
        <v>8.0</v>
      </c>
      <c r="I811" s="178">
        <v>47.0</v>
      </c>
    </row>
    <row r="812">
      <c r="A812" s="177" t="s">
        <v>2323</v>
      </c>
      <c r="B812" s="177" t="s">
        <v>3334</v>
      </c>
      <c r="C812" s="177" t="s">
        <v>554</v>
      </c>
      <c r="D812" s="177">
        <v>18.0</v>
      </c>
      <c r="E812" s="177">
        <v>12.5</v>
      </c>
      <c r="F812" s="177">
        <v>30.5</v>
      </c>
      <c r="G812" s="178">
        <v>70.83333333333333</v>
      </c>
      <c r="H812" s="177">
        <v>6.0</v>
      </c>
      <c r="I812" s="178">
        <v>36.5</v>
      </c>
    </row>
    <row r="813">
      <c r="A813" s="177" t="s">
        <v>2321</v>
      </c>
      <c r="B813" s="177" t="s">
        <v>3335</v>
      </c>
      <c r="C813" s="177" t="s">
        <v>555</v>
      </c>
      <c r="D813" s="177">
        <v>11.5</v>
      </c>
      <c r="E813" s="177">
        <v>23.0</v>
      </c>
      <c r="F813" s="177">
        <v>34.5</v>
      </c>
      <c r="G813" s="178">
        <v>91.66666666666667</v>
      </c>
      <c r="H813" s="177">
        <v>10.0</v>
      </c>
      <c r="I813" s="178">
        <v>44.5</v>
      </c>
    </row>
    <row r="814">
      <c r="A814" s="177" t="s">
        <v>2329</v>
      </c>
      <c r="B814" s="177" t="s">
        <v>3336</v>
      </c>
      <c r="C814" s="177" t="s">
        <v>556</v>
      </c>
      <c r="D814" s="177">
        <v>31.25</v>
      </c>
      <c r="E814" s="177">
        <v>25.0</v>
      </c>
      <c r="F814" s="177">
        <v>56.25</v>
      </c>
      <c r="G814" s="178">
        <v>95.83333333333333</v>
      </c>
      <c r="H814" s="177">
        <v>10.0</v>
      </c>
      <c r="I814" s="178">
        <v>66.25</v>
      </c>
    </row>
    <row r="815">
      <c r="A815" s="177" t="s">
        <v>2315</v>
      </c>
      <c r="B815" s="177" t="s">
        <v>3337</v>
      </c>
      <c r="C815" s="177" t="s">
        <v>557</v>
      </c>
      <c r="D815" s="177">
        <v>0.0</v>
      </c>
      <c r="E815" s="177">
        <v>0.0</v>
      </c>
      <c r="F815" s="177">
        <v>0.0</v>
      </c>
      <c r="G815" s="177">
        <v>0.0</v>
      </c>
      <c r="H815" s="177">
        <v>0.0</v>
      </c>
      <c r="I815" s="178">
        <v>0.0</v>
      </c>
    </row>
    <row r="816">
      <c r="A816" s="177" t="s">
        <v>2282</v>
      </c>
      <c r="B816" s="177" t="s">
        <v>3338</v>
      </c>
      <c r="C816" s="177" t="s">
        <v>558</v>
      </c>
      <c r="D816" s="177">
        <v>0.0</v>
      </c>
      <c r="E816" s="177">
        <v>0.0</v>
      </c>
      <c r="F816" s="177">
        <v>0.0</v>
      </c>
      <c r="G816" s="178">
        <v>12.5</v>
      </c>
      <c r="H816" s="177">
        <v>0.0</v>
      </c>
      <c r="I816" s="178">
        <v>0.0</v>
      </c>
    </row>
    <row r="817">
      <c r="A817" s="177" t="s">
        <v>2337</v>
      </c>
      <c r="B817" s="177" t="s">
        <v>3339</v>
      </c>
      <c r="C817" s="177" t="s">
        <v>559</v>
      </c>
      <c r="D817" s="177">
        <v>27.5</v>
      </c>
      <c r="E817" s="177">
        <v>20.0</v>
      </c>
      <c r="F817" s="177">
        <v>47.5</v>
      </c>
      <c r="G817" s="178">
        <v>95.83333333333333</v>
      </c>
      <c r="H817" s="177">
        <v>10.0</v>
      </c>
      <c r="I817" s="178">
        <v>57.5</v>
      </c>
    </row>
    <row r="818">
      <c r="A818" s="177" t="s">
        <v>2316</v>
      </c>
      <c r="B818" s="177" t="s">
        <v>3340</v>
      </c>
      <c r="C818" s="177" t="s">
        <v>560</v>
      </c>
      <c r="D818" s="177">
        <v>8.75</v>
      </c>
      <c r="E818" s="177">
        <v>23.75</v>
      </c>
      <c r="F818" s="177">
        <v>32.5</v>
      </c>
      <c r="G818" s="178">
        <v>100.0</v>
      </c>
      <c r="H818" s="177">
        <v>10.0</v>
      </c>
      <c r="I818" s="178">
        <v>42.5</v>
      </c>
    </row>
    <row r="819">
      <c r="A819" s="177" t="s">
        <v>2317</v>
      </c>
      <c r="B819" s="177" t="s">
        <v>3341</v>
      </c>
      <c r="C819" s="177" t="s">
        <v>561</v>
      </c>
      <c r="D819" s="177">
        <v>33.0</v>
      </c>
      <c r="E819" s="177">
        <v>19.5</v>
      </c>
      <c r="F819" s="177">
        <v>52.5</v>
      </c>
      <c r="G819" s="178">
        <v>91.66666666666667</v>
      </c>
      <c r="H819" s="177">
        <v>10.0</v>
      </c>
      <c r="I819" s="178">
        <v>62.5</v>
      </c>
    </row>
    <row r="820">
      <c r="A820" s="177" t="s">
        <v>2281</v>
      </c>
      <c r="B820" s="177" t="s">
        <v>3342</v>
      </c>
      <c r="C820" s="177" t="s">
        <v>562</v>
      </c>
      <c r="D820" s="177">
        <v>0.0</v>
      </c>
      <c r="E820" s="177">
        <v>0.0</v>
      </c>
      <c r="F820" s="177">
        <v>0.0</v>
      </c>
      <c r="G820" s="177">
        <v>0.0</v>
      </c>
      <c r="H820" s="177">
        <v>0.0</v>
      </c>
      <c r="I820" s="178">
        <v>0.0</v>
      </c>
    </row>
    <row r="821">
      <c r="A821" s="177" t="s">
        <v>2318</v>
      </c>
      <c r="B821" s="177" t="s">
        <v>3343</v>
      </c>
      <c r="C821" s="177" t="s">
        <v>563</v>
      </c>
      <c r="D821" s="177">
        <v>9.5</v>
      </c>
      <c r="E821" s="177">
        <v>24.0</v>
      </c>
      <c r="F821" s="177">
        <v>33.5</v>
      </c>
      <c r="G821" s="178">
        <v>83.33333333333333</v>
      </c>
      <c r="H821" s="177">
        <v>8.0</v>
      </c>
      <c r="I821" s="178">
        <v>41.5</v>
      </c>
    </row>
    <row r="822">
      <c r="A822" s="177" t="s">
        <v>2319</v>
      </c>
      <c r="B822" s="177" t="s">
        <v>3344</v>
      </c>
      <c r="C822" s="177" t="s">
        <v>564</v>
      </c>
      <c r="D822" s="177">
        <v>25.25</v>
      </c>
      <c r="E822" s="177">
        <v>0.0</v>
      </c>
      <c r="F822" s="177">
        <v>25.25</v>
      </c>
      <c r="G822" s="178">
        <v>50.0</v>
      </c>
      <c r="H822" s="177">
        <v>0.0</v>
      </c>
      <c r="I822" s="178">
        <v>25.25</v>
      </c>
    </row>
    <row r="823">
      <c r="A823" s="177" t="s">
        <v>2403</v>
      </c>
      <c r="B823" s="177" t="s">
        <v>3345</v>
      </c>
      <c r="C823" s="177" t="s">
        <v>565</v>
      </c>
      <c r="D823" s="177">
        <v>20.5</v>
      </c>
      <c r="E823" s="177">
        <v>26.25</v>
      </c>
      <c r="F823" s="177">
        <v>46.75</v>
      </c>
      <c r="G823" s="178">
        <v>79.16666666666667</v>
      </c>
      <c r="H823" s="177">
        <v>7.0</v>
      </c>
      <c r="I823" s="178">
        <v>53.75</v>
      </c>
    </row>
    <row r="824">
      <c r="A824" s="177" t="s">
        <v>2326</v>
      </c>
      <c r="B824" s="177" t="s">
        <v>3346</v>
      </c>
      <c r="C824" s="177" t="s">
        <v>566</v>
      </c>
      <c r="D824" s="177">
        <v>30.0</v>
      </c>
      <c r="E824" s="177">
        <v>23.5</v>
      </c>
      <c r="F824" s="177">
        <v>53.5</v>
      </c>
      <c r="G824" s="178">
        <v>45.833333333333336</v>
      </c>
      <c r="H824" s="177">
        <v>0.0</v>
      </c>
      <c r="I824" s="178">
        <v>53.5</v>
      </c>
    </row>
    <row r="825">
      <c r="A825" s="177" t="s">
        <v>2333</v>
      </c>
      <c r="B825" s="177" t="s">
        <v>3347</v>
      </c>
      <c r="C825" s="177" t="s">
        <v>567</v>
      </c>
      <c r="D825" s="177">
        <v>0.0</v>
      </c>
      <c r="E825" s="177">
        <v>0.0</v>
      </c>
      <c r="F825" s="177">
        <v>0.0</v>
      </c>
      <c r="G825" s="178">
        <v>4.166666666666667</v>
      </c>
      <c r="H825" s="177">
        <v>0.0</v>
      </c>
      <c r="I825" s="178">
        <v>0.0</v>
      </c>
    </row>
    <row r="826">
      <c r="A826" s="177" t="s">
        <v>2324</v>
      </c>
      <c r="B826" s="177" t="s">
        <v>3348</v>
      </c>
      <c r="C826" s="177" t="s">
        <v>568</v>
      </c>
      <c r="D826" s="177">
        <v>24.5</v>
      </c>
      <c r="E826" s="177">
        <v>18.0</v>
      </c>
      <c r="F826" s="177">
        <v>42.5</v>
      </c>
      <c r="G826" s="178">
        <v>91.66666666666667</v>
      </c>
      <c r="H826" s="177">
        <v>10.0</v>
      </c>
      <c r="I826" s="178">
        <v>52.5</v>
      </c>
    </row>
    <row r="827">
      <c r="A827" s="177" t="s">
        <v>2328</v>
      </c>
      <c r="B827" s="177" t="s">
        <v>3349</v>
      </c>
      <c r="C827" s="177" t="s">
        <v>569</v>
      </c>
      <c r="D827" s="177">
        <v>33.75</v>
      </c>
      <c r="E827" s="177">
        <v>30.0</v>
      </c>
      <c r="F827" s="177">
        <f>D827+E827</f>
        <v>63.75</v>
      </c>
      <c r="G827" s="178">
        <v>50.0</v>
      </c>
      <c r="H827" s="177">
        <v>0.0</v>
      </c>
      <c r="I827" s="178">
        <v>63.75</v>
      </c>
    </row>
    <row r="828">
      <c r="A828" s="177" t="s">
        <v>2345</v>
      </c>
      <c r="B828" s="177" t="s">
        <v>3350</v>
      </c>
      <c r="C828" s="177" t="s">
        <v>570</v>
      </c>
      <c r="D828" s="177">
        <v>5.75</v>
      </c>
      <c r="E828" s="177">
        <v>0.0</v>
      </c>
      <c r="F828" s="177">
        <v>5.75</v>
      </c>
      <c r="G828" s="178">
        <v>75.0</v>
      </c>
      <c r="H828" s="177">
        <v>6.0</v>
      </c>
      <c r="I828" s="178">
        <v>11.75</v>
      </c>
    </row>
    <row r="829">
      <c r="A829" s="177" t="s">
        <v>2346</v>
      </c>
      <c r="B829" s="177" t="s">
        <v>3075</v>
      </c>
      <c r="C829" s="177" t="s">
        <v>571</v>
      </c>
      <c r="D829" s="177">
        <v>0.0</v>
      </c>
      <c r="E829" s="177">
        <v>0.0</v>
      </c>
      <c r="F829" s="177">
        <v>0.0</v>
      </c>
      <c r="G829" s="177">
        <v>0.0</v>
      </c>
      <c r="H829" s="177">
        <v>0.0</v>
      </c>
      <c r="I829" s="178">
        <v>0.0</v>
      </c>
    </row>
    <row r="830">
      <c r="A830" s="177" t="s">
        <v>2334</v>
      </c>
      <c r="B830" s="177" t="s">
        <v>3351</v>
      </c>
      <c r="C830" s="177" t="s">
        <v>572</v>
      </c>
      <c r="D830" s="177">
        <v>13.0</v>
      </c>
      <c r="E830" s="177">
        <v>32.0</v>
      </c>
      <c r="F830" s="177">
        <v>45.0</v>
      </c>
      <c r="G830" s="178">
        <v>73.07692307692308</v>
      </c>
      <c r="H830" s="177">
        <v>6.0</v>
      </c>
      <c r="I830" s="178">
        <v>51.0</v>
      </c>
    </row>
    <row r="831">
      <c r="A831" s="177" t="s">
        <v>2325</v>
      </c>
      <c r="B831" s="177" t="s">
        <v>3352</v>
      </c>
      <c r="C831" s="177" t="s">
        <v>573</v>
      </c>
      <c r="D831" s="177">
        <v>12.25</v>
      </c>
      <c r="E831" s="177">
        <v>7.25</v>
      </c>
      <c r="F831" s="177">
        <v>19.5</v>
      </c>
      <c r="G831" s="178">
        <v>80.76923076923077</v>
      </c>
      <c r="H831" s="177">
        <v>8.0</v>
      </c>
      <c r="I831" s="178">
        <v>27.5</v>
      </c>
    </row>
    <row r="832">
      <c r="A832" s="177" t="s">
        <v>2347</v>
      </c>
      <c r="B832" s="177" t="s">
        <v>3353</v>
      </c>
      <c r="C832" s="177" t="s">
        <v>574</v>
      </c>
      <c r="D832" s="177">
        <v>13.25</v>
      </c>
      <c r="E832" s="177">
        <v>5.75</v>
      </c>
      <c r="F832" s="177">
        <v>19.0</v>
      </c>
      <c r="G832" s="178">
        <v>92.3076923076923</v>
      </c>
      <c r="H832" s="177">
        <v>10.0</v>
      </c>
      <c r="I832" s="178">
        <v>29.0</v>
      </c>
    </row>
    <row r="833">
      <c r="A833" s="177" t="s">
        <v>2219</v>
      </c>
      <c r="B833" s="177" t="s">
        <v>3354</v>
      </c>
      <c r="C833" s="177" t="s">
        <v>575</v>
      </c>
      <c r="D833" s="177">
        <v>14.5</v>
      </c>
      <c r="E833" s="177">
        <v>15.25</v>
      </c>
      <c r="F833" s="177">
        <v>29.75</v>
      </c>
      <c r="G833" s="178">
        <v>76.92307692307692</v>
      </c>
      <c r="H833" s="177">
        <v>7.0</v>
      </c>
      <c r="I833" s="178">
        <v>36.75</v>
      </c>
    </row>
    <row r="834">
      <c r="A834" s="177" t="s">
        <v>2348</v>
      </c>
      <c r="B834" s="177" t="s">
        <v>3355</v>
      </c>
      <c r="C834" s="177" t="s">
        <v>576</v>
      </c>
      <c r="D834" s="177">
        <v>0.0</v>
      </c>
      <c r="E834" s="177">
        <v>0.0</v>
      </c>
      <c r="F834" s="177">
        <v>0.0</v>
      </c>
      <c r="G834" s="178">
        <v>69.23076923076923</v>
      </c>
      <c r="H834" s="177">
        <v>0.0</v>
      </c>
      <c r="I834" s="178">
        <v>0.0</v>
      </c>
    </row>
    <row r="835">
      <c r="A835" s="177" t="s">
        <v>2349</v>
      </c>
      <c r="B835" s="177" t="s">
        <v>3356</v>
      </c>
      <c r="C835" s="177" t="s">
        <v>577</v>
      </c>
      <c r="D835" s="177">
        <v>17.5</v>
      </c>
      <c r="E835" s="177">
        <v>11.75</v>
      </c>
      <c r="F835" s="177">
        <v>29.25</v>
      </c>
      <c r="G835" s="178">
        <v>73.07692307692308</v>
      </c>
      <c r="H835" s="177">
        <v>6.0</v>
      </c>
      <c r="I835" s="178">
        <v>35.25</v>
      </c>
    </row>
    <row r="836">
      <c r="A836" s="177" t="s">
        <v>2383</v>
      </c>
      <c r="B836" s="177" t="s">
        <v>3357</v>
      </c>
      <c r="C836" s="177" t="s">
        <v>578</v>
      </c>
      <c r="D836" s="177">
        <v>0.0</v>
      </c>
      <c r="E836" s="177">
        <v>0.0</v>
      </c>
      <c r="F836" s="177">
        <v>0.0</v>
      </c>
      <c r="G836" s="178">
        <v>53.84615384615385</v>
      </c>
      <c r="H836" s="177">
        <v>0.0</v>
      </c>
      <c r="I836" s="178">
        <v>0.0</v>
      </c>
    </row>
    <row r="837">
      <c r="A837" s="177" t="s">
        <v>2350</v>
      </c>
      <c r="B837" s="177" t="s">
        <v>3358</v>
      </c>
      <c r="C837" s="177" t="s">
        <v>579</v>
      </c>
      <c r="D837" s="177">
        <v>14.75</v>
      </c>
      <c r="E837" s="177">
        <v>18.0</v>
      </c>
      <c r="F837" s="177">
        <v>32.75</v>
      </c>
      <c r="G837" s="178">
        <v>73.07692307692308</v>
      </c>
      <c r="H837" s="177">
        <v>6.0</v>
      </c>
      <c r="I837" s="178">
        <v>38.75</v>
      </c>
    </row>
    <row r="838">
      <c r="A838" s="177" t="s">
        <v>2351</v>
      </c>
      <c r="B838" s="177" t="s">
        <v>3359</v>
      </c>
      <c r="C838" s="177" t="s">
        <v>580</v>
      </c>
      <c r="D838" s="177">
        <v>0.0</v>
      </c>
      <c r="E838" s="177">
        <v>0.0</v>
      </c>
      <c r="F838" s="177">
        <v>0.0</v>
      </c>
      <c r="G838" s="178">
        <v>42.30769230769231</v>
      </c>
      <c r="H838" s="177">
        <v>0.0</v>
      </c>
      <c r="I838" s="178">
        <v>0.0</v>
      </c>
    </row>
    <row r="839">
      <c r="A839" s="177" t="s">
        <v>2352</v>
      </c>
      <c r="B839" s="177" t="s">
        <v>3360</v>
      </c>
      <c r="C839" s="177" t="s">
        <v>581</v>
      </c>
      <c r="D839" s="177">
        <v>15.0</v>
      </c>
      <c r="E839" s="177">
        <v>10.0</v>
      </c>
      <c r="F839" s="177">
        <v>25.0</v>
      </c>
      <c r="G839" s="178">
        <v>92.3076923076923</v>
      </c>
      <c r="H839" s="177">
        <v>10.0</v>
      </c>
      <c r="I839" s="178">
        <v>35.0</v>
      </c>
    </row>
    <row r="840">
      <c r="A840" s="177" t="s">
        <v>2275</v>
      </c>
      <c r="B840" s="177" t="s">
        <v>3361</v>
      </c>
      <c r="C840" s="177" t="s">
        <v>582</v>
      </c>
      <c r="D840" s="177">
        <v>0.0</v>
      </c>
      <c r="E840" s="177">
        <v>0.0</v>
      </c>
      <c r="F840" s="177">
        <v>0.0</v>
      </c>
      <c r="G840" s="178">
        <v>7.6923076923076925</v>
      </c>
      <c r="H840" s="177">
        <v>0.0</v>
      </c>
      <c r="I840" s="178">
        <v>0.0</v>
      </c>
    </row>
    <row r="841">
      <c r="A841" s="177" t="s">
        <v>2384</v>
      </c>
      <c r="B841" s="177" t="s">
        <v>3362</v>
      </c>
      <c r="C841" s="177" t="s">
        <v>583</v>
      </c>
      <c r="D841" s="177">
        <v>11.0</v>
      </c>
      <c r="E841" s="177">
        <v>4.5</v>
      </c>
      <c r="F841" s="177">
        <v>15.5</v>
      </c>
      <c r="G841" s="178">
        <v>88.46153846153847</v>
      </c>
      <c r="H841" s="177">
        <v>9.0</v>
      </c>
      <c r="I841" s="178">
        <v>24.5</v>
      </c>
    </row>
    <row r="842">
      <c r="A842" s="177" t="s">
        <v>2353</v>
      </c>
      <c r="B842" s="177" t="s">
        <v>3363</v>
      </c>
      <c r="C842" s="177" t="s">
        <v>584</v>
      </c>
      <c r="D842" s="177">
        <v>11.75</v>
      </c>
      <c r="E842" s="177">
        <v>11.25</v>
      </c>
      <c r="F842" s="177">
        <v>23.0</v>
      </c>
      <c r="G842" s="178">
        <v>50.0</v>
      </c>
      <c r="H842" s="177">
        <v>0.0</v>
      </c>
      <c r="I842" s="178">
        <v>23.0</v>
      </c>
    </row>
    <row r="843">
      <c r="A843" s="177" t="s">
        <v>2331</v>
      </c>
      <c r="B843" s="177" t="s">
        <v>3364</v>
      </c>
      <c r="C843" s="177" t="s">
        <v>585</v>
      </c>
      <c r="D843" s="177">
        <v>15.75</v>
      </c>
      <c r="E843" s="177">
        <v>11.75</v>
      </c>
      <c r="F843" s="177">
        <v>27.5</v>
      </c>
      <c r="G843" s="178">
        <v>96.15384615384616</v>
      </c>
      <c r="H843" s="177">
        <v>10.0</v>
      </c>
      <c r="I843" s="178">
        <v>37.5</v>
      </c>
    </row>
    <row r="844">
      <c r="A844" s="177" t="s">
        <v>2354</v>
      </c>
      <c r="B844" s="177" t="s">
        <v>3365</v>
      </c>
      <c r="C844" s="177" t="s">
        <v>586</v>
      </c>
      <c r="D844" s="177">
        <v>0.0</v>
      </c>
      <c r="E844" s="177">
        <v>0.0</v>
      </c>
      <c r="F844" s="177">
        <v>0.0</v>
      </c>
      <c r="G844" s="177">
        <v>0.0</v>
      </c>
      <c r="H844" s="177">
        <v>0.0</v>
      </c>
      <c r="I844" s="178">
        <v>0.0</v>
      </c>
    </row>
    <row r="845">
      <c r="A845" s="177" t="s">
        <v>2385</v>
      </c>
      <c r="B845" s="177" t="s">
        <v>3366</v>
      </c>
      <c r="C845" s="177" t="s">
        <v>587</v>
      </c>
      <c r="D845" s="177">
        <v>17.5</v>
      </c>
      <c r="E845" s="177">
        <v>24.5</v>
      </c>
      <c r="F845" s="177">
        <v>42.0</v>
      </c>
      <c r="G845" s="178">
        <v>80.76923076923077</v>
      </c>
      <c r="H845" s="177">
        <v>8.0</v>
      </c>
      <c r="I845" s="178">
        <v>50.0</v>
      </c>
    </row>
    <row r="846">
      <c r="A846" s="177" t="s">
        <v>2355</v>
      </c>
      <c r="B846" s="177" t="s">
        <v>3367</v>
      </c>
      <c r="C846" s="177" t="s">
        <v>588</v>
      </c>
      <c r="D846" s="177">
        <v>14.25</v>
      </c>
      <c r="E846" s="177">
        <v>14.75</v>
      </c>
      <c r="F846" s="177">
        <v>29.0</v>
      </c>
      <c r="G846" s="178">
        <v>61.53846153846154</v>
      </c>
      <c r="H846" s="177">
        <v>0.0</v>
      </c>
      <c r="I846" s="178">
        <v>29.0</v>
      </c>
    </row>
    <row r="847">
      <c r="A847" s="177" t="s">
        <v>2386</v>
      </c>
      <c r="B847" s="177" t="s">
        <v>3368</v>
      </c>
      <c r="C847" s="177" t="s">
        <v>589</v>
      </c>
      <c r="D847" s="177">
        <v>16.25</v>
      </c>
      <c r="E847" s="177">
        <v>21.25</v>
      </c>
      <c r="F847" s="177">
        <v>37.5</v>
      </c>
      <c r="G847" s="178">
        <v>84.61538461538461</v>
      </c>
      <c r="H847" s="177">
        <v>8.0</v>
      </c>
      <c r="I847" s="178">
        <v>45.5</v>
      </c>
    </row>
    <row r="848">
      <c r="A848" s="177" t="s">
        <v>2392</v>
      </c>
      <c r="B848" s="177" t="s">
        <v>3369</v>
      </c>
      <c r="C848" s="177" t="s">
        <v>590</v>
      </c>
      <c r="D848" s="177">
        <v>14.75</v>
      </c>
      <c r="E848" s="177">
        <v>11.25</v>
      </c>
      <c r="F848" s="177">
        <v>26.0</v>
      </c>
      <c r="G848" s="178">
        <v>65.38461538461539</v>
      </c>
      <c r="H848" s="177">
        <v>0.0</v>
      </c>
      <c r="I848" s="178">
        <v>26.0</v>
      </c>
    </row>
    <row r="849">
      <c r="A849" s="177" t="s">
        <v>2356</v>
      </c>
      <c r="B849" s="177" t="s">
        <v>3370</v>
      </c>
      <c r="C849" s="177" t="s">
        <v>591</v>
      </c>
      <c r="D849" s="177">
        <v>12.25</v>
      </c>
      <c r="E849" s="177">
        <v>0.0</v>
      </c>
      <c r="F849" s="177">
        <v>12.25</v>
      </c>
      <c r="G849" s="178">
        <v>80.76923076923077</v>
      </c>
      <c r="H849" s="177">
        <v>8.0</v>
      </c>
      <c r="I849" s="178">
        <v>20.25</v>
      </c>
    </row>
    <row r="850">
      <c r="A850" s="177" t="s">
        <v>2330</v>
      </c>
      <c r="B850" s="177" t="s">
        <v>3371</v>
      </c>
      <c r="C850" s="177" t="s">
        <v>592</v>
      </c>
      <c r="D850" s="177">
        <v>17.5</v>
      </c>
      <c r="E850" s="177">
        <v>13.25</v>
      </c>
      <c r="F850" s="177">
        <v>30.75</v>
      </c>
      <c r="G850" s="178">
        <v>73.07692307692308</v>
      </c>
      <c r="H850" s="177">
        <v>6.0</v>
      </c>
      <c r="I850" s="178">
        <v>36.75</v>
      </c>
    </row>
    <row r="851">
      <c r="A851" s="177" t="s">
        <v>2357</v>
      </c>
      <c r="B851" s="177" t="s">
        <v>3372</v>
      </c>
      <c r="C851" s="177" t="s">
        <v>593</v>
      </c>
      <c r="D851" s="177">
        <v>0.0</v>
      </c>
      <c r="E851" s="177">
        <v>0.0</v>
      </c>
      <c r="F851" s="177">
        <v>0.0</v>
      </c>
      <c r="G851" s="178">
        <v>42.30769230769231</v>
      </c>
      <c r="H851" s="177">
        <v>0.0</v>
      </c>
      <c r="I851" s="178">
        <v>0.0</v>
      </c>
    </row>
    <row r="852">
      <c r="A852" s="177" t="s">
        <v>2358</v>
      </c>
      <c r="B852" s="177" t="s">
        <v>3373</v>
      </c>
      <c r="C852" s="177" t="s">
        <v>594</v>
      </c>
      <c r="D852" s="177">
        <v>0.0</v>
      </c>
      <c r="E852" s="177">
        <v>0.0</v>
      </c>
      <c r="F852" s="177">
        <v>0.0</v>
      </c>
      <c r="G852" s="177">
        <v>0.0</v>
      </c>
      <c r="H852" s="177">
        <v>0.0</v>
      </c>
      <c r="I852" s="178">
        <v>0.0</v>
      </c>
    </row>
    <row r="853">
      <c r="A853" s="177" t="s">
        <v>2359</v>
      </c>
      <c r="B853" s="177" t="s">
        <v>3374</v>
      </c>
      <c r="C853" s="177" t="s">
        <v>595</v>
      </c>
      <c r="D853" s="177">
        <v>7.25</v>
      </c>
      <c r="E853" s="177">
        <v>24.0</v>
      </c>
      <c r="F853" s="177">
        <v>31.25</v>
      </c>
      <c r="G853" s="178">
        <v>88.46153846153847</v>
      </c>
      <c r="H853" s="177">
        <v>9.0</v>
      </c>
      <c r="I853" s="178">
        <v>40.25</v>
      </c>
    </row>
    <row r="854">
      <c r="A854" s="177" t="s">
        <v>2360</v>
      </c>
      <c r="B854" s="177" t="s">
        <v>3375</v>
      </c>
      <c r="C854" s="177" t="s">
        <v>596</v>
      </c>
      <c r="D854" s="177">
        <v>12.25</v>
      </c>
      <c r="E854" s="177">
        <v>0.0</v>
      </c>
      <c r="F854" s="177">
        <v>12.25</v>
      </c>
      <c r="G854" s="178">
        <v>80.76923076923077</v>
      </c>
      <c r="H854" s="177">
        <v>8.0</v>
      </c>
      <c r="I854" s="178">
        <v>20.25</v>
      </c>
    </row>
    <row r="855">
      <c r="A855" s="177" t="s">
        <v>2405</v>
      </c>
      <c r="B855" s="177" t="s">
        <v>3376</v>
      </c>
      <c r="C855" s="177" t="s">
        <v>597</v>
      </c>
      <c r="D855" s="177">
        <v>25.0</v>
      </c>
      <c r="E855" s="177">
        <v>0.0</v>
      </c>
      <c r="F855" s="177">
        <v>25.0</v>
      </c>
      <c r="G855" s="178">
        <v>50.0</v>
      </c>
      <c r="H855" s="177">
        <v>0.0</v>
      </c>
      <c r="I855" s="178">
        <v>25.0</v>
      </c>
    </row>
    <row r="856">
      <c r="A856" s="177" t="s">
        <v>2361</v>
      </c>
      <c r="B856" s="177" t="s">
        <v>3377</v>
      </c>
      <c r="C856" s="177" t="s">
        <v>598</v>
      </c>
      <c r="D856" s="177">
        <v>23.5</v>
      </c>
      <c r="E856" s="177">
        <v>24.5</v>
      </c>
      <c r="F856" s="177">
        <v>48.0</v>
      </c>
      <c r="G856" s="178">
        <v>76.92307692307692</v>
      </c>
      <c r="H856" s="177">
        <v>7.0</v>
      </c>
      <c r="I856" s="178">
        <v>55.0</v>
      </c>
    </row>
    <row r="857">
      <c r="A857" s="177" t="s">
        <v>2362</v>
      </c>
      <c r="B857" s="177" t="s">
        <v>3378</v>
      </c>
      <c r="C857" s="177" t="s">
        <v>599</v>
      </c>
      <c r="D857" s="177">
        <v>24.25</v>
      </c>
      <c r="E857" s="177">
        <v>27.25</v>
      </c>
      <c r="F857" s="177">
        <v>51.5</v>
      </c>
      <c r="G857" s="178">
        <v>76.92307692307692</v>
      </c>
      <c r="H857" s="177">
        <v>7.0</v>
      </c>
      <c r="I857" s="178">
        <v>58.5</v>
      </c>
    </row>
    <row r="858">
      <c r="A858" s="177" t="s">
        <v>2363</v>
      </c>
      <c r="B858" s="177" t="s">
        <v>3379</v>
      </c>
      <c r="C858" s="177" t="s">
        <v>600</v>
      </c>
      <c r="D858" s="177">
        <v>21.5</v>
      </c>
      <c r="E858" s="177">
        <v>0.0</v>
      </c>
      <c r="F858" s="177">
        <v>21.5</v>
      </c>
      <c r="G858" s="178">
        <v>38.46153846153846</v>
      </c>
      <c r="H858" s="177">
        <v>0.0</v>
      </c>
      <c r="I858" s="178">
        <v>21.5</v>
      </c>
    </row>
    <row r="859">
      <c r="A859" s="177" t="s">
        <v>122</v>
      </c>
      <c r="B859" s="177" t="s">
        <v>3380</v>
      </c>
      <c r="C859" s="177" t="s">
        <v>601</v>
      </c>
      <c r="D859" s="177">
        <v>18.25</v>
      </c>
      <c r="E859" s="177">
        <v>21.25</v>
      </c>
      <c r="F859" s="177">
        <v>39.5</v>
      </c>
      <c r="G859" s="178">
        <v>69.23076923076923</v>
      </c>
      <c r="H859" s="177">
        <v>0.0</v>
      </c>
      <c r="I859" s="178">
        <v>39.5</v>
      </c>
    </row>
    <row r="860">
      <c r="A860" s="177" t="s">
        <v>2364</v>
      </c>
      <c r="B860" s="177" t="s">
        <v>3381</v>
      </c>
      <c r="C860" s="177" t="s">
        <v>602</v>
      </c>
      <c r="D860" s="177">
        <v>15.0</v>
      </c>
      <c r="E860" s="177">
        <v>13.25</v>
      </c>
      <c r="F860" s="177">
        <v>28.25</v>
      </c>
      <c r="G860" s="178">
        <v>96.15384615384616</v>
      </c>
      <c r="H860" s="177">
        <v>10.0</v>
      </c>
      <c r="I860" s="178">
        <v>38.25</v>
      </c>
    </row>
    <row r="861">
      <c r="A861" s="177" t="s">
        <v>2365</v>
      </c>
      <c r="B861" s="177" t="s">
        <v>3382</v>
      </c>
      <c r="C861" s="177" t="s">
        <v>603</v>
      </c>
      <c r="D861" s="177">
        <v>18.75</v>
      </c>
      <c r="E861" s="177">
        <v>14.75</v>
      </c>
      <c r="F861" s="177">
        <v>33.5</v>
      </c>
      <c r="G861" s="178">
        <v>80.76923076923077</v>
      </c>
      <c r="H861" s="177">
        <v>8.0</v>
      </c>
      <c r="I861" s="178">
        <v>41.5</v>
      </c>
    </row>
    <row r="862">
      <c r="A862" s="177" t="s">
        <v>2366</v>
      </c>
      <c r="B862" s="177" t="s">
        <v>3383</v>
      </c>
      <c r="C862" s="177" t="s">
        <v>604</v>
      </c>
      <c r="D862" s="177">
        <v>9.25</v>
      </c>
      <c r="E862" s="177">
        <v>27.75</v>
      </c>
      <c r="F862" s="177">
        <v>37.0</v>
      </c>
      <c r="G862" s="178">
        <v>80.76923076923077</v>
      </c>
      <c r="H862" s="177">
        <v>8.0</v>
      </c>
      <c r="I862" s="178">
        <v>45.0</v>
      </c>
    </row>
    <row r="863">
      <c r="A863" s="177" t="s">
        <v>2338</v>
      </c>
      <c r="B863" s="177" t="s">
        <v>3384</v>
      </c>
      <c r="C863" s="177" t="s">
        <v>605</v>
      </c>
      <c r="D863" s="177">
        <v>7.75</v>
      </c>
      <c r="E863" s="177">
        <v>0.0</v>
      </c>
      <c r="F863" s="177">
        <v>7.75</v>
      </c>
      <c r="G863" s="178">
        <v>80.76923076923077</v>
      </c>
      <c r="H863" s="177">
        <v>8.0</v>
      </c>
      <c r="I863" s="178">
        <v>15.75</v>
      </c>
    </row>
    <row r="864">
      <c r="A864" s="177" t="s">
        <v>2367</v>
      </c>
      <c r="B864" s="177" t="s">
        <v>3385</v>
      </c>
      <c r="C864" s="177" t="s">
        <v>606</v>
      </c>
      <c r="D864" s="177">
        <v>25.5</v>
      </c>
      <c r="E864" s="177">
        <v>31.25</v>
      </c>
      <c r="F864" s="177">
        <v>56.75</v>
      </c>
      <c r="G864" s="178">
        <v>84.61538461538461</v>
      </c>
      <c r="H864" s="177">
        <v>8.0</v>
      </c>
      <c r="I864" s="178">
        <v>64.75</v>
      </c>
    </row>
    <row r="865">
      <c r="A865" s="177" t="s">
        <v>2368</v>
      </c>
      <c r="B865" s="177" t="s">
        <v>3386</v>
      </c>
      <c r="C865" s="177" t="s">
        <v>607</v>
      </c>
      <c r="D865" s="177">
        <v>0.0</v>
      </c>
      <c r="E865" s="177">
        <v>0.0</v>
      </c>
      <c r="F865" s="177">
        <v>0.0</v>
      </c>
      <c r="G865" s="178">
        <v>30.76923076923077</v>
      </c>
      <c r="H865" s="177">
        <v>0.0</v>
      </c>
      <c r="I865" s="178">
        <v>0.0</v>
      </c>
    </row>
    <row r="866">
      <c r="A866" s="177" t="s">
        <v>27</v>
      </c>
      <c r="B866" s="177" t="s">
        <v>3387</v>
      </c>
      <c r="C866" s="177" t="s">
        <v>608</v>
      </c>
      <c r="D866" s="177">
        <v>12.5</v>
      </c>
      <c r="E866" s="177">
        <v>0.0</v>
      </c>
      <c r="F866" s="177">
        <v>12.5</v>
      </c>
      <c r="G866" s="178">
        <v>46.15384615384615</v>
      </c>
      <c r="H866" s="177">
        <v>0.0</v>
      </c>
      <c r="I866" s="178">
        <v>12.5</v>
      </c>
    </row>
    <row r="867">
      <c r="A867" s="177" t="s">
        <v>2369</v>
      </c>
      <c r="B867" s="177" t="s">
        <v>3388</v>
      </c>
      <c r="C867" s="177" t="s">
        <v>609</v>
      </c>
      <c r="D867" s="177">
        <v>0.0</v>
      </c>
      <c r="E867" s="177">
        <v>0.0</v>
      </c>
      <c r="F867" s="177">
        <v>0.0</v>
      </c>
      <c r="G867" s="178">
        <v>19.23076923076923</v>
      </c>
      <c r="H867" s="177">
        <v>0.0</v>
      </c>
      <c r="I867" s="178">
        <v>0.0</v>
      </c>
    </row>
    <row r="868">
      <c r="A868" s="177" t="s">
        <v>2370</v>
      </c>
      <c r="B868" s="177" t="s">
        <v>3389</v>
      </c>
      <c r="C868" s="177" t="s">
        <v>610</v>
      </c>
      <c r="D868" s="177">
        <v>0.0</v>
      </c>
      <c r="E868" s="177">
        <v>0.0</v>
      </c>
      <c r="F868" s="177">
        <v>0.0</v>
      </c>
      <c r="G868" s="178">
        <v>3.8461538461538463</v>
      </c>
      <c r="H868" s="177">
        <v>0.0</v>
      </c>
      <c r="I868" s="178">
        <v>0.0</v>
      </c>
    </row>
    <row r="869">
      <c r="A869" s="177" t="s">
        <v>2393</v>
      </c>
      <c r="B869" s="177" t="s">
        <v>3390</v>
      </c>
      <c r="C869" s="177" t="s">
        <v>611</v>
      </c>
      <c r="D869" s="177">
        <v>13.0</v>
      </c>
      <c r="E869" s="177">
        <v>0.0</v>
      </c>
      <c r="F869" s="177">
        <v>13.0</v>
      </c>
      <c r="G869" s="178">
        <v>80.76923076923077</v>
      </c>
      <c r="H869" s="177">
        <v>8.0</v>
      </c>
      <c r="I869" s="178">
        <v>21.0</v>
      </c>
    </row>
    <row r="870">
      <c r="A870" s="177" t="s">
        <v>2390</v>
      </c>
      <c r="B870" s="177" t="s">
        <v>3391</v>
      </c>
      <c r="C870" s="177" t="s">
        <v>612</v>
      </c>
      <c r="D870" s="177">
        <v>0.0</v>
      </c>
      <c r="E870" s="177">
        <v>0.0</v>
      </c>
      <c r="F870" s="177">
        <v>0.0</v>
      </c>
      <c r="G870" s="178">
        <v>19.23076923076923</v>
      </c>
      <c r="H870" s="177">
        <v>0.0</v>
      </c>
      <c r="I870" s="178">
        <v>0.0</v>
      </c>
    </row>
    <row r="871">
      <c r="A871" s="177" t="s">
        <v>2222</v>
      </c>
      <c r="B871" s="177" t="s">
        <v>3392</v>
      </c>
      <c r="C871" s="177" t="s">
        <v>613</v>
      </c>
      <c r="D871" s="177">
        <v>4.75</v>
      </c>
      <c r="E871" s="177">
        <v>7.25</v>
      </c>
      <c r="F871" s="177">
        <v>12.0</v>
      </c>
      <c r="G871" s="178">
        <v>84.61538461538461</v>
      </c>
      <c r="H871" s="177">
        <v>8.0</v>
      </c>
      <c r="I871" s="178">
        <v>20.0</v>
      </c>
    </row>
    <row r="872">
      <c r="A872" s="177" t="s">
        <v>2389</v>
      </c>
      <c r="B872" s="177" t="s">
        <v>3393</v>
      </c>
      <c r="C872" s="177" t="s">
        <v>614</v>
      </c>
      <c r="D872" s="177">
        <v>0.0</v>
      </c>
      <c r="E872" s="177">
        <v>0.0</v>
      </c>
      <c r="F872" s="177">
        <v>0.0</v>
      </c>
      <c r="G872" s="178">
        <v>23.076923076923077</v>
      </c>
      <c r="H872" s="177">
        <v>0.0</v>
      </c>
      <c r="I872" s="178">
        <v>0.0</v>
      </c>
    </row>
    <row r="873">
      <c r="A873" s="177" t="s">
        <v>2381</v>
      </c>
      <c r="B873" s="177" t="s">
        <v>3394</v>
      </c>
      <c r="C873" s="177" t="s">
        <v>615</v>
      </c>
      <c r="D873" s="177">
        <v>15.5</v>
      </c>
      <c r="E873" s="177">
        <v>24.5</v>
      </c>
      <c r="F873" s="177">
        <v>40.0</v>
      </c>
      <c r="G873" s="178">
        <v>92.3076923076923</v>
      </c>
      <c r="H873" s="177">
        <v>10.0</v>
      </c>
      <c r="I873" s="178">
        <v>50.0</v>
      </c>
    </row>
    <row r="874">
      <c r="A874" s="177" t="s">
        <v>2371</v>
      </c>
      <c r="B874" s="177" t="s">
        <v>3395</v>
      </c>
      <c r="C874" s="177" t="s">
        <v>616</v>
      </c>
      <c r="D874" s="177">
        <v>22.5</v>
      </c>
      <c r="E874" s="177">
        <v>27.5</v>
      </c>
      <c r="F874" s="177">
        <v>50.0</v>
      </c>
      <c r="G874" s="178">
        <v>69.23076923076923</v>
      </c>
      <c r="H874" s="177">
        <v>0.0</v>
      </c>
      <c r="I874" s="178">
        <v>50.0</v>
      </c>
    </row>
    <row r="875">
      <c r="A875" s="177" t="s">
        <v>2382</v>
      </c>
      <c r="B875" s="177" t="s">
        <v>3396</v>
      </c>
      <c r="C875" s="177" t="s">
        <v>617</v>
      </c>
      <c r="D875" s="177">
        <v>14.0</v>
      </c>
      <c r="E875" s="177">
        <v>0.0</v>
      </c>
      <c r="F875" s="177">
        <v>14.0</v>
      </c>
      <c r="G875" s="178">
        <v>46.15384615384615</v>
      </c>
      <c r="H875" s="177">
        <v>0.0</v>
      </c>
      <c r="I875" s="178">
        <v>14.0</v>
      </c>
    </row>
    <row r="876">
      <c r="A876" s="177" t="s">
        <v>2387</v>
      </c>
      <c r="B876" s="177" t="s">
        <v>3397</v>
      </c>
      <c r="C876" s="177" t="s">
        <v>618</v>
      </c>
      <c r="D876" s="177">
        <v>0.0</v>
      </c>
      <c r="E876" s="177">
        <v>0.0</v>
      </c>
      <c r="F876" s="177">
        <v>0.0</v>
      </c>
      <c r="G876" s="177">
        <v>0.0</v>
      </c>
      <c r="H876" s="177">
        <v>0.0</v>
      </c>
      <c r="I876" s="178">
        <v>0.0</v>
      </c>
    </row>
    <row r="877">
      <c r="A877" s="177" t="s">
        <v>2335</v>
      </c>
      <c r="B877" s="177" t="s">
        <v>3398</v>
      </c>
      <c r="C877" s="177" t="s">
        <v>619</v>
      </c>
      <c r="D877" s="177">
        <v>8.25</v>
      </c>
      <c r="E877" s="177">
        <v>0.0</v>
      </c>
      <c r="F877" s="177">
        <v>8.25</v>
      </c>
      <c r="G877" s="178">
        <v>69.23076923076923</v>
      </c>
      <c r="H877" s="177">
        <v>0.0</v>
      </c>
      <c r="I877" s="178">
        <v>8.25</v>
      </c>
    </row>
    <row r="878">
      <c r="A878" s="177" t="s">
        <v>2372</v>
      </c>
      <c r="B878" s="177" t="s">
        <v>3399</v>
      </c>
      <c r="C878" s="177" t="s">
        <v>620</v>
      </c>
      <c r="D878" s="177">
        <v>14.0</v>
      </c>
      <c r="E878" s="177">
        <v>16.75</v>
      </c>
      <c r="F878" s="177">
        <v>30.75</v>
      </c>
      <c r="G878" s="178">
        <v>69.23076923076923</v>
      </c>
      <c r="H878" s="177">
        <v>0.0</v>
      </c>
      <c r="I878" s="178">
        <v>30.75</v>
      </c>
    </row>
    <row r="879">
      <c r="A879" s="177" t="s">
        <v>2212</v>
      </c>
      <c r="B879" s="177" t="s">
        <v>3400</v>
      </c>
      <c r="C879" s="177" t="s">
        <v>621</v>
      </c>
      <c r="D879" s="177">
        <v>0.0</v>
      </c>
      <c r="E879" s="177">
        <v>0.0</v>
      </c>
      <c r="F879" s="177">
        <v>0.0</v>
      </c>
      <c r="G879" s="177">
        <v>0.0</v>
      </c>
      <c r="H879" s="177">
        <v>0.0</v>
      </c>
      <c r="I879" s="178">
        <v>0.0</v>
      </c>
    </row>
    <row r="880">
      <c r="A880" s="177" t="s">
        <v>2373</v>
      </c>
      <c r="B880" s="177" t="s">
        <v>3401</v>
      </c>
      <c r="C880" s="177" t="s">
        <v>622</v>
      </c>
      <c r="D880" s="177">
        <v>20.0</v>
      </c>
      <c r="E880" s="177">
        <v>0.0</v>
      </c>
      <c r="F880" s="177">
        <v>20.0</v>
      </c>
      <c r="G880" s="178">
        <v>73.07692307692308</v>
      </c>
      <c r="H880" s="177">
        <v>6.0</v>
      </c>
      <c r="I880" s="178">
        <v>26.0</v>
      </c>
    </row>
    <row r="881">
      <c r="A881" s="177" t="s">
        <v>2374</v>
      </c>
      <c r="B881" s="177" t="s">
        <v>3402</v>
      </c>
      <c r="C881" s="177" t="s">
        <v>623</v>
      </c>
      <c r="D881" s="177">
        <v>18.25</v>
      </c>
      <c r="E881" s="177">
        <v>0.0</v>
      </c>
      <c r="F881" s="177">
        <v>18.25</v>
      </c>
      <c r="G881" s="178">
        <v>46.15384615384615</v>
      </c>
      <c r="H881" s="177">
        <v>0.0</v>
      </c>
      <c r="I881" s="178">
        <v>18.25</v>
      </c>
    </row>
    <row r="882">
      <c r="A882" s="177" t="s">
        <v>2391</v>
      </c>
      <c r="B882" s="177" t="s">
        <v>3403</v>
      </c>
      <c r="C882" s="177" t="s">
        <v>624</v>
      </c>
      <c r="D882" s="177">
        <v>16.75</v>
      </c>
      <c r="E882" s="177">
        <v>15.75</v>
      </c>
      <c r="F882" s="177">
        <v>32.5</v>
      </c>
      <c r="G882" s="178">
        <v>96.15384615384616</v>
      </c>
      <c r="H882" s="177">
        <v>10.0</v>
      </c>
      <c r="I882" s="178">
        <v>42.5</v>
      </c>
    </row>
    <row r="883">
      <c r="A883" s="177" t="s">
        <v>2395</v>
      </c>
      <c r="B883" s="177" t="s">
        <v>3404</v>
      </c>
      <c r="C883" s="177" t="s">
        <v>625</v>
      </c>
      <c r="D883" s="177">
        <v>19.0</v>
      </c>
      <c r="E883" s="177">
        <v>21.25</v>
      </c>
      <c r="F883" s="177">
        <v>40.25</v>
      </c>
      <c r="G883" s="178">
        <v>92.0</v>
      </c>
      <c r="H883" s="177">
        <v>10.0</v>
      </c>
      <c r="I883" s="178">
        <v>50.25</v>
      </c>
    </row>
    <row r="884">
      <c r="A884" s="177" t="s">
        <v>2376</v>
      </c>
      <c r="B884" s="177" t="s">
        <v>3405</v>
      </c>
      <c r="C884" s="177" t="s">
        <v>626</v>
      </c>
      <c r="D884" s="177">
        <v>14.5</v>
      </c>
      <c r="E884" s="177">
        <v>19.25</v>
      </c>
      <c r="F884" s="177">
        <v>33.75</v>
      </c>
      <c r="G884" s="178">
        <v>65.38461538461539</v>
      </c>
      <c r="H884" s="177">
        <v>0.0</v>
      </c>
      <c r="I884" s="178">
        <v>33.75</v>
      </c>
    </row>
    <row r="885">
      <c r="A885" s="177" t="s">
        <v>2375</v>
      </c>
      <c r="B885" s="177" t="s">
        <v>3406</v>
      </c>
      <c r="C885" s="177" t="s">
        <v>627</v>
      </c>
      <c r="D885" s="177">
        <v>0.0</v>
      </c>
      <c r="E885" s="177">
        <v>0.0</v>
      </c>
      <c r="F885" s="177">
        <v>0.0</v>
      </c>
      <c r="G885" s="178">
        <v>15.384615384615385</v>
      </c>
      <c r="H885" s="177">
        <v>0.0</v>
      </c>
      <c r="I885" s="178">
        <v>0.0</v>
      </c>
    </row>
    <row r="886">
      <c r="A886" s="177" t="s">
        <v>2377</v>
      </c>
      <c r="B886" s="177" t="s">
        <v>3407</v>
      </c>
      <c r="C886" s="177" t="s">
        <v>628</v>
      </c>
      <c r="D886" s="177">
        <v>16.75</v>
      </c>
      <c r="E886" s="177">
        <v>17.25</v>
      </c>
      <c r="F886" s="177">
        <v>34.0</v>
      </c>
      <c r="G886" s="178">
        <v>80.76923076923077</v>
      </c>
      <c r="H886" s="177">
        <v>8.0</v>
      </c>
      <c r="I886" s="178">
        <v>42.0</v>
      </c>
    </row>
    <row r="887">
      <c r="A887" s="177" t="s">
        <v>2388</v>
      </c>
      <c r="B887" s="177" t="s">
        <v>3408</v>
      </c>
      <c r="C887" s="177" t="s">
        <v>629</v>
      </c>
      <c r="D887" s="177">
        <v>16.25</v>
      </c>
      <c r="E887" s="177">
        <v>0.0</v>
      </c>
      <c r="F887" s="177">
        <v>16.25</v>
      </c>
      <c r="G887" s="178">
        <v>34.61538461538461</v>
      </c>
      <c r="H887" s="177">
        <v>0.0</v>
      </c>
      <c r="I887" s="178">
        <v>16.25</v>
      </c>
    </row>
    <row r="888">
      <c r="A888" s="177" t="s">
        <v>2378</v>
      </c>
      <c r="B888" s="177" t="s">
        <v>3409</v>
      </c>
      <c r="C888" s="177" t="s">
        <v>630</v>
      </c>
      <c r="D888" s="177">
        <v>21.0</v>
      </c>
      <c r="E888" s="177">
        <v>20.75</v>
      </c>
      <c r="F888" s="177">
        <v>41.75</v>
      </c>
      <c r="G888" s="178">
        <v>92.3076923076923</v>
      </c>
      <c r="H888" s="177">
        <v>10.0</v>
      </c>
      <c r="I888" s="178">
        <v>51.75</v>
      </c>
    </row>
    <row r="889">
      <c r="A889" s="177" t="s">
        <v>2404</v>
      </c>
      <c r="B889" s="177" t="s">
        <v>3410</v>
      </c>
      <c r="C889" s="177" t="s">
        <v>631</v>
      </c>
      <c r="D889" s="177">
        <v>0.0</v>
      </c>
      <c r="E889" s="177">
        <v>0.0</v>
      </c>
      <c r="F889" s="177">
        <v>0.0</v>
      </c>
      <c r="G889" s="178">
        <v>0.0</v>
      </c>
      <c r="H889" s="177">
        <v>0.0</v>
      </c>
      <c r="I889" s="178">
        <v>0.0</v>
      </c>
    </row>
    <row r="890">
      <c r="A890" s="177" t="s">
        <v>2379</v>
      </c>
      <c r="B890" s="177" t="s">
        <v>3411</v>
      </c>
      <c r="C890" s="177" t="s">
        <v>632</v>
      </c>
      <c r="D890" s="177">
        <v>0.0</v>
      </c>
      <c r="E890" s="177">
        <v>0.0</v>
      </c>
      <c r="F890" s="177">
        <v>0.0</v>
      </c>
      <c r="G890" s="177">
        <v>0.0</v>
      </c>
      <c r="H890" s="177">
        <v>0.0</v>
      </c>
      <c r="I890" s="178">
        <v>0.0</v>
      </c>
    </row>
    <row r="891">
      <c r="A891" s="177" t="s">
        <v>2380</v>
      </c>
      <c r="B891" s="177" t="s">
        <v>3412</v>
      </c>
      <c r="C891" s="177" t="s">
        <v>633</v>
      </c>
      <c r="D891" s="177">
        <v>0.0</v>
      </c>
      <c r="E891" s="177">
        <v>0.0</v>
      </c>
      <c r="F891" s="177">
        <v>0.0</v>
      </c>
      <c r="G891" s="178">
        <v>11.538461538461538</v>
      </c>
      <c r="H891" s="177">
        <v>0.0</v>
      </c>
      <c r="I891" s="178">
        <v>0.0</v>
      </c>
    </row>
    <row r="892">
      <c r="A892" s="177" t="s">
        <v>2402</v>
      </c>
      <c r="B892" s="177" t="s">
        <v>3413</v>
      </c>
      <c r="C892" s="177" t="s">
        <v>634</v>
      </c>
      <c r="D892" s="177">
        <v>13.5</v>
      </c>
      <c r="E892" s="177">
        <v>0.0</v>
      </c>
      <c r="F892" s="177">
        <v>13.5</v>
      </c>
      <c r="G892" s="178">
        <v>15.384615384615385</v>
      </c>
      <c r="H892" s="177">
        <v>0.0</v>
      </c>
      <c r="I892" s="178">
        <v>13.5</v>
      </c>
    </row>
    <row r="893">
      <c r="A893" s="177" t="s">
        <v>3414</v>
      </c>
      <c r="B893" s="177" t="s">
        <v>3415</v>
      </c>
      <c r="C893" s="177" t="s">
        <v>635</v>
      </c>
      <c r="D893" s="177">
        <v>0.0</v>
      </c>
      <c r="E893" s="177">
        <v>0.0</v>
      </c>
      <c r="F893" s="177">
        <v>0.0</v>
      </c>
      <c r="G893" s="178">
        <v>12.5</v>
      </c>
      <c r="H893" s="177">
        <v>0.0</v>
      </c>
      <c r="I893" s="178">
        <v>0.0</v>
      </c>
    </row>
    <row r="894">
      <c r="A894" s="177" t="s">
        <v>3416</v>
      </c>
      <c r="B894" s="177" t="s">
        <v>3417</v>
      </c>
      <c r="C894" s="177" t="s">
        <v>1350</v>
      </c>
      <c r="D894" s="177">
        <v>0.0</v>
      </c>
      <c r="E894" s="177">
        <v>0.0</v>
      </c>
      <c r="F894" s="177">
        <v>0.0</v>
      </c>
      <c r="G894" s="177">
        <v>0.0</v>
      </c>
      <c r="H894" s="177">
        <v>0.0</v>
      </c>
      <c r="I894" s="178">
        <v>0.0</v>
      </c>
    </row>
    <row r="895">
      <c r="A895" s="177" t="s">
        <v>1358</v>
      </c>
      <c r="B895" s="177" t="s">
        <v>3418</v>
      </c>
      <c r="C895" s="177" t="s">
        <v>659</v>
      </c>
      <c r="D895" s="177">
        <v>0.0</v>
      </c>
      <c r="E895" s="177">
        <v>0.0</v>
      </c>
      <c r="F895" s="177">
        <v>0.0</v>
      </c>
      <c r="G895" s="177">
        <v>12.0</v>
      </c>
      <c r="H895" s="177">
        <v>0.0</v>
      </c>
      <c r="I895" s="178">
        <v>0.0</v>
      </c>
    </row>
    <row r="896">
      <c r="A896" s="177" t="s">
        <v>1359</v>
      </c>
      <c r="B896" s="177" t="s">
        <v>3419</v>
      </c>
      <c r="C896" s="177" t="s">
        <v>660</v>
      </c>
      <c r="D896" s="177">
        <v>22.0</v>
      </c>
      <c r="E896" s="177">
        <v>28.0</v>
      </c>
      <c r="F896" s="177">
        <v>50.0</v>
      </c>
      <c r="G896" s="177">
        <v>56.0</v>
      </c>
      <c r="H896" s="177">
        <v>0.0</v>
      </c>
      <c r="I896" s="178">
        <v>50.0</v>
      </c>
    </row>
    <row r="897">
      <c r="A897" s="177" t="s">
        <v>1360</v>
      </c>
      <c r="B897" s="177" t="s">
        <v>3420</v>
      </c>
      <c r="C897" s="177" t="s">
        <v>661</v>
      </c>
      <c r="D897" s="177">
        <v>8.25</v>
      </c>
      <c r="E897" s="177">
        <v>25.75</v>
      </c>
      <c r="F897" s="177">
        <v>34.0</v>
      </c>
      <c r="G897" s="177">
        <v>84.0</v>
      </c>
      <c r="H897" s="177">
        <v>8.0</v>
      </c>
      <c r="I897" s="178">
        <v>42.0</v>
      </c>
    </row>
    <row r="898">
      <c r="A898" s="177" t="s">
        <v>1361</v>
      </c>
      <c r="B898" s="177" t="s">
        <v>3421</v>
      </c>
      <c r="C898" s="177" t="s">
        <v>662</v>
      </c>
      <c r="D898" s="177">
        <v>20.0</v>
      </c>
      <c r="E898" s="177">
        <v>0.0</v>
      </c>
      <c r="F898" s="177">
        <v>20.0</v>
      </c>
      <c r="G898" s="177">
        <v>40.0</v>
      </c>
      <c r="H898" s="177">
        <v>0.0</v>
      </c>
      <c r="I898" s="178">
        <v>20.0</v>
      </c>
    </row>
    <row r="899">
      <c r="A899" s="177" t="s">
        <v>1362</v>
      </c>
      <c r="B899" s="177" t="s">
        <v>3422</v>
      </c>
      <c r="C899" s="177" t="s">
        <v>663</v>
      </c>
      <c r="D899" s="177">
        <v>30.75</v>
      </c>
      <c r="E899" s="177">
        <v>31.25</v>
      </c>
      <c r="F899" s="177">
        <v>62.0</v>
      </c>
      <c r="G899" s="177">
        <v>8.0</v>
      </c>
      <c r="H899" s="177">
        <v>0.0</v>
      </c>
      <c r="I899" s="178">
        <v>62.0</v>
      </c>
    </row>
    <row r="900">
      <c r="A900" s="177" t="s">
        <v>1403</v>
      </c>
      <c r="B900" s="177" t="s">
        <v>3423</v>
      </c>
      <c r="C900" s="177" t="s">
        <v>664</v>
      </c>
      <c r="D900" s="177">
        <v>6.0</v>
      </c>
      <c r="E900" s="177">
        <v>1.75</v>
      </c>
      <c r="F900" s="177">
        <v>7.75</v>
      </c>
      <c r="G900" s="177">
        <v>64.0</v>
      </c>
      <c r="H900" s="177">
        <v>0.0</v>
      </c>
      <c r="I900" s="178">
        <v>7.75</v>
      </c>
    </row>
    <row r="901">
      <c r="A901" s="177" t="s">
        <v>1363</v>
      </c>
      <c r="B901" s="177" t="s">
        <v>3424</v>
      </c>
      <c r="C901" s="177" t="s">
        <v>665</v>
      </c>
      <c r="D901" s="177">
        <v>20.25</v>
      </c>
      <c r="E901" s="177">
        <v>30.5</v>
      </c>
      <c r="F901" s="177">
        <v>50.75</v>
      </c>
      <c r="G901" s="177">
        <v>76.0</v>
      </c>
      <c r="H901" s="177">
        <v>7.0</v>
      </c>
      <c r="I901" s="178">
        <v>57.75</v>
      </c>
    </row>
    <row r="902">
      <c r="A902" s="177" t="s">
        <v>1364</v>
      </c>
      <c r="B902" s="177" t="s">
        <v>3425</v>
      </c>
      <c r="C902" s="177" t="s">
        <v>666</v>
      </c>
      <c r="D902" s="177">
        <v>14.5</v>
      </c>
      <c r="E902" s="177">
        <v>30.0</v>
      </c>
      <c r="F902" s="177">
        <v>44.5</v>
      </c>
      <c r="G902" s="177">
        <v>76.0</v>
      </c>
      <c r="H902" s="177">
        <v>7.0</v>
      </c>
      <c r="I902" s="178">
        <v>51.5</v>
      </c>
    </row>
    <row r="903">
      <c r="A903" s="177" t="s">
        <v>1365</v>
      </c>
      <c r="B903" s="177" t="s">
        <v>3426</v>
      </c>
      <c r="C903" s="177" t="s">
        <v>667</v>
      </c>
      <c r="D903" s="177">
        <v>15.75</v>
      </c>
      <c r="E903" s="177">
        <v>26.75</v>
      </c>
      <c r="F903" s="177">
        <v>42.5</v>
      </c>
      <c r="G903" s="177">
        <v>60.0</v>
      </c>
      <c r="H903" s="177">
        <v>0.0</v>
      </c>
      <c r="I903" s="178">
        <v>42.5</v>
      </c>
    </row>
    <row r="904">
      <c r="A904" s="177" t="s">
        <v>1397</v>
      </c>
      <c r="B904" s="177" t="s">
        <v>3427</v>
      </c>
      <c r="C904" s="177" t="s">
        <v>668</v>
      </c>
      <c r="D904" s="177">
        <v>15.0</v>
      </c>
      <c r="E904" s="177">
        <v>29.75</v>
      </c>
      <c r="F904" s="177">
        <v>44.75</v>
      </c>
      <c r="G904" s="177">
        <v>96.0</v>
      </c>
      <c r="H904" s="177">
        <v>10.0</v>
      </c>
      <c r="I904" s="178">
        <v>54.75</v>
      </c>
    </row>
    <row r="905">
      <c r="A905" s="177" t="s">
        <v>1406</v>
      </c>
      <c r="B905" s="177" t="s">
        <v>3428</v>
      </c>
      <c r="C905" s="177" t="s">
        <v>669</v>
      </c>
      <c r="D905" s="177">
        <v>18.5</v>
      </c>
      <c r="E905" s="177">
        <v>17.25</v>
      </c>
      <c r="F905" s="177">
        <v>35.75</v>
      </c>
      <c r="G905" s="177">
        <v>72.0</v>
      </c>
      <c r="H905" s="177">
        <v>6.0</v>
      </c>
      <c r="I905" s="178">
        <v>41.75</v>
      </c>
    </row>
    <row r="906">
      <c r="A906" s="177" t="s">
        <v>1366</v>
      </c>
      <c r="B906" s="177" t="s">
        <v>3429</v>
      </c>
      <c r="C906" s="177" t="s">
        <v>670</v>
      </c>
      <c r="D906" s="177">
        <v>18.5</v>
      </c>
      <c r="E906" s="177">
        <v>31.5</v>
      </c>
      <c r="F906" s="177">
        <v>50.0</v>
      </c>
      <c r="G906" s="177">
        <v>68.0</v>
      </c>
      <c r="H906" s="177">
        <v>0.0</v>
      </c>
      <c r="I906" s="178">
        <v>50.0</v>
      </c>
    </row>
    <row r="907">
      <c r="A907" s="177" t="s">
        <v>1367</v>
      </c>
      <c r="B907" s="177" t="s">
        <v>3430</v>
      </c>
      <c r="C907" s="177" t="s">
        <v>671</v>
      </c>
      <c r="D907" s="177">
        <v>16.5</v>
      </c>
      <c r="E907" s="177">
        <v>15.5</v>
      </c>
      <c r="F907" s="177">
        <v>32.0</v>
      </c>
      <c r="G907" s="177">
        <v>64.0</v>
      </c>
      <c r="H907" s="177">
        <v>0.0</v>
      </c>
      <c r="I907" s="178">
        <v>32.0</v>
      </c>
    </row>
    <row r="908">
      <c r="A908" s="177" t="s">
        <v>1368</v>
      </c>
      <c r="B908" s="177" t="s">
        <v>3431</v>
      </c>
      <c r="C908" s="177" t="s">
        <v>672</v>
      </c>
      <c r="D908" s="177">
        <v>22.25</v>
      </c>
      <c r="E908" s="177">
        <v>23.75</v>
      </c>
      <c r="F908" s="177">
        <v>46.0</v>
      </c>
      <c r="G908" s="177">
        <v>88.0</v>
      </c>
      <c r="H908" s="177">
        <v>9.0</v>
      </c>
      <c r="I908" s="178">
        <v>55.0</v>
      </c>
    </row>
    <row r="909">
      <c r="A909" s="177" t="s">
        <v>1369</v>
      </c>
      <c r="B909" s="177" t="s">
        <v>3432</v>
      </c>
      <c r="C909" s="177" t="s">
        <v>673</v>
      </c>
      <c r="D909" s="177">
        <v>18.5</v>
      </c>
      <c r="E909" s="177">
        <v>18.75</v>
      </c>
      <c r="F909" s="177">
        <v>37.25</v>
      </c>
      <c r="G909" s="177">
        <v>96.0</v>
      </c>
      <c r="H909" s="177">
        <v>10.0</v>
      </c>
      <c r="I909" s="178">
        <v>47.25</v>
      </c>
    </row>
    <row r="910">
      <c r="A910" s="177" t="s">
        <v>1370</v>
      </c>
      <c r="B910" s="177" t="s">
        <v>3433</v>
      </c>
      <c r="C910" s="177" t="s">
        <v>674</v>
      </c>
      <c r="D910" s="177">
        <v>7.5</v>
      </c>
      <c r="E910" s="177">
        <v>14.5</v>
      </c>
      <c r="F910" s="177">
        <v>22.0</v>
      </c>
      <c r="G910" s="177">
        <v>64.0</v>
      </c>
      <c r="H910" s="177">
        <v>0.0</v>
      </c>
      <c r="I910" s="178">
        <v>22.0</v>
      </c>
    </row>
    <row r="911">
      <c r="A911" s="177" t="s">
        <v>1416</v>
      </c>
      <c r="B911" s="177" t="s">
        <v>3434</v>
      </c>
      <c r="C911" s="177" t="s">
        <v>675</v>
      </c>
      <c r="D911" s="177">
        <v>19.25</v>
      </c>
      <c r="E911" s="177">
        <v>22.0</v>
      </c>
      <c r="F911" s="177">
        <v>41.25</v>
      </c>
      <c r="G911" s="177">
        <v>96.0</v>
      </c>
      <c r="H911" s="177">
        <v>10.0</v>
      </c>
      <c r="I911" s="178">
        <v>51.25</v>
      </c>
    </row>
    <row r="912">
      <c r="A912" s="177" t="s">
        <v>1371</v>
      </c>
      <c r="B912" s="177" t="s">
        <v>3435</v>
      </c>
      <c r="C912" s="177" t="s">
        <v>676</v>
      </c>
      <c r="D912" s="177">
        <v>20.75</v>
      </c>
      <c r="E912" s="177">
        <v>30.25</v>
      </c>
      <c r="F912" s="177">
        <v>51.0</v>
      </c>
      <c r="G912" s="177">
        <v>76.0</v>
      </c>
      <c r="H912" s="177">
        <v>7.0</v>
      </c>
      <c r="I912" s="178">
        <v>58.0</v>
      </c>
    </row>
    <row r="913">
      <c r="A913" s="177" t="s">
        <v>1372</v>
      </c>
      <c r="B913" s="177" t="s">
        <v>3436</v>
      </c>
      <c r="C913" s="177" t="s">
        <v>677</v>
      </c>
      <c r="D913" s="177">
        <v>16.5</v>
      </c>
      <c r="E913" s="177">
        <v>19.25</v>
      </c>
      <c r="F913" s="177">
        <v>35.75</v>
      </c>
      <c r="G913" s="177">
        <v>88.0</v>
      </c>
      <c r="H913" s="177">
        <v>9.0</v>
      </c>
      <c r="I913" s="178">
        <v>44.75</v>
      </c>
    </row>
    <row r="914">
      <c r="A914" s="177" t="s">
        <v>1399</v>
      </c>
      <c r="B914" s="177" t="s">
        <v>3437</v>
      </c>
      <c r="C914" s="177" t="s">
        <v>678</v>
      </c>
      <c r="D914" s="177">
        <v>0.0</v>
      </c>
      <c r="E914" s="177">
        <v>0.0</v>
      </c>
      <c r="F914" s="177">
        <v>0.0</v>
      </c>
      <c r="G914" s="177">
        <v>8.0</v>
      </c>
      <c r="H914" s="177">
        <v>0.0</v>
      </c>
      <c r="I914" s="178">
        <v>0.0</v>
      </c>
    </row>
    <row r="915">
      <c r="A915" s="177" t="s">
        <v>1373</v>
      </c>
      <c r="B915" s="177" t="s">
        <v>3438</v>
      </c>
      <c r="C915" s="177" t="s">
        <v>679</v>
      </c>
      <c r="D915" s="177">
        <v>0.0</v>
      </c>
      <c r="E915" s="177">
        <v>0.0</v>
      </c>
      <c r="F915" s="177">
        <v>0.0</v>
      </c>
      <c r="G915" s="177">
        <v>40.0</v>
      </c>
      <c r="H915" s="177">
        <v>0.0</v>
      </c>
      <c r="I915" s="178">
        <v>0.0</v>
      </c>
    </row>
    <row r="916">
      <c r="A916" s="177" t="s">
        <v>1374</v>
      </c>
      <c r="B916" s="177" t="s">
        <v>3439</v>
      </c>
      <c r="C916" s="177" t="s">
        <v>680</v>
      </c>
      <c r="D916" s="177">
        <v>17.0</v>
      </c>
      <c r="E916" s="177">
        <v>0.0</v>
      </c>
      <c r="F916" s="177">
        <v>17.0</v>
      </c>
      <c r="G916" s="177">
        <v>20.0</v>
      </c>
      <c r="H916" s="177">
        <v>0.0</v>
      </c>
      <c r="I916" s="178">
        <v>17.0</v>
      </c>
    </row>
    <row r="917">
      <c r="A917" s="177" t="s">
        <v>1375</v>
      </c>
      <c r="B917" s="177" t="s">
        <v>3440</v>
      </c>
      <c r="C917" s="177" t="s">
        <v>681</v>
      </c>
      <c r="D917" s="177">
        <v>20.75</v>
      </c>
      <c r="E917" s="177">
        <v>0.0</v>
      </c>
      <c r="F917" s="177">
        <v>20.75</v>
      </c>
      <c r="G917" s="177">
        <v>60.0</v>
      </c>
      <c r="H917" s="177">
        <v>0.0</v>
      </c>
      <c r="I917" s="178">
        <v>20.75</v>
      </c>
    </row>
    <row r="918">
      <c r="A918" s="177" t="s">
        <v>1412</v>
      </c>
      <c r="B918" s="177" t="s">
        <v>3441</v>
      </c>
      <c r="C918" s="177" t="s">
        <v>682</v>
      </c>
      <c r="D918" s="177">
        <v>18.0</v>
      </c>
      <c r="E918" s="177">
        <v>8.0</v>
      </c>
      <c r="F918" s="177">
        <v>26.0</v>
      </c>
      <c r="G918" s="177">
        <v>64.0</v>
      </c>
      <c r="H918" s="177">
        <v>0.0</v>
      </c>
      <c r="I918" s="178">
        <v>26.0</v>
      </c>
    </row>
    <row r="919">
      <c r="A919" s="177" t="s">
        <v>1485</v>
      </c>
      <c r="B919" s="177" t="s">
        <v>3442</v>
      </c>
      <c r="C919" s="177" t="s">
        <v>683</v>
      </c>
      <c r="D919" s="177">
        <v>28.5</v>
      </c>
      <c r="E919" s="177">
        <v>0.0</v>
      </c>
      <c r="F919" s="177">
        <v>28.5</v>
      </c>
      <c r="G919" s="177">
        <v>48.0</v>
      </c>
      <c r="H919" s="177">
        <v>0.0</v>
      </c>
      <c r="I919" s="178">
        <v>28.5</v>
      </c>
    </row>
    <row r="920">
      <c r="A920" s="177" t="s">
        <v>1376</v>
      </c>
      <c r="B920" s="177" t="s">
        <v>3443</v>
      </c>
      <c r="C920" s="177" t="s">
        <v>684</v>
      </c>
      <c r="D920" s="177">
        <v>12.0</v>
      </c>
      <c r="E920" s="177">
        <v>0.0</v>
      </c>
      <c r="F920" s="177">
        <v>12.0</v>
      </c>
      <c r="G920" s="177">
        <v>40.0</v>
      </c>
      <c r="H920" s="177">
        <v>0.0</v>
      </c>
      <c r="I920" s="178">
        <v>12.0</v>
      </c>
    </row>
    <row r="921">
      <c r="A921" s="177" t="s">
        <v>1407</v>
      </c>
      <c r="B921" s="177" t="s">
        <v>3444</v>
      </c>
      <c r="C921" s="177" t="s">
        <v>685</v>
      </c>
      <c r="D921" s="177">
        <v>9.0</v>
      </c>
      <c r="E921" s="177">
        <v>0.0</v>
      </c>
      <c r="F921" s="177">
        <v>9.0</v>
      </c>
      <c r="G921" s="177">
        <v>56.0</v>
      </c>
      <c r="H921" s="177">
        <v>0.0</v>
      </c>
      <c r="I921" s="178">
        <v>9.0</v>
      </c>
    </row>
    <row r="922">
      <c r="A922" s="177" t="s">
        <v>1377</v>
      </c>
      <c r="B922" s="177" t="s">
        <v>3445</v>
      </c>
      <c r="C922" s="177" t="s">
        <v>686</v>
      </c>
      <c r="D922" s="177">
        <v>27.5</v>
      </c>
      <c r="E922" s="177">
        <v>33.25</v>
      </c>
      <c r="F922" s="177">
        <v>60.75</v>
      </c>
      <c r="G922" s="177">
        <v>88.0</v>
      </c>
      <c r="H922" s="177">
        <v>9.0</v>
      </c>
      <c r="I922" s="178">
        <v>69.75</v>
      </c>
    </row>
    <row r="923">
      <c r="A923" s="177" t="s">
        <v>1479</v>
      </c>
      <c r="B923" s="177" t="s">
        <v>3446</v>
      </c>
      <c r="C923" s="177" t="s">
        <v>687</v>
      </c>
      <c r="D923" s="177">
        <v>10.75</v>
      </c>
      <c r="E923" s="177">
        <v>0.0</v>
      </c>
      <c r="F923" s="177">
        <v>10.75</v>
      </c>
      <c r="G923" s="177">
        <v>44.0</v>
      </c>
      <c r="H923" s="177">
        <v>0.0</v>
      </c>
      <c r="I923" s="178">
        <v>10.75</v>
      </c>
    </row>
    <row r="924">
      <c r="A924" s="177" t="s">
        <v>1405</v>
      </c>
      <c r="B924" s="177" t="s">
        <v>3447</v>
      </c>
      <c r="C924" s="177" t="s">
        <v>688</v>
      </c>
      <c r="D924" s="177">
        <v>9.75</v>
      </c>
      <c r="E924" s="177">
        <v>0.0</v>
      </c>
      <c r="F924" s="177">
        <v>9.75</v>
      </c>
      <c r="G924" s="177">
        <v>52.0</v>
      </c>
      <c r="H924" s="177">
        <v>0.0</v>
      </c>
      <c r="I924" s="178">
        <v>9.75</v>
      </c>
    </row>
    <row r="925">
      <c r="A925" s="177" t="s">
        <v>1378</v>
      </c>
      <c r="B925" s="177" t="s">
        <v>3448</v>
      </c>
      <c r="C925" s="177" t="s">
        <v>689</v>
      </c>
      <c r="D925" s="177">
        <v>26.25</v>
      </c>
      <c r="E925" s="177">
        <v>16.75</v>
      </c>
      <c r="F925" s="177">
        <v>43.0</v>
      </c>
      <c r="G925" s="177">
        <v>80.0</v>
      </c>
      <c r="H925" s="177">
        <v>7.0</v>
      </c>
      <c r="I925" s="178">
        <v>50.0</v>
      </c>
    </row>
    <row r="926">
      <c r="A926" s="177" t="s">
        <v>1404</v>
      </c>
      <c r="B926" s="177" t="s">
        <v>3449</v>
      </c>
      <c r="C926" s="177" t="s">
        <v>690</v>
      </c>
      <c r="D926" s="177">
        <v>16.5</v>
      </c>
      <c r="E926" s="177">
        <v>31.75</v>
      </c>
      <c r="F926" s="177">
        <v>48.25</v>
      </c>
      <c r="G926" s="177">
        <v>84.0</v>
      </c>
      <c r="H926" s="177">
        <v>8.0</v>
      </c>
      <c r="I926" s="178">
        <v>56.25</v>
      </c>
    </row>
    <row r="927">
      <c r="A927" s="177" t="s">
        <v>1487</v>
      </c>
      <c r="B927" s="177" t="s">
        <v>3450</v>
      </c>
      <c r="C927" s="177" t="s">
        <v>691</v>
      </c>
      <c r="D927" s="177">
        <v>0.0</v>
      </c>
      <c r="E927" s="177">
        <v>0.0</v>
      </c>
      <c r="F927" s="177">
        <v>0.0</v>
      </c>
      <c r="G927" s="177">
        <v>12.0</v>
      </c>
      <c r="H927" s="177">
        <v>0.0</v>
      </c>
      <c r="I927" s="178">
        <v>0.0</v>
      </c>
    </row>
    <row r="928">
      <c r="A928" s="177" t="s">
        <v>1379</v>
      </c>
      <c r="B928" s="177" t="s">
        <v>3451</v>
      </c>
      <c r="C928" s="177" t="s">
        <v>692</v>
      </c>
      <c r="D928" s="177">
        <v>17.75</v>
      </c>
      <c r="E928" s="177">
        <v>7.5</v>
      </c>
      <c r="F928" s="177">
        <v>25.25</v>
      </c>
      <c r="G928" s="177">
        <v>60.0</v>
      </c>
      <c r="H928" s="177">
        <v>0.0</v>
      </c>
      <c r="I928" s="178">
        <v>25.25</v>
      </c>
    </row>
    <row r="929">
      <c r="A929" s="177" t="s">
        <v>1380</v>
      </c>
      <c r="B929" s="177" t="s">
        <v>3452</v>
      </c>
      <c r="C929" s="177" t="s">
        <v>693</v>
      </c>
      <c r="D929" s="177">
        <v>27.25</v>
      </c>
      <c r="E929" s="177">
        <v>30.5</v>
      </c>
      <c r="F929" s="177">
        <v>57.75</v>
      </c>
      <c r="G929" s="177">
        <v>64.0</v>
      </c>
      <c r="H929" s="177">
        <v>0.0</v>
      </c>
      <c r="I929" s="178">
        <v>57.75</v>
      </c>
    </row>
    <row r="930">
      <c r="A930" s="177" t="s">
        <v>1552</v>
      </c>
      <c r="B930" s="177" t="s">
        <v>3453</v>
      </c>
      <c r="C930" s="177" t="s">
        <v>694</v>
      </c>
      <c r="D930" s="177">
        <v>14.5</v>
      </c>
      <c r="E930" s="177">
        <v>0.0</v>
      </c>
      <c r="F930" s="177">
        <v>14.5</v>
      </c>
      <c r="G930" s="177">
        <v>36.0</v>
      </c>
      <c r="H930" s="177">
        <v>0.0</v>
      </c>
      <c r="I930" s="178">
        <v>14.5</v>
      </c>
    </row>
    <row r="931">
      <c r="A931" s="177" t="s">
        <v>1395</v>
      </c>
      <c r="B931" s="177" t="s">
        <v>3454</v>
      </c>
      <c r="C931" s="177" t="s">
        <v>695</v>
      </c>
      <c r="D931" s="177">
        <v>18.25</v>
      </c>
      <c r="E931" s="177">
        <v>32.75</v>
      </c>
      <c r="F931" s="177">
        <v>51.0</v>
      </c>
      <c r="G931" s="177">
        <v>92.0</v>
      </c>
      <c r="H931" s="177">
        <v>10.0</v>
      </c>
      <c r="I931" s="178">
        <v>61.0</v>
      </c>
    </row>
    <row r="932">
      <c r="A932" s="177" t="s">
        <v>94</v>
      </c>
      <c r="B932" s="177" t="s">
        <v>3455</v>
      </c>
      <c r="C932" s="177" t="s">
        <v>696</v>
      </c>
      <c r="D932" s="177">
        <v>0.25</v>
      </c>
      <c r="E932" s="177">
        <v>0.0</v>
      </c>
      <c r="F932" s="177">
        <v>0.25</v>
      </c>
      <c r="G932" s="177">
        <v>24.0</v>
      </c>
      <c r="H932" s="177">
        <v>0.0</v>
      </c>
      <c r="I932" s="178">
        <v>0.25</v>
      </c>
    </row>
    <row r="933">
      <c r="A933" s="177" t="s">
        <v>1418</v>
      </c>
      <c r="B933" s="177" t="s">
        <v>3456</v>
      </c>
      <c r="C933" s="177" t="s">
        <v>697</v>
      </c>
      <c r="D933" s="177">
        <v>27.5</v>
      </c>
      <c r="E933" s="177">
        <v>21.75</v>
      </c>
      <c r="F933" s="177">
        <v>49.25</v>
      </c>
      <c r="G933" s="177">
        <v>88.0</v>
      </c>
      <c r="H933" s="177">
        <v>9.0</v>
      </c>
      <c r="I933" s="178">
        <v>58.25</v>
      </c>
    </row>
    <row r="934">
      <c r="A934" s="177" t="s">
        <v>1381</v>
      </c>
      <c r="B934" s="177" t="s">
        <v>3457</v>
      </c>
      <c r="C934" s="177" t="s">
        <v>698</v>
      </c>
      <c r="D934" s="177">
        <v>13.25</v>
      </c>
      <c r="E934" s="177">
        <v>0.0</v>
      </c>
      <c r="F934" s="177">
        <v>13.25</v>
      </c>
      <c r="G934" s="177">
        <v>48.0</v>
      </c>
      <c r="H934" s="177">
        <v>0.0</v>
      </c>
      <c r="I934" s="178">
        <v>13.25</v>
      </c>
    </row>
    <row r="935">
      <c r="A935" s="177" t="s">
        <v>1396</v>
      </c>
      <c r="B935" s="177" t="s">
        <v>3458</v>
      </c>
      <c r="C935" s="177" t="s">
        <v>699</v>
      </c>
      <c r="D935" s="177">
        <v>19.0</v>
      </c>
      <c r="E935" s="177">
        <v>25.25</v>
      </c>
      <c r="F935" s="177">
        <v>44.25</v>
      </c>
      <c r="G935" s="177">
        <v>88.0</v>
      </c>
      <c r="H935" s="177">
        <v>9.0</v>
      </c>
      <c r="I935" s="178">
        <v>53.25</v>
      </c>
    </row>
    <row r="936">
      <c r="A936" s="177" t="s">
        <v>1382</v>
      </c>
      <c r="B936" s="177" t="s">
        <v>3459</v>
      </c>
      <c r="C936" s="177" t="s">
        <v>700</v>
      </c>
      <c r="D936" s="177">
        <v>10.75</v>
      </c>
      <c r="E936" s="177">
        <v>18.0</v>
      </c>
      <c r="F936" s="177">
        <v>28.75</v>
      </c>
      <c r="G936" s="177">
        <v>80.0</v>
      </c>
      <c r="H936" s="177">
        <v>7.0</v>
      </c>
      <c r="I936" s="178">
        <v>35.75</v>
      </c>
    </row>
    <row r="937">
      <c r="A937" s="177" t="s">
        <v>1546</v>
      </c>
      <c r="B937" s="177" t="s">
        <v>3460</v>
      </c>
      <c r="C937" s="177" t="s">
        <v>701</v>
      </c>
      <c r="D937" s="177">
        <v>15.75</v>
      </c>
      <c r="E937" s="177">
        <v>16.25</v>
      </c>
      <c r="F937" s="177">
        <v>32.0</v>
      </c>
      <c r="G937" s="177">
        <v>80.0</v>
      </c>
      <c r="H937" s="177">
        <v>7.0</v>
      </c>
      <c r="I937" s="178">
        <v>39.0</v>
      </c>
    </row>
    <row r="938">
      <c r="A938" s="177" t="s">
        <v>1383</v>
      </c>
      <c r="B938" s="177" t="s">
        <v>3461</v>
      </c>
      <c r="C938" s="177" t="s">
        <v>703</v>
      </c>
      <c r="D938" s="177">
        <v>15.75</v>
      </c>
      <c r="E938" s="177">
        <v>10.0</v>
      </c>
      <c r="F938" s="177">
        <v>25.75</v>
      </c>
      <c r="G938" s="177">
        <v>84.0</v>
      </c>
      <c r="H938" s="177">
        <v>8.0</v>
      </c>
      <c r="I938" s="178">
        <v>33.75</v>
      </c>
    </row>
    <row r="939">
      <c r="A939" s="177" t="s">
        <v>1417</v>
      </c>
      <c r="B939" s="177" t="s">
        <v>3462</v>
      </c>
      <c r="C939" s="177" t="s">
        <v>704</v>
      </c>
      <c r="D939" s="177">
        <v>24.0</v>
      </c>
      <c r="E939" s="177">
        <v>19.0</v>
      </c>
      <c r="F939" s="177">
        <v>43.0</v>
      </c>
      <c r="G939" s="177">
        <v>76.0</v>
      </c>
      <c r="H939" s="177">
        <v>7.0</v>
      </c>
      <c r="I939" s="178">
        <v>50.0</v>
      </c>
    </row>
    <row r="940">
      <c r="A940" s="177" t="s">
        <v>1402</v>
      </c>
      <c r="B940" s="177" t="s">
        <v>3463</v>
      </c>
      <c r="C940" s="177" t="s">
        <v>705</v>
      </c>
      <c r="D940" s="177">
        <v>0.0</v>
      </c>
      <c r="E940" s="177">
        <v>0.0</v>
      </c>
      <c r="F940" s="177">
        <v>0.0</v>
      </c>
      <c r="G940" s="177">
        <v>28.0</v>
      </c>
      <c r="H940" s="177">
        <v>0.0</v>
      </c>
      <c r="I940" s="178">
        <v>0.0</v>
      </c>
    </row>
    <row r="941">
      <c r="A941" s="177" t="s">
        <v>1473</v>
      </c>
      <c r="B941" s="177" t="s">
        <v>3464</v>
      </c>
      <c r="C941" s="177" t="s">
        <v>706</v>
      </c>
      <c r="D941" s="177">
        <v>26.0</v>
      </c>
      <c r="E941" s="177">
        <v>21.25</v>
      </c>
      <c r="F941" s="177">
        <v>47.25</v>
      </c>
      <c r="G941" s="177">
        <v>72.0</v>
      </c>
      <c r="H941" s="177">
        <v>6.0</v>
      </c>
      <c r="I941" s="178">
        <v>53.25</v>
      </c>
    </row>
    <row r="942">
      <c r="A942" s="177" t="s">
        <v>1384</v>
      </c>
      <c r="B942" s="177" t="s">
        <v>3465</v>
      </c>
      <c r="C942" s="177" t="s">
        <v>707</v>
      </c>
      <c r="D942" s="177">
        <v>25.0</v>
      </c>
      <c r="E942" s="177">
        <v>27.0</v>
      </c>
      <c r="F942" s="177">
        <v>52.0</v>
      </c>
      <c r="G942" s="177">
        <v>72.0</v>
      </c>
      <c r="H942" s="177">
        <v>6.0</v>
      </c>
      <c r="I942" s="178">
        <v>58.0</v>
      </c>
    </row>
    <row r="943">
      <c r="A943" s="177" t="s">
        <v>1385</v>
      </c>
      <c r="B943" s="177" t="s">
        <v>3466</v>
      </c>
      <c r="C943" s="177" t="s">
        <v>708</v>
      </c>
      <c r="D943" s="177">
        <v>16.25</v>
      </c>
      <c r="E943" s="177">
        <v>17.25</v>
      </c>
      <c r="F943" s="177">
        <v>33.5</v>
      </c>
      <c r="G943" s="177">
        <v>72.0</v>
      </c>
      <c r="H943" s="177">
        <v>6.0</v>
      </c>
      <c r="I943" s="178">
        <v>39.5</v>
      </c>
    </row>
    <row r="944">
      <c r="A944" s="177" t="s">
        <v>1386</v>
      </c>
      <c r="B944" s="177" t="s">
        <v>3467</v>
      </c>
      <c r="C944" s="177" t="s">
        <v>709</v>
      </c>
      <c r="D944" s="177">
        <v>6.75</v>
      </c>
      <c r="E944" s="177">
        <v>16.75</v>
      </c>
      <c r="F944" s="177">
        <v>23.5</v>
      </c>
      <c r="G944" s="177">
        <v>84.0</v>
      </c>
      <c r="H944" s="177">
        <v>8.0</v>
      </c>
      <c r="I944" s="178">
        <v>31.5</v>
      </c>
    </row>
    <row r="945">
      <c r="A945" s="177" t="s">
        <v>1465</v>
      </c>
      <c r="B945" s="177" t="s">
        <v>3468</v>
      </c>
      <c r="C945" s="177" t="s">
        <v>710</v>
      </c>
      <c r="D945" s="177">
        <v>16.5</v>
      </c>
      <c r="E945" s="177">
        <v>2.75</v>
      </c>
      <c r="F945" s="177">
        <v>19.25</v>
      </c>
      <c r="G945" s="177">
        <v>68.0</v>
      </c>
      <c r="H945" s="177">
        <v>0.0</v>
      </c>
      <c r="I945" s="178">
        <v>19.25</v>
      </c>
    </row>
    <row r="946">
      <c r="A946" s="177" t="s">
        <v>1387</v>
      </c>
      <c r="B946" s="177" t="s">
        <v>3469</v>
      </c>
      <c r="C946" s="177" t="s">
        <v>711</v>
      </c>
      <c r="D946" s="177">
        <v>0.0</v>
      </c>
      <c r="E946" s="177">
        <v>0.0</v>
      </c>
      <c r="F946" s="177">
        <v>0.0</v>
      </c>
      <c r="G946" s="177">
        <v>28.0</v>
      </c>
      <c r="H946" s="177">
        <v>0.0</v>
      </c>
      <c r="I946" s="178">
        <v>0.0</v>
      </c>
    </row>
    <row r="947">
      <c r="A947" s="177" t="s">
        <v>1388</v>
      </c>
      <c r="B947" s="177" t="s">
        <v>3470</v>
      </c>
      <c r="C947" s="177" t="s">
        <v>712</v>
      </c>
      <c r="D947" s="177">
        <v>0.0</v>
      </c>
      <c r="E947" s="177">
        <v>18.75</v>
      </c>
      <c r="F947" s="177">
        <v>18.75</v>
      </c>
      <c r="G947" s="177">
        <v>68.0</v>
      </c>
      <c r="H947" s="177">
        <v>0.0</v>
      </c>
      <c r="I947" s="178">
        <v>18.75</v>
      </c>
    </row>
    <row r="948">
      <c r="A948" s="177" t="s">
        <v>1389</v>
      </c>
      <c r="B948" s="177" t="s">
        <v>3471</v>
      </c>
      <c r="C948" s="177" t="s">
        <v>713</v>
      </c>
      <c r="D948" s="177">
        <v>16.5</v>
      </c>
      <c r="E948" s="177">
        <v>14.25</v>
      </c>
      <c r="F948" s="177">
        <v>30.75</v>
      </c>
      <c r="G948" s="177">
        <v>60.0</v>
      </c>
      <c r="H948" s="177">
        <v>0.0</v>
      </c>
      <c r="I948" s="178">
        <v>30.75</v>
      </c>
    </row>
    <row r="949">
      <c r="A949" s="177" t="s">
        <v>135</v>
      </c>
      <c r="B949" s="177" t="s">
        <v>3472</v>
      </c>
      <c r="C949" s="177" t="s">
        <v>714</v>
      </c>
      <c r="D949" s="177">
        <v>18.75</v>
      </c>
      <c r="E949" s="177">
        <v>21.5</v>
      </c>
      <c r="F949" s="177">
        <v>40.25</v>
      </c>
      <c r="G949" s="177">
        <v>76.0</v>
      </c>
      <c r="H949" s="177">
        <v>7.0</v>
      </c>
      <c r="I949" s="178">
        <v>47.25</v>
      </c>
    </row>
    <row r="950">
      <c r="A950" s="177" t="s">
        <v>1472</v>
      </c>
      <c r="B950" s="177" t="s">
        <v>3473</v>
      </c>
      <c r="C950" s="177" t="s">
        <v>715</v>
      </c>
      <c r="D950" s="177">
        <v>24.75</v>
      </c>
      <c r="E950" s="177">
        <v>20.25</v>
      </c>
      <c r="F950" s="177">
        <v>45.0</v>
      </c>
      <c r="G950" s="177">
        <v>92.0</v>
      </c>
      <c r="H950" s="177">
        <v>10.0</v>
      </c>
      <c r="I950" s="178">
        <v>55.0</v>
      </c>
    </row>
    <row r="951">
      <c r="A951" s="177" t="s">
        <v>1390</v>
      </c>
      <c r="B951" s="177" t="s">
        <v>3474</v>
      </c>
      <c r="C951" s="177" t="s">
        <v>716</v>
      </c>
      <c r="D951" s="177">
        <v>16.0</v>
      </c>
      <c r="E951" s="177">
        <v>20.0</v>
      </c>
      <c r="F951" s="177">
        <v>36.0</v>
      </c>
      <c r="G951" s="177">
        <v>84.0</v>
      </c>
      <c r="H951" s="177">
        <v>8.0</v>
      </c>
      <c r="I951" s="178">
        <v>44.0</v>
      </c>
    </row>
    <row r="952">
      <c r="A952" s="177" t="s">
        <v>1401</v>
      </c>
      <c r="B952" s="177" t="s">
        <v>3475</v>
      </c>
      <c r="C952" s="177" t="s">
        <v>717</v>
      </c>
      <c r="D952" s="177">
        <v>0.0</v>
      </c>
      <c r="E952" s="177">
        <v>0.0</v>
      </c>
      <c r="F952" s="177">
        <v>0.0</v>
      </c>
      <c r="G952" s="177">
        <v>68.0</v>
      </c>
      <c r="H952" s="177">
        <v>0.0</v>
      </c>
      <c r="I952" s="178">
        <v>0.0</v>
      </c>
    </row>
    <row r="953">
      <c r="A953" s="177" t="s">
        <v>1391</v>
      </c>
      <c r="B953" s="177" t="s">
        <v>3476</v>
      </c>
      <c r="C953" s="177" t="s">
        <v>718</v>
      </c>
      <c r="D953" s="177">
        <v>23.75</v>
      </c>
      <c r="E953" s="177">
        <v>33.5</v>
      </c>
      <c r="F953" s="177">
        <v>57.25</v>
      </c>
      <c r="G953" s="177">
        <v>76.0</v>
      </c>
      <c r="H953" s="177">
        <v>7.0</v>
      </c>
      <c r="I953" s="178">
        <v>64.25</v>
      </c>
    </row>
    <row r="954">
      <c r="A954" s="177" t="s">
        <v>1392</v>
      </c>
      <c r="B954" s="177" t="s">
        <v>3477</v>
      </c>
      <c r="C954" s="177" t="s">
        <v>719</v>
      </c>
      <c r="D954" s="177">
        <v>26.5</v>
      </c>
      <c r="E954" s="177">
        <v>24.75</v>
      </c>
      <c r="F954" s="177">
        <v>51.25</v>
      </c>
      <c r="G954" s="177">
        <v>72.0</v>
      </c>
      <c r="H954" s="177">
        <v>6.0</v>
      </c>
      <c r="I954" s="178">
        <v>57.25</v>
      </c>
    </row>
    <row r="955">
      <c r="A955" s="177" t="s">
        <v>1393</v>
      </c>
      <c r="B955" s="177" t="s">
        <v>3478</v>
      </c>
      <c r="C955" s="177" t="s">
        <v>720</v>
      </c>
      <c r="D955" s="177">
        <v>29.0</v>
      </c>
      <c r="E955" s="177">
        <v>29.75</v>
      </c>
      <c r="F955" s="177">
        <v>58.75</v>
      </c>
      <c r="G955" s="177">
        <v>68.0</v>
      </c>
      <c r="H955" s="177">
        <v>0.0</v>
      </c>
      <c r="I955" s="178">
        <v>58.75</v>
      </c>
    </row>
    <row r="956">
      <c r="A956" s="177" t="s">
        <v>1394</v>
      </c>
      <c r="B956" s="177" t="s">
        <v>3479</v>
      </c>
      <c r="C956" s="177" t="s">
        <v>721</v>
      </c>
      <c r="D956" s="177">
        <v>27.0</v>
      </c>
      <c r="E956" s="177">
        <v>26.25</v>
      </c>
      <c r="F956" s="177">
        <v>53.25</v>
      </c>
      <c r="G956" s="177">
        <v>68.0</v>
      </c>
      <c r="H956" s="177">
        <v>0.0</v>
      </c>
      <c r="I956" s="178">
        <v>53.25</v>
      </c>
    </row>
    <row r="957">
      <c r="A957" s="177" t="s">
        <v>1423</v>
      </c>
      <c r="B957" s="177" t="s">
        <v>3480</v>
      </c>
      <c r="C957" s="177" t="s">
        <v>722</v>
      </c>
      <c r="D957" s="177">
        <v>24.0</v>
      </c>
      <c r="E957" s="177">
        <v>30.25</v>
      </c>
      <c r="F957" s="177">
        <v>54.25</v>
      </c>
      <c r="G957" s="177">
        <v>72.0</v>
      </c>
      <c r="H957" s="177">
        <v>6.0</v>
      </c>
      <c r="I957" s="178">
        <v>60.25</v>
      </c>
    </row>
    <row r="958">
      <c r="A958" s="177" t="s">
        <v>1410</v>
      </c>
      <c r="B958" s="177" t="s">
        <v>3481</v>
      </c>
      <c r="C958" s="177" t="s">
        <v>723</v>
      </c>
      <c r="D958" s="177">
        <v>0.0</v>
      </c>
      <c r="E958" s="177">
        <v>0.0</v>
      </c>
      <c r="F958" s="177">
        <v>0.0</v>
      </c>
      <c r="G958" s="177">
        <v>4.0</v>
      </c>
      <c r="H958" s="177">
        <v>0.0</v>
      </c>
      <c r="I958" s="178">
        <v>0.0</v>
      </c>
    </row>
    <row r="959">
      <c r="A959" s="177" t="s">
        <v>1398</v>
      </c>
      <c r="B959" s="177" t="s">
        <v>3482</v>
      </c>
      <c r="C959" s="177" t="s">
        <v>724</v>
      </c>
      <c r="D959" s="177">
        <v>22.25</v>
      </c>
      <c r="E959" s="177">
        <v>0.0</v>
      </c>
      <c r="F959" s="177">
        <v>22.25</v>
      </c>
      <c r="G959" s="177">
        <v>56.0</v>
      </c>
      <c r="H959" s="177">
        <v>0.0</v>
      </c>
      <c r="I959" s="178">
        <v>22.25</v>
      </c>
    </row>
    <row r="960">
      <c r="A960" s="177" t="s">
        <v>1425</v>
      </c>
      <c r="B960" s="177" t="s">
        <v>3483</v>
      </c>
      <c r="C960" s="177" t="s">
        <v>726</v>
      </c>
      <c r="D960" s="177">
        <v>16.0</v>
      </c>
      <c r="E960" s="177">
        <v>24.0</v>
      </c>
      <c r="F960" s="177">
        <v>40.0</v>
      </c>
      <c r="G960" s="177">
        <v>96.0</v>
      </c>
      <c r="H960" s="177">
        <v>10.0</v>
      </c>
      <c r="I960" s="178">
        <v>50.0</v>
      </c>
    </row>
    <row r="961">
      <c r="A961" s="177" t="s">
        <v>1474</v>
      </c>
      <c r="B961" s="177" t="s">
        <v>3484</v>
      </c>
      <c r="C961" s="177" t="s">
        <v>727</v>
      </c>
      <c r="D961" s="177">
        <v>17.25</v>
      </c>
      <c r="E961" s="177">
        <v>23.25</v>
      </c>
      <c r="F961" s="177">
        <v>40.5</v>
      </c>
      <c r="G961" s="177">
        <v>64.0</v>
      </c>
      <c r="H961" s="177">
        <v>0.0</v>
      </c>
      <c r="I961" s="178">
        <v>40.5</v>
      </c>
    </row>
    <row r="962">
      <c r="A962" s="177" t="s">
        <v>1426</v>
      </c>
      <c r="B962" s="177" t="s">
        <v>3485</v>
      </c>
      <c r="C962" s="177" t="s">
        <v>728</v>
      </c>
      <c r="D962" s="177">
        <v>6.25</v>
      </c>
      <c r="E962" s="177">
        <v>19.5</v>
      </c>
      <c r="F962" s="177">
        <v>25.75</v>
      </c>
      <c r="G962" s="177">
        <v>76.0</v>
      </c>
      <c r="H962" s="177">
        <v>7.0</v>
      </c>
      <c r="I962" s="178">
        <v>32.75</v>
      </c>
    </row>
    <row r="963">
      <c r="A963" s="177" t="s">
        <v>1427</v>
      </c>
      <c r="B963" s="177" t="s">
        <v>3486</v>
      </c>
      <c r="C963" s="177" t="s">
        <v>729</v>
      </c>
      <c r="D963" s="177">
        <v>8.75</v>
      </c>
      <c r="E963" s="177">
        <v>0.0</v>
      </c>
      <c r="F963" s="177">
        <v>8.75</v>
      </c>
      <c r="G963" s="177">
        <v>8.0</v>
      </c>
      <c r="H963" s="177">
        <v>0.0</v>
      </c>
      <c r="I963" s="178">
        <v>8.75</v>
      </c>
    </row>
    <row r="964">
      <c r="A964" s="177" t="s">
        <v>1428</v>
      </c>
      <c r="B964" s="177" t="s">
        <v>3487</v>
      </c>
      <c r="C964" s="177" t="s">
        <v>730</v>
      </c>
      <c r="D964" s="177">
        <v>25.0</v>
      </c>
      <c r="E964" s="177">
        <v>0.0</v>
      </c>
      <c r="F964" s="177">
        <v>25.0</v>
      </c>
      <c r="G964" s="177">
        <v>92.0</v>
      </c>
      <c r="H964" s="177">
        <v>10.0</v>
      </c>
      <c r="I964" s="178">
        <v>35.0</v>
      </c>
    </row>
    <row r="965">
      <c r="A965" s="177" t="s">
        <v>1408</v>
      </c>
      <c r="B965" s="177" t="s">
        <v>3488</v>
      </c>
      <c r="C965" s="177" t="s">
        <v>731</v>
      </c>
      <c r="D965" s="177">
        <v>25.0</v>
      </c>
      <c r="E965" s="177">
        <v>0.0</v>
      </c>
      <c r="F965" s="177">
        <v>25.0</v>
      </c>
      <c r="G965" s="177">
        <v>92.0</v>
      </c>
      <c r="H965" s="177">
        <v>10.0</v>
      </c>
      <c r="I965" s="178">
        <v>35.0</v>
      </c>
    </row>
    <row r="966">
      <c r="A966" s="177" t="s">
        <v>1429</v>
      </c>
      <c r="B966" s="177" t="s">
        <v>3489</v>
      </c>
      <c r="C966" s="177" t="s">
        <v>732</v>
      </c>
      <c r="D966" s="177">
        <v>0.0</v>
      </c>
      <c r="E966" s="177">
        <v>0.0</v>
      </c>
      <c r="F966" s="177">
        <v>0.0</v>
      </c>
      <c r="G966" s="177">
        <v>8.0</v>
      </c>
      <c r="H966" s="177">
        <v>0.0</v>
      </c>
      <c r="I966" s="178">
        <v>0.0</v>
      </c>
    </row>
    <row r="967">
      <c r="A967" s="177" t="s">
        <v>1422</v>
      </c>
      <c r="B967" s="177" t="s">
        <v>3490</v>
      </c>
      <c r="C967" s="177" t="s">
        <v>733</v>
      </c>
      <c r="D967" s="177">
        <v>14.5</v>
      </c>
      <c r="E967" s="177">
        <v>21.75</v>
      </c>
      <c r="F967" s="177">
        <v>36.25</v>
      </c>
      <c r="G967" s="177">
        <v>60.0</v>
      </c>
      <c r="H967" s="177">
        <v>0.0</v>
      </c>
      <c r="I967" s="178">
        <v>36.25</v>
      </c>
    </row>
    <row r="968">
      <c r="A968" s="177" t="s">
        <v>1531</v>
      </c>
      <c r="B968" s="177" t="s">
        <v>3491</v>
      </c>
      <c r="C968" s="177" t="s">
        <v>734</v>
      </c>
      <c r="D968" s="177">
        <v>11.0</v>
      </c>
      <c r="E968" s="177">
        <v>0.0</v>
      </c>
      <c r="F968" s="177">
        <v>11.0</v>
      </c>
      <c r="G968" s="177">
        <v>52.0</v>
      </c>
      <c r="H968" s="177">
        <v>0.0</v>
      </c>
      <c r="I968" s="178">
        <v>11.0</v>
      </c>
    </row>
    <row r="969">
      <c r="A969" s="177" t="s">
        <v>1470</v>
      </c>
      <c r="B969" s="177" t="s">
        <v>3492</v>
      </c>
      <c r="C969" s="177" t="s">
        <v>735</v>
      </c>
      <c r="D969" s="177">
        <v>19.75</v>
      </c>
      <c r="E969" s="177">
        <v>20.25</v>
      </c>
      <c r="F969" s="177">
        <v>40.0</v>
      </c>
      <c r="G969" s="177">
        <v>96.0</v>
      </c>
      <c r="H969" s="177">
        <v>10.0</v>
      </c>
      <c r="I969" s="178">
        <v>50.0</v>
      </c>
    </row>
    <row r="970">
      <c r="A970" s="177" t="s">
        <v>1430</v>
      </c>
      <c r="B970" s="177" t="s">
        <v>3493</v>
      </c>
      <c r="C970" s="177" t="s">
        <v>736</v>
      </c>
      <c r="D970" s="177">
        <v>20.25</v>
      </c>
      <c r="E970" s="177">
        <v>20.75</v>
      </c>
      <c r="F970" s="177">
        <v>41.0</v>
      </c>
      <c r="G970" s="177">
        <v>100.0</v>
      </c>
      <c r="H970" s="177">
        <v>10.0</v>
      </c>
      <c r="I970" s="178">
        <v>51.0</v>
      </c>
    </row>
    <row r="971">
      <c r="A971" s="177" t="s">
        <v>1431</v>
      </c>
      <c r="B971" s="177" t="s">
        <v>3494</v>
      </c>
      <c r="C971" s="177" t="s">
        <v>737</v>
      </c>
      <c r="D971" s="177">
        <v>23.0</v>
      </c>
      <c r="E971" s="177">
        <v>27.75</v>
      </c>
      <c r="F971" s="177">
        <v>50.75</v>
      </c>
      <c r="G971" s="177">
        <v>100.0</v>
      </c>
      <c r="H971" s="177">
        <v>10.0</v>
      </c>
      <c r="I971" s="178">
        <v>60.75</v>
      </c>
    </row>
    <row r="972">
      <c r="A972" s="177" t="s">
        <v>1409</v>
      </c>
      <c r="B972" s="177" t="s">
        <v>3495</v>
      </c>
      <c r="C972" s="177" t="s">
        <v>738</v>
      </c>
      <c r="D972" s="177">
        <v>6.25</v>
      </c>
      <c r="E972" s="177">
        <v>0.0</v>
      </c>
      <c r="F972" s="177">
        <v>6.25</v>
      </c>
      <c r="G972" s="177">
        <v>32.0</v>
      </c>
      <c r="H972" s="177">
        <v>0.0</v>
      </c>
      <c r="I972" s="178">
        <v>6.25</v>
      </c>
    </row>
    <row r="973">
      <c r="A973" s="177" t="s">
        <v>1432</v>
      </c>
      <c r="B973" s="177" t="s">
        <v>3496</v>
      </c>
      <c r="C973" s="177" t="s">
        <v>739</v>
      </c>
      <c r="D973" s="177">
        <v>5.5</v>
      </c>
      <c r="E973" s="177">
        <v>19.25</v>
      </c>
      <c r="F973" s="177">
        <v>24.75</v>
      </c>
      <c r="G973" s="177">
        <v>64.0</v>
      </c>
      <c r="H973" s="177">
        <v>0.0</v>
      </c>
      <c r="I973" s="178">
        <v>24.75</v>
      </c>
    </row>
    <row r="974">
      <c r="A974" s="177" t="s">
        <v>1468</v>
      </c>
      <c r="B974" s="177" t="s">
        <v>3497</v>
      </c>
      <c r="C974" s="177" t="s">
        <v>740</v>
      </c>
      <c r="D974" s="177">
        <v>7.25</v>
      </c>
      <c r="E974" s="177">
        <v>0.0</v>
      </c>
      <c r="F974" s="177">
        <v>7.25</v>
      </c>
      <c r="G974" s="177">
        <v>44.0</v>
      </c>
      <c r="H974" s="177">
        <v>0.0</v>
      </c>
      <c r="I974" s="178">
        <v>7.25</v>
      </c>
    </row>
    <row r="975">
      <c r="A975" s="177" t="s">
        <v>1433</v>
      </c>
      <c r="B975" s="177" t="s">
        <v>3498</v>
      </c>
      <c r="C975" s="177" t="s">
        <v>741</v>
      </c>
      <c r="D975" s="177">
        <v>11.0</v>
      </c>
      <c r="E975" s="177">
        <v>26.0</v>
      </c>
      <c r="F975" s="177">
        <v>37.0</v>
      </c>
      <c r="G975" s="177">
        <v>96.0</v>
      </c>
      <c r="H975" s="177">
        <v>10.0</v>
      </c>
      <c r="I975" s="178">
        <v>47.0</v>
      </c>
    </row>
    <row r="976">
      <c r="A976" s="177" t="s">
        <v>1421</v>
      </c>
      <c r="B976" s="177" t="s">
        <v>3256</v>
      </c>
      <c r="C976" s="177" t="s">
        <v>742</v>
      </c>
      <c r="D976" s="177">
        <v>8.75</v>
      </c>
      <c r="E976" s="177">
        <v>0.0</v>
      </c>
      <c r="F976" s="177">
        <v>8.75</v>
      </c>
      <c r="G976" s="177">
        <v>12.0</v>
      </c>
      <c r="H976" s="177">
        <v>0.0</v>
      </c>
      <c r="I976" s="178">
        <v>8.75</v>
      </c>
    </row>
    <row r="977">
      <c r="A977" s="177" t="s">
        <v>1434</v>
      </c>
      <c r="B977" s="177" t="s">
        <v>3499</v>
      </c>
      <c r="C977" s="177" t="s">
        <v>743</v>
      </c>
      <c r="D977" s="177">
        <v>11.75</v>
      </c>
      <c r="E977" s="177">
        <v>20.5</v>
      </c>
      <c r="F977" s="177">
        <v>32.25</v>
      </c>
      <c r="G977" s="177">
        <v>84.0</v>
      </c>
      <c r="H977" s="177">
        <v>8.0</v>
      </c>
      <c r="I977" s="178">
        <v>40.25</v>
      </c>
    </row>
    <row r="978">
      <c r="A978" s="177" t="s">
        <v>1411</v>
      </c>
      <c r="B978" s="177" t="s">
        <v>3500</v>
      </c>
      <c r="C978" s="177" t="s">
        <v>744</v>
      </c>
      <c r="D978" s="177">
        <v>11.75</v>
      </c>
      <c r="E978" s="177">
        <v>0.0</v>
      </c>
      <c r="F978" s="177">
        <v>11.75</v>
      </c>
      <c r="G978" s="177">
        <v>24.0</v>
      </c>
      <c r="H978" s="177">
        <v>0.0</v>
      </c>
      <c r="I978" s="178">
        <v>11.75</v>
      </c>
    </row>
    <row r="979">
      <c r="A979" s="177" t="s">
        <v>1435</v>
      </c>
      <c r="B979" s="177" t="s">
        <v>3501</v>
      </c>
      <c r="C979" s="177" t="s">
        <v>745</v>
      </c>
      <c r="D979" s="177">
        <v>17.0</v>
      </c>
      <c r="E979" s="177">
        <v>23.75</v>
      </c>
      <c r="F979" s="177">
        <f>D979+E979</f>
        <v>40.75</v>
      </c>
      <c r="G979" s="177">
        <v>92.0</v>
      </c>
      <c r="H979" s="177">
        <v>10.0</v>
      </c>
      <c r="I979" s="178">
        <v>50.75</v>
      </c>
    </row>
    <row r="980">
      <c r="A980" s="177" t="s">
        <v>1436</v>
      </c>
      <c r="B980" s="177" t="s">
        <v>3502</v>
      </c>
      <c r="C980" s="177" t="s">
        <v>746</v>
      </c>
      <c r="D980" s="177">
        <v>16.5</v>
      </c>
      <c r="E980" s="177">
        <v>14.5</v>
      </c>
      <c r="F980" s="177">
        <v>31.0</v>
      </c>
      <c r="G980" s="177">
        <v>92.0</v>
      </c>
      <c r="H980" s="177">
        <v>10.0</v>
      </c>
      <c r="I980" s="178">
        <v>41.0</v>
      </c>
    </row>
    <row r="981">
      <c r="A981" s="177" t="s">
        <v>1493</v>
      </c>
      <c r="B981" s="177" t="s">
        <v>3503</v>
      </c>
      <c r="C981" s="177" t="s">
        <v>747</v>
      </c>
      <c r="D981" s="177">
        <v>12.5</v>
      </c>
      <c r="E981" s="177">
        <v>21.5</v>
      </c>
      <c r="F981" s="177">
        <v>34.0</v>
      </c>
      <c r="G981" s="177">
        <v>92.0</v>
      </c>
      <c r="H981" s="177">
        <v>10.0</v>
      </c>
      <c r="I981" s="178">
        <v>44.0</v>
      </c>
    </row>
    <row r="982">
      <c r="A982" s="177" t="s">
        <v>1437</v>
      </c>
      <c r="B982" s="177" t="s">
        <v>3504</v>
      </c>
      <c r="C982" s="177" t="s">
        <v>748</v>
      </c>
      <c r="D982" s="177">
        <v>7.5</v>
      </c>
      <c r="E982" s="177">
        <v>12.0</v>
      </c>
      <c r="F982" s="177">
        <v>19.5</v>
      </c>
      <c r="G982" s="177">
        <v>88.0</v>
      </c>
      <c r="H982" s="177">
        <v>9.0</v>
      </c>
      <c r="I982" s="178">
        <v>28.5</v>
      </c>
    </row>
    <row r="983">
      <c r="A983" s="177" t="s">
        <v>1438</v>
      </c>
      <c r="B983" s="177" t="s">
        <v>3505</v>
      </c>
      <c r="C983" s="177" t="s">
        <v>749</v>
      </c>
      <c r="D983" s="177">
        <v>0.0</v>
      </c>
      <c r="E983" s="177">
        <v>0.0</v>
      </c>
      <c r="F983" s="177">
        <v>0.0</v>
      </c>
      <c r="G983" s="177">
        <v>24.0</v>
      </c>
      <c r="H983" s="177">
        <v>0.0</v>
      </c>
      <c r="I983" s="178">
        <v>0.0</v>
      </c>
    </row>
    <row r="984">
      <c r="A984" s="177" t="s">
        <v>1439</v>
      </c>
      <c r="B984" s="177" t="s">
        <v>3506</v>
      </c>
      <c r="C984" s="177" t="s">
        <v>750</v>
      </c>
      <c r="D984" s="177">
        <v>19.5</v>
      </c>
      <c r="E984" s="177">
        <v>31.0</v>
      </c>
      <c r="F984" s="177">
        <v>50.5</v>
      </c>
      <c r="G984" s="177">
        <v>84.0</v>
      </c>
      <c r="H984" s="177">
        <v>8.0</v>
      </c>
      <c r="I984" s="178">
        <v>58.5</v>
      </c>
    </row>
    <row r="985">
      <c r="A985" s="177" t="s">
        <v>1440</v>
      </c>
      <c r="B985" s="177" t="s">
        <v>3507</v>
      </c>
      <c r="C985" s="177" t="s">
        <v>751</v>
      </c>
      <c r="D985" s="177">
        <v>33.5</v>
      </c>
      <c r="E985" s="177">
        <v>33.75</v>
      </c>
      <c r="F985" s="177">
        <v>67.25</v>
      </c>
      <c r="G985" s="177">
        <v>88.0</v>
      </c>
      <c r="H985" s="177">
        <v>9.0</v>
      </c>
      <c r="I985" s="178">
        <v>76.25</v>
      </c>
    </row>
    <row r="986">
      <c r="A986" s="177" t="s">
        <v>1441</v>
      </c>
      <c r="B986" s="177" t="s">
        <v>3508</v>
      </c>
      <c r="C986" s="177" t="s">
        <v>752</v>
      </c>
      <c r="D986" s="177">
        <v>26.75</v>
      </c>
      <c r="E986" s="177">
        <v>33.75</v>
      </c>
      <c r="F986" s="177">
        <v>60.5</v>
      </c>
      <c r="G986" s="177">
        <v>92.0</v>
      </c>
      <c r="H986" s="177">
        <v>10.0</v>
      </c>
      <c r="I986" s="178">
        <v>70.5</v>
      </c>
    </row>
    <row r="987">
      <c r="A987" s="177" t="s">
        <v>1460</v>
      </c>
      <c r="B987" s="177" t="s">
        <v>3509</v>
      </c>
      <c r="C987" s="177" t="s">
        <v>753</v>
      </c>
      <c r="D987" s="177">
        <v>16.0</v>
      </c>
      <c r="E987" s="177">
        <v>16.25</v>
      </c>
      <c r="F987" s="177">
        <v>32.25</v>
      </c>
      <c r="G987" s="177">
        <v>92.0</v>
      </c>
      <c r="H987" s="177">
        <v>10.0</v>
      </c>
      <c r="I987" s="178">
        <v>42.25</v>
      </c>
    </row>
    <row r="988">
      <c r="A988" s="177" t="s">
        <v>1466</v>
      </c>
      <c r="B988" s="177" t="s">
        <v>3510</v>
      </c>
      <c r="C988" s="177" t="s">
        <v>754</v>
      </c>
      <c r="D988" s="177">
        <v>15.25</v>
      </c>
      <c r="E988" s="177">
        <v>19.5</v>
      </c>
      <c r="F988" s="177">
        <v>34.75</v>
      </c>
      <c r="G988" s="177">
        <v>92.0</v>
      </c>
      <c r="H988" s="177">
        <v>10.0</v>
      </c>
      <c r="I988" s="178">
        <v>44.75</v>
      </c>
    </row>
    <row r="989">
      <c r="A989" s="177" t="s">
        <v>1555</v>
      </c>
      <c r="B989" s="177" t="s">
        <v>3511</v>
      </c>
      <c r="C989" s="177" t="s">
        <v>755</v>
      </c>
      <c r="D989" s="177">
        <v>10.0</v>
      </c>
      <c r="E989" s="177">
        <v>23.5</v>
      </c>
      <c r="F989" s="177">
        <v>33.5</v>
      </c>
      <c r="G989" s="177">
        <v>72.0</v>
      </c>
      <c r="H989" s="177">
        <v>6.0</v>
      </c>
      <c r="I989" s="178">
        <v>39.5</v>
      </c>
    </row>
    <row r="990">
      <c r="A990" s="177" t="s">
        <v>1481</v>
      </c>
      <c r="B990" s="177" t="s">
        <v>3512</v>
      </c>
      <c r="C990" s="177" t="s">
        <v>756</v>
      </c>
      <c r="D990" s="177">
        <v>10.0</v>
      </c>
      <c r="E990" s="177">
        <v>0.0</v>
      </c>
      <c r="F990" s="177">
        <v>10.0</v>
      </c>
      <c r="G990" s="177">
        <v>24.0</v>
      </c>
      <c r="H990" s="177">
        <v>0.0</v>
      </c>
      <c r="I990" s="178">
        <v>10.0</v>
      </c>
    </row>
    <row r="991">
      <c r="A991" s="177" t="s">
        <v>1442</v>
      </c>
      <c r="B991" s="177" t="s">
        <v>3513</v>
      </c>
      <c r="C991" s="177" t="s">
        <v>757</v>
      </c>
      <c r="D991" s="177">
        <v>6.25</v>
      </c>
      <c r="E991" s="177">
        <v>0.0</v>
      </c>
      <c r="F991" s="177">
        <v>6.25</v>
      </c>
      <c r="G991" s="177">
        <v>44.0</v>
      </c>
      <c r="H991" s="177">
        <v>0.0</v>
      </c>
      <c r="I991" s="178">
        <v>6.25</v>
      </c>
    </row>
    <row r="992">
      <c r="A992" s="177" t="s">
        <v>1471</v>
      </c>
      <c r="B992" s="177" t="s">
        <v>3514</v>
      </c>
      <c r="C992" s="177" t="s">
        <v>759</v>
      </c>
      <c r="D992" s="177">
        <v>18.75</v>
      </c>
      <c r="E992" s="177">
        <v>21.5</v>
      </c>
      <c r="F992" s="177">
        <v>40.25</v>
      </c>
      <c r="G992" s="177">
        <v>92.0</v>
      </c>
      <c r="H992" s="177">
        <v>10.0</v>
      </c>
      <c r="I992" s="178">
        <v>50.25</v>
      </c>
    </row>
    <row r="993">
      <c r="A993" s="177" t="s">
        <v>1550</v>
      </c>
      <c r="B993" s="177" t="s">
        <v>3515</v>
      </c>
      <c r="C993" s="177" t="s">
        <v>760</v>
      </c>
      <c r="D993" s="177">
        <v>0.0</v>
      </c>
      <c r="E993" s="177">
        <v>0.0</v>
      </c>
      <c r="F993" s="177">
        <v>0.0</v>
      </c>
      <c r="G993" s="177">
        <v>52.0</v>
      </c>
      <c r="H993" s="177">
        <v>0.0</v>
      </c>
      <c r="I993" s="178">
        <v>0.0</v>
      </c>
    </row>
    <row r="994">
      <c r="A994" s="177" t="s">
        <v>1461</v>
      </c>
      <c r="B994" s="177" t="s">
        <v>3516</v>
      </c>
      <c r="C994" s="177" t="s">
        <v>761</v>
      </c>
      <c r="D994" s="177">
        <v>21.75</v>
      </c>
      <c r="E994" s="177">
        <v>19.0</v>
      </c>
      <c r="F994" s="177">
        <v>40.75</v>
      </c>
      <c r="G994" s="177">
        <v>64.0</v>
      </c>
      <c r="H994" s="177">
        <v>0.0</v>
      </c>
      <c r="I994" s="178">
        <v>40.75</v>
      </c>
    </row>
    <row r="995">
      <c r="A995" s="177" t="s">
        <v>1444</v>
      </c>
      <c r="B995" s="177" t="s">
        <v>3517</v>
      </c>
      <c r="C995" s="177" t="s">
        <v>762</v>
      </c>
      <c r="D995" s="177">
        <v>18.5</v>
      </c>
      <c r="E995" s="177">
        <v>0.0</v>
      </c>
      <c r="F995" s="177">
        <v>18.5</v>
      </c>
      <c r="G995" s="177">
        <v>32.0</v>
      </c>
      <c r="H995" s="177">
        <v>0.0</v>
      </c>
      <c r="I995" s="178">
        <v>18.5</v>
      </c>
    </row>
    <row r="996">
      <c r="A996" s="177" t="s">
        <v>1478</v>
      </c>
      <c r="B996" s="177" t="s">
        <v>3518</v>
      </c>
      <c r="C996" s="177" t="s">
        <v>763</v>
      </c>
      <c r="D996" s="177">
        <v>16.0</v>
      </c>
      <c r="E996" s="177">
        <v>14.0</v>
      </c>
      <c r="F996" s="177">
        <v>30.0</v>
      </c>
      <c r="G996" s="177">
        <v>92.0</v>
      </c>
      <c r="H996" s="177">
        <v>10.0</v>
      </c>
      <c r="I996" s="178">
        <v>40.0</v>
      </c>
    </row>
    <row r="997">
      <c r="A997" s="177" t="s">
        <v>1445</v>
      </c>
      <c r="B997" s="177" t="s">
        <v>3519</v>
      </c>
      <c r="C997" s="177" t="s">
        <v>764</v>
      </c>
      <c r="D997" s="177">
        <v>22.25</v>
      </c>
      <c r="E997" s="177">
        <v>28.25</v>
      </c>
      <c r="F997" s="177">
        <v>50.5</v>
      </c>
      <c r="G997" s="177">
        <v>76.0</v>
      </c>
      <c r="H997" s="177">
        <v>7.0</v>
      </c>
      <c r="I997" s="178">
        <v>57.5</v>
      </c>
    </row>
    <row r="998">
      <c r="A998" s="177" t="s">
        <v>1482</v>
      </c>
      <c r="B998" s="177" t="s">
        <v>3520</v>
      </c>
      <c r="C998" s="177" t="s">
        <v>765</v>
      </c>
      <c r="D998" s="177">
        <v>31.75</v>
      </c>
      <c r="E998" s="177">
        <v>35.5</v>
      </c>
      <c r="F998" s="177">
        <v>67.25</v>
      </c>
      <c r="G998" s="177">
        <v>88.0</v>
      </c>
      <c r="H998" s="177">
        <v>9.0</v>
      </c>
      <c r="I998" s="178">
        <v>76.25</v>
      </c>
    </row>
    <row r="999">
      <c r="A999" s="177" t="s">
        <v>1446</v>
      </c>
      <c r="B999" s="177" t="s">
        <v>3521</v>
      </c>
      <c r="C999" s="177" t="s">
        <v>766</v>
      </c>
      <c r="D999" s="177">
        <v>25.0</v>
      </c>
      <c r="E999" s="177">
        <v>17.75</v>
      </c>
      <c r="F999" s="177">
        <f>D999+E999</f>
        <v>42.75</v>
      </c>
      <c r="G999" s="177">
        <v>76.0</v>
      </c>
      <c r="H999" s="177">
        <v>7.0</v>
      </c>
      <c r="I999" s="178">
        <v>50.0</v>
      </c>
    </row>
    <row r="1000">
      <c r="A1000" s="177" t="s">
        <v>1549</v>
      </c>
      <c r="B1000" s="177" t="s">
        <v>3522</v>
      </c>
      <c r="C1000" s="177" t="s">
        <v>767</v>
      </c>
      <c r="D1000" s="177">
        <v>15.0</v>
      </c>
      <c r="E1000" s="177">
        <v>0.0</v>
      </c>
      <c r="F1000" s="177">
        <v>15.0</v>
      </c>
      <c r="G1000" s="177">
        <v>76.0</v>
      </c>
      <c r="H1000" s="177">
        <v>7.0</v>
      </c>
      <c r="I1000" s="178">
        <v>22.0</v>
      </c>
    </row>
    <row r="1001">
      <c r="A1001" s="177" t="s">
        <v>1447</v>
      </c>
      <c r="B1001" s="177" t="s">
        <v>3523</v>
      </c>
      <c r="C1001" s="177" t="s">
        <v>768</v>
      </c>
      <c r="D1001" s="177">
        <v>23.5</v>
      </c>
      <c r="E1001" s="177">
        <v>29.0</v>
      </c>
      <c r="F1001" s="177">
        <v>52.5</v>
      </c>
      <c r="G1001" s="177">
        <v>72.0</v>
      </c>
      <c r="H1001" s="177">
        <v>6.0</v>
      </c>
      <c r="I1001" s="178">
        <v>58.5</v>
      </c>
    </row>
    <row r="1002">
      <c r="A1002" s="177" t="s">
        <v>1448</v>
      </c>
      <c r="B1002" s="177" t="s">
        <v>3524</v>
      </c>
      <c r="C1002" s="177" t="s">
        <v>769</v>
      </c>
      <c r="D1002" s="177">
        <v>27.25</v>
      </c>
      <c r="E1002" s="177">
        <v>30.0</v>
      </c>
      <c r="F1002" s="177">
        <v>57.25</v>
      </c>
      <c r="G1002" s="177">
        <v>92.0</v>
      </c>
      <c r="H1002" s="177">
        <v>10.0</v>
      </c>
      <c r="I1002" s="178">
        <v>67.25</v>
      </c>
    </row>
    <row r="1003">
      <c r="A1003" s="177" t="s">
        <v>1449</v>
      </c>
      <c r="B1003" s="177" t="s">
        <v>3525</v>
      </c>
      <c r="C1003" s="177" t="s">
        <v>770</v>
      </c>
      <c r="D1003" s="177">
        <v>26.5</v>
      </c>
      <c r="E1003" s="177">
        <v>31.0</v>
      </c>
      <c r="F1003" s="177">
        <v>57.5</v>
      </c>
      <c r="G1003" s="177">
        <v>88.0</v>
      </c>
      <c r="H1003" s="177">
        <v>9.0</v>
      </c>
      <c r="I1003" s="178">
        <v>66.5</v>
      </c>
    </row>
    <row r="1004">
      <c r="A1004" s="177" t="s">
        <v>1450</v>
      </c>
      <c r="B1004" s="177" t="s">
        <v>3526</v>
      </c>
      <c r="C1004" s="177" t="s">
        <v>771</v>
      </c>
      <c r="D1004" s="177">
        <v>31.25</v>
      </c>
      <c r="E1004" s="177">
        <v>33.75</v>
      </c>
      <c r="F1004" s="177">
        <v>65.0</v>
      </c>
      <c r="G1004" s="177">
        <v>80.0</v>
      </c>
      <c r="H1004" s="177">
        <v>7.0</v>
      </c>
      <c r="I1004" s="178">
        <v>72.0</v>
      </c>
    </row>
    <row r="1005">
      <c r="A1005" s="177" t="s">
        <v>1547</v>
      </c>
      <c r="B1005" s="177" t="s">
        <v>3527</v>
      </c>
      <c r="C1005" s="177" t="s">
        <v>773</v>
      </c>
      <c r="D1005" s="177">
        <v>35.5</v>
      </c>
      <c r="E1005" s="177">
        <v>30.25</v>
      </c>
      <c r="F1005" s="177">
        <v>65.75</v>
      </c>
      <c r="G1005" s="177">
        <v>72.0</v>
      </c>
      <c r="H1005" s="177">
        <v>6.0</v>
      </c>
      <c r="I1005" s="178">
        <v>71.75</v>
      </c>
    </row>
    <row r="1006">
      <c r="A1006" s="177" t="s">
        <v>1452</v>
      </c>
      <c r="B1006" s="177" t="s">
        <v>3528</v>
      </c>
      <c r="C1006" s="177" t="s">
        <v>774</v>
      </c>
      <c r="D1006" s="177">
        <v>34.25</v>
      </c>
      <c r="E1006" s="177">
        <v>31.25</v>
      </c>
      <c r="F1006" s="177">
        <v>65.5</v>
      </c>
      <c r="G1006" s="177">
        <v>100.0</v>
      </c>
      <c r="H1006" s="177">
        <v>10.0</v>
      </c>
      <c r="I1006" s="178">
        <v>75.5</v>
      </c>
    </row>
    <row r="1007">
      <c r="A1007" s="177" t="s">
        <v>1484</v>
      </c>
      <c r="B1007" s="177" t="s">
        <v>3529</v>
      </c>
      <c r="C1007" s="177" t="s">
        <v>775</v>
      </c>
      <c r="D1007" s="177">
        <v>10.25</v>
      </c>
      <c r="E1007" s="177">
        <v>0.0</v>
      </c>
      <c r="F1007" s="177">
        <v>10.25</v>
      </c>
      <c r="G1007" s="177">
        <v>4.0</v>
      </c>
      <c r="H1007" s="177">
        <v>0.0</v>
      </c>
      <c r="I1007" s="178">
        <v>10.25</v>
      </c>
    </row>
    <row r="1008">
      <c r="A1008" s="177" t="s">
        <v>1453</v>
      </c>
      <c r="B1008" s="177" t="s">
        <v>3530</v>
      </c>
      <c r="C1008" s="177" t="s">
        <v>776</v>
      </c>
      <c r="D1008" s="177">
        <v>28.5</v>
      </c>
      <c r="E1008" s="177">
        <v>41.0</v>
      </c>
      <c r="F1008" s="177">
        <v>69.5</v>
      </c>
      <c r="G1008" s="177">
        <v>84.0</v>
      </c>
      <c r="H1008" s="177">
        <v>8.0</v>
      </c>
      <c r="I1008" s="178">
        <v>77.5</v>
      </c>
    </row>
    <row r="1009">
      <c r="A1009" s="177" t="s">
        <v>1467</v>
      </c>
      <c r="B1009" s="177" t="s">
        <v>3531</v>
      </c>
      <c r="C1009" s="177" t="s">
        <v>777</v>
      </c>
      <c r="D1009" s="177">
        <v>12.75</v>
      </c>
      <c r="E1009" s="177">
        <v>0.0</v>
      </c>
      <c r="F1009" s="177">
        <v>12.75</v>
      </c>
      <c r="G1009" s="177">
        <v>56.0</v>
      </c>
      <c r="H1009" s="177">
        <v>0.0</v>
      </c>
      <c r="I1009" s="178">
        <v>12.75</v>
      </c>
    </row>
    <row r="1010">
      <c r="A1010" s="177" t="s">
        <v>1475</v>
      </c>
      <c r="B1010" s="177" t="s">
        <v>3532</v>
      </c>
      <c r="C1010" s="177" t="s">
        <v>778</v>
      </c>
      <c r="D1010" s="177">
        <v>26.75</v>
      </c>
      <c r="E1010" s="177">
        <v>32.25</v>
      </c>
      <c r="F1010" s="177">
        <v>59.0</v>
      </c>
      <c r="G1010" s="177">
        <v>96.0</v>
      </c>
      <c r="H1010" s="177">
        <v>10.0</v>
      </c>
      <c r="I1010" s="178">
        <v>69.0</v>
      </c>
    </row>
    <row r="1011">
      <c r="A1011" s="177" t="s">
        <v>1454</v>
      </c>
      <c r="B1011" s="177" t="s">
        <v>3533</v>
      </c>
      <c r="C1011" s="177" t="s">
        <v>779</v>
      </c>
      <c r="D1011" s="177">
        <v>26.25</v>
      </c>
      <c r="E1011" s="177">
        <v>30.25</v>
      </c>
      <c r="F1011" s="177">
        <v>56.5</v>
      </c>
      <c r="G1011" s="177">
        <v>84.0</v>
      </c>
      <c r="H1011" s="177">
        <v>8.0</v>
      </c>
      <c r="I1011" s="178">
        <v>64.5</v>
      </c>
    </row>
    <row r="1012">
      <c r="A1012" s="177" t="s">
        <v>1477</v>
      </c>
      <c r="B1012" s="177" t="s">
        <v>3534</v>
      </c>
      <c r="C1012" s="177" t="s">
        <v>780</v>
      </c>
      <c r="D1012" s="177">
        <v>17.0</v>
      </c>
      <c r="E1012" s="177">
        <v>17.0</v>
      </c>
      <c r="F1012" s="177">
        <v>34.0</v>
      </c>
      <c r="G1012" s="177">
        <v>60.0</v>
      </c>
      <c r="H1012" s="177">
        <v>0.0</v>
      </c>
      <c r="I1012" s="178">
        <v>34.0</v>
      </c>
    </row>
    <row r="1013">
      <c r="A1013" s="177" t="s">
        <v>1415</v>
      </c>
      <c r="B1013" s="177" t="s">
        <v>3535</v>
      </c>
      <c r="C1013" s="177" t="s">
        <v>781</v>
      </c>
      <c r="D1013" s="177">
        <v>30.25</v>
      </c>
      <c r="E1013" s="177">
        <v>36.0</v>
      </c>
      <c r="F1013" s="177">
        <v>66.25</v>
      </c>
      <c r="G1013" s="177">
        <v>88.0</v>
      </c>
      <c r="H1013" s="177">
        <v>9.0</v>
      </c>
      <c r="I1013" s="178">
        <v>75.25</v>
      </c>
    </row>
    <row r="1014">
      <c r="A1014" s="177" t="s">
        <v>1455</v>
      </c>
      <c r="B1014" s="177" t="s">
        <v>3536</v>
      </c>
      <c r="C1014" s="177" t="s">
        <v>782</v>
      </c>
      <c r="D1014" s="177">
        <v>36.25</v>
      </c>
      <c r="E1014" s="177">
        <v>38.5</v>
      </c>
      <c r="F1014" s="177">
        <v>74.75</v>
      </c>
      <c r="G1014" s="177">
        <v>80.0</v>
      </c>
      <c r="H1014" s="177">
        <v>7.0</v>
      </c>
      <c r="I1014" s="178">
        <v>81.75</v>
      </c>
    </row>
    <row r="1015">
      <c r="A1015" s="177" t="s">
        <v>1480</v>
      </c>
      <c r="B1015" s="177" t="s">
        <v>3537</v>
      </c>
      <c r="C1015" s="177" t="s">
        <v>783</v>
      </c>
      <c r="D1015" s="177">
        <v>29.75</v>
      </c>
      <c r="E1015" s="177">
        <v>35.75</v>
      </c>
      <c r="F1015" s="177">
        <v>65.5</v>
      </c>
      <c r="G1015" s="177">
        <v>88.0</v>
      </c>
      <c r="H1015" s="177">
        <v>9.0</v>
      </c>
      <c r="I1015" s="178">
        <v>74.5</v>
      </c>
    </row>
    <row r="1016">
      <c r="A1016" s="177" t="s">
        <v>1548</v>
      </c>
      <c r="B1016" s="177" t="s">
        <v>2594</v>
      </c>
      <c r="C1016" s="177" t="s">
        <v>784</v>
      </c>
      <c r="D1016" s="177">
        <v>28.75</v>
      </c>
      <c r="E1016" s="177">
        <v>36.0</v>
      </c>
      <c r="F1016" s="177">
        <v>64.75</v>
      </c>
      <c r="G1016" s="177">
        <v>44.0</v>
      </c>
      <c r="H1016" s="177">
        <v>0.0</v>
      </c>
      <c r="I1016" s="178">
        <v>64.75</v>
      </c>
    </row>
    <row r="1017">
      <c r="A1017" s="177" t="s">
        <v>1456</v>
      </c>
      <c r="B1017" s="177" t="s">
        <v>3538</v>
      </c>
      <c r="C1017" s="177" t="s">
        <v>785</v>
      </c>
      <c r="D1017" s="177">
        <v>25.0</v>
      </c>
      <c r="E1017" s="177">
        <v>31.5</v>
      </c>
      <c r="F1017" s="177">
        <v>56.5</v>
      </c>
      <c r="G1017" s="177">
        <v>80.0</v>
      </c>
      <c r="H1017" s="177">
        <v>7.0</v>
      </c>
      <c r="I1017" s="178">
        <v>63.5</v>
      </c>
    </row>
    <row r="1018">
      <c r="A1018" s="177" t="s">
        <v>1457</v>
      </c>
      <c r="B1018" s="177" t="s">
        <v>3539</v>
      </c>
      <c r="C1018" s="177" t="s">
        <v>786</v>
      </c>
      <c r="D1018" s="177">
        <v>29.25</v>
      </c>
      <c r="E1018" s="177">
        <v>27.0</v>
      </c>
      <c r="F1018" s="177">
        <v>56.25</v>
      </c>
      <c r="G1018" s="177">
        <v>72.0</v>
      </c>
      <c r="H1018" s="177">
        <v>6.0</v>
      </c>
      <c r="I1018" s="178">
        <v>62.25</v>
      </c>
    </row>
    <row r="1019">
      <c r="A1019" s="177" t="s">
        <v>1458</v>
      </c>
      <c r="B1019" s="177" t="s">
        <v>3540</v>
      </c>
      <c r="C1019" s="177" t="s">
        <v>787</v>
      </c>
      <c r="D1019" s="177">
        <v>15.25</v>
      </c>
      <c r="E1019" s="177">
        <v>19.5</v>
      </c>
      <c r="F1019" s="177">
        <v>34.75</v>
      </c>
      <c r="G1019" s="177">
        <v>88.0</v>
      </c>
      <c r="H1019" s="177">
        <v>9.0</v>
      </c>
      <c r="I1019" s="178">
        <v>43.75</v>
      </c>
    </row>
    <row r="1020">
      <c r="A1020" s="177" t="s">
        <v>1459</v>
      </c>
      <c r="B1020" s="177" t="s">
        <v>3541</v>
      </c>
      <c r="C1020" s="177" t="s">
        <v>788</v>
      </c>
      <c r="D1020" s="177">
        <v>24.5</v>
      </c>
      <c r="E1020" s="177">
        <v>25.5</v>
      </c>
      <c r="F1020" s="177">
        <v>50.0</v>
      </c>
      <c r="G1020" s="177">
        <v>96.0</v>
      </c>
      <c r="H1020" s="177">
        <v>10.0</v>
      </c>
      <c r="I1020" s="178">
        <v>60.0</v>
      </c>
    </row>
    <row r="1021">
      <c r="A1021" s="177" t="s">
        <v>1462</v>
      </c>
      <c r="B1021" s="177" t="s">
        <v>3542</v>
      </c>
      <c r="C1021" s="177" t="s">
        <v>789</v>
      </c>
      <c r="D1021" s="177">
        <v>15.0</v>
      </c>
      <c r="E1021" s="177">
        <v>0.0</v>
      </c>
      <c r="F1021" s="177">
        <v>15.0</v>
      </c>
      <c r="G1021" s="177">
        <v>36.0</v>
      </c>
      <c r="H1021" s="177">
        <v>0.0</v>
      </c>
      <c r="I1021" s="178">
        <v>15.0</v>
      </c>
    </row>
    <row r="1022">
      <c r="A1022" s="177" t="s">
        <v>1463</v>
      </c>
      <c r="B1022" s="177" t="s">
        <v>3543</v>
      </c>
      <c r="C1022" s="177" t="s">
        <v>790</v>
      </c>
      <c r="D1022" s="177">
        <v>12.75</v>
      </c>
      <c r="E1022" s="177">
        <v>17.5</v>
      </c>
      <c r="F1022" s="177">
        <v>30.25</v>
      </c>
      <c r="G1022" s="177">
        <v>96.0</v>
      </c>
      <c r="H1022" s="177">
        <v>10.0</v>
      </c>
      <c r="I1022" s="178">
        <v>40.25</v>
      </c>
    </row>
    <row r="1023">
      <c r="A1023" s="177" t="s">
        <v>1469</v>
      </c>
      <c r="B1023" s="177" t="s">
        <v>3544</v>
      </c>
      <c r="C1023" s="177" t="s">
        <v>791</v>
      </c>
      <c r="D1023" s="177">
        <v>19.5</v>
      </c>
      <c r="E1023" s="177">
        <v>21.5</v>
      </c>
      <c r="F1023" s="177">
        <v>41.0</v>
      </c>
      <c r="G1023" s="177">
        <v>88.0</v>
      </c>
      <c r="H1023" s="177">
        <v>9.0</v>
      </c>
      <c r="I1023" s="178">
        <v>50.0</v>
      </c>
    </row>
    <row r="1024">
      <c r="A1024" s="177" t="s">
        <v>1413</v>
      </c>
      <c r="B1024" s="177" t="s">
        <v>3545</v>
      </c>
      <c r="C1024" s="177" t="s">
        <v>792</v>
      </c>
      <c r="D1024" s="177">
        <v>18.75</v>
      </c>
      <c r="E1024" s="177">
        <v>0.0</v>
      </c>
      <c r="F1024" s="177">
        <v>18.75</v>
      </c>
      <c r="G1024" s="177">
        <v>84.0</v>
      </c>
      <c r="H1024" s="177">
        <v>8.0</v>
      </c>
      <c r="I1024" s="178">
        <v>26.75</v>
      </c>
    </row>
    <row r="1025">
      <c r="A1025" s="177" t="s">
        <v>1476</v>
      </c>
      <c r="B1025" s="177" t="s">
        <v>3546</v>
      </c>
      <c r="C1025" s="177" t="s">
        <v>793</v>
      </c>
      <c r="D1025" s="177">
        <v>16.5</v>
      </c>
      <c r="E1025" s="177">
        <v>21.5</v>
      </c>
      <c r="F1025" s="177">
        <v>38.0</v>
      </c>
      <c r="G1025" s="178">
        <v>79.16666666666667</v>
      </c>
      <c r="H1025" s="177">
        <v>7.0</v>
      </c>
      <c r="I1025" s="178">
        <v>45.0</v>
      </c>
    </row>
    <row r="1026">
      <c r="A1026" s="177" t="s">
        <v>1489</v>
      </c>
      <c r="B1026" s="177" t="s">
        <v>3547</v>
      </c>
      <c r="C1026" s="177" t="s">
        <v>794</v>
      </c>
      <c r="D1026" s="177">
        <v>16.25</v>
      </c>
      <c r="E1026" s="177">
        <v>29.25</v>
      </c>
      <c r="F1026" s="177">
        <v>45.5</v>
      </c>
      <c r="G1026" s="178">
        <v>95.83333333333333</v>
      </c>
      <c r="H1026" s="177">
        <v>10.0</v>
      </c>
      <c r="I1026" s="178">
        <v>55.5</v>
      </c>
    </row>
    <row r="1027">
      <c r="A1027" s="177" t="s">
        <v>82</v>
      </c>
      <c r="B1027" s="177" t="s">
        <v>3548</v>
      </c>
      <c r="C1027" s="177" t="s">
        <v>795</v>
      </c>
      <c r="D1027" s="177">
        <v>10.0</v>
      </c>
      <c r="E1027" s="177">
        <v>0.0</v>
      </c>
      <c r="F1027" s="177">
        <v>10.0</v>
      </c>
      <c r="G1027" s="178">
        <v>62.5</v>
      </c>
      <c r="H1027" s="177">
        <v>0.0</v>
      </c>
      <c r="I1027" s="178">
        <v>10.0</v>
      </c>
    </row>
    <row r="1028">
      <c r="A1028" s="177" t="s">
        <v>1488</v>
      </c>
      <c r="B1028" s="177" t="s">
        <v>3549</v>
      </c>
      <c r="C1028" s="177" t="s">
        <v>796</v>
      </c>
      <c r="D1028" s="177">
        <v>12.5</v>
      </c>
      <c r="E1028" s="177">
        <v>0.0</v>
      </c>
      <c r="F1028" s="177">
        <v>12.5</v>
      </c>
      <c r="G1028" s="178">
        <v>29.166666666666668</v>
      </c>
      <c r="H1028" s="177">
        <v>0.0</v>
      </c>
      <c r="I1028" s="178">
        <v>12.5</v>
      </c>
    </row>
    <row r="1029">
      <c r="A1029" s="177" t="s">
        <v>1490</v>
      </c>
      <c r="B1029" s="177" t="s">
        <v>3550</v>
      </c>
      <c r="C1029" s="177" t="s">
        <v>797</v>
      </c>
      <c r="D1029" s="177">
        <v>19.25</v>
      </c>
      <c r="E1029" s="177">
        <v>39.5</v>
      </c>
      <c r="F1029" s="177">
        <f t="shared" ref="F1029:F1030" si="1">D1029+E1029</f>
        <v>58.75</v>
      </c>
      <c r="G1029" s="178">
        <v>95.83333333333333</v>
      </c>
      <c r="H1029" s="177">
        <v>10.0</v>
      </c>
      <c r="I1029" s="178">
        <f t="shared" ref="I1029:I1030" si="2">F1029+H1029</f>
        <v>68.75</v>
      </c>
    </row>
    <row r="1030">
      <c r="A1030" s="177" t="s">
        <v>1491</v>
      </c>
      <c r="B1030" s="177" t="s">
        <v>3551</v>
      </c>
      <c r="C1030" s="177" t="s">
        <v>798</v>
      </c>
      <c r="D1030" s="177">
        <v>18.75</v>
      </c>
      <c r="E1030" s="177">
        <v>39.25</v>
      </c>
      <c r="F1030" s="177">
        <f t="shared" si="1"/>
        <v>58</v>
      </c>
      <c r="G1030" s="178">
        <v>70.83333333333333</v>
      </c>
      <c r="H1030" s="177">
        <v>6.0</v>
      </c>
      <c r="I1030" s="178">
        <f t="shared" si="2"/>
        <v>64</v>
      </c>
    </row>
    <row r="1031">
      <c r="A1031" s="177" t="s">
        <v>1535</v>
      </c>
      <c r="B1031" s="177" t="s">
        <v>3552</v>
      </c>
      <c r="C1031" s="177" t="s">
        <v>799</v>
      </c>
      <c r="D1031" s="177">
        <v>12.5</v>
      </c>
      <c r="E1031" s="177">
        <v>38.75</v>
      </c>
      <c r="F1031" s="177">
        <v>51.25</v>
      </c>
      <c r="G1031" s="178">
        <v>70.83333333333333</v>
      </c>
      <c r="H1031" s="177">
        <v>6.0</v>
      </c>
      <c r="I1031" s="178">
        <v>57.25</v>
      </c>
    </row>
    <row r="1032">
      <c r="A1032" s="177" t="s">
        <v>1533</v>
      </c>
      <c r="B1032" s="177" t="s">
        <v>3553</v>
      </c>
      <c r="C1032" s="177" t="s">
        <v>800</v>
      </c>
      <c r="D1032" s="177">
        <v>31.25</v>
      </c>
      <c r="E1032" s="177">
        <v>0.0</v>
      </c>
      <c r="F1032" s="177">
        <v>31.25</v>
      </c>
      <c r="G1032" s="178">
        <v>20.833333333333332</v>
      </c>
      <c r="H1032" s="177">
        <v>0.0</v>
      </c>
      <c r="I1032" s="178">
        <v>31.25</v>
      </c>
    </row>
    <row r="1033">
      <c r="A1033" s="177" t="s">
        <v>1492</v>
      </c>
      <c r="B1033" s="177" t="s">
        <v>3554</v>
      </c>
      <c r="C1033" s="177" t="s">
        <v>801</v>
      </c>
      <c r="D1033" s="177">
        <v>35.0</v>
      </c>
      <c r="E1033" s="177">
        <v>31.0</v>
      </c>
      <c r="F1033" s="177">
        <v>66.0</v>
      </c>
      <c r="G1033" s="178">
        <v>79.16666666666667</v>
      </c>
      <c r="H1033" s="177">
        <v>7.0</v>
      </c>
      <c r="I1033" s="178">
        <v>73.0</v>
      </c>
    </row>
    <row r="1034">
      <c r="A1034" s="177" t="s">
        <v>1494</v>
      </c>
      <c r="B1034" s="177" t="s">
        <v>3555</v>
      </c>
      <c r="C1034" s="177" t="s">
        <v>802</v>
      </c>
      <c r="D1034" s="177">
        <v>31.25</v>
      </c>
      <c r="E1034" s="177">
        <v>28.5</v>
      </c>
      <c r="F1034" s="177">
        <v>59.75</v>
      </c>
      <c r="G1034" s="178">
        <v>75.0</v>
      </c>
      <c r="H1034" s="177">
        <v>6.0</v>
      </c>
      <c r="I1034" s="178">
        <v>65.75</v>
      </c>
    </row>
    <row r="1035">
      <c r="A1035" s="177" t="s">
        <v>1495</v>
      </c>
      <c r="B1035" s="177" t="s">
        <v>3556</v>
      </c>
      <c r="C1035" s="177" t="s">
        <v>803</v>
      </c>
      <c r="D1035" s="177">
        <v>34.0</v>
      </c>
      <c r="E1035" s="177">
        <v>26.75</v>
      </c>
      <c r="F1035" s="177">
        <v>60.75</v>
      </c>
      <c r="G1035" s="178">
        <v>83.33333333333333</v>
      </c>
      <c r="H1035" s="177">
        <v>8.0</v>
      </c>
      <c r="I1035" s="178">
        <v>68.75</v>
      </c>
    </row>
    <row r="1036">
      <c r="A1036" s="177" t="s">
        <v>1496</v>
      </c>
      <c r="B1036" s="177" t="s">
        <v>3557</v>
      </c>
      <c r="C1036" s="177" t="s">
        <v>804</v>
      </c>
      <c r="D1036" s="177">
        <v>28.5</v>
      </c>
      <c r="E1036" s="177">
        <v>22.0</v>
      </c>
      <c r="F1036" s="177">
        <v>50.5</v>
      </c>
      <c r="G1036" s="178">
        <v>75.0</v>
      </c>
      <c r="H1036" s="177">
        <v>6.0</v>
      </c>
      <c r="I1036" s="178">
        <v>56.5</v>
      </c>
    </row>
    <row r="1037">
      <c r="A1037" s="177" t="s">
        <v>1497</v>
      </c>
      <c r="B1037" s="177" t="s">
        <v>3558</v>
      </c>
      <c r="C1037" s="177" t="s">
        <v>805</v>
      </c>
      <c r="D1037" s="177">
        <v>33.75</v>
      </c>
      <c r="E1037" s="177">
        <v>34.0</v>
      </c>
      <c r="F1037" s="177">
        <v>67.75</v>
      </c>
      <c r="G1037" s="178">
        <v>87.5</v>
      </c>
      <c r="H1037" s="177">
        <v>9.0</v>
      </c>
      <c r="I1037" s="178">
        <v>76.75</v>
      </c>
    </row>
    <row r="1038">
      <c r="A1038" s="177" t="s">
        <v>1498</v>
      </c>
      <c r="B1038" s="177" t="s">
        <v>3559</v>
      </c>
      <c r="C1038" s="177" t="s">
        <v>806</v>
      </c>
      <c r="D1038" s="177">
        <v>35.0</v>
      </c>
      <c r="E1038" s="177">
        <v>36.5</v>
      </c>
      <c r="F1038" s="177">
        <v>71.5</v>
      </c>
      <c r="G1038" s="178">
        <v>75.0</v>
      </c>
      <c r="H1038" s="177">
        <v>6.0</v>
      </c>
      <c r="I1038" s="178">
        <v>77.5</v>
      </c>
    </row>
    <row r="1039">
      <c r="A1039" s="177" t="s">
        <v>1400</v>
      </c>
      <c r="B1039" s="177" t="s">
        <v>3560</v>
      </c>
      <c r="C1039" s="177" t="s">
        <v>807</v>
      </c>
      <c r="D1039" s="177">
        <v>35.0</v>
      </c>
      <c r="E1039" s="177">
        <v>0.0</v>
      </c>
      <c r="F1039" s="177">
        <v>35.0</v>
      </c>
      <c r="G1039" s="178">
        <v>25.0</v>
      </c>
      <c r="H1039" s="177">
        <v>0.0</v>
      </c>
      <c r="I1039" s="178">
        <v>35.0</v>
      </c>
    </row>
    <row r="1040">
      <c r="A1040" s="177" t="s">
        <v>25</v>
      </c>
      <c r="B1040" s="177" t="s">
        <v>3561</v>
      </c>
      <c r="C1040" s="177" t="s">
        <v>809</v>
      </c>
      <c r="D1040" s="177">
        <v>8.5</v>
      </c>
      <c r="E1040" s="177">
        <v>0.0</v>
      </c>
      <c r="F1040" s="177">
        <v>8.5</v>
      </c>
      <c r="G1040" s="178">
        <v>8.333333333333334</v>
      </c>
      <c r="H1040" s="177">
        <v>0.0</v>
      </c>
      <c r="I1040" s="178">
        <v>8.5</v>
      </c>
    </row>
    <row r="1041">
      <c r="A1041" s="177" t="s">
        <v>1500</v>
      </c>
      <c r="B1041" s="177" t="s">
        <v>3562</v>
      </c>
      <c r="C1041" s="177" t="s">
        <v>810</v>
      </c>
      <c r="D1041" s="177">
        <v>25.75</v>
      </c>
      <c r="E1041" s="177">
        <v>0.0</v>
      </c>
      <c r="F1041" s="177">
        <v>25.75</v>
      </c>
      <c r="G1041" s="178">
        <v>29.166666666666668</v>
      </c>
      <c r="H1041" s="177">
        <v>0.0</v>
      </c>
      <c r="I1041" s="178">
        <v>25.75</v>
      </c>
    </row>
    <row r="1042">
      <c r="A1042" s="177" t="s">
        <v>1501</v>
      </c>
      <c r="B1042" s="177" t="s">
        <v>3563</v>
      </c>
      <c r="C1042" s="177" t="s">
        <v>811</v>
      </c>
      <c r="D1042" s="177">
        <v>35.0</v>
      </c>
      <c r="E1042" s="177">
        <v>30.5</v>
      </c>
      <c r="F1042" s="177">
        <v>65.5</v>
      </c>
      <c r="G1042" s="178">
        <v>91.66666666666667</v>
      </c>
      <c r="H1042" s="177">
        <v>10.0</v>
      </c>
      <c r="I1042" s="178">
        <v>75.5</v>
      </c>
    </row>
    <row r="1043">
      <c r="A1043" s="177" t="s">
        <v>1543</v>
      </c>
      <c r="B1043" s="177" t="s">
        <v>3564</v>
      </c>
      <c r="C1043" s="177" t="s">
        <v>812</v>
      </c>
      <c r="D1043" s="177">
        <v>36.25</v>
      </c>
      <c r="E1043" s="177">
        <v>28.5</v>
      </c>
      <c r="F1043" s="177">
        <v>64.75</v>
      </c>
      <c r="G1043" s="178">
        <v>87.5</v>
      </c>
      <c r="H1043" s="177">
        <v>9.0</v>
      </c>
      <c r="I1043" s="178">
        <v>73.75</v>
      </c>
    </row>
    <row r="1044">
      <c r="A1044" s="177" t="s">
        <v>1502</v>
      </c>
      <c r="B1044" s="177" t="s">
        <v>3565</v>
      </c>
      <c r="C1044" s="177" t="s">
        <v>813</v>
      </c>
      <c r="D1044" s="177">
        <v>33.75</v>
      </c>
      <c r="E1044" s="177">
        <v>30.25</v>
      </c>
      <c r="F1044" s="177">
        <v>64.0</v>
      </c>
      <c r="G1044" s="178">
        <v>91.66666666666667</v>
      </c>
      <c r="H1044" s="177">
        <v>10.0</v>
      </c>
      <c r="I1044" s="178">
        <v>74.0</v>
      </c>
    </row>
    <row r="1045">
      <c r="A1045" s="177" t="s">
        <v>1503</v>
      </c>
      <c r="B1045" s="177" t="s">
        <v>3566</v>
      </c>
      <c r="C1045" s="177" t="s">
        <v>814</v>
      </c>
      <c r="D1045" s="177">
        <v>21.5</v>
      </c>
      <c r="E1045" s="177">
        <v>0.0</v>
      </c>
      <c r="F1045" s="177">
        <v>21.5</v>
      </c>
      <c r="G1045" s="178">
        <v>12.5</v>
      </c>
      <c r="H1045" s="177">
        <v>0.0</v>
      </c>
      <c r="I1045" s="178">
        <v>21.5</v>
      </c>
    </row>
    <row r="1046">
      <c r="A1046" s="177" t="s">
        <v>1505</v>
      </c>
      <c r="B1046" s="177" t="s">
        <v>3567</v>
      </c>
      <c r="C1046" s="177" t="s">
        <v>816</v>
      </c>
      <c r="D1046" s="177">
        <v>25.0</v>
      </c>
      <c r="E1046" s="177">
        <v>0.0</v>
      </c>
      <c r="F1046" s="177">
        <v>25.0</v>
      </c>
      <c r="G1046" s="178">
        <v>41.666666666666664</v>
      </c>
      <c r="H1046" s="177">
        <v>0.0</v>
      </c>
      <c r="I1046" s="178">
        <v>25.0</v>
      </c>
    </row>
    <row r="1047">
      <c r="A1047" s="177" t="s">
        <v>1554</v>
      </c>
      <c r="B1047" s="177" t="s">
        <v>3568</v>
      </c>
      <c r="C1047" s="177" t="s">
        <v>817</v>
      </c>
      <c r="D1047" s="177">
        <v>19.0</v>
      </c>
      <c r="E1047" s="177">
        <v>23.75</v>
      </c>
      <c r="F1047" s="177">
        <v>42.75</v>
      </c>
      <c r="G1047" s="178">
        <v>62.5</v>
      </c>
      <c r="H1047" s="177">
        <v>0.0</v>
      </c>
      <c r="I1047" s="178">
        <v>42.75</v>
      </c>
    </row>
    <row r="1048">
      <c r="A1048" s="177" t="s">
        <v>1506</v>
      </c>
      <c r="B1048" s="177" t="s">
        <v>3569</v>
      </c>
      <c r="C1048" s="177" t="s">
        <v>818</v>
      </c>
      <c r="D1048" s="177">
        <v>19.75</v>
      </c>
      <c r="E1048" s="177">
        <v>0.0</v>
      </c>
      <c r="F1048" s="177">
        <v>19.75</v>
      </c>
      <c r="G1048" s="178">
        <v>70.83333333333333</v>
      </c>
      <c r="H1048" s="177">
        <v>6.0</v>
      </c>
      <c r="I1048" s="178">
        <v>25.75</v>
      </c>
    </row>
    <row r="1049">
      <c r="A1049" s="177" t="s">
        <v>1507</v>
      </c>
      <c r="B1049" s="177" t="s">
        <v>3570</v>
      </c>
      <c r="C1049" s="177" t="s">
        <v>819</v>
      </c>
      <c r="D1049" s="177">
        <v>6.25</v>
      </c>
      <c r="E1049" s="177">
        <v>0.0</v>
      </c>
      <c r="F1049" s="177">
        <v>6.25</v>
      </c>
      <c r="G1049" s="178">
        <v>87.5</v>
      </c>
      <c r="H1049" s="177">
        <v>9.0</v>
      </c>
      <c r="I1049" s="178">
        <v>15.25</v>
      </c>
    </row>
    <row r="1050">
      <c r="A1050" s="177" t="s">
        <v>1539</v>
      </c>
      <c r="B1050" s="177" t="s">
        <v>3571</v>
      </c>
      <c r="C1050" s="177" t="s">
        <v>820</v>
      </c>
      <c r="D1050" s="177">
        <v>21.0</v>
      </c>
      <c r="E1050" s="177">
        <v>27.75</v>
      </c>
      <c r="F1050" s="177">
        <v>48.75</v>
      </c>
      <c r="G1050" s="178">
        <v>79.16666666666667</v>
      </c>
      <c r="H1050" s="177">
        <v>7.0</v>
      </c>
      <c r="I1050" s="178">
        <v>55.75</v>
      </c>
    </row>
    <row r="1051">
      <c r="A1051" s="177" t="s">
        <v>1464</v>
      </c>
      <c r="B1051" s="177" t="s">
        <v>3572</v>
      </c>
      <c r="C1051" s="177" t="s">
        <v>821</v>
      </c>
      <c r="D1051" s="177">
        <v>16.25</v>
      </c>
      <c r="E1051" s="177">
        <v>34.5</v>
      </c>
      <c r="F1051" s="177">
        <v>50.75</v>
      </c>
      <c r="G1051" s="178">
        <v>87.5</v>
      </c>
      <c r="H1051" s="177">
        <v>9.0</v>
      </c>
      <c r="I1051" s="178">
        <v>59.75</v>
      </c>
    </row>
    <row r="1052">
      <c r="A1052" s="177" t="s">
        <v>1508</v>
      </c>
      <c r="B1052" s="177" t="s">
        <v>3573</v>
      </c>
      <c r="C1052" s="177" t="s">
        <v>822</v>
      </c>
      <c r="D1052" s="177">
        <v>26.0</v>
      </c>
      <c r="E1052" s="177">
        <v>30.0</v>
      </c>
      <c r="F1052" s="177">
        <v>56.0</v>
      </c>
      <c r="G1052" s="178">
        <v>75.0</v>
      </c>
      <c r="H1052" s="177">
        <v>6.0</v>
      </c>
      <c r="I1052" s="178">
        <v>62.0</v>
      </c>
    </row>
    <row r="1053">
      <c r="A1053" s="177" t="s">
        <v>1534</v>
      </c>
      <c r="B1053" s="177" t="s">
        <v>3574</v>
      </c>
      <c r="C1053" s="177" t="s">
        <v>823</v>
      </c>
      <c r="D1053" s="177">
        <v>26.0</v>
      </c>
      <c r="E1053" s="177">
        <v>0.0</v>
      </c>
      <c r="F1053" s="177">
        <v>26.0</v>
      </c>
      <c r="G1053" s="178">
        <v>79.16666666666667</v>
      </c>
      <c r="H1053" s="177">
        <v>7.0</v>
      </c>
      <c r="I1053" s="178">
        <v>33.0</v>
      </c>
    </row>
    <row r="1054">
      <c r="A1054" s="177" t="s">
        <v>1509</v>
      </c>
      <c r="B1054" s="177" t="s">
        <v>3575</v>
      </c>
      <c r="C1054" s="177" t="s">
        <v>824</v>
      </c>
      <c r="D1054" s="177">
        <v>18.25</v>
      </c>
      <c r="E1054" s="177">
        <v>0.0</v>
      </c>
      <c r="F1054" s="177">
        <v>18.25</v>
      </c>
      <c r="G1054" s="178">
        <v>54.166666666666664</v>
      </c>
      <c r="H1054" s="177">
        <v>0.0</v>
      </c>
      <c r="I1054" s="178">
        <v>18.25</v>
      </c>
    </row>
    <row r="1055">
      <c r="A1055" s="177" t="s">
        <v>1532</v>
      </c>
      <c r="B1055" s="177" t="s">
        <v>3576</v>
      </c>
      <c r="C1055" s="177" t="s">
        <v>825</v>
      </c>
      <c r="D1055" s="177">
        <v>0.0</v>
      </c>
      <c r="E1055" s="177">
        <v>0.0</v>
      </c>
      <c r="F1055" s="177">
        <v>0.0</v>
      </c>
      <c r="G1055" s="178">
        <v>4.166666666666667</v>
      </c>
      <c r="H1055" s="177">
        <v>0.0</v>
      </c>
      <c r="I1055" s="178">
        <v>0.0</v>
      </c>
    </row>
    <row r="1056">
      <c r="A1056" s="177" t="s">
        <v>1419</v>
      </c>
      <c r="B1056" s="177" t="s">
        <v>3577</v>
      </c>
      <c r="C1056" s="177" t="s">
        <v>826</v>
      </c>
      <c r="D1056" s="177">
        <v>15.25</v>
      </c>
      <c r="E1056" s="177" t="s">
        <v>2491</v>
      </c>
      <c r="F1056" s="177" t="s">
        <v>2491</v>
      </c>
      <c r="G1056" s="178">
        <v>83.33333333333333</v>
      </c>
      <c r="H1056" s="177">
        <v>8.0</v>
      </c>
      <c r="I1056" s="179">
        <v>0.0</v>
      </c>
    </row>
    <row r="1057">
      <c r="A1057" s="177" t="s">
        <v>1537</v>
      </c>
      <c r="B1057" s="177" t="s">
        <v>3578</v>
      </c>
      <c r="C1057" s="177" t="s">
        <v>827</v>
      </c>
      <c r="D1057" s="177">
        <v>13.0</v>
      </c>
      <c r="E1057" s="177">
        <v>36.75</v>
      </c>
      <c r="F1057" s="177" t="s">
        <v>2491</v>
      </c>
      <c r="G1057" s="178">
        <v>79.16666666666667</v>
      </c>
      <c r="H1057" s="177">
        <v>7.0</v>
      </c>
      <c r="I1057" s="179">
        <v>0.0</v>
      </c>
    </row>
    <row r="1058">
      <c r="A1058" s="177" t="s">
        <v>1510</v>
      </c>
      <c r="B1058" s="177" t="s">
        <v>3579</v>
      </c>
      <c r="C1058" s="177" t="s">
        <v>828</v>
      </c>
      <c r="D1058" s="177">
        <v>15.5</v>
      </c>
      <c r="E1058" s="177">
        <v>0.0</v>
      </c>
      <c r="F1058" s="177">
        <v>15.5</v>
      </c>
      <c r="G1058" s="178">
        <v>87.5</v>
      </c>
      <c r="H1058" s="177">
        <v>9.0</v>
      </c>
      <c r="I1058" s="178">
        <v>24.5</v>
      </c>
    </row>
    <row r="1059">
      <c r="A1059" s="177" t="s">
        <v>1483</v>
      </c>
      <c r="B1059" s="177" t="s">
        <v>3580</v>
      </c>
      <c r="C1059" s="177" t="s">
        <v>829</v>
      </c>
      <c r="D1059" s="177">
        <v>17.0</v>
      </c>
      <c r="E1059" s="177">
        <v>0.0</v>
      </c>
      <c r="F1059" s="177">
        <v>17.0</v>
      </c>
      <c r="G1059" s="178">
        <v>95.83333333333333</v>
      </c>
      <c r="H1059" s="177">
        <v>10.0</v>
      </c>
      <c r="I1059" s="178">
        <v>27.0</v>
      </c>
    </row>
    <row r="1060">
      <c r="A1060" s="177" t="s">
        <v>1511</v>
      </c>
      <c r="B1060" s="177" t="s">
        <v>3581</v>
      </c>
      <c r="C1060" s="177" t="s">
        <v>830</v>
      </c>
      <c r="D1060" s="177">
        <v>31.25</v>
      </c>
      <c r="E1060" s="177">
        <v>41.75</v>
      </c>
      <c r="F1060" s="177">
        <v>73.0</v>
      </c>
      <c r="G1060" s="178">
        <v>33.333333333333336</v>
      </c>
      <c r="H1060" s="177">
        <v>0.0</v>
      </c>
      <c r="I1060" s="178">
        <v>73.0</v>
      </c>
    </row>
    <row r="1061">
      <c r="A1061" s="177" t="s">
        <v>1525</v>
      </c>
      <c r="B1061" s="177" t="s">
        <v>3582</v>
      </c>
      <c r="C1061" s="177" t="s">
        <v>831</v>
      </c>
      <c r="D1061" s="177">
        <v>27.25</v>
      </c>
      <c r="E1061" s="177">
        <v>28.0</v>
      </c>
      <c r="F1061" s="177">
        <v>55.25</v>
      </c>
      <c r="G1061" s="178">
        <v>87.5</v>
      </c>
      <c r="H1061" s="177">
        <v>9.0</v>
      </c>
      <c r="I1061" s="178">
        <v>64.25</v>
      </c>
    </row>
    <row r="1062">
      <c r="A1062" s="177" t="s">
        <v>1542</v>
      </c>
      <c r="B1062" s="177" t="s">
        <v>3583</v>
      </c>
      <c r="C1062" s="177" t="s">
        <v>832</v>
      </c>
      <c r="D1062" s="177">
        <v>27.75</v>
      </c>
      <c r="E1062" s="177">
        <v>30.25</v>
      </c>
      <c r="F1062" s="177">
        <v>58.0</v>
      </c>
      <c r="G1062" s="178">
        <v>87.5</v>
      </c>
      <c r="H1062" s="177">
        <v>9.0</v>
      </c>
      <c r="I1062" s="178">
        <v>67.0</v>
      </c>
    </row>
    <row r="1063">
      <c r="A1063" s="177" t="s">
        <v>1540</v>
      </c>
      <c r="B1063" s="177" t="s">
        <v>3584</v>
      </c>
      <c r="C1063" s="177" t="s">
        <v>833</v>
      </c>
      <c r="D1063" s="177">
        <v>16.25</v>
      </c>
      <c r="E1063" s="177">
        <v>0.0</v>
      </c>
      <c r="F1063" s="177">
        <v>16.25</v>
      </c>
      <c r="G1063" s="178">
        <v>41.666666666666664</v>
      </c>
      <c r="H1063" s="177">
        <v>0.0</v>
      </c>
      <c r="I1063" s="178">
        <v>16.25</v>
      </c>
    </row>
    <row r="1064">
      <c r="A1064" s="177" t="s">
        <v>1545</v>
      </c>
      <c r="B1064" s="177" t="s">
        <v>3585</v>
      </c>
      <c r="C1064" s="177" t="s">
        <v>834</v>
      </c>
      <c r="D1064" s="177">
        <v>9.5</v>
      </c>
      <c r="E1064" s="177">
        <v>10.0</v>
      </c>
      <c r="F1064" s="177">
        <v>19.5</v>
      </c>
      <c r="G1064" s="178">
        <v>29.166666666666668</v>
      </c>
      <c r="H1064" s="177">
        <v>0.0</v>
      </c>
      <c r="I1064" s="178">
        <v>19.5</v>
      </c>
    </row>
    <row r="1065">
      <c r="A1065" s="177" t="s">
        <v>1526</v>
      </c>
      <c r="B1065" s="177" t="s">
        <v>3586</v>
      </c>
      <c r="C1065" s="177" t="s">
        <v>835</v>
      </c>
      <c r="D1065" s="177">
        <v>25.25</v>
      </c>
      <c r="E1065" s="177">
        <v>0.0</v>
      </c>
      <c r="F1065" s="177">
        <v>25.25</v>
      </c>
      <c r="G1065" s="178">
        <v>29.166666666666668</v>
      </c>
      <c r="H1065" s="177">
        <v>0.0</v>
      </c>
      <c r="I1065" s="178">
        <v>25.25</v>
      </c>
    </row>
    <row r="1066">
      <c r="A1066" s="177" t="s">
        <v>1553</v>
      </c>
      <c r="B1066" s="177" t="s">
        <v>3587</v>
      </c>
      <c r="C1066" s="177" t="s">
        <v>836</v>
      </c>
      <c r="D1066" s="177">
        <v>0.0</v>
      </c>
      <c r="E1066" s="177">
        <v>0.0</v>
      </c>
      <c r="F1066" s="177">
        <v>0.0</v>
      </c>
      <c r="G1066" s="178">
        <v>12.5</v>
      </c>
      <c r="H1066" s="177">
        <v>0.0</v>
      </c>
      <c r="I1066" s="178">
        <v>0.0</v>
      </c>
    </row>
    <row r="1067">
      <c r="A1067" s="177" t="s">
        <v>1544</v>
      </c>
      <c r="B1067" s="177" t="s">
        <v>3588</v>
      </c>
      <c r="C1067" s="177" t="s">
        <v>837</v>
      </c>
      <c r="D1067" s="177">
        <v>0.0</v>
      </c>
      <c r="E1067" s="177">
        <v>0.0</v>
      </c>
      <c r="F1067" s="177">
        <v>0.0</v>
      </c>
      <c r="G1067" s="178">
        <v>0.0</v>
      </c>
      <c r="H1067" s="177">
        <v>0.0</v>
      </c>
      <c r="I1067" s="178">
        <v>0.0</v>
      </c>
    </row>
    <row r="1068">
      <c r="A1068" s="177" t="s">
        <v>1536</v>
      </c>
      <c r="B1068" s="177" t="s">
        <v>3589</v>
      </c>
      <c r="C1068" s="177" t="s">
        <v>838</v>
      </c>
      <c r="D1068" s="177">
        <v>29.0</v>
      </c>
      <c r="E1068" s="177">
        <v>43.0</v>
      </c>
      <c r="F1068" s="177">
        <v>72.0</v>
      </c>
      <c r="G1068" s="178">
        <v>70.83333333333333</v>
      </c>
      <c r="H1068" s="177">
        <v>6.0</v>
      </c>
      <c r="I1068" s="178">
        <v>78.0</v>
      </c>
    </row>
    <row r="1069">
      <c r="A1069" s="177" t="s">
        <v>1527</v>
      </c>
      <c r="B1069" s="177" t="s">
        <v>3590</v>
      </c>
      <c r="C1069" s="177" t="s">
        <v>839</v>
      </c>
      <c r="D1069" s="177">
        <v>31.75</v>
      </c>
      <c r="E1069" s="177">
        <v>32.0</v>
      </c>
      <c r="F1069" s="177">
        <v>63.75</v>
      </c>
      <c r="G1069" s="178">
        <v>87.5</v>
      </c>
      <c r="H1069" s="177">
        <v>9.0</v>
      </c>
      <c r="I1069" s="178">
        <v>72.75</v>
      </c>
    </row>
    <row r="1070">
      <c r="A1070" s="177" t="s">
        <v>1512</v>
      </c>
      <c r="B1070" s="177" t="s">
        <v>3591</v>
      </c>
      <c r="C1070" s="177" t="s">
        <v>840</v>
      </c>
      <c r="D1070" s="177">
        <v>19.75</v>
      </c>
      <c r="E1070" s="177">
        <v>24.25</v>
      </c>
      <c r="F1070" s="177">
        <v>44.0</v>
      </c>
      <c r="G1070" s="178">
        <v>75.0</v>
      </c>
      <c r="H1070" s="177">
        <v>6.0</v>
      </c>
      <c r="I1070" s="178">
        <v>50.0</v>
      </c>
    </row>
    <row r="1071">
      <c r="A1071" s="177" t="s">
        <v>1513</v>
      </c>
      <c r="B1071" s="177" t="s">
        <v>3592</v>
      </c>
      <c r="C1071" s="177" t="s">
        <v>841</v>
      </c>
      <c r="D1071" s="177">
        <v>20.0</v>
      </c>
      <c r="E1071" s="177">
        <v>30.75</v>
      </c>
      <c r="F1071" s="177">
        <v>50.75</v>
      </c>
      <c r="G1071" s="178">
        <v>70.83333333333333</v>
      </c>
      <c r="H1071" s="177">
        <v>6.0</v>
      </c>
      <c r="I1071" s="178">
        <v>56.75</v>
      </c>
    </row>
    <row r="1072">
      <c r="A1072" s="177" t="s">
        <v>1541</v>
      </c>
      <c r="B1072" s="177" t="s">
        <v>3593</v>
      </c>
      <c r="C1072" s="177" t="s">
        <v>842</v>
      </c>
      <c r="D1072" s="177">
        <v>20.25</v>
      </c>
      <c r="E1072" s="177">
        <v>25.75</v>
      </c>
      <c r="F1072" s="177">
        <v>46.0</v>
      </c>
      <c r="G1072" s="178">
        <v>75.0</v>
      </c>
      <c r="H1072" s="177">
        <v>6.0</v>
      </c>
      <c r="I1072" s="178">
        <v>52.0</v>
      </c>
    </row>
    <row r="1073">
      <c r="A1073" s="177" t="s">
        <v>1551</v>
      </c>
      <c r="B1073" s="177" t="s">
        <v>3594</v>
      </c>
      <c r="C1073" s="177" t="s">
        <v>843</v>
      </c>
      <c r="D1073" s="177">
        <v>19.75</v>
      </c>
      <c r="E1073" s="177">
        <v>24.25</v>
      </c>
      <c r="F1073" s="177">
        <v>44.0</v>
      </c>
      <c r="G1073" s="178">
        <v>75.0</v>
      </c>
      <c r="H1073" s="177">
        <v>6.0</v>
      </c>
      <c r="I1073" s="178">
        <v>50.0</v>
      </c>
    </row>
    <row r="1074">
      <c r="A1074" s="177" t="s">
        <v>1538</v>
      </c>
      <c r="B1074" s="177" t="s">
        <v>3595</v>
      </c>
      <c r="C1074" s="177" t="s">
        <v>844</v>
      </c>
      <c r="D1074" s="177">
        <v>19.0</v>
      </c>
      <c r="E1074" s="177">
        <v>0.0</v>
      </c>
      <c r="F1074" s="177">
        <v>19.0</v>
      </c>
      <c r="G1074" s="178">
        <v>25.0</v>
      </c>
      <c r="H1074" s="177">
        <v>0.0</v>
      </c>
      <c r="I1074" s="178">
        <v>19.0</v>
      </c>
    </row>
    <row r="1075">
      <c r="A1075" s="177" t="s">
        <v>1514</v>
      </c>
      <c r="B1075" s="177" t="s">
        <v>3596</v>
      </c>
      <c r="C1075" s="177" t="s">
        <v>845</v>
      </c>
      <c r="D1075" s="177">
        <v>0.0</v>
      </c>
      <c r="E1075" s="177">
        <v>0.0</v>
      </c>
      <c r="F1075" s="177">
        <v>0.0</v>
      </c>
      <c r="G1075" s="178">
        <v>87.5</v>
      </c>
      <c r="H1075" s="177">
        <v>9.0</v>
      </c>
      <c r="I1075" s="178">
        <v>9.0</v>
      </c>
    </row>
    <row r="1076">
      <c r="A1076" s="177" t="s">
        <v>1515</v>
      </c>
      <c r="B1076" s="177" t="s">
        <v>3597</v>
      </c>
      <c r="C1076" s="177" t="s">
        <v>846</v>
      </c>
      <c r="D1076" s="177">
        <v>24.25</v>
      </c>
      <c r="E1076" s="177">
        <v>29.25</v>
      </c>
      <c r="F1076" s="177">
        <v>53.5</v>
      </c>
      <c r="G1076" s="178">
        <v>62.5</v>
      </c>
      <c r="H1076" s="177">
        <v>0.0</v>
      </c>
      <c r="I1076" s="178">
        <v>53.5</v>
      </c>
    </row>
    <row r="1077">
      <c r="A1077" s="177" t="s">
        <v>1516</v>
      </c>
      <c r="B1077" s="177" t="s">
        <v>3598</v>
      </c>
      <c r="C1077" s="177" t="s">
        <v>847</v>
      </c>
      <c r="D1077" s="177">
        <v>29.25</v>
      </c>
      <c r="E1077" s="177">
        <v>33.5</v>
      </c>
      <c r="F1077" s="177">
        <v>62.75</v>
      </c>
      <c r="G1077" s="178">
        <v>66.66666666666667</v>
      </c>
      <c r="H1077" s="177">
        <v>0.0</v>
      </c>
      <c r="I1077" s="178">
        <v>62.75</v>
      </c>
    </row>
    <row r="1078">
      <c r="A1078" s="177" t="s">
        <v>1517</v>
      </c>
      <c r="B1078" s="177" t="s">
        <v>3599</v>
      </c>
      <c r="C1078" s="177" t="s">
        <v>848</v>
      </c>
      <c r="D1078" s="177">
        <v>12.5</v>
      </c>
      <c r="E1078" s="177">
        <v>31.25</v>
      </c>
      <c r="F1078" s="177">
        <v>43.75</v>
      </c>
      <c r="G1078" s="178">
        <v>83.33333333333333</v>
      </c>
      <c r="H1078" s="177">
        <v>8.0</v>
      </c>
      <c r="I1078" s="178">
        <v>51.75</v>
      </c>
    </row>
    <row r="1079">
      <c r="A1079" s="177" t="s">
        <v>1518</v>
      </c>
      <c r="B1079" s="177" t="s">
        <v>3600</v>
      </c>
      <c r="C1079" s="177" t="s">
        <v>849</v>
      </c>
      <c r="D1079" s="177">
        <v>19.75</v>
      </c>
      <c r="E1079" s="177">
        <v>0.0</v>
      </c>
      <c r="F1079" s="177">
        <v>19.75</v>
      </c>
      <c r="G1079" s="178">
        <v>0.0</v>
      </c>
      <c r="H1079" s="177">
        <v>0.0</v>
      </c>
      <c r="I1079" s="178">
        <v>19.75</v>
      </c>
    </row>
    <row r="1080">
      <c r="A1080" s="177" t="s">
        <v>1530</v>
      </c>
      <c r="B1080" s="177" t="s">
        <v>3601</v>
      </c>
      <c r="C1080" s="177" t="s">
        <v>850</v>
      </c>
      <c r="D1080" s="177">
        <v>19.5</v>
      </c>
      <c r="E1080" s="177">
        <v>26.25</v>
      </c>
      <c r="F1080" s="177">
        <v>45.75</v>
      </c>
      <c r="G1080" s="178">
        <v>95.83333333333333</v>
      </c>
      <c r="H1080" s="177">
        <v>10.0</v>
      </c>
      <c r="I1080" s="178">
        <v>55.75</v>
      </c>
    </row>
    <row r="1081">
      <c r="A1081" s="177" t="s">
        <v>1519</v>
      </c>
      <c r="B1081" s="177" t="s">
        <v>3602</v>
      </c>
      <c r="C1081" s="177" t="s">
        <v>851</v>
      </c>
      <c r="D1081" s="177">
        <v>25.5</v>
      </c>
      <c r="E1081" s="177">
        <v>31.5</v>
      </c>
      <c r="F1081" s="177">
        <v>57.0</v>
      </c>
      <c r="G1081" s="178">
        <v>70.83333333333333</v>
      </c>
      <c r="H1081" s="177">
        <v>6.0</v>
      </c>
      <c r="I1081" s="178">
        <v>63.0</v>
      </c>
    </row>
    <row r="1082">
      <c r="A1082" s="177" t="s">
        <v>1521</v>
      </c>
      <c r="B1082" s="177" t="s">
        <v>3603</v>
      </c>
      <c r="C1082" s="177" t="s">
        <v>853</v>
      </c>
      <c r="D1082" s="177">
        <v>24.5</v>
      </c>
      <c r="E1082" s="177">
        <v>28.0</v>
      </c>
      <c r="F1082" s="177">
        <v>52.5</v>
      </c>
      <c r="G1082" s="178">
        <v>100.0</v>
      </c>
      <c r="H1082" s="177">
        <v>10.0</v>
      </c>
      <c r="I1082" s="178">
        <v>62.5</v>
      </c>
    </row>
    <row r="1083">
      <c r="A1083" s="177" t="s">
        <v>1522</v>
      </c>
      <c r="B1083" s="177" t="s">
        <v>3604</v>
      </c>
      <c r="C1083" s="177" t="s">
        <v>854</v>
      </c>
      <c r="D1083" s="177">
        <v>25.75</v>
      </c>
      <c r="E1083" s="177">
        <v>30.0</v>
      </c>
      <c r="F1083" s="177">
        <v>55.75</v>
      </c>
      <c r="G1083" s="178">
        <v>87.5</v>
      </c>
      <c r="H1083" s="177">
        <v>9.0</v>
      </c>
      <c r="I1083" s="178">
        <v>64.75</v>
      </c>
    </row>
    <row r="1084">
      <c r="A1084" s="177" t="s">
        <v>1414</v>
      </c>
      <c r="B1084" s="177" t="s">
        <v>3605</v>
      </c>
      <c r="C1084" s="177" t="s">
        <v>855</v>
      </c>
      <c r="D1084" s="177">
        <v>0.0</v>
      </c>
      <c r="E1084" s="177">
        <v>0.0</v>
      </c>
      <c r="F1084" s="177">
        <v>0.0</v>
      </c>
      <c r="G1084" s="178">
        <v>20.833333333333332</v>
      </c>
      <c r="H1084" s="177">
        <v>0.0</v>
      </c>
      <c r="I1084" s="178">
        <v>0.0</v>
      </c>
    </row>
    <row r="1085">
      <c r="A1085" s="177" t="s">
        <v>1529</v>
      </c>
      <c r="B1085" s="177" t="s">
        <v>3606</v>
      </c>
      <c r="C1085" s="177" t="s">
        <v>857</v>
      </c>
      <c r="D1085" s="177">
        <v>11.75</v>
      </c>
      <c r="E1085" s="177">
        <v>30.25</v>
      </c>
      <c r="F1085" s="177">
        <v>42.0</v>
      </c>
      <c r="G1085" s="178">
        <v>83.33333333333333</v>
      </c>
      <c r="H1085" s="177">
        <v>8.0</v>
      </c>
      <c r="I1085" s="178">
        <v>50.0</v>
      </c>
    </row>
    <row r="1086">
      <c r="A1086" s="177" t="s">
        <v>1523</v>
      </c>
      <c r="B1086" s="177" t="s">
        <v>3607</v>
      </c>
      <c r="C1086" s="177" t="s">
        <v>858</v>
      </c>
      <c r="D1086" s="177">
        <v>23.0</v>
      </c>
      <c r="E1086" s="177">
        <v>20.0</v>
      </c>
      <c r="F1086" s="177">
        <v>43.0</v>
      </c>
      <c r="G1086" s="178">
        <v>79.16666666666667</v>
      </c>
      <c r="H1086" s="177">
        <v>7.0</v>
      </c>
      <c r="I1086" s="178">
        <v>50.0</v>
      </c>
    </row>
    <row r="1087">
      <c r="A1087" s="177" t="s">
        <v>1420</v>
      </c>
      <c r="B1087" s="177" t="s">
        <v>3608</v>
      </c>
      <c r="C1087" s="177" t="s">
        <v>859</v>
      </c>
      <c r="D1087" s="177">
        <v>29.75</v>
      </c>
      <c r="E1087" s="177">
        <v>32.5</v>
      </c>
      <c r="F1087" s="177">
        <f>D1087+E1087</f>
        <v>62.25</v>
      </c>
      <c r="G1087" s="178">
        <v>70.83333333333333</v>
      </c>
      <c r="H1087" s="177">
        <v>6.0</v>
      </c>
      <c r="I1087" s="178">
        <f>F1087+H1087</f>
        <v>68.25</v>
      </c>
    </row>
    <row r="1088">
      <c r="A1088" s="177" t="s">
        <v>1524</v>
      </c>
      <c r="B1088" s="177" t="s">
        <v>3609</v>
      </c>
      <c r="C1088" s="177" t="s">
        <v>860</v>
      </c>
      <c r="D1088" s="177">
        <v>34.25</v>
      </c>
      <c r="E1088" s="177">
        <v>31.5</v>
      </c>
      <c r="F1088" s="177">
        <v>65.75</v>
      </c>
      <c r="G1088" s="178">
        <v>91.66666666666667</v>
      </c>
      <c r="H1088" s="177">
        <v>10.0</v>
      </c>
      <c r="I1088" s="178">
        <v>75.75</v>
      </c>
    </row>
    <row r="1089">
      <c r="A1089" s="177" t="s">
        <v>2281</v>
      </c>
      <c r="B1089" s="177" t="s">
        <v>3342</v>
      </c>
      <c r="C1089" s="177" t="s">
        <v>1339</v>
      </c>
      <c r="D1089" s="177">
        <v>23.25</v>
      </c>
      <c r="E1089" s="177">
        <v>30.0</v>
      </c>
      <c r="F1089" s="177">
        <v>53.25</v>
      </c>
      <c r="G1089" s="177">
        <v>96.0</v>
      </c>
      <c r="H1089" s="177">
        <v>10.0</v>
      </c>
      <c r="I1089" s="178">
        <v>63.25</v>
      </c>
    </row>
    <row r="1090">
      <c r="A1090" s="177" t="s">
        <v>2154</v>
      </c>
      <c r="B1090" s="177" t="s">
        <v>3610</v>
      </c>
      <c r="C1090" s="177" t="s">
        <v>1249</v>
      </c>
      <c r="D1090" s="177">
        <v>20.75</v>
      </c>
      <c r="E1090" s="177">
        <v>0.0</v>
      </c>
      <c r="F1090" s="177">
        <v>20.75</v>
      </c>
      <c r="G1090" s="177">
        <v>64.0</v>
      </c>
      <c r="H1090" s="177">
        <v>0.0</v>
      </c>
      <c r="I1090" s="178">
        <v>20.75</v>
      </c>
    </row>
    <row r="1091">
      <c r="A1091" s="177" t="s">
        <v>2167</v>
      </c>
      <c r="B1091" s="177" t="s">
        <v>3611</v>
      </c>
      <c r="C1091" s="177" t="s">
        <v>864</v>
      </c>
      <c r="D1091" s="177">
        <v>33.0</v>
      </c>
      <c r="E1091" s="177" t="s">
        <v>2491</v>
      </c>
      <c r="F1091" s="177" t="s">
        <v>2491</v>
      </c>
      <c r="G1091" s="178">
        <v>75.0</v>
      </c>
      <c r="H1091" s="177">
        <v>6.0</v>
      </c>
      <c r="I1091" s="179">
        <v>0.0</v>
      </c>
    </row>
    <row r="1092">
      <c r="A1092" s="177" t="s">
        <v>2315</v>
      </c>
      <c r="B1092" s="177" t="s">
        <v>3337</v>
      </c>
      <c r="C1092" s="177" t="s">
        <v>861</v>
      </c>
      <c r="D1092" s="177">
        <v>34.0</v>
      </c>
      <c r="E1092" s="177" t="s">
        <v>2491</v>
      </c>
      <c r="F1092" s="177" t="s">
        <v>2491</v>
      </c>
      <c r="G1092" s="178">
        <v>37.5</v>
      </c>
      <c r="H1092" s="177">
        <v>0.0</v>
      </c>
      <c r="I1092" s="179">
        <v>0.0</v>
      </c>
    </row>
    <row r="1093">
      <c r="A1093" s="177" t="s">
        <v>1675</v>
      </c>
      <c r="B1093" s="177" t="s">
        <v>3612</v>
      </c>
      <c r="C1093" s="177" t="s">
        <v>1340</v>
      </c>
      <c r="D1093" s="177">
        <v>0.0</v>
      </c>
      <c r="E1093" s="177">
        <v>0.0</v>
      </c>
      <c r="F1093" s="177">
        <v>0.0</v>
      </c>
      <c r="G1093" s="177">
        <v>28.0</v>
      </c>
      <c r="H1093" s="177">
        <v>0.0</v>
      </c>
      <c r="I1093" s="178">
        <v>0.0</v>
      </c>
    </row>
    <row r="1094">
      <c r="A1094" s="177" t="s">
        <v>67</v>
      </c>
      <c r="B1094" s="177" t="s">
        <v>3613</v>
      </c>
      <c r="C1094" s="177" t="s">
        <v>1027</v>
      </c>
      <c r="D1094" s="177">
        <v>1.25</v>
      </c>
      <c r="E1094" s="177">
        <v>0.0</v>
      </c>
      <c r="F1094" s="177">
        <v>1.25</v>
      </c>
      <c r="G1094" s="178">
        <v>29.62962962962963</v>
      </c>
      <c r="H1094" s="177">
        <v>0.0</v>
      </c>
      <c r="I1094" s="178">
        <v>1.25</v>
      </c>
    </row>
    <row r="1095">
      <c r="A1095" s="177" t="s">
        <v>19</v>
      </c>
      <c r="B1095" s="177" t="s">
        <v>3614</v>
      </c>
      <c r="C1095" s="177" t="s">
        <v>1343</v>
      </c>
      <c r="D1095" s="177">
        <v>0.0</v>
      </c>
      <c r="E1095" s="177">
        <v>0.0</v>
      </c>
      <c r="F1095" s="177">
        <v>0.0</v>
      </c>
      <c r="G1095" s="178">
        <v>40.74074074074074</v>
      </c>
      <c r="H1095" s="177">
        <v>0.0</v>
      </c>
      <c r="I1095" s="178">
        <v>0.0</v>
      </c>
    </row>
    <row r="1096">
      <c r="A1096" s="177" t="s">
        <v>17</v>
      </c>
      <c r="B1096" s="177" t="s">
        <v>3615</v>
      </c>
      <c r="C1096" s="177" t="s">
        <v>1029</v>
      </c>
      <c r="D1096" s="177">
        <v>7.5</v>
      </c>
      <c r="E1096" s="177">
        <v>0.0</v>
      </c>
      <c r="F1096" s="177">
        <v>7.5</v>
      </c>
      <c r="G1096" s="178">
        <v>73.91304347826087</v>
      </c>
      <c r="H1096" s="177">
        <v>6.0</v>
      </c>
      <c r="I1096" s="178">
        <v>13.5</v>
      </c>
    </row>
    <row r="1097">
      <c r="A1097" s="177" t="s">
        <v>106</v>
      </c>
      <c r="B1097" s="177" t="s">
        <v>3616</v>
      </c>
      <c r="C1097" s="177" t="s">
        <v>1031</v>
      </c>
      <c r="D1097" s="177">
        <v>5.0</v>
      </c>
      <c r="E1097" s="177">
        <v>0.0</v>
      </c>
      <c r="F1097" s="177">
        <v>5.0</v>
      </c>
      <c r="G1097" s="178">
        <v>43.47826086956522</v>
      </c>
      <c r="H1097" s="177">
        <v>0.0</v>
      </c>
      <c r="I1097" s="178">
        <v>5.0</v>
      </c>
    </row>
    <row r="1098">
      <c r="A1098" s="177" t="s">
        <v>21</v>
      </c>
      <c r="B1098" s="177" t="s">
        <v>3617</v>
      </c>
      <c r="C1098" s="177" t="s">
        <v>1030</v>
      </c>
      <c r="D1098" s="177">
        <v>0.0</v>
      </c>
      <c r="E1098" s="177">
        <v>0.0</v>
      </c>
      <c r="F1098" s="177">
        <v>0.0</v>
      </c>
      <c r="G1098" s="178">
        <v>40.74074074074074</v>
      </c>
      <c r="H1098" s="177">
        <v>0.0</v>
      </c>
      <c r="I1098" s="178">
        <v>0.0</v>
      </c>
    </row>
    <row r="1099">
      <c r="A1099" s="177" t="s">
        <v>41</v>
      </c>
      <c r="B1099" s="177" t="s">
        <v>3618</v>
      </c>
      <c r="C1099" s="177" t="s">
        <v>1032</v>
      </c>
      <c r="D1099" s="177">
        <v>0.0</v>
      </c>
      <c r="E1099" s="177">
        <v>0.0</v>
      </c>
      <c r="F1099" s="177">
        <v>0.0</v>
      </c>
      <c r="G1099" s="178">
        <v>47.82608695652174</v>
      </c>
      <c r="H1099" s="177">
        <v>0.0</v>
      </c>
      <c r="I1099" s="178">
        <v>0.0</v>
      </c>
    </row>
    <row r="1100">
      <c r="A1100" s="177" t="s">
        <v>18</v>
      </c>
      <c r="B1100" s="177" t="s">
        <v>3619</v>
      </c>
      <c r="C1100" s="177" t="s">
        <v>1033</v>
      </c>
      <c r="D1100" s="177">
        <v>0.0</v>
      </c>
      <c r="E1100" s="177">
        <v>0.0</v>
      </c>
      <c r="F1100" s="177">
        <v>0.0</v>
      </c>
      <c r="G1100" s="178">
        <v>56.52173913043478</v>
      </c>
      <c r="H1100" s="177">
        <v>0.0</v>
      </c>
      <c r="I1100" s="178">
        <v>0.0</v>
      </c>
    </row>
    <row r="1101">
      <c r="A1101" s="177" t="s">
        <v>117</v>
      </c>
      <c r="B1101" s="177" t="s">
        <v>3620</v>
      </c>
      <c r="C1101" s="177" t="s">
        <v>1034</v>
      </c>
      <c r="D1101" s="177">
        <v>3.25</v>
      </c>
      <c r="E1101" s="177">
        <v>0.0</v>
      </c>
      <c r="F1101" s="177">
        <v>3.25</v>
      </c>
      <c r="G1101" s="178">
        <v>47.82608695652174</v>
      </c>
      <c r="H1101" s="177">
        <v>0.0</v>
      </c>
      <c r="I1101" s="178">
        <v>3.25</v>
      </c>
    </row>
    <row r="1102">
      <c r="A1102" s="177" t="s">
        <v>87</v>
      </c>
      <c r="B1102" s="177" t="s">
        <v>3621</v>
      </c>
      <c r="C1102" s="177" t="s">
        <v>1344</v>
      </c>
      <c r="D1102" s="177">
        <v>4.75</v>
      </c>
      <c r="E1102" s="177">
        <v>0.0</v>
      </c>
      <c r="F1102" s="177">
        <v>4.75</v>
      </c>
      <c r="G1102" s="178">
        <v>43.47826086956522</v>
      </c>
      <c r="H1102" s="177">
        <v>0.0</v>
      </c>
      <c r="I1102" s="178">
        <v>4.75</v>
      </c>
    </row>
    <row r="1103">
      <c r="A1103" s="177" t="s">
        <v>3622</v>
      </c>
      <c r="B1103" s="177" t="s">
        <v>3623</v>
      </c>
      <c r="C1103" s="177" t="s">
        <v>1036</v>
      </c>
      <c r="D1103" s="177">
        <v>3.75</v>
      </c>
      <c r="E1103" s="177">
        <v>0.0</v>
      </c>
      <c r="F1103" s="177">
        <v>3.75</v>
      </c>
      <c r="G1103" s="178">
        <v>22.22222222222222</v>
      </c>
      <c r="H1103" s="177">
        <v>0.0</v>
      </c>
      <c r="I1103" s="178">
        <v>3.75</v>
      </c>
    </row>
    <row r="1104">
      <c r="A1104" s="177" t="s">
        <v>47</v>
      </c>
      <c r="B1104" s="177" t="s">
        <v>3624</v>
      </c>
      <c r="C1104" s="177" t="s">
        <v>1038</v>
      </c>
      <c r="D1104" s="177">
        <v>0.0</v>
      </c>
      <c r="E1104" s="177">
        <v>0.0</v>
      </c>
      <c r="F1104" s="177">
        <v>0.0</v>
      </c>
      <c r="G1104" s="178">
        <v>11.11111111111111</v>
      </c>
      <c r="H1104" s="177">
        <v>0.0</v>
      </c>
      <c r="I1104" s="178">
        <v>0.0</v>
      </c>
    </row>
    <row r="1105">
      <c r="A1105" s="177" t="s">
        <v>3625</v>
      </c>
      <c r="B1105" s="177" t="s">
        <v>3626</v>
      </c>
      <c r="C1105" s="177" t="s">
        <v>1037</v>
      </c>
      <c r="D1105" s="177">
        <v>0.0</v>
      </c>
      <c r="E1105" s="177">
        <v>0.0</v>
      </c>
      <c r="F1105" s="177">
        <v>0.0</v>
      </c>
      <c r="G1105" s="178">
        <v>11.11111111111111</v>
      </c>
      <c r="H1105" s="177">
        <v>0.0</v>
      </c>
      <c r="I1105" s="178">
        <v>0.0</v>
      </c>
    </row>
    <row r="1106">
      <c r="A1106" s="177" t="s">
        <v>43</v>
      </c>
      <c r="B1106" s="177" t="s">
        <v>3627</v>
      </c>
      <c r="C1106" s="177" t="s">
        <v>1191</v>
      </c>
      <c r="D1106" s="177">
        <v>11.25</v>
      </c>
      <c r="E1106" s="177">
        <v>8.75</v>
      </c>
      <c r="F1106" s="177">
        <v>20.0</v>
      </c>
      <c r="G1106" s="178">
        <v>92.85714285714286</v>
      </c>
      <c r="H1106" s="177">
        <v>10.0</v>
      </c>
      <c r="I1106" s="178">
        <v>30.0</v>
      </c>
    </row>
    <row r="1107">
      <c r="A1107" s="177" t="s">
        <v>33</v>
      </c>
      <c r="B1107" s="177" t="s">
        <v>3628</v>
      </c>
      <c r="C1107" s="177" t="s">
        <v>1188</v>
      </c>
      <c r="D1107" s="177">
        <v>10.0</v>
      </c>
      <c r="E1107" s="177">
        <v>8.75</v>
      </c>
      <c r="F1107" s="177">
        <v>18.75</v>
      </c>
      <c r="G1107" s="178">
        <v>89.28571428571429</v>
      </c>
      <c r="H1107" s="177">
        <v>9.0</v>
      </c>
      <c r="I1107" s="178">
        <v>27.75</v>
      </c>
    </row>
    <row r="1108">
      <c r="A1108" s="177" t="s">
        <v>35</v>
      </c>
      <c r="B1108" s="177" t="s">
        <v>3629</v>
      </c>
      <c r="C1108" s="177" t="s">
        <v>1192</v>
      </c>
      <c r="D1108" s="177">
        <v>0.0</v>
      </c>
      <c r="E1108" s="177">
        <v>0.0</v>
      </c>
      <c r="F1108" s="177">
        <v>0.0</v>
      </c>
      <c r="G1108" s="178">
        <v>42.857142857142854</v>
      </c>
      <c r="H1108" s="177">
        <v>0.0</v>
      </c>
      <c r="I1108" s="178">
        <v>0.0</v>
      </c>
    </row>
    <row r="1109">
      <c r="A1109" s="177" t="s">
        <v>3630</v>
      </c>
      <c r="B1109" s="177" t="s">
        <v>3631</v>
      </c>
      <c r="C1109" s="177" t="s">
        <v>1185</v>
      </c>
      <c r="D1109" s="177">
        <v>0.0</v>
      </c>
      <c r="E1109" s="177">
        <v>0.0</v>
      </c>
      <c r="F1109" s="177">
        <v>0.0</v>
      </c>
      <c r="G1109" s="178">
        <v>16.666666666666668</v>
      </c>
      <c r="H1109" s="177">
        <v>0.0</v>
      </c>
      <c r="I1109" s="178">
        <v>0.0</v>
      </c>
    </row>
    <row r="1110">
      <c r="A1110" s="177" t="s">
        <v>42</v>
      </c>
      <c r="B1110" s="177" t="s">
        <v>3632</v>
      </c>
      <c r="C1110" s="177" t="s">
        <v>1189</v>
      </c>
      <c r="D1110" s="177">
        <v>0.0</v>
      </c>
      <c r="E1110" s="177">
        <v>8.75</v>
      </c>
      <c r="F1110" s="177">
        <v>8.75</v>
      </c>
      <c r="G1110" s="178">
        <v>64.28571428571429</v>
      </c>
      <c r="H1110" s="177">
        <v>0.0</v>
      </c>
      <c r="I1110" s="178">
        <v>8.75</v>
      </c>
    </row>
    <row r="1111">
      <c r="A1111" s="177" t="s">
        <v>30</v>
      </c>
      <c r="B1111" s="177" t="s">
        <v>3633</v>
      </c>
      <c r="C1111" s="177" t="s">
        <v>1195</v>
      </c>
      <c r="D1111" s="177">
        <v>0.0</v>
      </c>
      <c r="E1111" s="177">
        <v>0.0</v>
      </c>
      <c r="F1111" s="177">
        <v>0.0</v>
      </c>
      <c r="G1111" s="178">
        <v>37.5</v>
      </c>
      <c r="H1111" s="177">
        <v>0.0</v>
      </c>
      <c r="I1111" s="178">
        <v>0.0</v>
      </c>
    </row>
    <row r="1112">
      <c r="A1112" s="177" t="s">
        <v>29</v>
      </c>
      <c r="B1112" s="177" t="s">
        <v>3634</v>
      </c>
      <c r="C1112" s="177" t="s">
        <v>1183</v>
      </c>
      <c r="D1112" s="177">
        <v>5.75</v>
      </c>
      <c r="E1112" s="177">
        <v>10.25</v>
      </c>
      <c r="F1112" s="177">
        <v>16.0</v>
      </c>
      <c r="G1112" s="178">
        <v>87.5</v>
      </c>
      <c r="H1112" s="177">
        <v>9.0</v>
      </c>
      <c r="I1112" s="178">
        <v>25.0</v>
      </c>
    </row>
    <row r="1113">
      <c r="A1113" s="177" t="s">
        <v>3635</v>
      </c>
      <c r="B1113" s="177" t="s">
        <v>3636</v>
      </c>
      <c r="C1113" s="177" t="s">
        <v>1186</v>
      </c>
      <c r="D1113" s="177">
        <v>10.0</v>
      </c>
      <c r="E1113" s="177">
        <v>20.0</v>
      </c>
      <c r="F1113" s="177">
        <v>30.0</v>
      </c>
      <c r="G1113" s="178">
        <v>87.5</v>
      </c>
      <c r="H1113" s="177">
        <v>9.0</v>
      </c>
      <c r="I1113" s="178">
        <v>39.0</v>
      </c>
    </row>
    <row r="1114">
      <c r="A1114" s="177" t="s">
        <v>3637</v>
      </c>
      <c r="B1114" s="177" t="s">
        <v>3638</v>
      </c>
      <c r="C1114" s="177" t="s">
        <v>1193</v>
      </c>
      <c r="D1114" s="177">
        <v>5.0</v>
      </c>
      <c r="E1114" s="177">
        <v>0.0</v>
      </c>
      <c r="F1114" s="177">
        <v>5.0</v>
      </c>
      <c r="G1114" s="178">
        <v>83.33333333333333</v>
      </c>
      <c r="H1114" s="177">
        <v>8.0</v>
      </c>
      <c r="I1114" s="178">
        <v>13.0</v>
      </c>
    </row>
    <row r="1115">
      <c r="A1115" s="177" t="s">
        <v>36</v>
      </c>
      <c r="B1115" s="177" t="s">
        <v>3639</v>
      </c>
      <c r="C1115" s="177" t="s">
        <v>1187</v>
      </c>
      <c r="D1115" s="177">
        <v>10.0</v>
      </c>
      <c r="E1115" s="177">
        <v>6.5</v>
      </c>
      <c r="F1115" s="177">
        <v>16.5</v>
      </c>
      <c r="G1115" s="178">
        <v>75.0</v>
      </c>
      <c r="H1115" s="177">
        <v>6.0</v>
      </c>
      <c r="I1115" s="178">
        <v>22.5</v>
      </c>
    </row>
    <row r="1116">
      <c r="A1116" s="177" t="s">
        <v>3640</v>
      </c>
      <c r="B1116" s="177" t="s">
        <v>3641</v>
      </c>
      <c r="C1116" s="177" t="s">
        <v>1184</v>
      </c>
      <c r="D1116" s="177">
        <v>11.25</v>
      </c>
      <c r="E1116" s="177">
        <v>7.0</v>
      </c>
      <c r="F1116" s="177">
        <v>18.25</v>
      </c>
      <c r="G1116" s="178">
        <v>83.33333333333333</v>
      </c>
      <c r="H1116" s="177">
        <v>8.0</v>
      </c>
      <c r="I1116" s="178">
        <v>26.25</v>
      </c>
    </row>
    <row r="1117">
      <c r="A1117" s="177" t="s">
        <v>3642</v>
      </c>
      <c r="B1117" s="177" t="s">
        <v>3643</v>
      </c>
      <c r="C1117" s="177" t="s">
        <v>1190</v>
      </c>
      <c r="D1117" s="177">
        <v>15.0</v>
      </c>
      <c r="E1117" s="177">
        <v>7.5</v>
      </c>
      <c r="F1117" s="177">
        <v>22.5</v>
      </c>
      <c r="G1117" s="178">
        <v>92.85714285714286</v>
      </c>
      <c r="H1117" s="177">
        <v>10.0</v>
      </c>
      <c r="I1117" s="178">
        <v>32.5</v>
      </c>
    </row>
    <row r="1118">
      <c r="A1118" s="177" t="s">
        <v>38</v>
      </c>
      <c r="B1118" s="177" t="s">
        <v>3644</v>
      </c>
      <c r="C1118" s="177" t="s">
        <v>1194</v>
      </c>
      <c r="D1118" s="177">
        <v>7.5</v>
      </c>
      <c r="E1118" s="177">
        <v>7.5</v>
      </c>
      <c r="F1118" s="177">
        <v>15.0</v>
      </c>
      <c r="G1118" s="178">
        <v>64.28571428571429</v>
      </c>
      <c r="H1118" s="177">
        <v>0.0</v>
      </c>
      <c r="I1118" s="178">
        <v>15.0</v>
      </c>
    </row>
    <row r="1119">
      <c r="A1119" s="177" t="s">
        <v>56</v>
      </c>
      <c r="B1119" s="177" t="s">
        <v>3645</v>
      </c>
      <c r="C1119" s="177" t="s">
        <v>1268</v>
      </c>
      <c r="D1119" s="177">
        <v>4.5</v>
      </c>
      <c r="E1119" s="177">
        <v>0.0</v>
      </c>
      <c r="F1119" s="177">
        <v>4.5</v>
      </c>
      <c r="G1119" s="178">
        <v>12.0</v>
      </c>
      <c r="H1119" s="177">
        <v>0.0</v>
      </c>
      <c r="I1119" s="178">
        <v>4.5</v>
      </c>
    </row>
    <row r="1120">
      <c r="A1120" s="177" t="s">
        <v>45</v>
      </c>
      <c r="B1120" s="177" t="s">
        <v>3646</v>
      </c>
      <c r="C1120" s="177" t="s">
        <v>1264</v>
      </c>
      <c r="D1120" s="177">
        <v>3.25</v>
      </c>
      <c r="E1120" s="177">
        <v>0.0</v>
      </c>
      <c r="F1120" s="177">
        <v>3.25</v>
      </c>
      <c r="G1120" s="178">
        <v>36.0</v>
      </c>
      <c r="H1120" s="177">
        <v>0.0</v>
      </c>
      <c r="I1120" s="178">
        <v>3.25</v>
      </c>
    </row>
    <row r="1121">
      <c r="A1121" s="177" t="s">
        <v>64</v>
      </c>
      <c r="B1121" s="177" t="s">
        <v>3647</v>
      </c>
      <c r="C1121" s="177" t="s">
        <v>1265</v>
      </c>
      <c r="D1121" s="177">
        <v>6.25</v>
      </c>
      <c r="E1121" s="177">
        <v>0.0</v>
      </c>
      <c r="F1121" s="177">
        <v>6.25</v>
      </c>
      <c r="G1121" s="178">
        <v>8.0</v>
      </c>
      <c r="H1121" s="177">
        <v>0.0</v>
      </c>
      <c r="I1121" s="178">
        <v>6.25</v>
      </c>
    </row>
    <row r="1122">
      <c r="A1122" s="177" t="s">
        <v>24</v>
      </c>
      <c r="B1122" s="177" t="s">
        <v>3648</v>
      </c>
      <c r="C1122" s="177" t="s">
        <v>1263</v>
      </c>
      <c r="D1122" s="177">
        <v>7.25</v>
      </c>
      <c r="E1122" s="177">
        <v>0.0</v>
      </c>
      <c r="F1122" s="177">
        <v>7.25</v>
      </c>
      <c r="G1122" s="178">
        <v>36.0</v>
      </c>
      <c r="H1122" s="177">
        <v>0.0</v>
      </c>
      <c r="I1122" s="178">
        <v>7.25</v>
      </c>
    </row>
    <row r="1123">
      <c r="A1123" s="177" t="s">
        <v>28</v>
      </c>
      <c r="B1123" s="177" t="s">
        <v>3649</v>
      </c>
      <c r="C1123" s="177" t="s">
        <v>1266</v>
      </c>
      <c r="D1123" s="177">
        <v>9.5</v>
      </c>
      <c r="E1123" s="177">
        <v>0.0</v>
      </c>
      <c r="F1123" s="177">
        <v>9.5</v>
      </c>
      <c r="G1123" s="178">
        <v>40.0</v>
      </c>
      <c r="H1123" s="177">
        <v>0.0</v>
      </c>
      <c r="I1123" s="178">
        <v>9.5</v>
      </c>
    </row>
    <row r="1124">
      <c r="A1124" s="177" t="s">
        <v>114</v>
      </c>
      <c r="B1124" s="177" t="s">
        <v>3650</v>
      </c>
      <c r="C1124" s="177" t="s">
        <v>1267</v>
      </c>
      <c r="D1124" s="177">
        <v>21.5</v>
      </c>
      <c r="E1124" s="177">
        <v>0.0</v>
      </c>
      <c r="F1124" s="177">
        <v>21.5</v>
      </c>
      <c r="G1124" s="178">
        <v>16.0</v>
      </c>
      <c r="H1124" s="177">
        <v>0.0</v>
      </c>
      <c r="I1124" s="178">
        <v>21.5</v>
      </c>
    </row>
    <row r="1125">
      <c r="A1125" s="177" t="s">
        <v>120</v>
      </c>
      <c r="B1125" s="177" t="s">
        <v>3651</v>
      </c>
      <c r="C1125" s="177" t="s">
        <v>1337</v>
      </c>
      <c r="D1125" s="177">
        <v>-3.75</v>
      </c>
      <c r="E1125" s="177">
        <v>0.0</v>
      </c>
      <c r="F1125" s="177">
        <v>-3.75</v>
      </c>
      <c r="G1125" s="178">
        <v>54.166666666666664</v>
      </c>
      <c r="H1125" s="177">
        <v>0.0</v>
      </c>
      <c r="I1125" s="178">
        <v>-3.75</v>
      </c>
    </row>
    <row r="1126">
      <c r="A1126" s="177" t="s">
        <v>107</v>
      </c>
      <c r="B1126" s="177" t="s">
        <v>3652</v>
      </c>
      <c r="C1126" s="177" t="s">
        <v>1332</v>
      </c>
      <c r="D1126" s="177">
        <v>1.25</v>
      </c>
      <c r="E1126" s="177">
        <v>0.0</v>
      </c>
      <c r="F1126" s="177">
        <v>1.25</v>
      </c>
      <c r="G1126" s="178">
        <v>16.666666666666668</v>
      </c>
      <c r="H1126" s="177">
        <v>0.0</v>
      </c>
      <c r="I1126" s="178">
        <v>1.25</v>
      </c>
    </row>
    <row r="1127">
      <c r="A1127" s="177" t="s">
        <v>95</v>
      </c>
      <c r="B1127" s="177" t="s">
        <v>3653</v>
      </c>
      <c r="C1127" s="177" t="s">
        <v>1334</v>
      </c>
      <c r="D1127" s="177">
        <v>2.5</v>
      </c>
      <c r="E1127" s="177">
        <v>0.0</v>
      </c>
      <c r="F1127" s="177">
        <v>2.5</v>
      </c>
      <c r="G1127" s="178">
        <v>16.666666666666668</v>
      </c>
      <c r="H1127" s="177">
        <v>0.0</v>
      </c>
      <c r="I1127" s="178">
        <v>2.5</v>
      </c>
    </row>
    <row r="1128">
      <c r="A1128" s="177" t="s">
        <v>97</v>
      </c>
      <c r="B1128" s="177" t="s">
        <v>3654</v>
      </c>
      <c r="C1128" s="177" t="s">
        <v>1333</v>
      </c>
      <c r="D1128" s="177">
        <v>5.0</v>
      </c>
      <c r="E1128" s="177">
        <v>8.25</v>
      </c>
      <c r="F1128" s="177">
        <v>13.25</v>
      </c>
      <c r="G1128" s="178">
        <v>75.0</v>
      </c>
      <c r="H1128" s="177">
        <v>6.0</v>
      </c>
      <c r="I1128" s="178">
        <v>19.25</v>
      </c>
    </row>
    <row r="1129">
      <c r="A1129" s="177" t="s">
        <v>52</v>
      </c>
      <c r="B1129" s="177" t="s">
        <v>3655</v>
      </c>
      <c r="C1129" s="177" t="s">
        <v>1354</v>
      </c>
      <c r="D1129" s="177">
        <v>-0.75</v>
      </c>
      <c r="E1129" s="177">
        <v>3.75</v>
      </c>
      <c r="F1129" s="177">
        <v>3.0</v>
      </c>
      <c r="G1129" s="178">
        <v>79.16666666666667</v>
      </c>
      <c r="H1129" s="177">
        <v>7.0</v>
      </c>
      <c r="I1129" s="178">
        <v>10.0</v>
      </c>
    </row>
    <row r="1130">
      <c r="A1130" s="177" t="s">
        <v>3656</v>
      </c>
      <c r="B1130" s="177" t="s">
        <v>3657</v>
      </c>
      <c r="C1130" s="177" t="s">
        <v>1336</v>
      </c>
      <c r="D1130" s="177">
        <v>0.0</v>
      </c>
      <c r="E1130" s="177">
        <v>0.0</v>
      </c>
      <c r="F1130" s="177">
        <v>0.0</v>
      </c>
      <c r="G1130" s="178">
        <v>0.0</v>
      </c>
      <c r="H1130" s="177">
        <v>0.0</v>
      </c>
      <c r="I1130" s="178">
        <v>0.0</v>
      </c>
    </row>
    <row r="1131">
      <c r="A1131" s="177" t="s">
        <v>2681</v>
      </c>
      <c r="B1131" s="177" t="s">
        <v>2682</v>
      </c>
      <c r="C1131" s="177" t="s">
        <v>363</v>
      </c>
      <c r="D1131" s="177">
        <v>0.0</v>
      </c>
      <c r="E1131" s="177">
        <v>0.0</v>
      </c>
      <c r="F1131" s="177">
        <v>0.0</v>
      </c>
      <c r="G1131" s="178">
        <v>20.689655172413794</v>
      </c>
      <c r="H1131" s="177">
        <v>0.0</v>
      </c>
      <c r="I1131" s="178">
        <v>0.0</v>
      </c>
    </row>
    <row r="1132">
      <c r="A1132" s="177" t="s">
        <v>89</v>
      </c>
      <c r="B1132" s="177" t="s">
        <v>2683</v>
      </c>
      <c r="C1132" s="177" t="s">
        <v>370</v>
      </c>
      <c r="D1132" s="177">
        <v>5.0</v>
      </c>
      <c r="E1132" s="177">
        <v>21.5</v>
      </c>
      <c r="F1132" s="177">
        <v>26.5</v>
      </c>
      <c r="G1132" s="178">
        <v>92.3076923076923</v>
      </c>
      <c r="H1132" s="177">
        <v>10.0</v>
      </c>
      <c r="I1132" s="178">
        <v>36.5</v>
      </c>
    </row>
    <row r="1133">
      <c r="A1133" s="177" t="s">
        <v>2684</v>
      </c>
      <c r="B1133" s="177" t="s">
        <v>2685</v>
      </c>
      <c r="C1133" s="177" t="s">
        <v>364</v>
      </c>
      <c r="D1133" s="177">
        <v>1.25</v>
      </c>
      <c r="E1133" s="177">
        <v>8.75</v>
      </c>
      <c r="F1133" s="177">
        <v>10.0</v>
      </c>
      <c r="G1133" s="178">
        <v>92.3076923076923</v>
      </c>
      <c r="H1133" s="177">
        <v>10.0</v>
      </c>
      <c r="I1133" s="178">
        <v>20.0</v>
      </c>
    </row>
    <row r="1134">
      <c r="A1134" s="177" t="s">
        <v>44</v>
      </c>
      <c r="B1134" s="177" t="s">
        <v>2686</v>
      </c>
      <c r="C1134" s="177" t="s">
        <v>366</v>
      </c>
      <c r="D1134" s="177">
        <v>2.25</v>
      </c>
      <c r="E1134" s="177">
        <v>15.5</v>
      </c>
      <c r="F1134" s="177">
        <v>17.75</v>
      </c>
      <c r="G1134" s="178">
        <v>92.3076923076923</v>
      </c>
      <c r="H1134" s="177">
        <v>10.0</v>
      </c>
      <c r="I1134" s="178">
        <v>27.75</v>
      </c>
    </row>
    <row r="1135">
      <c r="A1135" s="177" t="s">
        <v>37</v>
      </c>
      <c r="B1135" s="177" t="s">
        <v>2687</v>
      </c>
      <c r="C1135" s="177" t="s">
        <v>368</v>
      </c>
      <c r="D1135" s="177">
        <v>4.75</v>
      </c>
      <c r="E1135" s="177">
        <v>13.5</v>
      </c>
      <c r="F1135" s="177">
        <v>18.25</v>
      </c>
      <c r="G1135" s="178">
        <v>92.3076923076923</v>
      </c>
      <c r="H1135" s="177">
        <v>10.0</v>
      </c>
      <c r="I1135" s="178">
        <v>28.25</v>
      </c>
    </row>
    <row r="1136">
      <c r="A1136" s="177" t="s">
        <v>66</v>
      </c>
      <c r="B1136" s="177" t="s">
        <v>2688</v>
      </c>
      <c r="C1136" s="177" t="s">
        <v>365</v>
      </c>
      <c r="D1136" s="177">
        <v>5.75</v>
      </c>
      <c r="E1136" s="177">
        <v>7.0</v>
      </c>
      <c r="F1136" s="177">
        <v>12.75</v>
      </c>
      <c r="G1136" s="178">
        <v>92.3076923076923</v>
      </c>
      <c r="H1136" s="177">
        <v>10.0</v>
      </c>
      <c r="I1136" s="178">
        <v>22.75</v>
      </c>
    </row>
    <row r="1137">
      <c r="A1137" s="177" t="s">
        <v>2689</v>
      </c>
      <c r="B1137" s="177" t="s">
        <v>2690</v>
      </c>
      <c r="C1137" s="177" t="s">
        <v>374</v>
      </c>
      <c r="D1137" s="177">
        <v>0.0</v>
      </c>
      <c r="E1137" s="177">
        <v>0.0</v>
      </c>
      <c r="F1137" s="177">
        <v>0.0</v>
      </c>
      <c r="G1137" s="178">
        <v>0.0</v>
      </c>
      <c r="H1137" s="177">
        <v>0.0</v>
      </c>
      <c r="I1137" s="178">
        <v>0.0</v>
      </c>
    </row>
    <row r="1138">
      <c r="A1138" s="177" t="s">
        <v>102</v>
      </c>
      <c r="B1138" s="177" t="s">
        <v>2691</v>
      </c>
      <c r="C1138" s="177" t="s">
        <v>376</v>
      </c>
      <c r="D1138" s="177">
        <v>0.0</v>
      </c>
      <c r="E1138" s="177">
        <v>0.0</v>
      </c>
      <c r="F1138" s="177">
        <v>0.0</v>
      </c>
      <c r="G1138" s="178">
        <v>42.30769230769231</v>
      </c>
      <c r="H1138" s="177">
        <v>0.0</v>
      </c>
      <c r="I1138" s="178">
        <v>0.0</v>
      </c>
    </row>
    <row r="1139">
      <c r="A1139" s="177" t="s">
        <v>53</v>
      </c>
      <c r="B1139" s="177" t="s">
        <v>2692</v>
      </c>
      <c r="C1139" s="177" t="s">
        <v>361</v>
      </c>
      <c r="D1139" s="177">
        <v>0.0</v>
      </c>
      <c r="E1139" s="177">
        <v>0.0</v>
      </c>
      <c r="F1139" s="177">
        <v>0.0</v>
      </c>
      <c r="G1139" s="178">
        <v>24.137931034482758</v>
      </c>
      <c r="H1139" s="177">
        <v>0.0</v>
      </c>
      <c r="I1139" s="178">
        <v>0.0</v>
      </c>
    </row>
    <row r="1140">
      <c r="A1140" s="177" t="s">
        <v>54</v>
      </c>
      <c r="B1140" s="177" t="s">
        <v>2693</v>
      </c>
      <c r="C1140" s="177" t="s">
        <v>367</v>
      </c>
      <c r="D1140" s="177">
        <v>4.0</v>
      </c>
      <c r="E1140" s="177">
        <v>5.75</v>
      </c>
      <c r="F1140" s="177">
        <v>9.75</v>
      </c>
      <c r="G1140" s="178">
        <v>92.3076923076923</v>
      </c>
      <c r="H1140" s="177">
        <v>10.0</v>
      </c>
      <c r="I1140" s="178">
        <v>19.75</v>
      </c>
    </row>
    <row r="1141">
      <c r="A1141" s="177" t="s">
        <v>2694</v>
      </c>
      <c r="B1141" s="177" t="s">
        <v>2695</v>
      </c>
      <c r="C1141" s="177" t="s">
        <v>372</v>
      </c>
      <c r="D1141" s="177">
        <v>8.75</v>
      </c>
      <c r="E1141" s="177">
        <v>0.0</v>
      </c>
      <c r="F1141" s="177">
        <v>8.75</v>
      </c>
      <c r="G1141" s="178">
        <v>15.384615384615385</v>
      </c>
      <c r="H1141" s="177">
        <v>0.0</v>
      </c>
      <c r="I1141" s="178">
        <v>8.75</v>
      </c>
    </row>
    <row r="1142">
      <c r="A1142" s="177" t="s">
        <v>70</v>
      </c>
      <c r="B1142" s="177" t="s">
        <v>2696</v>
      </c>
      <c r="C1142" s="177" t="s">
        <v>377</v>
      </c>
      <c r="D1142" s="177">
        <v>0.0</v>
      </c>
      <c r="E1142" s="177">
        <v>0.0</v>
      </c>
      <c r="F1142" s="177">
        <v>0.0</v>
      </c>
      <c r="G1142" s="178">
        <v>46.15384615384615</v>
      </c>
      <c r="H1142" s="177">
        <v>0.0</v>
      </c>
      <c r="I1142" s="178">
        <v>0.0</v>
      </c>
    </row>
    <row r="1143">
      <c r="A1143" s="177" t="s">
        <v>39</v>
      </c>
      <c r="B1143" s="177" t="s">
        <v>2697</v>
      </c>
      <c r="C1143" s="177" t="s">
        <v>373</v>
      </c>
      <c r="D1143" s="177">
        <v>8.75</v>
      </c>
      <c r="E1143" s="177">
        <v>18.0</v>
      </c>
      <c r="F1143" s="177">
        <v>26.75</v>
      </c>
      <c r="G1143" s="178">
        <v>84.61538461538461</v>
      </c>
      <c r="H1143" s="177">
        <v>8.0</v>
      </c>
      <c r="I1143" s="178">
        <v>34.75</v>
      </c>
    </row>
    <row r="1144">
      <c r="A1144" s="177" t="s">
        <v>101</v>
      </c>
      <c r="B1144" s="177" t="s">
        <v>2698</v>
      </c>
      <c r="C1144" s="177" t="s">
        <v>362</v>
      </c>
      <c r="D1144" s="177">
        <v>12.0</v>
      </c>
      <c r="E1144" s="177">
        <v>13.5</v>
      </c>
      <c r="F1144" s="177">
        <v>25.5</v>
      </c>
      <c r="G1144" s="178">
        <v>79.3103448275862</v>
      </c>
      <c r="H1144" s="177">
        <v>7.0</v>
      </c>
      <c r="I1144" s="178">
        <v>32.5</v>
      </c>
    </row>
    <row r="1145">
      <c r="A1145" s="177" t="s">
        <v>91</v>
      </c>
      <c r="B1145" s="177" t="s">
        <v>2699</v>
      </c>
      <c r="C1145" s="177" t="s">
        <v>371</v>
      </c>
      <c r="D1145" s="177">
        <v>3.75</v>
      </c>
      <c r="E1145" s="177">
        <v>16.5</v>
      </c>
      <c r="F1145" s="177">
        <v>20.25</v>
      </c>
      <c r="G1145" s="178">
        <v>92.3076923076923</v>
      </c>
      <c r="H1145" s="177">
        <v>10.0</v>
      </c>
      <c r="I1145" s="178">
        <v>30.25</v>
      </c>
    </row>
    <row r="1146">
      <c r="A1146" s="177" t="s">
        <v>57</v>
      </c>
      <c r="B1146" s="177" t="s">
        <v>2700</v>
      </c>
      <c r="C1146" s="177" t="s">
        <v>375</v>
      </c>
      <c r="D1146" s="177">
        <v>4.75</v>
      </c>
      <c r="E1146" s="177">
        <v>17.5</v>
      </c>
      <c r="F1146" s="177">
        <v>22.25</v>
      </c>
      <c r="G1146" s="178">
        <v>96.15384615384616</v>
      </c>
      <c r="H1146" s="177">
        <v>10.0</v>
      </c>
      <c r="I1146" s="178">
        <v>32.25</v>
      </c>
    </row>
    <row r="1147">
      <c r="A1147" s="177" t="s">
        <v>113</v>
      </c>
      <c r="B1147" s="177" t="s">
        <v>2701</v>
      </c>
      <c r="C1147" s="177" t="s">
        <v>360</v>
      </c>
      <c r="D1147" s="177">
        <v>0.0</v>
      </c>
      <c r="E1147" s="177">
        <v>0.0</v>
      </c>
      <c r="F1147" s="177">
        <v>0.0</v>
      </c>
      <c r="G1147" s="178">
        <v>3.4482758620689653</v>
      </c>
      <c r="H1147" s="177">
        <v>0.0</v>
      </c>
      <c r="I1147" s="178">
        <v>0.0</v>
      </c>
    </row>
    <row r="1148">
      <c r="A1148" s="177" t="s">
        <v>100</v>
      </c>
      <c r="B1148" s="177" t="s">
        <v>2702</v>
      </c>
      <c r="C1148" s="177" t="s">
        <v>369</v>
      </c>
      <c r="D1148" s="177">
        <v>0.0</v>
      </c>
      <c r="E1148" s="177">
        <v>0.0</v>
      </c>
      <c r="F1148" s="177">
        <v>0.0</v>
      </c>
      <c r="G1148" s="178">
        <v>15.384615384615385</v>
      </c>
      <c r="H1148" s="177">
        <v>0.0</v>
      </c>
      <c r="I1148" s="178">
        <v>0.0</v>
      </c>
    </row>
    <row r="1149">
      <c r="A1149" s="177" t="s">
        <v>103</v>
      </c>
      <c r="B1149" s="177" t="s">
        <v>3658</v>
      </c>
      <c r="C1149" s="177" t="s">
        <v>647</v>
      </c>
      <c r="D1149" s="177">
        <v>0.0</v>
      </c>
      <c r="E1149" s="177">
        <v>0.0</v>
      </c>
      <c r="F1149" s="177">
        <v>0.0</v>
      </c>
      <c r="G1149" s="178">
        <v>6.896551724137931</v>
      </c>
      <c r="H1149" s="177">
        <v>0.0</v>
      </c>
      <c r="I1149" s="178">
        <v>0.0</v>
      </c>
    </row>
    <row r="1150">
      <c r="A1150" s="177" t="s">
        <v>74</v>
      </c>
      <c r="B1150" s="177" t="s">
        <v>3659</v>
      </c>
      <c r="C1150" s="177" t="s">
        <v>637</v>
      </c>
      <c r="D1150" s="177">
        <v>6.5</v>
      </c>
      <c r="E1150" s="177">
        <v>0.0</v>
      </c>
      <c r="F1150" s="177">
        <v>6.5</v>
      </c>
      <c r="G1150" s="178">
        <v>32.142857142857146</v>
      </c>
      <c r="H1150" s="177">
        <v>0.0</v>
      </c>
      <c r="I1150" s="178">
        <v>6.5</v>
      </c>
    </row>
    <row r="1151">
      <c r="A1151" s="177" t="s">
        <v>96</v>
      </c>
      <c r="B1151" s="177" t="s">
        <v>3660</v>
      </c>
      <c r="C1151" s="177" t="s">
        <v>642</v>
      </c>
      <c r="D1151" s="177">
        <v>10.75</v>
      </c>
      <c r="E1151" s="177">
        <v>11.25</v>
      </c>
      <c r="F1151" s="177">
        <v>22.0</v>
      </c>
      <c r="G1151" s="178">
        <v>71.42857142857143</v>
      </c>
      <c r="H1151" s="177">
        <v>6.0</v>
      </c>
      <c r="I1151" s="178">
        <v>28.0</v>
      </c>
    </row>
    <row r="1152">
      <c r="A1152" s="177" t="s">
        <v>112</v>
      </c>
      <c r="B1152" s="177" t="s">
        <v>3661</v>
      </c>
      <c r="C1152" s="177" t="s">
        <v>638</v>
      </c>
      <c r="D1152" s="177">
        <v>0.0</v>
      </c>
      <c r="E1152" s="177">
        <v>5.5</v>
      </c>
      <c r="F1152" s="177">
        <v>5.5</v>
      </c>
      <c r="G1152" s="178">
        <v>71.42857142857143</v>
      </c>
      <c r="H1152" s="177">
        <v>6.0</v>
      </c>
      <c r="I1152" s="178">
        <v>11.5</v>
      </c>
    </row>
    <row r="1153">
      <c r="A1153" s="177" t="s">
        <v>73</v>
      </c>
      <c r="B1153" s="177" t="s">
        <v>3662</v>
      </c>
      <c r="C1153" s="177" t="s">
        <v>639</v>
      </c>
      <c r="D1153" s="177">
        <v>17.5</v>
      </c>
      <c r="E1153" s="177">
        <v>7.5</v>
      </c>
      <c r="F1153" s="177">
        <v>25.0</v>
      </c>
      <c r="G1153" s="178">
        <v>71.42857142857143</v>
      </c>
      <c r="H1153" s="177">
        <v>6.0</v>
      </c>
      <c r="I1153" s="178">
        <v>31.0</v>
      </c>
    </row>
    <row r="1154">
      <c r="A1154" s="177" t="s">
        <v>59</v>
      </c>
      <c r="B1154" s="177" t="s">
        <v>3663</v>
      </c>
      <c r="C1154" s="177" t="s">
        <v>645</v>
      </c>
      <c r="D1154" s="177">
        <v>20.0</v>
      </c>
      <c r="E1154" s="177">
        <v>30.0</v>
      </c>
      <c r="F1154" s="177">
        <v>50.0</v>
      </c>
      <c r="G1154" s="178">
        <v>68.96551724137932</v>
      </c>
      <c r="H1154" s="177">
        <v>0.0</v>
      </c>
      <c r="I1154" s="178">
        <v>50.0</v>
      </c>
    </row>
    <row r="1155">
      <c r="A1155" s="177" t="s">
        <v>84</v>
      </c>
      <c r="B1155" s="177" t="s">
        <v>3664</v>
      </c>
      <c r="C1155" s="177" t="s">
        <v>648</v>
      </c>
      <c r="D1155" s="177">
        <v>14.75</v>
      </c>
      <c r="E1155" s="177">
        <v>22.5</v>
      </c>
      <c r="F1155" s="177">
        <v>37.25</v>
      </c>
      <c r="G1155" s="178">
        <v>96.55172413793103</v>
      </c>
      <c r="H1155" s="177">
        <v>10.0</v>
      </c>
      <c r="I1155" s="178">
        <v>47.25</v>
      </c>
    </row>
    <row r="1156">
      <c r="A1156" s="177" t="s">
        <v>93</v>
      </c>
      <c r="B1156" s="177" t="s">
        <v>3665</v>
      </c>
      <c r="C1156" s="177" t="s">
        <v>644</v>
      </c>
      <c r="D1156" s="177">
        <v>11.25</v>
      </c>
      <c r="E1156" s="177">
        <v>0.0</v>
      </c>
      <c r="F1156" s="177">
        <v>11.25</v>
      </c>
      <c r="G1156" s="178">
        <v>58.62068965517241</v>
      </c>
      <c r="H1156" s="177">
        <v>0.0</v>
      </c>
      <c r="I1156" s="178">
        <v>11.25</v>
      </c>
    </row>
    <row r="1157">
      <c r="A1157" s="177" t="s">
        <v>3666</v>
      </c>
      <c r="B1157" s="177" t="s">
        <v>3667</v>
      </c>
      <c r="C1157" s="177" t="s">
        <v>640</v>
      </c>
      <c r="D1157" s="177">
        <v>5.0</v>
      </c>
      <c r="E1157" s="177">
        <v>5.0</v>
      </c>
      <c r="F1157" s="177">
        <v>10.0</v>
      </c>
      <c r="G1157" s="178">
        <v>75.0</v>
      </c>
      <c r="H1157" s="177">
        <v>6.0</v>
      </c>
      <c r="I1157" s="178">
        <v>16.0</v>
      </c>
    </row>
    <row r="1158">
      <c r="A1158" s="177" t="s">
        <v>26</v>
      </c>
      <c r="B1158" s="177" t="s">
        <v>3668</v>
      </c>
      <c r="C1158" s="177" t="s">
        <v>646</v>
      </c>
      <c r="D1158" s="177">
        <v>9.5</v>
      </c>
      <c r="E1158" s="177">
        <v>17.0</v>
      </c>
      <c r="F1158" s="177">
        <v>26.5</v>
      </c>
      <c r="G1158" s="178">
        <v>72.41379310344827</v>
      </c>
      <c r="H1158" s="177">
        <v>6.0</v>
      </c>
      <c r="I1158" s="178">
        <v>32.5</v>
      </c>
    </row>
    <row r="1159">
      <c r="A1159" s="177" t="s">
        <v>68</v>
      </c>
      <c r="B1159" s="177" t="s">
        <v>3669</v>
      </c>
      <c r="C1159" s="177" t="s">
        <v>641</v>
      </c>
      <c r="D1159" s="177">
        <v>5.0</v>
      </c>
      <c r="E1159" s="177">
        <v>0.0</v>
      </c>
      <c r="F1159" s="177">
        <v>5.0</v>
      </c>
      <c r="G1159" s="178">
        <v>57.142857142857146</v>
      </c>
      <c r="H1159" s="177">
        <v>0.0</v>
      </c>
      <c r="I1159" s="178">
        <v>5.0</v>
      </c>
    </row>
    <row r="1160">
      <c r="A1160" s="177" t="s">
        <v>22</v>
      </c>
      <c r="B1160" s="177" t="s">
        <v>3670</v>
      </c>
      <c r="C1160" s="177" t="s">
        <v>652</v>
      </c>
      <c r="D1160" s="177">
        <v>31.25</v>
      </c>
      <c r="E1160" s="177">
        <v>0.0</v>
      </c>
      <c r="F1160" s="177">
        <v>31.25</v>
      </c>
      <c r="G1160" s="178">
        <v>16.666666666666668</v>
      </c>
      <c r="H1160" s="177">
        <v>0.0</v>
      </c>
      <c r="I1160" s="178">
        <v>31.25</v>
      </c>
    </row>
    <row r="1161">
      <c r="A1161" s="177" t="s">
        <v>58</v>
      </c>
      <c r="B1161" s="177" t="s">
        <v>3671</v>
      </c>
      <c r="C1161" s="177" t="s">
        <v>649</v>
      </c>
      <c r="D1161" s="177">
        <v>0.0</v>
      </c>
      <c r="E1161" s="177">
        <v>18.5</v>
      </c>
      <c r="F1161" s="177">
        <v>18.5</v>
      </c>
      <c r="G1161" s="178">
        <v>70.83333333333333</v>
      </c>
      <c r="H1161" s="177">
        <v>6.0</v>
      </c>
      <c r="I1161" s="178">
        <v>24.5</v>
      </c>
    </row>
    <row r="1162">
      <c r="A1162" s="177" t="s">
        <v>108</v>
      </c>
      <c r="B1162" s="177" t="s">
        <v>3672</v>
      </c>
      <c r="C1162" s="177" t="s">
        <v>650</v>
      </c>
      <c r="D1162" s="177">
        <v>0.0</v>
      </c>
      <c r="E1162" s="177">
        <v>0.0</v>
      </c>
      <c r="F1162" s="177">
        <v>0.0</v>
      </c>
      <c r="G1162" s="178">
        <v>41.666666666666664</v>
      </c>
      <c r="H1162" s="177">
        <v>0.0</v>
      </c>
      <c r="I1162" s="178">
        <v>0.0</v>
      </c>
    </row>
    <row r="1163">
      <c r="A1163" s="177" t="s">
        <v>104</v>
      </c>
      <c r="B1163" s="177" t="s">
        <v>3673</v>
      </c>
      <c r="C1163" s="177" t="s">
        <v>653</v>
      </c>
      <c r="D1163" s="177">
        <v>32.5</v>
      </c>
      <c r="E1163" s="177">
        <v>22.75</v>
      </c>
      <c r="F1163" s="177">
        <v>55.25</v>
      </c>
      <c r="G1163" s="178">
        <v>37.5</v>
      </c>
      <c r="H1163" s="177">
        <v>0.0</v>
      </c>
      <c r="I1163" s="178">
        <v>55.25</v>
      </c>
    </row>
    <row r="1164">
      <c r="A1164" s="177" t="s">
        <v>23</v>
      </c>
      <c r="B1164" s="177" t="s">
        <v>3674</v>
      </c>
      <c r="C1164" s="177" t="s">
        <v>1351</v>
      </c>
      <c r="D1164" s="177">
        <v>2.5</v>
      </c>
      <c r="E1164" s="177">
        <v>0.0</v>
      </c>
      <c r="F1164" s="177">
        <v>2.5</v>
      </c>
      <c r="G1164" s="178">
        <v>51.724137931034484</v>
      </c>
      <c r="H1164" s="177">
        <v>0.0</v>
      </c>
      <c r="I1164" s="178">
        <v>2.5</v>
      </c>
    </row>
    <row r="1165">
      <c r="A1165" s="177" t="s">
        <v>63</v>
      </c>
      <c r="B1165" s="177" t="s">
        <v>3675</v>
      </c>
      <c r="C1165" s="177" t="s">
        <v>651</v>
      </c>
      <c r="D1165" s="177">
        <v>31.25</v>
      </c>
      <c r="E1165" s="177">
        <v>20.5</v>
      </c>
      <c r="F1165" s="177">
        <v>51.75</v>
      </c>
      <c r="G1165" s="178">
        <v>37.5</v>
      </c>
      <c r="H1165" s="177">
        <v>0.0</v>
      </c>
      <c r="I1165" s="178">
        <v>51.75</v>
      </c>
    </row>
    <row r="1166">
      <c r="A1166" s="177" t="s">
        <v>83</v>
      </c>
      <c r="B1166" s="177" t="s">
        <v>3676</v>
      </c>
      <c r="C1166" s="177" t="s">
        <v>658</v>
      </c>
      <c r="D1166" s="177">
        <v>12.75</v>
      </c>
      <c r="E1166" s="177">
        <v>0.0</v>
      </c>
      <c r="F1166" s="177">
        <v>12.75</v>
      </c>
      <c r="G1166" s="178">
        <v>50.0</v>
      </c>
      <c r="H1166" s="177">
        <v>0.0</v>
      </c>
      <c r="I1166" s="178">
        <v>12.75</v>
      </c>
    </row>
    <row r="1167">
      <c r="A1167" s="177" t="s">
        <v>50</v>
      </c>
      <c r="B1167" s="177" t="s">
        <v>3677</v>
      </c>
      <c r="C1167" s="177" t="s">
        <v>657</v>
      </c>
      <c r="D1167" s="177">
        <v>8.75</v>
      </c>
      <c r="E1167" s="177">
        <v>0.0</v>
      </c>
      <c r="F1167" s="177">
        <v>8.75</v>
      </c>
      <c r="G1167" s="178">
        <v>53.84615384615385</v>
      </c>
      <c r="H1167" s="177">
        <v>0.0</v>
      </c>
      <c r="I1167" s="178">
        <v>8.75</v>
      </c>
    </row>
    <row r="1168">
      <c r="A1168" s="177" t="s">
        <v>3678</v>
      </c>
      <c r="B1168" s="177" t="s">
        <v>3679</v>
      </c>
      <c r="C1168" s="177" t="s">
        <v>1352</v>
      </c>
      <c r="D1168" s="177">
        <v>0.0</v>
      </c>
      <c r="E1168" s="177">
        <v>0.0</v>
      </c>
      <c r="F1168" s="177">
        <v>0.0</v>
      </c>
      <c r="G1168" s="178">
        <v>34.61538461538461</v>
      </c>
      <c r="H1168" s="177">
        <v>0.0</v>
      </c>
      <c r="I1168" s="178">
        <v>0.0</v>
      </c>
    </row>
    <row r="1169">
      <c r="A1169" s="177" t="s">
        <v>3680</v>
      </c>
      <c r="B1169" s="177" t="s">
        <v>3681</v>
      </c>
      <c r="C1169" s="177" t="s">
        <v>1338</v>
      </c>
      <c r="D1169" s="177">
        <v>0.0</v>
      </c>
      <c r="E1169" s="177">
        <v>0.0</v>
      </c>
      <c r="F1169" s="177">
        <v>0.0</v>
      </c>
      <c r="G1169" s="177">
        <v>0.0</v>
      </c>
      <c r="H1169" s="177">
        <v>0.0</v>
      </c>
      <c r="I1169" s="178">
        <v>0.0</v>
      </c>
    </row>
    <row r="1170">
      <c r="A1170" s="177" t="s">
        <v>3678</v>
      </c>
      <c r="B1170" s="177" t="s">
        <v>3679</v>
      </c>
      <c r="C1170" s="177" t="s">
        <v>654</v>
      </c>
      <c r="D1170" s="177">
        <v>0.0</v>
      </c>
      <c r="E1170" s="177">
        <v>0.0</v>
      </c>
      <c r="F1170" s="177">
        <v>0.0</v>
      </c>
      <c r="G1170" s="178">
        <v>37.5</v>
      </c>
      <c r="H1170" s="177">
        <v>0.0</v>
      </c>
      <c r="I1170" s="178">
        <v>0.0</v>
      </c>
    </row>
    <row r="1171">
      <c r="A1171" s="177" t="s">
        <v>115</v>
      </c>
      <c r="B1171" s="177" t="s">
        <v>3682</v>
      </c>
      <c r="C1171" s="177" t="s">
        <v>654</v>
      </c>
      <c r="D1171" s="177">
        <v>0.0</v>
      </c>
      <c r="E1171" s="177">
        <v>0.0</v>
      </c>
      <c r="F1171" s="177">
        <v>0.0</v>
      </c>
      <c r="G1171" s="178">
        <v>37.5</v>
      </c>
      <c r="H1171" s="177">
        <v>0.0</v>
      </c>
      <c r="I1171" s="178">
        <v>0.0</v>
      </c>
    </row>
    <row r="1172">
      <c r="A1172" s="177" t="s">
        <v>90</v>
      </c>
      <c r="B1172" s="177" t="s">
        <v>3683</v>
      </c>
      <c r="C1172" s="177" t="s">
        <v>655</v>
      </c>
      <c r="D1172" s="177">
        <v>0.0</v>
      </c>
      <c r="E1172" s="177">
        <v>0.0</v>
      </c>
      <c r="F1172" s="177">
        <v>0.0</v>
      </c>
      <c r="G1172" s="178">
        <v>46.15384615384615</v>
      </c>
      <c r="H1172" s="177">
        <v>0.0</v>
      </c>
      <c r="I1172" s="178">
        <v>0.0</v>
      </c>
    </row>
    <row r="1173">
      <c r="A1173" s="177" t="s">
        <v>71</v>
      </c>
      <c r="B1173" s="177" t="s">
        <v>3684</v>
      </c>
      <c r="C1173" s="177" t="s">
        <v>643</v>
      </c>
      <c r="D1173" s="177">
        <v>3.75</v>
      </c>
      <c r="E1173" s="177">
        <v>7.5</v>
      </c>
      <c r="F1173" s="177">
        <v>11.25</v>
      </c>
      <c r="G1173" s="178">
        <v>50.0</v>
      </c>
      <c r="H1173" s="177">
        <v>0.0</v>
      </c>
      <c r="I1173" s="178">
        <v>11.25</v>
      </c>
    </row>
    <row r="1174">
      <c r="A1174" s="177" t="s">
        <v>72</v>
      </c>
      <c r="B1174" s="177" t="s">
        <v>3685</v>
      </c>
      <c r="C1174" s="177" t="s">
        <v>866</v>
      </c>
      <c r="D1174" s="177">
        <v>18.25</v>
      </c>
      <c r="E1174" s="177" t="s">
        <v>2491</v>
      </c>
      <c r="F1174" s="177" t="s">
        <v>2491</v>
      </c>
      <c r="G1174" s="177">
        <v>68.0</v>
      </c>
      <c r="H1174" s="177">
        <v>0.0</v>
      </c>
      <c r="I1174" s="179">
        <v>0.0</v>
      </c>
    </row>
    <row r="1175">
      <c r="A1175" s="177" t="s">
        <v>118</v>
      </c>
      <c r="B1175" s="177" t="s">
        <v>3686</v>
      </c>
      <c r="C1175" s="177" t="s">
        <v>871</v>
      </c>
      <c r="D1175" s="177">
        <v>8.5</v>
      </c>
      <c r="E1175" s="177">
        <v>6.25</v>
      </c>
      <c r="F1175" s="177">
        <v>14.75</v>
      </c>
      <c r="G1175" s="177">
        <v>84.0</v>
      </c>
      <c r="H1175" s="177">
        <v>8.0</v>
      </c>
      <c r="I1175" s="178">
        <v>22.75</v>
      </c>
    </row>
    <row r="1176">
      <c r="A1176" s="177" t="s">
        <v>88</v>
      </c>
      <c r="B1176" s="177" t="s">
        <v>3687</v>
      </c>
      <c r="C1176" s="177" t="s">
        <v>867</v>
      </c>
      <c r="D1176" s="177">
        <v>19.75</v>
      </c>
      <c r="E1176" s="177">
        <v>0.0</v>
      </c>
      <c r="F1176" s="177">
        <v>19.75</v>
      </c>
      <c r="G1176" s="177">
        <v>56.0</v>
      </c>
      <c r="H1176" s="177">
        <v>0.0</v>
      </c>
      <c r="I1176" s="178">
        <v>19.75</v>
      </c>
    </row>
    <row r="1177">
      <c r="A1177" s="177" t="s">
        <v>75</v>
      </c>
      <c r="B1177" s="177" t="s">
        <v>3688</v>
      </c>
      <c r="C1177" s="177" t="s">
        <v>872</v>
      </c>
      <c r="D1177" s="177">
        <v>19.75</v>
      </c>
      <c r="E1177" s="177">
        <v>17.25</v>
      </c>
      <c r="F1177" s="177">
        <v>37.0</v>
      </c>
      <c r="G1177" s="177">
        <v>92.0</v>
      </c>
      <c r="H1177" s="177">
        <v>10.0</v>
      </c>
      <c r="I1177" s="178">
        <v>47.0</v>
      </c>
    </row>
    <row r="1178">
      <c r="A1178" s="177" t="s">
        <v>51</v>
      </c>
      <c r="B1178" s="177" t="s">
        <v>3689</v>
      </c>
      <c r="C1178" s="177" t="s">
        <v>869</v>
      </c>
      <c r="D1178" s="177">
        <v>18.75</v>
      </c>
      <c r="E1178" s="177">
        <v>31.25</v>
      </c>
      <c r="F1178" s="177">
        <v>50.0</v>
      </c>
      <c r="G1178" s="177">
        <v>64.0</v>
      </c>
      <c r="H1178" s="177">
        <v>0.0</v>
      </c>
      <c r="I1178" s="178">
        <v>50.0</v>
      </c>
    </row>
    <row r="1179">
      <c r="A1179" s="177" t="s">
        <v>3690</v>
      </c>
      <c r="B1179" s="177" t="s">
        <v>3691</v>
      </c>
      <c r="C1179" s="177" t="s">
        <v>1342</v>
      </c>
      <c r="D1179" s="177">
        <v>0.0</v>
      </c>
      <c r="E1179" s="177">
        <v>0.0</v>
      </c>
      <c r="F1179" s="177">
        <v>0.0</v>
      </c>
      <c r="G1179" s="177">
        <v>8.0</v>
      </c>
      <c r="H1179" s="177">
        <v>0.0</v>
      </c>
      <c r="I1179" s="178">
        <v>0.0</v>
      </c>
    </row>
    <row r="1180">
      <c r="A1180" s="177" t="s">
        <v>77</v>
      </c>
      <c r="B1180" s="177" t="s">
        <v>3692</v>
      </c>
      <c r="C1180" s="177" t="s">
        <v>882</v>
      </c>
      <c r="D1180" s="177">
        <v>3.25</v>
      </c>
      <c r="E1180" s="177">
        <v>3.25</v>
      </c>
      <c r="F1180" s="177">
        <v>6.5</v>
      </c>
      <c r="G1180" s="177">
        <v>76.0</v>
      </c>
      <c r="H1180" s="177">
        <v>7.0</v>
      </c>
      <c r="I1180" s="178">
        <v>13.5</v>
      </c>
    </row>
    <row r="1181">
      <c r="A1181" s="177" t="s">
        <v>76</v>
      </c>
      <c r="B1181" s="177" t="s">
        <v>3693</v>
      </c>
      <c r="C1181" s="177" t="s">
        <v>873</v>
      </c>
      <c r="D1181" s="177">
        <v>6.0</v>
      </c>
      <c r="E1181" s="177">
        <v>0.0</v>
      </c>
      <c r="F1181" s="177">
        <v>6.0</v>
      </c>
      <c r="G1181" s="177">
        <v>52.0</v>
      </c>
      <c r="H1181" s="177">
        <v>0.0</v>
      </c>
      <c r="I1181" s="178">
        <v>6.0</v>
      </c>
    </row>
    <row r="1182">
      <c r="A1182" s="177" t="s">
        <v>105</v>
      </c>
      <c r="B1182" s="177" t="s">
        <v>3694</v>
      </c>
      <c r="C1182" s="177" t="s">
        <v>877</v>
      </c>
      <c r="D1182" s="177">
        <v>25.5</v>
      </c>
      <c r="E1182" s="177">
        <v>0.0</v>
      </c>
      <c r="F1182" s="177">
        <v>25.5</v>
      </c>
      <c r="G1182" s="178">
        <v>41.666666666666664</v>
      </c>
      <c r="H1182" s="177">
        <v>0.0</v>
      </c>
      <c r="I1182" s="178">
        <v>25.5</v>
      </c>
    </row>
    <row r="1183">
      <c r="A1183" s="177" t="s">
        <v>3695</v>
      </c>
      <c r="B1183" s="177" t="s">
        <v>3696</v>
      </c>
      <c r="C1183" s="177" t="s">
        <v>879</v>
      </c>
      <c r="D1183" s="177">
        <v>0.0</v>
      </c>
      <c r="E1183" s="177">
        <v>0.0</v>
      </c>
      <c r="F1183" s="177">
        <v>0.0</v>
      </c>
      <c r="G1183" s="178">
        <v>12.5</v>
      </c>
      <c r="H1183" s="177">
        <v>0.0</v>
      </c>
      <c r="I1183" s="178">
        <v>0.0</v>
      </c>
    </row>
    <row r="1184">
      <c r="A1184" s="177" t="s">
        <v>60</v>
      </c>
      <c r="B1184" s="177" t="s">
        <v>3697</v>
      </c>
      <c r="C1184" s="177" t="s">
        <v>870</v>
      </c>
      <c r="D1184" s="177">
        <v>21.75</v>
      </c>
      <c r="E1184" s="177">
        <v>0.0</v>
      </c>
      <c r="F1184" s="177">
        <v>21.75</v>
      </c>
      <c r="G1184" s="177">
        <v>52.0</v>
      </c>
      <c r="H1184" s="177">
        <v>0.0</v>
      </c>
      <c r="I1184" s="178">
        <v>21.75</v>
      </c>
    </row>
    <row r="1185">
      <c r="A1185" s="177" t="s">
        <v>116</v>
      </c>
      <c r="B1185" s="177" t="s">
        <v>3698</v>
      </c>
      <c r="C1185" s="177" t="s">
        <v>881</v>
      </c>
      <c r="D1185" s="177">
        <v>26.25</v>
      </c>
      <c r="E1185" s="177">
        <v>29.0</v>
      </c>
      <c r="F1185" s="177">
        <v>55.25</v>
      </c>
      <c r="G1185" s="178">
        <v>70.83333333333333</v>
      </c>
      <c r="H1185" s="177">
        <v>6.0</v>
      </c>
      <c r="I1185" s="178">
        <v>61.25</v>
      </c>
    </row>
    <row r="1186">
      <c r="A1186" s="177" t="s">
        <v>119</v>
      </c>
      <c r="B1186" s="177" t="s">
        <v>3699</v>
      </c>
      <c r="C1186" s="177" t="s">
        <v>876</v>
      </c>
      <c r="D1186" s="177">
        <v>12.5</v>
      </c>
      <c r="E1186" s="177">
        <v>0.0</v>
      </c>
      <c r="F1186" s="177">
        <v>12.5</v>
      </c>
      <c r="G1186" s="178">
        <v>50.0</v>
      </c>
      <c r="H1186" s="177">
        <v>0.0</v>
      </c>
      <c r="I1186" s="178">
        <v>12.5</v>
      </c>
    </row>
    <row r="1187">
      <c r="A1187" s="177" t="s">
        <v>3700</v>
      </c>
      <c r="B1187" s="177" t="s">
        <v>3701</v>
      </c>
      <c r="C1187" s="177" t="s">
        <v>878</v>
      </c>
      <c r="D1187" s="177">
        <v>0.0</v>
      </c>
      <c r="E1187" s="177">
        <v>0.0</v>
      </c>
      <c r="F1187" s="177">
        <v>0.0</v>
      </c>
      <c r="G1187" s="178">
        <v>41.666666666666664</v>
      </c>
      <c r="H1187" s="177">
        <v>0.0</v>
      </c>
      <c r="I1187" s="178">
        <v>0.0</v>
      </c>
    </row>
    <row r="1188">
      <c r="A1188" s="177" t="s">
        <v>32</v>
      </c>
      <c r="B1188" s="177" t="s">
        <v>3702</v>
      </c>
      <c r="C1188" s="177" t="s">
        <v>880</v>
      </c>
      <c r="D1188" s="177">
        <v>8.75</v>
      </c>
      <c r="E1188" s="177">
        <v>0.0</v>
      </c>
      <c r="F1188" s="177">
        <v>8.75</v>
      </c>
      <c r="G1188" s="178">
        <v>45.833333333333336</v>
      </c>
      <c r="H1188" s="177">
        <v>0.0</v>
      </c>
      <c r="I1188" s="178">
        <v>8.75</v>
      </c>
    </row>
    <row r="1189">
      <c r="A1189" s="177" t="s">
        <v>81</v>
      </c>
      <c r="B1189" s="177" t="s">
        <v>3703</v>
      </c>
      <c r="C1189" s="177" t="s">
        <v>1341</v>
      </c>
      <c r="D1189" s="177">
        <v>3.75</v>
      </c>
      <c r="E1189" s="177">
        <v>0.0</v>
      </c>
      <c r="F1189" s="177">
        <v>3.75</v>
      </c>
      <c r="G1189" s="177">
        <v>36.0</v>
      </c>
      <c r="H1189" s="177">
        <v>0.0</v>
      </c>
      <c r="I1189" s="178">
        <v>3.75</v>
      </c>
    </row>
    <row r="1190">
      <c r="A1190" s="177" t="s">
        <v>110</v>
      </c>
      <c r="B1190" s="177" t="s">
        <v>3704</v>
      </c>
      <c r="C1190" s="177" t="s">
        <v>865</v>
      </c>
      <c r="D1190" s="177">
        <v>0.0</v>
      </c>
      <c r="E1190" s="177">
        <v>0.0</v>
      </c>
      <c r="F1190" s="177">
        <v>0.0</v>
      </c>
      <c r="G1190" s="177">
        <v>32.0</v>
      </c>
      <c r="H1190" s="177">
        <v>0.0</v>
      </c>
      <c r="I1190" s="178">
        <v>0.0</v>
      </c>
    </row>
    <row r="1191">
      <c r="A1191" s="181"/>
      <c r="B1191" s="181"/>
      <c r="C1191" s="181"/>
      <c r="D1191" s="181"/>
      <c r="E1191" s="181"/>
      <c r="F1191" s="181"/>
      <c r="G1191" s="182"/>
      <c r="H1191" s="181"/>
      <c r="I1191" s="182"/>
    </row>
    <row r="1192">
      <c r="A1192" s="181"/>
      <c r="B1192" s="181"/>
      <c r="C1192" s="181"/>
      <c r="D1192" s="181"/>
      <c r="E1192" s="181"/>
      <c r="F1192" s="181"/>
      <c r="G1192" s="182"/>
      <c r="H1192" s="181"/>
      <c r="I1192" s="182"/>
    </row>
    <row r="1193">
      <c r="A1193" s="181"/>
      <c r="B1193" s="181"/>
      <c r="C1193" s="181"/>
      <c r="D1193" s="181"/>
      <c r="E1193" s="181"/>
      <c r="F1193" s="181"/>
      <c r="G1193" s="182"/>
      <c r="H1193" s="181"/>
      <c r="I1193" s="182"/>
    </row>
    <row r="1194">
      <c r="A1194" s="181"/>
      <c r="B1194" s="181"/>
      <c r="C1194" s="181"/>
      <c r="D1194" s="181"/>
      <c r="E1194" s="181"/>
      <c r="F1194" s="181"/>
      <c r="G1194" s="182"/>
      <c r="H1194" s="181"/>
      <c r="I1194" s="182"/>
    </row>
    <row r="1195">
      <c r="A1195" s="181"/>
      <c r="B1195" s="181"/>
      <c r="C1195" s="181"/>
      <c r="D1195" s="181"/>
      <c r="E1195" s="181"/>
      <c r="F1195" s="181"/>
      <c r="G1195" s="182"/>
      <c r="H1195" s="181"/>
      <c r="I1195" s="182"/>
    </row>
    <row r="1196">
      <c r="A1196" s="181"/>
      <c r="B1196" s="181"/>
      <c r="C1196" s="181"/>
      <c r="D1196" s="181"/>
      <c r="E1196" s="181"/>
      <c r="F1196" s="181"/>
      <c r="G1196" s="182"/>
      <c r="H1196" s="181"/>
      <c r="I1196" s="182"/>
    </row>
    <row r="1197">
      <c r="A1197" s="181"/>
      <c r="B1197" s="181"/>
      <c r="C1197" s="181"/>
      <c r="D1197" s="181"/>
      <c r="E1197" s="181"/>
      <c r="F1197" s="181"/>
      <c r="G1197" s="182"/>
      <c r="H1197" s="181"/>
      <c r="I1197" s="182"/>
    </row>
    <row r="1198">
      <c r="A1198" s="181"/>
      <c r="B1198" s="181"/>
      <c r="C1198" s="181"/>
      <c r="D1198" s="181"/>
      <c r="E1198" s="181"/>
      <c r="F1198" s="181"/>
      <c r="G1198" s="182"/>
      <c r="H1198" s="181"/>
      <c r="I1198" s="182"/>
    </row>
    <row r="1199">
      <c r="A1199" s="181"/>
      <c r="B1199" s="181"/>
      <c r="C1199" s="181"/>
      <c r="D1199" s="181"/>
      <c r="E1199" s="181"/>
      <c r="F1199" s="181"/>
      <c r="G1199" s="182"/>
      <c r="H1199" s="181"/>
      <c r="I1199" s="182"/>
    </row>
    <row r="1200">
      <c r="A1200" s="181"/>
      <c r="B1200" s="181"/>
      <c r="C1200" s="181"/>
      <c r="D1200" s="181"/>
      <c r="E1200" s="181"/>
      <c r="F1200" s="181"/>
      <c r="G1200" s="182"/>
      <c r="H1200" s="181"/>
      <c r="I1200" s="182"/>
    </row>
    <row r="1201">
      <c r="A1201" s="181"/>
      <c r="B1201" s="181"/>
      <c r="C1201" s="181"/>
      <c r="D1201" s="181"/>
      <c r="E1201" s="181"/>
      <c r="F1201" s="181"/>
      <c r="G1201" s="182"/>
      <c r="H1201" s="181"/>
      <c r="I1201" s="182"/>
    </row>
    <row r="1202">
      <c r="A1202" s="181"/>
      <c r="B1202" s="181"/>
      <c r="C1202" s="181"/>
      <c r="D1202" s="181"/>
      <c r="E1202" s="181"/>
      <c r="F1202" s="181"/>
      <c r="G1202" s="182"/>
      <c r="H1202" s="181"/>
      <c r="I1202" s="182"/>
    </row>
    <row r="1203">
      <c r="A1203" s="181"/>
      <c r="B1203" s="181"/>
      <c r="C1203" s="181"/>
      <c r="D1203" s="181"/>
      <c r="E1203" s="181"/>
      <c r="F1203" s="181"/>
      <c r="G1203" s="182"/>
      <c r="H1203" s="181"/>
      <c r="I1203" s="182"/>
    </row>
    <row r="1204">
      <c r="A1204" s="181"/>
      <c r="B1204" s="181"/>
      <c r="C1204" s="181"/>
      <c r="D1204" s="181"/>
      <c r="E1204" s="181"/>
      <c r="F1204" s="181"/>
      <c r="G1204" s="182"/>
      <c r="H1204" s="181"/>
      <c r="I1204" s="182"/>
    </row>
    <row r="1205">
      <c r="A1205" s="181"/>
      <c r="B1205" s="181"/>
      <c r="C1205" s="181"/>
      <c r="D1205" s="181"/>
      <c r="E1205" s="181"/>
      <c r="F1205" s="181"/>
      <c r="G1205" s="182"/>
      <c r="H1205" s="181"/>
      <c r="I1205" s="182"/>
    </row>
    <row r="1206">
      <c r="A1206" s="181"/>
      <c r="B1206" s="181"/>
      <c r="C1206" s="181"/>
      <c r="D1206" s="181"/>
      <c r="E1206" s="181"/>
      <c r="F1206" s="181"/>
      <c r="G1206" s="182"/>
      <c r="H1206" s="181"/>
      <c r="I1206" s="182"/>
    </row>
    <row r="1207">
      <c r="A1207" s="181"/>
      <c r="B1207" s="181"/>
      <c r="C1207" s="181"/>
      <c r="D1207" s="181"/>
      <c r="E1207" s="181"/>
      <c r="F1207" s="181"/>
      <c r="G1207" s="182"/>
      <c r="H1207" s="181"/>
      <c r="I1207" s="182"/>
    </row>
    <row r="1208">
      <c r="A1208" s="181"/>
      <c r="B1208" s="181"/>
      <c r="C1208" s="181"/>
      <c r="D1208" s="181"/>
      <c r="E1208" s="181"/>
      <c r="F1208" s="181"/>
      <c r="G1208" s="182"/>
      <c r="H1208" s="181"/>
      <c r="I1208" s="182"/>
    </row>
    <row r="1209">
      <c r="A1209" s="181"/>
      <c r="B1209" s="181"/>
      <c r="C1209" s="181"/>
      <c r="D1209" s="181"/>
      <c r="E1209" s="181"/>
      <c r="F1209" s="181"/>
      <c r="G1209" s="182"/>
      <c r="H1209" s="181"/>
      <c r="I1209" s="182"/>
    </row>
    <row r="1210">
      <c r="A1210" s="181"/>
      <c r="B1210" s="181"/>
      <c r="C1210" s="181"/>
      <c r="D1210" s="181"/>
      <c r="E1210" s="181"/>
      <c r="F1210" s="181"/>
      <c r="G1210" s="182"/>
      <c r="H1210" s="181"/>
      <c r="I1210" s="182"/>
    </row>
    <row r="1211">
      <c r="A1211" s="181"/>
      <c r="B1211" s="181"/>
      <c r="C1211" s="181"/>
      <c r="D1211" s="181"/>
      <c r="E1211" s="181"/>
      <c r="F1211" s="181"/>
      <c r="G1211" s="182"/>
      <c r="H1211" s="181"/>
      <c r="I1211" s="182"/>
    </row>
    <row r="1212">
      <c r="A1212" s="181"/>
      <c r="B1212" s="181"/>
      <c r="C1212" s="181"/>
      <c r="D1212" s="181"/>
      <c r="E1212" s="181"/>
      <c r="F1212" s="181"/>
      <c r="G1212" s="182"/>
      <c r="H1212" s="181"/>
      <c r="I1212" s="182"/>
    </row>
    <row r="1213">
      <c r="A1213" s="181"/>
      <c r="B1213" s="181"/>
      <c r="C1213" s="181"/>
      <c r="D1213" s="181"/>
      <c r="E1213" s="181"/>
      <c r="F1213" s="181"/>
      <c r="G1213" s="182"/>
      <c r="H1213" s="181"/>
      <c r="I1213" s="182"/>
    </row>
    <row r="1214">
      <c r="A1214" s="181"/>
      <c r="B1214" s="181"/>
      <c r="C1214" s="181"/>
      <c r="D1214" s="181"/>
      <c r="E1214" s="181"/>
      <c r="F1214" s="181"/>
      <c r="G1214" s="182"/>
      <c r="H1214" s="181"/>
      <c r="I1214" s="182"/>
    </row>
    <row r="1215">
      <c r="A1215" s="181"/>
      <c r="B1215" s="181"/>
      <c r="C1215" s="181"/>
      <c r="D1215" s="181"/>
      <c r="E1215" s="181"/>
      <c r="F1215" s="181"/>
      <c r="G1215" s="182"/>
      <c r="H1215" s="181"/>
      <c r="I1215" s="182"/>
    </row>
    <row r="1216">
      <c r="A1216" s="181"/>
      <c r="B1216" s="181"/>
      <c r="C1216" s="181"/>
      <c r="D1216" s="181"/>
      <c r="E1216" s="181"/>
      <c r="F1216" s="181"/>
      <c r="G1216" s="182"/>
      <c r="H1216" s="181"/>
      <c r="I1216" s="182"/>
    </row>
    <row r="1217">
      <c r="A1217" s="181"/>
      <c r="B1217" s="181"/>
      <c r="C1217" s="181"/>
      <c r="D1217" s="181"/>
      <c r="E1217" s="181"/>
      <c r="F1217" s="181"/>
      <c r="G1217" s="182"/>
      <c r="H1217" s="181"/>
      <c r="I1217" s="182"/>
    </row>
    <row r="1218">
      <c r="A1218" s="181"/>
      <c r="B1218" s="181"/>
      <c r="C1218" s="181"/>
      <c r="D1218" s="181"/>
      <c r="E1218" s="181"/>
      <c r="F1218" s="181"/>
      <c r="G1218" s="182"/>
      <c r="H1218" s="181"/>
      <c r="I1218" s="182"/>
    </row>
    <row r="1219">
      <c r="A1219" s="181"/>
      <c r="B1219" s="181"/>
      <c r="C1219" s="181"/>
      <c r="D1219" s="181"/>
      <c r="E1219" s="181"/>
      <c r="F1219" s="181"/>
      <c r="G1219" s="182"/>
      <c r="H1219" s="181"/>
      <c r="I1219" s="182"/>
    </row>
    <row r="1220">
      <c r="A1220" s="181"/>
      <c r="B1220" s="181"/>
      <c r="C1220" s="181"/>
      <c r="D1220" s="181"/>
      <c r="E1220" s="181"/>
      <c r="F1220" s="181"/>
      <c r="G1220" s="182"/>
      <c r="H1220" s="181"/>
      <c r="I1220" s="182"/>
    </row>
    <row r="1221">
      <c r="A1221" s="181"/>
      <c r="B1221" s="181"/>
      <c r="C1221" s="181"/>
      <c r="D1221" s="181"/>
      <c r="E1221" s="181"/>
      <c r="F1221" s="181"/>
      <c r="G1221" s="182"/>
      <c r="H1221" s="181"/>
      <c r="I1221" s="182"/>
    </row>
    <row r="1222">
      <c r="A1222" s="181"/>
      <c r="B1222" s="181"/>
      <c r="C1222" s="181"/>
      <c r="D1222" s="181"/>
      <c r="E1222" s="181"/>
      <c r="F1222" s="181"/>
      <c r="G1222" s="182"/>
      <c r="H1222" s="181"/>
      <c r="I1222" s="182"/>
    </row>
    <row r="1223">
      <c r="A1223" s="181"/>
      <c r="B1223" s="181"/>
      <c r="C1223" s="181"/>
      <c r="D1223" s="181"/>
      <c r="E1223" s="181"/>
      <c r="F1223" s="181"/>
      <c r="G1223" s="182"/>
      <c r="H1223" s="181"/>
      <c r="I1223" s="182"/>
    </row>
    <row r="1224">
      <c r="A1224" s="181"/>
      <c r="B1224" s="181"/>
      <c r="C1224" s="181"/>
      <c r="D1224" s="181"/>
      <c r="E1224" s="181"/>
      <c r="F1224" s="181"/>
      <c r="G1224" s="182"/>
      <c r="H1224" s="181"/>
      <c r="I1224" s="182"/>
    </row>
    <row r="1225">
      <c r="A1225" s="181"/>
      <c r="B1225" s="181"/>
      <c r="C1225" s="181"/>
      <c r="D1225" s="181"/>
      <c r="E1225" s="181"/>
      <c r="F1225" s="181"/>
      <c r="G1225" s="182"/>
      <c r="H1225" s="181"/>
      <c r="I1225" s="182"/>
    </row>
    <row r="1226">
      <c r="A1226" s="181"/>
      <c r="B1226" s="181"/>
      <c r="C1226" s="181"/>
      <c r="D1226" s="181"/>
      <c r="E1226" s="181"/>
      <c r="F1226" s="181"/>
      <c r="G1226" s="182"/>
      <c r="H1226" s="181"/>
      <c r="I1226" s="182"/>
    </row>
    <row r="1227">
      <c r="A1227" s="181"/>
      <c r="B1227" s="181"/>
      <c r="C1227" s="181"/>
      <c r="D1227" s="181"/>
      <c r="E1227" s="181"/>
      <c r="F1227" s="181"/>
      <c r="G1227" s="182"/>
      <c r="H1227" s="181"/>
      <c r="I1227" s="182"/>
    </row>
    <row r="1228">
      <c r="A1228" s="181"/>
      <c r="B1228" s="181"/>
      <c r="C1228" s="181"/>
      <c r="D1228" s="181"/>
      <c r="E1228" s="181"/>
      <c r="F1228" s="181"/>
      <c r="G1228" s="182"/>
      <c r="H1228" s="181"/>
      <c r="I1228" s="182"/>
    </row>
    <row r="1229">
      <c r="A1229" s="181"/>
      <c r="B1229" s="181"/>
      <c r="C1229" s="181"/>
      <c r="D1229" s="181"/>
      <c r="E1229" s="181"/>
      <c r="F1229" s="181"/>
      <c r="G1229" s="182"/>
      <c r="H1229" s="181"/>
      <c r="I1229" s="182"/>
    </row>
    <row r="1230">
      <c r="A1230" s="181"/>
      <c r="B1230" s="181"/>
      <c r="C1230" s="181"/>
      <c r="D1230" s="181"/>
      <c r="E1230" s="181"/>
      <c r="F1230" s="181"/>
      <c r="G1230" s="182"/>
      <c r="H1230" s="181"/>
      <c r="I1230" s="182"/>
    </row>
    <row r="1231">
      <c r="A1231" s="181"/>
      <c r="B1231" s="181"/>
      <c r="C1231" s="181"/>
      <c r="D1231" s="181"/>
      <c r="E1231" s="181"/>
      <c r="F1231" s="181"/>
      <c r="G1231" s="182"/>
      <c r="H1231" s="181"/>
      <c r="I1231" s="182"/>
    </row>
    <row r="1232">
      <c r="A1232" s="181"/>
      <c r="B1232" s="181"/>
      <c r="C1232" s="181"/>
      <c r="D1232" s="181"/>
      <c r="E1232" s="181"/>
      <c r="F1232" s="181"/>
      <c r="G1232" s="182"/>
      <c r="H1232" s="181"/>
      <c r="I1232" s="182"/>
    </row>
    <row r="1233">
      <c r="A1233" s="181"/>
      <c r="B1233" s="181"/>
      <c r="C1233" s="181"/>
      <c r="D1233" s="181"/>
      <c r="E1233" s="181"/>
      <c r="F1233" s="181"/>
      <c r="G1233" s="182"/>
      <c r="H1233" s="181"/>
      <c r="I1233" s="182"/>
    </row>
    <row r="1234">
      <c r="A1234" s="181"/>
      <c r="B1234" s="181"/>
      <c r="C1234" s="181"/>
      <c r="D1234" s="181"/>
      <c r="E1234" s="181"/>
      <c r="F1234" s="181"/>
      <c r="G1234" s="182"/>
      <c r="H1234" s="181"/>
      <c r="I1234" s="182"/>
    </row>
    <row r="1235">
      <c r="A1235" s="181"/>
      <c r="B1235" s="181"/>
      <c r="C1235" s="181"/>
      <c r="D1235" s="181"/>
      <c r="E1235" s="181"/>
      <c r="F1235" s="181"/>
      <c r="G1235" s="182"/>
      <c r="H1235" s="181"/>
      <c r="I1235" s="182"/>
    </row>
    <row r="1236">
      <c r="A1236" s="181"/>
      <c r="B1236" s="181"/>
      <c r="C1236" s="181"/>
      <c r="D1236" s="181"/>
      <c r="E1236" s="181"/>
      <c r="F1236" s="181"/>
      <c r="G1236" s="182"/>
      <c r="H1236" s="181"/>
      <c r="I1236" s="182"/>
    </row>
    <row r="1237">
      <c r="A1237" s="181"/>
      <c r="B1237" s="181"/>
      <c r="C1237" s="181"/>
      <c r="D1237" s="181"/>
      <c r="E1237" s="181"/>
      <c r="F1237" s="181"/>
      <c r="G1237" s="182"/>
      <c r="H1237" s="181"/>
      <c r="I1237" s="182"/>
    </row>
    <row r="1238">
      <c r="A1238" s="181"/>
      <c r="B1238" s="181"/>
      <c r="C1238" s="181"/>
      <c r="D1238" s="181"/>
      <c r="E1238" s="181"/>
      <c r="F1238" s="181"/>
      <c r="G1238" s="182"/>
      <c r="H1238" s="181"/>
      <c r="I1238" s="182"/>
    </row>
    <row r="1239">
      <c r="A1239" s="181"/>
      <c r="B1239" s="181"/>
      <c r="C1239" s="181"/>
      <c r="D1239" s="181"/>
      <c r="E1239" s="181"/>
      <c r="F1239" s="181"/>
      <c r="G1239" s="182"/>
      <c r="H1239" s="181"/>
      <c r="I1239" s="182"/>
    </row>
    <row r="1240">
      <c r="A1240" s="181"/>
      <c r="B1240" s="181"/>
      <c r="C1240" s="181"/>
      <c r="D1240" s="181"/>
      <c r="E1240" s="181"/>
      <c r="F1240" s="181"/>
      <c r="G1240" s="182"/>
      <c r="H1240" s="181"/>
      <c r="I1240" s="182"/>
    </row>
    <row r="1241">
      <c r="A1241" s="181"/>
      <c r="B1241" s="181"/>
      <c r="C1241" s="181"/>
      <c r="D1241" s="181"/>
      <c r="E1241" s="181"/>
      <c r="F1241" s="181"/>
      <c r="G1241" s="182"/>
      <c r="H1241" s="181"/>
      <c r="I1241" s="182"/>
    </row>
    <row r="1242">
      <c r="A1242" s="181"/>
      <c r="B1242" s="181"/>
      <c r="C1242" s="181"/>
      <c r="D1242" s="181"/>
      <c r="E1242" s="181"/>
      <c r="F1242" s="181"/>
      <c r="G1242" s="182"/>
      <c r="H1242" s="181"/>
      <c r="I1242" s="182"/>
    </row>
    <row r="1243">
      <c r="A1243" s="181"/>
      <c r="B1243" s="181"/>
      <c r="C1243" s="181"/>
      <c r="D1243" s="181"/>
      <c r="E1243" s="181"/>
      <c r="F1243" s="181"/>
      <c r="G1243" s="182"/>
      <c r="H1243" s="181"/>
      <c r="I1243" s="182"/>
    </row>
    <row r="1244">
      <c r="A1244" s="181"/>
      <c r="B1244" s="181"/>
      <c r="C1244" s="181"/>
      <c r="D1244" s="181"/>
      <c r="E1244" s="181"/>
      <c r="F1244" s="181"/>
      <c r="G1244" s="182"/>
      <c r="H1244" s="181"/>
      <c r="I1244" s="182"/>
    </row>
    <row r="1245">
      <c r="A1245" s="181"/>
      <c r="B1245" s="181"/>
      <c r="C1245" s="181"/>
      <c r="D1245" s="181"/>
      <c r="E1245" s="181"/>
      <c r="F1245" s="181"/>
      <c r="G1245" s="182"/>
      <c r="H1245" s="181"/>
      <c r="I1245" s="182"/>
    </row>
    <row r="1246">
      <c r="A1246" s="181"/>
      <c r="B1246" s="181"/>
      <c r="C1246" s="181"/>
      <c r="D1246" s="181"/>
      <c r="E1246" s="181"/>
      <c r="F1246" s="181"/>
      <c r="G1246" s="182"/>
      <c r="H1246" s="181"/>
      <c r="I1246" s="182"/>
    </row>
    <row r="1247">
      <c r="A1247" s="181"/>
      <c r="B1247" s="181"/>
      <c r="C1247" s="181"/>
      <c r="D1247" s="181"/>
      <c r="E1247" s="181"/>
      <c r="F1247" s="181"/>
      <c r="G1247" s="182"/>
      <c r="H1247" s="181"/>
      <c r="I1247" s="182"/>
    </row>
    <row r="1248">
      <c r="A1248" s="181"/>
      <c r="B1248" s="181"/>
      <c r="C1248" s="181"/>
      <c r="D1248" s="181"/>
      <c r="E1248" s="181"/>
      <c r="F1248" s="181"/>
      <c r="G1248" s="182"/>
      <c r="H1248" s="181"/>
      <c r="I1248" s="182"/>
    </row>
    <row r="1249">
      <c r="A1249" s="181"/>
      <c r="B1249" s="181"/>
      <c r="C1249" s="181"/>
      <c r="D1249" s="181"/>
      <c r="E1249" s="181"/>
      <c r="F1249" s="181"/>
      <c r="G1249" s="182"/>
      <c r="H1249" s="181"/>
      <c r="I1249" s="182"/>
    </row>
    <row r="1250">
      <c r="A1250" s="181"/>
      <c r="B1250" s="181"/>
      <c r="C1250" s="181"/>
      <c r="D1250" s="181"/>
      <c r="E1250" s="181"/>
      <c r="F1250" s="181"/>
      <c r="G1250" s="182"/>
      <c r="H1250" s="181"/>
      <c r="I1250" s="182"/>
    </row>
    <row r="1251">
      <c r="A1251" s="181"/>
      <c r="B1251" s="181"/>
      <c r="C1251" s="181"/>
      <c r="D1251" s="181"/>
      <c r="E1251" s="181"/>
      <c r="F1251" s="181"/>
      <c r="G1251" s="182"/>
      <c r="H1251" s="181"/>
      <c r="I1251" s="182"/>
    </row>
    <row r="1252">
      <c r="A1252" s="181"/>
      <c r="B1252" s="181"/>
      <c r="C1252" s="181"/>
      <c r="D1252" s="181"/>
      <c r="E1252" s="181"/>
      <c r="F1252" s="181"/>
      <c r="G1252" s="182"/>
      <c r="H1252" s="181"/>
      <c r="I1252" s="182"/>
    </row>
    <row r="1253">
      <c r="A1253" s="181"/>
      <c r="B1253" s="181"/>
      <c r="C1253" s="181"/>
      <c r="D1253" s="181"/>
      <c r="E1253" s="181"/>
      <c r="F1253" s="181"/>
      <c r="G1253" s="182"/>
      <c r="H1253" s="181"/>
      <c r="I1253" s="182"/>
    </row>
    <row r="1254">
      <c r="A1254" s="181"/>
      <c r="B1254" s="181"/>
      <c r="C1254" s="181"/>
      <c r="D1254" s="181"/>
      <c r="E1254" s="181"/>
      <c r="F1254" s="181"/>
      <c r="G1254" s="182"/>
      <c r="H1254" s="181"/>
      <c r="I1254" s="182"/>
    </row>
    <row r="1255">
      <c r="A1255" s="181"/>
      <c r="B1255" s="181"/>
      <c r="C1255" s="181"/>
      <c r="D1255" s="181"/>
      <c r="E1255" s="181"/>
      <c r="F1255" s="181"/>
      <c r="G1255" s="182"/>
      <c r="H1255" s="181"/>
      <c r="I1255" s="182"/>
    </row>
    <row r="1256">
      <c r="A1256" s="181"/>
      <c r="B1256" s="181"/>
      <c r="C1256" s="181"/>
      <c r="D1256" s="181"/>
      <c r="E1256" s="181"/>
      <c r="F1256" s="181"/>
      <c r="G1256" s="182"/>
      <c r="H1256" s="181"/>
      <c r="I1256" s="182"/>
    </row>
    <row r="1257">
      <c r="A1257" s="181"/>
      <c r="B1257" s="181"/>
      <c r="C1257" s="181"/>
      <c r="D1257" s="181"/>
      <c r="E1257" s="181"/>
      <c r="F1257" s="181"/>
      <c r="G1257" s="182"/>
      <c r="H1257" s="181"/>
      <c r="I1257" s="182"/>
    </row>
    <row r="1258">
      <c r="A1258" s="181"/>
      <c r="B1258" s="181"/>
      <c r="C1258" s="181"/>
      <c r="D1258" s="181"/>
      <c r="E1258" s="181"/>
      <c r="F1258" s="181"/>
      <c r="G1258" s="182"/>
      <c r="H1258" s="181"/>
      <c r="I1258" s="182"/>
    </row>
    <row r="1259">
      <c r="A1259" s="181"/>
      <c r="B1259" s="181"/>
      <c r="C1259" s="181"/>
      <c r="D1259" s="181"/>
      <c r="E1259" s="181"/>
      <c r="F1259" s="181"/>
      <c r="G1259" s="182"/>
      <c r="H1259" s="181"/>
      <c r="I1259" s="182"/>
    </row>
    <row r="1260">
      <c r="A1260" s="181"/>
      <c r="B1260" s="181"/>
      <c r="C1260" s="181"/>
      <c r="D1260" s="181"/>
      <c r="E1260" s="181"/>
      <c r="F1260" s="181"/>
      <c r="G1260" s="182"/>
      <c r="H1260" s="181"/>
      <c r="I1260" s="182"/>
    </row>
    <row r="1261">
      <c r="A1261" s="181"/>
      <c r="B1261" s="181"/>
      <c r="C1261" s="181"/>
      <c r="D1261" s="181"/>
      <c r="E1261" s="181"/>
      <c r="F1261" s="181"/>
      <c r="G1261" s="182"/>
      <c r="H1261" s="181"/>
      <c r="I1261" s="182"/>
    </row>
    <row r="1262">
      <c r="A1262" s="181"/>
      <c r="B1262" s="181"/>
      <c r="C1262" s="181"/>
      <c r="D1262" s="181"/>
      <c r="E1262" s="181"/>
      <c r="F1262" s="181"/>
      <c r="G1262" s="182"/>
      <c r="H1262" s="181"/>
      <c r="I1262" s="182"/>
    </row>
    <row r="1263">
      <c r="A1263" s="181"/>
      <c r="B1263" s="181"/>
      <c r="C1263" s="181"/>
      <c r="D1263" s="181"/>
      <c r="E1263" s="181"/>
      <c r="F1263" s="181"/>
      <c r="G1263" s="182"/>
      <c r="H1263" s="181"/>
      <c r="I1263" s="182"/>
    </row>
    <row r="1264">
      <c r="A1264" s="181"/>
      <c r="B1264" s="181"/>
      <c r="C1264" s="181"/>
      <c r="D1264" s="181"/>
      <c r="E1264" s="181"/>
      <c r="F1264" s="181"/>
      <c r="G1264" s="182"/>
      <c r="H1264" s="181"/>
      <c r="I1264" s="182"/>
    </row>
    <row r="1265">
      <c r="A1265" s="181"/>
      <c r="B1265" s="181"/>
      <c r="C1265" s="181"/>
      <c r="D1265" s="181"/>
      <c r="E1265" s="181"/>
      <c r="F1265" s="181"/>
      <c r="G1265" s="182"/>
      <c r="H1265" s="181"/>
      <c r="I1265" s="182"/>
    </row>
    <row r="1266">
      <c r="A1266" s="181"/>
      <c r="B1266" s="181"/>
      <c r="C1266" s="181"/>
      <c r="D1266" s="181"/>
      <c r="E1266" s="181"/>
      <c r="F1266" s="181"/>
      <c r="G1266" s="182"/>
      <c r="H1266" s="181"/>
      <c r="I1266" s="182"/>
    </row>
    <row r="1267">
      <c r="A1267" s="181"/>
      <c r="B1267" s="181"/>
      <c r="C1267" s="181"/>
      <c r="D1267" s="181"/>
      <c r="E1267" s="181"/>
      <c r="F1267" s="181"/>
      <c r="G1267" s="182"/>
      <c r="H1267" s="181"/>
      <c r="I1267" s="182"/>
    </row>
    <row r="1268">
      <c r="A1268" s="181"/>
      <c r="B1268" s="181"/>
      <c r="C1268" s="181"/>
      <c r="D1268" s="181"/>
      <c r="E1268" s="181"/>
      <c r="F1268" s="181"/>
      <c r="G1268" s="182"/>
      <c r="H1268" s="181"/>
      <c r="I1268" s="182"/>
    </row>
    <row r="1269">
      <c r="A1269" s="181"/>
      <c r="B1269" s="181"/>
      <c r="C1269" s="181"/>
      <c r="D1269" s="181"/>
      <c r="E1269" s="181"/>
      <c r="F1269" s="181"/>
      <c r="G1269" s="182"/>
      <c r="H1269" s="181"/>
      <c r="I1269" s="182"/>
    </row>
    <row r="1270">
      <c r="A1270" s="181"/>
      <c r="B1270" s="181"/>
      <c r="C1270" s="181"/>
      <c r="D1270" s="181"/>
      <c r="E1270" s="181"/>
      <c r="F1270" s="181"/>
      <c r="G1270" s="182"/>
      <c r="H1270" s="181"/>
      <c r="I1270" s="182"/>
    </row>
    <row r="1271">
      <c r="A1271" s="181"/>
      <c r="B1271" s="181"/>
      <c r="C1271" s="181"/>
      <c r="D1271" s="181"/>
      <c r="E1271" s="181"/>
      <c r="F1271" s="181"/>
      <c r="G1271" s="182"/>
      <c r="H1271" s="181"/>
      <c r="I1271" s="182"/>
    </row>
    <row r="1272">
      <c r="A1272" s="181"/>
      <c r="B1272" s="181"/>
      <c r="C1272" s="181"/>
      <c r="D1272" s="181"/>
      <c r="E1272" s="181"/>
      <c r="F1272" s="181"/>
      <c r="G1272" s="182"/>
      <c r="H1272" s="181"/>
      <c r="I1272" s="182"/>
    </row>
    <row r="1273">
      <c r="A1273" s="181"/>
      <c r="B1273" s="181"/>
      <c r="C1273" s="181"/>
      <c r="D1273" s="181"/>
      <c r="E1273" s="181"/>
      <c r="F1273" s="181"/>
      <c r="G1273" s="182"/>
      <c r="H1273" s="181"/>
      <c r="I1273" s="182"/>
    </row>
    <row r="1274">
      <c r="A1274" s="181"/>
      <c r="B1274" s="181"/>
      <c r="C1274" s="181"/>
      <c r="D1274" s="181"/>
      <c r="E1274" s="181"/>
      <c r="F1274" s="181"/>
      <c r="G1274" s="182"/>
      <c r="H1274" s="181"/>
      <c r="I1274" s="182"/>
    </row>
    <row r="1275">
      <c r="A1275" s="181"/>
      <c r="B1275" s="181"/>
      <c r="C1275" s="181"/>
      <c r="D1275" s="181"/>
      <c r="E1275" s="181"/>
      <c r="F1275" s="181"/>
      <c r="G1275" s="182"/>
      <c r="H1275" s="181"/>
      <c r="I1275" s="182"/>
    </row>
    <row r="1276">
      <c r="A1276" s="181"/>
      <c r="B1276" s="181"/>
      <c r="C1276" s="181"/>
      <c r="D1276" s="181"/>
      <c r="E1276" s="181"/>
      <c r="F1276" s="181"/>
      <c r="G1276" s="182"/>
      <c r="H1276" s="181"/>
      <c r="I1276" s="182"/>
    </row>
    <row r="1277">
      <c r="A1277" s="181"/>
      <c r="B1277" s="181"/>
      <c r="C1277" s="181"/>
      <c r="D1277" s="181"/>
      <c r="E1277" s="181"/>
      <c r="F1277" s="181"/>
      <c r="G1277" s="182"/>
      <c r="H1277" s="181"/>
      <c r="I1277" s="182"/>
    </row>
    <row r="1278">
      <c r="A1278" s="181"/>
      <c r="B1278" s="181"/>
      <c r="C1278" s="181"/>
      <c r="D1278" s="181"/>
      <c r="E1278" s="181"/>
      <c r="F1278" s="181"/>
      <c r="G1278" s="182"/>
      <c r="H1278" s="181"/>
      <c r="I1278" s="182"/>
    </row>
    <row r="1279">
      <c r="A1279" s="181"/>
      <c r="B1279" s="181"/>
      <c r="C1279" s="181"/>
      <c r="D1279" s="181"/>
      <c r="E1279" s="181"/>
      <c r="F1279" s="181"/>
      <c r="G1279" s="182"/>
      <c r="H1279" s="181"/>
      <c r="I1279" s="182"/>
    </row>
    <row r="1280">
      <c r="A1280" s="181"/>
      <c r="B1280" s="181"/>
      <c r="C1280" s="181"/>
      <c r="D1280" s="181"/>
      <c r="E1280" s="181"/>
      <c r="F1280" s="181"/>
      <c r="G1280" s="182"/>
      <c r="H1280" s="181"/>
      <c r="I1280" s="182"/>
    </row>
    <row r="1281">
      <c r="A1281" s="181"/>
      <c r="B1281" s="181"/>
      <c r="C1281" s="181"/>
      <c r="D1281" s="181"/>
      <c r="E1281" s="181"/>
      <c r="F1281" s="181"/>
      <c r="G1281" s="182"/>
      <c r="H1281" s="181"/>
      <c r="I1281" s="182"/>
    </row>
    <row r="1282">
      <c r="A1282" s="181"/>
      <c r="B1282" s="181"/>
      <c r="C1282" s="181"/>
      <c r="D1282" s="181"/>
      <c r="E1282" s="181"/>
      <c r="F1282" s="181"/>
      <c r="G1282" s="182"/>
      <c r="H1282" s="181"/>
      <c r="I1282" s="182"/>
    </row>
    <row r="1283">
      <c r="A1283" s="181"/>
      <c r="B1283" s="181"/>
      <c r="C1283" s="181"/>
      <c r="D1283" s="181"/>
      <c r="E1283" s="181"/>
      <c r="F1283" s="181"/>
      <c r="G1283" s="182"/>
      <c r="H1283" s="181"/>
      <c r="I1283" s="182"/>
    </row>
    <row r="1284">
      <c r="A1284" s="181"/>
      <c r="B1284" s="181"/>
      <c r="C1284" s="181"/>
      <c r="D1284" s="181"/>
      <c r="E1284" s="181"/>
      <c r="F1284" s="181"/>
      <c r="G1284" s="182"/>
      <c r="H1284" s="181"/>
      <c r="I1284" s="182"/>
    </row>
    <row r="1285">
      <c r="A1285" s="181"/>
      <c r="B1285" s="181"/>
      <c r="C1285" s="181"/>
      <c r="D1285" s="181"/>
      <c r="E1285" s="181"/>
      <c r="F1285" s="181"/>
      <c r="G1285" s="182"/>
      <c r="H1285" s="181"/>
      <c r="I1285" s="182"/>
    </row>
    <row r="1286">
      <c r="A1286" s="181"/>
      <c r="B1286" s="181"/>
      <c r="C1286" s="181"/>
      <c r="D1286" s="181"/>
      <c r="E1286" s="181"/>
      <c r="F1286" s="181"/>
      <c r="G1286" s="182"/>
      <c r="H1286" s="181"/>
      <c r="I1286" s="182"/>
    </row>
    <row r="1287">
      <c r="A1287" s="181"/>
      <c r="B1287" s="181"/>
      <c r="C1287" s="181"/>
      <c r="D1287" s="181"/>
      <c r="E1287" s="181"/>
      <c r="F1287" s="181"/>
      <c r="G1287" s="182"/>
      <c r="H1287" s="181"/>
      <c r="I1287" s="182"/>
    </row>
    <row r="1288">
      <c r="A1288" s="181"/>
      <c r="B1288" s="181"/>
      <c r="C1288" s="181"/>
      <c r="D1288" s="181"/>
      <c r="E1288" s="181"/>
      <c r="F1288" s="181"/>
      <c r="G1288" s="182"/>
      <c r="H1288" s="181"/>
      <c r="I1288" s="182"/>
    </row>
    <row r="1289">
      <c r="A1289" s="181"/>
      <c r="B1289" s="181"/>
      <c r="C1289" s="181"/>
      <c r="D1289" s="181"/>
      <c r="E1289" s="181"/>
      <c r="F1289" s="181"/>
      <c r="G1289" s="182"/>
      <c r="H1289" s="181"/>
      <c r="I1289" s="182"/>
    </row>
    <row r="1290">
      <c r="A1290" s="181"/>
      <c r="B1290" s="181"/>
      <c r="C1290" s="181"/>
      <c r="D1290" s="181"/>
      <c r="E1290" s="181"/>
      <c r="F1290" s="181"/>
      <c r="G1290" s="182"/>
      <c r="H1290" s="181"/>
      <c r="I1290" s="182"/>
    </row>
    <row r="1291">
      <c r="A1291" s="181"/>
      <c r="B1291" s="181"/>
      <c r="C1291" s="181"/>
      <c r="D1291" s="181"/>
      <c r="E1291" s="181"/>
      <c r="F1291" s="181"/>
      <c r="G1291" s="182"/>
      <c r="H1291" s="181"/>
      <c r="I1291" s="182"/>
    </row>
    <row r="1292">
      <c r="A1292" s="181"/>
      <c r="B1292" s="181"/>
      <c r="C1292" s="181"/>
      <c r="D1292" s="181"/>
      <c r="E1292" s="181"/>
      <c r="F1292" s="181"/>
      <c r="G1292" s="182"/>
      <c r="H1292" s="181"/>
      <c r="I1292" s="182"/>
    </row>
    <row r="1293">
      <c r="A1293" s="181"/>
      <c r="B1293" s="181"/>
      <c r="C1293" s="181"/>
      <c r="D1293" s="181"/>
      <c r="E1293" s="181"/>
      <c r="F1293" s="181"/>
      <c r="G1293" s="182"/>
      <c r="H1293" s="181"/>
      <c r="I1293" s="182"/>
    </row>
    <row r="1294">
      <c r="A1294" s="181"/>
      <c r="B1294" s="181"/>
      <c r="C1294" s="181"/>
      <c r="D1294" s="181"/>
      <c r="E1294" s="181"/>
      <c r="F1294" s="181"/>
      <c r="G1294" s="182"/>
      <c r="H1294" s="181"/>
      <c r="I1294" s="182"/>
    </row>
    <row r="1295">
      <c r="A1295" s="181"/>
      <c r="B1295" s="181"/>
      <c r="C1295" s="181"/>
      <c r="D1295" s="181"/>
      <c r="E1295" s="181"/>
      <c r="F1295" s="181"/>
      <c r="G1295" s="182"/>
      <c r="H1295" s="181"/>
      <c r="I1295" s="182"/>
    </row>
    <row r="1296">
      <c r="A1296" s="181"/>
      <c r="B1296" s="181"/>
      <c r="C1296" s="181"/>
      <c r="D1296" s="181"/>
      <c r="E1296" s="181"/>
      <c r="F1296" s="181"/>
      <c r="G1296" s="182"/>
      <c r="H1296" s="181"/>
      <c r="I1296" s="182"/>
    </row>
    <row r="1297">
      <c r="A1297" s="181"/>
      <c r="B1297" s="181"/>
      <c r="C1297" s="181"/>
      <c r="D1297" s="181"/>
      <c r="E1297" s="181"/>
      <c r="F1297" s="181"/>
      <c r="G1297" s="182"/>
      <c r="H1297" s="181"/>
      <c r="I1297" s="182"/>
    </row>
    <row r="1298">
      <c r="A1298" s="181"/>
      <c r="B1298" s="181"/>
      <c r="C1298" s="181"/>
      <c r="D1298" s="181"/>
      <c r="E1298" s="181"/>
      <c r="F1298" s="181"/>
      <c r="G1298" s="182"/>
      <c r="H1298" s="181"/>
      <c r="I1298" s="182"/>
    </row>
    <row r="1299">
      <c r="A1299" s="181"/>
      <c r="B1299" s="181"/>
      <c r="C1299" s="181"/>
      <c r="D1299" s="181"/>
      <c r="E1299" s="181"/>
      <c r="F1299" s="181"/>
      <c r="G1299" s="182"/>
      <c r="H1299" s="181"/>
      <c r="I1299" s="182"/>
    </row>
    <row r="1300">
      <c r="A1300" s="181"/>
      <c r="B1300" s="181"/>
      <c r="C1300" s="181"/>
      <c r="D1300" s="181"/>
      <c r="E1300" s="181"/>
      <c r="F1300" s="181"/>
      <c r="G1300" s="182"/>
      <c r="H1300" s="181"/>
      <c r="I1300" s="182"/>
    </row>
    <row r="1301">
      <c r="A1301" s="181"/>
      <c r="B1301" s="181"/>
      <c r="C1301" s="181"/>
      <c r="D1301" s="181"/>
      <c r="E1301" s="181"/>
      <c r="F1301" s="181"/>
      <c r="G1301" s="182"/>
      <c r="H1301" s="181"/>
      <c r="I1301" s="182"/>
    </row>
    <row r="1302">
      <c r="A1302" s="181"/>
      <c r="B1302" s="181"/>
      <c r="C1302" s="181"/>
      <c r="D1302" s="181"/>
      <c r="E1302" s="181"/>
      <c r="F1302" s="181"/>
      <c r="G1302" s="182"/>
      <c r="H1302" s="181"/>
      <c r="I1302" s="182"/>
    </row>
    <row r="1303">
      <c r="A1303" s="181"/>
      <c r="B1303" s="181"/>
      <c r="C1303" s="181"/>
      <c r="D1303" s="181"/>
      <c r="E1303" s="181"/>
      <c r="F1303" s="181"/>
      <c r="G1303" s="182"/>
      <c r="H1303" s="181"/>
      <c r="I1303" s="182"/>
    </row>
    <row r="1304">
      <c r="A1304" s="181"/>
      <c r="B1304" s="181"/>
      <c r="C1304" s="181"/>
      <c r="D1304" s="181"/>
      <c r="E1304" s="181"/>
      <c r="F1304" s="181"/>
      <c r="G1304" s="182"/>
      <c r="H1304" s="181"/>
      <c r="I1304" s="182"/>
    </row>
    <row r="1305">
      <c r="A1305" s="181"/>
      <c r="B1305" s="181"/>
      <c r="C1305" s="181"/>
      <c r="D1305" s="181"/>
      <c r="E1305" s="181"/>
      <c r="F1305" s="181"/>
      <c r="G1305" s="182"/>
      <c r="H1305" s="181"/>
      <c r="I1305" s="182"/>
    </row>
    <row r="1306">
      <c r="A1306" s="181"/>
      <c r="B1306" s="181"/>
      <c r="C1306" s="181"/>
      <c r="D1306" s="181"/>
      <c r="E1306" s="181"/>
      <c r="F1306" s="181"/>
      <c r="G1306" s="182"/>
      <c r="H1306" s="181"/>
      <c r="I1306" s="182"/>
    </row>
    <row r="1307">
      <c r="A1307" s="181"/>
      <c r="B1307" s="181"/>
      <c r="C1307" s="181"/>
      <c r="D1307" s="181"/>
      <c r="E1307" s="181"/>
      <c r="F1307" s="181"/>
      <c r="G1307" s="182"/>
      <c r="H1307" s="181"/>
      <c r="I1307" s="182"/>
    </row>
    <row r="1308">
      <c r="A1308" s="181"/>
      <c r="B1308" s="181"/>
      <c r="C1308" s="181"/>
      <c r="D1308" s="181"/>
      <c r="E1308" s="181"/>
      <c r="F1308" s="181"/>
      <c r="G1308" s="182"/>
      <c r="H1308" s="181"/>
      <c r="I1308" s="182"/>
    </row>
    <row r="1309">
      <c r="A1309" s="181"/>
      <c r="B1309" s="181"/>
      <c r="C1309" s="181"/>
      <c r="D1309" s="181"/>
      <c r="E1309" s="181"/>
      <c r="F1309" s="181"/>
      <c r="G1309" s="182"/>
      <c r="H1309" s="181"/>
      <c r="I1309" s="182"/>
    </row>
    <row r="1310">
      <c r="A1310" s="181"/>
      <c r="B1310" s="181"/>
      <c r="C1310" s="181"/>
      <c r="D1310" s="181"/>
      <c r="E1310" s="181"/>
      <c r="F1310" s="181"/>
      <c r="G1310" s="182"/>
      <c r="H1310" s="181"/>
      <c r="I1310" s="182"/>
    </row>
    <row r="1311">
      <c r="A1311" s="181"/>
      <c r="B1311" s="181"/>
      <c r="C1311" s="181"/>
      <c r="D1311" s="181"/>
      <c r="E1311" s="181"/>
      <c r="F1311" s="181"/>
      <c r="G1311" s="182"/>
      <c r="H1311" s="181"/>
      <c r="I1311" s="182"/>
    </row>
    <row r="1312">
      <c r="A1312" s="181"/>
      <c r="B1312" s="181"/>
      <c r="C1312" s="181"/>
      <c r="D1312" s="181"/>
      <c r="E1312" s="181"/>
      <c r="F1312" s="181"/>
      <c r="G1312" s="182"/>
      <c r="H1312" s="181"/>
      <c r="I1312" s="182"/>
    </row>
    <row r="1313">
      <c r="A1313" s="181"/>
      <c r="B1313" s="181"/>
      <c r="C1313" s="181"/>
      <c r="D1313" s="181"/>
      <c r="E1313" s="181"/>
      <c r="F1313" s="181"/>
      <c r="G1313" s="182"/>
      <c r="H1313" s="181"/>
      <c r="I1313" s="182"/>
    </row>
    <row r="1314">
      <c r="A1314" s="181"/>
      <c r="B1314" s="181"/>
      <c r="C1314" s="181"/>
      <c r="D1314" s="181"/>
      <c r="E1314" s="181"/>
      <c r="F1314" s="181"/>
      <c r="G1314" s="182"/>
      <c r="H1314" s="181"/>
      <c r="I1314" s="182"/>
    </row>
    <row r="1315">
      <c r="A1315" s="181"/>
      <c r="B1315" s="181"/>
      <c r="C1315" s="181"/>
      <c r="D1315" s="181"/>
      <c r="E1315" s="181"/>
      <c r="F1315" s="181"/>
      <c r="G1315" s="182"/>
      <c r="H1315" s="181"/>
      <c r="I1315" s="182"/>
    </row>
    <row r="1316">
      <c r="A1316" s="181"/>
      <c r="B1316" s="181"/>
      <c r="C1316" s="181"/>
      <c r="D1316" s="181"/>
      <c r="E1316" s="181"/>
      <c r="F1316" s="181"/>
      <c r="G1316" s="182"/>
      <c r="H1316" s="181"/>
      <c r="I1316" s="182"/>
    </row>
    <row r="1317">
      <c r="A1317" s="181"/>
      <c r="B1317" s="181"/>
      <c r="C1317" s="181"/>
      <c r="D1317" s="181"/>
      <c r="E1317" s="181"/>
      <c r="F1317" s="181"/>
      <c r="G1317" s="182"/>
      <c r="H1317" s="181"/>
      <c r="I1317" s="182"/>
    </row>
    <row r="1318">
      <c r="A1318" s="181"/>
      <c r="B1318" s="181"/>
      <c r="C1318" s="181"/>
      <c r="D1318" s="181"/>
      <c r="E1318" s="181"/>
      <c r="F1318" s="181"/>
      <c r="G1318" s="182"/>
      <c r="H1318" s="181"/>
      <c r="I1318" s="182"/>
    </row>
    <row r="1319">
      <c r="A1319" s="181"/>
      <c r="B1319" s="181"/>
      <c r="C1319" s="181"/>
      <c r="D1319" s="181"/>
      <c r="E1319" s="181"/>
      <c r="F1319" s="181"/>
      <c r="G1319" s="182"/>
      <c r="H1319" s="181"/>
      <c r="I1319" s="182"/>
    </row>
    <row r="1320">
      <c r="A1320" s="181"/>
      <c r="B1320" s="181"/>
      <c r="C1320" s="181"/>
      <c r="D1320" s="181"/>
      <c r="E1320" s="181"/>
      <c r="F1320" s="181"/>
      <c r="G1320" s="182"/>
      <c r="H1320" s="181"/>
      <c r="I1320" s="182"/>
    </row>
    <row r="1321">
      <c r="A1321" s="181"/>
      <c r="B1321" s="181"/>
      <c r="C1321" s="181"/>
      <c r="D1321" s="181"/>
      <c r="E1321" s="181"/>
      <c r="F1321" s="181"/>
      <c r="G1321" s="182"/>
      <c r="H1321" s="181"/>
      <c r="I1321" s="182"/>
    </row>
    <row r="1322">
      <c r="A1322" s="181"/>
      <c r="B1322" s="181"/>
      <c r="C1322" s="181"/>
      <c r="D1322" s="181"/>
      <c r="E1322" s="181"/>
      <c r="F1322" s="181"/>
      <c r="G1322" s="182"/>
      <c r="H1322" s="181"/>
      <c r="I1322" s="182"/>
    </row>
    <row r="1323">
      <c r="A1323" s="181"/>
      <c r="B1323" s="181"/>
      <c r="C1323" s="181"/>
      <c r="D1323" s="181"/>
      <c r="E1323" s="181"/>
      <c r="F1323" s="181"/>
      <c r="G1323" s="182"/>
      <c r="H1323" s="181"/>
      <c r="I1323" s="182"/>
    </row>
    <row r="1324">
      <c r="A1324" s="181"/>
      <c r="B1324" s="181"/>
      <c r="C1324" s="181"/>
      <c r="D1324" s="181"/>
      <c r="E1324" s="181"/>
      <c r="F1324" s="181"/>
      <c r="G1324" s="182"/>
      <c r="H1324" s="181"/>
      <c r="I1324" s="182"/>
    </row>
    <row r="1325">
      <c r="A1325" s="181"/>
      <c r="B1325" s="181"/>
      <c r="C1325" s="181"/>
      <c r="D1325" s="181"/>
      <c r="E1325" s="181"/>
      <c r="F1325" s="181"/>
      <c r="G1325" s="182"/>
      <c r="H1325" s="181"/>
      <c r="I1325" s="182"/>
    </row>
    <row r="1326">
      <c r="A1326" s="181"/>
      <c r="B1326" s="181"/>
      <c r="C1326" s="181"/>
      <c r="D1326" s="181"/>
      <c r="E1326" s="181"/>
      <c r="F1326" s="181"/>
      <c r="G1326" s="182"/>
      <c r="H1326" s="181"/>
      <c r="I1326" s="182"/>
    </row>
    <row r="1327">
      <c r="A1327" s="181"/>
      <c r="B1327" s="181"/>
      <c r="C1327" s="181"/>
      <c r="D1327" s="181"/>
      <c r="E1327" s="181"/>
      <c r="F1327" s="181"/>
      <c r="G1327" s="182"/>
      <c r="H1327" s="181"/>
      <c r="I1327" s="182"/>
    </row>
    <row r="1328">
      <c r="A1328" s="181"/>
      <c r="B1328" s="181"/>
      <c r="C1328" s="181"/>
      <c r="D1328" s="181"/>
      <c r="E1328" s="181"/>
      <c r="F1328" s="181"/>
      <c r="G1328" s="182"/>
      <c r="H1328" s="181"/>
      <c r="I1328" s="182"/>
    </row>
    <row r="1329">
      <c r="A1329" s="181"/>
      <c r="B1329" s="181"/>
      <c r="C1329" s="181"/>
      <c r="D1329" s="181"/>
      <c r="E1329" s="181"/>
      <c r="F1329" s="181"/>
      <c r="G1329" s="182"/>
      <c r="H1329" s="181"/>
      <c r="I1329" s="182"/>
    </row>
    <row r="1330">
      <c r="A1330" s="181"/>
      <c r="B1330" s="181"/>
      <c r="C1330" s="181"/>
      <c r="D1330" s="181"/>
      <c r="E1330" s="181"/>
      <c r="F1330" s="181"/>
      <c r="G1330" s="182"/>
      <c r="H1330" s="181"/>
      <c r="I1330" s="182"/>
    </row>
    <row r="1331">
      <c r="A1331" s="181"/>
      <c r="B1331" s="181"/>
      <c r="C1331" s="181"/>
      <c r="D1331" s="181"/>
      <c r="E1331" s="181"/>
      <c r="F1331" s="181"/>
      <c r="G1331" s="182"/>
      <c r="H1331" s="181"/>
      <c r="I1331" s="182"/>
    </row>
    <row r="1332">
      <c r="A1332" s="181"/>
      <c r="B1332" s="181"/>
      <c r="C1332" s="181"/>
      <c r="D1332" s="181"/>
      <c r="E1332" s="181"/>
      <c r="F1332" s="181"/>
      <c r="G1332" s="182"/>
      <c r="H1332" s="181"/>
      <c r="I1332" s="182"/>
    </row>
    <row r="1333">
      <c r="A1333" s="181"/>
      <c r="B1333" s="181"/>
      <c r="C1333" s="181"/>
      <c r="D1333" s="181"/>
      <c r="E1333" s="181"/>
      <c r="F1333" s="181"/>
      <c r="G1333" s="182"/>
      <c r="H1333" s="181"/>
      <c r="I1333" s="182"/>
    </row>
    <row r="1334">
      <c r="A1334" s="181"/>
      <c r="B1334" s="181"/>
      <c r="C1334" s="181"/>
      <c r="D1334" s="181"/>
      <c r="E1334" s="181"/>
      <c r="F1334" s="181"/>
      <c r="G1334" s="182"/>
      <c r="H1334" s="181"/>
      <c r="I1334" s="182"/>
    </row>
    <row r="1335">
      <c r="A1335" s="181"/>
      <c r="B1335" s="181"/>
      <c r="C1335" s="181"/>
      <c r="D1335" s="181"/>
      <c r="E1335" s="181"/>
      <c r="F1335" s="181"/>
      <c r="G1335" s="182"/>
      <c r="H1335" s="181"/>
      <c r="I1335" s="182"/>
    </row>
    <row r="1336">
      <c r="A1336" s="181"/>
      <c r="B1336" s="181"/>
      <c r="C1336" s="181"/>
      <c r="D1336" s="181"/>
      <c r="E1336" s="181"/>
      <c r="F1336" s="181"/>
      <c r="G1336" s="182"/>
      <c r="H1336" s="181"/>
      <c r="I1336" s="182"/>
    </row>
    <row r="1337">
      <c r="A1337" s="181"/>
      <c r="B1337" s="181"/>
      <c r="C1337" s="181"/>
      <c r="D1337" s="181"/>
      <c r="E1337" s="181"/>
      <c r="F1337" s="181"/>
      <c r="G1337" s="182"/>
      <c r="H1337" s="181"/>
      <c r="I1337" s="182"/>
    </row>
    <row r="1338">
      <c r="A1338" s="181"/>
      <c r="B1338" s="181"/>
      <c r="C1338" s="181"/>
      <c r="D1338" s="181"/>
      <c r="E1338" s="181"/>
      <c r="F1338" s="181"/>
      <c r="G1338" s="182"/>
      <c r="H1338" s="181"/>
      <c r="I1338" s="182"/>
    </row>
    <row r="1339">
      <c r="A1339" s="181"/>
      <c r="B1339" s="181"/>
      <c r="C1339" s="181"/>
      <c r="D1339" s="181"/>
      <c r="E1339" s="181"/>
      <c r="F1339" s="181"/>
      <c r="G1339" s="182"/>
      <c r="H1339" s="181"/>
      <c r="I1339" s="182"/>
    </row>
    <row r="1340">
      <c r="A1340" s="181"/>
      <c r="B1340" s="181"/>
      <c r="C1340" s="181"/>
      <c r="D1340" s="181"/>
      <c r="E1340" s="181"/>
      <c r="F1340" s="181"/>
      <c r="G1340" s="182"/>
      <c r="H1340" s="181"/>
      <c r="I1340" s="182"/>
    </row>
    <row r="1341">
      <c r="A1341" s="181"/>
      <c r="B1341" s="181"/>
      <c r="C1341" s="181"/>
      <c r="D1341" s="181"/>
      <c r="E1341" s="181"/>
      <c r="F1341" s="181"/>
      <c r="G1341" s="182"/>
      <c r="H1341" s="181"/>
      <c r="I1341" s="182"/>
    </row>
    <row r="1342">
      <c r="A1342" s="181"/>
      <c r="B1342" s="181"/>
      <c r="C1342" s="181"/>
      <c r="D1342" s="181"/>
      <c r="E1342" s="181"/>
      <c r="F1342" s="181"/>
      <c r="G1342" s="182"/>
      <c r="H1342" s="181"/>
      <c r="I1342" s="182"/>
    </row>
    <row r="1343">
      <c r="A1343" s="181"/>
      <c r="B1343" s="181"/>
      <c r="C1343" s="181"/>
      <c r="D1343" s="181"/>
      <c r="E1343" s="181"/>
      <c r="F1343" s="181"/>
      <c r="G1343" s="182"/>
      <c r="H1343" s="181"/>
      <c r="I1343" s="182"/>
    </row>
    <row r="1344">
      <c r="A1344" s="181"/>
      <c r="B1344" s="181"/>
      <c r="C1344" s="181"/>
      <c r="D1344" s="181"/>
      <c r="E1344" s="181"/>
      <c r="F1344" s="181"/>
      <c r="G1344" s="182"/>
      <c r="H1344" s="181"/>
      <c r="I1344" s="182"/>
    </row>
    <row r="1345">
      <c r="A1345" s="181"/>
      <c r="B1345" s="181"/>
      <c r="C1345" s="181"/>
      <c r="D1345" s="181"/>
      <c r="E1345" s="181"/>
      <c r="F1345" s="181"/>
      <c r="G1345" s="182"/>
      <c r="H1345" s="181"/>
      <c r="I1345" s="182"/>
    </row>
    <row r="1346">
      <c r="A1346" s="181"/>
      <c r="B1346" s="181"/>
      <c r="C1346" s="181"/>
      <c r="D1346" s="181"/>
      <c r="E1346" s="181"/>
      <c r="F1346" s="181"/>
      <c r="G1346" s="182"/>
      <c r="H1346" s="181"/>
      <c r="I1346" s="182"/>
    </row>
    <row r="1347">
      <c r="A1347" s="181"/>
      <c r="B1347" s="181"/>
      <c r="C1347" s="181"/>
      <c r="D1347" s="181"/>
      <c r="E1347" s="181"/>
      <c r="F1347" s="181"/>
      <c r="G1347" s="182"/>
      <c r="H1347" s="181"/>
      <c r="I1347" s="182"/>
    </row>
    <row r="1348">
      <c r="A1348" s="181"/>
      <c r="B1348" s="181"/>
      <c r="C1348" s="181"/>
      <c r="D1348" s="181"/>
      <c r="E1348" s="181"/>
      <c r="F1348" s="181"/>
      <c r="G1348" s="182"/>
      <c r="H1348" s="181"/>
      <c r="I1348" s="182"/>
    </row>
    <row r="1349">
      <c r="A1349" s="181"/>
      <c r="B1349" s="181"/>
      <c r="C1349" s="181"/>
      <c r="D1349" s="181"/>
      <c r="E1349" s="181"/>
      <c r="F1349" s="181"/>
      <c r="G1349" s="182"/>
      <c r="H1349" s="181"/>
      <c r="I1349" s="182"/>
    </row>
    <row r="1350">
      <c r="A1350" s="181"/>
      <c r="B1350" s="181"/>
      <c r="C1350" s="181"/>
      <c r="D1350" s="181"/>
      <c r="E1350" s="181"/>
      <c r="F1350" s="181"/>
      <c r="G1350" s="182"/>
      <c r="H1350" s="181"/>
      <c r="I1350" s="182"/>
    </row>
    <row r="1351">
      <c r="A1351" s="181"/>
      <c r="B1351" s="181"/>
      <c r="C1351" s="181"/>
      <c r="D1351" s="181"/>
      <c r="E1351" s="181"/>
      <c r="F1351" s="181"/>
      <c r="G1351" s="182"/>
      <c r="H1351" s="181"/>
      <c r="I1351" s="182"/>
    </row>
    <row r="1352">
      <c r="A1352" s="181"/>
      <c r="B1352" s="181"/>
      <c r="C1352" s="181"/>
      <c r="D1352" s="181"/>
      <c r="E1352" s="181"/>
      <c r="F1352" s="181"/>
      <c r="G1352" s="182"/>
      <c r="H1352" s="181"/>
      <c r="I1352" s="182"/>
    </row>
    <row r="1353">
      <c r="A1353" s="181"/>
      <c r="B1353" s="181"/>
      <c r="C1353" s="181"/>
      <c r="D1353" s="181"/>
      <c r="E1353" s="181"/>
      <c r="F1353" s="181"/>
      <c r="G1353" s="182"/>
      <c r="H1353" s="181"/>
      <c r="I1353" s="182"/>
    </row>
    <row r="1354">
      <c r="A1354" s="181"/>
      <c r="B1354" s="181"/>
      <c r="C1354" s="181"/>
      <c r="D1354" s="181"/>
      <c r="E1354" s="181"/>
      <c r="F1354" s="181"/>
      <c r="G1354" s="182"/>
      <c r="H1354" s="181"/>
      <c r="I1354" s="182"/>
    </row>
    <row r="1355">
      <c r="A1355" s="181"/>
      <c r="B1355" s="181"/>
      <c r="C1355" s="181"/>
      <c r="D1355" s="181"/>
      <c r="E1355" s="181"/>
      <c r="F1355" s="181"/>
      <c r="G1355" s="182"/>
      <c r="H1355" s="181"/>
      <c r="I1355" s="182"/>
    </row>
    <row r="1356">
      <c r="A1356" s="181"/>
      <c r="B1356" s="181"/>
      <c r="C1356" s="181"/>
      <c r="D1356" s="181"/>
      <c r="E1356" s="181"/>
      <c r="F1356" s="181"/>
      <c r="G1356" s="182"/>
      <c r="H1356" s="181"/>
      <c r="I1356" s="182"/>
    </row>
    <row r="1357">
      <c r="A1357" s="181"/>
      <c r="B1357" s="181"/>
      <c r="C1357" s="181"/>
      <c r="D1357" s="181"/>
      <c r="E1357" s="181"/>
      <c r="F1357" s="181"/>
      <c r="G1357" s="182"/>
      <c r="H1357" s="181"/>
      <c r="I1357" s="182"/>
    </row>
    <row r="1358">
      <c r="A1358" s="181"/>
      <c r="B1358" s="181"/>
      <c r="C1358" s="181"/>
      <c r="D1358" s="181"/>
      <c r="E1358" s="181"/>
      <c r="F1358" s="181"/>
      <c r="G1358" s="182"/>
      <c r="H1358" s="181"/>
      <c r="I1358" s="182"/>
    </row>
    <row r="1359">
      <c r="A1359" s="181"/>
      <c r="B1359" s="181"/>
      <c r="C1359" s="181"/>
      <c r="D1359" s="181"/>
      <c r="E1359" s="181"/>
      <c r="F1359" s="181"/>
      <c r="G1359" s="182"/>
      <c r="H1359" s="181"/>
      <c r="I1359" s="182"/>
    </row>
    <row r="1360">
      <c r="A1360" s="181"/>
      <c r="B1360" s="181"/>
      <c r="C1360" s="181"/>
      <c r="D1360" s="181"/>
      <c r="E1360" s="181"/>
      <c r="F1360" s="181"/>
      <c r="G1360" s="182"/>
      <c r="H1360" s="181"/>
      <c r="I1360" s="182"/>
    </row>
    <row r="1361">
      <c r="A1361" s="181"/>
      <c r="B1361" s="181"/>
      <c r="C1361" s="181"/>
      <c r="D1361" s="181"/>
      <c r="E1361" s="181"/>
      <c r="F1361" s="181"/>
      <c r="G1361" s="182"/>
      <c r="H1361" s="181"/>
      <c r="I1361" s="182"/>
    </row>
    <row r="1362">
      <c r="A1362" s="181"/>
      <c r="B1362" s="181"/>
      <c r="C1362" s="181"/>
      <c r="D1362" s="181"/>
      <c r="E1362" s="181"/>
      <c r="F1362" s="181"/>
      <c r="G1362" s="182"/>
      <c r="H1362" s="181"/>
      <c r="I1362" s="182"/>
    </row>
    <row r="1363">
      <c r="A1363" s="181"/>
      <c r="B1363" s="181"/>
      <c r="C1363" s="181"/>
      <c r="D1363" s="181"/>
      <c r="E1363" s="181"/>
      <c r="F1363" s="181"/>
      <c r="G1363" s="182"/>
      <c r="H1363" s="181"/>
      <c r="I1363" s="182"/>
    </row>
    <row r="1364">
      <c r="A1364" s="181"/>
      <c r="B1364" s="181"/>
      <c r="C1364" s="181"/>
      <c r="D1364" s="181"/>
      <c r="E1364" s="181"/>
      <c r="F1364" s="181"/>
      <c r="G1364" s="182"/>
      <c r="H1364" s="181"/>
      <c r="I1364" s="182"/>
    </row>
    <row r="1365">
      <c r="A1365" s="181"/>
      <c r="B1365" s="181"/>
      <c r="C1365" s="181"/>
      <c r="D1365" s="181"/>
      <c r="E1365" s="181"/>
      <c r="F1365" s="181"/>
      <c r="G1365" s="182"/>
      <c r="H1365" s="181"/>
      <c r="I1365" s="182"/>
    </row>
    <row r="1366">
      <c r="A1366" s="181"/>
      <c r="B1366" s="181"/>
      <c r="C1366" s="181"/>
      <c r="D1366" s="181"/>
      <c r="E1366" s="181"/>
      <c r="F1366" s="181"/>
      <c r="G1366" s="182"/>
      <c r="H1366" s="181"/>
      <c r="I1366" s="182"/>
    </row>
    <row r="1367">
      <c r="A1367" s="181"/>
      <c r="B1367" s="181"/>
      <c r="C1367" s="181"/>
      <c r="D1367" s="181"/>
      <c r="E1367" s="181"/>
      <c r="F1367" s="181"/>
      <c r="G1367" s="182"/>
      <c r="H1367" s="181"/>
      <c r="I1367" s="182"/>
    </row>
    <row r="1368">
      <c r="A1368" s="181"/>
      <c r="B1368" s="181"/>
      <c r="C1368" s="181"/>
      <c r="D1368" s="181"/>
      <c r="E1368" s="181"/>
      <c r="F1368" s="181"/>
      <c r="G1368" s="182"/>
      <c r="H1368" s="181"/>
      <c r="I1368" s="182"/>
    </row>
    <row r="1369">
      <c r="A1369" s="181"/>
      <c r="B1369" s="181"/>
      <c r="C1369" s="181"/>
      <c r="D1369" s="181"/>
      <c r="E1369" s="181"/>
      <c r="F1369" s="181"/>
      <c r="G1369" s="182"/>
      <c r="H1369" s="181"/>
      <c r="I1369" s="182"/>
    </row>
    <row r="1370">
      <c r="A1370" s="181"/>
      <c r="B1370" s="181"/>
      <c r="C1370" s="181"/>
      <c r="D1370" s="181"/>
      <c r="E1370" s="181"/>
      <c r="F1370" s="181"/>
      <c r="G1370" s="182"/>
      <c r="H1370" s="181"/>
      <c r="I1370" s="182"/>
    </row>
    <row r="1371">
      <c r="A1371" s="181"/>
      <c r="B1371" s="181"/>
      <c r="C1371" s="181"/>
      <c r="D1371" s="181"/>
      <c r="E1371" s="181"/>
      <c r="F1371" s="181"/>
      <c r="G1371" s="182"/>
      <c r="H1371" s="181"/>
      <c r="I1371" s="182"/>
    </row>
    <row r="1372">
      <c r="A1372" s="181"/>
      <c r="B1372" s="181"/>
      <c r="C1372" s="181"/>
      <c r="D1372" s="181"/>
      <c r="E1372" s="181"/>
      <c r="F1372" s="181"/>
      <c r="G1372" s="182"/>
      <c r="H1372" s="181"/>
      <c r="I1372" s="182"/>
    </row>
    <row r="1373">
      <c r="A1373" s="181"/>
      <c r="B1373" s="181"/>
      <c r="C1373" s="181"/>
      <c r="D1373" s="181"/>
      <c r="E1373" s="181"/>
      <c r="F1373" s="181"/>
      <c r="G1373" s="182"/>
      <c r="H1373" s="181"/>
      <c r="I1373" s="182"/>
    </row>
    <row r="1374">
      <c r="A1374" s="181"/>
      <c r="B1374" s="181"/>
      <c r="C1374" s="181"/>
      <c r="D1374" s="181"/>
      <c r="E1374" s="181"/>
      <c r="F1374" s="181"/>
      <c r="G1374" s="182"/>
      <c r="H1374" s="181"/>
      <c r="I1374" s="182"/>
    </row>
    <row r="1375">
      <c r="A1375" s="181"/>
      <c r="B1375" s="181"/>
      <c r="C1375" s="181"/>
      <c r="D1375" s="181"/>
      <c r="E1375" s="181"/>
      <c r="F1375" s="181"/>
      <c r="G1375" s="182"/>
      <c r="H1375" s="181"/>
      <c r="I1375" s="182"/>
    </row>
    <row r="1376">
      <c r="A1376" s="181"/>
      <c r="B1376" s="181"/>
      <c r="C1376" s="181"/>
      <c r="D1376" s="181"/>
      <c r="E1376" s="181"/>
      <c r="F1376" s="181"/>
      <c r="G1376" s="182"/>
      <c r="H1376" s="181"/>
      <c r="I1376" s="182"/>
    </row>
    <row r="1377">
      <c r="A1377" s="181"/>
      <c r="B1377" s="181"/>
      <c r="C1377" s="181"/>
      <c r="D1377" s="181"/>
      <c r="E1377" s="181"/>
      <c r="F1377" s="181"/>
      <c r="G1377" s="182"/>
      <c r="H1377" s="181"/>
      <c r="I1377" s="182"/>
    </row>
    <row r="1378">
      <c r="A1378" s="181"/>
      <c r="B1378" s="181"/>
      <c r="C1378" s="181"/>
      <c r="D1378" s="181"/>
      <c r="E1378" s="181"/>
      <c r="F1378" s="181"/>
      <c r="G1378" s="182"/>
      <c r="H1378" s="181"/>
      <c r="I1378" s="182"/>
    </row>
    <row r="1379">
      <c r="A1379" s="181"/>
      <c r="B1379" s="181"/>
      <c r="C1379" s="181"/>
      <c r="D1379" s="181"/>
      <c r="E1379" s="181"/>
      <c r="F1379" s="181"/>
      <c r="G1379" s="182"/>
      <c r="H1379" s="181"/>
      <c r="I1379" s="182"/>
    </row>
    <row r="1380">
      <c r="A1380" s="181"/>
      <c r="B1380" s="181"/>
      <c r="C1380" s="181"/>
      <c r="D1380" s="181"/>
      <c r="E1380" s="181"/>
      <c r="F1380" s="181"/>
      <c r="G1380" s="182"/>
      <c r="H1380" s="181"/>
      <c r="I1380" s="182"/>
    </row>
    <row r="1381">
      <c r="A1381" s="181"/>
      <c r="B1381" s="181"/>
      <c r="C1381" s="181"/>
      <c r="D1381" s="181"/>
      <c r="E1381" s="181"/>
      <c r="F1381" s="181"/>
      <c r="G1381" s="182"/>
      <c r="H1381" s="181"/>
      <c r="I1381" s="182"/>
    </row>
    <row r="1382">
      <c r="A1382" s="181"/>
      <c r="B1382" s="181"/>
      <c r="C1382" s="181"/>
      <c r="D1382" s="181"/>
      <c r="E1382" s="181"/>
      <c r="F1382" s="181"/>
      <c r="G1382" s="182"/>
      <c r="H1382" s="181"/>
      <c r="I1382" s="182"/>
    </row>
    <row r="1383">
      <c r="A1383" s="181"/>
      <c r="B1383" s="181"/>
      <c r="C1383" s="181"/>
      <c r="D1383" s="181"/>
      <c r="E1383" s="181"/>
      <c r="F1383" s="181"/>
      <c r="G1383" s="182"/>
      <c r="H1383" s="181"/>
      <c r="I1383" s="182"/>
    </row>
    <row r="1384">
      <c r="A1384" s="181"/>
      <c r="B1384" s="181"/>
      <c r="C1384" s="181"/>
      <c r="D1384" s="181"/>
      <c r="E1384" s="181"/>
      <c r="F1384" s="181"/>
      <c r="G1384" s="182"/>
      <c r="H1384" s="181"/>
      <c r="I1384" s="182"/>
    </row>
    <row r="1385">
      <c r="A1385" s="181"/>
      <c r="B1385" s="181"/>
      <c r="C1385" s="181"/>
      <c r="D1385" s="181"/>
      <c r="E1385" s="181"/>
      <c r="F1385" s="181"/>
      <c r="G1385" s="182"/>
      <c r="H1385" s="181"/>
      <c r="I1385" s="182"/>
    </row>
    <row r="1386">
      <c r="A1386" s="181"/>
      <c r="B1386" s="181"/>
      <c r="C1386" s="181"/>
      <c r="D1386" s="181"/>
      <c r="E1386" s="181"/>
      <c r="F1386" s="181"/>
      <c r="G1386" s="182"/>
      <c r="H1386" s="181"/>
      <c r="I1386" s="182"/>
    </row>
    <row r="1387">
      <c r="A1387" s="181"/>
      <c r="B1387" s="181"/>
      <c r="C1387" s="181"/>
      <c r="D1387" s="181"/>
      <c r="E1387" s="181"/>
      <c r="F1387" s="181"/>
      <c r="G1387" s="182"/>
      <c r="H1387" s="181"/>
      <c r="I1387" s="182"/>
    </row>
    <row r="1388">
      <c r="A1388" s="181"/>
      <c r="B1388" s="181"/>
      <c r="C1388" s="181"/>
      <c r="D1388" s="181"/>
      <c r="E1388" s="181"/>
      <c r="F1388" s="181"/>
      <c r="G1388" s="182"/>
      <c r="H1388" s="181"/>
      <c r="I1388" s="182"/>
    </row>
    <row r="1389">
      <c r="A1389" s="181"/>
      <c r="B1389" s="181"/>
      <c r="C1389" s="181"/>
      <c r="D1389" s="181"/>
      <c r="E1389" s="181"/>
      <c r="F1389" s="181"/>
      <c r="G1389" s="182"/>
      <c r="H1389" s="181"/>
      <c r="I1389" s="182"/>
    </row>
    <row r="1390">
      <c r="A1390" s="181"/>
      <c r="B1390" s="181"/>
      <c r="C1390" s="181"/>
      <c r="D1390" s="181"/>
      <c r="E1390" s="181"/>
      <c r="F1390" s="181"/>
      <c r="G1390" s="182"/>
      <c r="H1390" s="181"/>
      <c r="I1390" s="182"/>
    </row>
    <row r="1391">
      <c r="A1391" s="181"/>
      <c r="B1391" s="181"/>
      <c r="C1391" s="181"/>
      <c r="D1391" s="181"/>
      <c r="E1391" s="181"/>
      <c r="F1391" s="181"/>
      <c r="G1391" s="182"/>
      <c r="H1391" s="181"/>
      <c r="I1391" s="182"/>
    </row>
    <row r="1392">
      <c r="A1392" s="181"/>
      <c r="B1392" s="181"/>
      <c r="C1392" s="181"/>
      <c r="D1392" s="181"/>
      <c r="E1392" s="181"/>
      <c r="F1392" s="181"/>
      <c r="G1392" s="182"/>
      <c r="H1392" s="181"/>
      <c r="I1392" s="182"/>
    </row>
    <row r="1393">
      <c r="A1393" s="181"/>
      <c r="B1393" s="181"/>
      <c r="C1393" s="181"/>
      <c r="D1393" s="181"/>
      <c r="E1393" s="181"/>
      <c r="F1393" s="181"/>
      <c r="G1393" s="182"/>
      <c r="H1393" s="181"/>
      <c r="I1393" s="182"/>
    </row>
    <row r="1394">
      <c r="A1394" s="181"/>
      <c r="B1394" s="181"/>
      <c r="C1394" s="181"/>
      <c r="D1394" s="181"/>
      <c r="E1394" s="181"/>
      <c r="F1394" s="181"/>
      <c r="G1394" s="182"/>
      <c r="H1394" s="181"/>
      <c r="I1394" s="182"/>
    </row>
    <row r="1395">
      <c r="A1395" s="181"/>
      <c r="B1395" s="181"/>
      <c r="C1395" s="181"/>
      <c r="D1395" s="181"/>
      <c r="E1395" s="181"/>
      <c r="F1395" s="181"/>
      <c r="G1395" s="182"/>
      <c r="H1395" s="181"/>
      <c r="I1395" s="182"/>
    </row>
    <row r="1396">
      <c r="A1396" s="181"/>
      <c r="B1396" s="181"/>
      <c r="C1396" s="181"/>
      <c r="D1396" s="181"/>
      <c r="E1396" s="181"/>
      <c r="F1396" s="181"/>
      <c r="G1396" s="182"/>
      <c r="H1396" s="181"/>
      <c r="I1396" s="182"/>
    </row>
    <row r="1397">
      <c r="A1397" s="181"/>
      <c r="B1397" s="181"/>
      <c r="C1397" s="181"/>
      <c r="D1397" s="181"/>
      <c r="E1397" s="181"/>
      <c r="F1397" s="181"/>
      <c r="G1397" s="182"/>
      <c r="H1397" s="181"/>
      <c r="I1397" s="182"/>
    </row>
    <row r="1398">
      <c r="A1398" s="181"/>
      <c r="B1398" s="181"/>
      <c r="C1398" s="181"/>
      <c r="D1398" s="181"/>
      <c r="E1398" s="181"/>
      <c r="F1398" s="181"/>
      <c r="G1398" s="182"/>
      <c r="H1398" s="181"/>
      <c r="I1398" s="182"/>
    </row>
    <row r="1399">
      <c r="A1399" s="181"/>
      <c r="B1399" s="181"/>
      <c r="C1399" s="181"/>
      <c r="D1399" s="181"/>
      <c r="E1399" s="181"/>
      <c r="F1399" s="181"/>
      <c r="G1399" s="182"/>
      <c r="H1399" s="181"/>
      <c r="I1399" s="182"/>
    </row>
    <row r="1400">
      <c r="A1400" s="181"/>
      <c r="B1400" s="181"/>
      <c r="C1400" s="181"/>
      <c r="D1400" s="181"/>
      <c r="E1400" s="181"/>
      <c r="F1400" s="181"/>
      <c r="G1400" s="182"/>
      <c r="H1400" s="181"/>
      <c r="I1400" s="182"/>
    </row>
    <row r="1401">
      <c r="A1401" s="181"/>
      <c r="B1401" s="181"/>
      <c r="C1401" s="181"/>
      <c r="D1401" s="181"/>
      <c r="E1401" s="181"/>
      <c r="F1401" s="181"/>
      <c r="G1401" s="182"/>
      <c r="H1401" s="181"/>
      <c r="I1401" s="182"/>
    </row>
    <row r="1402">
      <c r="A1402" s="181"/>
      <c r="B1402" s="181"/>
      <c r="C1402" s="181"/>
      <c r="D1402" s="181"/>
      <c r="E1402" s="181"/>
      <c r="F1402" s="181"/>
      <c r="G1402" s="182"/>
      <c r="H1402" s="181"/>
      <c r="I1402" s="182"/>
    </row>
    <row r="1403">
      <c r="A1403" s="181"/>
      <c r="B1403" s="181"/>
      <c r="C1403" s="181"/>
      <c r="D1403" s="181"/>
      <c r="E1403" s="181"/>
      <c r="F1403" s="181"/>
      <c r="G1403" s="182"/>
      <c r="H1403" s="181"/>
      <c r="I1403" s="182"/>
    </row>
    <row r="1404">
      <c r="A1404" s="181"/>
      <c r="B1404" s="181"/>
      <c r="C1404" s="181"/>
      <c r="D1404" s="181"/>
      <c r="E1404" s="181"/>
      <c r="F1404" s="181"/>
      <c r="G1404" s="182"/>
      <c r="H1404" s="181"/>
      <c r="I1404" s="182"/>
    </row>
    <row r="1405">
      <c r="A1405" s="181"/>
      <c r="B1405" s="181"/>
      <c r="C1405" s="181"/>
      <c r="D1405" s="181"/>
      <c r="E1405" s="181"/>
      <c r="F1405" s="181"/>
      <c r="G1405" s="182"/>
      <c r="H1405" s="181"/>
      <c r="I1405" s="182"/>
    </row>
    <row r="1406">
      <c r="A1406" s="181"/>
      <c r="B1406" s="181"/>
      <c r="C1406" s="181"/>
      <c r="D1406" s="181"/>
      <c r="E1406" s="181"/>
      <c r="F1406" s="181"/>
      <c r="G1406" s="182"/>
      <c r="H1406" s="181"/>
      <c r="I1406" s="182"/>
    </row>
    <row r="1407">
      <c r="A1407" s="181"/>
      <c r="B1407" s="181"/>
      <c r="C1407" s="181"/>
      <c r="D1407" s="181"/>
      <c r="E1407" s="181"/>
      <c r="F1407" s="181"/>
      <c r="G1407" s="182"/>
      <c r="H1407" s="181"/>
      <c r="I1407" s="182"/>
    </row>
    <row r="1408">
      <c r="A1408" s="181"/>
      <c r="B1408" s="181"/>
      <c r="C1408" s="181"/>
      <c r="D1408" s="181"/>
      <c r="E1408" s="181"/>
      <c r="F1408" s="181"/>
      <c r="G1408" s="182"/>
      <c r="H1408" s="181"/>
      <c r="I1408" s="182"/>
    </row>
    <row r="1409">
      <c r="A1409" s="181"/>
      <c r="B1409" s="181"/>
      <c r="C1409" s="181"/>
      <c r="D1409" s="181"/>
      <c r="E1409" s="181"/>
      <c r="F1409" s="181"/>
      <c r="G1409" s="182"/>
      <c r="H1409" s="181"/>
      <c r="I1409" s="182"/>
    </row>
    <row r="1410">
      <c r="A1410" s="181"/>
      <c r="B1410" s="181"/>
      <c r="C1410" s="181"/>
      <c r="D1410" s="181"/>
      <c r="E1410" s="181"/>
      <c r="F1410" s="181"/>
      <c r="G1410" s="182"/>
      <c r="H1410" s="181"/>
      <c r="I1410" s="182"/>
    </row>
    <row r="1411">
      <c r="A1411" s="181"/>
      <c r="B1411" s="181"/>
      <c r="C1411" s="181"/>
      <c r="D1411" s="181"/>
      <c r="E1411" s="181"/>
      <c r="F1411" s="181"/>
      <c r="G1411" s="182"/>
      <c r="H1411" s="181"/>
      <c r="I1411" s="182"/>
    </row>
    <row r="1412">
      <c r="A1412" s="181"/>
      <c r="B1412" s="181"/>
      <c r="C1412" s="181"/>
      <c r="D1412" s="181"/>
      <c r="E1412" s="181"/>
      <c r="F1412" s="181"/>
      <c r="G1412" s="182"/>
      <c r="H1412" s="181"/>
      <c r="I1412" s="182"/>
    </row>
    <row r="1413">
      <c r="A1413" s="181"/>
      <c r="B1413" s="181"/>
      <c r="C1413" s="181"/>
      <c r="D1413" s="181"/>
      <c r="E1413" s="181"/>
      <c r="F1413" s="181"/>
      <c r="G1413" s="182"/>
      <c r="H1413" s="181"/>
      <c r="I1413" s="182"/>
    </row>
    <row r="1414">
      <c r="A1414" s="181"/>
      <c r="B1414" s="181"/>
      <c r="C1414" s="181"/>
      <c r="D1414" s="181"/>
      <c r="E1414" s="181"/>
      <c r="F1414" s="181"/>
      <c r="G1414" s="182"/>
      <c r="H1414" s="181"/>
      <c r="I1414" s="182"/>
    </row>
    <row r="1415">
      <c r="A1415" s="181"/>
      <c r="B1415" s="181"/>
      <c r="C1415" s="181"/>
      <c r="D1415" s="181"/>
      <c r="E1415" s="181"/>
      <c r="F1415" s="181"/>
      <c r="G1415" s="182"/>
      <c r="H1415" s="181"/>
      <c r="I1415" s="182"/>
    </row>
    <row r="1416">
      <c r="A1416" s="181"/>
      <c r="B1416" s="181"/>
      <c r="C1416" s="181"/>
      <c r="D1416" s="181"/>
      <c r="E1416" s="181"/>
      <c r="F1416" s="181"/>
      <c r="G1416" s="182"/>
      <c r="H1416" s="181"/>
      <c r="I1416" s="182"/>
    </row>
    <row r="1417">
      <c r="A1417" s="181"/>
      <c r="B1417" s="181"/>
      <c r="C1417" s="181"/>
      <c r="D1417" s="181"/>
      <c r="E1417" s="181"/>
      <c r="F1417" s="181"/>
      <c r="G1417" s="182"/>
      <c r="H1417" s="181"/>
      <c r="I1417" s="182"/>
    </row>
    <row r="1418">
      <c r="A1418" s="181"/>
      <c r="B1418" s="181"/>
      <c r="C1418" s="181"/>
      <c r="D1418" s="181"/>
      <c r="E1418" s="181"/>
      <c r="F1418" s="181"/>
      <c r="G1418" s="182"/>
      <c r="H1418" s="181"/>
      <c r="I1418" s="182"/>
    </row>
    <row r="1419">
      <c r="A1419" s="181"/>
      <c r="B1419" s="181"/>
      <c r="C1419" s="181"/>
      <c r="D1419" s="181"/>
      <c r="E1419" s="181"/>
      <c r="F1419" s="181"/>
      <c r="G1419" s="182"/>
      <c r="H1419" s="181"/>
      <c r="I1419" s="182"/>
    </row>
    <row r="1420">
      <c r="A1420" s="181"/>
      <c r="B1420" s="181"/>
      <c r="C1420" s="181"/>
      <c r="D1420" s="181"/>
      <c r="E1420" s="181"/>
      <c r="F1420" s="181"/>
      <c r="G1420" s="182"/>
      <c r="H1420" s="181"/>
      <c r="I1420" s="182"/>
    </row>
    <row r="1421">
      <c r="A1421" s="181"/>
      <c r="B1421" s="181"/>
      <c r="C1421" s="181"/>
      <c r="D1421" s="181"/>
      <c r="E1421" s="181"/>
      <c r="F1421" s="181"/>
      <c r="G1421" s="182"/>
      <c r="H1421" s="181"/>
      <c r="I1421" s="182"/>
    </row>
    <row r="1422">
      <c r="A1422" s="181"/>
      <c r="B1422" s="181"/>
      <c r="C1422" s="181"/>
      <c r="D1422" s="181"/>
      <c r="E1422" s="181"/>
      <c r="F1422" s="181"/>
      <c r="G1422" s="182"/>
      <c r="H1422" s="181"/>
      <c r="I1422" s="182"/>
    </row>
    <row r="1423">
      <c r="A1423" s="181"/>
      <c r="B1423" s="181"/>
      <c r="C1423" s="181"/>
      <c r="D1423" s="181"/>
      <c r="E1423" s="181"/>
      <c r="F1423" s="181"/>
      <c r="G1423" s="182"/>
      <c r="H1423" s="181"/>
      <c r="I1423" s="182"/>
    </row>
    <row r="1424">
      <c r="A1424" s="181"/>
      <c r="B1424" s="181"/>
      <c r="C1424" s="181"/>
      <c r="D1424" s="181"/>
      <c r="E1424" s="181"/>
      <c r="F1424" s="181"/>
      <c r="G1424" s="182"/>
      <c r="H1424" s="181"/>
      <c r="I1424" s="182"/>
    </row>
    <row r="1425">
      <c r="A1425" s="181"/>
      <c r="B1425" s="181"/>
      <c r="C1425" s="181"/>
      <c r="D1425" s="181"/>
      <c r="E1425" s="181"/>
      <c r="F1425" s="181"/>
      <c r="G1425" s="182"/>
      <c r="H1425" s="181"/>
      <c r="I1425" s="182"/>
    </row>
    <row r="1426">
      <c r="A1426" s="181"/>
      <c r="B1426" s="181"/>
      <c r="C1426" s="181"/>
      <c r="D1426" s="181"/>
      <c r="E1426" s="181"/>
      <c r="F1426" s="181"/>
      <c r="G1426" s="182"/>
      <c r="H1426" s="181"/>
      <c r="I1426" s="182"/>
    </row>
    <row r="1427">
      <c r="A1427" s="181"/>
      <c r="B1427" s="181"/>
      <c r="C1427" s="181"/>
      <c r="D1427" s="181"/>
      <c r="E1427" s="181"/>
      <c r="F1427" s="181"/>
      <c r="G1427" s="182"/>
      <c r="H1427" s="181"/>
      <c r="I1427" s="182"/>
    </row>
    <row r="1428">
      <c r="A1428" s="181"/>
      <c r="B1428" s="181"/>
      <c r="C1428" s="181"/>
      <c r="D1428" s="181"/>
      <c r="E1428" s="181"/>
      <c r="F1428" s="181"/>
      <c r="G1428" s="182"/>
      <c r="H1428" s="181"/>
      <c r="I1428" s="182"/>
    </row>
    <row r="1429">
      <c r="A1429" s="181"/>
      <c r="B1429" s="181"/>
      <c r="C1429" s="181"/>
      <c r="D1429" s="181"/>
      <c r="E1429" s="181"/>
      <c r="F1429" s="181"/>
      <c r="G1429" s="182"/>
      <c r="H1429" s="181"/>
      <c r="I1429" s="182"/>
    </row>
    <row r="1430">
      <c r="A1430" s="181"/>
      <c r="B1430" s="181"/>
      <c r="C1430" s="181"/>
      <c r="D1430" s="181"/>
      <c r="E1430" s="181"/>
      <c r="F1430" s="181"/>
      <c r="G1430" s="182"/>
      <c r="H1430" s="181"/>
      <c r="I1430" s="182"/>
    </row>
    <row r="1431">
      <c r="A1431" s="181"/>
      <c r="B1431" s="181"/>
      <c r="C1431" s="181"/>
      <c r="D1431" s="181"/>
      <c r="E1431" s="181"/>
      <c r="F1431" s="181"/>
      <c r="G1431" s="182"/>
      <c r="H1431" s="181"/>
      <c r="I1431" s="182"/>
    </row>
    <row r="1432">
      <c r="A1432" s="181"/>
      <c r="B1432" s="181"/>
      <c r="C1432" s="181"/>
      <c r="D1432" s="181"/>
      <c r="E1432" s="181"/>
      <c r="F1432" s="181"/>
      <c r="G1432" s="182"/>
      <c r="H1432" s="181"/>
      <c r="I1432" s="182"/>
    </row>
    <row r="1433">
      <c r="A1433" s="181"/>
      <c r="B1433" s="181"/>
      <c r="C1433" s="181"/>
      <c r="D1433" s="181"/>
      <c r="E1433" s="181"/>
      <c r="F1433" s="181"/>
      <c r="G1433" s="182"/>
      <c r="H1433" s="181"/>
      <c r="I1433" s="182"/>
    </row>
    <row r="1434">
      <c r="A1434" s="181"/>
      <c r="B1434" s="181"/>
      <c r="C1434" s="181"/>
      <c r="D1434" s="181"/>
      <c r="E1434" s="181"/>
      <c r="F1434" s="181"/>
      <c r="G1434" s="182"/>
      <c r="H1434" s="181"/>
      <c r="I1434" s="182"/>
    </row>
    <row r="1435">
      <c r="A1435" s="181"/>
      <c r="B1435" s="181"/>
      <c r="C1435" s="181"/>
      <c r="D1435" s="181"/>
      <c r="E1435" s="181"/>
      <c r="F1435" s="181"/>
      <c r="G1435" s="182"/>
      <c r="H1435" s="181"/>
      <c r="I1435" s="182"/>
    </row>
    <row r="1436">
      <c r="A1436" s="181"/>
      <c r="B1436" s="181"/>
      <c r="C1436" s="181"/>
      <c r="D1436" s="181"/>
      <c r="E1436" s="181"/>
      <c r="F1436" s="181"/>
      <c r="G1436" s="182"/>
      <c r="H1436" s="181"/>
      <c r="I1436" s="182"/>
    </row>
    <row r="1437">
      <c r="A1437" s="181"/>
      <c r="B1437" s="181"/>
      <c r="C1437" s="181"/>
      <c r="D1437" s="181"/>
      <c r="E1437" s="181"/>
      <c r="F1437" s="181"/>
      <c r="G1437" s="182"/>
      <c r="H1437" s="181"/>
      <c r="I1437" s="182"/>
    </row>
    <row r="1438">
      <c r="A1438" s="181"/>
      <c r="B1438" s="181"/>
      <c r="C1438" s="181"/>
      <c r="D1438" s="181"/>
      <c r="E1438" s="181"/>
      <c r="F1438" s="181"/>
      <c r="G1438" s="182"/>
      <c r="H1438" s="181"/>
      <c r="I1438" s="182"/>
    </row>
    <row r="1439">
      <c r="A1439" s="181"/>
      <c r="B1439" s="181"/>
      <c r="C1439" s="181"/>
      <c r="D1439" s="181"/>
      <c r="E1439" s="181"/>
      <c r="F1439" s="181"/>
      <c r="G1439" s="182"/>
      <c r="H1439" s="181"/>
      <c r="I1439" s="182"/>
    </row>
    <row r="1440">
      <c r="A1440" s="181"/>
      <c r="B1440" s="181"/>
      <c r="C1440" s="181"/>
      <c r="D1440" s="181"/>
      <c r="E1440" s="181"/>
      <c r="F1440" s="181"/>
      <c r="G1440" s="182"/>
      <c r="H1440" s="181"/>
      <c r="I1440" s="182"/>
    </row>
    <row r="1441">
      <c r="A1441" s="181"/>
      <c r="B1441" s="181"/>
      <c r="C1441" s="181"/>
      <c r="D1441" s="181"/>
      <c r="E1441" s="181"/>
      <c r="F1441" s="181"/>
      <c r="G1441" s="182"/>
      <c r="H1441" s="181"/>
      <c r="I1441" s="182"/>
    </row>
    <row r="1442">
      <c r="A1442" s="181"/>
      <c r="B1442" s="181"/>
      <c r="C1442" s="181"/>
      <c r="D1442" s="181"/>
      <c r="E1442" s="181"/>
      <c r="F1442" s="181"/>
      <c r="G1442" s="182"/>
      <c r="H1442" s="181"/>
      <c r="I1442" s="182"/>
    </row>
    <row r="1443">
      <c r="A1443" s="181"/>
      <c r="B1443" s="181"/>
      <c r="C1443" s="181"/>
      <c r="D1443" s="181"/>
      <c r="E1443" s="181"/>
      <c r="F1443" s="181"/>
      <c r="G1443" s="182"/>
      <c r="H1443" s="181"/>
      <c r="I1443" s="182"/>
    </row>
    <row r="1444">
      <c r="A1444" s="181"/>
      <c r="B1444" s="181"/>
      <c r="C1444" s="181"/>
      <c r="D1444" s="181"/>
      <c r="E1444" s="181"/>
      <c r="F1444" s="181"/>
      <c r="G1444" s="182"/>
      <c r="H1444" s="181"/>
      <c r="I1444" s="182"/>
    </row>
    <row r="1445">
      <c r="A1445" s="181"/>
      <c r="B1445" s="181"/>
      <c r="C1445" s="181"/>
      <c r="D1445" s="181"/>
      <c r="E1445" s="181"/>
      <c r="F1445" s="181"/>
      <c r="G1445" s="182"/>
      <c r="H1445" s="181"/>
      <c r="I1445" s="182"/>
    </row>
    <row r="1446">
      <c r="A1446" s="181"/>
      <c r="B1446" s="181"/>
      <c r="C1446" s="181"/>
      <c r="D1446" s="181"/>
      <c r="E1446" s="181"/>
      <c r="F1446" s="181"/>
      <c r="G1446" s="182"/>
      <c r="H1446" s="181"/>
      <c r="I1446" s="182"/>
    </row>
    <row r="1447">
      <c r="A1447" s="181"/>
      <c r="B1447" s="181"/>
      <c r="C1447" s="181"/>
      <c r="D1447" s="181"/>
      <c r="E1447" s="181"/>
      <c r="F1447" s="181"/>
      <c r="G1447" s="182"/>
      <c r="H1447" s="181"/>
      <c r="I1447" s="182"/>
    </row>
    <row r="1448">
      <c r="A1448" s="181"/>
      <c r="B1448" s="181"/>
      <c r="C1448" s="181"/>
      <c r="D1448" s="181"/>
      <c r="E1448" s="181"/>
      <c r="F1448" s="181"/>
      <c r="G1448" s="182"/>
      <c r="H1448" s="181"/>
      <c r="I1448" s="182"/>
    </row>
    <row r="1449">
      <c r="A1449" s="181"/>
      <c r="B1449" s="181"/>
      <c r="C1449" s="181"/>
      <c r="D1449" s="181"/>
      <c r="E1449" s="181"/>
      <c r="F1449" s="181"/>
      <c r="G1449" s="182"/>
      <c r="H1449" s="181"/>
      <c r="I1449" s="182"/>
    </row>
    <row r="1450">
      <c r="A1450" s="181"/>
      <c r="B1450" s="181"/>
      <c r="C1450" s="181"/>
      <c r="D1450" s="181"/>
      <c r="E1450" s="181"/>
      <c r="F1450" s="181"/>
      <c r="G1450" s="182"/>
      <c r="H1450" s="181"/>
      <c r="I1450" s="182"/>
    </row>
    <row r="1451">
      <c r="A1451" s="181"/>
      <c r="B1451" s="181"/>
      <c r="C1451" s="181"/>
      <c r="D1451" s="181"/>
      <c r="E1451" s="181"/>
      <c r="F1451" s="181"/>
      <c r="G1451" s="182"/>
      <c r="H1451" s="181"/>
      <c r="I1451" s="182"/>
    </row>
    <row r="1452">
      <c r="A1452" s="181"/>
      <c r="B1452" s="181"/>
      <c r="C1452" s="181"/>
      <c r="D1452" s="181"/>
      <c r="E1452" s="181"/>
      <c r="F1452" s="181"/>
      <c r="G1452" s="182"/>
      <c r="H1452" s="181"/>
      <c r="I1452" s="182"/>
    </row>
    <row r="1453">
      <c r="A1453" s="181"/>
      <c r="B1453" s="181"/>
      <c r="C1453" s="181"/>
      <c r="D1453" s="181"/>
      <c r="E1453" s="181"/>
      <c r="F1453" s="181"/>
      <c r="G1453" s="182"/>
      <c r="H1453" s="181"/>
      <c r="I1453" s="182"/>
    </row>
    <row r="1454">
      <c r="A1454" s="181"/>
      <c r="B1454" s="181"/>
      <c r="C1454" s="181"/>
      <c r="D1454" s="181"/>
      <c r="E1454" s="181"/>
      <c r="F1454" s="181"/>
      <c r="G1454" s="182"/>
      <c r="H1454" s="181"/>
      <c r="I1454" s="182"/>
    </row>
    <row r="1455">
      <c r="A1455" s="181"/>
      <c r="B1455" s="181"/>
      <c r="C1455" s="181"/>
      <c r="D1455" s="181"/>
      <c r="E1455" s="181"/>
      <c r="F1455" s="181"/>
      <c r="G1455" s="182"/>
      <c r="H1455" s="181"/>
      <c r="I1455" s="182"/>
    </row>
    <row r="1456">
      <c r="A1456" s="181"/>
      <c r="B1456" s="181"/>
      <c r="C1456" s="181"/>
      <c r="D1456" s="181"/>
      <c r="E1456" s="181"/>
      <c r="F1456" s="181"/>
      <c r="G1456" s="182"/>
      <c r="H1456" s="181"/>
      <c r="I1456" s="182"/>
    </row>
    <row r="1457">
      <c r="A1457" s="181"/>
      <c r="B1457" s="181"/>
      <c r="C1457" s="181"/>
      <c r="D1457" s="181"/>
      <c r="E1457" s="181"/>
      <c r="F1457" s="181"/>
      <c r="G1457" s="182"/>
      <c r="H1457" s="181"/>
      <c r="I1457" s="182"/>
    </row>
    <row r="1458">
      <c r="A1458" s="181"/>
      <c r="B1458" s="181"/>
      <c r="C1458" s="181"/>
      <c r="D1458" s="181"/>
      <c r="E1458" s="181"/>
      <c r="F1458" s="181"/>
      <c r="G1458" s="182"/>
      <c r="H1458" s="181"/>
      <c r="I1458" s="182"/>
    </row>
    <row r="1459">
      <c r="A1459" s="181"/>
      <c r="B1459" s="181"/>
      <c r="C1459" s="181"/>
      <c r="D1459" s="181"/>
      <c r="E1459" s="181"/>
      <c r="F1459" s="181"/>
      <c r="G1459" s="182"/>
      <c r="H1459" s="181"/>
      <c r="I1459" s="182"/>
    </row>
    <row r="1460">
      <c r="A1460" s="181"/>
      <c r="B1460" s="181"/>
      <c r="C1460" s="181"/>
      <c r="D1460" s="181"/>
      <c r="E1460" s="181"/>
      <c r="F1460" s="181"/>
      <c r="G1460" s="182"/>
      <c r="H1460" s="181"/>
      <c r="I1460" s="182"/>
    </row>
    <row r="1461">
      <c r="A1461" s="181"/>
      <c r="B1461" s="181"/>
      <c r="C1461" s="181"/>
      <c r="D1461" s="181"/>
      <c r="E1461" s="181"/>
      <c r="F1461" s="181"/>
      <c r="G1461" s="182"/>
      <c r="H1461" s="181"/>
      <c r="I1461" s="182"/>
    </row>
    <row r="1462">
      <c r="A1462" s="181"/>
      <c r="B1462" s="181"/>
      <c r="C1462" s="181"/>
      <c r="D1462" s="181"/>
      <c r="E1462" s="181"/>
      <c r="F1462" s="181"/>
      <c r="G1462" s="182"/>
      <c r="H1462" s="181"/>
      <c r="I1462" s="182"/>
    </row>
    <row r="1463">
      <c r="A1463" s="181"/>
      <c r="B1463" s="181"/>
      <c r="C1463" s="181"/>
      <c r="D1463" s="181"/>
      <c r="E1463" s="181"/>
      <c r="F1463" s="181"/>
      <c r="G1463" s="182"/>
      <c r="H1463" s="181"/>
      <c r="I1463" s="182"/>
    </row>
    <row r="1464">
      <c r="A1464" s="181"/>
      <c r="B1464" s="181"/>
      <c r="C1464" s="181"/>
      <c r="D1464" s="181"/>
      <c r="E1464" s="181"/>
      <c r="F1464" s="181"/>
      <c r="G1464" s="182"/>
      <c r="H1464" s="181"/>
      <c r="I1464" s="182"/>
    </row>
    <row r="1465">
      <c r="A1465" s="181"/>
      <c r="B1465" s="181"/>
      <c r="C1465" s="181"/>
      <c r="D1465" s="181"/>
      <c r="E1465" s="181"/>
      <c r="F1465" s="181"/>
      <c r="G1465" s="182"/>
      <c r="H1465" s="181"/>
      <c r="I1465" s="182"/>
    </row>
    <row r="1466">
      <c r="A1466" s="181"/>
      <c r="B1466" s="181"/>
      <c r="C1466" s="181"/>
      <c r="D1466" s="181"/>
      <c r="E1466" s="181"/>
      <c r="F1466" s="181"/>
      <c r="G1466" s="182"/>
      <c r="H1466" s="181"/>
      <c r="I1466" s="182"/>
    </row>
    <row r="1467">
      <c r="A1467" s="181"/>
      <c r="B1467" s="181"/>
      <c r="C1467" s="181"/>
      <c r="D1467" s="181"/>
      <c r="E1467" s="181"/>
      <c r="F1467" s="181"/>
      <c r="G1467" s="182"/>
      <c r="H1467" s="181"/>
      <c r="I1467" s="182"/>
    </row>
    <row r="1468">
      <c r="A1468" s="181"/>
      <c r="B1468" s="181"/>
      <c r="C1468" s="181"/>
      <c r="D1468" s="181"/>
      <c r="E1468" s="181"/>
      <c r="F1468" s="181"/>
      <c r="G1468" s="182"/>
      <c r="H1468" s="181"/>
      <c r="I1468" s="182"/>
    </row>
    <row r="1469">
      <c r="A1469" s="181"/>
      <c r="B1469" s="181"/>
      <c r="C1469" s="181"/>
      <c r="D1469" s="181"/>
      <c r="E1469" s="181"/>
      <c r="F1469" s="181"/>
      <c r="G1469" s="182"/>
      <c r="H1469" s="181"/>
      <c r="I1469" s="182"/>
    </row>
    <row r="1470">
      <c r="A1470" s="181"/>
      <c r="B1470" s="181"/>
      <c r="C1470" s="181"/>
      <c r="D1470" s="181"/>
      <c r="E1470" s="181"/>
      <c r="F1470" s="181"/>
      <c r="G1470" s="182"/>
      <c r="H1470" s="181"/>
      <c r="I1470" s="182"/>
    </row>
    <row r="1471">
      <c r="A1471" s="181"/>
      <c r="B1471" s="181"/>
      <c r="C1471" s="181"/>
      <c r="D1471" s="181"/>
      <c r="E1471" s="181"/>
      <c r="F1471" s="181"/>
      <c r="G1471" s="182"/>
      <c r="H1471" s="181"/>
      <c r="I1471" s="182"/>
    </row>
    <row r="1472">
      <c r="A1472" s="181"/>
      <c r="B1472" s="181"/>
      <c r="C1472" s="181"/>
      <c r="D1472" s="181"/>
      <c r="E1472" s="181"/>
      <c r="F1472" s="181"/>
      <c r="G1472" s="182"/>
      <c r="H1472" s="181"/>
      <c r="I1472" s="182"/>
    </row>
    <row r="1473">
      <c r="A1473" s="181"/>
      <c r="B1473" s="181"/>
      <c r="C1473" s="181"/>
      <c r="D1473" s="181"/>
      <c r="E1473" s="181"/>
      <c r="F1473" s="181"/>
      <c r="G1473" s="182"/>
      <c r="H1473" s="181"/>
      <c r="I1473" s="182"/>
    </row>
    <row r="1474">
      <c r="A1474" s="181"/>
      <c r="B1474" s="181"/>
      <c r="C1474" s="181"/>
      <c r="D1474" s="181"/>
      <c r="E1474" s="181"/>
      <c r="F1474" s="181"/>
      <c r="G1474" s="182"/>
      <c r="H1474" s="181"/>
      <c r="I1474" s="182"/>
    </row>
    <row r="1475">
      <c r="A1475" s="181"/>
      <c r="B1475" s="181"/>
      <c r="C1475" s="181"/>
      <c r="D1475" s="181"/>
      <c r="E1475" s="181"/>
      <c r="F1475" s="181"/>
      <c r="G1475" s="182"/>
      <c r="H1475" s="181"/>
      <c r="I1475" s="182"/>
    </row>
    <row r="1476">
      <c r="A1476" s="181"/>
      <c r="B1476" s="181"/>
      <c r="C1476" s="181"/>
      <c r="D1476" s="181"/>
      <c r="E1476" s="181"/>
      <c r="F1476" s="181"/>
      <c r="G1476" s="182"/>
      <c r="H1476" s="181"/>
      <c r="I1476" s="182"/>
    </row>
    <row r="1477">
      <c r="A1477" s="181"/>
      <c r="B1477" s="181"/>
      <c r="C1477" s="181"/>
      <c r="D1477" s="181"/>
      <c r="E1477" s="181"/>
      <c r="F1477" s="181"/>
      <c r="G1477" s="182"/>
      <c r="H1477" s="181"/>
      <c r="I1477" s="182"/>
    </row>
    <row r="1478">
      <c r="A1478" s="181"/>
      <c r="B1478" s="181"/>
      <c r="C1478" s="181"/>
      <c r="D1478" s="181"/>
      <c r="E1478" s="181"/>
      <c r="F1478" s="181"/>
      <c r="G1478" s="182"/>
      <c r="H1478" s="181"/>
      <c r="I1478" s="182"/>
    </row>
    <row r="1479">
      <c r="A1479" s="181"/>
      <c r="B1479" s="181"/>
      <c r="C1479" s="181"/>
      <c r="D1479" s="181"/>
      <c r="E1479" s="181"/>
      <c r="F1479" s="181"/>
      <c r="G1479" s="182"/>
      <c r="H1479" s="181"/>
      <c r="I1479" s="182"/>
    </row>
    <row r="1480">
      <c r="A1480" s="181"/>
      <c r="B1480" s="181"/>
      <c r="C1480" s="181"/>
      <c r="D1480" s="181"/>
      <c r="E1480" s="181"/>
      <c r="F1480" s="181"/>
      <c r="G1480" s="182"/>
      <c r="H1480" s="181"/>
      <c r="I1480" s="182"/>
    </row>
    <row r="1481">
      <c r="A1481" s="181"/>
      <c r="B1481" s="181"/>
      <c r="C1481" s="181"/>
      <c r="D1481" s="181"/>
      <c r="E1481" s="181"/>
      <c r="F1481" s="181"/>
      <c r="G1481" s="182"/>
      <c r="H1481" s="181"/>
      <c r="I1481" s="182"/>
    </row>
    <row r="1482">
      <c r="A1482" s="181"/>
      <c r="B1482" s="181"/>
      <c r="C1482" s="181"/>
      <c r="D1482" s="181"/>
      <c r="E1482" s="181"/>
      <c r="F1482" s="181"/>
      <c r="G1482" s="182"/>
      <c r="H1482" s="181"/>
      <c r="I1482" s="182"/>
    </row>
    <row r="1483">
      <c r="A1483" s="181"/>
      <c r="B1483" s="181"/>
      <c r="C1483" s="181"/>
      <c r="D1483" s="181"/>
      <c r="E1483" s="181"/>
      <c r="F1483" s="181"/>
      <c r="G1483" s="182"/>
      <c r="H1483" s="181"/>
      <c r="I1483" s="182"/>
    </row>
    <row r="1484">
      <c r="A1484" s="181"/>
      <c r="B1484" s="181"/>
      <c r="C1484" s="181"/>
      <c r="D1484" s="181"/>
      <c r="E1484" s="181"/>
      <c r="F1484" s="181"/>
      <c r="G1484" s="182"/>
      <c r="H1484" s="181"/>
      <c r="I1484" s="182"/>
    </row>
    <row r="1485">
      <c r="A1485" s="181"/>
      <c r="B1485" s="181"/>
      <c r="C1485" s="181"/>
      <c r="D1485" s="181"/>
      <c r="E1485" s="181"/>
      <c r="F1485" s="181"/>
      <c r="G1485" s="182"/>
      <c r="H1485" s="181"/>
      <c r="I1485" s="182"/>
    </row>
    <row r="1486">
      <c r="A1486" s="181"/>
      <c r="B1486" s="181"/>
      <c r="C1486" s="181"/>
      <c r="D1486" s="181"/>
      <c r="E1486" s="181"/>
      <c r="F1486" s="181"/>
      <c r="G1486" s="182"/>
      <c r="H1486" s="181"/>
      <c r="I1486" s="182"/>
    </row>
    <row r="1487">
      <c r="A1487" s="181"/>
      <c r="B1487" s="181"/>
      <c r="C1487" s="181"/>
      <c r="D1487" s="181"/>
      <c r="E1487" s="181"/>
      <c r="F1487" s="181"/>
      <c r="G1487" s="182"/>
      <c r="H1487" s="181"/>
      <c r="I1487" s="182"/>
    </row>
    <row r="1488">
      <c r="A1488" s="181"/>
      <c r="B1488" s="181"/>
      <c r="C1488" s="181"/>
      <c r="D1488" s="181"/>
      <c r="E1488" s="181"/>
      <c r="F1488" s="181"/>
      <c r="G1488" s="182"/>
      <c r="H1488" s="181"/>
      <c r="I1488" s="182"/>
    </row>
    <row r="1489">
      <c r="A1489" s="181"/>
      <c r="B1489" s="181"/>
      <c r="C1489" s="181"/>
      <c r="D1489" s="181"/>
      <c r="E1489" s="181"/>
      <c r="F1489" s="181"/>
      <c r="G1489" s="182"/>
      <c r="H1489" s="181"/>
      <c r="I1489" s="182"/>
    </row>
    <row r="1490">
      <c r="A1490" s="181"/>
      <c r="B1490" s="181"/>
      <c r="C1490" s="181"/>
      <c r="D1490" s="181"/>
      <c r="E1490" s="181"/>
      <c r="F1490" s="181"/>
      <c r="G1490" s="182"/>
      <c r="H1490" s="181"/>
      <c r="I1490" s="182"/>
    </row>
    <row r="1491">
      <c r="A1491" s="181"/>
      <c r="B1491" s="181"/>
      <c r="C1491" s="181"/>
      <c r="D1491" s="181"/>
      <c r="E1491" s="181"/>
      <c r="F1491" s="181"/>
      <c r="G1491" s="182"/>
      <c r="H1491" s="181"/>
      <c r="I1491" s="182"/>
    </row>
    <row r="1492">
      <c r="A1492" s="181"/>
      <c r="B1492" s="181"/>
      <c r="C1492" s="181"/>
      <c r="D1492" s="181"/>
      <c r="E1492" s="181"/>
      <c r="F1492" s="181"/>
      <c r="G1492" s="182"/>
      <c r="H1492" s="181"/>
      <c r="I1492" s="182"/>
    </row>
    <row r="1493">
      <c r="A1493" s="181"/>
      <c r="B1493" s="181"/>
      <c r="C1493" s="181"/>
      <c r="D1493" s="181"/>
      <c r="E1493" s="181"/>
      <c r="F1493" s="181"/>
      <c r="G1493" s="182"/>
      <c r="H1493" s="181"/>
      <c r="I1493" s="182"/>
    </row>
    <row r="1494">
      <c r="A1494" s="181"/>
      <c r="B1494" s="181"/>
      <c r="C1494" s="181"/>
      <c r="D1494" s="181"/>
      <c r="E1494" s="181"/>
      <c r="F1494" s="181"/>
      <c r="G1494" s="182"/>
      <c r="H1494" s="181"/>
      <c r="I1494" s="182"/>
    </row>
    <row r="1495">
      <c r="A1495" s="181"/>
      <c r="B1495" s="181"/>
      <c r="C1495" s="181"/>
      <c r="D1495" s="181"/>
      <c r="E1495" s="181"/>
      <c r="F1495" s="181"/>
      <c r="G1495" s="182"/>
      <c r="H1495" s="181"/>
      <c r="I1495" s="182"/>
    </row>
    <row r="1496">
      <c r="A1496" s="181"/>
      <c r="B1496" s="181"/>
      <c r="C1496" s="181"/>
      <c r="D1496" s="181"/>
      <c r="E1496" s="181"/>
      <c r="F1496" s="181"/>
      <c r="G1496" s="182"/>
      <c r="H1496" s="181"/>
      <c r="I1496" s="182"/>
    </row>
    <row r="1497">
      <c r="A1497" s="181"/>
      <c r="B1497" s="181"/>
      <c r="C1497" s="181"/>
      <c r="D1497" s="181"/>
      <c r="E1497" s="181"/>
      <c r="F1497" s="181"/>
      <c r="G1497" s="182"/>
      <c r="H1497" s="181"/>
      <c r="I1497" s="182"/>
    </row>
    <row r="1498">
      <c r="A1498" s="181"/>
      <c r="B1498" s="181"/>
      <c r="C1498" s="181"/>
      <c r="D1498" s="181"/>
      <c r="E1498" s="181"/>
      <c r="F1498" s="181"/>
      <c r="G1498" s="182"/>
      <c r="H1498" s="181"/>
      <c r="I1498" s="182"/>
    </row>
    <row r="1499">
      <c r="A1499" s="181"/>
      <c r="B1499" s="181"/>
      <c r="C1499" s="181"/>
      <c r="D1499" s="181"/>
      <c r="E1499" s="181"/>
      <c r="F1499" s="181"/>
      <c r="G1499" s="182"/>
      <c r="H1499" s="181"/>
      <c r="I1499" s="182"/>
    </row>
    <row r="1500">
      <c r="A1500" s="181"/>
      <c r="B1500" s="181"/>
      <c r="C1500" s="181"/>
      <c r="D1500" s="181"/>
      <c r="E1500" s="181"/>
      <c r="F1500" s="181"/>
      <c r="G1500" s="182"/>
      <c r="H1500" s="181"/>
      <c r="I1500" s="182"/>
    </row>
    <row r="1501">
      <c r="A1501" s="181"/>
      <c r="B1501" s="181"/>
      <c r="C1501" s="181"/>
      <c r="D1501" s="181"/>
      <c r="E1501" s="181"/>
      <c r="F1501" s="181"/>
      <c r="G1501" s="182"/>
      <c r="H1501" s="181"/>
      <c r="I1501" s="182"/>
    </row>
    <row r="1502">
      <c r="A1502" s="181"/>
      <c r="B1502" s="181"/>
      <c r="C1502" s="181"/>
      <c r="D1502" s="181"/>
      <c r="E1502" s="181"/>
      <c r="F1502" s="181"/>
      <c r="G1502" s="182"/>
      <c r="H1502" s="181"/>
      <c r="I1502" s="182"/>
    </row>
    <row r="1503">
      <c r="A1503" s="181"/>
      <c r="B1503" s="181"/>
      <c r="C1503" s="181"/>
      <c r="D1503" s="181"/>
      <c r="E1503" s="181"/>
      <c r="F1503" s="181"/>
      <c r="G1503" s="182"/>
      <c r="H1503" s="181"/>
      <c r="I1503" s="182"/>
    </row>
    <row r="1504">
      <c r="A1504" s="181"/>
      <c r="B1504" s="181"/>
      <c r="C1504" s="181"/>
      <c r="D1504" s="181"/>
      <c r="E1504" s="181"/>
      <c r="F1504" s="181"/>
      <c r="G1504" s="182"/>
      <c r="H1504" s="181"/>
      <c r="I1504" s="182"/>
    </row>
    <row r="1505">
      <c r="A1505" s="181"/>
      <c r="B1505" s="181"/>
      <c r="C1505" s="181"/>
      <c r="D1505" s="181"/>
      <c r="E1505" s="181"/>
      <c r="F1505" s="181"/>
      <c r="G1505" s="182"/>
      <c r="H1505" s="181"/>
      <c r="I1505" s="182"/>
    </row>
    <row r="1506">
      <c r="A1506" s="181"/>
      <c r="B1506" s="181"/>
      <c r="C1506" s="181"/>
      <c r="D1506" s="181"/>
      <c r="E1506" s="181"/>
      <c r="F1506" s="181"/>
      <c r="G1506" s="182"/>
      <c r="H1506" s="181"/>
      <c r="I1506" s="182"/>
    </row>
    <row r="1507">
      <c r="A1507" s="181"/>
      <c r="B1507" s="181"/>
      <c r="C1507" s="181"/>
      <c r="D1507" s="181"/>
      <c r="E1507" s="181"/>
      <c r="F1507" s="181"/>
      <c r="G1507" s="182"/>
      <c r="H1507" s="181"/>
      <c r="I1507" s="182"/>
    </row>
    <row r="1508">
      <c r="A1508" s="181"/>
      <c r="B1508" s="181"/>
      <c r="C1508" s="181"/>
      <c r="D1508" s="181"/>
      <c r="E1508" s="181"/>
      <c r="F1508" s="181"/>
      <c r="G1508" s="182"/>
      <c r="H1508" s="181"/>
      <c r="I1508" s="182"/>
    </row>
    <row r="1509">
      <c r="A1509" s="181"/>
      <c r="B1509" s="181"/>
      <c r="C1509" s="181"/>
      <c r="D1509" s="181"/>
      <c r="E1509" s="181"/>
      <c r="F1509" s="181"/>
      <c r="G1509" s="182"/>
      <c r="H1509" s="181"/>
      <c r="I1509" s="182"/>
    </row>
    <row r="1510">
      <c r="A1510" s="181"/>
      <c r="B1510" s="181"/>
      <c r="C1510" s="181"/>
      <c r="D1510" s="181"/>
      <c r="E1510" s="181"/>
      <c r="F1510" s="181"/>
      <c r="G1510" s="182"/>
      <c r="H1510" s="181"/>
      <c r="I1510" s="182"/>
    </row>
    <row r="1511">
      <c r="A1511" s="181"/>
      <c r="B1511" s="181"/>
      <c r="C1511" s="181"/>
      <c r="D1511" s="181"/>
      <c r="E1511" s="181"/>
      <c r="F1511" s="181"/>
      <c r="G1511" s="182"/>
      <c r="H1511" s="181"/>
      <c r="I1511" s="182"/>
    </row>
    <row r="1512">
      <c r="A1512" s="181"/>
      <c r="B1512" s="181"/>
      <c r="C1512" s="181"/>
      <c r="D1512" s="181"/>
      <c r="E1512" s="181"/>
      <c r="F1512" s="181"/>
      <c r="G1512" s="182"/>
      <c r="H1512" s="181"/>
      <c r="I1512" s="182"/>
    </row>
    <row r="1513">
      <c r="A1513" s="181"/>
      <c r="B1513" s="181"/>
      <c r="C1513" s="181"/>
      <c r="D1513" s="181"/>
      <c r="E1513" s="181"/>
      <c r="F1513" s="181"/>
      <c r="G1513" s="182"/>
      <c r="H1513" s="181"/>
      <c r="I1513" s="182"/>
    </row>
    <row r="1514">
      <c r="A1514" s="181"/>
      <c r="B1514" s="181"/>
      <c r="C1514" s="181"/>
      <c r="D1514" s="181"/>
      <c r="E1514" s="181"/>
      <c r="F1514" s="181"/>
      <c r="G1514" s="182"/>
      <c r="H1514" s="181"/>
      <c r="I1514" s="182"/>
    </row>
    <row r="1515">
      <c r="A1515" s="181"/>
      <c r="B1515" s="181"/>
      <c r="C1515" s="181"/>
      <c r="D1515" s="181"/>
      <c r="E1515" s="181"/>
      <c r="F1515" s="181"/>
      <c r="G1515" s="182"/>
      <c r="H1515" s="181"/>
      <c r="I1515" s="182"/>
    </row>
    <row r="1516">
      <c r="A1516" s="181"/>
      <c r="B1516" s="181"/>
      <c r="C1516" s="181"/>
      <c r="D1516" s="181"/>
      <c r="E1516" s="181"/>
      <c r="F1516" s="181"/>
      <c r="G1516" s="182"/>
      <c r="H1516" s="181"/>
      <c r="I1516" s="182"/>
    </row>
    <row r="1517">
      <c r="A1517" s="181"/>
      <c r="B1517" s="181"/>
      <c r="C1517" s="181"/>
      <c r="D1517" s="181"/>
      <c r="E1517" s="181"/>
      <c r="F1517" s="181"/>
      <c r="G1517" s="182"/>
      <c r="H1517" s="181"/>
      <c r="I1517" s="182"/>
    </row>
    <row r="1518">
      <c r="A1518" s="181"/>
      <c r="B1518" s="181"/>
      <c r="C1518" s="181"/>
      <c r="D1518" s="181"/>
      <c r="E1518" s="181"/>
      <c r="F1518" s="181"/>
      <c r="G1518" s="182"/>
      <c r="H1518" s="181"/>
      <c r="I1518" s="182"/>
    </row>
    <row r="1519">
      <c r="A1519" s="181"/>
      <c r="B1519" s="181"/>
      <c r="C1519" s="181"/>
      <c r="D1519" s="181"/>
      <c r="E1519" s="181"/>
      <c r="F1519" s="181"/>
      <c r="G1519" s="182"/>
      <c r="H1519" s="181"/>
      <c r="I1519" s="182"/>
    </row>
    <row r="1520">
      <c r="A1520" s="181"/>
      <c r="B1520" s="181"/>
      <c r="C1520" s="181"/>
      <c r="D1520" s="181"/>
      <c r="E1520" s="181"/>
      <c r="F1520" s="181"/>
      <c r="G1520" s="182"/>
      <c r="H1520" s="181"/>
      <c r="I1520" s="182"/>
    </row>
    <row r="1521">
      <c r="A1521" s="181"/>
      <c r="B1521" s="181"/>
      <c r="C1521" s="181"/>
      <c r="D1521" s="181"/>
      <c r="E1521" s="181"/>
      <c r="F1521" s="181"/>
      <c r="G1521" s="182"/>
      <c r="H1521" s="181"/>
      <c r="I1521" s="182"/>
    </row>
    <row r="1522">
      <c r="A1522" s="181"/>
      <c r="B1522" s="181"/>
      <c r="C1522" s="181"/>
      <c r="D1522" s="181"/>
      <c r="E1522" s="181"/>
      <c r="F1522" s="181"/>
      <c r="G1522" s="182"/>
      <c r="H1522" s="181"/>
      <c r="I1522" s="182"/>
    </row>
    <row r="1523">
      <c r="A1523" s="181"/>
      <c r="B1523" s="181"/>
      <c r="C1523" s="181"/>
      <c r="D1523" s="181"/>
      <c r="E1523" s="181"/>
      <c r="F1523" s="181"/>
      <c r="G1523" s="182"/>
      <c r="H1523" s="181"/>
      <c r="I1523" s="182"/>
    </row>
    <row r="1524">
      <c r="A1524" s="181"/>
      <c r="B1524" s="181"/>
      <c r="C1524" s="181"/>
      <c r="D1524" s="181"/>
      <c r="E1524" s="181"/>
      <c r="F1524" s="181"/>
      <c r="G1524" s="182"/>
      <c r="H1524" s="181"/>
      <c r="I1524" s="182"/>
    </row>
    <row r="1525">
      <c r="A1525" s="181"/>
      <c r="B1525" s="181"/>
      <c r="C1525" s="181"/>
      <c r="D1525" s="181"/>
      <c r="E1525" s="181"/>
      <c r="F1525" s="181"/>
      <c r="G1525" s="182"/>
      <c r="H1525" s="181"/>
      <c r="I1525" s="182"/>
    </row>
    <row r="1526">
      <c r="A1526" s="181"/>
      <c r="B1526" s="181"/>
      <c r="C1526" s="181"/>
      <c r="D1526" s="181"/>
      <c r="E1526" s="181"/>
      <c r="F1526" s="181"/>
      <c r="G1526" s="182"/>
      <c r="H1526" s="181"/>
      <c r="I1526" s="182"/>
    </row>
    <row r="1527">
      <c r="A1527" s="181"/>
      <c r="B1527" s="181"/>
      <c r="C1527" s="181"/>
      <c r="D1527" s="181"/>
      <c r="E1527" s="181"/>
      <c r="F1527" s="181"/>
      <c r="G1527" s="182"/>
      <c r="H1527" s="181"/>
      <c r="I1527" s="182"/>
    </row>
    <row r="1528">
      <c r="A1528" s="181"/>
      <c r="B1528" s="181"/>
      <c r="C1528" s="181"/>
      <c r="D1528" s="181"/>
      <c r="E1528" s="181"/>
      <c r="F1528" s="181"/>
      <c r="G1528" s="182"/>
      <c r="H1528" s="181"/>
      <c r="I1528" s="182"/>
    </row>
    <row r="1529">
      <c r="A1529" s="181"/>
      <c r="B1529" s="181"/>
      <c r="C1529" s="181"/>
      <c r="D1529" s="181"/>
      <c r="E1529" s="181"/>
      <c r="F1529" s="181"/>
      <c r="G1529" s="182"/>
      <c r="H1529" s="181"/>
      <c r="I1529" s="182"/>
    </row>
    <row r="1530">
      <c r="A1530" s="181"/>
      <c r="B1530" s="181"/>
      <c r="C1530" s="181"/>
      <c r="D1530" s="181"/>
      <c r="E1530" s="181"/>
      <c r="F1530" s="181"/>
      <c r="G1530" s="182"/>
      <c r="H1530" s="181"/>
      <c r="I1530" s="182"/>
    </row>
    <row r="1531">
      <c r="A1531" s="181"/>
      <c r="B1531" s="181"/>
      <c r="C1531" s="181"/>
      <c r="D1531" s="181"/>
      <c r="E1531" s="181"/>
      <c r="F1531" s="181"/>
      <c r="G1531" s="182"/>
      <c r="H1531" s="181"/>
      <c r="I1531" s="182"/>
    </row>
    <row r="1532">
      <c r="A1532" s="181"/>
      <c r="B1532" s="181"/>
      <c r="C1532" s="181"/>
      <c r="D1532" s="181"/>
      <c r="E1532" s="181"/>
      <c r="F1532" s="181"/>
      <c r="G1532" s="182"/>
      <c r="H1532" s="181"/>
      <c r="I1532" s="182"/>
    </row>
    <row r="1533">
      <c r="A1533" s="181"/>
      <c r="B1533" s="181"/>
      <c r="C1533" s="181"/>
      <c r="D1533" s="181"/>
      <c r="E1533" s="181"/>
      <c r="F1533" s="181"/>
      <c r="G1533" s="182"/>
      <c r="H1533" s="181"/>
      <c r="I1533" s="182"/>
    </row>
    <row r="1534">
      <c r="A1534" s="181"/>
      <c r="B1534" s="181"/>
      <c r="C1534" s="181"/>
      <c r="D1534" s="181"/>
      <c r="E1534" s="181"/>
      <c r="F1534" s="181"/>
      <c r="G1534" s="182"/>
      <c r="H1534" s="181"/>
      <c r="I1534" s="182"/>
    </row>
    <row r="1535">
      <c r="A1535" s="181"/>
      <c r="B1535" s="181"/>
      <c r="C1535" s="181"/>
      <c r="D1535" s="181"/>
      <c r="E1535" s="181"/>
      <c r="F1535" s="181"/>
      <c r="G1535" s="182"/>
      <c r="H1535" s="181"/>
      <c r="I1535" s="182"/>
    </row>
    <row r="1536">
      <c r="A1536" s="181"/>
      <c r="B1536" s="181"/>
      <c r="C1536" s="181"/>
      <c r="D1536" s="181"/>
      <c r="E1536" s="181"/>
      <c r="F1536" s="181"/>
      <c r="G1536" s="182"/>
      <c r="H1536" s="181"/>
      <c r="I1536" s="182"/>
    </row>
    <row r="1537">
      <c r="A1537" s="181"/>
      <c r="B1537" s="181"/>
      <c r="C1537" s="181"/>
      <c r="D1537" s="181"/>
      <c r="E1537" s="181"/>
      <c r="F1537" s="181"/>
      <c r="G1537" s="182"/>
      <c r="H1537" s="181"/>
      <c r="I1537" s="182"/>
    </row>
    <row r="1538">
      <c r="A1538" s="181"/>
      <c r="B1538" s="181"/>
      <c r="C1538" s="181"/>
      <c r="D1538" s="181"/>
      <c r="E1538" s="181"/>
      <c r="F1538" s="181"/>
      <c r="G1538" s="182"/>
      <c r="H1538" s="181"/>
      <c r="I1538" s="182"/>
    </row>
    <row r="1539">
      <c r="A1539" s="181"/>
      <c r="B1539" s="181"/>
      <c r="C1539" s="181"/>
      <c r="D1539" s="181"/>
      <c r="E1539" s="181"/>
      <c r="F1539" s="181"/>
      <c r="G1539" s="182"/>
      <c r="H1539" s="181"/>
      <c r="I1539" s="182"/>
    </row>
    <row r="1540">
      <c r="A1540" s="181"/>
      <c r="B1540" s="181"/>
      <c r="C1540" s="181"/>
      <c r="D1540" s="181"/>
      <c r="E1540" s="181"/>
      <c r="F1540" s="181"/>
      <c r="G1540" s="182"/>
      <c r="H1540" s="181"/>
      <c r="I1540" s="182"/>
    </row>
    <row r="1541">
      <c r="A1541" s="181"/>
      <c r="B1541" s="181"/>
      <c r="C1541" s="181"/>
      <c r="D1541" s="181"/>
      <c r="E1541" s="181"/>
      <c r="F1541" s="181"/>
      <c r="G1541" s="182"/>
      <c r="H1541" s="181"/>
      <c r="I1541" s="182"/>
    </row>
    <row r="1542">
      <c r="A1542" s="181"/>
      <c r="B1542" s="181"/>
      <c r="C1542" s="181"/>
      <c r="D1542" s="181"/>
      <c r="E1542" s="181"/>
      <c r="F1542" s="181"/>
      <c r="G1542" s="182"/>
      <c r="H1542" s="181"/>
      <c r="I1542" s="182"/>
    </row>
    <row r="1543">
      <c r="A1543" s="181"/>
      <c r="B1543" s="181"/>
      <c r="C1543" s="181"/>
      <c r="D1543" s="181"/>
      <c r="E1543" s="181"/>
      <c r="F1543" s="181"/>
      <c r="G1543" s="182"/>
      <c r="H1543" s="181"/>
      <c r="I1543" s="182"/>
    </row>
    <row r="1544">
      <c r="A1544" s="181"/>
      <c r="B1544" s="181"/>
      <c r="C1544" s="181"/>
      <c r="D1544" s="181"/>
      <c r="E1544" s="181"/>
      <c r="F1544" s="181"/>
      <c r="G1544" s="182"/>
      <c r="H1544" s="181"/>
      <c r="I1544" s="182"/>
    </row>
    <row r="1545">
      <c r="A1545" s="181"/>
      <c r="B1545" s="181"/>
      <c r="C1545" s="181"/>
      <c r="D1545" s="181"/>
      <c r="E1545" s="181"/>
      <c r="F1545" s="181"/>
      <c r="G1545" s="182"/>
      <c r="H1545" s="181"/>
      <c r="I1545" s="182"/>
    </row>
    <row r="1546">
      <c r="A1546" s="181"/>
      <c r="B1546" s="181"/>
      <c r="C1546" s="181"/>
      <c r="D1546" s="181"/>
      <c r="E1546" s="181"/>
      <c r="F1546" s="181"/>
      <c r="G1546" s="182"/>
      <c r="H1546" s="181"/>
      <c r="I1546" s="182"/>
    </row>
    <row r="1547">
      <c r="A1547" s="181"/>
      <c r="B1547" s="181"/>
      <c r="C1547" s="181"/>
      <c r="D1547" s="181"/>
      <c r="E1547" s="181"/>
      <c r="F1547" s="181"/>
      <c r="G1547" s="182"/>
      <c r="H1547" s="181"/>
      <c r="I1547" s="182"/>
    </row>
    <row r="1548">
      <c r="A1548" s="181"/>
      <c r="B1548" s="181"/>
      <c r="C1548" s="181"/>
      <c r="D1548" s="181"/>
      <c r="E1548" s="181"/>
      <c r="F1548" s="181"/>
      <c r="G1548" s="182"/>
      <c r="H1548" s="181"/>
      <c r="I1548" s="182"/>
    </row>
    <row r="1549">
      <c r="A1549" s="181"/>
      <c r="B1549" s="181"/>
      <c r="C1549" s="181"/>
      <c r="D1549" s="181"/>
      <c r="E1549" s="181"/>
      <c r="F1549" s="181"/>
      <c r="G1549" s="182"/>
      <c r="H1549" s="181"/>
      <c r="I1549" s="182"/>
    </row>
    <row r="1550">
      <c r="A1550" s="181"/>
      <c r="B1550" s="181"/>
      <c r="C1550" s="181"/>
      <c r="D1550" s="181"/>
      <c r="E1550" s="181"/>
      <c r="F1550" s="181"/>
      <c r="G1550" s="182"/>
      <c r="H1550" s="181"/>
      <c r="I1550" s="182"/>
    </row>
    <row r="1551">
      <c r="A1551" s="181"/>
      <c r="B1551" s="181"/>
      <c r="C1551" s="181"/>
      <c r="D1551" s="181"/>
      <c r="E1551" s="181"/>
      <c r="F1551" s="181"/>
      <c r="G1551" s="182"/>
      <c r="H1551" s="181"/>
      <c r="I1551" s="182"/>
    </row>
    <row r="1552">
      <c r="A1552" s="181"/>
      <c r="B1552" s="181"/>
      <c r="C1552" s="181"/>
      <c r="D1552" s="181"/>
      <c r="E1552" s="181"/>
      <c r="F1552" s="181"/>
      <c r="G1552" s="182"/>
      <c r="H1552" s="181"/>
      <c r="I1552" s="182"/>
    </row>
    <row r="1553">
      <c r="A1553" s="181"/>
      <c r="B1553" s="181"/>
      <c r="C1553" s="181"/>
      <c r="D1553" s="181"/>
      <c r="E1553" s="181"/>
      <c r="F1553" s="181"/>
      <c r="G1553" s="182"/>
      <c r="H1553" s="181"/>
      <c r="I1553" s="182"/>
    </row>
    <row r="1554">
      <c r="A1554" s="181"/>
      <c r="B1554" s="181"/>
      <c r="C1554" s="181"/>
      <c r="D1554" s="181"/>
      <c r="E1554" s="181"/>
      <c r="F1554" s="181"/>
      <c r="G1554" s="182"/>
      <c r="H1554" s="181"/>
      <c r="I1554" s="182"/>
    </row>
    <row r="1555">
      <c r="A1555" s="181"/>
      <c r="B1555" s="181"/>
      <c r="C1555" s="181"/>
      <c r="D1555" s="181"/>
      <c r="E1555" s="181"/>
      <c r="F1555" s="181"/>
      <c r="G1555" s="182"/>
      <c r="H1555" s="181"/>
      <c r="I1555" s="182"/>
    </row>
    <row r="1556">
      <c r="A1556" s="181"/>
      <c r="B1556" s="181"/>
      <c r="C1556" s="181"/>
      <c r="D1556" s="181"/>
      <c r="E1556" s="181"/>
      <c r="F1556" s="181"/>
      <c r="G1556" s="182"/>
      <c r="H1556" s="181"/>
      <c r="I1556" s="182"/>
    </row>
    <row r="1557">
      <c r="A1557" s="181"/>
      <c r="B1557" s="181"/>
      <c r="C1557" s="181"/>
      <c r="D1557" s="181"/>
      <c r="E1557" s="181"/>
      <c r="F1557" s="181"/>
      <c r="G1557" s="182"/>
      <c r="H1557" s="181"/>
      <c r="I1557" s="182"/>
    </row>
    <row r="1558">
      <c r="A1558" s="181"/>
      <c r="B1558" s="181"/>
      <c r="C1558" s="181"/>
      <c r="D1558" s="181"/>
      <c r="E1558" s="181"/>
      <c r="F1558" s="181"/>
      <c r="G1558" s="182"/>
      <c r="H1558" s="181"/>
      <c r="I1558" s="182"/>
    </row>
    <row r="1559">
      <c r="A1559" s="181"/>
      <c r="B1559" s="181"/>
      <c r="C1559" s="181"/>
      <c r="D1559" s="181"/>
      <c r="E1559" s="181"/>
      <c r="F1559" s="181"/>
      <c r="G1559" s="182"/>
      <c r="H1559" s="181"/>
      <c r="I1559" s="182"/>
    </row>
    <row r="1560">
      <c r="A1560" s="181"/>
      <c r="B1560" s="181"/>
      <c r="C1560" s="181"/>
      <c r="D1560" s="181"/>
      <c r="E1560" s="181"/>
      <c r="F1560" s="181"/>
      <c r="G1560" s="182"/>
      <c r="H1560" s="181"/>
      <c r="I1560" s="182"/>
    </row>
    <row r="1561">
      <c r="A1561" s="181"/>
      <c r="B1561" s="181"/>
      <c r="C1561" s="181"/>
      <c r="D1561" s="181"/>
      <c r="E1561" s="181"/>
      <c r="F1561" s="181"/>
      <c r="G1561" s="182"/>
      <c r="H1561" s="181"/>
      <c r="I1561" s="182"/>
    </row>
    <row r="1562">
      <c r="A1562" s="181"/>
      <c r="B1562" s="181"/>
      <c r="C1562" s="181"/>
      <c r="D1562" s="181"/>
      <c r="E1562" s="181"/>
      <c r="F1562" s="181"/>
      <c r="G1562" s="182"/>
      <c r="H1562" s="181"/>
      <c r="I1562" s="182"/>
    </row>
    <row r="1563">
      <c r="A1563" s="181"/>
      <c r="B1563" s="181"/>
      <c r="C1563" s="181"/>
      <c r="D1563" s="181"/>
      <c r="E1563" s="181"/>
      <c r="F1563" s="181"/>
      <c r="G1563" s="182"/>
      <c r="H1563" s="181"/>
      <c r="I1563" s="182"/>
    </row>
    <row r="1564">
      <c r="A1564" s="181"/>
      <c r="B1564" s="181"/>
      <c r="C1564" s="181"/>
      <c r="D1564" s="181"/>
      <c r="E1564" s="181"/>
      <c r="F1564" s="181"/>
      <c r="G1564" s="182"/>
      <c r="H1564" s="181"/>
      <c r="I1564" s="182"/>
    </row>
    <row r="1565">
      <c r="A1565" s="181"/>
      <c r="B1565" s="181"/>
      <c r="C1565" s="181"/>
      <c r="D1565" s="181"/>
      <c r="E1565" s="181"/>
      <c r="F1565" s="181"/>
      <c r="G1565" s="182"/>
      <c r="H1565" s="181"/>
      <c r="I1565" s="182"/>
    </row>
    <row r="1566">
      <c r="A1566" s="181"/>
      <c r="B1566" s="181"/>
      <c r="C1566" s="181"/>
      <c r="D1566" s="181"/>
      <c r="E1566" s="181"/>
      <c r="F1566" s="181"/>
      <c r="G1566" s="182"/>
      <c r="H1566" s="181"/>
      <c r="I1566" s="182"/>
    </row>
    <row r="1567">
      <c r="A1567" s="181"/>
      <c r="B1567" s="181"/>
      <c r="C1567" s="181"/>
      <c r="D1567" s="181"/>
      <c r="E1567" s="181"/>
      <c r="F1567" s="181"/>
      <c r="G1567" s="182"/>
      <c r="H1567" s="181"/>
      <c r="I1567" s="182"/>
    </row>
    <row r="1568">
      <c r="A1568" s="181"/>
      <c r="B1568" s="181"/>
      <c r="C1568" s="181"/>
      <c r="D1568" s="181"/>
      <c r="E1568" s="181"/>
      <c r="F1568" s="181"/>
      <c r="G1568" s="182"/>
      <c r="H1568" s="181"/>
      <c r="I1568" s="182"/>
    </row>
    <row r="1569">
      <c r="A1569" s="181"/>
      <c r="B1569" s="181"/>
      <c r="C1569" s="181"/>
      <c r="D1569" s="181"/>
      <c r="E1569" s="181"/>
      <c r="F1569" s="181"/>
      <c r="G1569" s="182"/>
      <c r="H1569" s="181"/>
      <c r="I1569" s="182"/>
    </row>
    <row r="1570">
      <c r="A1570" s="181"/>
      <c r="B1570" s="181"/>
      <c r="C1570" s="181"/>
      <c r="D1570" s="181"/>
      <c r="E1570" s="181"/>
      <c r="F1570" s="181"/>
      <c r="G1570" s="182"/>
      <c r="H1570" s="181"/>
      <c r="I1570" s="182"/>
    </row>
    <row r="1571">
      <c r="A1571" s="181"/>
      <c r="B1571" s="181"/>
      <c r="C1571" s="181"/>
      <c r="D1571" s="181"/>
      <c r="E1571" s="181"/>
      <c r="F1571" s="181"/>
      <c r="G1571" s="182"/>
      <c r="H1571" s="181"/>
      <c r="I1571" s="182"/>
    </row>
    <row r="1572">
      <c r="A1572" s="181"/>
      <c r="B1572" s="181"/>
      <c r="C1572" s="181"/>
      <c r="D1572" s="181"/>
      <c r="E1572" s="181"/>
      <c r="F1572" s="181"/>
      <c r="G1572" s="182"/>
      <c r="H1572" s="181"/>
      <c r="I1572" s="182"/>
    </row>
    <row r="1573">
      <c r="A1573" s="181"/>
      <c r="B1573" s="181"/>
      <c r="C1573" s="181"/>
      <c r="D1573" s="181"/>
      <c r="E1573" s="181"/>
      <c r="F1573" s="181"/>
      <c r="G1573" s="182"/>
      <c r="H1573" s="181"/>
      <c r="I1573" s="182"/>
    </row>
    <row r="1574">
      <c r="A1574" s="181"/>
      <c r="B1574" s="181"/>
      <c r="C1574" s="181"/>
      <c r="D1574" s="181"/>
      <c r="E1574" s="181"/>
      <c r="F1574" s="181"/>
      <c r="G1574" s="182"/>
      <c r="H1574" s="181"/>
      <c r="I1574" s="182"/>
    </row>
    <row r="1575">
      <c r="A1575" s="181"/>
      <c r="B1575" s="181"/>
      <c r="C1575" s="181"/>
      <c r="D1575" s="181"/>
      <c r="E1575" s="181"/>
      <c r="F1575" s="181"/>
      <c r="G1575" s="182"/>
      <c r="H1575" s="181"/>
      <c r="I1575" s="182"/>
    </row>
    <row r="1576">
      <c r="A1576" s="181"/>
      <c r="B1576" s="181"/>
      <c r="C1576" s="181"/>
      <c r="D1576" s="181"/>
      <c r="E1576" s="181"/>
      <c r="F1576" s="181"/>
      <c r="G1576" s="182"/>
      <c r="H1576" s="181"/>
      <c r="I1576" s="182"/>
    </row>
    <row r="1577">
      <c r="A1577" s="181"/>
      <c r="B1577" s="181"/>
      <c r="C1577" s="181"/>
      <c r="D1577" s="181"/>
      <c r="E1577" s="181"/>
      <c r="F1577" s="181"/>
      <c r="G1577" s="182"/>
      <c r="H1577" s="181"/>
      <c r="I1577" s="182"/>
    </row>
    <row r="1578">
      <c r="A1578" s="181"/>
      <c r="B1578" s="181"/>
      <c r="C1578" s="181"/>
      <c r="D1578" s="181"/>
      <c r="E1578" s="181"/>
      <c r="F1578" s="181"/>
      <c r="G1578" s="182"/>
      <c r="H1578" s="181"/>
      <c r="I1578" s="182"/>
    </row>
    <row r="1579">
      <c r="A1579" s="181"/>
      <c r="B1579" s="181"/>
      <c r="C1579" s="181"/>
      <c r="D1579" s="181"/>
      <c r="E1579" s="181"/>
      <c r="F1579" s="181"/>
      <c r="G1579" s="182"/>
      <c r="H1579" s="181"/>
      <c r="I1579" s="182"/>
    </row>
    <row r="1580">
      <c r="A1580" s="181"/>
      <c r="B1580" s="181"/>
      <c r="C1580" s="181"/>
      <c r="D1580" s="181"/>
      <c r="E1580" s="181"/>
      <c r="F1580" s="181"/>
      <c r="G1580" s="182"/>
      <c r="H1580" s="181"/>
      <c r="I1580" s="182"/>
    </row>
    <row r="1581">
      <c r="A1581" s="181"/>
      <c r="B1581" s="181"/>
      <c r="C1581" s="181"/>
      <c r="D1581" s="181"/>
      <c r="E1581" s="181"/>
      <c r="F1581" s="181"/>
      <c r="G1581" s="182"/>
      <c r="H1581" s="181"/>
      <c r="I1581" s="182"/>
    </row>
    <row r="1582">
      <c r="A1582" s="181"/>
      <c r="B1582" s="181"/>
      <c r="C1582" s="181"/>
      <c r="D1582" s="181"/>
      <c r="E1582" s="181"/>
      <c r="F1582" s="181"/>
      <c r="G1582" s="182"/>
      <c r="H1582" s="181"/>
      <c r="I1582" s="182"/>
    </row>
    <row r="1583">
      <c r="A1583" s="181"/>
      <c r="B1583" s="181"/>
      <c r="C1583" s="181"/>
      <c r="D1583" s="181"/>
      <c r="E1583" s="181"/>
      <c r="F1583" s="181"/>
      <c r="G1583" s="182"/>
      <c r="H1583" s="181"/>
      <c r="I1583" s="182"/>
    </row>
    <row r="1584">
      <c r="A1584" s="181"/>
      <c r="B1584" s="181"/>
      <c r="C1584" s="181"/>
      <c r="D1584" s="181"/>
      <c r="E1584" s="181"/>
      <c r="F1584" s="181"/>
      <c r="G1584" s="182"/>
      <c r="H1584" s="181"/>
      <c r="I1584" s="182"/>
    </row>
    <row r="1585">
      <c r="A1585" s="181"/>
      <c r="B1585" s="181"/>
      <c r="C1585" s="181"/>
      <c r="D1585" s="181"/>
      <c r="E1585" s="181"/>
      <c r="F1585" s="181"/>
      <c r="G1585" s="182"/>
      <c r="H1585" s="181"/>
      <c r="I1585" s="182"/>
    </row>
    <row r="1586">
      <c r="A1586" s="181"/>
      <c r="B1586" s="181"/>
      <c r="C1586" s="181"/>
      <c r="D1586" s="181"/>
      <c r="E1586" s="181"/>
      <c r="F1586" s="181"/>
      <c r="G1586" s="182"/>
      <c r="H1586" s="181"/>
      <c r="I1586" s="182"/>
    </row>
    <row r="1587">
      <c r="A1587" s="181"/>
      <c r="B1587" s="181"/>
      <c r="C1587" s="181"/>
      <c r="D1587" s="181"/>
      <c r="E1587" s="181"/>
      <c r="F1587" s="181"/>
      <c r="G1587" s="182"/>
      <c r="H1587" s="181"/>
      <c r="I1587" s="182"/>
    </row>
    <row r="1588">
      <c r="A1588" s="181"/>
      <c r="B1588" s="181"/>
      <c r="C1588" s="181"/>
      <c r="D1588" s="181"/>
      <c r="E1588" s="181"/>
      <c r="F1588" s="181"/>
      <c r="G1588" s="182"/>
      <c r="H1588" s="181"/>
      <c r="I1588" s="182"/>
    </row>
    <row r="1589">
      <c r="A1589" s="181"/>
      <c r="B1589" s="181"/>
      <c r="C1589" s="181"/>
      <c r="D1589" s="181"/>
      <c r="E1589" s="181"/>
      <c r="F1589" s="181"/>
      <c r="G1589" s="182"/>
      <c r="H1589" s="181"/>
      <c r="I1589" s="182"/>
    </row>
    <row r="1590">
      <c r="A1590" s="181"/>
      <c r="B1590" s="181"/>
      <c r="C1590" s="181"/>
      <c r="D1590" s="181"/>
      <c r="E1590" s="181"/>
      <c r="F1590" s="181"/>
      <c r="G1590" s="182"/>
      <c r="H1590" s="181"/>
      <c r="I1590" s="182"/>
    </row>
    <row r="1591">
      <c r="A1591" s="181"/>
      <c r="B1591" s="181"/>
      <c r="C1591" s="181"/>
      <c r="D1591" s="181"/>
      <c r="E1591" s="181"/>
      <c r="F1591" s="181"/>
      <c r="G1591" s="182"/>
      <c r="H1591" s="181"/>
      <c r="I1591" s="182"/>
    </row>
    <row r="1592">
      <c r="A1592" s="181"/>
      <c r="B1592" s="181"/>
      <c r="C1592" s="181"/>
      <c r="D1592" s="181"/>
      <c r="E1592" s="181"/>
      <c r="F1592" s="181"/>
      <c r="G1592" s="182"/>
      <c r="H1592" s="181"/>
      <c r="I1592" s="182"/>
    </row>
    <row r="1593">
      <c r="A1593" s="181"/>
      <c r="B1593" s="181"/>
      <c r="C1593" s="181"/>
      <c r="D1593" s="181"/>
      <c r="E1593" s="181"/>
      <c r="F1593" s="181"/>
      <c r="G1593" s="182"/>
      <c r="H1593" s="181"/>
      <c r="I1593" s="182"/>
    </row>
    <row r="1594">
      <c r="A1594" s="181"/>
      <c r="B1594" s="181"/>
      <c r="C1594" s="181"/>
      <c r="D1594" s="181"/>
      <c r="E1594" s="181"/>
      <c r="F1594" s="181"/>
      <c r="G1594" s="182"/>
      <c r="H1594" s="181"/>
      <c r="I1594" s="182"/>
    </row>
    <row r="1595">
      <c r="A1595" s="181"/>
      <c r="B1595" s="181"/>
      <c r="C1595" s="181"/>
      <c r="D1595" s="181"/>
      <c r="E1595" s="181"/>
      <c r="F1595" s="181"/>
      <c r="G1595" s="182"/>
      <c r="H1595" s="181"/>
      <c r="I1595" s="182"/>
    </row>
    <row r="1596">
      <c r="A1596" s="181"/>
      <c r="B1596" s="181"/>
      <c r="C1596" s="181"/>
      <c r="D1596" s="181"/>
      <c r="E1596" s="181"/>
      <c r="F1596" s="181"/>
      <c r="G1596" s="182"/>
      <c r="H1596" s="181"/>
      <c r="I1596" s="182"/>
    </row>
    <row r="1597">
      <c r="A1597" s="181"/>
      <c r="B1597" s="181"/>
      <c r="C1597" s="181"/>
      <c r="D1597" s="181"/>
      <c r="E1597" s="181"/>
      <c r="F1597" s="181"/>
      <c r="G1597" s="182"/>
      <c r="H1597" s="181"/>
      <c r="I1597" s="182"/>
    </row>
    <row r="1598">
      <c r="A1598" s="181"/>
      <c r="B1598" s="181"/>
      <c r="C1598" s="181"/>
      <c r="D1598" s="181"/>
      <c r="E1598" s="181"/>
      <c r="F1598" s="181"/>
      <c r="G1598" s="182"/>
      <c r="H1598" s="181"/>
      <c r="I1598" s="182"/>
    </row>
    <row r="1599">
      <c r="A1599" s="181"/>
      <c r="B1599" s="181"/>
      <c r="C1599" s="181"/>
      <c r="D1599" s="181"/>
      <c r="E1599" s="181"/>
      <c r="F1599" s="181"/>
      <c r="G1599" s="182"/>
      <c r="H1599" s="181"/>
      <c r="I1599" s="182"/>
    </row>
    <row r="1600">
      <c r="A1600" s="181"/>
      <c r="B1600" s="181"/>
      <c r="C1600" s="181"/>
      <c r="D1600" s="181"/>
      <c r="E1600" s="181"/>
      <c r="F1600" s="181"/>
      <c r="G1600" s="182"/>
      <c r="H1600" s="181"/>
      <c r="I1600" s="182"/>
    </row>
    <row r="1601">
      <c r="A1601" s="181"/>
      <c r="B1601" s="181"/>
      <c r="C1601" s="181"/>
      <c r="D1601" s="181"/>
      <c r="E1601" s="181"/>
      <c r="F1601" s="181"/>
      <c r="G1601" s="182"/>
      <c r="H1601" s="181"/>
      <c r="I1601" s="182"/>
    </row>
    <row r="1602">
      <c r="A1602" s="181"/>
      <c r="B1602" s="181"/>
      <c r="C1602" s="181"/>
      <c r="D1602" s="181"/>
      <c r="E1602" s="181"/>
      <c r="F1602" s="181"/>
      <c r="G1602" s="182"/>
      <c r="H1602" s="181"/>
      <c r="I1602" s="182"/>
    </row>
    <row r="1603">
      <c r="A1603" s="181"/>
      <c r="B1603" s="181"/>
      <c r="C1603" s="181"/>
      <c r="D1603" s="181"/>
      <c r="E1603" s="181"/>
      <c r="F1603" s="181"/>
      <c r="G1603" s="182"/>
      <c r="H1603" s="181"/>
      <c r="I1603" s="182"/>
    </row>
    <row r="1604">
      <c r="A1604" s="181"/>
      <c r="B1604" s="181"/>
      <c r="C1604" s="181"/>
      <c r="D1604" s="181"/>
      <c r="E1604" s="181"/>
      <c r="F1604" s="181"/>
      <c r="G1604" s="182"/>
      <c r="H1604" s="181"/>
      <c r="I1604" s="182"/>
    </row>
    <row r="1605">
      <c r="A1605" s="181"/>
      <c r="B1605" s="181"/>
      <c r="C1605" s="181"/>
      <c r="D1605" s="181"/>
      <c r="E1605" s="181"/>
      <c r="F1605" s="181"/>
      <c r="G1605" s="182"/>
      <c r="H1605" s="181"/>
      <c r="I1605" s="182"/>
    </row>
    <row r="1606">
      <c r="A1606" s="181"/>
      <c r="B1606" s="181"/>
      <c r="C1606" s="181"/>
      <c r="D1606" s="181"/>
      <c r="E1606" s="181"/>
      <c r="F1606" s="181"/>
      <c r="G1606" s="182"/>
      <c r="H1606" s="181"/>
      <c r="I1606" s="182"/>
    </row>
    <row r="1607">
      <c r="A1607" s="181"/>
      <c r="B1607" s="181"/>
      <c r="C1607" s="181"/>
      <c r="D1607" s="181"/>
      <c r="E1607" s="181"/>
      <c r="F1607" s="181"/>
      <c r="G1607" s="182"/>
      <c r="H1607" s="181"/>
      <c r="I1607" s="182"/>
    </row>
    <row r="1608">
      <c r="A1608" s="181"/>
      <c r="B1608" s="181"/>
      <c r="C1608" s="181"/>
      <c r="D1608" s="181"/>
      <c r="E1608" s="181"/>
      <c r="F1608" s="181"/>
      <c r="G1608" s="182"/>
      <c r="H1608" s="181"/>
      <c r="I1608" s="182"/>
    </row>
    <row r="1609">
      <c r="A1609" s="181"/>
      <c r="B1609" s="181"/>
      <c r="C1609" s="181"/>
      <c r="D1609" s="181"/>
      <c r="E1609" s="181"/>
      <c r="F1609" s="181"/>
      <c r="G1609" s="182"/>
      <c r="H1609" s="181"/>
      <c r="I1609" s="182"/>
    </row>
    <row r="1610">
      <c r="A1610" s="181"/>
      <c r="B1610" s="181"/>
      <c r="C1610" s="181"/>
      <c r="D1610" s="181"/>
      <c r="E1610" s="181"/>
      <c r="F1610" s="181"/>
      <c r="G1610" s="182"/>
      <c r="H1610" s="181"/>
      <c r="I1610" s="182"/>
    </row>
    <row r="1611">
      <c r="A1611" s="181"/>
      <c r="B1611" s="181"/>
      <c r="C1611" s="181"/>
      <c r="D1611" s="181"/>
      <c r="E1611" s="181"/>
      <c r="F1611" s="181"/>
      <c r="G1611" s="182"/>
      <c r="H1611" s="181"/>
      <c r="I1611" s="182"/>
    </row>
    <row r="1612">
      <c r="A1612" s="181"/>
      <c r="B1612" s="181"/>
      <c r="C1612" s="181"/>
      <c r="D1612" s="181"/>
      <c r="E1612" s="181"/>
      <c r="F1612" s="181"/>
      <c r="G1612" s="182"/>
      <c r="H1612" s="181"/>
      <c r="I1612" s="182"/>
    </row>
    <row r="1613">
      <c r="A1613" s="181"/>
      <c r="B1613" s="181"/>
      <c r="C1613" s="181"/>
      <c r="D1613" s="181"/>
      <c r="E1613" s="181"/>
      <c r="F1613" s="181"/>
      <c r="G1613" s="182"/>
      <c r="H1613" s="181"/>
      <c r="I1613" s="182"/>
    </row>
    <row r="1614">
      <c r="A1614" s="181"/>
      <c r="B1614" s="181"/>
      <c r="C1614" s="181"/>
      <c r="D1614" s="181"/>
      <c r="E1614" s="181"/>
      <c r="F1614" s="181"/>
      <c r="G1614" s="182"/>
      <c r="H1614" s="181"/>
      <c r="I1614" s="182"/>
    </row>
    <row r="1615">
      <c r="A1615" s="181"/>
      <c r="B1615" s="181"/>
      <c r="C1615" s="181"/>
      <c r="D1615" s="181"/>
      <c r="E1615" s="181"/>
      <c r="F1615" s="181"/>
      <c r="G1615" s="182"/>
      <c r="H1615" s="181"/>
      <c r="I1615" s="182"/>
    </row>
    <row r="1616">
      <c r="A1616" s="181"/>
      <c r="B1616" s="181"/>
      <c r="C1616" s="181"/>
      <c r="D1616" s="181"/>
      <c r="E1616" s="181"/>
      <c r="F1616" s="181"/>
      <c r="G1616" s="182"/>
      <c r="H1616" s="181"/>
      <c r="I1616" s="182"/>
    </row>
    <row r="1617">
      <c r="A1617" s="181"/>
      <c r="B1617" s="181"/>
      <c r="C1617" s="181"/>
      <c r="D1617" s="181"/>
      <c r="E1617" s="181"/>
      <c r="F1617" s="181"/>
      <c r="G1617" s="182"/>
      <c r="H1617" s="181"/>
      <c r="I1617" s="182"/>
    </row>
    <row r="1618">
      <c r="A1618" s="181"/>
      <c r="B1618" s="181"/>
      <c r="C1618" s="181"/>
      <c r="D1618" s="181"/>
      <c r="E1618" s="181"/>
      <c r="F1618" s="181"/>
      <c r="G1618" s="182"/>
      <c r="H1618" s="181"/>
      <c r="I1618" s="182"/>
    </row>
    <row r="1619">
      <c r="A1619" s="181"/>
      <c r="B1619" s="181"/>
      <c r="C1619" s="181"/>
      <c r="D1619" s="181"/>
      <c r="E1619" s="181"/>
      <c r="F1619" s="181"/>
      <c r="G1619" s="182"/>
      <c r="H1619" s="181"/>
      <c r="I1619" s="182"/>
    </row>
    <row r="1620">
      <c r="A1620" s="181"/>
      <c r="B1620" s="181"/>
      <c r="C1620" s="181"/>
      <c r="D1620" s="181"/>
      <c r="E1620" s="181"/>
      <c r="F1620" s="181"/>
      <c r="G1620" s="182"/>
      <c r="H1620" s="181"/>
      <c r="I1620" s="182"/>
    </row>
    <row r="1621">
      <c r="A1621" s="181"/>
      <c r="B1621" s="181"/>
      <c r="C1621" s="181"/>
      <c r="D1621" s="181"/>
      <c r="E1621" s="181"/>
      <c r="F1621" s="181"/>
      <c r="G1621" s="182"/>
      <c r="H1621" s="181"/>
      <c r="I1621" s="182"/>
    </row>
    <row r="1622">
      <c r="A1622" s="181"/>
      <c r="B1622" s="181"/>
      <c r="C1622" s="181"/>
      <c r="D1622" s="181"/>
      <c r="E1622" s="181"/>
      <c r="F1622" s="181"/>
      <c r="G1622" s="182"/>
      <c r="H1622" s="181"/>
      <c r="I1622" s="182"/>
    </row>
    <row r="1623">
      <c r="A1623" s="181"/>
      <c r="B1623" s="181"/>
      <c r="C1623" s="181"/>
      <c r="D1623" s="181"/>
      <c r="E1623" s="181"/>
      <c r="F1623" s="181"/>
      <c r="G1623" s="182"/>
      <c r="H1623" s="181"/>
      <c r="I1623" s="182"/>
    </row>
    <row r="1624">
      <c r="A1624" s="181"/>
      <c r="B1624" s="181"/>
      <c r="C1624" s="181"/>
      <c r="D1624" s="181"/>
      <c r="E1624" s="181"/>
      <c r="F1624" s="181"/>
      <c r="G1624" s="182"/>
      <c r="H1624" s="181"/>
      <c r="I1624" s="182"/>
    </row>
    <row r="1625">
      <c r="A1625" s="181"/>
      <c r="B1625" s="181"/>
      <c r="C1625" s="181"/>
      <c r="D1625" s="181"/>
      <c r="E1625" s="181"/>
      <c r="F1625" s="181"/>
      <c r="G1625" s="182"/>
      <c r="H1625" s="181"/>
      <c r="I1625" s="182"/>
    </row>
    <row r="1626">
      <c r="A1626" s="181"/>
      <c r="B1626" s="181"/>
      <c r="C1626" s="181"/>
      <c r="D1626" s="181"/>
      <c r="E1626" s="181"/>
      <c r="F1626" s="181"/>
      <c r="G1626" s="182"/>
      <c r="H1626" s="181"/>
      <c r="I1626" s="182"/>
    </row>
    <row r="1627">
      <c r="A1627" s="181"/>
      <c r="B1627" s="181"/>
      <c r="C1627" s="181"/>
      <c r="D1627" s="181"/>
      <c r="E1627" s="181"/>
      <c r="F1627" s="181"/>
      <c r="G1627" s="182"/>
      <c r="H1627" s="181"/>
      <c r="I1627" s="182"/>
    </row>
    <row r="1628">
      <c r="A1628" s="181"/>
      <c r="B1628" s="181"/>
      <c r="C1628" s="181"/>
      <c r="D1628" s="181"/>
      <c r="E1628" s="181"/>
      <c r="F1628" s="181"/>
      <c r="G1628" s="182"/>
      <c r="H1628" s="181"/>
      <c r="I1628" s="182"/>
    </row>
    <row r="1629">
      <c r="A1629" s="181"/>
      <c r="B1629" s="181"/>
      <c r="C1629" s="181"/>
      <c r="D1629" s="181"/>
      <c r="E1629" s="181"/>
      <c r="F1629" s="181"/>
      <c r="G1629" s="182"/>
      <c r="H1629" s="181"/>
      <c r="I1629" s="182"/>
    </row>
    <row r="1630">
      <c r="A1630" s="181"/>
      <c r="B1630" s="181"/>
      <c r="C1630" s="181"/>
      <c r="D1630" s="181"/>
      <c r="E1630" s="181"/>
      <c r="F1630" s="181"/>
      <c r="G1630" s="182"/>
      <c r="H1630" s="181"/>
      <c r="I1630" s="182"/>
    </row>
    <row r="1631">
      <c r="A1631" s="181"/>
      <c r="B1631" s="181"/>
      <c r="C1631" s="181"/>
      <c r="D1631" s="181"/>
      <c r="E1631" s="181"/>
      <c r="F1631" s="181"/>
      <c r="G1631" s="182"/>
      <c r="H1631" s="181"/>
      <c r="I1631" s="182"/>
    </row>
    <row r="1632">
      <c r="A1632" s="181"/>
      <c r="B1632" s="181"/>
      <c r="C1632" s="181"/>
      <c r="D1632" s="181"/>
      <c r="E1632" s="181"/>
      <c r="F1632" s="181"/>
      <c r="G1632" s="182"/>
      <c r="H1632" s="181"/>
      <c r="I1632" s="182"/>
    </row>
    <row r="1633">
      <c r="A1633" s="181"/>
      <c r="B1633" s="181"/>
      <c r="C1633" s="181"/>
      <c r="D1633" s="181"/>
      <c r="E1633" s="181"/>
      <c r="F1633" s="181"/>
      <c r="G1633" s="182"/>
      <c r="H1633" s="181"/>
      <c r="I1633" s="182"/>
    </row>
    <row r="1634">
      <c r="A1634" s="181"/>
      <c r="B1634" s="181"/>
      <c r="C1634" s="181"/>
      <c r="D1634" s="181"/>
      <c r="E1634" s="181"/>
      <c r="F1634" s="181"/>
      <c r="G1634" s="182"/>
      <c r="H1634" s="181"/>
      <c r="I1634" s="182"/>
    </row>
    <row r="1635">
      <c r="A1635" s="181"/>
      <c r="B1635" s="181"/>
      <c r="C1635" s="181"/>
      <c r="D1635" s="181"/>
      <c r="E1635" s="181"/>
      <c r="F1635" s="181"/>
      <c r="G1635" s="182"/>
      <c r="H1635" s="181"/>
      <c r="I1635" s="182"/>
    </row>
    <row r="1636">
      <c r="A1636" s="181"/>
      <c r="B1636" s="181"/>
      <c r="C1636" s="181"/>
      <c r="D1636" s="181"/>
      <c r="E1636" s="181"/>
      <c r="F1636" s="181"/>
      <c r="G1636" s="182"/>
      <c r="H1636" s="181"/>
      <c r="I1636" s="182"/>
    </row>
    <row r="1637">
      <c r="A1637" s="181"/>
      <c r="B1637" s="181"/>
      <c r="C1637" s="181"/>
      <c r="D1637" s="181"/>
      <c r="E1637" s="181"/>
      <c r="F1637" s="181"/>
      <c r="G1637" s="182"/>
      <c r="H1637" s="181"/>
      <c r="I1637" s="182"/>
    </row>
    <row r="1638">
      <c r="A1638" s="181"/>
      <c r="B1638" s="181"/>
      <c r="C1638" s="181"/>
      <c r="D1638" s="181"/>
      <c r="E1638" s="181"/>
      <c r="F1638" s="181"/>
      <c r="G1638" s="182"/>
      <c r="H1638" s="181"/>
      <c r="I1638" s="182"/>
    </row>
    <row r="1639">
      <c r="A1639" s="181"/>
      <c r="B1639" s="181"/>
      <c r="C1639" s="181"/>
      <c r="D1639" s="181"/>
      <c r="E1639" s="181"/>
      <c r="F1639" s="181"/>
      <c r="G1639" s="182"/>
      <c r="H1639" s="181"/>
      <c r="I1639" s="182"/>
    </row>
    <row r="1640">
      <c r="A1640" s="181"/>
      <c r="B1640" s="181"/>
      <c r="C1640" s="181"/>
      <c r="D1640" s="181"/>
      <c r="E1640" s="181"/>
      <c r="F1640" s="181"/>
      <c r="G1640" s="182"/>
      <c r="H1640" s="181"/>
      <c r="I1640" s="182"/>
    </row>
    <row r="1641">
      <c r="A1641" s="181"/>
      <c r="B1641" s="181"/>
      <c r="C1641" s="181"/>
      <c r="D1641" s="181"/>
      <c r="E1641" s="181"/>
      <c r="F1641" s="181"/>
      <c r="G1641" s="182"/>
      <c r="H1641" s="181"/>
      <c r="I1641" s="182"/>
    </row>
    <row r="1642">
      <c r="A1642" s="181"/>
      <c r="B1642" s="181"/>
      <c r="C1642" s="181"/>
      <c r="D1642" s="181"/>
      <c r="E1642" s="181"/>
      <c r="F1642" s="181"/>
      <c r="G1642" s="182"/>
      <c r="H1642" s="181"/>
      <c r="I1642" s="182"/>
    </row>
    <row r="1643">
      <c r="A1643" s="181"/>
      <c r="B1643" s="181"/>
      <c r="C1643" s="181"/>
      <c r="D1643" s="181"/>
      <c r="E1643" s="181"/>
      <c r="F1643" s="181"/>
      <c r="G1643" s="182"/>
      <c r="H1643" s="181"/>
      <c r="I1643" s="182"/>
    </row>
    <row r="1644">
      <c r="A1644" s="181"/>
      <c r="B1644" s="181"/>
      <c r="C1644" s="181"/>
      <c r="D1644" s="181"/>
      <c r="E1644" s="181"/>
      <c r="F1644" s="181"/>
      <c r="G1644" s="182"/>
      <c r="H1644" s="181"/>
      <c r="I1644" s="182"/>
    </row>
    <row r="1645">
      <c r="A1645" s="181"/>
      <c r="B1645" s="181"/>
      <c r="C1645" s="181"/>
      <c r="D1645" s="181"/>
      <c r="E1645" s="181"/>
      <c r="F1645" s="181"/>
      <c r="G1645" s="182"/>
      <c r="H1645" s="181"/>
      <c r="I1645" s="182"/>
    </row>
    <row r="1646">
      <c r="A1646" s="181"/>
      <c r="B1646" s="181"/>
      <c r="C1646" s="181"/>
      <c r="D1646" s="181"/>
      <c r="E1646" s="181"/>
      <c r="F1646" s="181"/>
      <c r="G1646" s="182"/>
      <c r="H1646" s="181"/>
      <c r="I1646" s="182"/>
    </row>
    <row r="1647">
      <c r="A1647" s="181"/>
      <c r="B1647" s="181"/>
      <c r="C1647" s="181"/>
      <c r="D1647" s="181"/>
      <c r="E1647" s="181"/>
      <c r="F1647" s="181"/>
      <c r="G1647" s="182"/>
      <c r="H1647" s="181"/>
      <c r="I1647" s="182"/>
    </row>
    <row r="1648">
      <c r="A1648" s="181"/>
      <c r="B1648" s="181"/>
      <c r="C1648" s="181"/>
      <c r="D1648" s="181"/>
      <c r="E1648" s="181"/>
      <c r="F1648" s="181"/>
      <c r="G1648" s="182"/>
      <c r="H1648" s="181"/>
      <c r="I1648" s="182"/>
    </row>
    <row r="1649">
      <c r="A1649" s="181"/>
      <c r="B1649" s="181"/>
      <c r="C1649" s="181"/>
      <c r="D1649" s="181"/>
      <c r="E1649" s="181"/>
      <c r="F1649" s="181"/>
      <c r="G1649" s="182"/>
      <c r="H1649" s="181"/>
      <c r="I1649" s="182"/>
    </row>
    <row r="1650">
      <c r="A1650" s="181"/>
      <c r="B1650" s="181"/>
      <c r="C1650" s="181"/>
      <c r="D1650" s="181"/>
      <c r="E1650" s="181"/>
      <c r="F1650" s="181"/>
      <c r="G1650" s="182"/>
      <c r="H1650" s="181"/>
      <c r="I1650" s="182"/>
    </row>
    <row r="1651">
      <c r="A1651" s="181"/>
      <c r="B1651" s="181"/>
      <c r="C1651" s="181"/>
      <c r="D1651" s="181"/>
      <c r="E1651" s="181"/>
      <c r="F1651" s="181"/>
      <c r="G1651" s="182"/>
      <c r="H1651" s="181"/>
      <c r="I1651" s="182"/>
    </row>
    <row r="1652">
      <c r="A1652" s="181"/>
      <c r="B1652" s="181"/>
      <c r="C1652" s="181"/>
      <c r="D1652" s="181"/>
      <c r="E1652" s="181"/>
      <c r="F1652" s="181"/>
      <c r="G1652" s="182"/>
      <c r="H1652" s="181"/>
      <c r="I1652" s="182"/>
    </row>
    <row r="1653">
      <c r="A1653" s="181"/>
      <c r="B1653" s="181"/>
      <c r="C1653" s="181"/>
      <c r="D1653" s="181"/>
      <c r="E1653" s="181"/>
      <c r="F1653" s="181"/>
      <c r="G1653" s="182"/>
      <c r="H1653" s="181"/>
      <c r="I1653" s="182"/>
    </row>
    <row r="1654">
      <c r="A1654" s="181"/>
      <c r="B1654" s="181"/>
      <c r="C1654" s="181"/>
      <c r="D1654" s="181"/>
      <c r="E1654" s="181"/>
      <c r="F1654" s="181"/>
      <c r="G1654" s="182"/>
      <c r="H1654" s="181"/>
      <c r="I1654" s="182"/>
    </row>
    <row r="1655">
      <c r="A1655" s="181"/>
      <c r="B1655" s="181"/>
      <c r="C1655" s="181"/>
      <c r="D1655" s="181"/>
      <c r="E1655" s="181"/>
      <c r="F1655" s="181"/>
      <c r="G1655" s="182"/>
      <c r="H1655" s="181"/>
      <c r="I1655" s="182"/>
    </row>
    <row r="1656">
      <c r="A1656" s="181"/>
      <c r="B1656" s="181"/>
      <c r="C1656" s="181"/>
      <c r="D1656" s="181"/>
      <c r="E1656" s="181"/>
      <c r="F1656" s="181"/>
      <c r="G1656" s="182"/>
      <c r="H1656" s="181"/>
      <c r="I1656" s="182"/>
    </row>
    <row r="1657">
      <c r="A1657" s="181"/>
      <c r="B1657" s="181"/>
      <c r="C1657" s="181"/>
      <c r="D1657" s="181"/>
      <c r="E1657" s="181"/>
      <c r="F1657" s="181"/>
      <c r="G1657" s="182"/>
      <c r="H1657" s="181"/>
      <c r="I1657" s="182"/>
    </row>
    <row r="1658">
      <c r="A1658" s="181"/>
      <c r="B1658" s="181"/>
      <c r="C1658" s="181"/>
      <c r="D1658" s="181"/>
      <c r="E1658" s="181"/>
      <c r="F1658" s="181"/>
      <c r="G1658" s="182"/>
      <c r="H1658" s="181"/>
      <c r="I1658" s="182"/>
    </row>
    <row r="1659">
      <c r="A1659" s="181"/>
      <c r="B1659" s="181"/>
      <c r="C1659" s="181"/>
      <c r="D1659" s="181"/>
      <c r="E1659" s="181"/>
      <c r="F1659" s="181"/>
      <c r="G1659" s="182"/>
      <c r="H1659" s="181"/>
      <c r="I1659" s="182"/>
    </row>
    <row r="1660">
      <c r="A1660" s="181"/>
      <c r="B1660" s="181"/>
      <c r="C1660" s="181"/>
      <c r="D1660" s="181"/>
      <c r="E1660" s="181"/>
      <c r="F1660" s="181"/>
      <c r="G1660" s="182"/>
      <c r="H1660" s="181"/>
      <c r="I1660" s="182"/>
    </row>
    <row r="1661">
      <c r="A1661" s="181"/>
      <c r="B1661" s="181"/>
      <c r="C1661" s="181"/>
      <c r="D1661" s="181"/>
      <c r="E1661" s="181"/>
      <c r="F1661" s="181"/>
      <c r="G1661" s="182"/>
      <c r="H1661" s="181"/>
      <c r="I1661" s="182"/>
    </row>
    <row r="1662">
      <c r="A1662" s="181"/>
      <c r="B1662" s="181"/>
      <c r="C1662" s="181"/>
      <c r="D1662" s="181"/>
      <c r="E1662" s="181"/>
      <c r="F1662" s="181"/>
      <c r="G1662" s="182"/>
      <c r="H1662" s="181"/>
      <c r="I1662" s="182"/>
    </row>
    <row r="1663">
      <c r="A1663" s="181"/>
      <c r="B1663" s="181"/>
      <c r="C1663" s="181"/>
      <c r="D1663" s="181"/>
      <c r="E1663" s="181"/>
      <c r="F1663" s="181"/>
      <c r="G1663" s="182"/>
      <c r="H1663" s="181"/>
      <c r="I1663" s="182"/>
    </row>
    <row r="1664">
      <c r="A1664" s="181"/>
      <c r="B1664" s="181"/>
      <c r="C1664" s="181"/>
      <c r="D1664" s="181"/>
      <c r="E1664" s="181"/>
      <c r="F1664" s="181"/>
      <c r="G1664" s="182"/>
      <c r="H1664" s="181"/>
      <c r="I1664" s="182"/>
    </row>
    <row r="1665">
      <c r="A1665" s="181"/>
      <c r="B1665" s="181"/>
      <c r="C1665" s="181"/>
      <c r="D1665" s="181"/>
      <c r="E1665" s="181"/>
      <c r="F1665" s="181"/>
      <c r="G1665" s="182"/>
      <c r="H1665" s="181"/>
      <c r="I1665" s="182"/>
    </row>
    <row r="1666">
      <c r="A1666" s="181"/>
      <c r="B1666" s="181"/>
      <c r="C1666" s="181"/>
      <c r="D1666" s="181"/>
      <c r="E1666" s="181"/>
      <c r="F1666" s="181"/>
      <c r="G1666" s="182"/>
      <c r="H1666" s="181"/>
      <c r="I1666" s="182"/>
    </row>
    <row r="1667">
      <c r="A1667" s="181"/>
      <c r="B1667" s="181"/>
      <c r="C1667" s="181"/>
      <c r="D1667" s="181"/>
      <c r="E1667" s="181"/>
      <c r="F1667" s="181"/>
      <c r="G1667" s="182"/>
      <c r="H1667" s="181"/>
      <c r="I1667" s="182"/>
    </row>
    <row r="1668">
      <c r="A1668" s="181"/>
      <c r="B1668" s="181"/>
      <c r="C1668" s="181"/>
      <c r="D1668" s="181"/>
      <c r="E1668" s="181"/>
      <c r="F1668" s="181"/>
      <c r="G1668" s="182"/>
      <c r="H1668" s="181"/>
      <c r="I1668" s="182"/>
    </row>
    <row r="1669">
      <c r="A1669" s="181"/>
      <c r="B1669" s="181"/>
      <c r="C1669" s="181"/>
      <c r="D1669" s="181"/>
      <c r="E1669" s="181"/>
      <c r="F1669" s="181"/>
      <c r="G1669" s="182"/>
      <c r="H1669" s="181"/>
      <c r="I1669" s="182"/>
    </row>
    <row r="1670">
      <c r="A1670" s="181"/>
      <c r="B1670" s="181"/>
      <c r="C1670" s="181"/>
      <c r="D1670" s="181"/>
      <c r="E1670" s="181"/>
      <c r="F1670" s="181"/>
      <c r="G1670" s="182"/>
      <c r="H1670" s="181"/>
      <c r="I1670" s="182"/>
    </row>
    <row r="1671">
      <c r="A1671" s="181"/>
      <c r="B1671" s="181"/>
      <c r="C1671" s="181"/>
      <c r="D1671" s="181"/>
      <c r="E1671" s="181"/>
      <c r="F1671" s="181"/>
      <c r="G1671" s="182"/>
      <c r="H1671" s="181"/>
      <c r="I1671" s="182"/>
    </row>
    <row r="1672">
      <c r="A1672" s="181"/>
      <c r="B1672" s="181"/>
      <c r="C1672" s="181"/>
      <c r="D1672" s="181"/>
      <c r="E1672" s="181"/>
      <c r="F1672" s="181"/>
      <c r="G1672" s="182"/>
      <c r="H1672" s="181"/>
      <c r="I1672" s="182"/>
    </row>
    <row r="1673">
      <c r="A1673" s="181"/>
      <c r="B1673" s="181"/>
      <c r="C1673" s="181"/>
      <c r="D1673" s="181"/>
      <c r="E1673" s="181"/>
      <c r="F1673" s="181"/>
      <c r="G1673" s="182"/>
      <c r="H1673" s="181"/>
      <c r="I1673" s="182"/>
    </row>
    <row r="1674">
      <c r="A1674" s="181"/>
      <c r="B1674" s="181"/>
      <c r="C1674" s="181"/>
      <c r="D1674" s="181"/>
      <c r="E1674" s="181"/>
      <c r="F1674" s="181"/>
      <c r="G1674" s="182"/>
      <c r="H1674" s="181"/>
      <c r="I1674" s="182"/>
    </row>
    <row r="1675">
      <c r="A1675" s="181"/>
      <c r="B1675" s="181"/>
      <c r="C1675" s="181"/>
      <c r="D1675" s="181"/>
      <c r="E1675" s="181"/>
      <c r="F1675" s="181"/>
      <c r="G1675" s="182"/>
      <c r="H1675" s="181"/>
      <c r="I1675" s="182"/>
    </row>
    <row r="1676">
      <c r="A1676" s="181"/>
      <c r="B1676" s="181"/>
      <c r="C1676" s="181"/>
      <c r="D1676" s="181"/>
      <c r="E1676" s="181"/>
      <c r="F1676" s="181"/>
      <c r="G1676" s="182"/>
      <c r="H1676" s="181"/>
      <c r="I1676" s="182"/>
    </row>
    <row r="1677">
      <c r="A1677" s="181"/>
      <c r="B1677" s="181"/>
      <c r="C1677" s="181"/>
      <c r="D1677" s="181"/>
      <c r="E1677" s="181"/>
      <c r="F1677" s="181"/>
      <c r="G1677" s="182"/>
      <c r="H1677" s="181"/>
      <c r="I1677" s="182"/>
    </row>
    <row r="1678">
      <c r="A1678" s="181"/>
      <c r="B1678" s="181"/>
      <c r="C1678" s="181"/>
      <c r="D1678" s="181"/>
      <c r="E1678" s="181"/>
      <c r="F1678" s="181"/>
      <c r="G1678" s="182"/>
      <c r="H1678" s="181"/>
      <c r="I1678" s="182"/>
    </row>
    <row r="1679">
      <c r="A1679" s="181"/>
      <c r="B1679" s="181"/>
      <c r="C1679" s="181"/>
      <c r="D1679" s="181"/>
      <c r="E1679" s="181"/>
      <c r="F1679" s="181"/>
      <c r="G1679" s="182"/>
      <c r="H1679" s="181"/>
      <c r="I1679" s="182"/>
    </row>
    <row r="1680">
      <c r="A1680" s="181"/>
      <c r="B1680" s="181"/>
      <c r="C1680" s="181"/>
      <c r="D1680" s="181"/>
      <c r="E1680" s="181"/>
      <c r="F1680" s="181"/>
      <c r="G1680" s="182"/>
      <c r="H1680" s="181"/>
      <c r="I1680" s="182"/>
    </row>
    <row r="1681">
      <c r="A1681" s="181"/>
      <c r="B1681" s="181"/>
      <c r="C1681" s="181"/>
      <c r="D1681" s="181"/>
      <c r="E1681" s="181"/>
      <c r="F1681" s="181"/>
      <c r="G1681" s="182"/>
      <c r="H1681" s="181"/>
      <c r="I1681" s="182"/>
    </row>
    <row r="1682">
      <c r="A1682" s="181"/>
      <c r="B1682" s="181"/>
      <c r="C1682" s="181"/>
      <c r="D1682" s="181"/>
      <c r="E1682" s="181"/>
      <c r="F1682" s="181"/>
      <c r="G1682" s="182"/>
      <c r="H1682" s="181"/>
      <c r="I1682" s="182"/>
    </row>
    <row r="1683">
      <c r="A1683" s="181"/>
      <c r="B1683" s="181"/>
      <c r="C1683" s="181"/>
      <c r="D1683" s="181"/>
      <c r="E1683" s="181"/>
      <c r="F1683" s="181"/>
      <c r="G1683" s="182"/>
      <c r="H1683" s="181"/>
      <c r="I1683" s="182"/>
    </row>
    <row r="1684">
      <c r="A1684" s="181"/>
      <c r="B1684" s="181"/>
      <c r="C1684" s="181"/>
      <c r="D1684" s="181"/>
      <c r="E1684" s="181"/>
      <c r="F1684" s="181"/>
      <c r="G1684" s="182"/>
      <c r="H1684" s="181"/>
      <c r="I1684" s="182"/>
    </row>
    <row r="1685">
      <c r="A1685" s="181"/>
      <c r="B1685" s="181"/>
      <c r="C1685" s="181"/>
      <c r="D1685" s="181"/>
      <c r="E1685" s="181"/>
      <c r="F1685" s="181"/>
      <c r="G1685" s="182"/>
      <c r="H1685" s="181"/>
      <c r="I1685" s="182"/>
    </row>
    <row r="1686">
      <c r="A1686" s="181"/>
      <c r="B1686" s="181"/>
      <c r="C1686" s="181"/>
      <c r="D1686" s="181"/>
      <c r="E1686" s="181"/>
      <c r="F1686" s="181"/>
      <c r="G1686" s="182"/>
      <c r="H1686" s="181"/>
      <c r="I1686" s="182"/>
    </row>
    <row r="1687">
      <c r="A1687" s="181"/>
      <c r="B1687" s="181"/>
      <c r="C1687" s="181"/>
      <c r="D1687" s="181"/>
      <c r="E1687" s="181"/>
      <c r="F1687" s="181"/>
      <c r="G1687" s="182"/>
      <c r="H1687" s="181"/>
      <c r="I1687" s="182"/>
    </row>
    <row r="1688">
      <c r="A1688" s="181"/>
      <c r="B1688" s="181"/>
      <c r="C1688" s="181"/>
      <c r="D1688" s="181"/>
      <c r="E1688" s="181"/>
      <c r="F1688" s="181"/>
      <c r="G1688" s="182"/>
      <c r="H1688" s="181"/>
      <c r="I1688" s="182"/>
    </row>
    <row r="1689">
      <c r="A1689" s="181"/>
      <c r="B1689" s="181"/>
      <c r="C1689" s="181"/>
      <c r="D1689" s="181"/>
      <c r="E1689" s="181"/>
      <c r="F1689" s="181"/>
      <c r="G1689" s="182"/>
      <c r="H1689" s="181"/>
      <c r="I1689" s="182"/>
    </row>
    <row r="1690">
      <c r="A1690" s="181"/>
      <c r="B1690" s="181"/>
      <c r="C1690" s="181"/>
      <c r="D1690" s="181"/>
      <c r="E1690" s="181"/>
      <c r="F1690" s="181"/>
      <c r="G1690" s="182"/>
      <c r="H1690" s="181"/>
      <c r="I1690" s="182"/>
    </row>
    <row r="1691">
      <c r="A1691" s="181"/>
      <c r="B1691" s="181"/>
      <c r="C1691" s="181"/>
      <c r="D1691" s="181"/>
      <c r="E1691" s="181"/>
      <c r="F1691" s="181"/>
      <c r="G1691" s="182"/>
      <c r="H1691" s="181"/>
      <c r="I1691" s="182"/>
    </row>
    <row r="1692">
      <c r="A1692" s="181"/>
      <c r="B1692" s="181"/>
      <c r="C1692" s="181"/>
      <c r="D1692" s="181"/>
      <c r="E1692" s="181"/>
      <c r="F1692" s="181"/>
      <c r="G1692" s="182"/>
      <c r="H1692" s="181"/>
      <c r="I1692" s="182"/>
    </row>
    <row r="1693">
      <c r="A1693" s="181"/>
      <c r="B1693" s="181"/>
      <c r="C1693" s="181"/>
      <c r="D1693" s="181"/>
      <c r="E1693" s="181"/>
      <c r="F1693" s="181"/>
      <c r="G1693" s="182"/>
      <c r="H1693" s="181"/>
      <c r="I1693" s="182"/>
    </row>
    <row r="1694">
      <c r="A1694" s="181"/>
      <c r="B1694" s="181"/>
      <c r="C1694" s="181"/>
      <c r="D1694" s="181"/>
      <c r="E1694" s="181"/>
      <c r="F1694" s="181"/>
      <c r="G1694" s="182"/>
      <c r="H1694" s="181"/>
      <c r="I1694" s="182"/>
    </row>
    <row r="1695">
      <c r="A1695" s="181"/>
      <c r="B1695" s="181"/>
      <c r="C1695" s="181"/>
      <c r="D1695" s="181"/>
      <c r="E1695" s="181"/>
      <c r="F1695" s="181"/>
      <c r="G1695" s="182"/>
      <c r="H1695" s="181"/>
      <c r="I1695" s="182"/>
    </row>
    <row r="1696">
      <c r="A1696" s="181"/>
      <c r="B1696" s="181"/>
      <c r="C1696" s="181"/>
      <c r="D1696" s="181"/>
      <c r="E1696" s="181"/>
      <c r="F1696" s="181"/>
      <c r="G1696" s="182"/>
      <c r="H1696" s="181"/>
      <c r="I1696" s="182"/>
    </row>
    <row r="1697">
      <c r="A1697" s="181"/>
      <c r="B1697" s="181"/>
      <c r="C1697" s="181"/>
      <c r="D1697" s="181"/>
      <c r="E1697" s="181"/>
      <c r="F1697" s="181"/>
      <c r="G1697" s="182"/>
      <c r="H1697" s="181"/>
      <c r="I1697" s="182"/>
    </row>
    <row r="1698">
      <c r="A1698" s="181"/>
      <c r="B1698" s="181"/>
      <c r="C1698" s="181"/>
      <c r="D1698" s="181"/>
      <c r="E1698" s="181"/>
      <c r="F1698" s="181"/>
      <c r="G1698" s="182"/>
      <c r="H1698" s="181"/>
      <c r="I1698" s="182"/>
    </row>
    <row r="1699">
      <c r="A1699" s="181"/>
      <c r="B1699" s="181"/>
      <c r="C1699" s="181"/>
      <c r="D1699" s="181"/>
      <c r="E1699" s="181"/>
      <c r="F1699" s="181"/>
      <c r="G1699" s="182"/>
      <c r="H1699" s="181"/>
      <c r="I1699" s="182"/>
    </row>
    <row r="1700">
      <c r="A1700" s="181"/>
      <c r="B1700" s="181"/>
      <c r="C1700" s="181"/>
      <c r="D1700" s="181"/>
      <c r="E1700" s="181"/>
      <c r="F1700" s="181"/>
      <c r="G1700" s="182"/>
      <c r="H1700" s="181"/>
      <c r="I1700" s="182"/>
    </row>
    <row r="1701">
      <c r="A1701" s="181"/>
      <c r="B1701" s="181"/>
      <c r="C1701" s="181"/>
      <c r="D1701" s="181"/>
      <c r="E1701" s="181"/>
      <c r="F1701" s="181"/>
      <c r="G1701" s="182"/>
      <c r="H1701" s="181"/>
      <c r="I1701" s="182"/>
    </row>
    <row r="1702">
      <c r="A1702" s="181"/>
      <c r="B1702" s="181"/>
      <c r="C1702" s="181"/>
      <c r="D1702" s="181"/>
      <c r="E1702" s="181"/>
      <c r="F1702" s="181"/>
      <c r="G1702" s="182"/>
      <c r="H1702" s="181"/>
      <c r="I1702" s="182"/>
    </row>
    <row r="1703">
      <c r="A1703" s="181"/>
      <c r="B1703" s="181"/>
      <c r="C1703" s="181"/>
      <c r="D1703" s="181"/>
      <c r="E1703" s="181"/>
      <c r="F1703" s="181"/>
      <c r="G1703" s="182"/>
      <c r="H1703" s="181"/>
      <c r="I1703" s="182"/>
    </row>
    <row r="1704">
      <c r="A1704" s="181"/>
      <c r="B1704" s="181"/>
      <c r="C1704" s="181"/>
      <c r="D1704" s="181"/>
      <c r="E1704" s="181"/>
      <c r="F1704" s="181"/>
      <c r="G1704" s="182"/>
      <c r="H1704" s="181"/>
      <c r="I1704" s="182"/>
    </row>
    <row r="1705">
      <c r="A1705" s="181"/>
      <c r="B1705" s="181"/>
      <c r="C1705" s="181"/>
      <c r="D1705" s="181"/>
      <c r="E1705" s="181"/>
      <c r="F1705" s="181"/>
      <c r="G1705" s="182"/>
      <c r="H1705" s="181"/>
      <c r="I1705" s="182"/>
    </row>
    <row r="1706">
      <c r="A1706" s="181"/>
      <c r="B1706" s="181"/>
      <c r="C1706" s="181"/>
      <c r="D1706" s="181"/>
      <c r="E1706" s="181"/>
      <c r="F1706" s="181"/>
      <c r="G1706" s="182"/>
      <c r="H1706" s="181"/>
      <c r="I1706" s="182"/>
    </row>
    <row r="1707">
      <c r="A1707" s="181"/>
      <c r="B1707" s="181"/>
      <c r="C1707" s="181"/>
      <c r="D1707" s="181"/>
      <c r="E1707" s="181"/>
      <c r="F1707" s="181"/>
      <c r="G1707" s="182"/>
      <c r="H1707" s="181"/>
      <c r="I1707" s="182"/>
    </row>
    <row r="1708">
      <c r="A1708" s="181"/>
      <c r="B1708" s="181"/>
      <c r="C1708" s="181"/>
      <c r="D1708" s="181"/>
      <c r="E1708" s="181"/>
      <c r="F1708" s="181"/>
      <c r="G1708" s="182"/>
      <c r="H1708" s="181"/>
      <c r="I1708" s="182"/>
    </row>
    <row r="1709">
      <c r="A1709" s="181"/>
      <c r="B1709" s="181"/>
      <c r="C1709" s="181"/>
      <c r="D1709" s="181"/>
      <c r="E1709" s="181"/>
      <c r="F1709" s="181"/>
      <c r="G1709" s="182"/>
      <c r="H1709" s="181"/>
      <c r="I1709" s="182"/>
    </row>
    <row r="1710">
      <c r="A1710" s="181"/>
      <c r="B1710" s="181"/>
      <c r="C1710" s="181"/>
      <c r="D1710" s="181"/>
      <c r="E1710" s="181"/>
      <c r="F1710" s="181"/>
      <c r="G1710" s="182"/>
      <c r="H1710" s="181"/>
      <c r="I1710" s="182"/>
    </row>
    <row r="1711">
      <c r="A1711" s="181"/>
      <c r="B1711" s="181"/>
      <c r="C1711" s="181"/>
      <c r="D1711" s="181"/>
      <c r="E1711" s="181"/>
      <c r="F1711" s="181"/>
      <c r="G1711" s="182"/>
      <c r="H1711" s="181"/>
      <c r="I1711" s="182"/>
    </row>
    <row r="1712">
      <c r="A1712" s="181"/>
      <c r="B1712" s="181"/>
      <c r="C1712" s="181"/>
      <c r="D1712" s="181"/>
      <c r="E1712" s="181"/>
      <c r="F1712" s="181"/>
      <c r="G1712" s="182"/>
      <c r="H1712" s="181"/>
      <c r="I1712" s="182"/>
    </row>
    <row r="1713">
      <c r="A1713" s="181"/>
      <c r="B1713" s="181"/>
      <c r="C1713" s="181"/>
      <c r="D1713" s="181"/>
      <c r="E1713" s="181"/>
      <c r="F1713" s="181"/>
      <c r="G1713" s="182"/>
      <c r="H1713" s="181"/>
      <c r="I1713" s="182"/>
    </row>
    <row r="1714">
      <c r="A1714" s="181"/>
      <c r="B1714" s="181"/>
      <c r="C1714" s="181"/>
      <c r="D1714" s="181"/>
      <c r="E1714" s="181"/>
      <c r="F1714" s="181"/>
      <c r="G1714" s="182"/>
      <c r="H1714" s="181"/>
      <c r="I1714" s="182"/>
    </row>
    <row r="1715">
      <c r="A1715" s="181"/>
      <c r="B1715" s="181"/>
      <c r="C1715" s="181"/>
      <c r="D1715" s="181"/>
      <c r="E1715" s="181"/>
      <c r="F1715" s="181"/>
      <c r="G1715" s="182"/>
      <c r="H1715" s="181"/>
      <c r="I1715" s="182"/>
    </row>
    <row r="1716">
      <c r="A1716" s="181"/>
      <c r="B1716" s="181"/>
      <c r="C1716" s="181"/>
      <c r="D1716" s="181"/>
      <c r="E1716" s="181"/>
      <c r="F1716" s="181"/>
      <c r="G1716" s="182"/>
      <c r="H1716" s="181"/>
      <c r="I1716" s="182"/>
    </row>
    <row r="1717">
      <c r="A1717" s="181"/>
      <c r="B1717" s="181"/>
      <c r="C1717" s="181"/>
      <c r="D1717" s="181"/>
      <c r="E1717" s="181"/>
      <c r="F1717" s="181"/>
      <c r="G1717" s="182"/>
      <c r="H1717" s="181"/>
      <c r="I1717" s="182"/>
    </row>
    <row r="1718">
      <c r="A1718" s="181"/>
      <c r="B1718" s="181"/>
      <c r="C1718" s="181"/>
      <c r="D1718" s="181"/>
      <c r="E1718" s="181"/>
      <c r="F1718" s="181"/>
      <c r="G1718" s="182"/>
      <c r="H1718" s="181"/>
      <c r="I1718" s="182"/>
    </row>
    <row r="1719">
      <c r="A1719" s="181"/>
      <c r="B1719" s="181"/>
      <c r="C1719" s="181"/>
      <c r="D1719" s="181"/>
      <c r="E1719" s="181"/>
      <c r="F1719" s="181"/>
      <c r="G1719" s="182"/>
      <c r="H1719" s="181"/>
      <c r="I1719" s="182"/>
    </row>
    <row r="1720">
      <c r="A1720" s="181"/>
      <c r="B1720" s="181"/>
      <c r="C1720" s="181"/>
      <c r="D1720" s="181"/>
      <c r="E1720" s="181"/>
      <c r="F1720" s="181"/>
      <c r="G1720" s="182"/>
      <c r="H1720" s="181"/>
      <c r="I1720" s="182"/>
    </row>
    <row r="1721">
      <c r="A1721" s="181"/>
      <c r="B1721" s="181"/>
      <c r="C1721" s="181"/>
      <c r="D1721" s="181"/>
      <c r="E1721" s="181"/>
      <c r="F1721" s="181"/>
      <c r="G1721" s="182"/>
      <c r="H1721" s="181"/>
      <c r="I1721" s="182"/>
    </row>
    <row r="1722">
      <c r="A1722" s="181"/>
      <c r="B1722" s="181"/>
      <c r="C1722" s="181"/>
      <c r="D1722" s="181"/>
      <c r="E1722" s="181"/>
      <c r="F1722" s="181"/>
      <c r="G1722" s="182"/>
      <c r="H1722" s="181"/>
      <c r="I1722" s="182"/>
    </row>
    <row r="1723">
      <c r="A1723" s="181"/>
      <c r="B1723" s="181"/>
      <c r="C1723" s="181"/>
      <c r="D1723" s="181"/>
      <c r="E1723" s="181"/>
      <c r="F1723" s="181"/>
      <c r="G1723" s="182"/>
      <c r="H1723" s="181"/>
      <c r="I1723" s="182"/>
    </row>
    <row r="1724">
      <c r="A1724" s="181"/>
      <c r="B1724" s="181"/>
      <c r="C1724" s="181"/>
      <c r="D1724" s="181"/>
      <c r="E1724" s="181"/>
      <c r="F1724" s="181"/>
      <c r="G1724" s="182"/>
      <c r="H1724" s="181"/>
      <c r="I1724" s="182"/>
    </row>
    <row r="1725">
      <c r="A1725" s="181"/>
      <c r="B1725" s="181"/>
      <c r="C1725" s="181"/>
      <c r="D1725" s="181"/>
      <c r="E1725" s="181"/>
      <c r="F1725" s="181"/>
      <c r="G1725" s="182"/>
      <c r="H1725" s="181"/>
      <c r="I1725" s="182"/>
    </row>
    <row r="1726">
      <c r="A1726" s="181"/>
      <c r="B1726" s="181"/>
      <c r="C1726" s="181"/>
      <c r="D1726" s="181"/>
      <c r="E1726" s="181"/>
      <c r="F1726" s="181"/>
      <c r="G1726" s="182"/>
      <c r="H1726" s="181"/>
      <c r="I1726" s="182"/>
    </row>
    <row r="1727">
      <c r="A1727" s="181"/>
      <c r="B1727" s="181"/>
      <c r="C1727" s="181"/>
      <c r="D1727" s="181"/>
      <c r="E1727" s="181"/>
      <c r="F1727" s="181"/>
      <c r="G1727" s="182"/>
      <c r="H1727" s="181"/>
      <c r="I1727" s="182"/>
    </row>
    <row r="1728">
      <c r="A1728" s="181"/>
      <c r="B1728" s="181"/>
      <c r="C1728" s="181"/>
      <c r="D1728" s="181"/>
      <c r="E1728" s="181"/>
      <c r="F1728" s="181"/>
      <c r="G1728" s="182"/>
      <c r="H1728" s="181"/>
      <c r="I1728" s="182"/>
    </row>
    <row r="1729">
      <c r="A1729" s="181"/>
      <c r="B1729" s="181"/>
      <c r="C1729" s="181"/>
      <c r="D1729" s="181"/>
      <c r="E1729" s="181"/>
      <c r="F1729" s="181"/>
      <c r="G1729" s="182"/>
      <c r="H1729" s="181"/>
      <c r="I1729" s="182"/>
    </row>
    <row r="1730">
      <c r="A1730" s="181"/>
      <c r="B1730" s="181"/>
      <c r="C1730" s="181"/>
      <c r="D1730" s="181"/>
      <c r="E1730" s="181"/>
      <c r="F1730" s="181"/>
      <c r="G1730" s="182"/>
      <c r="H1730" s="181"/>
      <c r="I1730" s="182"/>
    </row>
    <row r="1731">
      <c r="A1731" s="181"/>
      <c r="B1731" s="181"/>
      <c r="C1731" s="181"/>
      <c r="D1731" s="181"/>
      <c r="E1731" s="181"/>
      <c r="F1731" s="181"/>
      <c r="G1731" s="182"/>
      <c r="H1731" s="181"/>
      <c r="I1731" s="182"/>
    </row>
    <row r="1732">
      <c r="A1732" s="181"/>
      <c r="B1732" s="181"/>
      <c r="C1732" s="181"/>
      <c r="D1732" s="181"/>
      <c r="E1732" s="181"/>
      <c r="F1732" s="181"/>
      <c r="G1732" s="182"/>
      <c r="H1732" s="181"/>
      <c r="I1732" s="182"/>
    </row>
    <row r="1733">
      <c r="A1733" s="181"/>
      <c r="B1733" s="181"/>
      <c r="C1733" s="181"/>
      <c r="D1733" s="181"/>
      <c r="E1733" s="181"/>
      <c r="F1733" s="181"/>
      <c r="G1733" s="182"/>
      <c r="H1733" s="181"/>
      <c r="I1733" s="182"/>
    </row>
    <row r="1734">
      <c r="A1734" s="181"/>
      <c r="B1734" s="181"/>
      <c r="C1734" s="181"/>
      <c r="D1734" s="181"/>
      <c r="E1734" s="181"/>
      <c r="F1734" s="181"/>
      <c r="G1734" s="182"/>
      <c r="H1734" s="181"/>
      <c r="I1734" s="182"/>
    </row>
    <row r="1735">
      <c r="A1735" s="181"/>
      <c r="B1735" s="181"/>
      <c r="C1735" s="181"/>
      <c r="D1735" s="181"/>
      <c r="E1735" s="181"/>
      <c r="F1735" s="181"/>
      <c r="G1735" s="182"/>
      <c r="H1735" s="181"/>
      <c r="I1735" s="182"/>
    </row>
    <row r="1736">
      <c r="A1736" s="181"/>
      <c r="B1736" s="181"/>
      <c r="C1736" s="181"/>
      <c r="D1736" s="181"/>
      <c r="E1736" s="181"/>
      <c r="F1736" s="181"/>
      <c r="G1736" s="182"/>
      <c r="H1736" s="181"/>
      <c r="I1736" s="182"/>
    </row>
    <row r="1737">
      <c r="A1737" s="181"/>
      <c r="B1737" s="181"/>
      <c r="C1737" s="181"/>
      <c r="D1737" s="181"/>
      <c r="E1737" s="181"/>
      <c r="F1737" s="181"/>
      <c r="G1737" s="182"/>
      <c r="H1737" s="181"/>
      <c r="I1737" s="182"/>
    </row>
    <row r="1738">
      <c r="A1738" s="181"/>
      <c r="B1738" s="181"/>
      <c r="C1738" s="181"/>
      <c r="D1738" s="181"/>
      <c r="E1738" s="181"/>
      <c r="F1738" s="181"/>
      <c r="G1738" s="182"/>
      <c r="H1738" s="181"/>
      <c r="I1738" s="182"/>
    </row>
    <row r="1739">
      <c r="A1739" s="181"/>
      <c r="B1739" s="181"/>
      <c r="C1739" s="181"/>
      <c r="D1739" s="181"/>
      <c r="E1739" s="181"/>
      <c r="F1739" s="181"/>
      <c r="G1739" s="182"/>
      <c r="H1739" s="181"/>
      <c r="I1739" s="182"/>
    </row>
    <row r="1740">
      <c r="A1740" s="181"/>
      <c r="B1740" s="181"/>
      <c r="C1740" s="181"/>
      <c r="D1740" s="181"/>
      <c r="E1740" s="181"/>
      <c r="F1740" s="181"/>
      <c r="G1740" s="182"/>
      <c r="H1740" s="181"/>
      <c r="I1740" s="182"/>
    </row>
    <row r="1741">
      <c r="A1741" s="181"/>
      <c r="B1741" s="181"/>
      <c r="C1741" s="181"/>
      <c r="D1741" s="181"/>
      <c r="E1741" s="181"/>
      <c r="F1741" s="181"/>
      <c r="G1741" s="182"/>
      <c r="H1741" s="181"/>
      <c r="I1741" s="182"/>
    </row>
    <row r="1742">
      <c r="A1742" s="181"/>
      <c r="B1742" s="181"/>
      <c r="C1742" s="181"/>
      <c r="D1742" s="181"/>
      <c r="E1742" s="181"/>
      <c r="F1742" s="181"/>
      <c r="G1742" s="182"/>
      <c r="H1742" s="181"/>
      <c r="I1742" s="182"/>
    </row>
    <row r="1743">
      <c r="A1743" s="181"/>
      <c r="B1743" s="181"/>
      <c r="C1743" s="181"/>
      <c r="D1743" s="181"/>
      <c r="E1743" s="181"/>
      <c r="F1743" s="181"/>
      <c r="G1743" s="182"/>
      <c r="H1743" s="181"/>
      <c r="I1743" s="182"/>
    </row>
    <row r="1744">
      <c r="A1744" s="181"/>
      <c r="B1744" s="181"/>
      <c r="C1744" s="181"/>
      <c r="D1744" s="181"/>
      <c r="E1744" s="181"/>
      <c r="F1744" s="181"/>
      <c r="G1744" s="182"/>
      <c r="H1744" s="181"/>
      <c r="I1744" s="182"/>
    </row>
    <row r="1745">
      <c r="A1745" s="181"/>
      <c r="B1745" s="181"/>
      <c r="C1745" s="181"/>
      <c r="D1745" s="181"/>
      <c r="E1745" s="181"/>
      <c r="F1745" s="181"/>
      <c r="G1745" s="182"/>
      <c r="H1745" s="181"/>
      <c r="I1745" s="182"/>
    </row>
    <row r="1746">
      <c r="A1746" s="181"/>
      <c r="B1746" s="181"/>
      <c r="C1746" s="181"/>
      <c r="D1746" s="181"/>
      <c r="E1746" s="181"/>
      <c r="F1746" s="181"/>
      <c r="G1746" s="182"/>
      <c r="H1746" s="181"/>
      <c r="I1746" s="182"/>
    </row>
    <row r="1747">
      <c r="A1747" s="181"/>
      <c r="B1747" s="181"/>
      <c r="C1747" s="181"/>
      <c r="D1747" s="181"/>
      <c r="E1747" s="181"/>
      <c r="F1747" s="181"/>
      <c r="G1747" s="182"/>
      <c r="H1747" s="181"/>
      <c r="I1747" s="182"/>
    </row>
    <row r="1748">
      <c r="A1748" s="181"/>
      <c r="B1748" s="181"/>
      <c r="C1748" s="181"/>
      <c r="D1748" s="181"/>
      <c r="E1748" s="181"/>
      <c r="F1748" s="181"/>
      <c r="G1748" s="182"/>
      <c r="H1748" s="181"/>
      <c r="I1748" s="182"/>
    </row>
    <row r="1749">
      <c r="A1749" s="181"/>
      <c r="B1749" s="181"/>
      <c r="C1749" s="181"/>
      <c r="D1749" s="181"/>
      <c r="E1749" s="181"/>
      <c r="F1749" s="181"/>
      <c r="G1749" s="182"/>
      <c r="H1749" s="181"/>
      <c r="I1749" s="182"/>
    </row>
    <row r="1750">
      <c r="A1750" s="181"/>
      <c r="B1750" s="181"/>
      <c r="C1750" s="181"/>
      <c r="D1750" s="181"/>
      <c r="E1750" s="181"/>
      <c r="F1750" s="181"/>
      <c r="G1750" s="182"/>
      <c r="H1750" s="181"/>
      <c r="I1750" s="182"/>
    </row>
    <row r="1751">
      <c r="A1751" s="181"/>
      <c r="B1751" s="181"/>
      <c r="C1751" s="181"/>
      <c r="D1751" s="181"/>
      <c r="E1751" s="181"/>
      <c r="F1751" s="181"/>
      <c r="G1751" s="182"/>
      <c r="H1751" s="181"/>
      <c r="I1751" s="182"/>
    </row>
    <row r="1752">
      <c r="A1752" s="181"/>
      <c r="B1752" s="181"/>
      <c r="C1752" s="181"/>
      <c r="D1752" s="181"/>
      <c r="E1752" s="181"/>
      <c r="F1752" s="181"/>
      <c r="G1752" s="182"/>
      <c r="H1752" s="181"/>
      <c r="I1752" s="182"/>
    </row>
    <row r="1753">
      <c r="A1753" s="181"/>
      <c r="B1753" s="181"/>
      <c r="C1753" s="181"/>
      <c r="D1753" s="181"/>
      <c r="E1753" s="181"/>
      <c r="F1753" s="181"/>
      <c r="G1753" s="182"/>
      <c r="H1753" s="181"/>
      <c r="I1753" s="182"/>
    </row>
    <row r="1754">
      <c r="A1754" s="181"/>
      <c r="B1754" s="181"/>
      <c r="C1754" s="181"/>
      <c r="D1754" s="181"/>
      <c r="E1754" s="181"/>
      <c r="F1754" s="181"/>
      <c r="G1754" s="182"/>
      <c r="H1754" s="181"/>
      <c r="I1754" s="182"/>
    </row>
    <row r="1755">
      <c r="A1755" s="181"/>
      <c r="B1755" s="181"/>
      <c r="C1755" s="181"/>
      <c r="D1755" s="181"/>
      <c r="E1755" s="181"/>
      <c r="F1755" s="181"/>
      <c r="G1755" s="182"/>
      <c r="H1755" s="181"/>
      <c r="I1755" s="182"/>
    </row>
    <row r="1756">
      <c r="A1756" s="181"/>
      <c r="B1756" s="181"/>
      <c r="C1756" s="181"/>
      <c r="D1756" s="181"/>
      <c r="E1756" s="181"/>
      <c r="F1756" s="181"/>
      <c r="G1756" s="182"/>
      <c r="H1756" s="181"/>
      <c r="I1756" s="182"/>
    </row>
    <row r="1757">
      <c r="A1757" s="181"/>
      <c r="B1757" s="181"/>
      <c r="C1757" s="181"/>
      <c r="D1757" s="181"/>
      <c r="E1757" s="181"/>
      <c r="F1757" s="181"/>
      <c r="G1757" s="182"/>
      <c r="H1757" s="181"/>
      <c r="I1757" s="182"/>
    </row>
    <row r="1758">
      <c r="A1758" s="181"/>
      <c r="B1758" s="181"/>
      <c r="C1758" s="181"/>
      <c r="D1758" s="181"/>
      <c r="E1758" s="181"/>
      <c r="F1758" s="181"/>
      <c r="G1758" s="182"/>
      <c r="H1758" s="181"/>
      <c r="I1758" s="182"/>
    </row>
    <row r="1759">
      <c r="A1759" s="181"/>
      <c r="B1759" s="181"/>
      <c r="C1759" s="181"/>
      <c r="D1759" s="181"/>
      <c r="E1759" s="181"/>
      <c r="F1759" s="181"/>
      <c r="G1759" s="182"/>
      <c r="H1759" s="181"/>
      <c r="I1759" s="182"/>
    </row>
    <row r="1760">
      <c r="A1760" s="181"/>
      <c r="B1760" s="181"/>
      <c r="C1760" s="181"/>
      <c r="D1760" s="181"/>
      <c r="E1760" s="181"/>
      <c r="F1760" s="181"/>
      <c r="G1760" s="182"/>
      <c r="H1760" s="181"/>
      <c r="I1760" s="182"/>
    </row>
    <row r="1761">
      <c r="A1761" s="181"/>
      <c r="B1761" s="181"/>
      <c r="C1761" s="181"/>
      <c r="D1761" s="181"/>
      <c r="E1761" s="181"/>
      <c r="F1761" s="181"/>
      <c r="G1761" s="182"/>
      <c r="H1761" s="181"/>
      <c r="I1761" s="182"/>
    </row>
    <row r="1762">
      <c r="A1762" s="181"/>
      <c r="B1762" s="181"/>
      <c r="C1762" s="181"/>
      <c r="D1762" s="181"/>
      <c r="E1762" s="181"/>
      <c r="F1762" s="181"/>
      <c r="G1762" s="182"/>
      <c r="H1762" s="181"/>
      <c r="I1762" s="182"/>
    </row>
    <row r="1763">
      <c r="A1763" s="181"/>
      <c r="B1763" s="181"/>
      <c r="C1763" s="181"/>
      <c r="D1763" s="181"/>
      <c r="E1763" s="181"/>
      <c r="F1763" s="181"/>
      <c r="G1763" s="182"/>
      <c r="H1763" s="181"/>
      <c r="I1763" s="182"/>
    </row>
    <row r="1764">
      <c r="A1764" s="181"/>
      <c r="B1764" s="181"/>
      <c r="C1764" s="181"/>
      <c r="D1764" s="181"/>
      <c r="E1764" s="181"/>
      <c r="F1764" s="181"/>
      <c r="G1764" s="182"/>
      <c r="H1764" s="181"/>
      <c r="I1764" s="182"/>
    </row>
    <row r="1765">
      <c r="A1765" s="181"/>
      <c r="B1765" s="181"/>
      <c r="C1765" s="181"/>
      <c r="D1765" s="181"/>
      <c r="E1765" s="181"/>
      <c r="F1765" s="181"/>
      <c r="G1765" s="182"/>
      <c r="H1765" s="181"/>
      <c r="I1765" s="182"/>
    </row>
    <row r="1766">
      <c r="A1766" s="181"/>
      <c r="B1766" s="181"/>
      <c r="C1766" s="181"/>
      <c r="D1766" s="181"/>
      <c r="E1766" s="181"/>
      <c r="F1766" s="181"/>
      <c r="G1766" s="182"/>
      <c r="H1766" s="181"/>
      <c r="I1766" s="182"/>
    </row>
    <row r="1767">
      <c r="A1767" s="181"/>
      <c r="B1767" s="181"/>
      <c r="C1767" s="181"/>
      <c r="D1767" s="181"/>
      <c r="E1767" s="181"/>
      <c r="F1767" s="181"/>
      <c r="G1767" s="182"/>
      <c r="H1767" s="181"/>
      <c r="I1767" s="182"/>
    </row>
    <row r="1768">
      <c r="A1768" s="181"/>
      <c r="B1768" s="181"/>
      <c r="C1768" s="181"/>
      <c r="D1768" s="181"/>
      <c r="E1768" s="181"/>
      <c r="F1768" s="181"/>
      <c r="G1768" s="182"/>
      <c r="H1768" s="181"/>
      <c r="I1768" s="182"/>
    </row>
    <row r="1769">
      <c r="A1769" s="181"/>
      <c r="B1769" s="181"/>
      <c r="C1769" s="181"/>
      <c r="D1769" s="181"/>
      <c r="E1769" s="181"/>
      <c r="F1769" s="181"/>
      <c r="G1769" s="182"/>
      <c r="H1769" s="181"/>
      <c r="I1769" s="182"/>
    </row>
    <row r="1770">
      <c r="A1770" s="181"/>
      <c r="B1770" s="181"/>
      <c r="C1770" s="181"/>
      <c r="D1770" s="181"/>
      <c r="E1770" s="181"/>
      <c r="F1770" s="181"/>
      <c r="G1770" s="182"/>
      <c r="H1770" s="181"/>
      <c r="I1770" s="182"/>
    </row>
    <row r="1771">
      <c r="A1771" s="181"/>
      <c r="B1771" s="181"/>
      <c r="C1771" s="181"/>
      <c r="D1771" s="181"/>
      <c r="E1771" s="181"/>
      <c r="F1771" s="181"/>
      <c r="G1771" s="182"/>
      <c r="H1771" s="181"/>
      <c r="I1771" s="182"/>
    </row>
    <row r="1772">
      <c r="A1772" s="181"/>
      <c r="B1772" s="181"/>
      <c r="C1772" s="181"/>
      <c r="D1772" s="181"/>
      <c r="E1772" s="181"/>
      <c r="F1772" s="181"/>
      <c r="G1772" s="182"/>
      <c r="H1772" s="181"/>
      <c r="I1772" s="182"/>
    </row>
    <row r="1773">
      <c r="A1773" s="181"/>
      <c r="B1773" s="181"/>
      <c r="C1773" s="181"/>
      <c r="D1773" s="181"/>
      <c r="E1773" s="181"/>
      <c r="F1773" s="181"/>
      <c r="G1773" s="182"/>
      <c r="H1773" s="181"/>
      <c r="I1773" s="182"/>
    </row>
    <row r="1774">
      <c r="A1774" s="181"/>
      <c r="B1774" s="181"/>
      <c r="C1774" s="181"/>
      <c r="D1774" s="181"/>
      <c r="E1774" s="181"/>
      <c r="F1774" s="181"/>
      <c r="G1774" s="182"/>
      <c r="H1774" s="181"/>
      <c r="I1774" s="182"/>
    </row>
    <row r="1775">
      <c r="A1775" s="181"/>
      <c r="B1775" s="181"/>
      <c r="C1775" s="181"/>
      <c r="D1775" s="181"/>
      <c r="E1775" s="181"/>
      <c r="F1775" s="181"/>
      <c r="G1775" s="182"/>
      <c r="H1775" s="181"/>
      <c r="I1775" s="182"/>
    </row>
    <row r="1776">
      <c r="A1776" s="181"/>
      <c r="B1776" s="181"/>
      <c r="C1776" s="181"/>
      <c r="D1776" s="181"/>
      <c r="E1776" s="181"/>
      <c r="F1776" s="181"/>
      <c r="G1776" s="182"/>
      <c r="H1776" s="181"/>
      <c r="I1776" s="182"/>
    </row>
    <row r="1777">
      <c r="A1777" s="181"/>
      <c r="B1777" s="181"/>
      <c r="C1777" s="181"/>
      <c r="D1777" s="181"/>
      <c r="E1777" s="181"/>
      <c r="F1777" s="181"/>
      <c r="G1777" s="182"/>
      <c r="H1777" s="181"/>
      <c r="I1777" s="182"/>
    </row>
    <row r="1778">
      <c r="A1778" s="181"/>
      <c r="B1778" s="181"/>
      <c r="C1778" s="181"/>
      <c r="D1778" s="181"/>
      <c r="E1778" s="181"/>
      <c r="F1778" s="181"/>
      <c r="G1778" s="182"/>
      <c r="H1778" s="181"/>
      <c r="I1778" s="182"/>
    </row>
    <row r="1779">
      <c r="A1779" s="181"/>
      <c r="B1779" s="181"/>
      <c r="C1779" s="181"/>
      <c r="D1779" s="181"/>
      <c r="E1779" s="181"/>
      <c r="F1779" s="181"/>
      <c r="G1779" s="182"/>
      <c r="H1779" s="181"/>
      <c r="I1779" s="182"/>
    </row>
    <row r="1780">
      <c r="A1780" s="181"/>
      <c r="B1780" s="181"/>
      <c r="C1780" s="181"/>
      <c r="D1780" s="181"/>
      <c r="E1780" s="181"/>
      <c r="F1780" s="181"/>
      <c r="G1780" s="182"/>
      <c r="H1780" s="181"/>
      <c r="I1780" s="182"/>
    </row>
    <row r="1781">
      <c r="A1781" s="181"/>
      <c r="B1781" s="181"/>
      <c r="C1781" s="181"/>
      <c r="D1781" s="181"/>
      <c r="E1781" s="181"/>
      <c r="F1781" s="181"/>
      <c r="G1781" s="182"/>
      <c r="H1781" s="181"/>
      <c r="I1781" s="182"/>
    </row>
    <row r="1782">
      <c r="A1782" s="181"/>
      <c r="B1782" s="181"/>
      <c r="C1782" s="181"/>
      <c r="D1782" s="181"/>
      <c r="E1782" s="181"/>
      <c r="F1782" s="181"/>
      <c r="G1782" s="182"/>
      <c r="H1782" s="181"/>
      <c r="I1782" s="182"/>
    </row>
    <row r="1783">
      <c r="A1783" s="181"/>
      <c r="B1783" s="181"/>
      <c r="C1783" s="181"/>
      <c r="D1783" s="181"/>
      <c r="E1783" s="181"/>
      <c r="F1783" s="181"/>
      <c r="G1783" s="182"/>
      <c r="H1783" s="181"/>
      <c r="I1783" s="182"/>
    </row>
    <row r="1784">
      <c r="A1784" s="181"/>
      <c r="B1784" s="181"/>
      <c r="C1784" s="181"/>
      <c r="D1784" s="181"/>
      <c r="E1784" s="181"/>
      <c r="F1784" s="181"/>
      <c r="G1784" s="182"/>
      <c r="H1784" s="181"/>
      <c r="I1784" s="182"/>
    </row>
    <row r="1785">
      <c r="A1785" s="181"/>
      <c r="B1785" s="181"/>
      <c r="C1785" s="181"/>
      <c r="D1785" s="181"/>
      <c r="E1785" s="181"/>
      <c r="F1785" s="181"/>
      <c r="G1785" s="182"/>
      <c r="H1785" s="181"/>
      <c r="I1785" s="182"/>
    </row>
    <row r="1786">
      <c r="A1786" s="181"/>
      <c r="B1786" s="181"/>
      <c r="C1786" s="181"/>
      <c r="D1786" s="181"/>
      <c r="E1786" s="181"/>
      <c r="F1786" s="181"/>
      <c r="G1786" s="182"/>
      <c r="H1786" s="181"/>
      <c r="I1786" s="182"/>
    </row>
    <row r="1787">
      <c r="A1787" s="181"/>
      <c r="B1787" s="181"/>
      <c r="C1787" s="181"/>
      <c r="D1787" s="181"/>
      <c r="E1787" s="181"/>
      <c r="F1787" s="181"/>
      <c r="G1787" s="182"/>
      <c r="H1787" s="181"/>
      <c r="I1787" s="182"/>
    </row>
    <row r="1788">
      <c r="A1788" s="181"/>
      <c r="B1788" s="181"/>
      <c r="C1788" s="181"/>
      <c r="D1788" s="181"/>
      <c r="E1788" s="181"/>
      <c r="F1788" s="181"/>
      <c r="G1788" s="182"/>
      <c r="H1788" s="181"/>
      <c r="I1788" s="182"/>
    </row>
    <row r="1789">
      <c r="A1789" s="181"/>
      <c r="B1789" s="181"/>
      <c r="C1789" s="181"/>
      <c r="D1789" s="181"/>
      <c r="E1789" s="181"/>
      <c r="F1789" s="181"/>
      <c r="G1789" s="182"/>
      <c r="H1789" s="181"/>
      <c r="I1789" s="182"/>
    </row>
    <row r="1790">
      <c r="A1790" s="181"/>
      <c r="B1790" s="181"/>
      <c r="C1790" s="181"/>
      <c r="D1790" s="181"/>
      <c r="E1790" s="181"/>
      <c r="F1790" s="181"/>
      <c r="G1790" s="182"/>
      <c r="H1790" s="181"/>
      <c r="I1790" s="182"/>
    </row>
    <row r="1791">
      <c r="A1791" s="181"/>
      <c r="B1791" s="181"/>
      <c r="C1791" s="181"/>
      <c r="D1791" s="181"/>
      <c r="E1791" s="181"/>
      <c r="F1791" s="181"/>
      <c r="G1791" s="182"/>
      <c r="H1791" s="181"/>
      <c r="I1791" s="182"/>
    </row>
    <row r="1792">
      <c r="A1792" s="181"/>
      <c r="B1792" s="181"/>
      <c r="C1792" s="181"/>
      <c r="D1792" s="181"/>
      <c r="E1792" s="181"/>
      <c r="F1792" s="181"/>
      <c r="G1792" s="182"/>
      <c r="H1792" s="181"/>
      <c r="I1792" s="182"/>
    </row>
    <row r="1793">
      <c r="A1793" s="181"/>
      <c r="B1793" s="181"/>
      <c r="C1793" s="181"/>
      <c r="D1793" s="181"/>
      <c r="E1793" s="181"/>
      <c r="F1793" s="181"/>
      <c r="G1793" s="182"/>
      <c r="H1793" s="181"/>
      <c r="I1793" s="182"/>
    </row>
    <row r="1794">
      <c r="A1794" s="181"/>
      <c r="B1794" s="181"/>
      <c r="C1794" s="181"/>
      <c r="D1794" s="181"/>
      <c r="E1794" s="181"/>
      <c r="F1794" s="181"/>
      <c r="G1794" s="182"/>
      <c r="H1794" s="181"/>
      <c r="I1794" s="182"/>
    </row>
    <row r="1795">
      <c r="A1795" s="181"/>
      <c r="B1795" s="181"/>
      <c r="C1795" s="181"/>
      <c r="D1795" s="181"/>
      <c r="E1795" s="181"/>
      <c r="F1795" s="181"/>
      <c r="G1795" s="182"/>
      <c r="H1795" s="181"/>
      <c r="I1795" s="182"/>
    </row>
    <row r="1796">
      <c r="A1796" s="181"/>
      <c r="B1796" s="181"/>
      <c r="C1796" s="181"/>
      <c r="D1796" s="181"/>
      <c r="E1796" s="181"/>
      <c r="F1796" s="181"/>
      <c r="G1796" s="182"/>
      <c r="H1796" s="181"/>
      <c r="I1796" s="182"/>
    </row>
    <row r="1797">
      <c r="A1797" s="181"/>
      <c r="B1797" s="181"/>
      <c r="C1797" s="181"/>
      <c r="D1797" s="181"/>
      <c r="E1797" s="181"/>
      <c r="F1797" s="181"/>
      <c r="G1797" s="182"/>
      <c r="H1797" s="181"/>
      <c r="I1797" s="182"/>
    </row>
    <row r="1798">
      <c r="A1798" s="181"/>
      <c r="B1798" s="181"/>
      <c r="C1798" s="181"/>
      <c r="D1798" s="181"/>
      <c r="E1798" s="181"/>
      <c r="F1798" s="181"/>
      <c r="G1798" s="182"/>
      <c r="H1798" s="181"/>
      <c r="I1798" s="182"/>
    </row>
    <row r="1799">
      <c r="A1799" s="181"/>
      <c r="B1799" s="181"/>
      <c r="C1799" s="181"/>
      <c r="D1799" s="181"/>
      <c r="E1799" s="181"/>
      <c r="F1799" s="181"/>
      <c r="G1799" s="182"/>
      <c r="H1799" s="181"/>
      <c r="I1799" s="182"/>
    </row>
    <row r="1800">
      <c r="A1800" s="181"/>
      <c r="B1800" s="181"/>
      <c r="C1800" s="181"/>
      <c r="D1800" s="181"/>
      <c r="E1800" s="181"/>
      <c r="F1800" s="181"/>
      <c r="G1800" s="182"/>
      <c r="H1800" s="181"/>
      <c r="I1800" s="182"/>
    </row>
    <row r="1801">
      <c r="A1801" s="181"/>
      <c r="B1801" s="181"/>
      <c r="C1801" s="181"/>
      <c r="D1801" s="181"/>
      <c r="E1801" s="181"/>
      <c r="F1801" s="181"/>
      <c r="G1801" s="182"/>
      <c r="H1801" s="181"/>
      <c r="I1801" s="182"/>
    </row>
    <row r="1802">
      <c r="A1802" s="181"/>
      <c r="B1802" s="181"/>
      <c r="C1802" s="181"/>
      <c r="D1802" s="181"/>
      <c r="E1802" s="181"/>
      <c r="F1802" s="181"/>
      <c r="G1802" s="182"/>
      <c r="H1802" s="181"/>
      <c r="I1802" s="182"/>
    </row>
    <row r="1803">
      <c r="A1803" s="181"/>
      <c r="B1803" s="181"/>
      <c r="C1803" s="181"/>
      <c r="D1803" s="181"/>
      <c r="E1803" s="181"/>
      <c r="F1803" s="181"/>
      <c r="G1803" s="182"/>
      <c r="H1803" s="181"/>
      <c r="I1803" s="182"/>
    </row>
    <row r="1804">
      <c r="A1804" s="181"/>
      <c r="B1804" s="181"/>
      <c r="C1804" s="181"/>
      <c r="D1804" s="181"/>
      <c r="E1804" s="181"/>
      <c r="F1804" s="181"/>
      <c r="G1804" s="182"/>
      <c r="H1804" s="181"/>
      <c r="I1804" s="182"/>
    </row>
    <row r="1805">
      <c r="A1805" s="181"/>
      <c r="B1805" s="181"/>
      <c r="C1805" s="181"/>
      <c r="D1805" s="181"/>
      <c r="E1805" s="181"/>
      <c r="F1805" s="181"/>
      <c r="G1805" s="182"/>
      <c r="H1805" s="181"/>
      <c r="I1805" s="182"/>
    </row>
    <row r="1806">
      <c r="A1806" s="181"/>
      <c r="B1806" s="181"/>
      <c r="C1806" s="181"/>
      <c r="D1806" s="181"/>
      <c r="E1806" s="181"/>
      <c r="F1806" s="181"/>
      <c r="G1806" s="182"/>
      <c r="H1806" s="181"/>
      <c r="I1806" s="182"/>
    </row>
    <row r="1807">
      <c r="A1807" s="181"/>
      <c r="B1807" s="181"/>
      <c r="C1807" s="181"/>
      <c r="D1807" s="181"/>
      <c r="E1807" s="181"/>
      <c r="F1807" s="181"/>
      <c r="G1807" s="182"/>
      <c r="H1807" s="181"/>
      <c r="I1807" s="182"/>
    </row>
    <row r="1808">
      <c r="A1808" s="181"/>
      <c r="B1808" s="181"/>
      <c r="C1808" s="181"/>
      <c r="D1808" s="181"/>
      <c r="E1808" s="181"/>
      <c r="F1808" s="181"/>
      <c r="G1808" s="182"/>
      <c r="H1808" s="181"/>
      <c r="I1808" s="182"/>
    </row>
    <row r="1809">
      <c r="A1809" s="181"/>
      <c r="B1809" s="181"/>
      <c r="C1809" s="181"/>
      <c r="D1809" s="181"/>
      <c r="E1809" s="181"/>
      <c r="F1809" s="181"/>
      <c r="G1809" s="182"/>
      <c r="H1809" s="181"/>
      <c r="I1809" s="182"/>
    </row>
    <row r="1810">
      <c r="A1810" s="181"/>
      <c r="B1810" s="181"/>
      <c r="C1810" s="181"/>
      <c r="D1810" s="181"/>
      <c r="E1810" s="181"/>
      <c r="F1810" s="181"/>
      <c r="G1810" s="182"/>
      <c r="H1810" s="181"/>
      <c r="I1810" s="182"/>
    </row>
    <row r="1811">
      <c r="A1811" s="181"/>
      <c r="B1811" s="181"/>
      <c r="C1811" s="181"/>
      <c r="D1811" s="181"/>
      <c r="E1811" s="181"/>
      <c r="F1811" s="181"/>
      <c r="G1811" s="182"/>
      <c r="H1811" s="181"/>
      <c r="I1811" s="182"/>
    </row>
    <row r="1812">
      <c r="A1812" s="181"/>
      <c r="B1812" s="181"/>
      <c r="C1812" s="181"/>
      <c r="D1812" s="181"/>
      <c r="E1812" s="181"/>
      <c r="F1812" s="181"/>
      <c r="G1812" s="182"/>
      <c r="H1812" s="181"/>
      <c r="I1812" s="182"/>
    </row>
    <row r="1813">
      <c r="A1813" s="181"/>
      <c r="B1813" s="181"/>
      <c r="C1813" s="181"/>
      <c r="D1813" s="181"/>
      <c r="E1813" s="181"/>
      <c r="F1813" s="181"/>
      <c r="G1813" s="182"/>
      <c r="H1813" s="181"/>
      <c r="I1813" s="182"/>
    </row>
    <row r="1814">
      <c r="A1814" s="181"/>
      <c r="B1814" s="181"/>
      <c r="C1814" s="181"/>
      <c r="D1814" s="181"/>
      <c r="E1814" s="181"/>
      <c r="F1814" s="181"/>
      <c r="G1814" s="182"/>
      <c r="H1814" s="181"/>
      <c r="I1814" s="182"/>
    </row>
    <row r="1815">
      <c r="A1815" s="181"/>
      <c r="B1815" s="181"/>
      <c r="C1815" s="181"/>
      <c r="D1815" s="181"/>
      <c r="E1815" s="181"/>
      <c r="F1815" s="181"/>
      <c r="G1815" s="182"/>
      <c r="H1815" s="181"/>
      <c r="I1815" s="182"/>
    </row>
    <row r="1816">
      <c r="A1816" s="181"/>
      <c r="B1816" s="181"/>
      <c r="C1816" s="181"/>
      <c r="D1816" s="181"/>
      <c r="E1816" s="181"/>
      <c r="F1816" s="181"/>
      <c r="G1816" s="182"/>
      <c r="H1816" s="181"/>
      <c r="I1816" s="182"/>
    </row>
    <row r="1817">
      <c r="A1817" s="181"/>
      <c r="B1817" s="181"/>
      <c r="C1817" s="181"/>
      <c r="D1817" s="181"/>
      <c r="E1817" s="181"/>
      <c r="F1817" s="181"/>
      <c r="G1817" s="182"/>
      <c r="H1817" s="181"/>
      <c r="I1817" s="182"/>
    </row>
    <row r="1818">
      <c r="A1818" s="181"/>
      <c r="B1818" s="181"/>
      <c r="C1818" s="181"/>
      <c r="D1818" s="181"/>
      <c r="E1818" s="181"/>
      <c r="F1818" s="181"/>
      <c r="G1818" s="182"/>
      <c r="H1818" s="181"/>
      <c r="I1818" s="182"/>
    </row>
    <row r="1819">
      <c r="A1819" s="181"/>
      <c r="B1819" s="181"/>
      <c r="C1819" s="181"/>
      <c r="D1819" s="181"/>
      <c r="E1819" s="181"/>
      <c r="F1819" s="181"/>
      <c r="G1819" s="182"/>
      <c r="H1819" s="181"/>
      <c r="I1819" s="182"/>
    </row>
    <row r="1820">
      <c r="A1820" s="181"/>
      <c r="B1820" s="181"/>
      <c r="C1820" s="181"/>
      <c r="D1820" s="181"/>
      <c r="E1820" s="181"/>
      <c r="F1820" s="181"/>
      <c r="G1820" s="182"/>
      <c r="H1820" s="181"/>
      <c r="I1820" s="182"/>
    </row>
    <row r="1821">
      <c r="A1821" s="181"/>
      <c r="B1821" s="181"/>
      <c r="C1821" s="181"/>
      <c r="D1821" s="181"/>
      <c r="E1821" s="181"/>
      <c r="F1821" s="181"/>
      <c r="G1821" s="182"/>
      <c r="H1821" s="181"/>
      <c r="I1821" s="182"/>
    </row>
    <row r="1822">
      <c r="A1822" s="181"/>
      <c r="B1822" s="181"/>
      <c r="C1822" s="181"/>
      <c r="D1822" s="181"/>
      <c r="E1822" s="181"/>
      <c r="F1822" s="181"/>
      <c r="G1822" s="182"/>
      <c r="H1822" s="181"/>
      <c r="I1822" s="182"/>
    </row>
    <row r="1823">
      <c r="A1823" s="181"/>
      <c r="B1823" s="181"/>
      <c r="C1823" s="181"/>
      <c r="D1823" s="181"/>
      <c r="E1823" s="181"/>
      <c r="F1823" s="181"/>
      <c r="G1823" s="182"/>
      <c r="H1823" s="181"/>
      <c r="I1823" s="182"/>
    </row>
    <row r="1824">
      <c r="A1824" s="181"/>
      <c r="B1824" s="181"/>
      <c r="C1824" s="181"/>
      <c r="D1824" s="181"/>
      <c r="E1824" s="181"/>
      <c r="F1824" s="181"/>
      <c r="G1824" s="182"/>
      <c r="H1824" s="181"/>
      <c r="I1824" s="182"/>
    </row>
    <row r="1825">
      <c r="A1825" s="181"/>
      <c r="B1825" s="181"/>
      <c r="C1825" s="181"/>
      <c r="D1825" s="181"/>
      <c r="E1825" s="181"/>
      <c r="F1825" s="181"/>
      <c r="G1825" s="182"/>
      <c r="H1825" s="181"/>
      <c r="I1825" s="182"/>
    </row>
    <row r="1826">
      <c r="A1826" s="181"/>
      <c r="B1826" s="181"/>
      <c r="C1826" s="181"/>
      <c r="D1826" s="181"/>
      <c r="E1826" s="181"/>
      <c r="F1826" s="181"/>
      <c r="G1826" s="182"/>
      <c r="H1826" s="181"/>
      <c r="I1826" s="182"/>
    </row>
    <row r="1827">
      <c r="A1827" s="181"/>
      <c r="B1827" s="181"/>
      <c r="C1827" s="181"/>
      <c r="D1827" s="181"/>
      <c r="E1827" s="181"/>
      <c r="F1827" s="181"/>
      <c r="G1827" s="182"/>
      <c r="H1827" s="181"/>
      <c r="I1827" s="182"/>
    </row>
    <row r="1828">
      <c r="A1828" s="181"/>
      <c r="B1828" s="181"/>
      <c r="C1828" s="181"/>
      <c r="D1828" s="181"/>
      <c r="E1828" s="181"/>
      <c r="F1828" s="181"/>
      <c r="G1828" s="182"/>
      <c r="H1828" s="181"/>
      <c r="I1828" s="182"/>
    </row>
    <row r="1829">
      <c r="A1829" s="181"/>
      <c r="B1829" s="181"/>
      <c r="C1829" s="181"/>
      <c r="D1829" s="181"/>
      <c r="E1829" s="181"/>
      <c r="F1829" s="181"/>
      <c r="G1829" s="182"/>
      <c r="H1829" s="181"/>
      <c r="I1829" s="182"/>
    </row>
    <row r="1830">
      <c r="A1830" s="181"/>
      <c r="B1830" s="181"/>
      <c r="C1830" s="181"/>
      <c r="D1830" s="181"/>
      <c r="E1830" s="181"/>
      <c r="F1830" s="181"/>
      <c r="G1830" s="182"/>
      <c r="H1830" s="181"/>
      <c r="I1830" s="182"/>
    </row>
    <row r="1831">
      <c r="A1831" s="181"/>
      <c r="B1831" s="181"/>
      <c r="C1831" s="181"/>
      <c r="D1831" s="181"/>
      <c r="E1831" s="181"/>
      <c r="F1831" s="181"/>
      <c r="G1831" s="182"/>
      <c r="H1831" s="181"/>
      <c r="I1831" s="182"/>
    </row>
    <row r="1832">
      <c r="A1832" s="181"/>
      <c r="B1832" s="181"/>
      <c r="C1832" s="181"/>
      <c r="D1832" s="181"/>
      <c r="E1832" s="181"/>
      <c r="F1832" s="181"/>
      <c r="G1832" s="182"/>
      <c r="H1832" s="181"/>
      <c r="I1832" s="182"/>
    </row>
    <row r="1833">
      <c r="A1833" s="181"/>
      <c r="B1833" s="181"/>
      <c r="C1833" s="181"/>
      <c r="D1833" s="181"/>
      <c r="E1833" s="181"/>
      <c r="F1833" s="181"/>
      <c r="G1833" s="182"/>
      <c r="H1833" s="181"/>
      <c r="I1833" s="182"/>
    </row>
    <row r="1834">
      <c r="A1834" s="181"/>
      <c r="B1834" s="181"/>
      <c r="C1834" s="181"/>
      <c r="D1834" s="181"/>
      <c r="E1834" s="181"/>
      <c r="F1834" s="181"/>
      <c r="G1834" s="182"/>
      <c r="H1834" s="181"/>
      <c r="I1834" s="182"/>
    </row>
    <row r="1835">
      <c r="A1835" s="181"/>
      <c r="B1835" s="181"/>
      <c r="C1835" s="181"/>
      <c r="D1835" s="181"/>
      <c r="E1835" s="181"/>
      <c r="F1835" s="181"/>
      <c r="G1835" s="182"/>
      <c r="H1835" s="181"/>
      <c r="I1835" s="182"/>
    </row>
    <row r="1836">
      <c r="A1836" s="181"/>
      <c r="B1836" s="181"/>
      <c r="C1836" s="181"/>
      <c r="D1836" s="181"/>
      <c r="E1836" s="181"/>
      <c r="F1836" s="181"/>
      <c r="G1836" s="182"/>
      <c r="H1836" s="181"/>
      <c r="I1836" s="182"/>
    </row>
    <row r="1837">
      <c r="A1837" s="181"/>
      <c r="B1837" s="181"/>
      <c r="C1837" s="181"/>
      <c r="D1837" s="181"/>
      <c r="E1837" s="181"/>
      <c r="F1837" s="181"/>
      <c r="G1837" s="182"/>
      <c r="H1837" s="181"/>
      <c r="I1837" s="182"/>
    </row>
    <row r="1838">
      <c r="A1838" s="181"/>
      <c r="B1838" s="181"/>
      <c r="C1838" s="181"/>
      <c r="D1838" s="181"/>
      <c r="E1838" s="181"/>
      <c r="F1838" s="181"/>
      <c r="G1838" s="182"/>
      <c r="H1838" s="181"/>
      <c r="I1838" s="182"/>
    </row>
    <row r="1839">
      <c r="A1839" s="181"/>
      <c r="B1839" s="181"/>
      <c r="C1839" s="181"/>
      <c r="D1839" s="181"/>
      <c r="E1839" s="181"/>
      <c r="F1839" s="181"/>
      <c r="G1839" s="182"/>
      <c r="H1839" s="181"/>
      <c r="I1839" s="182"/>
    </row>
    <row r="1840">
      <c r="A1840" s="181"/>
      <c r="B1840" s="181"/>
      <c r="C1840" s="181"/>
      <c r="D1840" s="181"/>
      <c r="E1840" s="181"/>
      <c r="F1840" s="181"/>
      <c r="G1840" s="182"/>
      <c r="H1840" s="181"/>
      <c r="I1840" s="182"/>
    </row>
    <row r="1841">
      <c r="A1841" s="181"/>
      <c r="B1841" s="181"/>
      <c r="C1841" s="181"/>
      <c r="D1841" s="181"/>
      <c r="E1841" s="181"/>
      <c r="F1841" s="181"/>
      <c r="G1841" s="182"/>
      <c r="H1841" s="181"/>
      <c r="I1841" s="182"/>
    </row>
    <row r="1842">
      <c r="A1842" s="181"/>
      <c r="B1842" s="181"/>
      <c r="C1842" s="181"/>
      <c r="D1842" s="181"/>
      <c r="E1842" s="181"/>
      <c r="F1842" s="181"/>
      <c r="G1842" s="182"/>
      <c r="H1842" s="181"/>
      <c r="I1842" s="182"/>
    </row>
    <row r="1843">
      <c r="A1843" s="181"/>
      <c r="B1843" s="181"/>
      <c r="C1843" s="181"/>
      <c r="D1843" s="181"/>
      <c r="E1843" s="181"/>
      <c r="F1843" s="181"/>
      <c r="G1843" s="182"/>
      <c r="H1843" s="181"/>
      <c r="I1843" s="182"/>
    </row>
    <row r="1844">
      <c r="A1844" s="181"/>
      <c r="B1844" s="181"/>
      <c r="C1844" s="181"/>
      <c r="D1844" s="181"/>
      <c r="E1844" s="181"/>
      <c r="F1844" s="181"/>
      <c r="G1844" s="182"/>
      <c r="H1844" s="181"/>
      <c r="I1844" s="182"/>
    </row>
    <row r="1845">
      <c r="A1845" s="181"/>
      <c r="B1845" s="181"/>
      <c r="C1845" s="181"/>
      <c r="D1845" s="181"/>
      <c r="E1845" s="181"/>
      <c r="F1845" s="181"/>
      <c r="G1845" s="182"/>
      <c r="H1845" s="181"/>
      <c r="I1845" s="182"/>
    </row>
    <row r="1846">
      <c r="A1846" s="181"/>
      <c r="B1846" s="181"/>
      <c r="C1846" s="181"/>
      <c r="D1846" s="181"/>
      <c r="E1846" s="181"/>
      <c r="F1846" s="181"/>
      <c r="G1846" s="182"/>
      <c r="H1846" s="181"/>
      <c r="I1846" s="182"/>
    </row>
    <row r="1847">
      <c r="A1847" s="181"/>
      <c r="B1847" s="181"/>
      <c r="C1847" s="181"/>
      <c r="D1847" s="181"/>
      <c r="E1847" s="181"/>
      <c r="F1847" s="181"/>
      <c r="G1847" s="182"/>
      <c r="H1847" s="181"/>
      <c r="I1847" s="182"/>
    </row>
    <row r="1848">
      <c r="A1848" s="181"/>
      <c r="B1848" s="181"/>
      <c r="C1848" s="181"/>
      <c r="D1848" s="181"/>
      <c r="E1848" s="181"/>
      <c r="F1848" s="181"/>
      <c r="G1848" s="182"/>
      <c r="H1848" s="181"/>
      <c r="I1848" s="182"/>
    </row>
    <row r="1849">
      <c r="A1849" s="181"/>
      <c r="B1849" s="181"/>
      <c r="C1849" s="181"/>
      <c r="D1849" s="181"/>
      <c r="E1849" s="181"/>
      <c r="F1849" s="181"/>
      <c r="G1849" s="182"/>
      <c r="H1849" s="181"/>
      <c r="I1849" s="182"/>
    </row>
    <row r="1850">
      <c r="A1850" s="181"/>
      <c r="B1850" s="181"/>
      <c r="C1850" s="181"/>
      <c r="D1850" s="181"/>
      <c r="E1850" s="181"/>
      <c r="F1850" s="181"/>
      <c r="G1850" s="182"/>
      <c r="H1850" s="181"/>
      <c r="I1850" s="182"/>
    </row>
    <row r="1851">
      <c r="A1851" s="181"/>
      <c r="B1851" s="181"/>
      <c r="C1851" s="181"/>
      <c r="D1851" s="181"/>
      <c r="E1851" s="181"/>
      <c r="F1851" s="181"/>
      <c r="G1851" s="182"/>
      <c r="H1851" s="181"/>
      <c r="I1851" s="182"/>
    </row>
    <row r="1852">
      <c r="A1852" s="181"/>
      <c r="B1852" s="181"/>
      <c r="C1852" s="181"/>
      <c r="D1852" s="181"/>
      <c r="E1852" s="181"/>
      <c r="F1852" s="181"/>
      <c r="G1852" s="182"/>
      <c r="H1852" s="181"/>
      <c r="I1852" s="182"/>
    </row>
    <row r="1853">
      <c r="A1853" s="181"/>
      <c r="B1853" s="181"/>
      <c r="C1853" s="181"/>
      <c r="D1853" s="181"/>
      <c r="E1853" s="181"/>
      <c r="F1853" s="181"/>
      <c r="G1853" s="182"/>
      <c r="H1853" s="181"/>
      <c r="I1853" s="182"/>
    </row>
    <row r="1854">
      <c r="A1854" s="181"/>
      <c r="B1854" s="181"/>
      <c r="C1854" s="181"/>
      <c r="D1854" s="181"/>
      <c r="E1854" s="181"/>
      <c r="F1854" s="181"/>
      <c r="G1854" s="182"/>
      <c r="H1854" s="181"/>
      <c r="I1854" s="182"/>
    </row>
    <row r="1855">
      <c r="A1855" s="181"/>
      <c r="B1855" s="181"/>
      <c r="C1855" s="181"/>
      <c r="D1855" s="181"/>
      <c r="E1855" s="181"/>
      <c r="F1855" s="181"/>
      <c r="G1855" s="182"/>
      <c r="H1855" s="181"/>
      <c r="I1855" s="182"/>
    </row>
    <row r="1856">
      <c r="A1856" s="181"/>
      <c r="B1856" s="181"/>
      <c r="C1856" s="181"/>
      <c r="D1856" s="181"/>
      <c r="E1856" s="181"/>
      <c r="F1856" s="181"/>
      <c r="G1856" s="182"/>
      <c r="H1856" s="181"/>
      <c r="I1856" s="182"/>
    </row>
    <row r="1857">
      <c r="A1857" s="181"/>
      <c r="B1857" s="181"/>
      <c r="C1857" s="181"/>
      <c r="D1857" s="181"/>
      <c r="E1857" s="181"/>
      <c r="F1857" s="181"/>
      <c r="G1857" s="182"/>
      <c r="H1857" s="181"/>
      <c r="I1857" s="182"/>
    </row>
    <row r="1858">
      <c r="A1858" s="181"/>
      <c r="B1858" s="181"/>
      <c r="C1858" s="181"/>
      <c r="D1858" s="181"/>
      <c r="E1858" s="181"/>
      <c r="F1858" s="181"/>
      <c r="G1858" s="182"/>
      <c r="H1858" s="181"/>
      <c r="I1858" s="182"/>
    </row>
    <row r="1859">
      <c r="A1859" s="181"/>
      <c r="B1859" s="181"/>
      <c r="C1859" s="181"/>
      <c r="D1859" s="181"/>
      <c r="E1859" s="181"/>
      <c r="F1859" s="181"/>
      <c r="G1859" s="182"/>
      <c r="H1859" s="181"/>
      <c r="I1859" s="182"/>
    </row>
    <row r="1860">
      <c r="A1860" s="181"/>
      <c r="B1860" s="181"/>
      <c r="C1860" s="181"/>
      <c r="D1860" s="181"/>
      <c r="E1860" s="181"/>
      <c r="F1860" s="181"/>
      <c r="G1860" s="182"/>
      <c r="H1860" s="181"/>
      <c r="I1860" s="182"/>
    </row>
    <row r="1861">
      <c r="A1861" s="181"/>
      <c r="B1861" s="181"/>
      <c r="C1861" s="181"/>
      <c r="D1861" s="181"/>
      <c r="E1861" s="181"/>
      <c r="F1861" s="181"/>
      <c r="G1861" s="182"/>
      <c r="H1861" s="181"/>
      <c r="I1861" s="182"/>
    </row>
    <row r="1862">
      <c r="A1862" s="181"/>
      <c r="B1862" s="181"/>
      <c r="C1862" s="181"/>
      <c r="D1862" s="181"/>
      <c r="E1862" s="181"/>
      <c r="F1862" s="181"/>
      <c r="G1862" s="182"/>
      <c r="H1862" s="181"/>
      <c r="I1862" s="182"/>
    </row>
    <row r="1863">
      <c r="A1863" s="181"/>
      <c r="B1863" s="181"/>
      <c r="C1863" s="181"/>
      <c r="D1863" s="181"/>
      <c r="E1863" s="181"/>
      <c r="F1863" s="181"/>
      <c r="G1863" s="182"/>
      <c r="H1863" s="181"/>
      <c r="I1863" s="182"/>
    </row>
    <row r="1864">
      <c r="A1864" s="181"/>
      <c r="B1864" s="181"/>
      <c r="C1864" s="181"/>
      <c r="D1864" s="181"/>
      <c r="E1864" s="181"/>
      <c r="F1864" s="181"/>
      <c r="G1864" s="182"/>
      <c r="H1864" s="181"/>
      <c r="I1864" s="182"/>
    </row>
    <row r="1865">
      <c r="A1865" s="181"/>
      <c r="B1865" s="181"/>
      <c r="C1865" s="181"/>
      <c r="D1865" s="181"/>
      <c r="E1865" s="181"/>
      <c r="F1865" s="181"/>
      <c r="G1865" s="182"/>
      <c r="H1865" s="181"/>
      <c r="I1865" s="182"/>
    </row>
    <row r="1866">
      <c r="A1866" s="181"/>
      <c r="B1866" s="181"/>
      <c r="C1866" s="181"/>
      <c r="D1866" s="181"/>
      <c r="E1866" s="181"/>
      <c r="F1866" s="181"/>
      <c r="G1866" s="182"/>
      <c r="H1866" s="181"/>
      <c r="I1866" s="182"/>
    </row>
    <row r="1867">
      <c r="A1867" s="181"/>
      <c r="B1867" s="181"/>
      <c r="C1867" s="181"/>
      <c r="D1867" s="181"/>
      <c r="E1867" s="181"/>
      <c r="F1867" s="181"/>
      <c r="G1867" s="182"/>
      <c r="H1867" s="181"/>
      <c r="I1867" s="182"/>
    </row>
    <row r="1868">
      <c r="A1868" s="181"/>
      <c r="B1868" s="181"/>
      <c r="C1868" s="181"/>
      <c r="D1868" s="181"/>
      <c r="E1868" s="181"/>
      <c r="F1868" s="181"/>
      <c r="G1868" s="182"/>
      <c r="H1868" s="181"/>
      <c r="I1868" s="182"/>
    </row>
    <row r="1869">
      <c r="A1869" s="181"/>
      <c r="B1869" s="181"/>
      <c r="C1869" s="181"/>
      <c r="D1869" s="181"/>
      <c r="E1869" s="181"/>
      <c r="F1869" s="181"/>
      <c r="G1869" s="182"/>
      <c r="H1869" s="181"/>
      <c r="I1869" s="182"/>
    </row>
    <row r="1870">
      <c r="A1870" s="181"/>
      <c r="B1870" s="181"/>
      <c r="C1870" s="181"/>
      <c r="D1870" s="181"/>
      <c r="E1870" s="181"/>
      <c r="F1870" s="181"/>
      <c r="G1870" s="182"/>
      <c r="H1870" s="181"/>
      <c r="I1870" s="182"/>
    </row>
    <row r="1871">
      <c r="A1871" s="181"/>
      <c r="B1871" s="181"/>
      <c r="C1871" s="181"/>
      <c r="D1871" s="181"/>
      <c r="E1871" s="181"/>
      <c r="F1871" s="181"/>
      <c r="G1871" s="182"/>
      <c r="H1871" s="181"/>
      <c r="I1871" s="182"/>
    </row>
    <row r="1872">
      <c r="A1872" s="181"/>
      <c r="B1872" s="181"/>
      <c r="C1872" s="181"/>
      <c r="D1872" s="181"/>
      <c r="E1872" s="181"/>
      <c r="F1872" s="181"/>
      <c r="G1872" s="182"/>
      <c r="H1872" s="181"/>
      <c r="I1872" s="182"/>
    </row>
    <row r="1873">
      <c r="A1873" s="181"/>
      <c r="B1873" s="181"/>
      <c r="C1873" s="181"/>
      <c r="D1873" s="181"/>
      <c r="E1873" s="181"/>
      <c r="F1873" s="181"/>
      <c r="G1873" s="182"/>
      <c r="H1873" s="181"/>
      <c r="I1873" s="182"/>
    </row>
    <row r="1874">
      <c r="A1874" s="181"/>
      <c r="B1874" s="181"/>
      <c r="C1874" s="181"/>
      <c r="D1874" s="181"/>
      <c r="E1874" s="181"/>
      <c r="F1874" s="181"/>
      <c r="G1874" s="182"/>
      <c r="H1874" s="181"/>
      <c r="I1874" s="182"/>
    </row>
    <row r="1875">
      <c r="A1875" s="181"/>
      <c r="B1875" s="181"/>
      <c r="C1875" s="181"/>
      <c r="D1875" s="181"/>
      <c r="E1875" s="181"/>
      <c r="F1875" s="181"/>
      <c r="G1875" s="182"/>
      <c r="H1875" s="181"/>
      <c r="I1875" s="182"/>
    </row>
    <row r="1876">
      <c r="A1876" s="181"/>
      <c r="B1876" s="181"/>
      <c r="C1876" s="181"/>
      <c r="D1876" s="181"/>
      <c r="E1876" s="181"/>
      <c r="F1876" s="181"/>
      <c r="G1876" s="182"/>
      <c r="H1876" s="181"/>
      <c r="I1876" s="182"/>
    </row>
    <row r="1877">
      <c r="A1877" s="181"/>
      <c r="B1877" s="181"/>
      <c r="C1877" s="181"/>
      <c r="D1877" s="181"/>
      <c r="E1877" s="181"/>
      <c r="F1877" s="181"/>
      <c r="G1877" s="182"/>
      <c r="H1877" s="181"/>
      <c r="I1877" s="182"/>
    </row>
    <row r="1878">
      <c r="A1878" s="181"/>
      <c r="B1878" s="181"/>
      <c r="C1878" s="181"/>
      <c r="D1878" s="181"/>
      <c r="E1878" s="181"/>
      <c r="F1878" s="181"/>
      <c r="G1878" s="182"/>
      <c r="H1878" s="181"/>
      <c r="I1878" s="182"/>
    </row>
    <row r="1879">
      <c r="A1879" s="181"/>
      <c r="B1879" s="181"/>
      <c r="C1879" s="181"/>
      <c r="D1879" s="181"/>
      <c r="E1879" s="181"/>
      <c r="F1879" s="181"/>
      <c r="G1879" s="182"/>
      <c r="H1879" s="181"/>
      <c r="I1879" s="182"/>
    </row>
    <row r="1880">
      <c r="A1880" s="181"/>
      <c r="B1880" s="181"/>
      <c r="C1880" s="181"/>
      <c r="D1880" s="181"/>
      <c r="E1880" s="181"/>
      <c r="F1880" s="181"/>
      <c r="G1880" s="182"/>
      <c r="H1880" s="181"/>
      <c r="I1880" s="182"/>
    </row>
    <row r="1881">
      <c r="A1881" s="181"/>
      <c r="B1881" s="181"/>
      <c r="C1881" s="181"/>
      <c r="D1881" s="181"/>
      <c r="E1881" s="181"/>
      <c r="F1881" s="181"/>
      <c r="G1881" s="182"/>
      <c r="H1881" s="181"/>
      <c r="I1881" s="182"/>
    </row>
    <row r="1882">
      <c r="A1882" s="181"/>
      <c r="B1882" s="181"/>
      <c r="C1882" s="181"/>
      <c r="D1882" s="181"/>
      <c r="E1882" s="181"/>
      <c r="F1882" s="181"/>
      <c r="G1882" s="182"/>
      <c r="H1882" s="181"/>
      <c r="I1882" s="182"/>
    </row>
    <row r="1883">
      <c r="A1883" s="181"/>
      <c r="B1883" s="181"/>
      <c r="C1883" s="181"/>
      <c r="D1883" s="181"/>
      <c r="E1883" s="181"/>
      <c r="F1883" s="181"/>
      <c r="G1883" s="182"/>
      <c r="H1883" s="181"/>
      <c r="I1883" s="182"/>
    </row>
    <row r="1884">
      <c r="A1884" s="181"/>
      <c r="B1884" s="181"/>
      <c r="C1884" s="181"/>
      <c r="D1884" s="181"/>
      <c r="E1884" s="181"/>
      <c r="F1884" s="181"/>
      <c r="G1884" s="182"/>
      <c r="H1884" s="181"/>
      <c r="I1884" s="182"/>
    </row>
    <row r="1885">
      <c r="A1885" s="181"/>
      <c r="B1885" s="181"/>
      <c r="C1885" s="181"/>
      <c r="D1885" s="181"/>
      <c r="E1885" s="181"/>
      <c r="F1885" s="181"/>
      <c r="G1885" s="182"/>
      <c r="H1885" s="181"/>
      <c r="I1885" s="182"/>
    </row>
    <row r="1886">
      <c r="A1886" s="181"/>
      <c r="B1886" s="181"/>
      <c r="C1886" s="181"/>
      <c r="D1886" s="181"/>
      <c r="E1886" s="181"/>
      <c r="F1886" s="181"/>
      <c r="G1886" s="182"/>
      <c r="H1886" s="181"/>
      <c r="I1886" s="182"/>
    </row>
    <row r="1887">
      <c r="A1887" s="181"/>
      <c r="B1887" s="181"/>
      <c r="C1887" s="181"/>
      <c r="D1887" s="181"/>
      <c r="E1887" s="181"/>
      <c r="F1887" s="181"/>
      <c r="G1887" s="182"/>
      <c r="H1887" s="181"/>
      <c r="I1887" s="182"/>
    </row>
    <row r="1888">
      <c r="A1888" s="181"/>
      <c r="B1888" s="181"/>
      <c r="C1888" s="181"/>
      <c r="D1888" s="181"/>
      <c r="E1888" s="181"/>
      <c r="F1888" s="181"/>
      <c r="G1888" s="182"/>
      <c r="H1888" s="181"/>
      <c r="I1888" s="182"/>
    </row>
    <row r="1889">
      <c r="A1889" s="181"/>
      <c r="B1889" s="181"/>
      <c r="C1889" s="181"/>
      <c r="D1889" s="181"/>
      <c r="E1889" s="181"/>
      <c r="F1889" s="181"/>
      <c r="G1889" s="182"/>
      <c r="H1889" s="181"/>
      <c r="I1889" s="182"/>
    </row>
    <row r="1890">
      <c r="A1890" s="181"/>
      <c r="B1890" s="181"/>
      <c r="C1890" s="181"/>
      <c r="D1890" s="181"/>
      <c r="E1890" s="181"/>
      <c r="F1890" s="181"/>
      <c r="G1890" s="182"/>
      <c r="H1890" s="181"/>
      <c r="I1890" s="182"/>
    </row>
    <row r="1891">
      <c r="A1891" s="181"/>
      <c r="B1891" s="181"/>
      <c r="C1891" s="181"/>
      <c r="D1891" s="181"/>
      <c r="E1891" s="181"/>
      <c r="F1891" s="181"/>
      <c r="G1891" s="182"/>
      <c r="H1891" s="181"/>
      <c r="I1891" s="182"/>
    </row>
    <row r="1892">
      <c r="A1892" s="181"/>
      <c r="B1892" s="181"/>
      <c r="C1892" s="181"/>
      <c r="D1892" s="181"/>
      <c r="E1892" s="181"/>
      <c r="F1892" s="181"/>
      <c r="G1892" s="182"/>
      <c r="H1892" s="181"/>
      <c r="I1892" s="182"/>
    </row>
    <row r="1893">
      <c r="A1893" s="181"/>
      <c r="B1893" s="181"/>
      <c r="C1893" s="181"/>
      <c r="D1893" s="181"/>
      <c r="E1893" s="181"/>
      <c r="F1893" s="181"/>
      <c r="G1893" s="182"/>
      <c r="H1893" s="181"/>
      <c r="I1893" s="182"/>
    </row>
    <row r="1894">
      <c r="A1894" s="181"/>
      <c r="B1894" s="181"/>
      <c r="C1894" s="181"/>
      <c r="D1894" s="181"/>
      <c r="E1894" s="181"/>
      <c r="F1894" s="181"/>
      <c r="G1894" s="182"/>
      <c r="H1894" s="181"/>
      <c r="I1894" s="182"/>
    </row>
    <row r="1895">
      <c r="A1895" s="181"/>
      <c r="B1895" s="181"/>
      <c r="C1895" s="181"/>
      <c r="D1895" s="181"/>
      <c r="E1895" s="181"/>
      <c r="F1895" s="181"/>
      <c r="G1895" s="182"/>
      <c r="H1895" s="181"/>
      <c r="I1895" s="182"/>
    </row>
    <row r="1896">
      <c r="A1896" s="181"/>
      <c r="B1896" s="181"/>
      <c r="C1896" s="181"/>
      <c r="D1896" s="181"/>
      <c r="E1896" s="181"/>
      <c r="F1896" s="181"/>
      <c r="G1896" s="182"/>
      <c r="H1896" s="181"/>
      <c r="I1896" s="182"/>
    </row>
    <row r="1897">
      <c r="A1897" s="181"/>
      <c r="B1897" s="181"/>
      <c r="C1897" s="181"/>
      <c r="D1897" s="181"/>
      <c r="E1897" s="181"/>
      <c r="F1897" s="181"/>
      <c r="G1897" s="182"/>
      <c r="H1897" s="181"/>
      <c r="I1897" s="182"/>
    </row>
    <row r="1898">
      <c r="A1898" s="181"/>
      <c r="B1898" s="181"/>
      <c r="C1898" s="181"/>
      <c r="D1898" s="181"/>
      <c r="E1898" s="181"/>
      <c r="F1898" s="181"/>
      <c r="G1898" s="182"/>
      <c r="H1898" s="181"/>
      <c r="I1898" s="182"/>
    </row>
    <row r="1899">
      <c r="A1899" s="181"/>
      <c r="B1899" s="181"/>
      <c r="C1899" s="181"/>
      <c r="D1899" s="181"/>
      <c r="E1899" s="181"/>
      <c r="F1899" s="181"/>
      <c r="G1899" s="182"/>
      <c r="H1899" s="181"/>
      <c r="I1899" s="182"/>
    </row>
    <row r="1900">
      <c r="A1900" s="181"/>
      <c r="B1900" s="181"/>
      <c r="C1900" s="181"/>
      <c r="D1900" s="181"/>
      <c r="E1900" s="181"/>
      <c r="F1900" s="181"/>
      <c r="G1900" s="182"/>
      <c r="H1900" s="181"/>
      <c r="I1900" s="182"/>
    </row>
    <row r="1901">
      <c r="A1901" s="181"/>
      <c r="B1901" s="181"/>
      <c r="C1901" s="181"/>
      <c r="D1901" s="181"/>
      <c r="E1901" s="181"/>
      <c r="F1901" s="181"/>
      <c r="G1901" s="182"/>
      <c r="H1901" s="181"/>
      <c r="I1901" s="182"/>
    </row>
    <row r="1902">
      <c r="A1902" s="181"/>
      <c r="B1902" s="181"/>
      <c r="C1902" s="181"/>
      <c r="D1902" s="181"/>
      <c r="E1902" s="181"/>
      <c r="F1902" s="181"/>
      <c r="G1902" s="182"/>
      <c r="H1902" s="181"/>
      <c r="I1902" s="182"/>
    </row>
    <row r="1903">
      <c r="A1903" s="181"/>
      <c r="B1903" s="181"/>
      <c r="C1903" s="181"/>
      <c r="D1903" s="181"/>
      <c r="E1903" s="181"/>
      <c r="F1903" s="181"/>
      <c r="G1903" s="182"/>
      <c r="H1903" s="181"/>
      <c r="I1903" s="182"/>
    </row>
    <row r="1904">
      <c r="A1904" s="181"/>
      <c r="B1904" s="181"/>
      <c r="C1904" s="181"/>
      <c r="D1904" s="181"/>
      <c r="E1904" s="181"/>
      <c r="F1904" s="181"/>
      <c r="G1904" s="182"/>
      <c r="H1904" s="181"/>
      <c r="I1904" s="182"/>
    </row>
    <row r="1905">
      <c r="A1905" s="181"/>
      <c r="B1905" s="181"/>
      <c r="C1905" s="181"/>
      <c r="D1905" s="181"/>
      <c r="E1905" s="181"/>
      <c r="F1905" s="181"/>
      <c r="G1905" s="182"/>
      <c r="H1905" s="181"/>
      <c r="I1905" s="182"/>
    </row>
    <row r="1906">
      <c r="A1906" s="181"/>
      <c r="B1906" s="181"/>
      <c r="C1906" s="181"/>
      <c r="D1906" s="181"/>
      <c r="E1906" s="181"/>
      <c r="F1906" s="181"/>
      <c r="G1906" s="182"/>
      <c r="H1906" s="181"/>
      <c r="I1906" s="182"/>
    </row>
    <row r="1907">
      <c r="A1907" s="181"/>
      <c r="B1907" s="181"/>
      <c r="C1907" s="181"/>
      <c r="D1907" s="181"/>
      <c r="E1907" s="181"/>
      <c r="F1907" s="181"/>
      <c r="G1907" s="182"/>
      <c r="H1907" s="181"/>
      <c r="I1907" s="182"/>
    </row>
    <row r="1908">
      <c r="A1908" s="181"/>
      <c r="B1908" s="181"/>
      <c r="C1908" s="181"/>
      <c r="D1908" s="181"/>
      <c r="E1908" s="181"/>
      <c r="F1908" s="181"/>
      <c r="G1908" s="182"/>
      <c r="H1908" s="181"/>
      <c r="I1908" s="182"/>
    </row>
    <row r="1909">
      <c r="A1909" s="181"/>
      <c r="B1909" s="181"/>
      <c r="C1909" s="181"/>
      <c r="D1909" s="181"/>
      <c r="E1909" s="181"/>
      <c r="F1909" s="181"/>
      <c r="G1909" s="182"/>
      <c r="H1909" s="181"/>
      <c r="I1909" s="182"/>
    </row>
    <row r="1910">
      <c r="A1910" s="181"/>
      <c r="B1910" s="181"/>
      <c r="C1910" s="181"/>
      <c r="D1910" s="181"/>
      <c r="E1910" s="181"/>
      <c r="F1910" s="181"/>
      <c r="G1910" s="182"/>
      <c r="H1910" s="181"/>
      <c r="I1910" s="182"/>
    </row>
    <row r="1911">
      <c r="A1911" s="181"/>
      <c r="B1911" s="181"/>
      <c r="C1911" s="181"/>
      <c r="D1911" s="181"/>
      <c r="E1911" s="181"/>
      <c r="F1911" s="181"/>
      <c r="G1911" s="182"/>
      <c r="H1911" s="181"/>
      <c r="I1911" s="182"/>
    </row>
    <row r="1912">
      <c r="A1912" s="181"/>
      <c r="B1912" s="181"/>
      <c r="C1912" s="181"/>
      <c r="D1912" s="181"/>
      <c r="E1912" s="181"/>
      <c r="F1912" s="181"/>
      <c r="G1912" s="182"/>
      <c r="H1912" s="181"/>
      <c r="I1912" s="182"/>
    </row>
    <row r="1913">
      <c r="A1913" s="181"/>
      <c r="B1913" s="181"/>
      <c r="C1913" s="181"/>
      <c r="D1913" s="181"/>
      <c r="E1913" s="181"/>
      <c r="F1913" s="181"/>
      <c r="G1913" s="182"/>
      <c r="H1913" s="181"/>
      <c r="I1913" s="182"/>
    </row>
    <row r="1914">
      <c r="A1914" s="181"/>
      <c r="B1914" s="181"/>
      <c r="C1914" s="181"/>
      <c r="D1914" s="181"/>
      <c r="E1914" s="181"/>
      <c r="F1914" s="181"/>
      <c r="G1914" s="182"/>
      <c r="H1914" s="181"/>
      <c r="I1914" s="182"/>
    </row>
    <row r="1915">
      <c r="A1915" s="181"/>
      <c r="B1915" s="181"/>
      <c r="C1915" s="181"/>
      <c r="D1915" s="181"/>
      <c r="E1915" s="181"/>
      <c r="F1915" s="181"/>
      <c r="G1915" s="182"/>
      <c r="H1915" s="181"/>
      <c r="I1915" s="182"/>
    </row>
    <row r="1916">
      <c r="A1916" s="181"/>
      <c r="B1916" s="181"/>
      <c r="C1916" s="181"/>
      <c r="D1916" s="181"/>
      <c r="E1916" s="181"/>
      <c r="F1916" s="181"/>
      <c r="G1916" s="182"/>
      <c r="H1916" s="181"/>
      <c r="I1916" s="182"/>
    </row>
    <row r="1917">
      <c r="A1917" s="181"/>
      <c r="B1917" s="181"/>
      <c r="C1917" s="181"/>
      <c r="D1917" s="181"/>
      <c r="E1917" s="181"/>
      <c r="F1917" s="181"/>
      <c r="G1917" s="182"/>
      <c r="H1917" s="181"/>
      <c r="I1917" s="182"/>
    </row>
    <row r="1918">
      <c r="A1918" s="181"/>
      <c r="B1918" s="181"/>
      <c r="C1918" s="181"/>
      <c r="D1918" s="181"/>
      <c r="E1918" s="181"/>
      <c r="F1918" s="181"/>
      <c r="G1918" s="182"/>
      <c r="H1918" s="181"/>
      <c r="I1918" s="182"/>
    </row>
    <row r="1919">
      <c r="A1919" s="181"/>
      <c r="B1919" s="181"/>
      <c r="C1919" s="181"/>
      <c r="D1919" s="181"/>
      <c r="E1919" s="181"/>
      <c r="F1919" s="181"/>
      <c r="G1919" s="182"/>
      <c r="H1919" s="181"/>
      <c r="I1919" s="182"/>
    </row>
    <row r="1920">
      <c r="A1920" s="181"/>
      <c r="B1920" s="181"/>
      <c r="C1920" s="181"/>
      <c r="D1920" s="181"/>
      <c r="E1920" s="181"/>
      <c r="F1920" s="181"/>
      <c r="G1920" s="182"/>
      <c r="H1920" s="181"/>
      <c r="I1920" s="182"/>
    </row>
    <row r="1921">
      <c r="A1921" s="181"/>
      <c r="B1921" s="181"/>
      <c r="C1921" s="181"/>
      <c r="D1921" s="181"/>
      <c r="E1921" s="181"/>
      <c r="F1921" s="181"/>
      <c r="G1921" s="182"/>
      <c r="H1921" s="181"/>
      <c r="I1921" s="182"/>
    </row>
    <row r="1922">
      <c r="A1922" s="181"/>
      <c r="B1922" s="181"/>
      <c r="C1922" s="181"/>
      <c r="D1922" s="181"/>
      <c r="E1922" s="181"/>
      <c r="F1922" s="181"/>
      <c r="G1922" s="182"/>
      <c r="H1922" s="181"/>
      <c r="I1922" s="182"/>
    </row>
    <row r="1923">
      <c r="A1923" s="181"/>
      <c r="B1923" s="181"/>
      <c r="C1923" s="181"/>
      <c r="D1923" s="181"/>
      <c r="E1923" s="181"/>
      <c r="F1923" s="181"/>
      <c r="G1923" s="182"/>
      <c r="H1923" s="181"/>
      <c r="I1923" s="182"/>
    </row>
    <row r="1924">
      <c r="A1924" s="181"/>
      <c r="B1924" s="181"/>
      <c r="C1924" s="181"/>
      <c r="D1924" s="181"/>
      <c r="E1924" s="181"/>
      <c r="F1924" s="181"/>
      <c r="G1924" s="182"/>
      <c r="H1924" s="181"/>
      <c r="I1924" s="182"/>
    </row>
    <row r="1925">
      <c r="A1925" s="181"/>
      <c r="B1925" s="181"/>
      <c r="C1925" s="181"/>
      <c r="D1925" s="181"/>
      <c r="E1925" s="181"/>
      <c r="F1925" s="181"/>
      <c r="G1925" s="182"/>
      <c r="H1925" s="181"/>
      <c r="I1925" s="182"/>
    </row>
    <row r="1926">
      <c r="A1926" s="181"/>
      <c r="B1926" s="181"/>
      <c r="C1926" s="181"/>
      <c r="D1926" s="181"/>
      <c r="E1926" s="181"/>
      <c r="F1926" s="181"/>
      <c r="G1926" s="182"/>
      <c r="H1926" s="181"/>
      <c r="I1926" s="182"/>
    </row>
    <row r="1927">
      <c r="A1927" s="181"/>
      <c r="B1927" s="181"/>
      <c r="C1927" s="181"/>
      <c r="D1927" s="181"/>
      <c r="E1927" s="181"/>
      <c r="F1927" s="181"/>
      <c r="G1927" s="182"/>
      <c r="H1927" s="181"/>
      <c r="I1927" s="182"/>
    </row>
    <row r="1928">
      <c r="A1928" s="181"/>
      <c r="B1928" s="181"/>
      <c r="C1928" s="181"/>
      <c r="D1928" s="181"/>
      <c r="E1928" s="181"/>
      <c r="F1928" s="181"/>
      <c r="G1928" s="182"/>
      <c r="H1928" s="181"/>
      <c r="I1928" s="182"/>
    </row>
    <row r="1929">
      <c r="A1929" s="181"/>
      <c r="B1929" s="181"/>
      <c r="C1929" s="181"/>
      <c r="D1929" s="181"/>
      <c r="E1929" s="181"/>
      <c r="F1929" s="181"/>
      <c r="G1929" s="182"/>
      <c r="H1929" s="181"/>
      <c r="I1929" s="182"/>
    </row>
    <row r="1930">
      <c r="A1930" s="181"/>
      <c r="B1930" s="181"/>
      <c r="C1930" s="181"/>
      <c r="D1930" s="181"/>
      <c r="E1930" s="181"/>
      <c r="F1930" s="181"/>
      <c r="G1930" s="182"/>
      <c r="H1930" s="181"/>
      <c r="I1930" s="182"/>
    </row>
    <row r="1931">
      <c r="A1931" s="181"/>
      <c r="B1931" s="181"/>
      <c r="C1931" s="181"/>
      <c r="D1931" s="181"/>
      <c r="E1931" s="181"/>
      <c r="F1931" s="181"/>
      <c r="G1931" s="182"/>
      <c r="H1931" s="181"/>
      <c r="I1931" s="182"/>
    </row>
    <row r="1932">
      <c r="A1932" s="181"/>
      <c r="B1932" s="181"/>
      <c r="C1932" s="181"/>
      <c r="D1932" s="181"/>
      <c r="E1932" s="181"/>
      <c r="F1932" s="181"/>
      <c r="G1932" s="182"/>
      <c r="H1932" s="181"/>
      <c r="I1932" s="182"/>
    </row>
    <row r="1933">
      <c r="A1933" s="181"/>
      <c r="B1933" s="181"/>
      <c r="C1933" s="181"/>
      <c r="D1933" s="181"/>
      <c r="E1933" s="181"/>
      <c r="F1933" s="181"/>
      <c r="G1933" s="182"/>
      <c r="H1933" s="181"/>
      <c r="I1933" s="182"/>
    </row>
    <row r="1934">
      <c r="A1934" s="181"/>
      <c r="B1934" s="181"/>
      <c r="C1934" s="181"/>
      <c r="D1934" s="181"/>
      <c r="E1934" s="181"/>
      <c r="F1934" s="181"/>
      <c r="G1934" s="182"/>
      <c r="H1934" s="181"/>
      <c r="I1934" s="182"/>
    </row>
    <row r="1935">
      <c r="A1935" s="181"/>
      <c r="B1935" s="181"/>
      <c r="C1935" s="181"/>
      <c r="D1935" s="181"/>
      <c r="E1935" s="181"/>
      <c r="F1935" s="181"/>
      <c r="G1935" s="182"/>
      <c r="H1935" s="181"/>
      <c r="I1935" s="182"/>
    </row>
    <row r="1936">
      <c r="A1936" s="181"/>
      <c r="B1936" s="181"/>
      <c r="C1936" s="181"/>
      <c r="D1936" s="181"/>
      <c r="E1936" s="181"/>
      <c r="F1936" s="181"/>
      <c r="G1936" s="182"/>
      <c r="H1936" s="181"/>
      <c r="I1936" s="182"/>
    </row>
    <row r="1937">
      <c r="A1937" s="181"/>
      <c r="B1937" s="181"/>
      <c r="C1937" s="181"/>
      <c r="D1937" s="181"/>
      <c r="E1937" s="181"/>
      <c r="F1937" s="181"/>
      <c r="G1937" s="182"/>
      <c r="H1937" s="181"/>
      <c r="I1937" s="182"/>
    </row>
    <row r="1938">
      <c r="A1938" s="181"/>
      <c r="B1938" s="181"/>
      <c r="C1938" s="181"/>
      <c r="D1938" s="181"/>
      <c r="E1938" s="181"/>
      <c r="F1938" s="181"/>
      <c r="G1938" s="182"/>
      <c r="H1938" s="181"/>
      <c r="I1938" s="182"/>
    </row>
    <row r="1939">
      <c r="A1939" s="181"/>
      <c r="B1939" s="181"/>
      <c r="C1939" s="181"/>
      <c r="D1939" s="181"/>
      <c r="E1939" s="181"/>
      <c r="F1939" s="181"/>
      <c r="G1939" s="182"/>
      <c r="H1939" s="181"/>
      <c r="I1939" s="182"/>
    </row>
    <row r="1940">
      <c r="A1940" s="181"/>
      <c r="B1940" s="181"/>
      <c r="C1940" s="181"/>
      <c r="D1940" s="181"/>
      <c r="E1940" s="181"/>
      <c r="F1940" s="181"/>
      <c r="G1940" s="182"/>
      <c r="H1940" s="181"/>
      <c r="I1940" s="182"/>
    </row>
    <row r="1941">
      <c r="A1941" s="181"/>
      <c r="B1941" s="181"/>
      <c r="C1941" s="181"/>
      <c r="D1941" s="181"/>
      <c r="E1941" s="181"/>
      <c r="F1941" s="181"/>
      <c r="G1941" s="182"/>
      <c r="H1941" s="181"/>
      <c r="I1941" s="182"/>
    </row>
    <row r="1942">
      <c r="A1942" s="181"/>
      <c r="B1942" s="181"/>
      <c r="C1942" s="181"/>
      <c r="D1942" s="181"/>
      <c r="E1942" s="181"/>
      <c r="F1942" s="181"/>
      <c r="G1942" s="182"/>
      <c r="H1942" s="181"/>
      <c r="I1942" s="182"/>
    </row>
    <row r="1943">
      <c r="A1943" s="181"/>
      <c r="B1943" s="181"/>
      <c r="C1943" s="181"/>
      <c r="D1943" s="181"/>
      <c r="E1943" s="181"/>
      <c r="F1943" s="181"/>
      <c r="G1943" s="182"/>
      <c r="H1943" s="181"/>
      <c r="I1943" s="182"/>
    </row>
    <row r="1944">
      <c r="A1944" s="181"/>
      <c r="B1944" s="181"/>
      <c r="C1944" s="181"/>
      <c r="D1944" s="181"/>
      <c r="E1944" s="181"/>
      <c r="F1944" s="181"/>
      <c r="G1944" s="182"/>
      <c r="H1944" s="181"/>
      <c r="I1944" s="182"/>
    </row>
    <row r="1945">
      <c r="A1945" s="181"/>
      <c r="B1945" s="181"/>
      <c r="C1945" s="181"/>
      <c r="D1945" s="181"/>
      <c r="E1945" s="181"/>
      <c r="F1945" s="181"/>
      <c r="G1945" s="182"/>
      <c r="H1945" s="181"/>
      <c r="I1945" s="182"/>
    </row>
    <row r="1946">
      <c r="A1946" s="181"/>
      <c r="B1946" s="181"/>
      <c r="C1946" s="181"/>
      <c r="D1946" s="181"/>
      <c r="E1946" s="181"/>
      <c r="F1946" s="181"/>
      <c r="G1946" s="182"/>
      <c r="H1946" s="181"/>
      <c r="I1946" s="182"/>
    </row>
    <row r="1947">
      <c r="A1947" s="181"/>
      <c r="B1947" s="181"/>
      <c r="C1947" s="181"/>
      <c r="D1947" s="181"/>
      <c r="E1947" s="181"/>
      <c r="F1947" s="181"/>
      <c r="G1947" s="182"/>
      <c r="H1947" s="181"/>
      <c r="I1947" s="182"/>
    </row>
    <row r="1948">
      <c r="A1948" s="181"/>
      <c r="B1948" s="181"/>
      <c r="C1948" s="181"/>
      <c r="D1948" s="181"/>
      <c r="E1948" s="181"/>
      <c r="F1948" s="181"/>
      <c r="G1948" s="182"/>
      <c r="H1948" s="181"/>
      <c r="I1948" s="182"/>
    </row>
    <row r="1949">
      <c r="A1949" s="181"/>
      <c r="B1949" s="181"/>
      <c r="C1949" s="181"/>
      <c r="D1949" s="181"/>
      <c r="E1949" s="181"/>
      <c r="F1949" s="181"/>
      <c r="G1949" s="182"/>
      <c r="H1949" s="181"/>
      <c r="I1949" s="182"/>
    </row>
    <row r="1950">
      <c r="A1950" s="181"/>
      <c r="B1950" s="181"/>
      <c r="C1950" s="181"/>
      <c r="D1950" s="181"/>
      <c r="E1950" s="181"/>
      <c r="F1950" s="181"/>
      <c r="G1950" s="182"/>
      <c r="H1950" s="181"/>
      <c r="I1950" s="182"/>
    </row>
    <row r="1951">
      <c r="A1951" s="181"/>
      <c r="B1951" s="181"/>
      <c r="C1951" s="181"/>
      <c r="D1951" s="181"/>
      <c r="E1951" s="181"/>
      <c r="F1951" s="181"/>
      <c r="G1951" s="182"/>
      <c r="H1951" s="181"/>
      <c r="I1951" s="182"/>
    </row>
    <row r="1952">
      <c r="A1952" s="181"/>
      <c r="B1952" s="181"/>
      <c r="C1952" s="181"/>
      <c r="D1952" s="181"/>
      <c r="E1952" s="181"/>
      <c r="F1952" s="181"/>
      <c r="G1952" s="182"/>
      <c r="H1952" s="181"/>
      <c r="I1952" s="182"/>
    </row>
    <row r="1953">
      <c r="A1953" s="181"/>
      <c r="B1953" s="181"/>
      <c r="C1953" s="181"/>
      <c r="D1953" s="181"/>
      <c r="E1953" s="181"/>
      <c r="F1953" s="181"/>
      <c r="G1953" s="182"/>
      <c r="H1953" s="181"/>
      <c r="I1953" s="182"/>
    </row>
    <row r="1954">
      <c r="A1954" s="181"/>
      <c r="B1954" s="181"/>
      <c r="C1954" s="181"/>
      <c r="D1954" s="181"/>
      <c r="E1954" s="181"/>
      <c r="F1954" s="181"/>
      <c r="G1954" s="182"/>
      <c r="H1954" s="181"/>
      <c r="I1954" s="182"/>
    </row>
    <row r="1955">
      <c r="A1955" s="181"/>
      <c r="B1955" s="181"/>
      <c r="C1955" s="181"/>
      <c r="D1955" s="181"/>
      <c r="E1955" s="181"/>
      <c r="F1955" s="181"/>
      <c r="G1955" s="182"/>
      <c r="H1955" s="181"/>
      <c r="I1955" s="182"/>
    </row>
    <row r="1956">
      <c r="A1956" s="181"/>
      <c r="B1956" s="181"/>
      <c r="C1956" s="181"/>
      <c r="D1956" s="181"/>
      <c r="E1956" s="181"/>
      <c r="F1956" s="181"/>
      <c r="G1956" s="182"/>
      <c r="H1956" s="181"/>
      <c r="I1956" s="182"/>
    </row>
    <row r="1957">
      <c r="A1957" s="181"/>
      <c r="B1957" s="181"/>
      <c r="C1957" s="181"/>
      <c r="D1957" s="181"/>
      <c r="E1957" s="181"/>
      <c r="F1957" s="181"/>
      <c r="G1957" s="182"/>
      <c r="H1957" s="181"/>
      <c r="I1957" s="182"/>
    </row>
    <row r="1958">
      <c r="A1958" s="181"/>
      <c r="B1958" s="181"/>
      <c r="C1958" s="181"/>
      <c r="D1958" s="181"/>
      <c r="E1958" s="181"/>
      <c r="F1958" s="181"/>
      <c r="G1958" s="182"/>
      <c r="H1958" s="181"/>
      <c r="I1958" s="182"/>
    </row>
    <row r="1959">
      <c r="A1959" s="181"/>
      <c r="B1959" s="181"/>
      <c r="C1959" s="181"/>
      <c r="D1959" s="181"/>
      <c r="E1959" s="181"/>
      <c r="F1959" s="181"/>
      <c r="G1959" s="182"/>
      <c r="H1959" s="181"/>
      <c r="I1959" s="182"/>
    </row>
    <row r="1960">
      <c r="A1960" s="181"/>
      <c r="B1960" s="181"/>
      <c r="C1960" s="181"/>
      <c r="D1960" s="181"/>
      <c r="E1960" s="181"/>
      <c r="F1960" s="181"/>
      <c r="G1960" s="182"/>
      <c r="H1960" s="181"/>
      <c r="I1960" s="182"/>
    </row>
    <row r="1961">
      <c r="A1961" s="181"/>
      <c r="B1961" s="181"/>
      <c r="C1961" s="181"/>
      <c r="D1961" s="181"/>
      <c r="E1961" s="181"/>
      <c r="F1961" s="181"/>
      <c r="G1961" s="182"/>
      <c r="H1961" s="181"/>
      <c r="I1961" s="182"/>
    </row>
    <row r="1962">
      <c r="A1962" s="181"/>
      <c r="B1962" s="181"/>
      <c r="C1962" s="181"/>
      <c r="D1962" s="181"/>
      <c r="E1962" s="181"/>
      <c r="F1962" s="181"/>
      <c r="G1962" s="182"/>
      <c r="H1962" s="181"/>
      <c r="I1962" s="182"/>
    </row>
    <row r="1963">
      <c r="A1963" s="181"/>
      <c r="B1963" s="181"/>
      <c r="C1963" s="181"/>
      <c r="D1963" s="181"/>
      <c r="E1963" s="181"/>
      <c r="F1963" s="181"/>
      <c r="G1963" s="182"/>
      <c r="H1963" s="181"/>
      <c r="I1963" s="182"/>
    </row>
    <row r="1964">
      <c r="A1964" s="181"/>
      <c r="B1964" s="181"/>
      <c r="C1964" s="181"/>
      <c r="D1964" s="181"/>
      <c r="E1964" s="181"/>
      <c r="F1964" s="181"/>
      <c r="G1964" s="182"/>
      <c r="H1964" s="181"/>
      <c r="I1964" s="182"/>
    </row>
    <row r="1965">
      <c r="A1965" s="181"/>
      <c r="B1965" s="181"/>
      <c r="C1965" s="181"/>
      <c r="D1965" s="181"/>
      <c r="E1965" s="181"/>
      <c r="F1965" s="181"/>
      <c r="G1965" s="182"/>
      <c r="H1965" s="181"/>
      <c r="I1965" s="182"/>
    </row>
    <row r="1966">
      <c r="A1966" s="181"/>
      <c r="B1966" s="181"/>
      <c r="C1966" s="181"/>
      <c r="D1966" s="181"/>
      <c r="E1966" s="181"/>
      <c r="F1966" s="181"/>
      <c r="G1966" s="182"/>
      <c r="H1966" s="181"/>
      <c r="I1966" s="182"/>
    </row>
    <row r="1967">
      <c r="A1967" s="181"/>
      <c r="B1967" s="181"/>
      <c r="C1967" s="181"/>
      <c r="D1967" s="181"/>
      <c r="E1967" s="181"/>
      <c r="F1967" s="181"/>
      <c r="G1967" s="182"/>
      <c r="H1967" s="181"/>
      <c r="I1967" s="182"/>
    </row>
    <row r="1968">
      <c r="A1968" s="181"/>
      <c r="B1968" s="181"/>
      <c r="C1968" s="181"/>
      <c r="D1968" s="181"/>
      <c r="E1968" s="181"/>
      <c r="F1968" s="181"/>
      <c r="G1968" s="182"/>
      <c r="H1968" s="181"/>
      <c r="I1968" s="182"/>
    </row>
    <row r="1969">
      <c r="A1969" s="181"/>
      <c r="B1969" s="181"/>
      <c r="C1969" s="181"/>
      <c r="D1969" s="181"/>
      <c r="E1969" s="181"/>
      <c r="F1969" s="181"/>
      <c r="G1969" s="182"/>
      <c r="H1969" s="181"/>
      <c r="I1969" s="182"/>
    </row>
    <row r="1970">
      <c r="A1970" s="181"/>
      <c r="B1970" s="181"/>
      <c r="C1970" s="181"/>
      <c r="D1970" s="181"/>
      <c r="E1970" s="181"/>
      <c r="F1970" s="181"/>
      <c r="G1970" s="182"/>
      <c r="H1970" s="181"/>
      <c r="I1970" s="182"/>
    </row>
    <row r="1971">
      <c r="A1971" s="181"/>
      <c r="B1971" s="181"/>
      <c r="C1971" s="181"/>
      <c r="D1971" s="181"/>
      <c r="E1971" s="181"/>
      <c r="F1971" s="181"/>
      <c r="G1971" s="182"/>
      <c r="H1971" s="181"/>
      <c r="I1971" s="182"/>
    </row>
    <row r="1972">
      <c r="A1972" s="181"/>
      <c r="B1972" s="181"/>
      <c r="C1972" s="181"/>
      <c r="D1972" s="181"/>
      <c r="E1972" s="181"/>
      <c r="F1972" s="181"/>
      <c r="G1972" s="182"/>
      <c r="H1972" s="181"/>
      <c r="I1972" s="182"/>
    </row>
    <row r="1973">
      <c r="A1973" s="181"/>
      <c r="B1973" s="181"/>
      <c r="C1973" s="181"/>
      <c r="D1973" s="181"/>
      <c r="E1973" s="181"/>
      <c r="F1973" s="181"/>
      <c r="G1973" s="182"/>
      <c r="H1973" s="181"/>
      <c r="I1973" s="182"/>
    </row>
    <row r="1974">
      <c r="A1974" s="181"/>
      <c r="B1974" s="181"/>
      <c r="C1974" s="181"/>
      <c r="D1974" s="181"/>
      <c r="E1974" s="181"/>
      <c r="F1974" s="181"/>
      <c r="G1974" s="182"/>
      <c r="H1974" s="181"/>
      <c r="I1974" s="182"/>
    </row>
    <row r="1975">
      <c r="A1975" s="181"/>
      <c r="B1975" s="181"/>
      <c r="C1975" s="181"/>
      <c r="D1975" s="181"/>
      <c r="E1975" s="181"/>
      <c r="F1975" s="181"/>
      <c r="G1975" s="182"/>
      <c r="H1975" s="181"/>
      <c r="I1975" s="182"/>
    </row>
    <row r="1976">
      <c r="A1976" s="181"/>
      <c r="B1976" s="181"/>
      <c r="C1976" s="181"/>
      <c r="D1976" s="181"/>
      <c r="E1976" s="181"/>
      <c r="F1976" s="181"/>
      <c r="G1976" s="182"/>
      <c r="H1976" s="181"/>
      <c r="I1976" s="182"/>
    </row>
    <row r="1977">
      <c r="A1977" s="181"/>
      <c r="B1977" s="181"/>
      <c r="C1977" s="181"/>
      <c r="D1977" s="181"/>
      <c r="E1977" s="181"/>
      <c r="F1977" s="181"/>
      <c r="G1977" s="182"/>
      <c r="H1977" s="181"/>
      <c r="I1977" s="182"/>
    </row>
    <row r="1978">
      <c r="A1978" s="181"/>
      <c r="B1978" s="181"/>
      <c r="C1978" s="181"/>
      <c r="D1978" s="181"/>
      <c r="E1978" s="181"/>
      <c r="F1978" s="181"/>
      <c r="G1978" s="182"/>
      <c r="H1978" s="181"/>
      <c r="I1978" s="182"/>
    </row>
    <row r="1979">
      <c r="A1979" s="181"/>
      <c r="B1979" s="181"/>
      <c r="C1979" s="181"/>
      <c r="D1979" s="181"/>
      <c r="E1979" s="181"/>
      <c r="F1979" s="181"/>
      <c r="G1979" s="182"/>
      <c r="H1979" s="181"/>
      <c r="I1979" s="182"/>
    </row>
    <row r="1980">
      <c r="A1980" s="181"/>
      <c r="B1980" s="181"/>
      <c r="C1980" s="181"/>
      <c r="D1980" s="181"/>
      <c r="E1980" s="181"/>
      <c r="F1980" s="181"/>
      <c r="G1980" s="182"/>
      <c r="H1980" s="181"/>
      <c r="I1980" s="182"/>
    </row>
    <row r="1981">
      <c r="A1981" s="181"/>
      <c r="B1981" s="181"/>
      <c r="C1981" s="181"/>
      <c r="D1981" s="181"/>
      <c r="E1981" s="181"/>
      <c r="F1981" s="181"/>
      <c r="G1981" s="182"/>
      <c r="H1981" s="181"/>
      <c r="I1981" s="182"/>
    </row>
    <row r="1982">
      <c r="A1982" s="181"/>
      <c r="B1982" s="181"/>
      <c r="C1982" s="181"/>
      <c r="D1982" s="181"/>
      <c r="E1982" s="181"/>
      <c r="F1982" s="181"/>
      <c r="G1982" s="182"/>
      <c r="H1982" s="181"/>
      <c r="I1982" s="182"/>
    </row>
    <row r="1983">
      <c r="A1983" s="181"/>
      <c r="B1983" s="181"/>
      <c r="C1983" s="181"/>
      <c r="D1983" s="181"/>
      <c r="E1983" s="181"/>
      <c r="F1983" s="181"/>
      <c r="G1983" s="182"/>
      <c r="H1983" s="181"/>
      <c r="I1983" s="182"/>
    </row>
    <row r="1984">
      <c r="A1984" s="181"/>
      <c r="B1984" s="181"/>
      <c r="C1984" s="181"/>
      <c r="D1984" s="181"/>
      <c r="E1984" s="181"/>
      <c r="F1984" s="181"/>
      <c r="G1984" s="182"/>
      <c r="H1984" s="181"/>
      <c r="I1984" s="182"/>
    </row>
    <row r="1985">
      <c r="A1985" s="181"/>
      <c r="B1985" s="181"/>
      <c r="C1985" s="181"/>
      <c r="D1985" s="181"/>
      <c r="E1985" s="181"/>
      <c r="F1985" s="181"/>
      <c r="G1985" s="182"/>
      <c r="H1985" s="181"/>
      <c r="I1985" s="182"/>
    </row>
    <row r="1986">
      <c r="A1986" s="181"/>
      <c r="B1986" s="181"/>
      <c r="C1986" s="181"/>
      <c r="D1986" s="181"/>
      <c r="E1986" s="181"/>
      <c r="F1986" s="181"/>
      <c r="G1986" s="182"/>
      <c r="H1986" s="181"/>
      <c r="I1986" s="182"/>
    </row>
    <row r="1987">
      <c r="A1987" s="181"/>
      <c r="B1987" s="181"/>
      <c r="C1987" s="181"/>
      <c r="D1987" s="181"/>
      <c r="E1987" s="181"/>
      <c r="F1987" s="181"/>
      <c r="G1987" s="182"/>
      <c r="H1987" s="181"/>
      <c r="I1987" s="182"/>
    </row>
    <row r="1988">
      <c r="A1988" s="181"/>
      <c r="B1988" s="181"/>
      <c r="C1988" s="181"/>
      <c r="D1988" s="181"/>
      <c r="E1988" s="181"/>
      <c r="F1988" s="181"/>
      <c r="G1988" s="182"/>
      <c r="H1988" s="181"/>
      <c r="I1988" s="182"/>
    </row>
    <row r="1989">
      <c r="A1989" s="181"/>
      <c r="B1989" s="181"/>
      <c r="C1989" s="181"/>
      <c r="D1989" s="181"/>
      <c r="E1989" s="181"/>
      <c r="F1989" s="181"/>
      <c r="G1989" s="182"/>
      <c r="H1989" s="181"/>
      <c r="I1989" s="182"/>
    </row>
    <row r="1990">
      <c r="A1990" s="181"/>
      <c r="B1990" s="181"/>
      <c r="C1990" s="181"/>
      <c r="D1990" s="181"/>
      <c r="E1990" s="181"/>
      <c r="F1990" s="181"/>
      <c r="G1990" s="182"/>
      <c r="H1990" s="181"/>
      <c r="I1990" s="182"/>
    </row>
    <row r="1991">
      <c r="A1991" s="181"/>
      <c r="B1991" s="181"/>
      <c r="C1991" s="181"/>
      <c r="D1991" s="181"/>
      <c r="E1991" s="181"/>
      <c r="F1991" s="181"/>
      <c r="G1991" s="182"/>
      <c r="H1991" s="181"/>
      <c r="I1991" s="182"/>
    </row>
    <row r="1992">
      <c r="A1992" s="181"/>
      <c r="B1992" s="181"/>
      <c r="C1992" s="181"/>
      <c r="D1992" s="181"/>
      <c r="E1992" s="181"/>
      <c r="F1992" s="181"/>
      <c r="G1992" s="182"/>
      <c r="H1992" s="181"/>
      <c r="I1992" s="182"/>
    </row>
    <row r="1993">
      <c r="A1993" s="181"/>
      <c r="B1993" s="181"/>
      <c r="C1993" s="181"/>
      <c r="D1993" s="181"/>
      <c r="E1993" s="181"/>
      <c r="F1993" s="181"/>
      <c r="G1993" s="182"/>
      <c r="H1993" s="181"/>
      <c r="I1993" s="182"/>
    </row>
    <row r="1994">
      <c r="A1994" s="181"/>
      <c r="B1994" s="181"/>
      <c r="C1994" s="181"/>
      <c r="D1994" s="181"/>
      <c r="E1994" s="181"/>
      <c r="F1994" s="181"/>
      <c r="G1994" s="182"/>
      <c r="H1994" s="181"/>
      <c r="I1994" s="182"/>
    </row>
    <row r="1995">
      <c r="A1995" s="181"/>
      <c r="B1995" s="181"/>
      <c r="C1995" s="181"/>
      <c r="D1995" s="181"/>
      <c r="E1995" s="181"/>
      <c r="F1995" s="181"/>
      <c r="G1995" s="182"/>
      <c r="H1995" s="181"/>
      <c r="I1995" s="182"/>
    </row>
    <row r="1996">
      <c r="A1996" s="181"/>
      <c r="B1996" s="181"/>
      <c r="C1996" s="181"/>
      <c r="D1996" s="181"/>
      <c r="E1996" s="181"/>
      <c r="F1996" s="181"/>
      <c r="G1996" s="182"/>
      <c r="H1996" s="181"/>
      <c r="I1996" s="182"/>
    </row>
    <row r="1997">
      <c r="A1997" s="181"/>
      <c r="B1997" s="181"/>
      <c r="C1997" s="181"/>
      <c r="D1997" s="181"/>
      <c r="E1997" s="181"/>
      <c r="F1997" s="181"/>
      <c r="G1997" s="182"/>
      <c r="H1997" s="181"/>
      <c r="I1997" s="182"/>
    </row>
    <row r="1998">
      <c r="A1998" s="181"/>
      <c r="B1998" s="181"/>
      <c r="C1998" s="181"/>
      <c r="D1998" s="181"/>
      <c r="E1998" s="181"/>
      <c r="F1998" s="181"/>
      <c r="G1998" s="182"/>
      <c r="H1998" s="181"/>
      <c r="I1998" s="182"/>
    </row>
    <row r="1999">
      <c r="A1999" s="181"/>
      <c r="B1999" s="181"/>
      <c r="C1999" s="181"/>
      <c r="D1999" s="181"/>
      <c r="E1999" s="181"/>
      <c r="F1999" s="181"/>
      <c r="G1999" s="182"/>
      <c r="H1999" s="181"/>
      <c r="I1999" s="182"/>
    </row>
    <row r="2000">
      <c r="A2000" s="181"/>
      <c r="B2000" s="181"/>
      <c r="C2000" s="181"/>
      <c r="D2000" s="181"/>
      <c r="E2000" s="181"/>
      <c r="F2000" s="181"/>
      <c r="G2000" s="182"/>
      <c r="H2000" s="181"/>
      <c r="I2000" s="182"/>
    </row>
    <row r="2001">
      <c r="A2001" s="181"/>
      <c r="B2001" s="181"/>
      <c r="C2001" s="181"/>
      <c r="D2001" s="181"/>
      <c r="E2001" s="181"/>
      <c r="F2001" s="181"/>
      <c r="G2001" s="182"/>
      <c r="H2001" s="181"/>
      <c r="I2001" s="182"/>
    </row>
    <row r="2002">
      <c r="A2002" s="181"/>
      <c r="B2002" s="181"/>
      <c r="C2002" s="181"/>
      <c r="D2002" s="181"/>
      <c r="E2002" s="181"/>
      <c r="F2002" s="181"/>
      <c r="G2002" s="182"/>
      <c r="H2002" s="181"/>
      <c r="I2002" s="182"/>
    </row>
    <row r="2003">
      <c r="A2003" s="181"/>
      <c r="B2003" s="181"/>
      <c r="C2003" s="181"/>
      <c r="D2003" s="181"/>
      <c r="E2003" s="181"/>
      <c r="F2003" s="181"/>
      <c r="G2003" s="182"/>
      <c r="H2003" s="181"/>
      <c r="I2003" s="182"/>
    </row>
    <row r="2004">
      <c r="A2004" s="181"/>
      <c r="B2004" s="181"/>
      <c r="C2004" s="181"/>
      <c r="D2004" s="181"/>
      <c r="E2004" s="181"/>
      <c r="F2004" s="181"/>
      <c r="G2004" s="182"/>
      <c r="H2004" s="181"/>
      <c r="I2004" s="182"/>
    </row>
    <row r="2005">
      <c r="A2005" s="181"/>
      <c r="B2005" s="181"/>
      <c r="C2005" s="181"/>
      <c r="D2005" s="181"/>
      <c r="E2005" s="181"/>
      <c r="F2005" s="181"/>
      <c r="G2005" s="182"/>
      <c r="H2005" s="181"/>
      <c r="I2005" s="182"/>
    </row>
    <row r="2006">
      <c r="A2006" s="181"/>
      <c r="B2006" s="181"/>
      <c r="C2006" s="181"/>
      <c r="D2006" s="181"/>
      <c r="E2006" s="181"/>
      <c r="F2006" s="181"/>
      <c r="G2006" s="182"/>
      <c r="H2006" s="181"/>
      <c r="I2006" s="182"/>
    </row>
    <row r="2007">
      <c r="A2007" s="181"/>
      <c r="B2007" s="181"/>
      <c r="C2007" s="181"/>
      <c r="D2007" s="181"/>
      <c r="E2007" s="181"/>
      <c r="F2007" s="181"/>
      <c r="G2007" s="182"/>
      <c r="H2007" s="181"/>
      <c r="I2007" s="182"/>
    </row>
    <row r="2008">
      <c r="A2008" s="181"/>
      <c r="B2008" s="181"/>
      <c r="C2008" s="181"/>
      <c r="D2008" s="181"/>
      <c r="E2008" s="181"/>
      <c r="F2008" s="181"/>
      <c r="G2008" s="182"/>
      <c r="H2008" s="181"/>
      <c r="I2008" s="182"/>
    </row>
    <row r="2009">
      <c r="A2009" s="181"/>
      <c r="B2009" s="181"/>
      <c r="C2009" s="181"/>
      <c r="D2009" s="181"/>
      <c r="E2009" s="181"/>
      <c r="F2009" s="181"/>
      <c r="G2009" s="182"/>
      <c r="H2009" s="181"/>
      <c r="I2009" s="182"/>
    </row>
    <row r="2010">
      <c r="A2010" s="181"/>
      <c r="B2010" s="181"/>
      <c r="C2010" s="181"/>
      <c r="D2010" s="181"/>
      <c r="E2010" s="181"/>
      <c r="F2010" s="181"/>
      <c r="G2010" s="182"/>
      <c r="H2010" s="181"/>
      <c r="I2010" s="182"/>
    </row>
    <row r="2011">
      <c r="A2011" s="181"/>
      <c r="B2011" s="181"/>
      <c r="C2011" s="181"/>
      <c r="D2011" s="181"/>
      <c r="E2011" s="181"/>
      <c r="F2011" s="181"/>
      <c r="G2011" s="182"/>
      <c r="H2011" s="181"/>
      <c r="I2011" s="182"/>
    </row>
    <row r="2012">
      <c r="A2012" s="181"/>
      <c r="B2012" s="181"/>
      <c r="C2012" s="181"/>
      <c r="D2012" s="181"/>
      <c r="E2012" s="181"/>
      <c r="F2012" s="181"/>
      <c r="G2012" s="182"/>
      <c r="H2012" s="181"/>
      <c r="I2012" s="182"/>
    </row>
    <row r="2013">
      <c r="A2013" s="181"/>
      <c r="B2013" s="181"/>
      <c r="C2013" s="181"/>
      <c r="D2013" s="181"/>
      <c r="E2013" s="181"/>
      <c r="F2013" s="181"/>
      <c r="G2013" s="182"/>
      <c r="H2013" s="181"/>
      <c r="I2013" s="182"/>
    </row>
    <row r="2014">
      <c r="A2014" s="181"/>
      <c r="B2014" s="181"/>
      <c r="C2014" s="181"/>
      <c r="D2014" s="181"/>
      <c r="E2014" s="181"/>
      <c r="F2014" s="181"/>
      <c r="G2014" s="182"/>
      <c r="H2014" s="181"/>
      <c r="I2014" s="182"/>
    </row>
    <row r="2015">
      <c r="A2015" s="181"/>
      <c r="B2015" s="181"/>
      <c r="C2015" s="181"/>
      <c r="D2015" s="181"/>
      <c r="E2015" s="181"/>
      <c r="F2015" s="181"/>
      <c r="G2015" s="182"/>
      <c r="H2015" s="181"/>
      <c r="I2015" s="182"/>
    </row>
    <row r="2016">
      <c r="A2016" s="181"/>
      <c r="B2016" s="181"/>
      <c r="C2016" s="181"/>
      <c r="D2016" s="181"/>
      <c r="E2016" s="181"/>
      <c r="F2016" s="181"/>
      <c r="G2016" s="182"/>
      <c r="H2016" s="181"/>
      <c r="I2016" s="182"/>
    </row>
    <row r="2017">
      <c r="A2017" s="181"/>
      <c r="B2017" s="181"/>
      <c r="C2017" s="181"/>
      <c r="D2017" s="181"/>
      <c r="E2017" s="181"/>
      <c r="F2017" s="181"/>
      <c r="G2017" s="182"/>
      <c r="H2017" s="181"/>
      <c r="I2017" s="182"/>
    </row>
    <row r="2018">
      <c r="A2018" s="181"/>
      <c r="B2018" s="181"/>
      <c r="C2018" s="181"/>
      <c r="D2018" s="181"/>
      <c r="E2018" s="181"/>
      <c r="F2018" s="181"/>
      <c r="G2018" s="182"/>
      <c r="H2018" s="181"/>
      <c r="I2018" s="182"/>
    </row>
    <row r="2019">
      <c r="A2019" s="181"/>
      <c r="B2019" s="181"/>
      <c r="C2019" s="181"/>
      <c r="D2019" s="181"/>
      <c r="E2019" s="181"/>
      <c r="F2019" s="181"/>
      <c r="G2019" s="182"/>
      <c r="H2019" s="181"/>
      <c r="I2019" s="182"/>
    </row>
    <row r="2020">
      <c r="A2020" s="181"/>
      <c r="B2020" s="181"/>
      <c r="C2020" s="181"/>
      <c r="D2020" s="181"/>
      <c r="E2020" s="181"/>
      <c r="F2020" s="181"/>
      <c r="G2020" s="182"/>
      <c r="H2020" s="181"/>
      <c r="I2020" s="182"/>
    </row>
    <row r="2021">
      <c r="A2021" s="181"/>
      <c r="B2021" s="181"/>
      <c r="C2021" s="181"/>
      <c r="D2021" s="181"/>
      <c r="E2021" s="181"/>
      <c r="F2021" s="181"/>
      <c r="G2021" s="182"/>
      <c r="H2021" s="181"/>
      <c r="I2021" s="182"/>
    </row>
    <row r="2022">
      <c r="A2022" s="181"/>
      <c r="B2022" s="181"/>
      <c r="C2022" s="181"/>
      <c r="D2022" s="181"/>
      <c r="E2022" s="181"/>
      <c r="F2022" s="181"/>
      <c r="G2022" s="182"/>
      <c r="H2022" s="181"/>
      <c r="I2022" s="182"/>
    </row>
    <row r="2023">
      <c r="A2023" s="181"/>
      <c r="B2023" s="181"/>
      <c r="C2023" s="181"/>
      <c r="D2023" s="181"/>
      <c r="E2023" s="181"/>
      <c r="F2023" s="181"/>
      <c r="G2023" s="182"/>
      <c r="H2023" s="181"/>
      <c r="I2023" s="182"/>
    </row>
    <row r="2024">
      <c r="A2024" s="181"/>
      <c r="B2024" s="181"/>
      <c r="C2024" s="181"/>
      <c r="D2024" s="181"/>
      <c r="E2024" s="181"/>
      <c r="F2024" s="181"/>
      <c r="G2024" s="182"/>
      <c r="H2024" s="181"/>
      <c r="I2024" s="182"/>
    </row>
    <row r="2025">
      <c r="A2025" s="181"/>
      <c r="B2025" s="181"/>
      <c r="C2025" s="181"/>
      <c r="D2025" s="181"/>
      <c r="E2025" s="181"/>
      <c r="F2025" s="181"/>
      <c r="G2025" s="182"/>
      <c r="H2025" s="181"/>
      <c r="I2025" s="182"/>
    </row>
    <row r="2026">
      <c r="A2026" s="181"/>
      <c r="B2026" s="181"/>
      <c r="C2026" s="181"/>
      <c r="D2026" s="181"/>
      <c r="E2026" s="181"/>
      <c r="F2026" s="181"/>
      <c r="G2026" s="182"/>
      <c r="H2026" s="181"/>
      <c r="I2026" s="182"/>
    </row>
    <row r="2027">
      <c r="A2027" s="181"/>
      <c r="B2027" s="181"/>
      <c r="C2027" s="181"/>
      <c r="D2027" s="181"/>
      <c r="E2027" s="181"/>
      <c r="F2027" s="181"/>
      <c r="G2027" s="182"/>
      <c r="H2027" s="181"/>
      <c r="I2027" s="182"/>
    </row>
    <row r="2028">
      <c r="A2028" s="181"/>
      <c r="B2028" s="181"/>
      <c r="C2028" s="181"/>
      <c r="D2028" s="181"/>
      <c r="E2028" s="181"/>
      <c r="F2028" s="181"/>
      <c r="G2028" s="182"/>
      <c r="H2028" s="181"/>
      <c r="I2028" s="182"/>
    </row>
    <row r="2029">
      <c r="A2029" s="181"/>
      <c r="B2029" s="181"/>
      <c r="C2029" s="181"/>
      <c r="D2029" s="181"/>
      <c r="E2029" s="181"/>
      <c r="F2029" s="181"/>
      <c r="G2029" s="182"/>
      <c r="H2029" s="181"/>
      <c r="I2029" s="182"/>
    </row>
    <row r="2030">
      <c r="A2030" s="181"/>
      <c r="B2030" s="181"/>
      <c r="C2030" s="181"/>
      <c r="D2030" s="181"/>
      <c r="E2030" s="181"/>
      <c r="F2030" s="181"/>
      <c r="G2030" s="182"/>
      <c r="H2030" s="181"/>
      <c r="I2030" s="182"/>
    </row>
    <row r="2031">
      <c r="A2031" s="181"/>
      <c r="B2031" s="181"/>
      <c r="C2031" s="181"/>
      <c r="D2031" s="181"/>
      <c r="E2031" s="181"/>
      <c r="F2031" s="181"/>
      <c r="G2031" s="182"/>
      <c r="H2031" s="181"/>
      <c r="I2031" s="182"/>
    </row>
    <row r="2032">
      <c r="A2032" s="181"/>
      <c r="B2032" s="181"/>
      <c r="C2032" s="181"/>
      <c r="D2032" s="181"/>
      <c r="E2032" s="181"/>
      <c r="F2032" s="181"/>
      <c r="G2032" s="182"/>
      <c r="H2032" s="181"/>
      <c r="I2032" s="182"/>
    </row>
    <row r="2033">
      <c r="A2033" s="181"/>
      <c r="B2033" s="181"/>
      <c r="C2033" s="181"/>
      <c r="D2033" s="181"/>
      <c r="E2033" s="181"/>
      <c r="F2033" s="181"/>
      <c r="G2033" s="182"/>
      <c r="H2033" s="181"/>
      <c r="I2033" s="182"/>
    </row>
    <row r="2034">
      <c r="A2034" s="181"/>
      <c r="B2034" s="181"/>
      <c r="C2034" s="181"/>
      <c r="D2034" s="181"/>
      <c r="E2034" s="181"/>
      <c r="F2034" s="181"/>
      <c r="G2034" s="182"/>
      <c r="H2034" s="181"/>
      <c r="I2034" s="182"/>
    </row>
    <row r="2035">
      <c r="A2035" s="181"/>
      <c r="B2035" s="181"/>
      <c r="C2035" s="181"/>
      <c r="D2035" s="181"/>
      <c r="E2035" s="181"/>
      <c r="F2035" s="181"/>
      <c r="G2035" s="182"/>
      <c r="H2035" s="181"/>
      <c r="I2035" s="182"/>
    </row>
    <row r="2036">
      <c r="A2036" s="181"/>
      <c r="B2036" s="181"/>
      <c r="C2036" s="181"/>
      <c r="D2036" s="181"/>
      <c r="E2036" s="181"/>
      <c r="F2036" s="181"/>
      <c r="G2036" s="182"/>
      <c r="H2036" s="181"/>
      <c r="I2036" s="182"/>
    </row>
    <row r="2037">
      <c r="A2037" s="181"/>
      <c r="B2037" s="181"/>
      <c r="C2037" s="181"/>
      <c r="D2037" s="181"/>
      <c r="E2037" s="181"/>
      <c r="F2037" s="181"/>
      <c r="G2037" s="182"/>
      <c r="H2037" s="181"/>
      <c r="I2037" s="182"/>
    </row>
    <row r="2038">
      <c r="A2038" s="181"/>
      <c r="B2038" s="181"/>
      <c r="C2038" s="181"/>
      <c r="D2038" s="181"/>
      <c r="E2038" s="181"/>
      <c r="F2038" s="181"/>
      <c r="G2038" s="182"/>
      <c r="H2038" s="181"/>
      <c r="I2038" s="182"/>
    </row>
    <row r="2039">
      <c r="A2039" s="181"/>
      <c r="B2039" s="181"/>
      <c r="C2039" s="181"/>
      <c r="D2039" s="181"/>
      <c r="E2039" s="181"/>
      <c r="F2039" s="181"/>
      <c r="G2039" s="182"/>
      <c r="H2039" s="181"/>
      <c r="I2039" s="182"/>
    </row>
    <row r="2040">
      <c r="A2040" s="181"/>
      <c r="B2040" s="181"/>
      <c r="C2040" s="181"/>
      <c r="D2040" s="181"/>
      <c r="E2040" s="181"/>
      <c r="F2040" s="181"/>
      <c r="G2040" s="182"/>
      <c r="H2040" s="181"/>
      <c r="I2040" s="182"/>
    </row>
    <row r="2041">
      <c r="A2041" s="181"/>
      <c r="B2041" s="181"/>
      <c r="C2041" s="181"/>
      <c r="D2041" s="181"/>
      <c r="E2041" s="181"/>
      <c r="F2041" s="181"/>
      <c r="G2041" s="182"/>
      <c r="H2041" s="181"/>
      <c r="I2041" s="182"/>
    </row>
    <row r="2042">
      <c r="A2042" s="181"/>
      <c r="B2042" s="181"/>
      <c r="C2042" s="181"/>
      <c r="D2042" s="181"/>
      <c r="E2042" s="181"/>
      <c r="F2042" s="181"/>
      <c r="G2042" s="182"/>
      <c r="H2042" s="181"/>
      <c r="I2042" s="182"/>
    </row>
    <row r="2043">
      <c r="A2043" s="181"/>
      <c r="B2043" s="181"/>
      <c r="C2043" s="181"/>
      <c r="D2043" s="181"/>
      <c r="E2043" s="181"/>
      <c r="F2043" s="181"/>
      <c r="G2043" s="182"/>
      <c r="H2043" s="181"/>
      <c r="I2043" s="182"/>
    </row>
    <row r="2044">
      <c r="A2044" s="181"/>
      <c r="B2044" s="181"/>
      <c r="C2044" s="181"/>
      <c r="D2044" s="181"/>
      <c r="E2044" s="181"/>
      <c r="F2044" s="181"/>
      <c r="G2044" s="182"/>
      <c r="H2044" s="181"/>
      <c r="I2044" s="182"/>
    </row>
    <row r="2045">
      <c r="A2045" s="181"/>
      <c r="B2045" s="181"/>
      <c r="C2045" s="181"/>
      <c r="D2045" s="181"/>
      <c r="E2045" s="181"/>
      <c r="F2045" s="181"/>
      <c r="G2045" s="182"/>
      <c r="H2045" s="181"/>
      <c r="I2045" s="182"/>
    </row>
    <row r="2046">
      <c r="A2046" s="181"/>
      <c r="B2046" s="181"/>
      <c r="C2046" s="181"/>
      <c r="D2046" s="181"/>
      <c r="E2046" s="181"/>
      <c r="F2046" s="181"/>
      <c r="G2046" s="182"/>
      <c r="H2046" s="181"/>
      <c r="I2046" s="182"/>
    </row>
    <row r="2047">
      <c r="A2047" s="181"/>
      <c r="B2047" s="181"/>
      <c r="C2047" s="181"/>
      <c r="D2047" s="181"/>
      <c r="E2047" s="181"/>
      <c r="F2047" s="181"/>
      <c r="G2047" s="182"/>
      <c r="H2047" s="181"/>
      <c r="I2047" s="182"/>
    </row>
    <row r="2048">
      <c r="A2048" s="181"/>
      <c r="B2048" s="181"/>
      <c r="C2048" s="181"/>
      <c r="D2048" s="181"/>
      <c r="E2048" s="181"/>
      <c r="F2048" s="181"/>
      <c r="G2048" s="182"/>
      <c r="H2048" s="181"/>
      <c r="I2048" s="182"/>
    </row>
    <row r="2049">
      <c r="A2049" s="181"/>
      <c r="B2049" s="181"/>
      <c r="C2049" s="181"/>
      <c r="D2049" s="181"/>
      <c r="E2049" s="181"/>
      <c r="F2049" s="181"/>
      <c r="G2049" s="182"/>
      <c r="H2049" s="181"/>
      <c r="I2049" s="182"/>
    </row>
    <row r="2050">
      <c r="A2050" s="181"/>
      <c r="B2050" s="181"/>
      <c r="C2050" s="181"/>
      <c r="D2050" s="181"/>
      <c r="E2050" s="181"/>
      <c r="F2050" s="181"/>
      <c r="G2050" s="182"/>
      <c r="H2050" s="181"/>
      <c r="I2050" s="182"/>
    </row>
    <row r="2051">
      <c r="A2051" s="181"/>
      <c r="B2051" s="181"/>
      <c r="C2051" s="181"/>
      <c r="D2051" s="181"/>
      <c r="E2051" s="181"/>
      <c r="F2051" s="181"/>
      <c r="G2051" s="182"/>
      <c r="H2051" s="181"/>
      <c r="I2051" s="182"/>
    </row>
    <row r="2052">
      <c r="A2052" s="181"/>
      <c r="B2052" s="181"/>
      <c r="C2052" s="181"/>
      <c r="D2052" s="181"/>
      <c r="E2052" s="181"/>
      <c r="F2052" s="181"/>
      <c r="G2052" s="182"/>
      <c r="H2052" s="181"/>
      <c r="I2052" s="182"/>
    </row>
    <row r="2053">
      <c r="A2053" s="181"/>
      <c r="B2053" s="181"/>
      <c r="C2053" s="181"/>
      <c r="D2053" s="181"/>
      <c r="E2053" s="181"/>
      <c r="F2053" s="181"/>
      <c r="G2053" s="182"/>
      <c r="H2053" s="181"/>
      <c r="I2053" s="182"/>
    </row>
    <row r="2054">
      <c r="A2054" s="181"/>
      <c r="B2054" s="181"/>
      <c r="C2054" s="181"/>
      <c r="D2054" s="181"/>
      <c r="E2054" s="181"/>
      <c r="F2054" s="181"/>
      <c r="G2054" s="182"/>
      <c r="H2054" s="181"/>
      <c r="I2054" s="182"/>
    </row>
    <row r="2055">
      <c r="A2055" s="181"/>
      <c r="B2055" s="181"/>
      <c r="C2055" s="181"/>
      <c r="D2055" s="181"/>
      <c r="E2055" s="181"/>
      <c r="F2055" s="181"/>
      <c r="G2055" s="182"/>
      <c r="H2055" s="181"/>
      <c r="I2055" s="182"/>
    </row>
    <row r="2056">
      <c r="A2056" s="181"/>
      <c r="B2056" s="181"/>
      <c r="C2056" s="181"/>
      <c r="D2056" s="181"/>
      <c r="E2056" s="181"/>
      <c r="F2056" s="181"/>
      <c r="G2056" s="182"/>
      <c r="H2056" s="181"/>
      <c r="I2056" s="182"/>
    </row>
    <row r="2057">
      <c r="A2057" s="181"/>
      <c r="B2057" s="181"/>
      <c r="C2057" s="181"/>
      <c r="D2057" s="181"/>
      <c r="E2057" s="181"/>
      <c r="F2057" s="181"/>
      <c r="G2057" s="182"/>
      <c r="H2057" s="181"/>
      <c r="I2057" s="182"/>
    </row>
    <row r="2058">
      <c r="A2058" s="181"/>
      <c r="B2058" s="181"/>
      <c r="C2058" s="181"/>
      <c r="D2058" s="181"/>
      <c r="E2058" s="181"/>
      <c r="F2058" s="181"/>
      <c r="G2058" s="182"/>
      <c r="H2058" s="181"/>
      <c r="I2058" s="182"/>
    </row>
    <row r="2059">
      <c r="A2059" s="181"/>
      <c r="B2059" s="181"/>
      <c r="C2059" s="181"/>
      <c r="D2059" s="181"/>
      <c r="E2059" s="181"/>
      <c r="F2059" s="181"/>
      <c r="G2059" s="182"/>
      <c r="H2059" s="181"/>
      <c r="I2059" s="182"/>
    </row>
    <row r="2060">
      <c r="A2060" s="181"/>
      <c r="B2060" s="181"/>
      <c r="C2060" s="181"/>
      <c r="D2060" s="181"/>
      <c r="E2060" s="181"/>
      <c r="F2060" s="181"/>
      <c r="G2060" s="182"/>
      <c r="H2060" s="181"/>
      <c r="I2060" s="182"/>
    </row>
    <row r="2061">
      <c r="A2061" s="181"/>
      <c r="B2061" s="181"/>
      <c r="C2061" s="181"/>
      <c r="D2061" s="181"/>
      <c r="E2061" s="181"/>
      <c r="F2061" s="181"/>
      <c r="G2061" s="182"/>
      <c r="H2061" s="181"/>
      <c r="I2061" s="182"/>
    </row>
    <row r="2062">
      <c r="A2062" s="181"/>
      <c r="B2062" s="181"/>
      <c r="C2062" s="181"/>
      <c r="D2062" s="181"/>
      <c r="E2062" s="181"/>
      <c r="F2062" s="181"/>
      <c r="G2062" s="182"/>
      <c r="H2062" s="181"/>
      <c r="I2062" s="182"/>
    </row>
    <row r="2063">
      <c r="A2063" s="181"/>
      <c r="B2063" s="181"/>
      <c r="C2063" s="181"/>
      <c r="D2063" s="181"/>
      <c r="E2063" s="181"/>
      <c r="F2063" s="181"/>
      <c r="G2063" s="182"/>
      <c r="H2063" s="181"/>
      <c r="I2063" s="182"/>
    </row>
    <row r="2064">
      <c r="A2064" s="181"/>
      <c r="B2064" s="181"/>
      <c r="C2064" s="181"/>
      <c r="D2064" s="181"/>
      <c r="E2064" s="181"/>
      <c r="F2064" s="181"/>
      <c r="G2064" s="182"/>
      <c r="H2064" s="181"/>
      <c r="I2064" s="182"/>
    </row>
    <row r="2065">
      <c r="A2065" s="181"/>
      <c r="B2065" s="181"/>
      <c r="C2065" s="181"/>
      <c r="D2065" s="181"/>
      <c r="E2065" s="181"/>
      <c r="F2065" s="181"/>
      <c r="G2065" s="182"/>
      <c r="H2065" s="181"/>
      <c r="I2065" s="182"/>
    </row>
    <row r="2066">
      <c r="A2066" s="181"/>
      <c r="B2066" s="181"/>
      <c r="C2066" s="181"/>
      <c r="D2066" s="181"/>
      <c r="E2066" s="181"/>
      <c r="F2066" s="181"/>
      <c r="G2066" s="182"/>
      <c r="H2066" s="181"/>
      <c r="I2066" s="182"/>
    </row>
    <row r="2067">
      <c r="A2067" s="181"/>
      <c r="B2067" s="181"/>
      <c r="C2067" s="181"/>
      <c r="D2067" s="181"/>
      <c r="E2067" s="181"/>
      <c r="F2067" s="181"/>
      <c r="G2067" s="182"/>
      <c r="H2067" s="181"/>
      <c r="I2067" s="182"/>
    </row>
    <row r="2068">
      <c r="A2068" s="181"/>
      <c r="B2068" s="181"/>
      <c r="C2068" s="181"/>
      <c r="D2068" s="181"/>
      <c r="E2068" s="181"/>
      <c r="F2068" s="181"/>
      <c r="G2068" s="182"/>
      <c r="H2068" s="181"/>
      <c r="I2068" s="182"/>
    </row>
    <row r="2069">
      <c r="A2069" s="181"/>
      <c r="B2069" s="181"/>
      <c r="C2069" s="181"/>
      <c r="D2069" s="181"/>
      <c r="E2069" s="181"/>
      <c r="F2069" s="181"/>
      <c r="G2069" s="182"/>
      <c r="H2069" s="181"/>
      <c r="I2069" s="182"/>
    </row>
    <row r="2070">
      <c r="A2070" s="181"/>
      <c r="B2070" s="181"/>
      <c r="C2070" s="181"/>
      <c r="D2070" s="181"/>
      <c r="E2070" s="181"/>
      <c r="F2070" s="181"/>
      <c r="G2070" s="182"/>
      <c r="H2070" s="181"/>
      <c r="I2070" s="182"/>
    </row>
    <row r="2071">
      <c r="A2071" s="181"/>
      <c r="B2071" s="181"/>
      <c r="C2071" s="181"/>
      <c r="D2071" s="181"/>
      <c r="E2071" s="181"/>
      <c r="F2071" s="181"/>
      <c r="G2071" s="182"/>
      <c r="H2071" s="181"/>
      <c r="I2071" s="182"/>
    </row>
    <row r="2072">
      <c r="A2072" s="181"/>
      <c r="B2072" s="181"/>
      <c r="C2072" s="181"/>
      <c r="D2072" s="181"/>
      <c r="E2072" s="181"/>
      <c r="F2072" s="181"/>
      <c r="G2072" s="182"/>
      <c r="H2072" s="181"/>
      <c r="I2072" s="182"/>
    </row>
    <row r="2073">
      <c r="A2073" s="181"/>
      <c r="B2073" s="181"/>
      <c r="C2073" s="181"/>
      <c r="D2073" s="181"/>
      <c r="E2073" s="181"/>
      <c r="F2073" s="181"/>
      <c r="G2073" s="182"/>
      <c r="H2073" s="181"/>
      <c r="I2073" s="182"/>
    </row>
    <row r="2074">
      <c r="A2074" s="181"/>
      <c r="B2074" s="181"/>
      <c r="C2074" s="181"/>
      <c r="D2074" s="181"/>
      <c r="E2074" s="181"/>
      <c r="F2074" s="181"/>
      <c r="G2074" s="182"/>
      <c r="H2074" s="181"/>
      <c r="I2074" s="182"/>
    </row>
    <row r="2075">
      <c r="A2075" s="181"/>
      <c r="B2075" s="181"/>
      <c r="C2075" s="181"/>
      <c r="D2075" s="181"/>
      <c r="E2075" s="181"/>
      <c r="F2075" s="181"/>
      <c r="G2075" s="182"/>
      <c r="H2075" s="181"/>
      <c r="I2075" s="182"/>
    </row>
    <row r="2076">
      <c r="A2076" s="181"/>
      <c r="B2076" s="181"/>
      <c r="C2076" s="181"/>
      <c r="D2076" s="181"/>
      <c r="E2076" s="181"/>
      <c r="F2076" s="181"/>
      <c r="G2076" s="182"/>
      <c r="H2076" s="181"/>
      <c r="I2076" s="182"/>
    </row>
    <row r="2077">
      <c r="A2077" s="181"/>
      <c r="B2077" s="181"/>
      <c r="C2077" s="181"/>
      <c r="D2077" s="181"/>
      <c r="E2077" s="181"/>
      <c r="F2077" s="181"/>
      <c r="G2077" s="182"/>
      <c r="H2077" s="181"/>
      <c r="I2077" s="182"/>
    </row>
    <row r="2078">
      <c r="A2078" s="181"/>
      <c r="B2078" s="181"/>
      <c r="C2078" s="181"/>
      <c r="D2078" s="181"/>
      <c r="E2078" s="181"/>
      <c r="F2078" s="181"/>
      <c r="G2078" s="182"/>
      <c r="H2078" s="181"/>
      <c r="I2078" s="182"/>
    </row>
    <row r="2079">
      <c r="A2079" s="181"/>
      <c r="B2079" s="181"/>
      <c r="C2079" s="181"/>
      <c r="D2079" s="181"/>
      <c r="E2079" s="181"/>
      <c r="F2079" s="181"/>
      <c r="G2079" s="182"/>
      <c r="H2079" s="181"/>
      <c r="I2079" s="182"/>
    </row>
    <row r="2080">
      <c r="A2080" s="181"/>
      <c r="B2080" s="181"/>
      <c r="C2080" s="181"/>
      <c r="D2080" s="181"/>
      <c r="E2080" s="181"/>
      <c r="F2080" s="181"/>
      <c r="G2080" s="182"/>
      <c r="H2080" s="181"/>
      <c r="I2080" s="182"/>
    </row>
    <row r="2081">
      <c r="A2081" s="181"/>
      <c r="B2081" s="181"/>
      <c r="C2081" s="181"/>
      <c r="D2081" s="181"/>
      <c r="E2081" s="181"/>
      <c r="F2081" s="181"/>
      <c r="G2081" s="182"/>
      <c r="H2081" s="181"/>
      <c r="I2081" s="182"/>
    </row>
    <row r="2082">
      <c r="A2082" s="181"/>
      <c r="B2082" s="181"/>
      <c r="C2082" s="181"/>
      <c r="D2082" s="181"/>
      <c r="E2082" s="181"/>
      <c r="F2082" s="181"/>
      <c r="G2082" s="182"/>
      <c r="H2082" s="181"/>
      <c r="I2082" s="182"/>
    </row>
    <row r="2083">
      <c r="A2083" s="181"/>
      <c r="B2083" s="181"/>
      <c r="C2083" s="181"/>
      <c r="D2083" s="181"/>
      <c r="E2083" s="181"/>
      <c r="F2083" s="181"/>
      <c r="G2083" s="182"/>
      <c r="H2083" s="181"/>
      <c r="I2083" s="182"/>
    </row>
    <row r="2084">
      <c r="A2084" s="181"/>
      <c r="B2084" s="181"/>
      <c r="C2084" s="181"/>
      <c r="D2084" s="181"/>
      <c r="E2084" s="181"/>
      <c r="F2084" s="181"/>
      <c r="G2084" s="182"/>
      <c r="H2084" s="181"/>
      <c r="I2084" s="182"/>
    </row>
    <row r="2085">
      <c r="A2085" s="181"/>
      <c r="B2085" s="181"/>
      <c r="C2085" s="181"/>
      <c r="D2085" s="181"/>
      <c r="E2085" s="181"/>
      <c r="F2085" s="181"/>
      <c r="G2085" s="182"/>
      <c r="H2085" s="181"/>
      <c r="I2085" s="182"/>
    </row>
    <row r="2086">
      <c r="A2086" s="181"/>
      <c r="B2086" s="181"/>
      <c r="C2086" s="181"/>
      <c r="D2086" s="181"/>
      <c r="E2086" s="181"/>
      <c r="F2086" s="181"/>
      <c r="G2086" s="182"/>
      <c r="H2086" s="181"/>
      <c r="I2086" s="182"/>
    </row>
    <row r="2087">
      <c r="A2087" s="181"/>
      <c r="B2087" s="181"/>
      <c r="C2087" s="181"/>
      <c r="D2087" s="181"/>
      <c r="E2087" s="181"/>
      <c r="F2087" s="181"/>
      <c r="G2087" s="182"/>
      <c r="H2087" s="181"/>
      <c r="I2087" s="182"/>
    </row>
    <row r="2088">
      <c r="A2088" s="181"/>
      <c r="B2088" s="181"/>
      <c r="C2088" s="181"/>
      <c r="D2088" s="181"/>
      <c r="E2088" s="181"/>
      <c r="F2088" s="181"/>
      <c r="G2088" s="182"/>
      <c r="H2088" s="181"/>
      <c r="I2088" s="182"/>
    </row>
    <row r="2089">
      <c r="A2089" s="181"/>
      <c r="B2089" s="181"/>
      <c r="C2089" s="181"/>
      <c r="D2089" s="181"/>
      <c r="E2089" s="181"/>
      <c r="F2089" s="181"/>
      <c r="G2089" s="182"/>
      <c r="H2089" s="181"/>
      <c r="I2089" s="182"/>
    </row>
    <row r="2090">
      <c r="A2090" s="181"/>
      <c r="B2090" s="181"/>
      <c r="C2090" s="181"/>
      <c r="D2090" s="181"/>
      <c r="E2090" s="181"/>
      <c r="F2090" s="181"/>
      <c r="G2090" s="182"/>
      <c r="H2090" s="181"/>
      <c r="I2090" s="182"/>
    </row>
    <row r="2091">
      <c r="A2091" s="181"/>
      <c r="B2091" s="181"/>
      <c r="C2091" s="181"/>
      <c r="D2091" s="181"/>
      <c r="E2091" s="181"/>
      <c r="F2091" s="181"/>
      <c r="G2091" s="182"/>
      <c r="H2091" s="181"/>
      <c r="I2091" s="182"/>
    </row>
    <row r="2092">
      <c r="A2092" s="181"/>
      <c r="B2092" s="181"/>
      <c r="C2092" s="181"/>
      <c r="D2092" s="181"/>
      <c r="E2092" s="181"/>
      <c r="F2092" s="181"/>
      <c r="G2092" s="182"/>
      <c r="H2092" s="181"/>
      <c r="I2092" s="182"/>
    </row>
    <row r="2093">
      <c r="A2093" s="181"/>
      <c r="B2093" s="181"/>
      <c r="C2093" s="181"/>
      <c r="D2093" s="181"/>
      <c r="E2093" s="181"/>
      <c r="F2093" s="181"/>
      <c r="G2093" s="182"/>
      <c r="H2093" s="181"/>
      <c r="I2093" s="182"/>
    </row>
    <row r="2094">
      <c r="A2094" s="181"/>
      <c r="B2094" s="181"/>
      <c r="C2094" s="181"/>
      <c r="D2094" s="181"/>
      <c r="E2094" s="181"/>
      <c r="F2094" s="181"/>
      <c r="G2094" s="182"/>
      <c r="H2094" s="181"/>
      <c r="I2094" s="182"/>
    </row>
    <row r="2095">
      <c r="A2095" s="181"/>
      <c r="B2095" s="181"/>
      <c r="C2095" s="181"/>
      <c r="D2095" s="181"/>
      <c r="E2095" s="181"/>
      <c r="F2095" s="181"/>
      <c r="G2095" s="182"/>
      <c r="H2095" s="181"/>
      <c r="I2095" s="182"/>
    </row>
    <row r="2096">
      <c r="A2096" s="181"/>
      <c r="B2096" s="181"/>
      <c r="C2096" s="181"/>
      <c r="D2096" s="181"/>
      <c r="E2096" s="181"/>
      <c r="F2096" s="181"/>
      <c r="G2096" s="182"/>
      <c r="H2096" s="181"/>
      <c r="I2096" s="182"/>
    </row>
    <row r="2097">
      <c r="A2097" s="181"/>
      <c r="B2097" s="181"/>
      <c r="C2097" s="181"/>
      <c r="D2097" s="181"/>
      <c r="E2097" s="181"/>
      <c r="F2097" s="181"/>
      <c r="G2097" s="182"/>
      <c r="H2097" s="181"/>
      <c r="I2097" s="182"/>
    </row>
    <row r="2098">
      <c r="A2098" s="181"/>
      <c r="B2098" s="181"/>
      <c r="C2098" s="181"/>
      <c r="D2098" s="181"/>
      <c r="E2098" s="181"/>
      <c r="F2098" s="181"/>
      <c r="G2098" s="182"/>
      <c r="H2098" s="181"/>
      <c r="I2098" s="182"/>
    </row>
    <row r="2099">
      <c r="A2099" s="181"/>
      <c r="B2099" s="181"/>
      <c r="C2099" s="181"/>
      <c r="D2099" s="181"/>
      <c r="E2099" s="181"/>
      <c r="F2099" s="181"/>
      <c r="G2099" s="182"/>
      <c r="H2099" s="181"/>
      <c r="I2099" s="182"/>
    </row>
    <row r="2100">
      <c r="A2100" s="181"/>
      <c r="B2100" s="181"/>
      <c r="C2100" s="181"/>
      <c r="D2100" s="181"/>
      <c r="E2100" s="181"/>
      <c r="F2100" s="181"/>
      <c r="G2100" s="182"/>
      <c r="H2100" s="181"/>
      <c r="I2100" s="182"/>
    </row>
    <row r="2101">
      <c r="A2101" s="181"/>
      <c r="B2101" s="181"/>
      <c r="C2101" s="181"/>
      <c r="D2101" s="181"/>
      <c r="E2101" s="181"/>
      <c r="F2101" s="181"/>
      <c r="G2101" s="182"/>
      <c r="H2101" s="181"/>
      <c r="I2101" s="182"/>
    </row>
    <row r="2102">
      <c r="A2102" s="181"/>
      <c r="B2102" s="181"/>
      <c r="C2102" s="181"/>
      <c r="D2102" s="181"/>
      <c r="E2102" s="181"/>
      <c r="F2102" s="181"/>
      <c r="G2102" s="182"/>
      <c r="H2102" s="181"/>
      <c r="I2102" s="182"/>
    </row>
    <row r="2103">
      <c r="A2103" s="181"/>
      <c r="B2103" s="181"/>
      <c r="C2103" s="181"/>
      <c r="D2103" s="181"/>
      <c r="E2103" s="181"/>
      <c r="F2103" s="181"/>
      <c r="G2103" s="182"/>
      <c r="H2103" s="181"/>
      <c r="I2103" s="182"/>
    </row>
    <row r="2104">
      <c r="A2104" s="181"/>
      <c r="B2104" s="181"/>
      <c r="C2104" s="181"/>
      <c r="D2104" s="181"/>
      <c r="E2104" s="181"/>
      <c r="F2104" s="181"/>
      <c r="G2104" s="182"/>
      <c r="H2104" s="181"/>
      <c r="I2104" s="182"/>
    </row>
    <row r="2105">
      <c r="A2105" s="181"/>
      <c r="B2105" s="181"/>
      <c r="C2105" s="181"/>
      <c r="D2105" s="181"/>
      <c r="E2105" s="181"/>
      <c r="F2105" s="181"/>
      <c r="G2105" s="182"/>
      <c r="H2105" s="181"/>
      <c r="I2105" s="182"/>
    </row>
    <row r="2106">
      <c r="A2106" s="181"/>
      <c r="B2106" s="181"/>
      <c r="C2106" s="181"/>
      <c r="D2106" s="181"/>
      <c r="E2106" s="181"/>
      <c r="F2106" s="181"/>
      <c r="G2106" s="182"/>
      <c r="H2106" s="181"/>
      <c r="I2106" s="182"/>
    </row>
    <row r="2107">
      <c r="A2107" s="181"/>
      <c r="B2107" s="181"/>
      <c r="C2107" s="181"/>
      <c r="D2107" s="181"/>
      <c r="E2107" s="181"/>
      <c r="F2107" s="181"/>
      <c r="G2107" s="182"/>
      <c r="H2107" s="181"/>
      <c r="I2107" s="182"/>
    </row>
    <row r="2108">
      <c r="A2108" s="181"/>
      <c r="B2108" s="181"/>
      <c r="C2108" s="181"/>
      <c r="D2108" s="181"/>
      <c r="E2108" s="181"/>
      <c r="F2108" s="181"/>
      <c r="G2108" s="182"/>
      <c r="H2108" s="181"/>
      <c r="I2108" s="182"/>
    </row>
    <row r="2109">
      <c r="A2109" s="181"/>
      <c r="B2109" s="181"/>
      <c r="C2109" s="181"/>
      <c r="D2109" s="181"/>
      <c r="E2109" s="181"/>
      <c r="F2109" s="181"/>
      <c r="G2109" s="182"/>
      <c r="H2109" s="181"/>
      <c r="I2109" s="182"/>
    </row>
    <row r="2110">
      <c r="A2110" s="181"/>
      <c r="B2110" s="181"/>
      <c r="C2110" s="181"/>
      <c r="D2110" s="181"/>
      <c r="E2110" s="181"/>
      <c r="F2110" s="181"/>
      <c r="G2110" s="182"/>
      <c r="H2110" s="181"/>
      <c r="I2110" s="182"/>
    </row>
    <row r="2111">
      <c r="A2111" s="181"/>
      <c r="B2111" s="181"/>
      <c r="C2111" s="181"/>
      <c r="D2111" s="181"/>
      <c r="E2111" s="181"/>
      <c r="F2111" s="181"/>
      <c r="G2111" s="182"/>
      <c r="H2111" s="181"/>
      <c r="I2111" s="182"/>
    </row>
    <row r="2112">
      <c r="A2112" s="181"/>
      <c r="B2112" s="181"/>
      <c r="C2112" s="181"/>
      <c r="D2112" s="181"/>
      <c r="E2112" s="181"/>
      <c r="F2112" s="181"/>
      <c r="G2112" s="182"/>
      <c r="H2112" s="181"/>
      <c r="I2112" s="182"/>
    </row>
    <row r="2113">
      <c r="A2113" s="181"/>
      <c r="B2113" s="181"/>
      <c r="C2113" s="181"/>
      <c r="D2113" s="181"/>
      <c r="E2113" s="181"/>
      <c r="F2113" s="181"/>
      <c r="G2113" s="182"/>
      <c r="H2113" s="181"/>
      <c r="I2113" s="182"/>
    </row>
    <row r="2114">
      <c r="A2114" s="181"/>
      <c r="B2114" s="181"/>
      <c r="C2114" s="181"/>
      <c r="D2114" s="181"/>
      <c r="E2114" s="181"/>
      <c r="F2114" s="181"/>
      <c r="G2114" s="182"/>
      <c r="H2114" s="181"/>
      <c r="I2114" s="182"/>
    </row>
    <row r="2115">
      <c r="A2115" s="181"/>
      <c r="B2115" s="181"/>
      <c r="C2115" s="181"/>
      <c r="D2115" s="181"/>
      <c r="E2115" s="181"/>
      <c r="F2115" s="181"/>
      <c r="G2115" s="182"/>
      <c r="H2115" s="181"/>
      <c r="I2115" s="182"/>
    </row>
    <row r="2116">
      <c r="A2116" s="181"/>
      <c r="B2116" s="181"/>
      <c r="C2116" s="181"/>
      <c r="D2116" s="181"/>
      <c r="E2116" s="181"/>
      <c r="F2116" s="181"/>
      <c r="G2116" s="182"/>
      <c r="H2116" s="181"/>
      <c r="I2116" s="182"/>
    </row>
    <row r="2117">
      <c r="A2117" s="181"/>
      <c r="B2117" s="181"/>
      <c r="C2117" s="181"/>
      <c r="D2117" s="181"/>
      <c r="E2117" s="181"/>
      <c r="F2117" s="181"/>
      <c r="G2117" s="182"/>
      <c r="H2117" s="181"/>
      <c r="I2117" s="182"/>
    </row>
    <row r="2118">
      <c r="A2118" s="181"/>
      <c r="B2118" s="181"/>
      <c r="C2118" s="181"/>
      <c r="D2118" s="181"/>
      <c r="E2118" s="181"/>
      <c r="F2118" s="181"/>
      <c r="G2118" s="182"/>
      <c r="H2118" s="181"/>
      <c r="I2118" s="182"/>
    </row>
  </sheetData>
  <autoFilter ref="$A$1:$J$1190">
    <sortState ref="A1:J1190">
      <sortCondition ref="C1:C1190"/>
      <sortCondition descending="1" ref="I1:I1190"/>
    </sortState>
  </autoFil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1" max="1" width="5.63"/>
    <col customWidth="1" min="2" max="2" width="28.88"/>
    <col customWidth="1" min="3" max="3" width="30.38"/>
    <col customWidth="1" min="4" max="5" width="13.88"/>
    <col customWidth="1" min="6" max="6" width="16.38"/>
    <col customWidth="1" min="7" max="7" width="16.0"/>
    <col customWidth="1" min="8" max="11" width="9.75"/>
    <col customWidth="1" min="12" max="34" width="12.63"/>
    <col customWidth="1" min="35" max="36" width="15.13"/>
  </cols>
  <sheetData>
    <row r="1">
      <c r="A1" s="183" t="s">
        <v>3705</v>
      </c>
      <c r="B1" s="73" t="s">
        <v>2409</v>
      </c>
      <c r="C1" s="73" t="s">
        <v>2410</v>
      </c>
      <c r="D1" s="74" t="s">
        <v>2411</v>
      </c>
      <c r="E1" s="75" t="s">
        <v>2412</v>
      </c>
      <c r="F1" s="76" t="s">
        <v>2413</v>
      </c>
      <c r="G1" s="184" t="s">
        <v>2414</v>
      </c>
      <c r="H1" s="185" t="s">
        <v>2415</v>
      </c>
      <c r="I1" s="78"/>
      <c r="J1" s="78"/>
      <c r="K1" s="79"/>
      <c r="L1" s="80" t="s">
        <v>2416</v>
      </c>
      <c r="M1" s="78"/>
      <c r="N1" s="78"/>
      <c r="O1" s="79"/>
      <c r="P1" s="81" t="str">
        <f>'UG-CSE'!P1</f>
        <v>Softskill Sx</v>
      </c>
      <c r="Q1" s="78"/>
      <c r="R1" s="79"/>
      <c r="S1" s="82"/>
      <c r="T1" s="83" t="str">
        <f>'UG-CSE'!T1</f>
        <v>Core Cx</v>
      </c>
      <c r="U1" s="78"/>
      <c r="V1" s="78"/>
      <c r="W1" s="78"/>
      <c r="X1" s="78"/>
      <c r="Y1" s="78"/>
      <c r="Z1" s="79"/>
      <c r="AA1" s="84" t="str">
        <f>'UG-CSE'!AA1</f>
        <v>Programming Px</v>
      </c>
      <c r="AB1" s="78"/>
      <c r="AC1" s="78"/>
      <c r="AD1" s="78"/>
      <c r="AE1" s="78"/>
      <c r="AF1" s="78"/>
      <c r="AG1" s="78"/>
      <c r="AH1" s="79"/>
      <c r="AI1" s="75"/>
      <c r="AJ1" s="85"/>
      <c r="AK1" s="86" t="s">
        <v>2420</v>
      </c>
      <c r="AL1" s="86" t="s">
        <v>2421</v>
      </c>
      <c r="AM1" s="86" t="s">
        <v>2422</v>
      </c>
      <c r="AN1" s="86" t="s">
        <v>2423</v>
      </c>
      <c r="AO1" s="87" t="s">
        <v>2424</v>
      </c>
      <c r="AP1" s="186"/>
    </row>
    <row r="2" ht="42.0" customHeight="1">
      <c r="A2" s="187"/>
      <c r="B2" s="73" t="s">
        <v>2425</v>
      </c>
      <c r="C2" s="73" t="s">
        <v>2426</v>
      </c>
      <c r="D2" s="89"/>
      <c r="E2" s="75" t="s">
        <v>2427</v>
      </c>
      <c r="F2" s="89"/>
      <c r="G2" s="188"/>
      <c r="H2" s="189" t="s">
        <v>2428</v>
      </c>
      <c r="I2" s="90" t="s">
        <v>2429</v>
      </c>
      <c r="J2" s="90" t="s">
        <v>2430</v>
      </c>
      <c r="K2" s="90" t="s">
        <v>2431</v>
      </c>
      <c r="L2" s="190" t="s">
        <v>2432</v>
      </c>
      <c r="M2" s="190" t="s">
        <v>2433</v>
      </c>
      <c r="N2" s="190" t="s">
        <v>2434</v>
      </c>
      <c r="O2" s="190" t="s">
        <v>2435</v>
      </c>
      <c r="P2" s="191" t="str">
        <f>'UG-CSE'!P2</f>
        <v>S1</v>
      </c>
      <c r="Q2" s="191" t="str">
        <f>'UG-CSE'!Q2</f>
        <v>S2</v>
      </c>
      <c r="R2" s="191" t="str">
        <f>'UG-CSE'!R2</f>
        <v>S3</v>
      </c>
      <c r="S2" s="191" t="s">
        <v>2439</v>
      </c>
      <c r="T2" s="192" t="str">
        <f>'UG-CSE'!T2</f>
        <v>C2 Odd</v>
      </c>
      <c r="U2" s="192" t="str">
        <f>'UG-CSE'!U2</f>
        <v>C2 Full</v>
      </c>
      <c r="V2" s="192" t="str">
        <f>'UG-CSE'!V2</f>
        <v>C3 Odd</v>
      </c>
      <c r="W2" s="192" t="str">
        <f>'UG-CSE'!W2</f>
        <v>C3 Full</v>
      </c>
      <c r="X2" s="192" t="str">
        <f>'UG-CSE'!X2</f>
        <v>C4 Odd</v>
      </c>
      <c r="Y2" s="192" t="str">
        <f>'UG-CSE'!Y2</f>
        <v>C4 Full</v>
      </c>
      <c r="Z2" s="192" t="str">
        <f>'UG-CSE'!Z2</f>
        <v>C5 Full</v>
      </c>
      <c r="AA2" s="94" t="str">
        <f>'UG-CSE'!AA2</f>
        <v>P1-C</v>
      </c>
      <c r="AB2" s="94" t="str">
        <f>'UG-CSE'!AB2</f>
        <v>P2-Python</v>
      </c>
      <c r="AC2" s="94" t="str">
        <f>'UG-CSE'!AC2</f>
        <v>P3-Python</v>
      </c>
      <c r="AD2" s="94" t="str">
        <f>'UG-CSE'!AD2</f>
        <v>P3-Java </v>
      </c>
      <c r="AE2" s="94" t="str">
        <f>'UG-CSE'!AE2</f>
        <v>P4-Programming part 1</v>
      </c>
      <c r="AF2" s="94" t="str">
        <f>'UG-CSE'!AF2</f>
        <v>P4-Programming part 2</v>
      </c>
      <c r="AG2" s="94" t="str">
        <f>'UG-CSE'!AG2</f>
        <v>P4-MAD/FSD</v>
      </c>
      <c r="AH2" s="193" t="str">
        <f>'UG-CSE'!AH2</f>
        <v>P4-DS</v>
      </c>
      <c r="AI2" s="94" t="s">
        <v>2455</v>
      </c>
      <c r="AJ2" s="95" t="s">
        <v>2456</v>
      </c>
      <c r="AK2" s="96" t="s">
        <v>2457</v>
      </c>
      <c r="AL2" s="96" t="s">
        <v>2457</v>
      </c>
      <c r="AM2" s="96" t="s">
        <v>2457</v>
      </c>
      <c r="AN2" s="96" t="s">
        <v>2457</v>
      </c>
      <c r="AO2" s="96" t="s">
        <v>2457</v>
      </c>
      <c r="AP2" s="88"/>
    </row>
    <row r="3">
      <c r="A3" s="194"/>
      <c r="B3" s="195" t="s">
        <v>2458</v>
      </c>
      <c r="C3" s="196"/>
      <c r="D3" s="197"/>
      <c r="E3" s="198"/>
      <c r="F3" s="199"/>
      <c r="G3" s="200"/>
      <c r="H3" s="201">
        <v>100.0</v>
      </c>
      <c r="I3" s="202">
        <v>100.0</v>
      </c>
      <c r="J3" s="202">
        <v>100.0</v>
      </c>
      <c r="K3" s="202">
        <v>100.0</v>
      </c>
      <c r="L3" s="102">
        <v>100.0</v>
      </c>
      <c r="M3" s="102">
        <v>100.0</v>
      </c>
      <c r="N3" s="102">
        <v>100.0</v>
      </c>
      <c r="O3" s="102">
        <v>100.0</v>
      </c>
      <c r="P3" s="102">
        <v>100.0</v>
      </c>
      <c r="Q3" s="102">
        <v>100.0</v>
      </c>
      <c r="R3" s="102">
        <v>100.0</v>
      </c>
      <c r="S3" s="102">
        <v>100.0</v>
      </c>
      <c r="T3" s="102">
        <v>25.0</v>
      </c>
      <c r="U3" s="102">
        <v>25.0</v>
      </c>
      <c r="V3" s="102">
        <v>50.0</v>
      </c>
      <c r="W3" s="102">
        <v>100.0</v>
      </c>
      <c r="X3" s="102">
        <v>100.0</v>
      </c>
      <c r="Y3" s="102">
        <v>100.0</v>
      </c>
      <c r="Z3" s="102">
        <v>100.0</v>
      </c>
      <c r="AA3" s="102">
        <v>100.0</v>
      </c>
      <c r="AB3" s="102">
        <v>100.0</v>
      </c>
      <c r="AC3" s="102">
        <v>100.0</v>
      </c>
      <c r="AD3" s="102">
        <v>100.0</v>
      </c>
      <c r="AE3" s="102">
        <v>100.0</v>
      </c>
      <c r="AF3" s="102">
        <v>100.0</v>
      </c>
      <c r="AG3" s="102">
        <v>100.0</v>
      </c>
      <c r="AH3" s="102">
        <v>100.0</v>
      </c>
      <c r="AI3" s="131"/>
      <c r="AJ3" s="131"/>
      <c r="AK3" s="106"/>
      <c r="AL3" s="106"/>
      <c r="AM3" s="106"/>
      <c r="AN3" s="106"/>
      <c r="AO3" s="106"/>
      <c r="AP3" s="88"/>
    </row>
    <row r="4">
      <c r="A4" s="194"/>
      <c r="B4" s="203" t="s">
        <v>2459</v>
      </c>
      <c r="C4" s="204"/>
      <c r="D4" s="205"/>
      <c r="E4" s="198"/>
      <c r="F4" s="199"/>
      <c r="G4" s="200"/>
      <c r="H4" s="201">
        <v>65.0</v>
      </c>
      <c r="I4" s="102">
        <v>65.0</v>
      </c>
      <c r="J4" s="102">
        <v>70.0</v>
      </c>
      <c r="K4" s="102">
        <v>70.0</v>
      </c>
      <c r="L4" s="112">
        <v>50.0</v>
      </c>
      <c r="M4" s="112">
        <v>50.0</v>
      </c>
      <c r="N4" s="112">
        <v>50.0</v>
      </c>
      <c r="O4" s="103">
        <v>65.0</v>
      </c>
      <c r="P4" s="112">
        <v>50.0</v>
      </c>
      <c r="Q4" s="112">
        <v>50.0</v>
      </c>
      <c r="R4" s="112">
        <v>50.0</v>
      </c>
      <c r="S4" s="110">
        <v>50.0</v>
      </c>
      <c r="T4" s="110">
        <v>10.0</v>
      </c>
      <c r="U4" s="110">
        <v>10.0</v>
      </c>
      <c r="V4" s="110">
        <v>25.0</v>
      </c>
      <c r="W4" s="110">
        <v>50.0</v>
      </c>
      <c r="X4" s="112">
        <v>50.0</v>
      </c>
      <c r="Y4" s="112">
        <v>50.0</v>
      </c>
      <c r="Z4" s="206">
        <v>50.0</v>
      </c>
      <c r="AA4" s="112">
        <v>50.0</v>
      </c>
      <c r="AB4" s="112">
        <v>50.0</v>
      </c>
      <c r="AC4" s="112">
        <v>60.0</v>
      </c>
      <c r="AD4" s="112">
        <v>60.0</v>
      </c>
      <c r="AE4" s="110">
        <v>70.0</v>
      </c>
      <c r="AF4" s="110">
        <v>70.0</v>
      </c>
      <c r="AG4" s="110">
        <v>70.0</v>
      </c>
      <c r="AH4" s="207">
        <v>70.0</v>
      </c>
      <c r="AI4" s="131"/>
      <c r="AJ4" s="131"/>
      <c r="AK4" s="106"/>
      <c r="AL4" s="106"/>
      <c r="AM4" s="106"/>
      <c r="AN4" s="106"/>
      <c r="AO4" s="106"/>
      <c r="AP4" s="88"/>
    </row>
    <row r="5">
      <c r="A5" s="142">
        <v>1.0</v>
      </c>
      <c r="B5" s="115" t="s">
        <v>1358</v>
      </c>
      <c r="C5" s="208" t="s">
        <v>3418</v>
      </c>
      <c r="D5" s="209" t="str">
        <f>VLOOKUP(B5,USN!$1:$1088,2,False)</f>
        <v>1CR23IS001</v>
      </c>
      <c r="E5" s="119">
        <v>9.148164893E9</v>
      </c>
      <c r="F5" s="119" t="s">
        <v>3706</v>
      </c>
      <c r="G5" s="88"/>
      <c r="H5" s="210">
        <v>84.0</v>
      </c>
      <c r="I5" s="211">
        <v>88.0</v>
      </c>
      <c r="J5" s="211">
        <f>VLOOKUP(D5,'L3'!$1:$2060,2,False)</f>
        <v>5</v>
      </c>
      <c r="K5" s="211">
        <f>VLOOKUP(D5,'L4'!$1:$2059,2,False)</f>
        <v>10</v>
      </c>
      <c r="L5" s="212">
        <f>VLOOKUP(D5,'A1 RETEST 5 DEC'!$1:$2096,2,FALSE)</f>
        <v>5</v>
      </c>
      <c r="M5" s="213">
        <f>VLOOKUP(D5,'A2 RETEST 4 DEC'!$1:$2096,2,False)</f>
        <v>0</v>
      </c>
      <c r="N5" s="213">
        <v>0.0</v>
      </c>
      <c r="O5" s="212"/>
      <c r="P5" s="214">
        <f>IFNA(VLOOKUP(D5,'S1'!$1:$2000,2,False),0)</f>
        <v>0</v>
      </c>
      <c r="Q5" s="214">
        <f>vlookup(D5,'S2'!A1:B1203,2,0)</f>
        <v>0</v>
      </c>
      <c r="R5" s="214">
        <f>ifna(vlookup(D5,'S3'!$1:$1311,2,False),0)</f>
        <v>0</v>
      </c>
      <c r="S5" s="214"/>
      <c r="T5" s="215">
        <v>15.0</v>
      </c>
      <c r="U5" s="215">
        <v>18.0</v>
      </c>
      <c r="V5" s="215"/>
      <c r="W5" s="215"/>
      <c r="X5" s="216">
        <v>0.0</v>
      </c>
      <c r="Y5" s="215"/>
      <c r="Z5" s="217"/>
      <c r="AA5" s="218">
        <v>100.0</v>
      </c>
      <c r="AB5" s="219">
        <v>72.0</v>
      </c>
      <c r="AC5" s="129">
        <v>0.0</v>
      </c>
      <c r="AD5" s="129">
        <v>0.0</v>
      </c>
      <c r="AE5" s="130">
        <v>10.0</v>
      </c>
      <c r="AF5" s="129"/>
      <c r="AG5" s="129">
        <v>25.0</v>
      </c>
      <c r="AH5" s="129"/>
      <c r="AI5" s="131"/>
      <c r="AJ5" s="131"/>
      <c r="AK5" s="132">
        <f t="shared" ref="AK5:AK221" si="1">IF(H5&gt;=$H$4, 
    IF(I5&gt;=$I$4, 
        IF(J5&gt;=$J$4, 
            IF(K5&gt;=$K$4, 4, 3), 
            2), 
        1), 
    0)
</f>
        <v>2</v>
      </c>
      <c r="AL5" s="132">
        <f t="shared" ref="AL5:AL221" si="2">IF(L5&gt;=$L$4, 
    IF(M5&gt;=$M$4, 
        IF(N5&gt;=$N$4, 
            IF(O5&gt;=$O$4, 4, 3), 
            2), 
        1), 
    0)
</f>
        <v>0</v>
      </c>
      <c r="AM5" s="133">
        <f t="shared" ref="AM5:AM221" si="3">IF(AND(U5&gt;=$U$4, W5&gt;=$W$4, Y5&gt;=$Y$4, Z5&lt;&gt;"", Z5&gt;=$Z$4), 5,
 IF(AND(U5&gt;=$U$4, W5&gt;=$W$4, Y5&gt;=$Y$4), 4,
  IF(AND(U5&gt;=$U$4, W5&gt;=$W$4), 3,
   IF(AND(T5&gt;=$T$4, U5&gt;=$U$4), 2,
    0
   )
  )
 )
)
</f>
        <v>2</v>
      </c>
      <c r="AN5" s="132" t="str">
        <f t="shared" ref="AN5:AN221" si="4">IF(AB5&gt;=$AB$4, 
    IF(OR(AC5&gt;=$AC$4, AD5&gt;=$AD$4), 
        IF(AND(AE5&gt;=$AE$4, AF5&gt;=$AF$4, OR(AG5&gt;=$AG$4, AH5&gt;=$AH$4)), "4", 
            IF(OR(AE5&gt;=$AE$4, AF5&gt;=$AF$4), "3.5", 
                "3")), 
        "2"), 
    "0")</f>
        <v>2</v>
      </c>
      <c r="AO5" s="132">
        <f t="shared" ref="AO5:AO221" si="5">IF(P5&gt;=$P$4, 
    IF(Q5&gt;=$Q$4, 
        IF(R5&gt;=$R$4, 
            IF(S5&gt;=$S$4, 4, 3), 
            2), 
        1), 
    0)
</f>
        <v>0</v>
      </c>
      <c r="AP5" s="88"/>
    </row>
    <row r="6">
      <c r="A6" s="142">
        <v>2.0</v>
      </c>
      <c r="B6" s="220" t="s">
        <v>1359</v>
      </c>
      <c r="C6" s="221" t="s">
        <v>3419</v>
      </c>
      <c r="D6" s="209" t="str">
        <f>VLOOKUP(B6,USN!$1:$1088,2,False)</f>
        <v>1CR23IS002</v>
      </c>
      <c r="E6" s="222">
        <v>9.845718382E9</v>
      </c>
      <c r="F6" s="222" t="s">
        <v>3706</v>
      </c>
      <c r="G6" s="88"/>
      <c r="H6" s="223">
        <v>83.0</v>
      </c>
      <c r="I6" s="211">
        <v>93.0</v>
      </c>
      <c r="J6" s="211">
        <f>VLOOKUP(D6,'L3'!$1:$2060,2,False)</f>
        <v>73</v>
      </c>
      <c r="K6" s="211">
        <f>VLOOKUP(D6,'L4'!$1:$2059,2,False)</f>
        <v>75</v>
      </c>
      <c r="L6" s="212">
        <f>VLOOKUP(D6,'A1 RETEST 5 DEC'!$1:$2096,2,FALSE)</f>
        <v>67</v>
      </c>
      <c r="M6" s="213">
        <f>VLOOKUP(D6,'A2 RETEST 4 DEC'!$1:$2096,2,False)</f>
        <v>50</v>
      </c>
      <c r="N6" s="213">
        <v>50.0</v>
      </c>
      <c r="O6" s="212"/>
      <c r="P6" s="214">
        <f>IFNA(VLOOKUP(D6,'S1'!$1:$2000,2,False),0)</f>
        <v>93</v>
      </c>
      <c r="Q6" s="214">
        <f>vlookup(D6,'S2'!A2:B1204,2,0)</f>
        <v>72</v>
      </c>
      <c r="R6" s="214">
        <f>ifna(vlookup(D6,'S3'!$1:$1311,2,False),0)</f>
        <v>89</v>
      </c>
      <c r="S6" s="214"/>
      <c r="T6" s="215">
        <v>11.0</v>
      </c>
      <c r="U6" s="215">
        <v>18.0</v>
      </c>
      <c r="V6" s="215"/>
      <c r="W6" s="215">
        <v>48.0</v>
      </c>
      <c r="X6" s="216">
        <v>44.0</v>
      </c>
      <c r="Y6" s="215"/>
      <c r="Z6" s="217"/>
      <c r="AA6" s="218">
        <v>100.0</v>
      </c>
      <c r="AB6" s="219">
        <v>100.0</v>
      </c>
      <c r="AC6" s="129">
        <v>68.0</v>
      </c>
      <c r="AD6" s="129">
        <v>30.0</v>
      </c>
      <c r="AE6" s="130">
        <v>70.0</v>
      </c>
      <c r="AF6" s="129"/>
      <c r="AG6" s="129">
        <v>49.0</v>
      </c>
      <c r="AH6" s="129"/>
      <c r="AI6" s="131"/>
      <c r="AJ6" s="131"/>
      <c r="AK6" s="132">
        <f t="shared" si="1"/>
        <v>4</v>
      </c>
      <c r="AL6" s="132">
        <f t="shared" si="2"/>
        <v>3</v>
      </c>
      <c r="AM6" s="133">
        <f t="shared" si="3"/>
        <v>2</v>
      </c>
      <c r="AN6" s="132" t="str">
        <f t="shared" si="4"/>
        <v>3.5</v>
      </c>
      <c r="AO6" s="132">
        <f t="shared" si="5"/>
        <v>3</v>
      </c>
      <c r="AP6" s="88"/>
    </row>
    <row r="7">
      <c r="A7" s="142">
        <v>3.0</v>
      </c>
      <c r="B7" s="220" t="s">
        <v>1360</v>
      </c>
      <c r="C7" s="221" t="s">
        <v>3420</v>
      </c>
      <c r="D7" s="209" t="str">
        <f>VLOOKUP(B7,USN!$1:$1088,2,False)</f>
        <v>1CR23IS003</v>
      </c>
      <c r="E7" s="222">
        <v>9.234321003E9</v>
      </c>
      <c r="F7" s="222" t="s">
        <v>3706</v>
      </c>
      <c r="G7" s="88"/>
      <c r="H7" s="223">
        <v>77.0</v>
      </c>
      <c r="I7" s="211">
        <v>91.0</v>
      </c>
      <c r="J7" s="211">
        <f>VLOOKUP(D7,'L3'!$1:$2060,2,False)</f>
        <v>71</v>
      </c>
      <c r="K7" s="211">
        <f>VLOOKUP(D7,'L4'!$1:$2059,2,False)</f>
        <v>75</v>
      </c>
      <c r="L7" s="212">
        <f>VLOOKUP(D7,'A1 RETEST 5 DEC'!$1:$2096,2,FALSE)</f>
        <v>50</v>
      </c>
      <c r="M7" s="213">
        <f>VLOOKUP(D7,'A2 RETEST 4 DEC'!$1:$2096,2,False)</f>
        <v>50</v>
      </c>
      <c r="N7" s="213">
        <v>42.0</v>
      </c>
      <c r="O7" s="212"/>
      <c r="P7" s="214">
        <f>IFNA(VLOOKUP(D7,'S1'!$1:$2000,2,False),0)</f>
        <v>80</v>
      </c>
      <c r="Q7" s="214">
        <f>vlookup(D7,'S2'!A3:B1205,2,0)</f>
        <v>55</v>
      </c>
      <c r="R7" s="214">
        <f>ifna(vlookup(D7,'S3'!$1:$1311,2,False),0)</f>
        <v>50</v>
      </c>
      <c r="S7" s="214"/>
      <c r="T7" s="215">
        <v>17.0</v>
      </c>
      <c r="U7" s="215">
        <v>23.0</v>
      </c>
      <c r="V7" s="215">
        <v>42.0</v>
      </c>
      <c r="W7" s="215">
        <v>60.0</v>
      </c>
      <c r="X7" s="216">
        <v>64.0</v>
      </c>
      <c r="Y7" s="215"/>
      <c r="Z7" s="224"/>
      <c r="AA7" s="218">
        <v>100.0</v>
      </c>
      <c r="AB7" s="219">
        <v>81.0</v>
      </c>
      <c r="AC7" s="129">
        <v>47.0</v>
      </c>
      <c r="AD7" s="129">
        <v>38.0</v>
      </c>
      <c r="AE7" s="130">
        <v>15.0</v>
      </c>
      <c r="AF7" s="129"/>
      <c r="AG7" s="129">
        <v>43.0</v>
      </c>
      <c r="AH7" s="129"/>
      <c r="AI7" s="131"/>
      <c r="AJ7" s="131"/>
      <c r="AK7" s="132">
        <f t="shared" si="1"/>
        <v>4</v>
      </c>
      <c r="AL7" s="132">
        <f t="shared" si="2"/>
        <v>2</v>
      </c>
      <c r="AM7" s="133">
        <f t="shared" si="3"/>
        <v>3</v>
      </c>
      <c r="AN7" s="132" t="str">
        <f t="shared" si="4"/>
        <v>2</v>
      </c>
      <c r="AO7" s="132">
        <f t="shared" si="5"/>
        <v>3</v>
      </c>
      <c r="AP7" s="88"/>
    </row>
    <row r="8">
      <c r="A8" s="142">
        <v>4.0</v>
      </c>
      <c r="B8" s="220" t="s">
        <v>1361</v>
      </c>
      <c r="C8" s="221" t="s">
        <v>3421</v>
      </c>
      <c r="D8" s="209" t="str">
        <f>VLOOKUP(B8,USN!$1:$1088,2,False)</f>
        <v>1CR23IS004</v>
      </c>
      <c r="E8" s="222">
        <v>9.366741579E9</v>
      </c>
      <c r="F8" s="222" t="s">
        <v>3706</v>
      </c>
      <c r="G8" s="88"/>
      <c r="H8" s="223">
        <v>80.0</v>
      </c>
      <c r="I8" s="211">
        <v>87.0</v>
      </c>
      <c r="J8" s="211">
        <f>VLOOKUP(D8,'L3'!$1:$2060,2,False)</f>
        <v>70</v>
      </c>
      <c r="K8" s="211">
        <f>VLOOKUP(D8,'L4'!$1:$2059,2,False)</f>
        <v>70</v>
      </c>
      <c r="L8" s="212">
        <f>VLOOKUP(D8,'A1 RETEST 5 DEC'!$1:$2096,2,FALSE)</f>
        <v>50</v>
      </c>
      <c r="M8" s="213">
        <f>VLOOKUP(D8,'A2 RETEST 4 DEC'!$1:$2096,2,False)</f>
        <v>58</v>
      </c>
      <c r="N8" s="213">
        <v>20.0</v>
      </c>
      <c r="O8" s="212"/>
      <c r="P8" s="214">
        <f>IFNA(VLOOKUP(D8,'S1'!$1:$2000,2,False),0)</f>
        <v>80</v>
      </c>
      <c r="Q8" s="214">
        <f>vlookup(D8,'S2'!A4:B1206,2,0)</f>
        <v>50</v>
      </c>
      <c r="R8" s="214">
        <f>ifna(vlookup(D8,'S3'!$1:$1311,2,False),0)</f>
        <v>50</v>
      </c>
      <c r="S8" s="214"/>
      <c r="T8" s="215">
        <v>19.0</v>
      </c>
      <c r="U8" s="215">
        <v>22.0</v>
      </c>
      <c r="V8" s="215">
        <v>38.0</v>
      </c>
      <c r="W8" s="215">
        <v>56.0</v>
      </c>
      <c r="X8" s="216">
        <v>56.0</v>
      </c>
      <c r="Y8" s="215"/>
      <c r="Z8" s="217"/>
      <c r="AA8" s="218">
        <v>100.0</v>
      </c>
      <c r="AB8" s="219">
        <v>81.0</v>
      </c>
      <c r="AC8" s="129">
        <v>32.0</v>
      </c>
      <c r="AD8" s="129">
        <v>100.0</v>
      </c>
      <c r="AE8" s="130">
        <v>22.0</v>
      </c>
      <c r="AF8" s="129"/>
      <c r="AG8" s="129">
        <v>72.0</v>
      </c>
      <c r="AH8" s="129"/>
      <c r="AI8" s="131"/>
      <c r="AJ8" s="131"/>
      <c r="AK8" s="132">
        <f t="shared" si="1"/>
        <v>4</v>
      </c>
      <c r="AL8" s="132">
        <f t="shared" si="2"/>
        <v>2</v>
      </c>
      <c r="AM8" s="133">
        <f t="shared" si="3"/>
        <v>3</v>
      </c>
      <c r="AN8" s="132" t="str">
        <f t="shared" si="4"/>
        <v>3</v>
      </c>
      <c r="AO8" s="132">
        <f t="shared" si="5"/>
        <v>3</v>
      </c>
      <c r="AP8" s="88"/>
    </row>
    <row r="9">
      <c r="A9" s="142">
        <v>5.0</v>
      </c>
      <c r="B9" s="220" t="s">
        <v>1362</v>
      </c>
      <c r="C9" s="221" t="s">
        <v>3422</v>
      </c>
      <c r="D9" s="209" t="str">
        <f>VLOOKUP(B9,USN!$1:$1088,2,False)</f>
        <v>1CR23IS005</v>
      </c>
      <c r="E9" s="222">
        <v>9.835158844E9</v>
      </c>
      <c r="F9" s="222" t="s">
        <v>3706</v>
      </c>
      <c r="G9" s="88"/>
      <c r="H9" s="223">
        <v>84.0</v>
      </c>
      <c r="I9" s="211">
        <v>84.0</v>
      </c>
      <c r="J9" s="211">
        <f>VLOOKUP(D9,'L3'!$1:$2060,2,False)</f>
        <v>70</v>
      </c>
      <c r="K9" s="211">
        <f>VLOOKUP(D9,'L4'!$1:$2059,2,False)</f>
        <v>70</v>
      </c>
      <c r="L9" s="212">
        <f>VLOOKUP(D9,'A1 RETEST 5 DEC'!$1:$2096,2,FALSE)</f>
        <v>50</v>
      </c>
      <c r="M9" s="213">
        <f>VLOOKUP(D9,'A2 RETEST 4 DEC'!$1:$2096,2,False)</f>
        <v>55</v>
      </c>
      <c r="N9" s="213">
        <v>62.0</v>
      </c>
      <c r="O9" s="212"/>
      <c r="P9" s="214">
        <f>IFNA(VLOOKUP(D9,'S1'!$1:$2000,2,False),0)</f>
        <v>50</v>
      </c>
      <c r="Q9" s="214">
        <f>vlookup(D9,'S2'!A5:B1207,2,0)</f>
        <v>50</v>
      </c>
      <c r="R9" s="214">
        <f>ifna(vlookup(D9,'S3'!$1:$1311,2,False),0)</f>
        <v>66</v>
      </c>
      <c r="S9" s="214"/>
      <c r="T9" s="215">
        <v>20.0</v>
      </c>
      <c r="U9" s="215" t="s">
        <v>2477</v>
      </c>
      <c r="V9" s="215"/>
      <c r="W9" s="215">
        <v>56.0</v>
      </c>
      <c r="X9" s="216">
        <v>64.0</v>
      </c>
      <c r="Y9" s="215"/>
      <c r="Z9" s="224"/>
      <c r="AA9" s="218">
        <v>92.0</v>
      </c>
      <c r="AB9" s="219">
        <v>100.0</v>
      </c>
      <c r="AC9" s="129">
        <v>52.0</v>
      </c>
      <c r="AD9" s="129">
        <v>70.0</v>
      </c>
      <c r="AE9" s="129">
        <v>80.0</v>
      </c>
      <c r="AF9" s="129"/>
      <c r="AG9" s="129">
        <v>46.0</v>
      </c>
      <c r="AH9" s="129"/>
      <c r="AI9" s="131"/>
      <c r="AJ9" s="131"/>
      <c r="AK9" s="132">
        <f t="shared" si="1"/>
        <v>4</v>
      </c>
      <c r="AL9" s="132">
        <f t="shared" si="2"/>
        <v>3</v>
      </c>
      <c r="AM9" s="133">
        <f t="shared" si="3"/>
        <v>3</v>
      </c>
      <c r="AN9" s="132" t="str">
        <f t="shared" si="4"/>
        <v>3.5</v>
      </c>
      <c r="AO9" s="132">
        <f t="shared" si="5"/>
        <v>3</v>
      </c>
      <c r="AP9" s="88"/>
    </row>
    <row r="10">
      <c r="A10" s="142">
        <v>6.0</v>
      </c>
      <c r="B10" s="220" t="s">
        <v>1403</v>
      </c>
      <c r="C10" s="221" t="s">
        <v>3423</v>
      </c>
      <c r="D10" s="209" t="str">
        <f>VLOOKUP(B10,USN!$1:$1088,2,False)</f>
        <v>1CR23IS006</v>
      </c>
      <c r="E10" s="225">
        <v>9.108526725E9</v>
      </c>
      <c r="F10" s="222" t="s">
        <v>3706</v>
      </c>
      <c r="G10" s="88"/>
      <c r="H10" s="223">
        <v>72.0</v>
      </c>
      <c r="I10" s="211">
        <v>86.0</v>
      </c>
      <c r="J10" s="211">
        <f>VLOOKUP(D10,'L3'!$1:$2060,2,False)</f>
        <v>70</v>
      </c>
      <c r="K10" s="211">
        <f>VLOOKUP(D10,'L4'!$1:$2059,2,False)</f>
        <v>70</v>
      </c>
      <c r="L10" s="212">
        <f>VLOOKUP(D10,'A1 RETEST 5 DEC'!$1:$2096,2,FALSE)</f>
        <v>50</v>
      </c>
      <c r="M10" s="213">
        <f>VLOOKUP(D10,'A2 RETEST 4 DEC'!$1:$2096,2,False)</f>
        <v>50</v>
      </c>
      <c r="N10" s="213">
        <v>8.0</v>
      </c>
      <c r="O10" s="212"/>
      <c r="P10" s="214">
        <f>IFNA(VLOOKUP(D10,'S1'!$1:$2000,2,False),0)</f>
        <v>82</v>
      </c>
      <c r="Q10" s="214">
        <f>vlookup(D10,'S2'!A6:B1208,2,0)</f>
        <v>50</v>
      </c>
      <c r="R10" s="214">
        <f>ifna(vlookup(D10,'S3'!$1:$1311,2,False),0)</f>
        <v>78</v>
      </c>
      <c r="S10" s="214"/>
      <c r="T10" s="215">
        <v>11.0</v>
      </c>
      <c r="U10" s="215">
        <v>21.0</v>
      </c>
      <c r="V10" s="215">
        <v>44.0</v>
      </c>
      <c r="W10" s="215"/>
      <c r="X10" s="216">
        <v>92.0</v>
      </c>
      <c r="Y10" s="215"/>
      <c r="Z10" s="224"/>
      <c r="AA10" s="218">
        <v>52.0</v>
      </c>
      <c r="AB10" s="219">
        <v>88.0</v>
      </c>
      <c r="AC10" s="129">
        <v>83.0</v>
      </c>
      <c r="AD10" s="129">
        <v>100.0</v>
      </c>
      <c r="AE10" s="130">
        <v>70.0</v>
      </c>
      <c r="AF10" s="129"/>
      <c r="AG10" s="129">
        <v>28.0</v>
      </c>
      <c r="AH10" s="129"/>
      <c r="AI10" s="131"/>
      <c r="AJ10" s="131"/>
      <c r="AK10" s="132">
        <f t="shared" si="1"/>
        <v>4</v>
      </c>
      <c r="AL10" s="132">
        <f t="shared" si="2"/>
        <v>2</v>
      </c>
      <c r="AM10" s="133">
        <f t="shared" si="3"/>
        <v>2</v>
      </c>
      <c r="AN10" s="132" t="str">
        <f t="shared" si="4"/>
        <v>3.5</v>
      </c>
      <c r="AO10" s="132">
        <f t="shared" si="5"/>
        <v>3</v>
      </c>
      <c r="AP10" s="88"/>
    </row>
    <row r="11">
      <c r="A11" s="142">
        <v>7.0</v>
      </c>
      <c r="B11" s="220" t="s">
        <v>1363</v>
      </c>
      <c r="C11" s="221" t="s">
        <v>3424</v>
      </c>
      <c r="D11" s="209" t="str">
        <f>VLOOKUP(B11,USN!$1:$1088,2,False)</f>
        <v>1CR23IS007</v>
      </c>
      <c r="E11" s="222">
        <v>9.631886999E9</v>
      </c>
      <c r="F11" s="222" t="s">
        <v>3706</v>
      </c>
      <c r="G11" s="88"/>
      <c r="H11" s="223">
        <v>75.0</v>
      </c>
      <c r="I11" s="211">
        <v>86.0</v>
      </c>
      <c r="J11" s="211">
        <f>VLOOKUP(D11,'L3'!$1:$2060,2,False)</f>
        <v>70</v>
      </c>
      <c r="K11" s="211">
        <f>VLOOKUP(D11,'L4'!$1:$2059,2,False)</f>
        <v>70</v>
      </c>
      <c r="L11" s="212">
        <f>VLOOKUP(D11,'A1 RETEST 5 DEC'!$1:$2096,2,FALSE)</f>
        <v>50</v>
      </c>
      <c r="M11" s="213">
        <f>VLOOKUP(D11,'A2 RETEST 4 DEC'!$1:$2096,2,False)</f>
        <v>50</v>
      </c>
      <c r="N11" s="213">
        <v>58.0</v>
      </c>
      <c r="O11" s="212"/>
      <c r="P11" s="214">
        <f>IFNA(VLOOKUP(D11,'S1'!$1:$2000,2,False),0)</f>
        <v>50</v>
      </c>
      <c r="Q11" s="214">
        <f>vlookup(D11,'S2'!A7:B1209,2,0)</f>
        <v>50</v>
      </c>
      <c r="R11" s="214">
        <f>ifna(vlookup(D11,'S3'!$1:$1311,2,False),0)</f>
        <v>50</v>
      </c>
      <c r="S11" s="214"/>
      <c r="T11" s="215">
        <v>22.0</v>
      </c>
      <c r="U11" s="215">
        <v>24.0</v>
      </c>
      <c r="V11" s="215">
        <v>46.0</v>
      </c>
      <c r="W11" s="215">
        <v>50.0</v>
      </c>
      <c r="X11" s="216">
        <v>84.0</v>
      </c>
      <c r="Y11" s="215"/>
      <c r="Z11" s="224"/>
      <c r="AA11" s="218">
        <v>100.0</v>
      </c>
      <c r="AB11" s="219">
        <v>99.0</v>
      </c>
      <c r="AC11" s="129">
        <v>77.0</v>
      </c>
      <c r="AD11" s="129">
        <v>69.0</v>
      </c>
      <c r="AE11" s="130">
        <v>70.0</v>
      </c>
      <c r="AF11" s="129"/>
      <c r="AG11" s="129">
        <v>45.0</v>
      </c>
      <c r="AH11" s="129"/>
      <c r="AI11" s="131"/>
      <c r="AJ11" s="131"/>
      <c r="AK11" s="132">
        <f t="shared" si="1"/>
        <v>4</v>
      </c>
      <c r="AL11" s="132">
        <f t="shared" si="2"/>
        <v>3</v>
      </c>
      <c r="AM11" s="133">
        <f t="shared" si="3"/>
        <v>3</v>
      </c>
      <c r="AN11" s="132" t="str">
        <f t="shared" si="4"/>
        <v>3.5</v>
      </c>
      <c r="AO11" s="132">
        <f t="shared" si="5"/>
        <v>3</v>
      </c>
      <c r="AP11" s="88"/>
    </row>
    <row r="12">
      <c r="A12" s="142">
        <v>8.0</v>
      </c>
      <c r="B12" s="220" t="s">
        <v>1364</v>
      </c>
      <c r="C12" s="221" t="s">
        <v>3425</v>
      </c>
      <c r="D12" s="209" t="str">
        <f>VLOOKUP(B12,USN!$1:$1088,2,False)</f>
        <v>1CR23IS008</v>
      </c>
      <c r="E12" s="222">
        <v>9.148868051E9</v>
      </c>
      <c r="F12" s="222" t="s">
        <v>3706</v>
      </c>
      <c r="G12" s="88"/>
      <c r="H12" s="223">
        <v>79.0</v>
      </c>
      <c r="I12" s="211">
        <v>88.0</v>
      </c>
      <c r="J12" s="211">
        <f>VLOOKUP(D12,'L3'!$1:$2060,2,False)</f>
        <v>70</v>
      </c>
      <c r="K12" s="211">
        <f>VLOOKUP(D12,'L4'!$1:$2059,2,False)</f>
        <v>70</v>
      </c>
      <c r="L12" s="212">
        <f>VLOOKUP(D12,'A1 RETEST 5 DEC'!$1:$2096,2,FALSE)</f>
        <v>50</v>
      </c>
      <c r="M12" s="213">
        <f>VLOOKUP(D12,'A2 RETEST 4 DEC'!$1:$2096,2,False)</f>
        <v>50</v>
      </c>
      <c r="N12" s="213">
        <v>52.0</v>
      </c>
      <c r="O12" s="212"/>
      <c r="P12" s="214">
        <f>IFNA(VLOOKUP(D12,'S1'!$1:$2000,2,False),0)</f>
        <v>80</v>
      </c>
      <c r="Q12" s="214">
        <f>vlookup(D12,'S2'!A8:B1210,2,0)</f>
        <v>50</v>
      </c>
      <c r="R12" s="214">
        <f>ifna(vlookup(D12,'S3'!$1:$1311,2,False),0)</f>
        <v>87</v>
      </c>
      <c r="S12" s="214"/>
      <c r="T12" s="215">
        <v>12.0</v>
      </c>
      <c r="U12" s="215">
        <v>11.0</v>
      </c>
      <c r="V12" s="215"/>
      <c r="W12" s="215">
        <v>68.0</v>
      </c>
      <c r="X12" s="216">
        <v>68.0</v>
      </c>
      <c r="Y12" s="215"/>
      <c r="Z12" s="217"/>
      <c r="AA12" s="218">
        <v>100.0</v>
      </c>
      <c r="AB12" s="219">
        <v>100.0</v>
      </c>
      <c r="AC12" s="129">
        <v>77.0</v>
      </c>
      <c r="AD12" s="129">
        <v>64.0</v>
      </c>
      <c r="AE12" s="130">
        <v>70.0</v>
      </c>
      <c r="AF12" s="129"/>
      <c r="AG12" s="129">
        <v>47.0</v>
      </c>
      <c r="AH12" s="129"/>
      <c r="AI12" s="131"/>
      <c r="AJ12" s="131"/>
      <c r="AK12" s="132">
        <f t="shared" si="1"/>
        <v>4</v>
      </c>
      <c r="AL12" s="132">
        <f t="shared" si="2"/>
        <v>3</v>
      </c>
      <c r="AM12" s="133">
        <f t="shared" si="3"/>
        <v>3</v>
      </c>
      <c r="AN12" s="132" t="str">
        <f t="shared" si="4"/>
        <v>3.5</v>
      </c>
      <c r="AO12" s="132">
        <f t="shared" si="5"/>
        <v>3</v>
      </c>
      <c r="AP12" s="88"/>
    </row>
    <row r="13">
      <c r="A13" s="142">
        <v>9.0</v>
      </c>
      <c r="B13" s="220" t="s">
        <v>1365</v>
      </c>
      <c r="C13" s="221" t="s">
        <v>3426</v>
      </c>
      <c r="D13" s="209" t="str">
        <f>VLOOKUP(B13,USN!$1:$1088,2,False)</f>
        <v>1CR23IS009</v>
      </c>
      <c r="E13" s="222">
        <v>7.488695488E9</v>
      </c>
      <c r="F13" s="222" t="s">
        <v>3706</v>
      </c>
      <c r="G13" s="88"/>
      <c r="H13" s="223">
        <v>83.0</v>
      </c>
      <c r="I13" s="211">
        <v>84.0</v>
      </c>
      <c r="J13" s="211">
        <f>VLOOKUP(D13,'L3'!$1:$2060,2,False)</f>
        <v>70</v>
      </c>
      <c r="K13" s="211">
        <f>VLOOKUP(D13,'L4'!$1:$2059,2,False)</f>
        <v>70</v>
      </c>
      <c r="L13" s="212">
        <f>VLOOKUP(D13,'A1 RETEST 5 DEC'!$1:$2096,2,FALSE)</f>
        <v>50</v>
      </c>
      <c r="M13" s="213">
        <f>VLOOKUP(D13,'A2 RETEST 4 DEC'!$1:$2096,2,False)</f>
        <v>24</v>
      </c>
      <c r="N13" s="213">
        <v>50.0</v>
      </c>
      <c r="O13" s="212"/>
      <c r="P13" s="214">
        <f>IFNA(VLOOKUP(D13,'S1'!$1:$2000,2,False),0)</f>
        <v>81</v>
      </c>
      <c r="Q13" s="214">
        <f>vlookup(D13,'S2'!A9:B1211,2,0)</f>
        <v>50</v>
      </c>
      <c r="R13" s="214">
        <f>ifna(vlookup(D13,'S3'!$1:$1311,2,False),0)</f>
        <v>83</v>
      </c>
      <c r="S13" s="214"/>
      <c r="T13" s="215">
        <v>13.0</v>
      </c>
      <c r="U13" s="215">
        <v>13.0</v>
      </c>
      <c r="V13" s="215"/>
      <c r="W13" s="215">
        <v>60.0</v>
      </c>
      <c r="X13" s="216">
        <v>84.0</v>
      </c>
      <c r="Y13" s="215"/>
      <c r="Z13" s="224"/>
      <c r="AA13" s="218">
        <v>100.0</v>
      </c>
      <c r="AB13" s="219">
        <v>100.0</v>
      </c>
      <c r="AC13" s="129">
        <v>77.0</v>
      </c>
      <c r="AD13" s="129">
        <v>64.0</v>
      </c>
      <c r="AE13" s="130">
        <v>78.0</v>
      </c>
      <c r="AF13" s="129"/>
      <c r="AG13" s="129">
        <v>29.0</v>
      </c>
      <c r="AH13" s="129"/>
      <c r="AI13" s="131"/>
      <c r="AJ13" s="131"/>
      <c r="AK13" s="132">
        <f t="shared" si="1"/>
        <v>4</v>
      </c>
      <c r="AL13" s="132">
        <f t="shared" si="2"/>
        <v>1</v>
      </c>
      <c r="AM13" s="133">
        <f t="shared" si="3"/>
        <v>3</v>
      </c>
      <c r="AN13" s="132" t="str">
        <f t="shared" si="4"/>
        <v>3.5</v>
      </c>
      <c r="AO13" s="132">
        <f t="shared" si="5"/>
        <v>3</v>
      </c>
      <c r="AP13" s="88"/>
    </row>
    <row r="14">
      <c r="A14" s="142">
        <v>10.0</v>
      </c>
      <c r="B14" s="220" t="s">
        <v>1397</v>
      </c>
      <c r="C14" s="221" t="s">
        <v>3427</v>
      </c>
      <c r="D14" s="209" t="str">
        <f>VLOOKUP(B14,USN!$1:$1088,2,False)</f>
        <v>1CR23IS010</v>
      </c>
      <c r="E14" s="226">
        <v>9.113857044E9</v>
      </c>
      <c r="F14" s="222" t="s">
        <v>3706</v>
      </c>
      <c r="G14" s="88"/>
      <c r="H14" s="223">
        <v>72.0</v>
      </c>
      <c r="I14" s="211">
        <v>92.0</v>
      </c>
      <c r="J14" s="211">
        <f>VLOOKUP(D14,'L3'!$1:$2060,2,False)</f>
        <v>70</v>
      </c>
      <c r="K14" s="211">
        <f>VLOOKUP(D14,'L4'!$1:$2059,2,False)</f>
        <v>73</v>
      </c>
      <c r="L14" s="212">
        <f>VLOOKUP(D14,'A1 RETEST 5 DEC'!$1:$2096,2,FALSE)</f>
        <v>50</v>
      </c>
      <c r="M14" s="213">
        <f>VLOOKUP(D14,'A2 RETEST 4 DEC'!$1:$2096,2,False)</f>
        <v>22</v>
      </c>
      <c r="N14" s="213">
        <v>55.0</v>
      </c>
      <c r="O14" s="212"/>
      <c r="P14" s="214">
        <f>IFNA(VLOOKUP(D14,'S1'!$1:$2000,2,False),0)</f>
        <v>91</v>
      </c>
      <c r="Q14" s="214">
        <f>vlookup(D14,'S2'!A10:B1212,2,0)</f>
        <v>55</v>
      </c>
      <c r="R14" s="214">
        <f>ifna(vlookup(D14,'S3'!$1:$1311,2,False),0)</f>
        <v>50</v>
      </c>
      <c r="S14" s="214"/>
      <c r="T14" s="215">
        <v>11.0</v>
      </c>
      <c r="U14" s="215">
        <v>24.0</v>
      </c>
      <c r="V14" s="215">
        <v>42.0</v>
      </c>
      <c r="W14" s="215">
        <v>56.0</v>
      </c>
      <c r="X14" s="216">
        <v>64.0</v>
      </c>
      <c r="Y14" s="215"/>
      <c r="Z14" s="224"/>
      <c r="AA14" s="218">
        <v>84.0</v>
      </c>
      <c r="AB14" s="219">
        <v>100.0</v>
      </c>
      <c r="AC14" s="129">
        <v>66.0</v>
      </c>
      <c r="AD14" s="129">
        <v>83.0</v>
      </c>
      <c r="AE14" s="130">
        <v>70.0</v>
      </c>
      <c r="AF14" s="129"/>
      <c r="AG14" s="129">
        <v>45.0</v>
      </c>
      <c r="AH14" s="129"/>
      <c r="AI14" s="131"/>
      <c r="AJ14" s="131"/>
      <c r="AK14" s="132">
        <f t="shared" si="1"/>
        <v>4</v>
      </c>
      <c r="AL14" s="132">
        <f t="shared" si="2"/>
        <v>1</v>
      </c>
      <c r="AM14" s="133">
        <f t="shared" si="3"/>
        <v>3</v>
      </c>
      <c r="AN14" s="132" t="str">
        <f t="shared" si="4"/>
        <v>3.5</v>
      </c>
      <c r="AO14" s="132">
        <f t="shared" si="5"/>
        <v>3</v>
      </c>
      <c r="AP14" s="88"/>
    </row>
    <row r="15">
      <c r="A15" s="142">
        <v>11.0</v>
      </c>
      <c r="B15" s="220" t="s">
        <v>1406</v>
      </c>
      <c r="C15" s="221" t="s">
        <v>3428</v>
      </c>
      <c r="D15" s="209" t="str">
        <f>VLOOKUP(B15,USN!$1:$1088,2,False)</f>
        <v>1CR23IS011</v>
      </c>
      <c r="E15" s="227">
        <v>7.975790986E9</v>
      </c>
      <c r="F15" s="222" t="s">
        <v>3706</v>
      </c>
      <c r="G15" s="88"/>
      <c r="H15" s="223">
        <v>87.0</v>
      </c>
      <c r="I15" s="211">
        <v>91.0</v>
      </c>
      <c r="J15" s="211">
        <f>VLOOKUP(D15,'L3'!$1:$2060,2,False)</f>
        <v>70</v>
      </c>
      <c r="K15" s="211">
        <f>VLOOKUP(D15,'L4'!$1:$2059,2,False)</f>
        <v>73</v>
      </c>
      <c r="L15" s="212">
        <f>VLOOKUP(D15,'A1 RETEST 5 DEC'!$1:$2096,2,FALSE)</f>
        <v>50</v>
      </c>
      <c r="M15" s="213">
        <f>VLOOKUP(D15,'A2 RETEST 4 DEC'!$1:$2096,2,False)</f>
        <v>44</v>
      </c>
      <c r="N15" s="213">
        <v>50.0</v>
      </c>
      <c r="O15" s="212"/>
      <c r="P15" s="214">
        <f>IFNA(VLOOKUP(D15,'S1'!$1:$2000,2,False),0)</f>
        <v>79</v>
      </c>
      <c r="Q15" s="214">
        <f>vlookup(D15,'S2'!A11:B1213,2,0)</f>
        <v>81</v>
      </c>
      <c r="R15" s="214">
        <f>ifna(vlookup(D15,'S3'!$1:$1311,2,False),0)</f>
        <v>50</v>
      </c>
      <c r="S15" s="214"/>
      <c r="T15" s="215">
        <v>20.0</v>
      </c>
      <c r="U15" s="215">
        <v>23.0</v>
      </c>
      <c r="V15" s="215">
        <v>34.0</v>
      </c>
      <c r="W15" s="215">
        <v>68.0</v>
      </c>
      <c r="X15" s="216">
        <v>60.0</v>
      </c>
      <c r="Y15" s="215"/>
      <c r="Z15" s="224"/>
      <c r="AA15" s="218">
        <v>88.0</v>
      </c>
      <c r="AB15" s="219">
        <v>97.0</v>
      </c>
      <c r="AC15" s="129">
        <v>69.0</v>
      </c>
      <c r="AD15" s="129">
        <v>85.0</v>
      </c>
      <c r="AE15" s="130">
        <v>75.0</v>
      </c>
      <c r="AF15" s="129"/>
      <c r="AG15" s="129">
        <v>78.0</v>
      </c>
      <c r="AH15" s="129"/>
      <c r="AI15" s="131"/>
      <c r="AJ15" s="131"/>
      <c r="AK15" s="132">
        <f t="shared" si="1"/>
        <v>4</v>
      </c>
      <c r="AL15" s="132">
        <f t="shared" si="2"/>
        <v>1</v>
      </c>
      <c r="AM15" s="133">
        <f t="shared" si="3"/>
        <v>3</v>
      </c>
      <c r="AN15" s="132" t="str">
        <f t="shared" si="4"/>
        <v>3.5</v>
      </c>
      <c r="AO15" s="132">
        <f t="shared" si="5"/>
        <v>3</v>
      </c>
      <c r="AP15" s="88"/>
    </row>
    <row r="16">
      <c r="A16" s="142">
        <v>12.0</v>
      </c>
      <c r="B16" s="220" t="s">
        <v>1366</v>
      </c>
      <c r="C16" s="221" t="s">
        <v>3429</v>
      </c>
      <c r="D16" s="209" t="str">
        <f>VLOOKUP(B16,USN!$1:$1088,2,False)</f>
        <v>1CR23IS012</v>
      </c>
      <c r="E16" s="222">
        <v>9.5324104E9</v>
      </c>
      <c r="F16" s="222" t="s">
        <v>3706</v>
      </c>
      <c r="G16" s="88"/>
      <c r="H16" s="223">
        <v>81.0</v>
      </c>
      <c r="I16" s="211">
        <v>79.0</v>
      </c>
      <c r="J16" s="211">
        <f>VLOOKUP(D16,'L3'!$1:$2060,2,False)</f>
        <v>70</v>
      </c>
      <c r="K16" s="211">
        <f>VLOOKUP(D16,'L4'!$1:$2059,2,False)</f>
        <v>70</v>
      </c>
      <c r="L16" s="212">
        <f>VLOOKUP(D16,'A1 RETEST 5 DEC'!$1:$2096,2,FALSE)</f>
        <v>50</v>
      </c>
      <c r="M16" s="213">
        <f>VLOOKUP(D16,'A2 RETEST 4 DEC'!$1:$2096,2,False)</f>
        <v>57</v>
      </c>
      <c r="N16" s="213">
        <v>50.0</v>
      </c>
      <c r="O16" s="212"/>
      <c r="P16" s="214">
        <f>IFNA(VLOOKUP(D16,'S1'!$1:$2000,2,False),0)</f>
        <v>79</v>
      </c>
      <c r="Q16" s="214">
        <f>vlookup(D16,'S2'!A12:B1214,2,0)</f>
        <v>50</v>
      </c>
      <c r="R16" s="214">
        <f>ifna(vlookup(D16,'S3'!$1:$1311,2,False),0)</f>
        <v>50</v>
      </c>
      <c r="S16" s="214"/>
      <c r="T16" s="215">
        <v>17.0</v>
      </c>
      <c r="U16" s="215">
        <v>22.0</v>
      </c>
      <c r="V16" s="215">
        <v>46.0</v>
      </c>
      <c r="W16" s="215">
        <v>52.0</v>
      </c>
      <c r="X16" s="216">
        <v>72.0</v>
      </c>
      <c r="Y16" s="215"/>
      <c r="Z16" s="224"/>
      <c r="AA16" s="218">
        <v>100.0</v>
      </c>
      <c r="AB16" s="219">
        <v>100.0</v>
      </c>
      <c r="AC16" s="129">
        <v>69.0</v>
      </c>
      <c r="AD16" s="129">
        <v>79.0</v>
      </c>
      <c r="AE16" s="130">
        <v>70.0</v>
      </c>
      <c r="AF16" s="129"/>
      <c r="AG16" s="129">
        <v>44.0</v>
      </c>
      <c r="AH16" s="129"/>
      <c r="AI16" s="131"/>
      <c r="AJ16" s="131"/>
      <c r="AK16" s="132">
        <f t="shared" si="1"/>
        <v>4</v>
      </c>
      <c r="AL16" s="132">
        <f t="shared" si="2"/>
        <v>3</v>
      </c>
      <c r="AM16" s="133">
        <f t="shared" si="3"/>
        <v>3</v>
      </c>
      <c r="AN16" s="132" t="str">
        <f t="shared" si="4"/>
        <v>3.5</v>
      </c>
      <c r="AO16" s="132">
        <f t="shared" si="5"/>
        <v>3</v>
      </c>
      <c r="AP16" s="88"/>
    </row>
    <row r="17">
      <c r="A17" s="142">
        <v>13.0</v>
      </c>
      <c r="B17" s="220" t="s">
        <v>1367</v>
      </c>
      <c r="C17" s="221" t="s">
        <v>3430</v>
      </c>
      <c r="D17" s="209" t="str">
        <f>VLOOKUP(B17,USN!$1:$1088,2,False)</f>
        <v>1CR23IS013</v>
      </c>
      <c r="E17" s="222">
        <v>9.122791845E9</v>
      </c>
      <c r="F17" s="222" t="s">
        <v>3706</v>
      </c>
      <c r="G17" s="88"/>
      <c r="H17" s="223">
        <v>83.0</v>
      </c>
      <c r="I17" s="211">
        <v>75.0</v>
      </c>
      <c r="J17" s="211">
        <f>VLOOKUP(D17,'L3'!$1:$2060,2,False)</f>
        <v>70</v>
      </c>
      <c r="K17" s="211">
        <f>VLOOKUP(D17,'L4'!$1:$2059,2,False)</f>
        <v>75</v>
      </c>
      <c r="L17" s="212">
        <f>VLOOKUP(D17,'A1 RETEST 5 DEC'!$1:$2096,2,FALSE)</f>
        <v>50</v>
      </c>
      <c r="M17" s="213">
        <f>VLOOKUP(D17,'A2 RETEST 4 DEC'!$1:$2096,2,False)</f>
        <v>20</v>
      </c>
      <c r="N17" s="213">
        <v>32.0</v>
      </c>
      <c r="O17" s="212"/>
      <c r="P17" s="214">
        <f>IFNA(VLOOKUP(D17,'S1'!$1:$2000,2,False),0)</f>
        <v>77</v>
      </c>
      <c r="Q17" s="214">
        <f>vlookup(D17,'S2'!A13:B1215,2,0)</f>
        <v>70</v>
      </c>
      <c r="R17" s="214">
        <f>ifna(vlookup(D17,'S3'!$1:$1311,2,False),0)</f>
        <v>76</v>
      </c>
      <c r="S17" s="214"/>
      <c r="T17" s="215">
        <v>11.0</v>
      </c>
      <c r="U17" s="215" t="s">
        <v>2477</v>
      </c>
      <c r="V17" s="215">
        <v>44.0</v>
      </c>
      <c r="W17" s="215">
        <v>36.0</v>
      </c>
      <c r="X17" s="216">
        <v>28.0</v>
      </c>
      <c r="Y17" s="215"/>
      <c r="Z17" s="224"/>
      <c r="AA17" s="218">
        <v>64.0</v>
      </c>
      <c r="AB17" s="219">
        <v>72.0</v>
      </c>
      <c r="AC17" s="129">
        <v>25.0</v>
      </c>
      <c r="AD17" s="129">
        <v>75.0</v>
      </c>
      <c r="AE17" s="130">
        <v>17.0</v>
      </c>
      <c r="AF17" s="129"/>
      <c r="AG17" s="129">
        <v>64.0</v>
      </c>
      <c r="AH17" s="129"/>
      <c r="AI17" s="131"/>
      <c r="AJ17" s="131"/>
      <c r="AK17" s="132">
        <f t="shared" si="1"/>
        <v>4</v>
      </c>
      <c r="AL17" s="132">
        <f t="shared" si="2"/>
        <v>1</v>
      </c>
      <c r="AM17" s="133">
        <f t="shared" si="3"/>
        <v>2</v>
      </c>
      <c r="AN17" s="132" t="str">
        <f t="shared" si="4"/>
        <v>3</v>
      </c>
      <c r="AO17" s="132">
        <f t="shared" si="5"/>
        <v>3</v>
      </c>
      <c r="AP17" s="88"/>
    </row>
    <row r="18">
      <c r="A18" s="142">
        <v>14.0</v>
      </c>
      <c r="B18" s="220" t="s">
        <v>1368</v>
      </c>
      <c r="C18" s="221" t="s">
        <v>3431</v>
      </c>
      <c r="D18" s="209" t="str">
        <f>VLOOKUP(B18,USN!$1:$1088,2,False)</f>
        <v>1CR23IS014</v>
      </c>
      <c r="E18" s="222">
        <v>9.845961023E9</v>
      </c>
      <c r="F18" s="222" t="s">
        <v>3706</v>
      </c>
      <c r="G18" s="88"/>
      <c r="H18" s="223">
        <v>85.0</v>
      </c>
      <c r="I18" s="211">
        <v>97.0</v>
      </c>
      <c r="J18" s="211">
        <f>VLOOKUP(D18,'L3'!$1:$2060,2,False)</f>
        <v>88</v>
      </c>
      <c r="K18" s="211">
        <f>VLOOKUP(D18,'L4'!$1:$2059,2,False)</f>
        <v>73</v>
      </c>
      <c r="L18" s="212">
        <f>VLOOKUP(D18,'A1 RETEST 5 DEC'!$1:$2096,2,FALSE)</f>
        <v>52</v>
      </c>
      <c r="M18" s="213">
        <f>VLOOKUP(D18,'A2 RETEST 4 DEC'!$1:$2096,2,False)</f>
        <v>50</v>
      </c>
      <c r="N18" s="213">
        <v>55.0</v>
      </c>
      <c r="O18" s="212"/>
      <c r="P18" s="214">
        <f>IFNA(VLOOKUP(D18,'S1'!$1:$2000,2,False),0)</f>
        <v>80</v>
      </c>
      <c r="Q18" s="214">
        <f>vlookup(D18,'S2'!A14:B1216,2,0)</f>
        <v>84</v>
      </c>
      <c r="R18" s="214">
        <f>ifna(vlookup(D18,'S3'!$1:$1311,2,False),0)</f>
        <v>93</v>
      </c>
      <c r="S18" s="214"/>
      <c r="T18" s="215">
        <v>13.0</v>
      </c>
      <c r="U18" s="215">
        <v>14.0</v>
      </c>
      <c r="V18" s="215">
        <v>42.0</v>
      </c>
      <c r="W18" s="215">
        <v>44.0</v>
      </c>
      <c r="X18" s="216">
        <v>80.0</v>
      </c>
      <c r="Y18" s="215"/>
      <c r="Z18" s="217"/>
      <c r="AA18" s="218">
        <v>92.0</v>
      </c>
      <c r="AB18" s="219">
        <v>97.0</v>
      </c>
      <c r="AC18" s="129">
        <v>63.0</v>
      </c>
      <c r="AD18" s="129">
        <v>34.0</v>
      </c>
      <c r="AE18" s="129">
        <v>70.0</v>
      </c>
      <c r="AF18" s="129"/>
      <c r="AG18" s="129">
        <v>70.0</v>
      </c>
      <c r="AH18" s="129"/>
      <c r="AI18" s="131"/>
      <c r="AJ18" s="131"/>
      <c r="AK18" s="132">
        <f t="shared" si="1"/>
        <v>4</v>
      </c>
      <c r="AL18" s="132">
        <f t="shared" si="2"/>
        <v>3</v>
      </c>
      <c r="AM18" s="133">
        <f t="shared" si="3"/>
        <v>2</v>
      </c>
      <c r="AN18" s="132" t="str">
        <f t="shared" si="4"/>
        <v>3.5</v>
      </c>
      <c r="AO18" s="132">
        <f t="shared" si="5"/>
        <v>3</v>
      </c>
      <c r="AP18" s="88"/>
    </row>
    <row r="19">
      <c r="A19" s="142">
        <v>15.0</v>
      </c>
      <c r="B19" s="220" t="s">
        <v>1369</v>
      </c>
      <c r="C19" s="221" t="s">
        <v>3432</v>
      </c>
      <c r="D19" s="209" t="str">
        <f>VLOOKUP(B19,USN!$1:$1088,2,False)</f>
        <v>1CR23IS015</v>
      </c>
      <c r="E19" s="222">
        <v>8.105722737E9</v>
      </c>
      <c r="F19" s="222" t="s">
        <v>3706</v>
      </c>
      <c r="G19" s="228"/>
      <c r="H19" s="223">
        <v>75.0</v>
      </c>
      <c r="I19" s="211">
        <v>86.0</v>
      </c>
      <c r="J19" s="211">
        <f>VLOOKUP(D19,'L3'!$1:$2060,2,False)</f>
        <v>70</v>
      </c>
      <c r="K19" s="211">
        <f>VLOOKUP(D19,'L4'!$1:$2059,2,False)</f>
        <v>72</v>
      </c>
      <c r="L19" s="212">
        <f>VLOOKUP(D19,'A1 RETEST 5 DEC'!$1:$2096,2,FALSE)</f>
        <v>50</v>
      </c>
      <c r="M19" s="213">
        <f>VLOOKUP(D19,'A2 RETEST 4 DEC'!$1:$2096,2,False)</f>
        <v>50</v>
      </c>
      <c r="N19" s="213">
        <v>47.0</v>
      </c>
      <c r="O19" s="212"/>
      <c r="P19" s="214">
        <f>IFNA(VLOOKUP(D19,'S1'!$1:$2000,2,False),0)</f>
        <v>80</v>
      </c>
      <c r="Q19" s="214">
        <f>vlookup(D19,'S2'!A15:B1217,2,0)</f>
        <v>55</v>
      </c>
      <c r="R19" s="214">
        <f>ifna(vlookup(D19,'S3'!$1:$1311,2,False),0)</f>
        <v>50</v>
      </c>
      <c r="S19" s="214"/>
      <c r="T19" s="215">
        <v>19.0</v>
      </c>
      <c r="U19" s="215">
        <v>24.0</v>
      </c>
      <c r="V19" s="215">
        <v>48.0</v>
      </c>
      <c r="W19" s="215">
        <v>48.0</v>
      </c>
      <c r="X19" s="216">
        <v>80.0</v>
      </c>
      <c r="Y19" s="215"/>
      <c r="Z19" s="224"/>
      <c r="AA19" s="218">
        <v>100.0</v>
      </c>
      <c r="AB19" s="219">
        <v>97.0</v>
      </c>
      <c r="AC19" s="129">
        <v>47.0</v>
      </c>
      <c r="AD19" s="129">
        <v>44.0</v>
      </c>
      <c r="AE19" s="130">
        <v>24.0</v>
      </c>
      <c r="AF19" s="129"/>
      <c r="AG19" s="129">
        <v>46.0</v>
      </c>
      <c r="AH19" s="129"/>
      <c r="AI19" s="131"/>
      <c r="AJ19" s="131"/>
      <c r="AK19" s="132">
        <f t="shared" si="1"/>
        <v>4</v>
      </c>
      <c r="AL19" s="132">
        <f t="shared" si="2"/>
        <v>2</v>
      </c>
      <c r="AM19" s="133">
        <f t="shared" si="3"/>
        <v>2</v>
      </c>
      <c r="AN19" s="132" t="str">
        <f t="shared" si="4"/>
        <v>2</v>
      </c>
      <c r="AO19" s="132">
        <f t="shared" si="5"/>
        <v>3</v>
      </c>
      <c r="AP19" s="88"/>
    </row>
    <row r="20">
      <c r="A20" s="142">
        <v>16.0</v>
      </c>
      <c r="B20" s="220" t="s">
        <v>1370</v>
      </c>
      <c r="C20" s="221" t="s">
        <v>3433</v>
      </c>
      <c r="D20" s="209" t="str">
        <f>VLOOKUP(B20,USN!$1:$1088,2,False)</f>
        <v>1CR23IS016</v>
      </c>
      <c r="E20" s="222">
        <v>6.364353888E9</v>
      </c>
      <c r="F20" s="222" t="s">
        <v>3706</v>
      </c>
      <c r="G20" s="228"/>
      <c r="H20" s="223">
        <v>85.0</v>
      </c>
      <c r="I20" s="211">
        <v>96.0</v>
      </c>
      <c r="J20" s="211">
        <f>VLOOKUP(D20,'L3'!$1:$2060,2,False)</f>
        <v>77</v>
      </c>
      <c r="K20" s="211">
        <f>VLOOKUP(D20,'L4'!$1:$2059,2,False)</f>
        <v>74</v>
      </c>
      <c r="L20" s="212">
        <f>VLOOKUP(D20,'A1 RETEST 5 DEC'!$1:$2096,2,FALSE)</f>
        <v>44</v>
      </c>
      <c r="M20" s="213">
        <f>VLOOKUP(D20,'A2 RETEST 4 DEC'!$1:$2096,2,False)</f>
        <v>33</v>
      </c>
      <c r="N20" s="213">
        <v>22.0</v>
      </c>
      <c r="O20" s="212"/>
      <c r="P20" s="214">
        <f>IFNA(VLOOKUP(D20,'S1'!$1:$2000,2,False),0)</f>
        <v>93</v>
      </c>
      <c r="Q20" s="214">
        <f>vlookup(D20,'S2'!A16:B1218,2,0)</f>
        <v>70</v>
      </c>
      <c r="R20" s="214">
        <f>ifna(vlookup(D20,'S3'!$1:$1311,2,False),0)</f>
        <v>84</v>
      </c>
      <c r="S20" s="214"/>
      <c r="T20" s="215">
        <v>14.0</v>
      </c>
      <c r="U20" s="215">
        <v>17.0</v>
      </c>
      <c r="V20" s="215">
        <v>44.0</v>
      </c>
      <c r="W20" s="215">
        <v>44.0</v>
      </c>
      <c r="X20" s="216">
        <v>0.0</v>
      </c>
      <c r="Y20" s="215"/>
      <c r="Z20" s="224"/>
      <c r="AA20" s="218">
        <v>100.0</v>
      </c>
      <c r="AB20" s="219">
        <v>100.0</v>
      </c>
      <c r="AC20" s="129">
        <v>27.0</v>
      </c>
      <c r="AD20" s="129">
        <v>60.0</v>
      </c>
      <c r="AE20" s="130">
        <v>41.0</v>
      </c>
      <c r="AF20" s="129"/>
      <c r="AG20" s="129">
        <v>74.0</v>
      </c>
      <c r="AH20" s="129"/>
      <c r="AI20" s="131"/>
      <c r="AJ20" s="131"/>
      <c r="AK20" s="132">
        <f t="shared" si="1"/>
        <v>4</v>
      </c>
      <c r="AL20" s="132">
        <f t="shared" si="2"/>
        <v>0</v>
      </c>
      <c r="AM20" s="133">
        <f t="shared" si="3"/>
        <v>2</v>
      </c>
      <c r="AN20" s="132" t="str">
        <f t="shared" si="4"/>
        <v>3</v>
      </c>
      <c r="AO20" s="132">
        <f t="shared" si="5"/>
        <v>3</v>
      </c>
      <c r="AP20" s="88"/>
    </row>
    <row r="21">
      <c r="A21" s="142">
        <v>17.0</v>
      </c>
      <c r="B21" s="220" t="s">
        <v>1416</v>
      </c>
      <c r="C21" s="221" t="s">
        <v>3434</v>
      </c>
      <c r="D21" s="209" t="str">
        <f>VLOOKUP(B21,USN!$1:$1088,2,False)</f>
        <v>1CR23IS017</v>
      </c>
      <c r="E21" s="227">
        <v>8.073959737E9</v>
      </c>
      <c r="F21" s="222" t="s">
        <v>3706</v>
      </c>
      <c r="G21" s="88"/>
      <c r="H21" s="223">
        <v>86.0</v>
      </c>
      <c r="I21" s="211">
        <v>90.0</v>
      </c>
      <c r="J21" s="211">
        <f>VLOOKUP(D21,'L3'!$1:$2060,2,False)</f>
        <v>70</v>
      </c>
      <c r="K21" s="211">
        <f>VLOOKUP(D21,'L4'!$1:$2059,2,False)</f>
        <v>77</v>
      </c>
      <c r="L21" s="212">
        <f>VLOOKUP(D21,'A1 RETEST 5 DEC'!$1:$2096,2,FALSE)</f>
        <v>50</v>
      </c>
      <c r="M21" s="213">
        <f>VLOOKUP(D21,'A2 RETEST 4 DEC'!$1:$2096,2,False)</f>
        <v>50</v>
      </c>
      <c r="N21" s="213">
        <v>51.0</v>
      </c>
      <c r="O21" s="212"/>
      <c r="P21" s="214">
        <f>IFNA(VLOOKUP(D21,'S1'!$1:$2000,2,False),0)</f>
        <v>80</v>
      </c>
      <c r="Q21" s="214">
        <f>vlookup(D21,'S2'!A17:B1219,2,0)</f>
        <v>78</v>
      </c>
      <c r="R21" s="214">
        <f>ifna(vlookup(D21,'S3'!$1:$1311,2,False),0)</f>
        <v>63</v>
      </c>
      <c r="S21" s="214"/>
      <c r="T21" s="215">
        <v>12.0</v>
      </c>
      <c r="U21" s="215">
        <v>21.0</v>
      </c>
      <c r="V21" s="215"/>
      <c r="W21" s="215">
        <v>48.0</v>
      </c>
      <c r="X21" s="216">
        <v>84.0</v>
      </c>
      <c r="Y21" s="215"/>
      <c r="Z21" s="224"/>
      <c r="AA21" s="218">
        <v>66.0</v>
      </c>
      <c r="AB21" s="219">
        <v>100.0</v>
      </c>
      <c r="AC21" s="129">
        <v>67.0</v>
      </c>
      <c r="AD21" s="129">
        <v>100.0</v>
      </c>
      <c r="AE21" s="130">
        <v>70.0</v>
      </c>
      <c r="AF21" s="129"/>
      <c r="AG21" s="129">
        <v>79.0</v>
      </c>
      <c r="AH21" s="129"/>
      <c r="AI21" s="88"/>
      <c r="AJ21" s="88"/>
      <c r="AK21" s="132">
        <f t="shared" si="1"/>
        <v>4</v>
      </c>
      <c r="AL21" s="132">
        <f t="shared" si="2"/>
        <v>3</v>
      </c>
      <c r="AM21" s="133">
        <f t="shared" si="3"/>
        <v>2</v>
      </c>
      <c r="AN21" s="132" t="str">
        <f t="shared" si="4"/>
        <v>3.5</v>
      </c>
      <c r="AO21" s="132">
        <f t="shared" si="5"/>
        <v>3</v>
      </c>
      <c r="AP21" s="88"/>
    </row>
    <row r="22">
      <c r="A22" s="142">
        <v>18.0</v>
      </c>
      <c r="B22" s="220" t="s">
        <v>1371</v>
      </c>
      <c r="C22" s="221" t="s">
        <v>3435</v>
      </c>
      <c r="D22" s="209" t="str">
        <f>VLOOKUP(B22,USN!$1:$1088,2,False)</f>
        <v>1CR23IS018</v>
      </c>
      <c r="E22" s="222">
        <v>9.695140116E9</v>
      </c>
      <c r="F22" s="222" t="s">
        <v>3706</v>
      </c>
      <c r="G22" s="88"/>
      <c r="H22" s="223">
        <v>80.0</v>
      </c>
      <c r="I22" s="211">
        <v>84.0</v>
      </c>
      <c r="J22" s="211">
        <f>VLOOKUP(D22,'L3'!$1:$2060,2,False)</f>
        <v>70</v>
      </c>
      <c r="K22" s="211">
        <f>VLOOKUP(D22,'L4'!$1:$2059,2,False)</f>
        <v>70</v>
      </c>
      <c r="L22" s="212">
        <f>VLOOKUP(D22,'A1 RETEST 5 DEC'!$1:$2096,2,FALSE)</f>
        <v>50</v>
      </c>
      <c r="M22" s="213">
        <f>VLOOKUP(D22,'A2 RETEST 4 DEC'!$1:$2096,2,False)</f>
        <v>50</v>
      </c>
      <c r="N22" s="213">
        <v>58.0</v>
      </c>
      <c r="O22" s="212"/>
      <c r="P22" s="214">
        <f>IFNA(VLOOKUP(D22,'S1'!$1:$2000,2,False),0)</f>
        <v>91</v>
      </c>
      <c r="Q22" s="214">
        <f>vlookup(D22,'S2'!A18:B1220,2,0)</f>
        <v>84</v>
      </c>
      <c r="R22" s="214">
        <f>ifna(vlookup(D22,'S3'!$1:$1311,2,False),0)</f>
        <v>50</v>
      </c>
      <c r="S22" s="214"/>
      <c r="T22" s="215">
        <v>10.0</v>
      </c>
      <c r="U22" s="215">
        <v>19.0</v>
      </c>
      <c r="V22" s="215">
        <v>46.0</v>
      </c>
      <c r="W22" s="215">
        <v>60.0</v>
      </c>
      <c r="X22" s="216">
        <v>84.0</v>
      </c>
      <c r="Y22" s="215"/>
      <c r="Z22" s="217"/>
      <c r="AA22" s="218">
        <v>100.0</v>
      </c>
      <c r="AB22" s="219">
        <v>98.0</v>
      </c>
      <c r="AC22" s="129">
        <v>87.0</v>
      </c>
      <c r="AD22" s="129">
        <v>70.0</v>
      </c>
      <c r="AE22" s="130">
        <v>26.0</v>
      </c>
      <c r="AF22" s="129"/>
      <c r="AG22" s="129">
        <v>71.0</v>
      </c>
      <c r="AH22" s="129"/>
      <c r="AI22" s="131"/>
      <c r="AJ22" s="131"/>
      <c r="AK22" s="132">
        <f t="shared" si="1"/>
        <v>4</v>
      </c>
      <c r="AL22" s="132">
        <f t="shared" si="2"/>
        <v>3</v>
      </c>
      <c r="AM22" s="133">
        <f t="shared" si="3"/>
        <v>3</v>
      </c>
      <c r="AN22" s="132" t="str">
        <f t="shared" si="4"/>
        <v>3</v>
      </c>
      <c r="AO22" s="132">
        <f t="shared" si="5"/>
        <v>3</v>
      </c>
      <c r="AP22" s="88"/>
    </row>
    <row r="23">
      <c r="A23" s="142">
        <v>19.0</v>
      </c>
      <c r="B23" s="220" t="s">
        <v>1372</v>
      </c>
      <c r="C23" s="221" t="s">
        <v>3436</v>
      </c>
      <c r="D23" s="209" t="str">
        <f>VLOOKUP(B23,USN!$1:$1088,2,False)</f>
        <v>1CR23IS019</v>
      </c>
      <c r="E23" s="222">
        <v>9.01904283E9</v>
      </c>
      <c r="F23" s="222" t="s">
        <v>3706</v>
      </c>
      <c r="G23" s="228"/>
      <c r="H23" s="223">
        <v>87.0</v>
      </c>
      <c r="I23" s="211">
        <v>96.0</v>
      </c>
      <c r="J23" s="211">
        <f>VLOOKUP(D23,'L3'!$1:$2060,2,False)</f>
        <v>70</v>
      </c>
      <c r="K23" s="211">
        <f>VLOOKUP(D23,'L4'!$1:$2059,2,False)</f>
        <v>72</v>
      </c>
      <c r="L23" s="212">
        <f>VLOOKUP(D23,'A1 RETEST 5 DEC'!$1:$2096,2,FALSE)</f>
        <v>50</v>
      </c>
      <c r="M23" s="213">
        <f>VLOOKUP(D23,'A2 RETEST 4 DEC'!$1:$2096,2,False)</f>
        <v>57</v>
      </c>
      <c r="N23" s="213">
        <v>45.0</v>
      </c>
      <c r="O23" s="212"/>
      <c r="P23" s="214">
        <f>IFNA(VLOOKUP(D23,'S1'!$1:$2000,2,False),0)</f>
        <v>77</v>
      </c>
      <c r="Q23" s="214">
        <f>vlookup(D23,'S2'!A19:B1221,2,0)</f>
        <v>84</v>
      </c>
      <c r="R23" s="214">
        <f>ifna(vlookup(D23,'S3'!$1:$1311,2,False),0)</f>
        <v>83</v>
      </c>
      <c r="S23" s="214"/>
      <c r="T23" s="215">
        <v>16.0</v>
      </c>
      <c r="U23" s="215">
        <v>19.0</v>
      </c>
      <c r="V23" s="215">
        <v>46.0</v>
      </c>
      <c r="W23" s="215"/>
      <c r="X23" s="216">
        <v>84.0</v>
      </c>
      <c r="Y23" s="215"/>
      <c r="Z23" s="224"/>
      <c r="AA23" s="218">
        <v>94.0</v>
      </c>
      <c r="AB23" s="219">
        <v>97.0</v>
      </c>
      <c r="AC23" s="129">
        <v>97.0</v>
      </c>
      <c r="AD23" s="129">
        <v>70.0</v>
      </c>
      <c r="AE23" s="130">
        <v>70.0</v>
      </c>
      <c r="AF23" s="129"/>
      <c r="AG23" s="129">
        <v>75.0</v>
      </c>
      <c r="AH23" s="129"/>
      <c r="AI23" s="131"/>
      <c r="AJ23" s="131"/>
      <c r="AK23" s="132">
        <f t="shared" si="1"/>
        <v>4</v>
      </c>
      <c r="AL23" s="132">
        <f t="shared" si="2"/>
        <v>2</v>
      </c>
      <c r="AM23" s="133">
        <f t="shared" si="3"/>
        <v>2</v>
      </c>
      <c r="AN23" s="132" t="str">
        <f t="shared" si="4"/>
        <v>3.5</v>
      </c>
      <c r="AO23" s="132">
        <f t="shared" si="5"/>
        <v>3</v>
      </c>
      <c r="AP23" s="88"/>
    </row>
    <row r="24">
      <c r="A24" s="142">
        <v>20.0</v>
      </c>
      <c r="B24" s="220" t="s">
        <v>1399</v>
      </c>
      <c r="C24" s="221" t="s">
        <v>3437</v>
      </c>
      <c r="D24" s="209" t="str">
        <f>VLOOKUP(B24,USN!$1:$1088,2,False)</f>
        <v>1CR23IS020</v>
      </c>
      <c r="E24" s="225">
        <v>8.861152354E9</v>
      </c>
      <c r="F24" s="222" t="s">
        <v>3706</v>
      </c>
      <c r="G24" s="88"/>
      <c r="H24" s="223">
        <v>76.0</v>
      </c>
      <c r="I24" s="211">
        <v>81.0</v>
      </c>
      <c r="J24" s="211">
        <f>VLOOKUP(D24,'L3'!$1:$2060,2,False)</f>
        <v>6</v>
      </c>
      <c r="K24" s="211">
        <f>VLOOKUP(D24,'L4'!$1:$2059,2,False)</f>
        <v>10</v>
      </c>
      <c r="L24" s="212">
        <f>VLOOKUP(D24,'A1 RETEST 5 DEC'!$1:$2096,2,FALSE)</f>
        <v>14</v>
      </c>
      <c r="M24" s="213">
        <f>VLOOKUP(D24,'A2 RETEST 4 DEC'!$1:$2096,2,False)</f>
        <v>0</v>
      </c>
      <c r="N24" s="213">
        <v>0.0</v>
      </c>
      <c r="O24" s="212"/>
      <c r="P24" s="214">
        <f>IFNA(VLOOKUP(D24,'S1'!$1:$2000,2,False),0)</f>
        <v>0</v>
      </c>
      <c r="Q24" s="214">
        <f>vlookup(D24,'S2'!A20:B1222,2,0)</f>
        <v>0</v>
      </c>
      <c r="R24" s="214">
        <f>ifna(vlookup(D24,'S3'!$1:$1311,2,False),0)</f>
        <v>0</v>
      </c>
      <c r="S24" s="214"/>
      <c r="T24" s="215" t="s">
        <v>2477</v>
      </c>
      <c r="U24" s="215" t="s">
        <v>2477</v>
      </c>
      <c r="V24" s="215"/>
      <c r="W24" s="215"/>
      <c r="X24" s="216">
        <v>0.0</v>
      </c>
      <c r="Y24" s="215"/>
      <c r="Z24" s="224"/>
      <c r="AA24" s="218">
        <v>64.0</v>
      </c>
      <c r="AB24" s="219">
        <v>95.0</v>
      </c>
      <c r="AC24" s="129">
        <v>0.0</v>
      </c>
      <c r="AD24" s="129">
        <v>0.0</v>
      </c>
      <c r="AE24" s="130">
        <v>10.0</v>
      </c>
      <c r="AF24" s="129"/>
      <c r="AG24" s="129">
        <v>32.0</v>
      </c>
      <c r="AH24" s="129"/>
      <c r="AI24" s="131"/>
      <c r="AJ24" s="131"/>
      <c r="AK24" s="132">
        <f t="shared" si="1"/>
        <v>2</v>
      </c>
      <c r="AL24" s="132">
        <f t="shared" si="2"/>
        <v>0</v>
      </c>
      <c r="AM24" s="133">
        <f t="shared" si="3"/>
        <v>2</v>
      </c>
      <c r="AN24" s="132" t="str">
        <f t="shared" si="4"/>
        <v>2</v>
      </c>
      <c r="AO24" s="132">
        <f t="shared" si="5"/>
        <v>0</v>
      </c>
      <c r="AP24" s="88"/>
    </row>
    <row r="25">
      <c r="A25" s="142">
        <v>21.0</v>
      </c>
      <c r="B25" s="220" t="s">
        <v>1373</v>
      </c>
      <c r="C25" s="221" t="s">
        <v>3438</v>
      </c>
      <c r="D25" s="209" t="str">
        <f>VLOOKUP(B25,USN!$1:$1088,2,False)</f>
        <v>1CR23IS021</v>
      </c>
      <c r="E25" s="222">
        <v>8.789567983E9</v>
      </c>
      <c r="F25" s="222" t="s">
        <v>3706</v>
      </c>
      <c r="G25" s="88"/>
      <c r="H25" s="223">
        <v>84.0</v>
      </c>
      <c r="I25" s="211">
        <v>85.0</v>
      </c>
      <c r="J25" s="211">
        <f>VLOOKUP(D25,'L3'!$1:$2060,2,False)</f>
        <v>78</v>
      </c>
      <c r="K25" s="211">
        <f>VLOOKUP(D25,'L4'!$1:$2059,2,False)</f>
        <v>71</v>
      </c>
      <c r="L25" s="212">
        <f>VLOOKUP(D25,'A1 RETEST 5 DEC'!$1:$2096,2,FALSE)</f>
        <v>32</v>
      </c>
      <c r="M25" s="213">
        <f>VLOOKUP(D25,'A2 RETEST 4 DEC'!$1:$2096,2,False)</f>
        <v>37</v>
      </c>
      <c r="N25" s="213">
        <v>0.0</v>
      </c>
      <c r="O25" s="212"/>
      <c r="P25" s="214">
        <f>IFNA(VLOOKUP(D25,'S1'!$1:$2000,2,False),0)</f>
        <v>77</v>
      </c>
      <c r="Q25" s="214">
        <f>vlookup(D25,'S2'!A21:B1223,2,0)</f>
        <v>55</v>
      </c>
      <c r="R25" s="214">
        <f>ifna(vlookup(D25,'S3'!$1:$1311,2,False),0)</f>
        <v>0</v>
      </c>
      <c r="S25" s="214"/>
      <c r="T25" s="215">
        <v>12.0</v>
      </c>
      <c r="U25" s="215">
        <v>23.0</v>
      </c>
      <c r="V25" s="215">
        <v>48.0</v>
      </c>
      <c r="W25" s="215"/>
      <c r="X25" s="216">
        <v>28.0</v>
      </c>
      <c r="Y25" s="215"/>
      <c r="Z25" s="217"/>
      <c r="AA25" s="218">
        <v>100.0</v>
      </c>
      <c r="AB25" s="219">
        <v>100.0</v>
      </c>
      <c r="AC25" s="129">
        <v>44.0</v>
      </c>
      <c r="AD25" s="129">
        <v>70.0</v>
      </c>
      <c r="AE25" s="130">
        <v>23.0</v>
      </c>
      <c r="AF25" s="129"/>
      <c r="AG25" s="129">
        <v>42.0</v>
      </c>
      <c r="AH25" s="129"/>
      <c r="AI25" s="131"/>
      <c r="AJ25" s="131"/>
      <c r="AK25" s="132">
        <f t="shared" si="1"/>
        <v>4</v>
      </c>
      <c r="AL25" s="132">
        <f t="shared" si="2"/>
        <v>0</v>
      </c>
      <c r="AM25" s="133">
        <f t="shared" si="3"/>
        <v>2</v>
      </c>
      <c r="AN25" s="132" t="str">
        <f t="shared" si="4"/>
        <v>3</v>
      </c>
      <c r="AO25" s="132">
        <f t="shared" si="5"/>
        <v>2</v>
      </c>
      <c r="AP25" s="88"/>
    </row>
    <row r="26">
      <c r="A26" s="142">
        <v>22.0</v>
      </c>
      <c r="B26" s="220" t="s">
        <v>1374</v>
      </c>
      <c r="C26" s="221" t="s">
        <v>3439</v>
      </c>
      <c r="D26" s="209" t="str">
        <f>VLOOKUP(B26,USN!$1:$1088,2,False)</f>
        <v>1CR23IS022</v>
      </c>
      <c r="E26" s="222">
        <v>8.97945911E9</v>
      </c>
      <c r="F26" s="222" t="s">
        <v>3706</v>
      </c>
      <c r="G26" s="88"/>
      <c r="H26" s="223">
        <v>75.0</v>
      </c>
      <c r="I26" s="211">
        <v>84.0</v>
      </c>
      <c r="J26" s="211">
        <f>VLOOKUP(D26,'L3'!$1:$2060,2,False)</f>
        <v>70</v>
      </c>
      <c r="K26" s="211">
        <f>VLOOKUP(D26,'L4'!$1:$2059,2,False)</f>
        <v>70</v>
      </c>
      <c r="L26" s="212">
        <f>VLOOKUP(D26,'A1 RETEST 5 DEC'!$1:$2096,2,FALSE)</f>
        <v>50</v>
      </c>
      <c r="M26" s="213">
        <f>VLOOKUP(D26,'A2 RETEST 4 DEC'!$1:$2096,2,False)</f>
        <v>13</v>
      </c>
      <c r="N26" s="213">
        <v>17.0</v>
      </c>
      <c r="O26" s="212"/>
      <c r="P26" s="214">
        <f>IFNA(VLOOKUP(D26,'S1'!$1:$2000,2,False),0)</f>
        <v>79</v>
      </c>
      <c r="Q26" s="214">
        <f>vlookup(D26,'S2'!A22:B1224,2,0)</f>
        <v>50</v>
      </c>
      <c r="R26" s="214">
        <f>ifna(vlookup(D26,'S3'!$1:$1311,2,False),0)</f>
        <v>50</v>
      </c>
      <c r="S26" s="214"/>
      <c r="T26" s="215">
        <v>20.0</v>
      </c>
      <c r="U26" s="215">
        <v>22.0</v>
      </c>
      <c r="V26" s="215">
        <v>40.0</v>
      </c>
      <c r="W26" s="215">
        <v>64.0</v>
      </c>
      <c r="X26" s="216">
        <v>76.0</v>
      </c>
      <c r="Y26" s="215"/>
      <c r="Z26" s="224"/>
      <c r="AA26" s="218">
        <v>100.0</v>
      </c>
      <c r="AB26" s="219">
        <v>87.0</v>
      </c>
      <c r="AC26" s="129">
        <v>52.0</v>
      </c>
      <c r="AD26" s="129">
        <v>65.0</v>
      </c>
      <c r="AE26" s="130">
        <v>36.0</v>
      </c>
      <c r="AF26" s="129"/>
      <c r="AG26" s="129">
        <v>42.0</v>
      </c>
      <c r="AH26" s="129"/>
      <c r="AI26" s="131"/>
      <c r="AJ26" s="131"/>
      <c r="AK26" s="132">
        <f t="shared" si="1"/>
        <v>4</v>
      </c>
      <c r="AL26" s="132">
        <f t="shared" si="2"/>
        <v>1</v>
      </c>
      <c r="AM26" s="133">
        <f t="shared" si="3"/>
        <v>3</v>
      </c>
      <c r="AN26" s="132" t="str">
        <f t="shared" si="4"/>
        <v>3</v>
      </c>
      <c r="AO26" s="132">
        <f t="shared" si="5"/>
        <v>3</v>
      </c>
      <c r="AP26" s="88"/>
    </row>
    <row r="27">
      <c r="A27" s="142">
        <v>23.0</v>
      </c>
      <c r="B27" s="220" t="s">
        <v>1375</v>
      </c>
      <c r="C27" s="221" t="s">
        <v>3440</v>
      </c>
      <c r="D27" s="209" t="str">
        <f>VLOOKUP(B27,USN!$1:$1088,2,False)</f>
        <v>1CR23IS023</v>
      </c>
      <c r="E27" s="222">
        <v>7.003118896E9</v>
      </c>
      <c r="F27" s="222" t="s">
        <v>3706</v>
      </c>
      <c r="G27" s="88"/>
      <c r="H27" s="223">
        <v>73.0</v>
      </c>
      <c r="I27" s="211">
        <v>86.0</v>
      </c>
      <c r="J27" s="211">
        <f>VLOOKUP(D27,'L3'!$1:$2060,2,False)</f>
        <v>70</v>
      </c>
      <c r="K27" s="211">
        <f>VLOOKUP(D27,'L4'!$1:$2059,2,False)</f>
        <v>70</v>
      </c>
      <c r="L27" s="212">
        <f>VLOOKUP(D27,'A1 RETEST 5 DEC'!$1:$2096,2,FALSE)</f>
        <v>50</v>
      </c>
      <c r="M27" s="213">
        <f>VLOOKUP(D27,'A2 RETEST 4 DEC'!$1:$2096,2,False)</f>
        <v>52</v>
      </c>
      <c r="N27" s="213">
        <v>50.0</v>
      </c>
      <c r="O27" s="212"/>
      <c r="P27" s="214">
        <f>IFNA(VLOOKUP(D27,'S1'!$1:$2000,2,False),0)</f>
        <v>50</v>
      </c>
      <c r="Q27" s="214">
        <f>vlookup(D27,'S2'!A23:B1225,2,0)</f>
        <v>50</v>
      </c>
      <c r="R27" s="214">
        <f>ifna(vlookup(D27,'S3'!$1:$1311,2,False),0)</f>
        <v>80</v>
      </c>
      <c r="S27" s="214"/>
      <c r="T27" s="215">
        <v>20.0</v>
      </c>
      <c r="U27" s="215">
        <v>22.0</v>
      </c>
      <c r="V27" s="215">
        <v>44.0</v>
      </c>
      <c r="W27" s="215">
        <v>50.0</v>
      </c>
      <c r="X27" s="216">
        <v>0.0</v>
      </c>
      <c r="Y27" s="215"/>
      <c r="Z27" s="224"/>
      <c r="AA27" s="218">
        <v>61.0</v>
      </c>
      <c r="AB27" s="219">
        <v>100.0</v>
      </c>
      <c r="AC27" s="129">
        <v>87.0</v>
      </c>
      <c r="AD27" s="129">
        <v>90.0</v>
      </c>
      <c r="AE27" s="130">
        <v>75.0</v>
      </c>
      <c r="AF27" s="129"/>
      <c r="AG27" s="129">
        <v>28.0</v>
      </c>
      <c r="AH27" s="129"/>
      <c r="AI27" s="131"/>
      <c r="AJ27" s="131"/>
      <c r="AK27" s="132">
        <f t="shared" si="1"/>
        <v>4</v>
      </c>
      <c r="AL27" s="132">
        <f t="shared" si="2"/>
        <v>3</v>
      </c>
      <c r="AM27" s="133">
        <f t="shared" si="3"/>
        <v>3</v>
      </c>
      <c r="AN27" s="132" t="str">
        <f t="shared" si="4"/>
        <v>3.5</v>
      </c>
      <c r="AO27" s="132">
        <f t="shared" si="5"/>
        <v>3</v>
      </c>
      <c r="AP27" s="88"/>
    </row>
    <row r="28">
      <c r="A28" s="142">
        <v>24.0</v>
      </c>
      <c r="B28" s="220" t="s">
        <v>1412</v>
      </c>
      <c r="C28" s="221" t="s">
        <v>3441</v>
      </c>
      <c r="D28" s="209" t="str">
        <f>VLOOKUP(B28,USN!$1:$1088,2,False)</f>
        <v>1CR23IS024</v>
      </c>
      <c r="E28" s="227">
        <v>8.861268788E9</v>
      </c>
      <c r="F28" s="222" t="s">
        <v>3706</v>
      </c>
      <c r="G28" s="88"/>
      <c r="H28" s="223">
        <v>71.0</v>
      </c>
      <c r="I28" s="211">
        <v>79.0</v>
      </c>
      <c r="J28" s="211">
        <f>VLOOKUP(D28,'L3'!$1:$2060,2,False)</f>
        <v>70</v>
      </c>
      <c r="K28" s="211">
        <f>VLOOKUP(D28,'L4'!$1:$2059,2,False)</f>
        <v>70</v>
      </c>
      <c r="L28" s="212">
        <f>VLOOKUP(D28,'A1 RETEST 5 DEC'!$1:$2096,2,FALSE)</f>
        <v>50</v>
      </c>
      <c r="M28" s="213">
        <f>VLOOKUP(D28,'A2 RETEST 4 DEC'!$1:$2096,2,False)</f>
        <v>53</v>
      </c>
      <c r="N28" s="213">
        <v>26.0</v>
      </c>
      <c r="O28" s="212"/>
      <c r="P28" s="214">
        <f>IFNA(VLOOKUP(D28,'S1'!$1:$2000,2,False),0)</f>
        <v>50</v>
      </c>
      <c r="Q28" s="214">
        <f>vlookup(D28,'S2'!A24:B1226,2,0)</f>
        <v>50</v>
      </c>
      <c r="R28" s="214">
        <f>ifna(vlookup(D28,'S3'!$1:$1311,2,False),0)</f>
        <v>50</v>
      </c>
      <c r="S28" s="214"/>
      <c r="T28" s="215">
        <v>21.0</v>
      </c>
      <c r="U28" s="215">
        <v>23.0</v>
      </c>
      <c r="V28" s="215">
        <v>46.0</v>
      </c>
      <c r="W28" s="215">
        <v>64.0</v>
      </c>
      <c r="X28" s="216">
        <v>76.0</v>
      </c>
      <c r="Y28" s="215"/>
      <c r="Z28" s="224"/>
      <c r="AA28" s="218">
        <v>38.0</v>
      </c>
      <c r="AB28" s="219">
        <v>87.0</v>
      </c>
      <c r="AC28" s="129">
        <v>20.0</v>
      </c>
      <c r="AD28" s="129">
        <v>90.0</v>
      </c>
      <c r="AE28" s="130">
        <v>39.0</v>
      </c>
      <c r="AF28" s="129"/>
      <c r="AG28" s="129">
        <v>35.0</v>
      </c>
      <c r="AH28" s="129"/>
      <c r="AI28" s="88"/>
      <c r="AJ28" s="88"/>
      <c r="AK28" s="132">
        <f t="shared" si="1"/>
        <v>4</v>
      </c>
      <c r="AL28" s="132">
        <f t="shared" si="2"/>
        <v>2</v>
      </c>
      <c r="AM28" s="133">
        <f t="shared" si="3"/>
        <v>3</v>
      </c>
      <c r="AN28" s="132" t="str">
        <f t="shared" si="4"/>
        <v>3</v>
      </c>
      <c r="AO28" s="132">
        <f t="shared" si="5"/>
        <v>3</v>
      </c>
      <c r="AP28" s="88"/>
    </row>
    <row r="29">
      <c r="A29" s="142">
        <v>25.0</v>
      </c>
      <c r="B29" s="229" t="s">
        <v>1485</v>
      </c>
      <c r="C29" s="221" t="s">
        <v>3442</v>
      </c>
      <c r="D29" s="209" t="str">
        <f>VLOOKUP(B29,USN!$1:$1088,2,False)</f>
        <v>1CR23IS025</v>
      </c>
      <c r="E29" s="227">
        <v>7.204551967E9</v>
      </c>
      <c r="F29" s="222" t="s">
        <v>3706</v>
      </c>
      <c r="G29" s="88"/>
      <c r="H29" s="223">
        <v>78.0</v>
      </c>
      <c r="I29" s="211">
        <v>85.0</v>
      </c>
      <c r="J29" s="211">
        <f>VLOOKUP(D29,'L3'!$1:$2060,2,False)</f>
        <v>70</v>
      </c>
      <c r="K29" s="211">
        <f>VLOOKUP(D29,'L4'!$1:$2059,2,False)</f>
        <v>70</v>
      </c>
      <c r="L29" s="212">
        <f>VLOOKUP(D29,'A1 RETEST 5 DEC'!$1:$2096,2,FALSE)</f>
        <v>50</v>
      </c>
      <c r="M29" s="213">
        <f>VLOOKUP(D29,'A2 RETEST 4 DEC'!$1:$2096,2,False)</f>
        <v>41</v>
      </c>
      <c r="N29" s="213">
        <v>29.0</v>
      </c>
      <c r="O29" s="212"/>
      <c r="P29" s="214">
        <f>IFNA(VLOOKUP(D29,'S1'!$1:$2000,2,False),0)</f>
        <v>50</v>
      </c>
      <c r="Q29" s="214">
        <f>vlookup(D29,'S2'!A25:B1227,2,0)</f>
        <v>70</v>
      </c>
      <c r="R29" s="214">
        <f>ifna(vlookup(D29,'S3'!$1:$1311,2,False),0)</f>
        <v>85</v>
      </c>
      <c r="S29" s="214"/>
      <c r="T29" s="215">
        <v>10.0</v>
      </c>
      <c r="U29" s="215">
        <v>23.0</v>
      </c>
      <c r="V29" s="215"/>
      <c r="W29" s="215">
        <v>36.0</v>
      </c>
      <c r="X29" s="216">
        <v>88.0</v>
      </c>
      <c r="Y29" s="215"/>
      <c r="Z29" s="217"/>
      <c r="AA29" s="218">
        <v>100.0</v>
      </c>
      <c r="AB29" s="219">
        <v>90.0</v>
      </c>
      <c r="AC29" s="129">
        <v>71.0</v>
      </c>
      <c r="AD29" s="129">
        <v>79.0</v>
      </c>
      <c r="AE29" s="130">
        <v>70.0</v>
      </c>
      <c r="AF29" s="129"/>
      <c r="AG29" s="129">
        <v>42.0</v>
      </c>
      <c r="AH29" s="129"/>
      <c r="AI29" s="88"/>
      <c r="AJ29" s="88"/>
      <c r="AK29" s="132">
        <f t="shared" si="1"/>
        <v>4</v>
      </c>
      <c r="AL29" s="132">
        <f t="shared" si="2"/>
        <v>1</v>
      </c>
      <c r="AM29" s="133">
        <f t="shared" si="3"/>
        <v>2</v>
      </c>
      <c r="AN29" s="132" t="str">
        <f t="shared" si="4"/>
        <v>3.5</v>
      </c>
      <c r="AO29" s="132">
        <f t="shared" si="5"/>
        <v>3</v>
      </c>
      <c r="AP29" s="88"/>
    </row>
    <row r="30">
      <c r="A30" s="142">
        <v>26.0</v>
      </c>
      <c r="B30" s="220" t="s">
        <v>1376</v>
      </c>
      <c r="C30" s="221" t="s">
        <v>3443</v>
      </c>
      <c r="D30" s="209" t="str">
        <f>VLOOKUP(B30,USN!$1:$1088,2,False)</f>
        <v>1CR23IS026</v>
      </c>
      <c r="E30" s="222">
        <v>9.326373636E9</v>
      </c>
      <c r="F30" s="222" t="s">
        <v>3706</v>
      </c>
      <c r="G30" s="228"/>
      <c r="H30" s="223">
        <v>82.0</v>
      </c>
      <c r="I30" s="211">
        <v>88.0</v>
      </c>
      <c r="J30" s="211">
        <f>VLOOKUP(D30,'L3'!$1:$2060,2,False)</f>
        <v>70</v>
      </c>
      <c r="K30" s="211">
        <f>VLOOKUP(D30,'L4'!$1:$2059,2,False)</f>
        <v>70</v>
      </c>
      <c r="L30" s="212">
        <f>VLOOKUP(D30,'A1 RETEST 5 DEC'!$1:$2096,2,FALSE)</f>
        <v>50</v>
      </c>
      <c r="M30" s="213">
        <f>VLOOKUP(D30,'A2 RETEST 4 DEC'!$1:$2096,2,False)</f>
        <v>8</v>
      </c>
      <c r="N30" s="213">
        <v>12.0</v>
      </c>
      <c r="O30" s="212"/>
      <c r="P30" s="214">
        <f>IFNA(VLOOKUP(D30,'S1'!$1:$2000,2,False),0)</f>
        <v>80</v>
      </c>
      <c r="Q30" s="214">
        <f>vlookup(D30,'S2'!A26:B1228,2,0)</f>
        <v>50</v>
      </c>
      <c r="R30" s="214">
        <f>ifna(vlookup(D30,'S3'!$1:$1311,2,False),0)</f>
        <v>86</v>
      </c>
      <c r="S30" s="214"/>
      <c r="T30" s="215">
        <v>12.0</v>
      </c>
      <c r="U30" s="215">
        <v>17.0</v>
      </c>
      <c r="V30" s="215">
        <v>46.0</v>
      </c>
      <c r="W30" s="215">
        <v>64.0</v>
      </c>
      <c r="X30" s="216">
        <v>92.0</v>
      </c>
      <c r="Y30" s="215"/>
      <c r="Z30" s="224"/>
      <c r="AA30" s="218">
        <v>98.0</v>
      </c>
      <c r="AB30" s="219">
        <v>100.0</v>
      </c>
      <c r="AC30" s="129">
        <v>74.0</v>
      </c>
      <c r="AD30" s="129">
        <v>60.0</v>
      </c>
      <c r="AE30" s="130">
        <v>80.0</v>
      </c>
      <c r="AF30" s="129"/>
      <c r="AG30" s="129">
        <v>46.0</v>
      </c>
      <c r="AH30" s="129"/>
      <c r="AI30" s="131"/>
      <c r="AJ30" s="131"/>
      <c r="AK30" s="132">
        <f t="shared" si="1"/>
        <v>4</v>
      </c>
      <c r="AL30" s="132">
        <f t="shared" si="2"/>
        <v>1</v>
      </c>
      <c r="AM30" s="133">
        <f t="shared" si="3"/>
        <v>3</v>
      </c>
      <c r="AN30" s="132" t="str">
        <f t="shared" si="4"/>
        <v>3.5</v>
      </c>
      <c r="AO30" s="132">
        <f t="shared" si="5"/>
        <v>3</v>
      </c>
      <c r="AP30" s="88"/>
    </row>
    <row r="31">
      <c r="A31" s="142">
        <v>27.0</v>
      </c>
      <c r="B31" s="220" t="s">
        <v>1407</v>
      </c>
      <c r="C31" s="221" t="s">
        <v>3444</v>
      </c>
      <c r="D31" s="209" t="str">
        <f>VLOOKUP(B31,USN!$1:$1088,2,False)</f>
        <v>1CR23IS027</v>
      </c>
      <c r="E31" s="227">
        <v>7.676079693E9</v>
      </c>
      <c r="F31" s="222" t="s">
        <v>3706</v>
      </c>
      <c r="G31" s="88"/>
      <c r="H31" s="223">
        <v>70.0</v>
      </c>
      <c r="I31" s="211">
        <v>76.0</v>
      </c>
      <c r="J31" s="211">
        <f>VLOOKUP(D31,'L3'!$1:$2060,2,False)</f>
        <v>76</v>
      </c>
      <c r="K31" s="211">
        <f>VLOOKUP(D31,'L4'!$1:$2059,2,False)</f>
        <v>70</v>
      </c>
      <c r="L31" s="212">
        <f>VLOOKUP(D31,'A1 RETEST 5 DEC'!$1:$2096,2,FALSE)</f>
        <v>50</v>
      </c>
      <c r="M31" s="213">
        <f>VLOOKUP(D31,'A2 RETEST 4 DEC'!$1:$2096,2,False)</f>
        <v>50</v>
      </c>
      <c r="N31" s="213">
        <v>50.0</v>
      </c>
      <c r="O31" s="212"/>
      <c r="P31" s="214">
        <f>IFNA(VLOOKUP(D31,'S1'!$1:$2000,2,False),0)</f>
        <v>77</v>
      </c>
      <c r="Q31" s="214">
        <f>vlookup(D31,'S2'!A27:B1229,2,0)</f>
        <v>50</v>
      </c>
      <c r="R31" s="214">
        <f>ifna(vlookup(D31,'S3'!$1:$1311,2,False),0)</f>
        <v>50</v>
      </c>
      <c r="S31" s="214"/>
      <c r="T31" s="215">
        <v>11.0</v>
      </c>
      <c r="U31" s="215">
        <v>24.0</v>
      </c>
      <c r="V31" s="215">
        <v>46.0</v>
      </c>
      <c r="W31" s="215">
        <v>64.0</v>
      </c>
      <c r="X31" s="216">
        <v>84.0</v>
      </c>
      <c r="Y31" s="215"/>
      <c r="Z31" s="224"/>
      <c r="AA31" s="218">
        <v>52.0</v>
      </c>
      <c r="AB31" s="219">
        <v>100.0</v>
      </c>
      <c r="AC31" s="129">
        <v>66.0</v>
      </c>
      <c r="AD31" s="129">
        <v>60.0</v>
      </c>
      <c r="AE31" s="129">
        <v>70.0</v>
      </c>
      <c r="AF31" s="129"/>
      <c r="AG31" s="129">
        <v>71.0</v>
      </c>
      <c r="AH31" s="129"/>
      <c r="AI31" s="131"/>
      <c r="AJ31" s="131"/>
      <c r="AK31" s="132">
        <f t="shared" si="1"/>
        <v>4</v>
      </c>
      <c r="AL31" s="132">
        <f t="shared" si="2"/>
        <v>3</v>
      </c>
      <c r="AM31" s="133">
        <f t="shared" si="3"/>
        <v>3</v>
      </c>
      <c r="AN31" s="132" t="str">
        <f t="shared" si="4"/>
        <v>3.5</v>
      </c>
      <c r="AO31" s="132">
        <f t="shared" si="5"/>
        <v>3</v>
      </c>
      <c r="AP31" s="88"/>
    </row>
    <row r="32">
      <c r="A32" s="142">
        <v>28.0</v>
      </c>
      <c r="B32" s="220" t="s">
        <v>1377</v>
      </c>
      <c r="C32" s="221" t="s">
        <v>3445</v>
      </c>
      <c r="D32" s="209" t="str">
        <f>VLOOKUP(B32,USN!$1:$1088,2,False)</f>
        <v>1CR23IS028</v>
      </c>
      <c r="E32" s="222">
        <v>7.975584486E9</v>
      </c>
      <c r="F32" s="222" t="s">
        <v>3706</v>
      </c>
      <c r="G32" s="228"/>
      <c r="H32" s="223">
        <v>74.0</v>
      </c>
      <c r="I32" s="211">
        <v>86.0</v>
      </c>
      <c r="J32" s="211">
        <f>VLOOKUP(D32,'L3'!$1:$2060,2,False)</f>
        <v>76</v>
      </c>
      <c r="K32" s="211">
        <f>VLOOKUP(D32,'L4'!$1:$2059,2,False)</f>
        <v>70</v>
      </c>
      <c r="L32" s="212">
        <f>VLOOKUP(D32,'A1 RETEST 5 DEC'!$1:$2096,2,FALSE)</f>
        <v>64</v>
      </c>
      <c r="M32" s="213">
        <f>VLOOKUP(D32,'A2 RETEST 4 DEC'!$1:$2096,2,False)</f>
        <v>64</v>
      </c>
      <c r="N32" s="213">
        <v>70.0</v>
      </c>
      <c r="O32" s="212"/>
      <c r="P32" s="214">
        <f>IFNA(VLOOKUP(D32,'S1'!$1:$2000,2,False),0)</f>
        <v>77</v>
      </c>
      <c r="Q32" s="214">
        <f>vlookup(D32,'S2'!A28:B1230,2,0)</f>
        <v>70</v>
      </c>
      <c r="R32" s="214">
        <f>ifna(vlookup(D32,'S3'!$1:$1311,2,False),0)</f>
        <v>81</v>
      </c>
      <c r="S32" s="214"/>
      <c r="T32" s="215">
        <v>14.0</v>
      </c>
      <c r="U32" s="215">
        <v>22.0</v>
      </c>
      <c r="V32" s="215"/>
      <c r="W32" s="215">
        <v>64.0</v>
      </c>
      <c r="X32" s="216">
        <v>72.0</v>
      </c>
      <c r="Y32" s="215"/>
      <c r="Z32" s="224"/>
      <c r="AA32" s="218">
        <v>96.0</v>
      </c>
      <c r="AB32" s="219">
        <v>100.0</v>
      </c>
      <c r="AC32" s="129">
        <v>80.0</v>
      </c>
      <c r="AD32" s="129">
        <v>75.0</v>
      </c>
      <c r="AE32" s="130">
        <v>77.0</v>
      </c>
      <c r="AF32" s="129"/>
      <c r="AG32" s="129">
        <v>69.0</v>
      </c>
      <c r="AH32" s="129"/>
      <c r="AI32" s="131"/>
      <c r="AJ32" s="131"/>
      <c r="AK32" s="132">
        <f t="shared" si="1"/>
        <v>4</v>
      </c>
      <c r="AL32" s="132">
        <f t="shared" si="2"/>
        <v>3</v>
      </c>
      <c r="AM32" s="133">
        <f t="shared" si="3"/>
        <v>3</v>
      </c>
      <c r="AN32" s="132" t="str">
        <f t="shared" si="4"/>
        <v>3.5</v>
      </c>
      <c r="AO32" s="132">
        <f t="shared" si="5"/>
        <v>3</v>
      </c>
      <c r="AP32" s="88"/>
    </row>
    <row r="33">
      <c r="A33" s="142">
        <v>29.0</v>
      </c>
      <c r="B33" s="229" t="s">
        <v>1479</v>
      </c>
      <c r="C33" s="221" t="s">
        <v>3446</v>
      </c>
      <c r="D33" s="209" t="str">
        <f>VLOOKUP(B33,USN!$1:$1088,2,False)</f>
        <v>1CR23IS029</v>
      </c>
      <c r="E33" s="227">
        <v>9.945419326E9</v>
      </c>
      <c r="F33" s="222" t="s">
        <v>3706</v>
      </c>
      <c r="G33" s="88"/>
      <c r="H33" s="223">
        <v>70.0</v>
      </c>
      <c r="I33" s="211">
        <v>83.0</v>
      </c>
      <c r="J33" s="211">
        <f>VLOOKUP(D33,'L3'!$1:$2060,2,False)</f>
        <v>70</v>
      </c>
      <c r="K33" s="211">
        <f>VLOOKUP(D33,'L4'!$1:$2059,2,False)</f>
        <v>70</v>
      </c>
      <c r="L33" s="212">
        <f>VLOOKUP(D33,'A1 RETEST 5 DEC'!$1:$2096,2,FALSE)</f>
        <v>50</v>
      </c>
      <c r="M33" s="213">
        <f>VLOOKUP(D33,'A2 RETEST 4 DEC'!$1:$2096,2,False)</f>
        <v>37</v>
      </c>
      <c r="N33" s="213">
        <v>11.0</v>
      </c>
      <c r="O33" s="212"/>
      <c r="P33" s="214">
        <f>IFNA(VLOOKUP(D33,'S1'!$1:$2000,2,False),0)</f>
        <v>90</v>
      </c>
      <c r="Q33" s="214">
        <f>vlookup(D33,'S2'!A29:B1231,2,0)</f>
        <v>50</v>
      </c>
      <c r="R33" s="214">
        <f>ifna(vlookup(D33,'S3'!$1:$1311,2,False),0)</f>
        <v>82</v>
      </c>
      <c r="S33" s="214"/>
      <c r="T33" s="215">
        <v>18.0</v>
      </c>
      <c r="U33" s="215">
        <v>24.0</v>
      </c>
      <c r="V33" s="215">
        <v>42.0</v>
      </c>
      <c r="W33" s="215">
        <v>52.0</v>
      </c>
      <c r="X33" s="216">
        <v>72.0</v>
      </c>
      <c r="Y33" s="215"/>
      <c r="Z33" s="217"/>
      <c r="AA33" s="218">
        <v>12.0</v>
      </c>
      <c r="AB33" s="219">
        <v>90.0</v>
      </c>
      <c r="AC33" s="129">
        <v>62.0</v>
      </c>
      <c r="AD33" s="129">
        <v>60.0</v>
      </c>
      <c r="AE33" s="130">
        <v>52.0</v>
      </c>
      <c r="AF33" s="129"/>
      <c r="AG33" s="129">
        <v>30.0</v>
      </c>
      <c r="AH33" s="129"/>
      <c r="AI33" s="88"/>
      <c r="AJ33" s="88"/>
      <c r="AK33" s="132">
        <f t="shared" si="1"/>
        <v>4</v>
      </c>
      <c r="AL33" s="132">
        <f t="shared" si="2"/>
        <v>1</v>
      </c>
      <c r="AM33" s="133">
        <f t="shared" si="3"/>
        <v>3</v>
      </c>
      <c r="AN33" s="132" t="str">
        <f t="shared" si="4"/>
        <v>3</v>
      </c>
      <c r="AO33" s="132">
        <f t="shared" si="5"/>
        <v>3</v>
      </c>
      <c r="AP33" s="88"/>
    </row>
    <row r="34">
      <c r="A34" s="142">
        <v>30.0</v>
      </c>
      <c r="B34" s="220" t="s">
        <v>1405</v>
      </c>
      <c r="C34" s="221" t="s">
        <v>3447</v>
      </c>
      <c r="D34" s="209" t="str">
        <f>VLOOKUP(B34,USN!$1:$1088,2,False)</f>
        <v>1CR23IS030</v>
      </c>
      <c r="E34" s="227">
        <v>6.361673647E9</v>
      </c>
      <c r="F34" s="222" t="s">
        <v>3706</v>
      </c>
      <c r="G34" s="88"/>
      <c r="H34" s="223">
        <v>70.0</v>
      </c>
      <c r="I34" s="211">
        <v>75.0</v>
      </c>
      <c r="J34" s="211">
        <f>VLOOKUP(D34,'L3'!$1:$2060,2,False)</f>
        <v>70</v>
      </c>
      <c r="K34" s="211">
        <f>VLOOKUP(D34,'L4'!$1:$2059,2,False)</f>
        <v>70</v>
      </c>
      <c r="L34" s="212">
        <f>VLOOKUP(D34,'A1 RETEST 5 DEC'!$1:$2096,2,FALSE)</f>
        <v>21</v>
      </c>
      <c r="M34" s="213">
        <f>VLOOKUP(D34,'A2 RETEST 4 DEC'!$1:$2096,2,False)</f>
        <v>50</v>
      </c>
      <c r="N34" s="213">
        <v>50.0</v>
      </c>
      <c r="O34" s="212"/>
      <c r="P34" s="214">
        <f>IFNA(VLOOKUP(D34,'S1'!$1:$2000,2,False),0)</f>
        <v>50</v>
      </c>
      <c r="Q34" s="214">
        <f>vlookup(D34,'S2'!A30:B1232,2,0)</f>
        <v>50</v>
      </c>
      <c r="R34" s="214">
        <f>ifna(vlookup(D34,'S3'!$1:$1311,2,False),0)</f>
        <v>50</v>
      </c>
      <c r="S34" s="214"/>
      <c r="T34" s="215">
        <v>11.0</v>
      </c>
      <c r="U34" s="215">
        <v>21.0</v>
      </c>
      <c r="V34" s="215">
        <v>42.0</v>
      </c>
      <c r="W34" s="215">
        <v>64.0</v>
      </c>
      <c r="X34" s="216">
        <v>68.0</v>
      </c>
      <c r="Y34" s="215"/>
      <c r="Z34" s="224"/>
      <c r="AA34" s="218">
        <v>26.0</v>
      </c>
      <c r="AB34" s="219">
        <v>87.0</v>
      </c>
      <c r="AC34" s="129">
        <v>61.0</v>
      </c>
      <c r="AD34" s="129">
        <v>60.0</v>
      </c>
      <c r="AE34" s="130">
        <v>15.0</v>
      </c>
      <c r="AF34" s="129"/>
      <c r="AG34" s="129">
        <v>33.0</v>
      </c>
      <c r="AH34" s="129"/>
      <c r="AI34" s="131"/>
      <c r="AJ34" s="131"/>
      <c r="AK34" s="132">
        <f t="shared" si="1"/>
        <v>4</v>
      </c>
      <c r="AL34" s="132">
        <f t="shared" si="2"/>
        <v>0</v>
      </c>
      <c r="AM34" s="133">
        <f t="shared" si="3"/>
        <v>3</v>
      </c>
      <c r="AN34" s="132" t="str">
        <f t="shared" si="4"/>
        <v>3</v>
      </c>
      <c r="AO34" s="132">
        <f t="shared" si="5"/>
        <v>3</v>
      </c>
      <c r="AP34" s="88"/>
    </row>
    <row r="35">
      <c r="A35" s="142">
        <v>31.0</v>
      </c>
      <c r="B35" s="220" t="s">
        <v>1378</v>
      </c>
      <c r="C35" s="221" t="s">
        <v>3448</v>
      </c>
      <c r="D35" s="209" t="str">
        <f>VLOOKUP(B35,USN!$1:$1088,2,False)</f>
        <v>1CR23IS031</v>
      </c>
      <c r="E35" s="222">
        <v>9.483310578E9</v>
      </c>
      <c r="F35" s="222" t="s">
        <v>3706</v>
      </c>
      <c r="G35" s="88"/>
      <c r="H35" s="223">
        <v>65.0</v>
      </c>
      <c r="I35" s="211">
        <v>79.0</v>
      </c>
      <c r="J35" s="211">
        <f>VLOOKUP(D35,'L3'!$1:$2060,2,False)</f>
        <v>70</v>
      </c>
      <c r="K35" s="211">
        <f>VLOOKUP(D35,'L4'!$1:$2059,2,False)</f>
        <v>73</v>
      </c>
      <c r="L35" s="212">
        <f>VLOOKUP(D35,'A1 RETEST 5 DEC'!$1:$2096,2,FALSE)</f>
        <v>28</v>
      </c>
      <c r="M35" s="213">
        <f>VLOOKUP(D35,'A2 RETEST 4 DEC'!$1:$2096,2,False)</f>
        <v>41</v>
      </c>
      <c r="N35" s="213">
        <v>50.0</v>
      </c>
      <c r="O35" s="212"/>
      <c r="P35" s="214">
        <f>IFNA(VLOOKUP(D35,'S1'!$1:$2000,2,False),0)</f>
        <v>91</v>
      </c>
      <c r="Q35" s="214">
        <f>vlookup(D35,'S2'!A31:B1233,2,0)</f>
        <v>55</v>
      </c>
      <c r="R35" s="214">
        <f>ifna(vlookup(D35,'S3'!$1:$1311,2,False),0)</f>
        <v>86</v>
      </c>
      <c r="S35" s="214"/>
      <c r="T35" s="215">
        <v>20.0</v>
      </c>
      <c r="U35" s="215">
        <v>22.0</v>
      </c>
      <c r="V35" s="215">
        <v>48.0</v>
      </c>
      <c r="W35" s="215">
        <v>60.0</v>
      </c>
      <c r="X35" s="216">
        <v>76.0</v>
      </c>
      <c r="Y35" s="215"/>
      <c r="Z35" s="224"/>
      <c r="AA35" s="218">
        <v>100.0</v>
      </c>
      <c r="AB35" s="219">
        <v>93.0</v>
      </c>
      <c r="AC35" s="129">
        <v>70.0</v>
      </c>
      <c r="AD35" s="129">
        <v>60.0</v>
      </c>
      <c r="AE35" s="130">
        <v>61.0</v>
      </c>
      <c r="AF35" s="129"/>
      <c r="AG35" s="129">
        <v>67.0</v>
      </c>
      <c r="AH35" s="129"/>
      <c r="AI35" s="131"/>
      <c r="AJ35" s="131"/>
      <c r="AK35" s="132">
        <f t="shared" si="1"/>
        <v>4</v>
      </c>
      <c r="AL35" s="132">
        <f t="shared" si="2"/>
        <v>0</v>
      </c>
      <c r="AM35" s="133">
        <f t="shared" si="3"/>
        <v>3</v>
      </c>
      <c r="AN35" s="132" t="str">
        <f t="shared" si="4"/>
        <v>3</v>
      </c>
      <c r="AO35" s="132">
        <f t="shared" si="5"/>
        <v>3</v>
      </c>
      <c r="AP35" s="88"/>
    </row>
    <row r="36">
      <c r="A36" s="142">
        <v>32.0</v>
      </c>
      <c r="B36" s="220" t="s">
        <v>1404</v>
      </c>
      <c r="C36" s="221" t="s">
        <v>3449</v>
      </c>
      <c r="D36" s="209" t="str">
        <f>VLOOKUP(B36,USN!$1:$1088,2,False)</f>
        <v>1CR23IS032</v>
      </c>
      <c r="E36" s="227">
        <v>6.362442718E9</v>
      </c>
      <c r="F36" s="222" t="s">
        <v>3706</v>
      </c>
      <c r="G36" s="88"/>
      <c r="H36" s="223">
        <v>77.0</v>
      </c>
      <c r="I36" s="211">
        <v>84.0</v>
      </c>
      <c r="J36" s="211">
        <f>VLOOKUP(D36,'L3'!$1:$2060,2,False)</f>
        <v>70</v>
      </c>
      <c r="K36" s="211">
        <f>VLOOKUP(D36,'L4'!$1:$2059,2,False)</f>
        <v>70</v>
      </c>
      <c r="L36" s="212">
        <f>VLOOKUP(D36,'A1 RETEST 5 DEC'!$1:$2096,2,FALSE)</f>
        <v>54</v>
      </c>
      <c r="M36" s="213">
        <f>VLOOKUP(D36,'A2 RETEST 4 DEC'!$1:$2096,2,False)</f>
        <v>58</v>
      </c>
      <c r="N36" s="213">
        <v>56.0</v>
      </c>
      <c r="O36" s="212"/>
      <c r="P36" s="214">
        <f>IFNA(VLOOKUP(D36,'S1'!$1:$2000,2,False),0)</f>
        <v>50</v>
      </c>
      <c r="Q36" s="214">
        <f>vlookup(D36,'S2'!A32:B1234,2,0)</f>
        <v>58</v>
      </c>
      <c r="R36" s="214">
        <f>ifna(vlookup(D36,'S3'!$1:$1311,2,False),0)</f>
        <v>78</v>
      </c>
      <c r="S36" s="214"/>
      <c r="T36" s="215">
        <v>12.0</v>
      </c>
      <c r="U36" s="215">
        <v>23.0</v>
      </c>
      <c r="V36" s="215">
        <v>48.0</v>
      </c>
      <c r="W36" s="215">
        <v>56.0</v>
      </c>
      <c r="X36" s="216">
        <v>72.0</v>
      </c>
      <c r="Y36" s="215"/>
      <c r="Z36" s="224"/>
      <c r="AA36" s="218">
        <v>94.0</v>
      </c>
      <c r="AB36" s="219">
        <v>93.0</v>
      </c>
      <c r="AC36" s="129">
        <v>77.0</v>
      </c>
      <c r="AD36" s="129">
        <v>77.0</v>
      </c>
      <c r="AE36" s="130">
        <v>70.0</v>
      </c>
      <c r="AF36" s="129"/>
      <c r="AG36" s="129">
        <v>69.0</v>
      </c>
      <c r="AH36" s="129"/>
      <c r="AI36" s="131"/>
      <c r="AJ36" s="131"/>
      <c r="AK36" s="132">
        <f t="shared" si="1"/>
        <v>4</v>
      </c>
      <c r="AL36" s="132">
        <f t="shared" si="2"/>
        <v>3</v>
      </c>
      <c r="AM36" s="133">
        <f t="shared" si="3"/>
        <v>3</v>
      </c>
      <c r="AN36" s="132" t="str">
        <f t="shared" si="4"/>
        <v>3.5</v>
      </c>
      <c r="AO36" s="132">
        <f t="shared" si="5"/>
        <v>3</v>
      </c>
      <c r="AP36" s="88"/>
    </row>
    <row r="37">
      <c r="A37" s="142">
        <v>33.0</v>
      </c>
      <c r="B37" s="230" t="s">
        <v>1487</v>
      </c>
      <c r="C37" s="221" t="s">
        <v>3450</v>
      </c>
      <c r="D37" s="209" t="str">
        <f>VLOOKUP(B37,USN!$1:$1088,2,False)</f>
        <v>1CR23IS033</v>
      </c>
      <c r="E37" s="231">
        <v>7.570971724E9</v>
      </c>
      <c r="F37" s="222" t="s">
        <v>3706</v>
      </c>
      <c r="G37" s="88"/>
      <c r="H37" s="223">
        <v>62.0</v>
      </c>
      <c r="I37" s="211">
        <v>70.0</v>
      </c>
      <c r="J37" s="211">
        <f>VLOOKUP(D37,'L3'!$1:$2060,2,False)</f>
        <v>26</v>
      </c>
      <c r="K37" s="211">
        <f>VLOOKUP(D37,'L4'!$1:$2059,2,False)</f>
        <v>30</v>
      </c>
      <c r="L37" s="212">
        <f>VLOOKUP(D37,'A1 RETEST 5 DEC'!$1:$2096,2,FALSE)</f>
        <v>28</v>
      </c>
      <c r="M37" s="213">
        <f>VLOOKUP(D37,'A2 RETEST 4 DEC'!$1:$2096,2,False)</f>
        <v>0</v>
      </c>
      <c r="N37" s="213">
        <v>0.0</v>
      </c>
      <c r="O37" s="212"/>
      <c r="P37" s="214">
        <f>IFNA(VLOOKUP(D37,'S1'!$1:$2000,2,False),0)</f>
        <v>0</v>
      </c>
      <c r="Q37" s="214">
        <f>vlookup(D37,'S2'!A33:B1235,2,0)</f>
        <v>0</v>
      </c>
      <c r="R37" s="214">
        <f>ifna(vlookup(D37,'S3'!$1:$1311,2,False),0)</f>
        <v>0</v>
      </c>
      <c r="S37" s="214"/>
      <c r="T37" s="215">
        <v>12.0</v>
      </c>
      <c r="U37" s="215">
        <v>19.0</v>
      </c>
      <c r="V37" s="215"/>
      <c r="W37" s="215"/>
      <c r="X37" s="216">
        <v>0.0</v>
      </c>
      <c r="Y37" s="215"/>
      <c r="Z37" s="217"/>
      <c r="AA37" s="218">
        <v>24.0</v>
      </c>
      <c r="AB37" s="219">
        <v>86.0</v>
      </c>
      <c r="AC37" s="129">
        <v>0.0</v>
      </c>
      <c r="AD37" s="129">
        <v>0.0</v>
      </c>
      <c r="AE37" s="130">
        <v>10.0</v>
      </c>
      <c r="AF37" s="129"/>
      <c r="AG37" s="129">
        <v>30.0</v>
      </c>
      <c r="AH37" s="129"/>
      <c r="AI37" s="88"/>
      <c r="AJ37" s="88"/>
      <c r="AK37" s="132">
        <f t="shared" si="1"/>
        <v>0</v>
      </c>
      <c r="AL37" s="132">
        <f t="shared" si="2"/>
        <v>0</v>
      </c>
      <c r="AM37" s="133">
        <f t="shared" si="3"/>
        <v>2</v>
      </c>
      <c r="AN37" s="132" t="str">
        <f t="shared" si="4"/>
        <v>2</v>
      </c>
      <c r="AO37" s="132">
        <f t="shared" si="5"/>
        <v>0</v>
      </c>
      <c r="AP37" s="88"/>
    </row>
    <row r="38">
      <c r="A38" s="142">
        <v>34.0</v>
      </c>
      <c r="B38" s="220" t="s">
        <v>1379</v>
      </c>
      <c r="C38" s="221" t="s">
        <v>3451</v>
      </c>
      <c r="D38" s="209" t="str">
        <f>VLOOKUP(B38,USN!$1:$1088,2,False)</f>
        <v>1CR23IS034</v>
      </c>
      <c r="E38" s="222">
        <v>9.908667847E9</v>
      </c>
      <c r="F38" s="222" t="s">
        <v>3706</v>
      </c>
      <c r="G38" s="228"/>
      <c r="H38" s="223">
        <v>65.0</v>
      </c>
      <c r="I38" s="211">
        <v>76.0</v>
      </c>
      <c r="J38" s="211">
        <f>VLOOKUP(D38,'L3'!$1:$2060,2,False)</f>
        <v>70</v>
      </c>
      <c r="K38" s="211">
        <f>VLOOKUP(D38,'L4'!$1:$2059,2,False)</f>
        <v>70</v>
      </c>
      <c r="L38" s="212">
        <f>VLOOKUP(D38,'A1 RETEST 5 DEC'!$1:$2096,2,FALSE)</f>
        <v>50</v>
      </c>
      <c r="M38" s="213">
        <f>VLOOKUP(D38,'A2 RETEST 4 DEC'!$1:$2096,2,False)</f>
        <v>50</v>
      </c>
      <c r="N38" s="213">
        <v>50.0</v>
      </c>
      <c r="O38" s="212"/>
      <c r="P38" s="214">
        <f>IFNA(VLOOKUP(D38,'S1'!$1:$2000,2,False),0)</f>
        <v>50</v>
      </c>
      <c r="Q38" s="214">
        <f>vlookup(D38,'S2'!A34:B1236,2,0)</f>
        <v>55</v>
      </c>
      <c r="R38" s="214">
        <f>ifna(vlookup(D38,'S3'!$1:$1311,2,False),0)</f>
        <v>50</v>
      </c>
      <c r="S38" s="214"/>
      <c r="T38" s="215">
        <v>20.0</v>
      </c>
      <c r="U38" s="215">
        <v>22.0</v>
      </c>
      <c r="V38" s="215">
        <v>48.0</v>
      </c>
      <c r="W38" s="215">
        <v>64.0</v>
      </c>
      <c r="X38" s="216">
        <v>64.0</v>
      </c>
      <c r="Y38" s="215"/>
      <c r="Z38" s="224"/>
      <c r="AA38" s="218">
        <v>100.0</v>
      </c>
      <c r="AB38" s="219">
        <v>87.0</v>
      </c>
      <c r="AC38" s="129">
        <v>60.0</v>
      </c>
      <c r="AD38" s="129">
        <v>60.0</v>
      </c>
      <c r="AE38" s="130">
        <v>50.0</v>
      </c>
      <c r="AF38" s="129"/>
      <c r="AG38" s="129">
        <v>33.0</v>
      </c>
      <c r="AH38" s="129"/>
      <c r="AI38" s="131"/>
      <c r="AJ38" s="131"/>
      <c r="AK38" s="132">
        <f t="shared" si="1"/>
        <v>4</v>
      </c>
      <c r="AL38" s="132">
        <f t="shared" si="2"/>
        <v>3</v>
      </c>
      <c r="AM38" s="133">
        <f t="shared" si="3"/>
        <v>3</v>
      </c>
      <c r="AN38" s="132" t="str">
        <f t="shared" si="4"/>
        <v>3</v>
      </c>
      <c r="AO38" s="132">
        <f t="shared" si="5"/>
        <v>3</v>
      </c>
      <c r="AP38" s="88"/>
    </row>
    <row r="39">
      <c r="A39" s="142">
        <v>35.0</v>
      </c>
      <c r="B39" s="220" t="s">
        <v>1380</v>
      </c>
      <c r="C39" s="221" t="s">
        <v>3452</v>
      </c>
      <c r="D39" s="209" t="str">
        <f>VLOOKUP(B39,USN!$1:$1088,2,False)</f>
        <v>1CR23IS035</v>
      </c>
      <c r="E39" s="222">
        <v>8.050317779E9</v>
      </c>
      <c r="F39" s="222" t="s">
        <v>3706</v>
      </c>
      <c r="G39" s="232"/>
      <c r="H39" s="223">
        <v>69.0</v>
      </c>
      <c r="I39" s="211">
        <v>80.0</v>
      </c>
      <c r="J39" s="211">
        <f>VLOOKUP(D39,'L3'!$1:$2060,2,False)</f>
        <v>46</v>
      </c>
      <c r="K39" s="211">
        <f>VLOOKUP(D39,'L4'!$1:$2059,2,False)</f>
        <v>70</v>
      </c>
      <c r="L39" s="212">
        <f>VLOOKUP(D39,'A1 RETEST 5 DEC'!$1:$2096,2,FALSE)</f>
        <v>50</v>
      </c>
      <c r="M39" s="213">
        <f>VLOOKUP(D39,'A2 RETEST 4 DEC'!$1:$2096,2,False)</f>
        <v>50</v>
      </c>
      <c r="N39" s="213">
        <v>58.0</v>
      </c>
      <c r="O39" s="212"/>
      <c r="P39" s="214">
        <f>IFNA(VLOOKUP(D39,'S1'!$1:$2000,2,False),0)</f>
        <v>84</v>
      </c>
      <c r="Q39" s="214">
        <f>vlookup(D39,'S2'!A35:B1237,2,0)</f>
        <v>70</v>
      </c>
      <c r="R39" s="214">
        <f>ifna(vlookup(D39,'S3'!$1:$1311,2,False),0)</f>
        <v>70</v>
      </c>
      <c r="S39" s="214"/>
      <c r="T39" s="215">
        <v>12.0</v>
      </c>
      <c r="U39" s="215">
        <v>22.0</v>
      </c>
      <c r="V39" s="215">
        <v>46.0</v>
      </c>
      <c r="W39" s="215">
        <v>64.0</v>
      </c>
      <c r="X39" s="216">
        <v>88.0</v>
      </c>
      <c r="Y39" s="215"/>
      <c r="Z39" s="224"/>
      <c r="AA39" s="218">
        <v>70.0</v>
      </c>
      <c r="AB39" s="219">
        <v>71.0</v>
      </c>
      <c r="AC39" s="129">
        <v>72.0</v>
      </c>
      <c r="AD39" s="129">
        <v>60.0</v>
      </c>
      <c r="AE39" s="130">
        <v>70.0</v>
      </c>
      <c r="AF39" s="129"/>
      <c r="AG39" s="129">
        <v>36.0</v>
      </c>
      <c r="AH39" s="129"/>
      <c r="AI39" s="131"/>
      <c r="AJ39" s="131"/>
      <c r="AK39" s="132">
        <f t="shared" si="1"/>
        <v>2</v>
      </c>
      <c r="AL39" s="132">
        <f t="shared" si="2"/>
        <v>3</v>
      </c>
      <c r="AM39" s="133">
        <f t="shared" si="3"/>
        <v>3</v>
      </c>
      <c r="AN39" s="132" t="str">
        <f t="shared" si="4"/>
        <v>3.5</v>
      </c>
      <c r="AO39" s="132">
        <f t="shared" si="5"/>
        <v>3</v>
      </c>
      <c r="AP39" s="88"/>
    </row>
    <row r="40">
      <c r="A40" s="142">
        <v>36.0</v>
      </c>
      <c r="B40" s="229" t="s">
        <v>1552</v>
      </c>
      <c r="C40" s="221" t="s">
        <v>3453</v>
      </c>
      <c r="D40" s="209" t="str">
        <f>VLOOKUP(B40,USN!$1:$1088,2,False)</f>
        <v>1CR23IS036</v>
      </c>
      <c r="E40" s="222">
        <v>7.48329448E9</v>
      </c>
      <c r="F40" s="222" t="s">
        <v>3706</v>
      </c>
      <c r="G40" s="88"/>
      <c r="H40" s="223">
        <v>79.0</v>
      </c>
      <c r="I40" s="211">
        <v>82.0</v>
      </c>
      <c r="J40" s="211">
        <f>VLOOKUP(D40,'L3'!$1:$2060,2,False)</f>
        <v>70</v>
      </c>
      <c r="K40" s="211">
        <f>VLOOKUP(D40,'L4'!$1:$2059,2,False)</f>
        <v>70</v>
      </c>
      <c r="L40" s="212">
        <f>VLOOKUP(D40,'A1 RETEST 5 DEC'!$1:$2096,2,FALSE)</f>
        <v>50</v>
      </c>
      <c r="M40" s="213">
        <f>VLOOKUP(D40,'A2 RETEST 4 DEC'!$1:$2096,2,False)</f>
        <v>10</v>
      </c>
      <c r="N40" s="213">
        <v>15.0</v>
      </c>
      <c r="O40" s="212"/>
      <c r="P40" s="214">
        <f>IFNA(VLOOKUP(D40,'S1'!$1:$2000,2,False),0)</f>
        <v>50</v>
      </c>
      <c r="Q40" s="214">
        <f>vlookup(D40,'S2'!A36:B1238,2,0)</f>
        <v>50</v>
      </c>
      <c r="R40" s="214">
        <f>ifna(vlookup(D40,'S3'!$1:$1311,2,False),0)</f>
        <v>50</v>
      </c>
      <c r="S40" s="214"/>
      <c r="T40" s="215">
        <v>13.0</v>
      </c>
      <c r="U40" s="215">
        <v>24.0</v>
      </c>
      <c r="V40" s="215">
        <v>46.0</v>
      </c>
      <c r="W40" s="215">
        <v>72.0</v>
      </c>
      <c r="X40" s="216">
        <v>68.0</v>
      </c>
      <c r="Y40" s="215"/>
      <c r="Z40" s="217"/>
      <c r="AA40" s="218">
        <v>4.0</v>
      </c>
      <c r="AB40" s="219">
        <v>87.0</v>
      </c>
      <c r="AC40" s="129">
        <v>40.0</v>
      </c>
      <c r="AD40" s="129">
        <v>0.0</v>
      </c>
      <c r="AE40" s="130">
        <v>70.0</v>
      </c>
      <c r="AF40" s="129"/>
      <c r="AG40" s="129">
        <v>32.0</v>
      </c>
      <c r="AH40" s="129"/>
      <c r="AI40" s="88"/>
      <c r="AJ40" s="88"/>
      <c r="AK40" s="132">
        <f t="shared" si="1"/>
        <v>4</v>
      </c>
      <c r="AL40" s="132">
        <f t="shared" si="2"/>
        <v>1</v>
      </c>
      <c r="AM40" s="133">
        <f t="shared" si="3"/>
        <v>3</v>
      </c>
      <c r="AN40" s="132" t="str">
        <f t="shared" si="4"/>
        <v>2</v>
      </c>
      <c r="AO40" s="132">
        <f t="shared" si="5"/>
        <v>3</v>
      </c>
      <c r="AP40" s="88"/>
    </row>
    <row r="41">
      <c r="A41" s="142">
        <v>37.0</v>
      </c>
      <c r="B41" s="220" t="s">
        <v>1395</v>
      </c>
      <c r="C41" s="221" t="s">
        <v>3454</v>
      </c>
      <c r="D41" s="209" t="str">
        <f>VLOOKUP(B41,USN!$1:$1088,2,False)</f>
        <v>1CR23IS037</v>
      </c>
      <c r="E41" s="222">
        <v>8.54899346E9</v>
      </c>
      <c r="F41" s="222" t="s">
        <v>3706</v>
      </c>
      <c r="G41" s="88"/>
      <c r="H41" s="223">
        <v>73.0</v>
      </c>
      <c r="I41" s="211">
        <v>81.0</v>
      </c>
      <c r="J41" s="211">
        <f>VLOOKUP(D41,'L3'!$1:$2060,2,False)</f>
        <v>70</v>
      </c>
      <c r="K41" s="211">
        <f>VLOOKUP(D41,'L4'!$1:$2059,2,False)</f>
        <v>81</v>
      </c>
      <c r="L41" s="212">
        <f>VLOOKUP(D41,'A1 RETEST 5 DEC'!$1:$2096,2,FALSE)</f>
        <v>50</v>
      </c>
      <c r="M41" s="213">
        <f>VLOOKUP(D41,'A2 RETEST 4 DEC'!$1:$2096,2,False)</f>
        <v>50</v>
      </c>
      <c r="N41" s="213">
        <v>61.0</v>
      </c>
      <c r="O41" s="212"/>
      <c r="P41" s="214">
        <f>IFNA(VLOOKUP(D41,'S1'!$1:$2000,2,False),0)</f>
        <v>78</v>
      </c>
      <c r="Q41" s="214">
        <f>vlookup(D41,'S2'!A37:B1239,2,0)</f>
        <v>78</v>
      </c>
      <c r="R41" s="214">
        <f>ifna(vlookup(D41,'S3'!$1:$1311,2,False),0)</f>
        <v>77</v>
      </c>
      <c r="S41" s="214"/>
      <c r="T41" s="215">
        <v>13.0</v>
      </c>
      <c r="U41" s="215">
        <v>23.0</v>
      </c>
      <c r="V41" s="215"/>
      <c r="W41" s="215">
        <v>72.0</v>
      </c>
      <c r="X41" s="216">
        <v>68.0</v>
      </c>
      <c r="Y41" s="215"/>
      <c r="Z41" s="224"/>
      <c r="AA41" s="218">
        <v>4.0</v>
      </c>
      <c r="AB41" s="219">
        <v>91.0</v>
      </c>
      <c r="AC41" s="129">
        <v>62.0</v>
      </c>
      <c r="AD41" s="129">
        <v>100.0</v>
      </c>
      <c r="AE41" s="130">
        <v>70.0</v>
      </c>
      <c r="AF41" s="129"/>
      <c r="AG41" s="129">
        <v>72.0</v>
      </c>
      <c r="AH41" s="129"/>
      <c r="AI41" s="131"/>
      <c r="AJ41" s="131"/>
      <c r="AK41" s="132">
        <f t="shared" si="1"/>
        <v>4</v>
      </c>
      <c r="AL41" s="132">
        <f t="shared" si="2"/>
        <v>3</v>
      </c>
      <c r="AM41" s="133">
        <f t="shared" si="3"/>
        <v>3</v>
      </c>
      <c r="AN41" s="132" t="str">
        <f t="shared" si="4"/>
        <v>3.5</v>
      </c>
      <c r="AO41" s="132">
        <f t="shared" si="5"/>
        <v>3</v>
      </c>
      <c r="AP41" s="88"/>
    </row>
    <row r="42">
      <c r="A42" s="142">
        <v>38.0</v>
      </c>
      <c r="B42" s="220" t="s">
        <v>94</v>
      </c>
      <c r="C42" s="221" t="s">
        <v>3455</v>
      </c>
      <c r="D42" s="209" t="str">
        <f>VLOOKUP(B42,USN!$1:$1088,2,False)</f>
        <v>1CR23IS038</v>
      </c>
      <c r="E42" s="222">
        <v>8.179448036E9</v>
      </c>
      <c r="F42" s="222" t="s">
        <v>3706</v>
      </c>
      <c r="G42" s="88"/>
      <c r="H42" s="233">
        <v>65.0</v>
      </c>
      <c r="I42" s="211">
        <v>65.0</v>
      </c>
      <c r="J42" s="211">
        <f>VLOOKUP(D42,'L3'!$1:$2060,2,False)</f>
        <v>70</v>
      </c>
      <c r="K42" s="211">
        <f>VLOOKUP(D42,'L4'!$1:$2059,2,False)</f>
        <v>70</v>
      </c>
      <c r="L42" s="212">
        <f>VLOOKUP(D42,'A1 RETEST 5 DEC'!$1:$2096,2,FALSE)</f>
        <v>50</v>
      </c>
      <c r="M42" s="213">
        <f>VLOOKUP(D42,'A2 RETEST 4 DEC'!$1:$2096,2,False)</f>
        <v>18</v>
      </c>
      <c r="N42" s="213">
        <v>0.0</v>
      </c>
      <c r="O42" s="212"/>
      <c r="P42" s="214">
        <f>IFNA(VLOOKUP(D42,'S1'!$1:$2000,2,False),0)</f>
        <v>77</v>
      </c>
      <c r="Q42" s="214">
        <f>vlookup(D42,'S2'!A38:B1240,2,0)</f>
        <v>55</v>
      </c>
      <c r="R42" s="214">
        <f>ifna(vlookup(D42,'S3'!$1:$1311,2,False),0)</f>
        <v>78</v>
      </c>
      <c r="S42" s="214"/>
      <c r="T42" s="215">
        <v>10.0</v>
      </c>
      <c r="U42" s="215">
        <v>15.0</v>
      </c>
      <c r="V42" s="215"/>
      <c r="W42" s="215">
        <v>60.0</v>
      </c>
      <c r="X42" s="216">
        <v>68.0</v>
      </c>
      <c r="Y42" s="215"/>
      <c r="Z42" s="217"/>
      <c r="AA42" s="218">
        <v>0.0</v>
      </c>
      <c r="AB42" s="219">
        <v>55.0</v>
      </c>
      <c r="AC42" s="129">
        <v>17.0</v>
      </c>
      <c r="AD42" s="129">
        <v>32.0</v>
      </c>
      <c r="AE42" s="130">
        <v>10.0</v>
      </c>
      <c r="AF42" s="129"/>
      <c r="AG42" s="129">
        <v>36.0</v>
      </c>
      <c r="AH42" s="129"/>
      <c r="AI42" s="131"/>
      <c r="AJ42" s="131"/>
      <c r="AK42" s="132">
        <f t="shared" si="1"/>
        <v>4</v>
      </c>
      <c r="AL42" s="132">
        <f t="shared" si="2"/>
        <v>1</v>
      </c>
      <c r="AM42" s="133">
        <f t="shared" si="3"/>
        <v>3</v>
      </c>
      <c r="AN42" s="132" t="str">
        <f t="shared" si="4"/>
        <v>2</v>
      </c>
      <c r="AO42" s="132">
        <f t="shared" si="5"/>
        <v>3</v>
      </c>
      <c r="AP42" s="88"/>
    </row>
    <row r="43">
      <c r="A43" s="142">
        <v>39.0</v>
      </c>
      <c r="B43" s="220" t="s">
        <v>1418</v>
      </c>
      <c r="C43" s="221" t="s">
        <v>3456</v>
      </c>
      <c r="D43" s="209" t="str">
        <f>VLOOKUP(B43,USN!$1:$1088,2,False)</f>
        <v>1CR23IS039</v>
      </c>
      <c r="E43" s="227">
        <v>8.296104117E9</v>
      </c>
      <c r="F43" s="222" t="s">
        <v>3706</v>
      </c>
      <c r="G43" s="88"/>
      <c r="H43" s="223">
        <v>90.0</v>
      </c>
      <c r="I43" s="211">
        <v>87.0</v>
      </c>
      <c r="J43" s="211">
        <f>VLOOKUP(D43,'L3'!$1:$2060,2,False)</f>
        <v>70</v>
      </c>
      <c r="K43" s="211">
        <f>VLOOKUP(D43,'L4'!$1:$2059,2,False)</f>
        <v>70</v>
      </c>
      <c r="L43" s="212">
        <f>VLOOKUP(D43,'A1 RETEST 5 DEC'!$1:$2096,2,FALSE)</f>
        <v>50</v>
      </c>
      <c r="M43" s="213">
        <f>VLOOKUP(D43,'A2 RETEST 4 DEC'!$1:$2096,2,False)</f>
        <v>52</v>
      </c>
      <c r="N43" s="213">
        <v>58.0</v>
      </c>
      <c r="O43" s="212"/>
      <c r="P43" s="214">
        <f>IFNA(VLOOKUP(D43,'S1'!$1:$2000,2,False),0)</f>
        <v>77</v>
      </c>
      <c r="Q43" s="214">
        <f>vlookup(D43,'S2'!A39:B1241,2,0)</f>
        <v>84</v>
      </c>
      <c r="R43" s="214">
        <f>ifna(vlookup(D43,'S3'!$1:$1311,2,False),0)</f>
        <v>92</v>
      </c>
      <c r="S43" s="214"/>
      <c r="T43" s="215">
        <v>13.0</v>
      </c>
      <c r="U43" s="215">
        <v>18.0</v>
      </c>
      <c r="V43" s="215">
        <v>44.0</v>
      </c>
      <c r="W43" s="215">
        <v>72.0</v>
      </c>
      <c r="X43" s="216">
        <v>92.0</v>
      </c>
      <c r="Y43" s="215"/>
      <c r="Z43" s="224"/>
      <c r="AA43" s="218">
        <v>70.0</v>
      </c>
      <c r="AB43" s="219">
        <v>95.0</v>
      </c>
      <c r="AC43" s="129">
        <v>79.0</v>
      </c>
      <c r="AD43" s="129">
        <v>80.0</v>
      </c>
      <c r="AE43" s="130">
        <v>70.0</v>
      </c>
      <c r="AF43" s="129"/>
      <c r="AG43" s="129">
        <v>71.0</v>
      </c>
      <c r="AH43" s="129"/>
      <c r="AI43" s="88"/>
      <c r="AJ43" s="88"/>
      <c r="AK43" s="132">
        <f t="shared" si="1"/>
        <v>4</v>
      </c>
      <c r="AL43" s="132">
        <f t="shared" si="2"/>
        <v>3</v>
      </c>
      <c r="AM43" s="133">
        <f t="shared" si="3"/>
        <v>3</v>
      </c>
      <c r="AN43" s="132" t="str">
        <f t="shared" si="4"/>
        <v>3.5</v>
      </c>
      <c r="AO43" s="132">
        <f t="shared" si="5"/>
        <v>3</v>
      </c>
      <c r="AP43" s="88"/>
    </row>
    <row r="44">
      <c r="A44" s="142">
        <v>40.0</v>
      </c>
      <c r="B44" s="220" t="s">
        <v>1381</v>
      </c>
      <c r="C44" s="221" t="s">
        <v>3457</v>
      </c>
      <c r="D44" s="209" t="str">
        <f>VLOOKUP(B44,USN!$1:$1088,2,False)</f>
        <v>1CR23IS040</v>
      </c>
      <c r="E44" s="222">
        <v>8.431399276E9</v>
      </c>
      <c r="F44" s="222" t="s">
        <v>3706</v>
      </c>
      <c r="G44" s="88"/>
      <c r="H44" s="223">
        <v>71.0</v>
      </c>
      <c r="I44" s="211">
        <v>76.0</v>
      </c>
      <c r="J44" s="211">
        <f>VLOOKUP(D44,'L3'!$1:$2060,2,False)</f>
        <v>70</v>
      </c>
      <c r="K44" s="211">
        <f>VLOOKUP(D44,'L4'!$1:$2059,2,False)</f>
        <v>70</v>
      </c>
      <c r="L44" s="212">
        <f>VLOOKUP(D44,'A1 RETEST 5 DEC'!$1:$2096,2,FALSE)</f>
        <v>50</v>
      </c>
      <c r="M44" s="213">
        <f>VLOOKUP(D44,'A2 RETEST 4 DEC'!$1:$2096,2,False)</f>
        <v>46</v>
      </c>
      <c r="N44" s="213">
        <v>13.0</v>
      </c>
      <c r="O44" s="212"/>
      <c r="P44" s="214">
        <f>IFNA(VLOOKUP(D44,'S1'!$1:$2000,2,False),0)</f>
        <v>78</v>
      </c>
      <c r="Q44" s="214">
        <f>vlookup(D44,'S2'!A40:B1242,2,0)</f>
        <v>50</v>
      </c>
      <c r="R44" s="214">
        <f>ifna(vlookup(D44,'S3'!$1:$1311,2,False),0)</f>
        <v>0</v>
      </c>
      <c r="S44" s="214"/>
      <c r="T44" s="215">
        <v>17.0</v>
      </c>
      <c r="U44" s="215">
        <v>19.0</v>
      </c>
      <c r="V44" s="215"/>
      <c r="W44" s="215">
        <v>80.0</v>
      </c>
      <c r="X44" s="216">
        <v>80.0</v>
      </c>
      <c r="Y44" s="215"/>
      <c r="Z44" s="224"/>
      <c r="AA44" s="218">
        <v>20.0</v>
      </c>
      <c r="AB44" s="219">
        <v>62.0</v>
      </c>
      <c r="AC44" s="129">
        <v>42.0</v>
      </c>
      <c r="AD44" s="129">
        <v>60.0</v>
      </c>
      <c r="AE44" s="130">
        <v>70.0</v>
      </c>
      <c r="AF44" s="129"/>
      <c r="AG44" s="129">
        <v>32.0</v>
      </c>
      <c r="AH44" s="129"/>
      <c r="AI44" s="131"/>
      <c r="AJ44" s="131"/>
      <c r="AK44" s="132">
        <f t="shared" si="1"/>
        <v>4</v>
      </c>
      <c r="AL44" s="132">
        <f t="shared" si="2"/>
        <v>1</v>
      </c>
      <c r="AM44" s="133">
        <f t="shared" si="3"/>
        <v>3</v>
      </c>
      <c r="AN44" s="132" t="str">
        <f t="shared" si="4"/>
        <v>3.5</v>
      </c>
      <c r="AO44" s="132">
        <f t="shared" si="5"/>
        <v>2</v>
      </c>
      <c r="AP44" s="88"/>
    </row>
    <row r="45">
      <c r="A45" s="142">
        <v>41.0</v>
      </c>
      <c r="B45" s="220" t="s">
        <v>1396</v>
      </c>
      <c r="C45" s="221" t="s">
        <v>3458</v>
      </c>
      <c r="D45" s="209" t="str">
        <f>VLOOKUP(B45,USN!$1:$1088,2,False)</f>
        <v>1CR23IS041</v>
      </c>
      <c r="E45" s="222">
        <v>7.483742826E9</v>
      </c>
      <c r="F45" s="222" t="s">
        <v>3706</v>
      </c>
      <c r="G45" s="88"/>
      <c r="H45" s="223">
        <v>78.0</v>
      </c>
      <c r="I45" s="211">
        <v>84.0</v>
      </c>
      <c r="J45" s="211">
        <f>VLOOKUP(D45,'L3'!$1:$2060,2,False)</f>
        <v>76</v>
      </c>
      <c r="K45" s="211">
        <f>VLOOKUP(D45,'L4'!$1:$2059,2,False)</f>
        <v>74</v>
      </c>
      <c r="L45" s="212">
        <f>VLOOKUP(D45,'A1 RETEST 5 DEC'!$1:$2096,2,FALSE)</f>
        <v>50</v>
      </c>
      <c r="M45" s="213">
        <f>VLOOKUP(D45,'A2 RETEST 4 DEC'!$1:$2096,2,False)</f>
        <v>42</v>
      </c>
      <c r="N45" s="213">
        <v>53.0</v>
      </c>
      <c r="O45" s="212"/>
      <c r="P45" s="214">
        <f>IFNA(VLOOKUP(D45,'S1'!$1:$2000,2,False),0)</f>
        <v>77</v>
      </c>
      <c r="Q45" s="214">
        <f>vlookup(D45,'S2'!A41:B1243,2,0)</f>
        <v>55</v>
      </c>
      <c r="R45" s="214">
        <f>ifna(vlookup(D45,'S3'!$1:$1311,2,False),0)</f>
        <v>86</v>
      </c>
      <c r="S45" s="214"/>
      <c r="T45" s="215">
        <v>16.0</v>
      </c>
      <c r="U45" s="215">
        <v>19.0</v>
      </c>
      <c r="V45" s="215">
        <v>44.0</v>
      </c>
      <c r="W45" s="215">
        <v>64.0</v>
      </c>
      <c r="X45" s="216">
        <v>80.0</v>
      </c>
      <c r="Y45" s="215"/>
      <c r="Z45" s="217"/>
      <c r="AA45" s="218">
        <v>68.0</v>
      </c>
      <c r="AB45" s="219">
        <v>100.0</v>
      </c>
      <c r="AC45" s="129">
        <v>67.0</v>
      </c>
      <c r="AD45" s="129">
        <v>60.0</v>
      </c>
      <c r="AE45" s="130">
        <v>70.0</v>
      </c>
      <c r="AF45" s="129"/>
      <c r="AG45" s="129">
        <v>78.0</v>
      </c>
      <c r="AH45" s="129"/>
      <c r="AI45" s="131"/>
      <c r="AJ45" s="131"/>
      <c r="AK45" s="132">
        <f t="shared" si="1"/>
        <v>4</v>
      </c>
      <c r="AL45" s="132">
        <f t="shared" si="2"/>
        <v>1</v>
      </c>
      <c r="AM45" s="133">
        <f t="shared" si="3"/>
        <v>3</v>
      </c>
      <c r="AN45" s="132" t="str">
        <f t="shared" si="4"/>
        <v>3.5</v>
      </c>
      <c r="AO45" s="132">
        <f t="shared" si="5"/>
        <v>3</v>
      </c>
      <c r="AP45" s="88"/>
    </row>
    <row r="46">
      <c r="A46" s="142">
        <v>42.0</v>
      </c>
      <c r="B46" s="220" t="s">
        <v>1382</v>
      </c>
      <c r="C46" s="221" t="s">
        <v>3459</v>
      </c>
      <c r="D46" s="209" t="str">
        <f>VLOOKUP(B46,USN!$1:$1088,2,False)</f>
        <v>1CR23IS042</v>
      </c>
      <c r="E46" s="222" t="s">
        <v>3707</v>
      </c>
      <c r="F46" s="222" t="s">
        <v>3706</v>
      </c>
      <c r="G46" s="88"/>
      <c r="H46" s="223">
        <v>68.0</v>
      </c>
      <c r="I46" s="211">
        <v>85.0</v>
      </c>
      <c r="J46" s="211">
        <f>VLOOKUP(D46,'L3'!$1:$2060,2,False)</f>
        <v>70</v>
      </c>
      <c r="K46" s="211">
        <f>VLOOKUP(D46,'L4'!$1:$2059,2,False)</f>
        <v>75</v>
      </c>
      <c r="L46" s="212">
        <f>VLOOKUP(D46,'A1 RETEST 5 DEC'!$1:$2096,2,FALSE)</f>
        <v>50</v>
      </c>
      <c r="M46" s="213">
        <f>VLOOKUP(D46,'A2 RETEST 4 DEC'!$1:$2096,2,False)</f>
        <v>50</v>
      </c>
      <c r="N46" s="213">
        <v>50.0</v>
      </c>
      <c r="O46" s="212"/>
      <c r="P46" s="214">
        <f>IFNA(VLOOKUP(D46,'S1'!$1:$2000,2,False),0)</f>
        <v>81</v>
      </c>
      <c r="Q46" s="214">
        <f>vlookup(D46,'S2'!A42:B1244,2,0)</f>
        <v>55</v>
      </c>
      <c r="R46" s="214">
        <f>ifna(vlookup(D46,'S3'!$1:$1311,2,False),0)</f>
        <v>84</v>
      </c>
      <c r="S46" s="214"/>
      <c r="T46" s="215">
        <v>10.0</v>
      </c>
      <c r="U46" s="215">
        <v>21.0</v>
      </c>
      <c r="V46" s="215"/>
      <c r="W46" s="215">
        <v>68.0</v>
      </c>
      <c r="X46" s="216">
        <v>80.0</v>
      </c>
      <c r="Y46" s="215"/>
      <c r="Z46" s="217"/>
      <c r="AA46" s="218">
        <v>14.0</v>
      </c>
      <c r="AB46" s="219">
        <v>100.0</v>
      </c>
      <c r="AC46" s="129">
        <v>67.0</v>
      </c>
      <c r="AD46" s="129">
        <v>60.0</v>
      </c>
      <c r="AE46" s="130">
        <v>70.0</v>
      </c>
      <c r="AF46" s="129"/>
      <c r="AG46" s="129">
        <v>75.0</v>
      </c>
      <c r="AH46" s="129"/>
      <c r="AI46" s="131"/>
      <c r="AJ46" s="131"/>
      <c r="AK46" s="132">
        <f t="shared" si="1"/>
        <v>4</v>
      </c>
      <c r="AL46" s="132">
        <f t="shared" si="2"/>
        <v>3</v>
      </c>
      <c r="AM46" s="133">
        <f t="shared" si="3"/>
        <v>3</v>
      </c>
      <c r="AN46" s="132" t="str">
        <f t="shared" si="4"/>
        <v>3.5</v>
      </c>
      <c r="AO46" s="132">
        <f t="shared" si="5"/>
        <v>3</v>
      </c>
      <c r="AP46" s="88"/>
    </row>
    <row r="47">
      <c r="A47" s="142">
        <v>43.0</v>
      </c>
      <c r="B47" s="220" t="s">
        <v>1546</v>
      </c>
      <c r="C47" s="221" t="s">
        <v>3460</v>
      </c>
      <c r="D47" s="209" t="str">
        <f>VLOOKUP(B47,USN!$1:$1088,2,False)</f>
        <v>1CR23IS043</v>
      </c>
      <c r="E47" s="234">
        <v>8.431566846E9</v>
      </c>
      <c r="F47" s="234" t="s">
        <v>3706</v>
      </c>
      <c r="G47" s="88"/>
      <c r="H47" s="223">
        <v>83.0</v>
      </c>
      <c r="I47" s="211">
        <v>89.0</v>
      </c>
      <c r="J47" s="211">
        <f>VLOOKUP(D47,'L3'!$1:$2060,2,False)</f>
        <v>83</v>
      </c>
      <c r="K47" s="211">
        <f>VLOOKUP(D47,'L4'!$1:$2059,2,False)</f>
        <v>74</v>
      </c>
      <c r="L47" s="212">
        <f>VLOOKUP(D47,'A1 RETEST 5 DEC'!$1:$2096,2,FALSE)</f>
        <v>50</v>
      </c>
      <c r="M47" s="213">
        <f>VLOOKUP(D47,'A2 RETEST 4 DEC'!$1:$2096,2,False)</f>
        <v>50</v>
      </c>
      <c r="N47" s="213">
        <v>50.0</v>
      </c>
      <c r="O47" s="212"/>
      <c r="P47" s="214">
        <f>IFNA(VLOOKUP(D47,'S1'!$1:$2000,2,False),0)</f>
        <v>86</v>
      </c>
      <c r="Q47" s="214">
        <f>vlookup(D47,'S2'!A43:B1245,2,0)</f>
        <v>81</v>
      </c>
      <c r="R47" s="214">
        <f>ifna(vlookup(D47,'S3'!$1:$1311,2,False),0)</f>
        <v>85</v>
      </c>
      <c r="S47" s="214"/>
      <c r="T47" s="215">
        <v>11.0</v>
      </c>
      <c r="U47" s="215">
        <v>25.0</v>
      </c>
      <c r="V47" s="215">
        <v>46.0</v>
      </c>
      <c r="W47" s="215">
        <v>68.0</v>
      </c>
      <c r="X47" s="216">
        <v>92.0</v>
      </c>
      <c r="Y47" s="215"/>
      <c r="Z47" s="217"/>
      <c r="AA47" s="218">
        <v>8.0</v>
      </c>
      <c r="AB47" s="219">
        <v>86.0</v>
      </c>
      <c r="AC47" s="129">
        <v>32.0</v>
      </c>
      <c r="AD47" s="129">
        <v>60.0</v>
      </c>
      <c r="AE47" s="130">
        <v>70.0</v>
      </c>
      <c r="AF47" s="129"/>
      <c r="AG47" s="129">
        <v>77.0</v>
      </c>
      <c r="AH47" s="129"/>
      <c r="AI47" s="88"/>
      <c r="AJ47" s="88"/>
      <c r="AK47" s="132">
        <f t="shared" si="1"/>
        <v>4</v>
      </c>
      <c r="AL47" s="132">
        <f t="shared" si="2"/>
        <v>3</v>
      </c>
      <c r="AM47" s="133">
        <f t="shared" si="3"/>
        <v>3</v>
      </c>
      <c r="AN47" s="132" t="str">
        <f t="shared" si="4"/>
        <v>3.5</v>
      </c>
      <c r="AO47" s="132">
        <f t="shared" si="5"/>
        <v>3</v>
      </c>
      <c r="AP47" s="88"/>
    </row>
    <row r="48">
      <c r="A48" s="142">
        <v>44.0</v>
      </c>
      <c r="B48" s="220" t="s">
        <v>1383</v>
      </c>
      <c r="C48" s="221" t="s">
        <v>3461</v>
      </c>
      <c r="D48" s="209" t="str">
        <f>VLOOKUP(B48,USN!$1:$1088,2,False)</f>
        <v>1CR23IS045</v>
      </c>
      <c r="E48" s="222">
        <v>9.108379543E9</v>
      </c>
      <c r="F48" s="222" t="s">
        <v>3706</v>
      </c>
      <c r="G48" s="88"/>
      <c r="H48" s="223">
        <v>70.0</v>
      </c>
      <c r="I48" s="211">
        <v>86.0</v>
      </c>
      <c r="J48" s="211">
        <f>VLOOKUP(D48,'L3'!$1:$2060,2,False)</f>
        <v>70</v>
      </c>
      <c r="K48" s="211">
        <f>VLOOKUP(D48,'L4'!$1:$2059,2,False)</f>
        <v>70</v>
      </c>
      <c r="L48" s="212">
        <f>VLOOKUP(D48,'A1 RETEST 5 DEC'!$1:$2096,2,FALSE)</f>
        <v>50</v>
      </c>
      <c r="M48" s="213">
        <f>VLOOKUP(D48,'A2 RETEST 4 DEC'!$1:$2096,2,False)</f>
        <v>30</v>
      </c>
      <c r="N48" s="213">
        <v>34.0</v>
      </c>
      <c r="O48" s="212"/>
      <c r="P48" s="214">
        <f>IFNA(VLOOKUP(D48,'S1'!$1:$2000,2,False),0)</f>
        <v>82</v>
      </c>
      <c r="Q48" s="214">
        <f>vlookup(D48,'S2'!A44:B1246,2,0)</f>
        <v>58</v>
      </c>
      <c r="R48" s="214">
        <f>ifna(vlookup(D48,'S3'!$1:$1311,2,False),0)</f>
        <v>50</v>
      </c>
      <c r="S48" s="214"/>
      <c r="T48" s="215">
        <v>11.0</v>
      </c>
      <c r="U48" s="215">
        <v>22.0</v>
      </c>
      <c r="V48" s="215">
        <v>44.0</v>
      </c>
      <c r="W48" s="215">
        <v>68.0</v>
      </c>
      <c r="X48" s="216">
        <v>76.0</v>
      </c>
      <c r="Y48" s="215"/>
      <c r="Z48" s="224"/>
      <c r="AA48" s="218">
        <v>6.0</v>
      </c>
      <c r="AB48" s="219">
        <v>97.0</v>
      </c>
      <c r="AC48" s="129">
        <v>48.0</v>
      </c>
      <c r="AD48" s="129">
        <v>80.0</v>
      </c>
      <c r="AE48" s="130">
        <v>70.0</v>
      </c>
      <c r="AF48" s="129"/>
      <c r="AG48" s="129">
        <v>56.0</v>
      </c>
      <c r="AH48" s="129"/>
      <c r="AI48" s="131"/>
      <c r="AJ48" s="131"/>
      <c r="AK48" s="132">
        <f t="shared" si="1"/>
        <v>4</v>
      </c>
      <c r="AL48" s="132">
        <f t="shared" si="2"/>
        <v>1</v>
      </c>
      <c r="AM48" s="133">
        <f t="shared" si="3"/>
        <v>3</v>
      </c>
      <c r="AN48" s="132" t="str">
        <f t="shared" si="4"/>
        <v>3.5</v>
      </c>
      <c r="AO48" s="132">
        <f t="shared" si="5"/>
        <v>3</v>
      </c>
      <c r="AP48" s="88"/>
    </row>
    <row r="49">
      <c r="A49" s="142">
        <v>45.0</v>
      </c>
      <c r="B49" s="220" t="s">
        <v>1417</v>
      </c>
      <c r="C49" s="221" t="s">
        <v>3462</v>
      </c>
      <c r="D49" s="209" t="str">
        <f>VLOOKUP(B49,USN!$1:$1088,2,False)</f>
        <v>1CR23IS046</v>
      </c>
      <c r="E49" s="227">
        <v>7.204970628E9</v>
      </c>
      <c r="F49" s="222" t="s">
        <v>3706</v>
      </c>
      <c r="G49" s="88"/>
      <c r="H49" s="233">
        <v>70.0</v>
      </c>
      <c r="I49" s="211">
        <v>70.0</v>
      </c>
      <c r="J49" s="211">
        <f>VLOOKUP(D49,'L3'!$1:$2060,2,False)</f>
        <v>70</v>
      </c>
      <c r="K49" s="211">
        <f>VLOOKUP(D49,'L4'!$1:$2059,2,False)</f>
        <v>70</v>
      </c>
      <c r="L49" s="212">
        <f>VLOOKUP(D49,'A1 RETEST 5 DEC'!$1:$2096,2,FALSE)</f>
        <v>50</v>
      </c>
      <c r="M49" s="213">
        <f>VLOOKUP(D49,'A2 RETEST 4 DEC'!$1:$2096,2,False)</f>
        <v>34</v>
      </c>
      <c r="N49" s="213">
        <v>50.0</v>
      </c>
      <c r="O49" s="212"/>
      <c r="P49" s="214">
        <f>IFNA(VLOOKUP(D49,'S1'!$1:$2000,2,False),0)</f>
        <v>78</v>
      </c>
      <c r="Q49" s="214">
        <f>vlookup(D49,'S2'!A45:B1247,2,0)</f>
        <v>50</v>
      </c>
      <c r="R49" s="214">
        <f>ifna(vlookup(D49,'S3'!$1:$1311,2,False),0)</f>
        <v>85</v>
      </c>
      <c r="S49" s="214"/>
      <c r="T49" s="215">
        <v>21.0</v>
      </c>
      <c r="U49" s="215">
        <v>24.0</v>
      </c>
      <c r="V49" s="215">
        <v>46.0</v>
      </c>
      <c r="W49" s="215">
        <v>72.0</v>
      </c>
      <c r="X49" s="216">
        <v>76.0</v>
      </c>
      <c r="Y49" s="215"/>
      <c r="Z49" s="224"/>
      <c r="AA49" s="218">
        <v>64.0</v>
      </c>
      <c r="AB49" s="219">
        <v>92.0</v>
      </c>
      <c r="AC49" s="129">
        <v>61.0</v>
      </c>
      <c r="AD49" s="129">
        <v>100.0</v>
      </c>
      <c r="AE49" s="130">
        <v>34.0</v>
      </c>
      <c r="AF49" s="129"/>
      <c r="AG49" s="129">
        <v>36.0</v>
      </c>
      <c r="AH49" s="129"/>
      <c r="AI49" s="88"/>
      <c r="AJ49" s="88"/>
      <c r="AK49" s="132">
        <f t="shared" si="1"/>
        <v>4</v>
      </c>
      <c r="AL49" s="132">
        <f t="shared" si="2"/>
        <v>1</v>
      </c>
      <c r="AM49" s="133">
        <f t="shared" si="3"/>
        <v>3</v>
      </c>
      <c r="AN49" s="132" t="str">
        <f t="shared" si="4"/>
        <v>3</v>
      </c>
      <c r="AO49" s="132">
        <f t="shared" si="5"/>
        <v>3</v>
      </c>
      <c r="AP49" s="88"/>
    </row>
    <row r="50">
      <c r="A50" s="142">
        <v>46.0</v>
      </c>
      <c r="B50" s="220" t="s">
        <v>1402</v>
      </c>
      <c r="C50" s="221" t="s">
        <v>3463</v>
      </c>
      <c r="D50" s="209" t="str">
        <f>VLOOKUP(B50,USN!$1:$1088,2,False)</f>
        <v>1CR23IS047</v>
      </c>
      <c r="E50" s="235">
        <v>9.845334254E9</v>
      </c>
      <c r="F50" s="222" t="s">
        <v>3706</v>
      </c>
      <c r="G50" s="88"/>
      <c r="H50" s="223">
        <v>68.0</v>
      </c>
      <c r="I50" s="211">
        <v>70.0</v>
      </c>
      <c r="J50" s="211">
        <f>VLOOKUP(D50,'L3'!$1:$2060,2,False)</f>
        <v>70</v>
      </c>
      <c r="K50" s="211">
        <f>VLOOKUP(D50,'L4'!$1:$2059,2,False)</f>
        <v>70</v>
      </c>
      <c r="L50" s="212">
        <f>VLOOKUP(D50,'A1 RETEST 5 DEC'!$1:$2096,2,FALSE)</f>
        <v>12</v>
      </c>
      <c r="M50" s="213">
        <f>VLOOKUP(D50,'A2 RETEST 4 DEC'!$1:$2096,2,False)</f>
        <v>0</v>
      </c>
      <c r="N50" s="213">
        <v>0.0</v>
      </c>
      <c r="O50" s="212"/>
      <c r="P50" s="214">
        <f>IFNA(VLOOKUP(D50,'S1'!$1:$2000,2,False),0)</f>
        <v>0</v>
      </c>
      <c r="Q50" s="214">
        <f>vlookup(D50,'S2'!A46:B1248,2,0)</f>
        <v>0</v>
      </c>
      <c r="R50" s="214">
        <f>ifna(vlookup(D50,'S3'!$1:$1311,2,False),0)</f>
        <v>0</v>
      </c>
      <c r="S50" s="214"/>
      <c r="T50" s="215">
        <v>13.0</v>
      </c>
      <c r="U50" s="215">
        <v>19.0</v>
      </c>
      <c r="V50" s="215">
        <v>36.0</v>
      </c>
      <c r="W50" s="215">
        <v>32.0</v>
      </c>
      <c r="X50" s="216">
        <v>68.0</v>
      </c>
      <c r="Y50" s="215"/>
      <c r="Z50" s="224"/>
      <c r="AA50" s="218">
        <v>20.0</v>
      </c>
      <c r="AB50" s="219">
        <v>56.0</v>
      </c>
      <c r="AC50" s="129">
        <v>0.0</v>
      </c>
      <c r="AD50" s="129">
        <v>0.0</v>
      </c>
      <c r="AE50" s="130">
        <v>10.0</v>
      </c>
      <c r="AF50" s="129"/>
      <c r="AG50" s="129">
        <v>30.0</v>
      </c>
      <c r="AH50" s="129"/>
      <c r="AI50" s="131"/>
      <c r="AJ50" s="131"/>
      <c r="AK50" s="132">
        <f t="shared" si="1"/>
        <v>4</v>
      </c>
      <c r="AL50" s="132">
        <f t="shared" si="2"/>
        <v>0</v>
      </c>
      <c r="AM50" s="133">
        <f t="shared" si="3"/>
        <v>2</v>
      </c>
      <c r="AN50" s="132" t="str">
        <f t="shared" si="4"/>
        <v>2</v>
      </c>
      <c r="AO50" s="132">
        <f t="shared" si="5"/>
        <v>0</v>
      </c>
      <c r="AP50" s="88"/>
    </row>
    <row r="51">
      <c r="A51" s="142">
        <v>47.0</v>
      </c>
      <c r="B51" s="229" t="s">
        <v>1473</v>
      </c>
      <c r="C51" s="221" t="s">
        <v>3464</v>
      </c>
      <c r="D51" s="209" t="str">
        <f>VLOOKUP(B51,USN!$1:$1088,2,False)</f>
        <v>1CR23IS048</v>
      </c>
      <c r="E51" s="227">
        <v>6.361772158E9</v>
      </c>
      <c r="F51" s="222" t="s">
        <v>3706</v>
      </c>
      <c r="G51" s="88"/>
      <c r="H51" s="223">
        <v>77.0</v>
      </c>
      <c r="I51" s="211">
        <v>82.0</v>
      </c>
      <c r="J51" s="211">
        <f>VLOOKUP(D51,'L3'!$1:$2060,2,False)</f>
        <v>71</v>
      </c>
      <c r="K51" s="211">
        <f>VLOOKUP(D51,'L4'!$1:$2059,2,False)</f>
        <v>70</v>
      </c>
      <c r="L51" s="212">
        <f>VLOOKUP(D51,'A1 RETEST 5 DEC'!$1:$2096,2,FALSE)</f>
        <v>24</v>
      </c>
      <c r="M51" s="213">
        <f>VLOOKUP(D51,'A2 RETEST 4 DEC'!$1:$2096,2,False)</f>
        <v>46</v>
      </c>
      <c r="N51" s="213">
        <v>53.0</v>
      </c>
      <c r="O51" s="212"/>
      <c r="P51" s="214">
        <f>IFNA(VLOOKUP(D51,'S1'!$1:$2000,2,False),0)</f>
        <v>86</v>
      </c>
      <c r="Q51" s="214">
        <f>vlookup(D51,'S2'!A47:B1249,2,0)</f>
        <v>50</v>
      </c>
      <c r="R51" s="214">
        <f>ifna(vlookup(D51,'S3'!$1:$1311,2,False),0)</f>
        <v>88</v>
      </c>
      <c r="S51" s="214"/>
      <c r="T51" s="215">
        <v>19.0</v>
      </c>
      <c r="U51" s="215">
        <v>24.0</v>
      </c>
      <c r="V51" s="215">
        <v>46.0</v>
      </c>
      <c r="W51" s="215">
        <v>52.0</v>
      </c>
      <c r="X51" s="216">
        <v>72.0</v>
      </c>
      <c r="Y51" s="215"/>
      <c r="Z51" s="217"/>
      <c r="AA51" s="218">
        <v>39.6</v>
      </c>
      <c r="AB51" s="219">
        <v>95.0</v>
      </c>
      <c r="AC51" s="129">
        <v>77.0</v>
      </c>
      <c r="AD51" s="129">
        <v>90.0</v>
      </c>
      <c r="AE51" s="130">
        <v>71.0</v>
      </c>
      <c r="AF51" s="129"/>
      <c r="AG51" s="129">
        <v>71.0</v>
      </c>
      <c r="AH51" s="129"/>
      <c r="AI51" s="88"/>
      <c r="AJ51" s="88"/>
      <c r="AK51" s="132">
        <f t="shared" si="1"/>
        <v>4</v>
      </c>
      <c r="AL51" s="132">
        <f t="shared" si="2"/>
        <v>0</v>
      </c>
      <c r="AM51" s="133">
        <f t="shared" si="3"/>
        <v>3</v>
      </c>
      <c r="AN51" s="132" t="str">
        <f t="shared" si="4"/>
        <v>3.5</v>
      </c>
      <c r="AO51" s="132">
        <f t="shared" si="5"/>
        <v>3</v>
      </c>
      <c r="AP51" s="88"/>
    </row>
    <row r="52">
      <c r="A52" s="142">
        <v>48.0</v>
      </c>
      <c r="B52" s="220" t="s">
        <v>1384</v>
      </c>
      <c r="C52" s="221" t="s">
        <v>3465</v>
      </c>
      <c r="D52" s="209" t="str">
        <f>VLOOKUP(B52,USN!$1:$1088,2,False)</f>
        <v>1CR23IS049</v>
      </c>
      <c r="E52" s="222">
        <v>9.663548648E9</v>
      </c>
      <c r="F52" s="222" t="s">
        <v>3706</v>
      </c>
      <c r="G52" s="88"/>
      <c r="H52" s="223">
        <v>70.0</v>
      </c>
      <c r="I52" s="211">
        <v>80.0</v>
      </c>
      <c r="J52" s="211">
        <f>VLOOKUP(D52,'L3'!$1:$2060,2,False)</f>
        <v>73</v>
      </c>
      <c r="K52" s="211">
        <f>VLOOKUP(D52,'L4'!$1:$2059,2,False)</f>
        <v>70</v>
      </c>
      <c r="L52" s="212">
        <f>VLOOKUP(D52,'A1 RETEST 5 DEC'!$1:$2096,2,FALSE)</f>
        <v>38</v>
      </c>
      <c r="M52" s="213">
        <f>VLOOKUP(D52,'A2 RETEST 4 DEC'!$1:$2096,2,False)</f>
        <v>50</v>
      </c>
      <c r="N52" s="213">
        <v>58.0</v>
      </c>
      <c r="O52" s="212"/>
      <c r="P52" s="214">
        <f>IFNA(VLOOKUP(D52,'S1'!$1:$2000,2,False),0)</f>
        <v>78</v>
      </c>
      <c r="Q52" s="214">
        <f>vlookup(D52,'S2'!A48:B1250,2,0)</f>
        <v>50</v>
      </c>
      <c r="R52" s="214">
        <f>ifna(vlookup(D52,'S3'!$1:$1311,2,False),0)</f>
        <v>75</v>
      </c>
      <c r="S52" s="214"/>
      <c r="T52" s="215">
        <v>12.0</v>
      </c>
      <c r="U52" s="215">
        <v>19.0</v>
      </c>
      <c r="V52" s="215">
        <v>46.0</v>
      </c>
      <c r="W52" s="215">
        <v>56.0</v>
      </c>
      <c r="X52" s="216">
        <v>80.0</v>
      </c>
      <c r="Y52" s="215"/>
      <c r="Z52" s="224"/>
      <c r="AA52" s="218">
        <v>100.0</v>
      </c>
      <c r="AB52" s="219">
        <v>92.0</v>
      </c>
      <c r="AC52" s="129">
        <v>67.0</v>
      </c>
      <c r="AD52" s="129">
        <v>63.0</v>
      </c>
      <c r="AE52" s="130">
        <v>80.0</v>
      </c>
      <c r="AF52" s="129"/>
      <c r="AG52" s="129">
        <v>54.0</v>
      </c>
      <c r="AH52" s="129"/>
      <c r="AI52" s="131"/>
      <c r="AJ52" s="131"/>
      <c r="AK52" s="132">
        <f t="shared" si="1"/>
        <v>4</v>
      </c>
      <c r="AL52" s="132">
        <f t="shared" si="2"/>
        <v>0</v>
      </c>
      <c r="AM52" s="133">
        <f t="shared" si="3"/>
        <v>3</v>
      </c>
      <c r="AN52" s="132" t="str">
        <f t="shared" si="4"/>
        <v>3.5</v>
      </c>
      <c r="AO52" s="132">
        <f t="shared" si="5"/>
        <v>3</v>
      </c>
      <c r="AP52" s="88"/>
    </row>
    <row r="53">
      <c r="A53" s="142">
        <v>49.0</v>
      </c>
      <c r="B53" s="220" t="s">
        <v>1385</v>
      </c>
      <c r="C53" s="221" t="s">
        <v>3466</v>
      </c>
      <c r="D53" s="209" t="str">
        <f>VLOOKUP(B53,USN!$1:$1088,2,False)</f>
        <v>1CR23IS050</v>
      </c>
      <c r="E53" s="222">
        <v>7.022410424E9</v>
      </c>
      <c r="F53" s="222" t="s">
        <v>3706</v>
      </c>
      <c r="G53" s="88"/>
      <c r="H53" s="233">
        <v>70.0</v>
      </c>
      <c r="I53" s="211">
        <v>79.0</v>
      </c>
      <c r="J53" s="211">
        <f>VLOOKUP(D53,'L3'!$1:$2060,2,False)</f>
        <v>70</v>
      </c>
      <c r="K53" s="211">
        <f>VLOOKUP(D53,'L4'!$1:$2059,2,False)</f>
        <v>70</v>
      </c>
      <c r="L53" s="212">
        <f>VLOOKUP(D53,'A1 RETEST 5 DEC'!$1:$2096,2,FALSE)</f>
        <v>50</v>
      </c>
      <c r="M53" s="213">
        <f>VLOOKUP(D53,'A2 RETEST 4 DEC'!$1:$2096,2,False)</f>
        <v>43</v>
      </c>
      <c r="N53" s="213">
        <v>50.0</v>
      </c>
      <c r="O53" s="212"/>
      <c r="P53" s="214">
        <f>IFNA(VLOOKUP(D53,'S1'!$1:$2000,2,False),0)</f>
        <v>81</v>
      </c>
      <c r="Q53" s="214">
        <f>vlookup(D53,'S2'!A49:B1251,2,0)</f>
        <v>50</v>
      </c>
      <c r="R53" s="214">
        <f>ifna(vlookup(D53,'S3'!$1:$1311,2,False),0)</f>
        <v>84</v>
      </c>
      <c r="S53" s="214"/>
      <c r="T53" s="215">
        <v>19.0</v>
      </c>
      <c r="U53" s="215">
        <v>20.0</v>
      </c>
      <c r="V53" s="215">
        <v>46.0</v>
      </c>
      <c r="W53" s="215">
        <v>48.0</v>
      </c>
      <c r="X53" s="216">
        <v>76.0</v>
      </c>
      <c r="Y53" s="215"/>
      <c r="Z53" s="224"/>
      <c r="AA53" s="218">
        <v>16.0</v>
      </c>
      <c r="AB53" s="219">
        <v>97.0</v>
      </c>
      <c r="AC53" s="129">
        <v>37.0</v>
      </c>
      <c r="AD53" s="129">
        <v>67.0</v>
      </c>
      <c r="AE53" s="130">
        <v>80.0</v>
      </c>
      <c r="AF53" s="129"/>
      <c r="AG53" s="129">
        <v>50.0</v>
      </c>
      <c r="AH53" s="129"/>
      <c r="AI53" s="131"/>
      <c r="AJ53" s="131"/>
      <c r="AK53" s="132">
        <f t="shared" si="1"/>
        <v>4</v>
      </c>
      <c r="AL53" s="132">
        <f t="shared" si="2"/>
        <v>1</v>
      </c>
      <c r="AM53" s="133">
        <f t="shared" si="3"/>
        <v>2</v>
      </c>
      <c r="AN53" s="132" t="str">
        <f t="shared" si="4"/>
        <v>3.5</v>
      </c>
      <c r="AO53" s="132">
        <f t="shared" si="5"/>
        <v>3</v>
      </c>
      <c r="AP53" s="88"/>
    </row>
    <row r="54">
      <c r="A54" s="142">
        <v>50.0</v>
      </c>
      <c r="B54" s="220" t="s">
        <v>1386</v>
      </c>
      <c r="C54" s="221" t="s">
        <v>3467</v>
      </c>
      <c r="D54" s="209" t="str">
        <f>VLOOKUP(B54,USN!$1:$1088,2,False)</f>
        <v>1CR23IS051</v>
      </c>
      <c r="E54" s="222">
        <v>8.792896274E9</v>
      </c>
      <c r="F54" s="222" t="s">
        <v>3706</v>
      </c>
      <c r="G54" s="88"/>
      <c r="H54" s="223">
        <v>87.0</v>
      </c>
      <c r="I54" s="211">
        <v>90.0</v>
      </c>
      <c r="J54" s="211">
        <f>VLOOKUP(D54,'L3'!$1:$2060,2,False)</f>
        <v>88</v>
      </c>
      <c r="K54" s="211">
        <f>VLOOKUP(D54,'L4'!$1:$2059,2,False)</f>
        <v>73</v>
      </c>
      <c r="L54" s="212">
        <f>VLOOKUP(D54,'A1 RETEST 5 DEC'!$1:$2096,2,FALSE)</f>
        <v>50</v>
      </c>
      <c r="M54" s="213">
        <f>VLOOKUP(D54,'A2 RETEST 4 DEC'!$1:$2096,2,False)</f>
        <v>43</v>
      </c>
      <c r="N54" s="213">
        <v>50.0</v>
      </c>
      <c r="O54" s="212"/>
      <c r="P54" s="214">
        <f>IFNA(VLOOKUP(D54,'S1'!$1:$2000,2,False),0)</f>
        <v>80</v>
      </c>
      <c r="Q54" s="214">
        <f>vlookup(D54,'S2'!A50:B1252,2,0)</f>
        <v>55</v>
      </c>
      <c r="R54" s="214">
        <f>ifna(vlookup(D54,'S3'!$1:$1311,2,False),0)</f>
        <v>83</v>
      </c>
      <c r="S54" s="214"/>
      <c r="T54" s="215">
        <v>13.0</v>
      </c>
      <c r="U54" s="215">
        <v>23.0</v>
      </c>
      <c r="V54" s="215">
        <v>40.0</v>
      </c>
      <c r="W54" s="215">
        <v>48.0</v>
      </c>
      <c r="X54" s="216">
        <v>80.0</v>
      </c>
      <c r="Y54" s="215"/>
      <c r="Z54" s="224"/>
      <c r="AA54" s="218">
        <v>74.0</v>
      </c>
      <c r="AB54" s="219">
        <v>100.0</v>
      </c>
      <c r="AC54" s="129">
        <v>51.0</v>
      </c>
      <c r="AD54" s="129">
        <v>60.0</v>
      </c>
      <c r="AE54" s="130">
        <v>42.0</v>
      </c>
      <c r="AF54" s="129"/>
      <c r="AG54" s="129">
        <v>77.0</v>
      </c>
      <c r="AH54" s="129"/>
      <c r="AI54" s="131"/>
      <c r="AJ54" s="131"/>
      <c r="AK54" s="132">
        <f t="shared" si="1"/>
        <v>4</v>
      </c>
      <c r="AL54" s="132">
        <f t="shared" si="2"/>
        <v>1</v>
      </c>
      <c r="AM54" s="133">
        <f t="shared" si="3"/>
        <v>2</v>
      </c>
      <c r="AN54" s="132" t="str">
        <f t="shared" si="4"/>
        <v>3</v>
      </c>
      <c r="AO54" s="132">
        <f t="shared" si="5"/>
        <v>3</v>
      </c>
      <c r="AP54" s="88"/>
    </row>
    <row r="55">
      <c r="A55" s="142">
        <v>51.0</v>
      </c>
      <c r="B55" s="220" t="s">
        <v>1465</v>
      </c>
      <c r="C55" s="221" t="s">
        <v>3468</v>
      </c>
      <c r="D55" s="209" t="str">
        <f>VLOOKUP(B55,USN!$1:$1088,2,False)</f>
        <v>1CR23IS052</v>
      </c>
      <c r="E55" s="227">
        <v>9.900174647E9</v>
      </c>
      <c r="F55" s="222" t="s">
        <v>3706</v>
      </c>
      <c r="G55" s="88"/>
      <c r="H55" s="233">
        <v>70.0</v>
      </c>
      <c r="I55" s="211">
        <v>74.0</v>
      </c>
      <c r="J55" s="211">
        <f>VLOOKUP(D55,'L3'!$1:$2060,2,False)</f>
        <v>70</v>
      </c>
      <c r="K55" s="211">
        <f>VLOOKUP(D55,'L4'!$1:$2059,2,False)</f>
        <v>70</v>
      </c>
      <c r="L55" s="212">
        <f>VLOOKUP(D55,'A1 RETEST 5 DEC'!$1:$2096,2,FALSE)</f>
        <v>23</v>
      </c>
      <c r="M55" s="213">
        <f>VLOOKUP(D55,'A2 RETEST 4 DEC'!$1:$2096,2,False)</f>
        <v>14</v>
      </c>
      <c r="N55" s="213">
        <v>19.0</v>
      </c>
      <c r="O55" s="212"/>
      <c r="P55" s="214">
        <f>IFNA(VLOOKUP(D55,'S1'!$1:$2000,2,False),0)</f>
        <v>50</v>
      </c>
      <c r="Q55" s="214">
        <f>vlookup(D55,'S2'!A51:B1253,2,0)</f>
        <v>55</v>
      </c>
      <c r="R55" s="214">
        <f>ifna(vlookup(D55,'S3'!$1:$1311,2,False),0)</f>
        <v>50</v>
      </c>
      <c r="S55" s="214"/>
      <c r="T55" s="215">
        <v>14.0</v>
      </c>
      <c r="U55" s="215">
        <v>19.0</v>
      </c>
      <c r="V55" s="215"/>
      <c r="W55" s="215">
        <v>28.0</v>
      </c>
      <c r="X55" s="216">
        <v>68.0</v>
      </c>
      <c r="Y55" s="215"/>
      <c r="Z55" s="217"/>
      <c r="AA55" s="218">
        <v>32.0</v>
      </c>
      <c r="AB55" s="219">
        <v>71.0</v>
      </c>
      <c r="AC55" s="129">
        <v>25.0</v>
      </c>
      <c r="AD55" s="129">
        <v>70.0</v>
      </c>
      <c r="AE55" s="130">
        <v>70.0</v>
      </c>
      <c r="AF55" s="129"/>
      <c r="AG55" s="129">
        <v>42.0</v>
      </c>
      <c r="AH55" s="129"/>
      <c r="AI55" s="88"/>
      <c r="AJ55" s="88"/>
      <c r="AK55" s="132">
        <f t="shared" si="1"/>
        <v>4</v>
      </c>
      <c r="AL55" s="132">
        <f t="shared" si="2"/>
        <v>0</v>
      </c>
      <c r="AM55" s="133">
        <f t="shared" si="3"/>
        <v>2</v>
      </c>
      <c r="AN55" s="132" t="str">
        <f t="shared" si="4"/>
        <v>3.5</v>
      </c>
      <c r="AO55" s="132">
        <f t="shared" si="5"/>
        <v>3</v>
      </c>
      <c r="AP55" s="88"/>
    </row>
    <row r="56">
      <c r="A56" s="142">
        <v>52.0</v>
      </c>
      <c r="B56" s="220" t="s">
        <v>1387</v>
      </c>
      <c r="C56" s="221" t="s">
        <v>3469</v>
      </c>
      <c r="D56" s="209" t="str">
        <f>VLOOKUP(B56,USN!$1:$1088,2,False)</f>
        <v>1CR23IS053</v>
      </c>
      <c r="E56" s="222">
        <v>8.951860058E9</v>
      </c>
      <c r="F56" s="222" t="s">
        <v>3706</v>
      </c>
      <c r="G56" s="88"/>
      <c r="H56" s="223">
        <v>66.0</v>
      </c>
      <c r="I56" s="211">
        <v>61.0</v>
      </c>
      <c r="J56" s="211">
        <f>VLOOKUP(D56,'L3'!$1:$2060,2,False)</f>
        <v>6</v>
      </c>
      <c r="K56" s="211">
        <f>VLOOKUP(D56,'L4'!$1:$2059,2,False)</f>
        <v>12</v>
      </c>
      <c r="L56" s="212">
        <f>VLOOKUP(D56,'A1 RETEST 5 DEC'!$1:$2096,2,FALSE)</f>
        <v>25</v>
      </c>
      <c r="M56" s="213">
        <f>VLOOKUP(D56,'A2 RETEST 4 DEC'!$1:$2096,2,False)</f>
        <v>0</v>
      </c>
      <c r="N56" s="213">
        <v>0.0</v>
      </c>
      <c r="O56" s="212"/>
      <c r="P56" s="214">
        <f>IFNA(VLOOKUP(D56,'S1'!$1:$2000,2,False),0)</f>
        <v>84</v>
      </c>
      <c r="Q56" s="214">
        <f>vlookup(D56,'S2'!A52:B1254,2,0)</f>
        <v>0</v>
      </c>
      <c r="R56" s="214">
        <f>ifna(vlookup(D56,'S3'!$1:$1311,2,False),0)</f>
        <v>0</v>
      </c>
      <c r="S56" s="214"/>
      <c r="T56" s="215" t="s">
        <v>2477</v>
      </c>
      <c r="U56" s="215" t="s">
        <v>2477</v>
      </c>
      <c r="V56" s="215"/>
      <c r="W56" s="215"/>
      <c r="X56" s="216">
        <v>0.0</v>
      </c>
      <c r="Y56" s="215"/>
      <c r="Z56" s="217"/>
      <c r="AA56" s="218">
        <v>0.0</v>
      </c>
      <c r="AB56" s="219">
        <v>47.0</v>
      </c>
      <c r="AC56" s="129">
        <v>0.0</v>
      </c>
      <c r="AD56" s="129">
        <v>0.0</v>
      </c>
      <c r="AE56" s="130">
        <v>10.0</v>
      </c>
      <c r="AF56" s="129"/>
      <c r="AG56" s="129">
        <v>25.0</v>
      </c>
      <c r="AH56" s="129"/>
      <c r="AI56" s="131"/>
      <c r="AJ56" s="131"/>
      <c r="AK56" s="132">
        <f t="shared" si="1"/>
        <v>1</v>
      </c>
      <c r="AL56" s="132">
        <f t="shared" si="2"/>
        <v>0</v>
      </c>
      <c r="AM56" s="133">
        <f t="shared" si="3"/>
        <v>2</v>
      </c>
      <c r="AN56" s="132" t="str">
        <f t="shared" si="4"/>
        <v>0</v>
      </c>
      <c r="AO56" s="132">
        <f t="shared" si="5"/>
        <v>1</v>
      </c>
      <c r="AP56" s="88"/>
    </row>
    <row r="57">
      <c r="A57" s="142">
        <v>53.0</v>
      </c>
      <c r="B57" s="220" t="s">
        <v>1388</v>
      </c>
      <c r="C57" s="221" t="s">
        <v>3470</v>
      </c>
      <c r="D57" s="209" t="str">
        <f>VLOOKUP(B57,USN!$1:$1088,2,False)</f>
        <v>1CR23IS054</v>
      </c>
      <c r="E57" s="222">
        <v>7.207351051E9</v>
      </c>
      <c r="F57" s="222" t="s">
        <v>3706</v>
      </c>
      <c r="G57" s="88"/>
      <c r="H57" s="223">
        <v>75.0</v>
      </c>
      <c r="I57" s="211">
        <v>86.0</v>
      </c>
      <c r="J57" s="211">
        <f>VLOOKUP(D57,'L3'!$1:$2060,2,False)</f>
        <v>70</v>
      </c>
      <c r="K57" s="211">
        <f>VLOOKUP(D57,'L4'!$1:$2059,2,False)</f>
        <v>70</v>
      </c>
      <c r="L57" s="212">
        <f>VLOOKUP(D57,'A1 RETEST 5 DEC'!$1:$2096,2,FALSE)</f>
        <v>51</v>
      </c>
      <c r="M57" s="213">
        <f>VLOOKUP(D57,'A2 RETEST 4 DEC'!$1:$2096,2,False)</f>
        <v>44</v>
      </c>
      <c r="N57" s="213">
        <v>50.0</v>
      </c>
      <c r="O57" s="212"/>
      <c r="P57" s="214">
        <f>IFNA(VLOOKUP(D57,'S1'!$1:$2000,2,False),0)</f>
        <v>50</v>
      </c>
      <c r="Q57" s="214">
        <f>vlookup(D57,'S2'!A53:B1255,2,0)</f>
        <v>55</v>
      </c>
      <c r="R57" s="214">
        <f>ifna(vlookup(D57,'S3'!$1:$1311,2,False),0)</f>
        <v>50</v>
      </c>
      <c r="S57" s="214"/>
      <c r="T57" s="215">
        <v>16.0</v>
      </c>
      <c r="U57" s="215">
        <v>24.0</v>
      </c>
      <c r="V57" s="215">
        <v>48.0</v>
      </c>
      <c r="W57" s="215">
        <v>36.0</v>
      </c>
      <c r="X57" s="216">
        <v>72.0</v>
      </c>
      <c r="Y57" s="215"/>
      <c r="Z57" s="217"/>
      <c r="AA57" s="218">
        <v>36.0</v>
      </c>
      <c r="AB57" s="219">
        <v>97.0</v>
      </c>
      <c r="AC57" s="129">
        <v>60.0</v>
      </c>
      <c r="AD57" s="129">
        <v>63.0</v>
      </c>
      <c r="AE57" s="130">
        <v>46.0</v>
      </c>
      <c r="AF57" s="129"/>
      <c r="AG57" s="129">
        <v>72.0</v>
      </c>
      <c r="AH57" s="129"/>
      <c r="AI57" s="131"/>
      <c r="AJ57" s="131"/>
      <c r="AK57" s="132">
        <f t="shared" si="1"/>
        <v>4</v>
      </c>
      <c r="AL57" s="132">
        <f t="shared" si="2"/>
        <v>1</v>
      </c>
      <c r="AM57" s="133">
        <f t="shared" si="3"/>
        <v>2</v>
      </c>
      <c r="AN57" s="132" t="str">
        <f t="shared" si="4"/>
        <v>3</v>
      </c>
      <c r="AO57" s="132">
        <f t="shared" si="5"/>
        <v>3</v>
      </c>
      <c r="AP57" s="88"/>
    </row>
    <row r="58">
      <c r="A58" s="142">
        <v>54.0</v>
      </c>
      <c r="B58" s="220" t="s">
        <v>1389</v>
      </c>
      <c r="C58" s="221" t="s">
        <v>3471</v>
      </c>
      <c r="D58" s="209" t="str">
        <f>VLOOKUP(B58,USN!$1:$1088,2,False)</f>
        <v>1CR23IS055</v>
      </c>
      <c r="E58" s="222">
        <v>6.360353508E9</v>
      </c>
      <c r="F58" s="222" t="s">
        <v>3706</v>
      </c>
      <c r="G58" s="88"/>
      <c r="H58" s="233">
        <v>70.0</v>
      </c>
      <c r="I58" s="211">
        <v>76.0</v>
      </c>
      <c r="J58" s="211">
        <f>VLOOKUP(D58,'L3'!$1:$2060,2,False)</f>
        <v>70</v>
      </c>
      <c r="K58" s="211">
        <f>VLOOKUP(D58,'L4'!$1:$2059,2,False)</f>
        <v>70</v>
      </c>
      <c r="L58" s="212">
        <f>VLOOKUP(D58,'A1 RETEST 5 DEC'!$1:$2096,2,FALSE)</f>
        <v>50</v>
      </c>
      <c r="M58" s="213">
        <f>VLOOKUP(D58,'A2 RETEST 4 DEC'!$1:$2096,2,False)</f>
        <v>50</v>
      </c>
      <c r="N58" s="213">
        <v>50.0</v>
      </c>
      <c r="O58" s="212"/>
      <c r="P58" s="214">
        <f>IFNA(VLOOKUP(D58,'S1'!$1:$2000,2,False),0)</f>
        <v>77</v>
      </c>
      <c r="Q58" s="214">
        <f>vlookup(D58,'S2'!A54:B1256,2,0)</f>
        <v>55</v>
      </c>
      <c r="R58" s="214">
        <f>ifna(vlookup(D58,'S3'!$1:$1311,2,False),0)</f>
        <v>85</v>
      </c>
      <c r="S58" s="214"/>
      <c r="T58" s="215">
        <v>21.0</v>
      </c>
      <c r="U58" s="215">
        <v>23.0</v>
      </c>
      <c r="V58" s="215">
        <v>48.0</v>
      </c>
      <c r="W58" s="215">
        <v>36.0</v>
      </c>
      <c r="X58" s="216">
        <v>64.0</v>
      </c>
      <c r="Y58" s="215"/>
      <c r="Z58" s="217"/>
      <c r="AA58" s="218">
        <v>100.0</v>
      </c>
      <c r="AB58" s="219">
        <v>75.0</v>
      </c>
      <c r="AC58" s="129">
        <v>79.0</v>
      </c>
      <c r="AD58" s="129">
        <v>63.0</v>
      </c>
      <c r="AE58" s="130">
        <v>46.0</v>
      </c>
      <c r="AF58" s="129"/>
      <c r="AG58" s="129">
        <v>41.0</v>
      </c>
      <c r="AH58" s="129"/>
      <c r="AI58" s="131"/>
      <c r="AJ58" s="131"/>
      <c r="AK58" s="132">
        <f t="shared" si="1"/>
        <v>4</v>
      </c>
      <c r="AL58" s="132">
        <f t="shared" si="2"/>
        <v>3</v>
      </c>
      <c r="AM58" s="133">
        <f t="shared" si="3"/>
        <v>2</v>
      </c>
      <c r="AN58" s="132" t="str">
        <f t="shared" si="4"/>
        <v>3</v>
      </c>
      <c r="AO58" s="132">
        <f t="shared" si="5"/>
        <v>3</v>
      </c>
      <c r="AP58" s="88"/>
    </row>
    <row r="59">
      <c r="A59" s="142">
        <v>55.0</v>
      </c>
      <c r="B59" s="220" t="s">
        <v>135</v>
      </c>
      <c r="C59" s="221" t="s">
        <v>3472</v>
      </c>
      <c r="D59" s="209" t="str">
        <f>VLOOKUP(B59,USN!$1:$1088,2,False)</f>
        <v>1CR23IS056</v>
      </c>
      <c r="E59" s="227">
        <v>7.975325464E9</v>
      </c>
      <c r="F59" s="222" t="s">
        <v>3706</v>
      </c>
      <c r="G59" s="88"/>
      <c r="H59" s="233">
        <v>70.0</v>
      </c>
      <c r="I59" s="211">
        <v>70.0</v>
      </c>
      <c r="J59" s="211">
        <f>VLOOKUP(D59,'L3'!$1:$2060,2,False)</f>
        <v>70</v>
      </c>
      <c r="K59" s="211">
        <f>VLOOKUP(D59,'L4'!$1:$2059,2,False)</f>
        <v>84</v>
      </c>
      <c r="L59" s="212">
        <f>VLOOKUP(D59,'A1 RETEST 5 DEC'!$1:$2096,2,FALSE)</f>
        <v>40</v>
      </c>
      <c r="M59" s="213">
        <f>VLOOKUP(D59,'A2 RETEST 4 DEC'!$1:$2096,2,False)</f>
        <v>40</v>
      </c>
      <c r="N59" s="213">
        <v>50.0</v>
      </c>
      <c r="O59" s="212"/>
      <c r="P59" s="214">
        <f>IFNA(VLOOKUP(D59,'S1'!$1:$2000,2,False),0)</f>
        <v>82</v>
      </c>
      <c r="Q59" s="214">
        <f>vlookup(D59,'S2'!A55:B1257,2,0)</f>
        <v>50</v>
      </c>
      <c r="R59" s="214">
        <f>ifna(vlookup(D59,'S3'!$1:$1311,2,False),0)</f>
        <v>50</v>
      </c>
      <c r="S59" s="214"/>
      <c r="T59" s="215">
        <v>14.0</v>
      </c>
      <c r="U59" s="215">
        <v>24.0</v>
      </c>
      <c r="V59" s="215">
        <v>46.0</v>
      </c>
      <c r="W59" s="215">
        <v>40.0</v>
      </c>
      <c r="X59" s="216">
        <v>72.0</v>
      </c>
      <c r="Y59" s="215"/>
      <c r="Z59" s="224"/>
      <c r="AA59" s="218">
        <v>44.0</v>
      </c>
      <c r="AB59" s="219">
        <v>100.0</v>
      </c>
      <c r="AC59" s="129">
        <v>63.0</v>
      </c>
      <c r="AD59" s="129">
        <v>100.0</v>
      </c>
      <c r="AE59" s="130">
        <v>80.0</v>
      </c>
      <c r="AF59" s="129"/>
      <c r="AG59" s="129">
        <v>71.0</v>
      </c>
      <c r="AH59" s="129"/>
      <c r="AI59" s="131"/>
      <c r="AJ59" s="131"/>
      <c r="AK59" s="132">
        <f t="shared" si="1"/>
        <v>4</v>
      </c>
      <c r="AL59" s="132">
        <f t="shared" si="2"/>
        <v>0</v>
      </c>
      <c r="AM59" s="133">
        <f t="shared" si="3"/>
        <v>2</v>
      </c>
      <c r="AN59" s="132" t="str">
        <f t="shared" si="4"/>
        <v>3.5</v>
      </c>
      <c r="AO59" s="132">
        <f t="shared" si="5"/>
        <v>3</v>
      </c>
      <c r="AP59" s="88"/>
    </row>
    <row r="60">
      <c r="A60" s="142">
        <v>56.0</v>
      </c>
      <c r="B60" s="229" t="s">
        <v>1472</v>
      </c>
      <c r="C60" s="221" t="s">
        <v>3473</v>
      </c>
      <c r="D60" s="209" t="str">
        <f>VLOOKUP(B60,USN!$1:$1088,2,False)</f>
        <v>1CR23IS057</v>
      </c>
      <c r="E60" s="227">
        <v>7.892793139E9</v>
      </c>
      <c r="F60" s="222" t="s">
        <v>3706</v>
      </c>
      <c r="G60" s="88"/>
      <c r="H60" s="223">
        <v>80.0</v>
      </c>
      <c r="I60" s="211">
        <v>90.0</v>
      </c>
      <c r="J60" s="211">
        <f>VLOOKUP(D60,'L3'!$1:$2060,2,False)</f>
        <v>76</v>
      </c>
      <c r="K60" s="211">
        <f>VLOOKUP(D60,'L4'!$1:$2059,2,False)</f>
        <v>78</v>
      </c>
      <c r="L60" s="212">
        <f>VLOOKUP(D60,'A1 RETEST 5 DEC'!$1:$2096,2,FALSE)</f>
        <v>57</v>
      </c>
      <c r="M60" s="213">
        <f>VLOOKUP(D60,'A2 RETEST 4 DEC'!$1:$2096,2,False)</f>
        <v>50</v>
      </c>
      <c r="N60" s="213">
        <v>55.0</v>
      </c>
      <c r="O60" s="212"/>
      <c r="P60" s="214">
        <f>IFNA(VLOOKUP(D60,'S1'!$1:$2000,2,False),0)</f>
        <v>86</v>
      </c>
      <c r="Q60" s="214">
        <f>vlookup(D60,'S2'!A56:B1258,2,0)</f>
        <v>81</v>
      </c>
      <c r="R60" s="214">
        <f>ifna(vlookup(D60,'S3'!$1:$1311,2,False),0)</f>
        <v>87</v>
      </c>
      <c r="S60" s="214"/>
      <c r="T60" s="215">
        <v>10.0</v>
      </c>
      <c r="U60" s="215">
        <v>23.0</v>
      </c>
      <c r="V60" s="215">
        <v>46.0</v>
      </c>
      <c r="W60" s="215">
        <v>52.0</v>
      </c>
      <c r="X60" s="216">
        <v>80.0</v>
      </c>
      <c r="Y60" s="215"/>
      <c r="Z60" s="217"/>
      <c r="AA60" s="218">
        <v>46.0</v>
      </c>
      <c r="AB60" s="219">
        <v>87.0</v>
      </c>
      <c r="AC60" s="129">
        <v>82.0</v>
      </c>
      <c r="AD60" s="129">
        <v>100.0</v>
      </c>
      <c r="AE60" s="130">
        <v>70.0</v>
      </c>
      <c r="AF60" s="129"/>
      <c r="AG60" s="129">
        <v>75.0</v>
      </c>
      <c r="AH60" s="129"/>
      <c r="AI60" s="88"/>
      <c r="AJ60" s="88"/>
      <c r="AK60" s="132">
        <f t="shared" si="1"/>
        <v>4</v>
      </c>
      <c r="AL60" s="132">
        <f t="shared" si="2"/>
        <v>3</v>
      </c>
      <c r="AM60" s="133">
        <f t="shared" si="3"/>
        <v>3</v>
      </c>
      <c r="AN60" s="132" t="str">
        <f t="shared" si="4"/>
        <v>3.5</v>
      </c>
      <c r="AO60" s="132">
        <f t="shared" si="5"/>
        <v>3</v>
      </c>
      <c r="AP60" s="88"/>
    </row>
    <row r="61">
      <c r="A61" s="142">
        <v>57.0</v>
      </c>
      <c r="B61" s="220" t="s">
        <v>1390</v>
      </c>
      <c r="C61" s="221" t="s">
        <v>3474</v>
      </c>
      <c r="D61" s="209" t="str">
        <f>VLOOKUP(B61,USN!$1:$1088,2,False)</f>
        <v>1CR23IS058</v>
      </c>
      <c r="E61" s="222">
        <v>7.676514396E9</v>
      </c>
      <c r="F61" s="222" t="s">
        <v>3706</v>
      </c>
      <c r="G61" s="88"/>
      <c r="H61" s="223">
        <v>70.0</v>
      </c>
      <c r="I61" s="211">
        <v>75.0</v>
      </c>
      <c r="J61" s="211">
        <f>VLOOKUP(D61,'L3'!$1:$2060,2,False)</f>
        <v>70</v>
      </c>
      <c r="K61" s="211">
        <f>VLOOKUP(D61,'L4'!$1:$2059,2,False)</f>
        <v>71</v>
      </c>
      <c r="L61" s="212">
        <f>VLOOKUP(D61,'A1 RETEST 5 DEC'!$1:$2096,2,FALSE)</f>
        <v>50</v>
      </c>
      <c r="M61" s="213">
        <f>VLOOKUP(D61,'A2 RETEST 4 DEC'!$1:$2096,2,False)</f>
        <v>50</v>
      </c>
      <c r="N61" s="213">
        <v>50.0</v>
      </c>
      <c r="O61" s="212"/>
      <c r="P61" s="214">
        <f>IFNA(VLOOKUP(D61,'S1'!$1:$2000,2,False),0)</f>
        <v>77</v>
      </c>
      <c r="Q61" s="214">
        <f>vlookup(D61,'S2'!A57:B1259,2,0)</f>
        <v>58</v>
      </c>
      <c r="R61" s="214">
        <f>ifna(vlookup(D61,'S3'!$1:$1311,2,False),0)</f>
        <v>81</v>
      </c>
      <c r="S61" s="214"/>
      <c r="T61" s="215">
        <v>13.0</v>
      </c>
      <c r="U61" s="215">
        <v>22.0</v>
      </c>
      <c r="V61" s="215">
        <v>38.0</v>
      </c>
      <c r="W61" s="215">
        <v>48.0</v>
      </c>
      <c r="X61" s="216">
        <v>68.0</v>
      </c>
      <c r="Y61" s="215"/>
      <c r="Z61" s="217"/>
      <c r="AA61" s="218">
        <v>94.0</v>
      </c>
      <c r="AB61" s="219">
        <v>100.0</v>
      </c>
      <c r="AC61" s="129">
        <v>93.0</v>
      </c>
      <c r="AD61" s="129">
        <v>67.0</v>
      </c>
      <c r="AE61" s="130">
        <v>80.0</v>
      </c>
      <c r="AF61" s="129"/>
      <c r="AG61" s="129">
        <v>69.0</v>
      </c>
      <c r="AH61" s="129"/>
      <c r="AI61" s="131"/>
      <c r="AJ61" s="131"/>
      <c r="AK61" s="132">
        <f t="shared" si="1"/>
        <v>4</v>
      </c>
      <c r="AL61" s="132">
        <f t="shared" si="2"/>
        <v>3</v>
      </c>
      <c r="AM61" s="133">
        <f t="shared" si="3"/>
        <v>2</v>
      </c>
      <c r="AN61" s="132" t="str">
        <f t="shared" si="4"/>
        <v>3.5</v>
      </c>
      <c r="AO61" s="132">
        <f t="shared" si="5"/>
        <v>3</v>
      </c>
      <c r="AP61" s="88"/>
    </row>
    <row r="62">
      <c r="A62" s="142">
        <v>58.0</v>
      </c>
      <c r="B62" s="220" t="s">
        <v>1401</v>
      </c>
      <c r="C62" s="221" t="s">
        <v>3475</v>
      </c>
      <c r="D62" s="209" t="str">
        <f>VLOOKUP(B62,USN!$1:$1088,2,False)</f>
        <v>1CR23IS059</v>
      </c>
      <c r="E62" s="225">
        <v>9.513610317E9</v>
      </c>
      <c r="F62" s="222" t="s">
        <v>3706</v>
      </c>
      <c r="G62" s="88"/>
      <c r="H62" s="223">
        <v>67.0</v>
      </c>
      <c r="I62" s="211">
        <v>82.0</v>
      </c>
      <c r="J62" s="211">
        <f>VLOOKUP(D62,'L3'!$1:$2060,2,False)</f>
        <v>70</v>
      </c>
      <c r="K62" s="211">
        <f>VLOOKUP(D62,'L4'!$1:$2059,2,False)</f>
        <v>57</v>
      </c>
      <c r="L62" s="212">
        <f>VLOOKUP(D62,'A1 RETEST 5 DEC'!$1:$2096,2,FALSE)</f>
        <v>6</v>
      </c>
      <c r="M62" s="213">
        <f>VLOOKUP(D62,'A2 RETEST 4 DEC'!$1:$2096,2,False)</f>
        <v>42</v>
      </c>
      <c r="N62" s="213">
        <v>0.0</v>
      </c>
      <c r="O62" s="212"/>
      <c r="P62" s="214">
        <f>IFNA(VLOOKUP(D62,'S1'!$1:$2000,2,False),0)</f>
        <v>0</v>
      </c>
      <c r="Q62" s="214">
        <f>vlookup(D62,'S2'!A58:B1260,2,0)</f>
        <v>0</v>
      </c>
      <c r="R62" s="214">
        <f>ifna(vlookup(D62,'S3'!$1:$1311,2,False),0)</f>
        <v>0</v>
      </c>
      <c r="S62" s="214"/>
      <c r="T62" s="215">
        <v>16.0</v>
      </c>
      <c r="U62" s="215">
        <v>17.0</v>
      </c>
      <c r="V62" s="215"/>
      <c r="W62" s="215">
        <v>40.0</v>
      </c>
      <c r="X62" s="216">
        <v>0.0</v>
      </c>
      <c r="Y62" s="215"/>
      <c r="Z62" s="224"/>
      <c r="AA62" s="218">
        <v>60.0</v>
      </c>
      <c r="AB62" s="219">
        <v>71.0</v>
      </c>
      <c r="AC62" s="129">
        <v>10.0</v>
      </c>
      <c r="AD62" s="129">
        <v>0.0</v>
      </c>
      <c r="AE62" s="130">
        <v>10.0</v>
      </c>
      <c r="AF62" s="129"/>
      <c r="AG62" s="129">
        <v>27.0</v>
      </c>
      <c r="AH62" s="129"/>
      <c r="AI62" s="131"/>
      <c r="AJ62" s="131"/>
      <c r="AK62" s="132">
        <f t="shared" si="1"/>
        <v>3</v>
      </c>
      <c r="AL62" s="132">
        <f t="shared" si="2"/>
        <v>0</v>
      </c>
      <c r="AM62" s="133">
        <f t="shared" si="3"/>
        <v>2</v>
      </c>
      <c r="AN62" s="132" t="str">
        <f t="shared" si="4"/>
        <v>2</v>
      </c>
      <c r="AO62" s="132">
        <f t="shared" si="5"/>
        <v>0</v>
      </c>
      <c r="AP62" s="88"/>
    </row>
    <row r="63">
      <c r="A63" s="142">
        <v>59.0</v>
      </c>
      <c r="B63" s="220" t="s">
        <v>1391</v>
      </c>
      <c r="C63" s="221" t="s">
        <v>3476</v>
      </c>
      <c r="D63" s="209" t="str">
        <f>VLOOKUP(B63,USN!$1:$1088,2,False)</f>
        <v>1CR23IS060</v>
      </c>
      <c r="E63" s="222">
        <v>7.377379265E9</v>
      </c>
      <c r="F63" s="222" t="s">
        <v>3706</v>
      </c>
      <c r="G63" s="88"/>
      <c r="H63" s="223">
        <v>78.0</v>
      </c>
      <c r="I63" s="211">
        <v>82.0</v>
      </c>
      <c r="J63" s="211">
        <f>VLOOKUP(D63,'L3'!$1:$2060,2,False)</f>
        <v>70</v>
      </c>
      <c r="K63" s="211">
        <f>VLOOKUP(D63,'L4'!$1:$2059,2,False)</f>
        <v>70</v>
      </c>
      <c r="L63" s="212">
        <f>VLOOKUP(D63,'A1 RETEST 5 DEC'!$1:$2096,2,FALSE)</f>
        <v>54</v>
      </c>
      <c r="M63" s="213">
        <f>VLOOKUP(D63,'A2 RETEST 4 DEC'!$1:$2096,2,False)</f>
        <v>38</v>
      </c>
      <c r="N63" s="213">
        <v>64.0</v>
      </c>
      <c r="O63" s="212"/>
      <c r="P63" s="214">
        <f>IFNA(VLOOKUP(D63,'S1'!$1:$2000,2,False),0)</f>
        <v>50</v>
      </c>
      <c r="Q63" s="214">
        <f>vlookup(D63,'S2'!A59:B1261,2,0)</f>
        <v>50</v>
      </c>
      <c r="R63" s="214">
        <f>ifna(vlookup(D63,'S3'!$1:$1311,2,False),0)</f>
        <v>87</v>
      </c>
      <c r="S63" s="214"/>
      <c r="T63" s="215">
        <v>16.0</v>
      </c>
      <c r="U63" s="215">
        <v>23.0</v>
      </c>
      <c r="V63" s="215"/>
      <c r="W63" s="215"/>
      <c r="X63" s="216">
        <v>88.0</v>
      </c>
      <c r="Y63" s="215"/>
      <c r="Z63" s="217"/>
      <c r="AA63" s="218">
        <v>80.0</v>
      </c>
      <c r="AB63" s="219">
        <v>100.0</v>
      </c>
      <c r="AC63" s="129">
        <v>12.0</v>
      </c>
      <c r="AD63" s="129">
        <v>90.0</v>
      </c>
      <c r="AE63" s="130">
        <v>70.0</v>
      </c>
      <c r="AF63" s="129"/>
      <c r="AG63" s="129">
        <v>49.0</v>
      </c>
      <c r="AH63" s="129"/>
      <c r="AI63" s="131"/>
      <c r="AJ63" s="131"/>
      <c r="AK63" s="132">
        <f t="shared" si="1"/>
        <v>4</v>
      </c>
      <c r="AL63" s="132">
        <f t="shared" si="2"/>
        <v>1</v>
      </c>
      <c r="AM63" s="133">
        <f t="shared" si="3"/>
        <v>2</v>
      </c>
      <c r="AN63" s="132" t="str">
        <f t="shared" si="4"/>
        <v>3.5</v>
      </c>
      <c r="AO63" s="132">
        <f t="shared" si="5"/>
        <v>3</v>
      </c>
      <c r="AP63" s="88"/>
    </row>
    <row r="64">
      <c r="A64" s="142">
        <v>60.0</v>
      </c>
      <c r="B64" s="220" t="s">
        <v>1392</v>
      </c>
      <c r="C64" s="221" t="s">
        <v>3477</v>
      </c>
      <c r="D64" s="209" t="str">
        <f>VLOOKUP(B64,USN!$1:$1088,2,False)</f>
        <v>1CR23IS061</v>
      </c>
      <c r="E64" s="222">
        <v>8.789984965E9</v>
      </c>
      <c r="F64" s="222" t="s">
        <v>3706</v>
      </c>
      <c r="G64" s="88"/>
      <c r="H64" s="223">
        <v>88.0</v>
      </c>
      <c r="I64" s="211">
        <v>91.0</v>
      </c>
      <c r="J64" s="211">
        <f>VLOOKUP(D64,'L3'!$1:$2060,2,False)</f>
        <v>70</v>
      </c>
      <c r="K64" s="211">
        <f>VLOOKUP(D64,'L4'!$1:$2059,2,False)</f>
        <v>70</v>
      </c>
      <c r="L64" s="212">
        <f>VLOOKUP(D64,'A1 RETEST 5 DEC'!$1:$2096,2,FALSE)</f>
        <v>50</v>
      </c>
      <c r="M64" s="213">
        <f>VLOOKUP(D64,'A2 RETEST 4 DEC'!$1:$2096,2,False)</f>
        <v>61</v>
      </c>
      <c r="N64" s="213">
        <v>57.0</v>
      </c>
      <c r="O64" s="212"/>
      <c r="P64" s="214">
        <f>IFNA(VLOOKUP(D64,'S1'!$1:$2000,2,False),0)</f>
        <v>50</v>
      </c>
      <c r="Q64" s="214">
        <f>vlookup(D64,'S2'!A60:B1262,2,0)</f>
        <v>50</v>
      </c>
      <c r="R64" s="214">
        <f>ifna(vlookup(D64,'S3'!$1:$1311,2,False),0)</f>
        <v>92</v>
      </c>
      <c r="S64" s="214"/>
      <c r="T64" s="215">
        <v>11.0</v>
      </c>
      <c r="U64" s="215">
        <v>22.0</v>
      </c>
      <c r="V64" s="215">
        <v>46.0</v>
      </c>
      <c r="W64" s="215">
        <v>56.0</v>
      </c>
      <c r="X64" s="216">
        <v>88.0</v>
      </c>
      <c r="Y64" s="215"/>
      <c r="Z64" s="217"/>
      <c r="AA64" s="218">
        <v>0.0</v>
      </c>
      <c r="AB64" s="219">
        <v>100.0</v>
      </c>
      <c r="AC64" s="129">
        <v>69.0</v>
      </c>
      <c r="AD64" s="129">
        <v>90.0</v>
      </c>
      <c r="AE64" s="130">
        <v>73.0</v>
      </c>
      <c r="AF64" s="129"/>
      <c r="AG64" s="129">
        <v>74.0</v>
      </c>
      <c r="AH64" s="129"/>
      <c r="AI64" s="131"/>
      <c r="AJ64" s="131"/>
      <c r="AK64" s="132">
        <f t="shared" si="1"/>
        <v>4</v>
      </c>
      <c r="AL64" s="132">
        <f t="shared" si="2"/>
        <v>3</v>
      </c>
      <c r="AM64" s="133">
        <f t="shared" si="3"/>
        <v>3</v>
      </c>
      <c r="AN64" s="132" t="str">
        <f t="shared" si="4"/>
        <v>3.5</v>
      </c>
      <c r="AO64" s="132">
        <f t="shared" si="5"/>
        <v>3</v>
      </c>
      <c r="AP64" s="88"/>
    </row>
    <row r="65">
      <c r="A65" s="142">
        <v>61.0</v>
      </c>
      <c r="B65" s="220" t="s">
        <v>1393</v>
      </c>
      <c r="C65" s="221" t="s">
        <v>3478</v>
      </c>
      <c r="D65" s="209" t="str">
        <f>VLOOKUP(B65,USN!$1:$1088,2,False)</f>
        <v>1CR23IS062</v>
      </c>
      <c r="E65" s="222">
        <v>9.060334568E9</v>
      </c>
      <c r="F65" s="222" t="s">
        <v>3706</v>
      </c>
      <c r="G65" s="88"/>
      <c r="H65" s="223">
        <v>76.0</v>
      </c>
      <c r="I65" s="211">
        <v>85.0</v>
      </c>
      <c r="J65" s="211">
        <f>VLOOKUP(D65,'L3'!$1:$2060,2,False)</f>
        <v>70</v>
      </c>
      <c r="K65" s="211">
        <f>VLOOKUP(D65,'L4'!$1:$2059,2,False)</f>
        <v>70</v>
      </c>
      <c r="L65" s="212">
        <f>VLOOKUP(D65,'A1 RETEST 5 DEC'!$1:$2096,2,FALSE)</f>
        <v>77</v>
      </c>
      <c r="M65" s="213">
        <f>VLOOKUP(D65,'A2 RETEST 4 DEC'!$1:$2096,2,False)</f>
        <v>70</v>
      </c>
      <c r="N65" s="213">
        <v>59.0</v>
      </c>
      <c r="O65" s="212"/>
      <c r="P65" s="214">
        <f>IFNA(VLOOKUP(D65,'S1'!$1:$2000,2,False),0)</f>
        <v>50</v>
      </c>
      <c r="Q65" s="214">
        <f>vlookup(D65,'S2'!A61:B1263,2,0)</f>
        <v>84</v>
      </c>
      <c r="R65" s="214">
        <f>ifna(vlookup(D65,'S3'!$1:$1311,2,False),0)</f>
        <v>92</v>
      </c>
      <c r="S65" s="214"/>
      <c r="T65" s="215">
        <v>17.0</v>
      </c>
      <c r="U65" s="215">
        <v>22.0</v>
      </c>
      <c r="V65" s="215">
        <v>30.0</v>
      </c>
      <c r="W65" s="215"/>
      <c r="X65" s="216">
        <v>84.0</v>
      </c>
      <c r="Y65" s="215"/>
      <c r="Z65" s="224"/>
      <c r="AA65" s="218">
        <v>84.0</v>
      </c>
      <c r="AB65" s="219">
        <v>97.0</v>
      </c>
      <c r="AC65" s="129">
        <v>92.0</v>
      </c>
      <c r="AD65" s="129">
        <v>82.0</v>
      </c>
      <c r="AE65" s="130">
        <v>70.0</v>
      </c>
      <c r="AF65" s="129"/>
      <c r="AG65" s="129">
        <v>74.0</v>
      </c>
      <c r="AH65" s="129"/>
      <c r="AI65" s="131"/>
      <c r="AJ65" s="131"/>
      <c r="AK65" s="132">
        <f t="shared" si="1"/>
        <v>4</v>
      </c>
      <c r="AL65" s="132">
        <f t="shared" si="2"/>
        <v>3</v>
      </c>
      <c r="AM65" s="133">
        <f t="shared" si="3"/>
        <v>2</v>
      </c>
      <c r="AN65" s="132" t="str">
        <f t="shared" si="4"/>
        <v>3.5</v>
      </c>
      <c r="AO65" s="132">
        <f t="shared" si="5"/>
        <v>3</v>
      </c>
      <c r="AP65" s="88"/>
    </row>
    <row r="66">
      <c r="A66" s="142">
        <v>62.0</v>
      </c>
      <c r="B66" s="220" t="s">
        <v>1394</v>
      </c>
      <c r="C66" s="221" t="s">
        <v>3479</v>
      </c>
      <c r="D66" s="209" t="str">
        <f>VLOOKUP(B66,USN!$1:$1088,2,False)</f>
        <v>1CR23IS063</v>
      </c>
      <c r="E66" s="222">
        <v>9.108653457E9</v>
      </c>
      <c r="F66" s="222" t="s">
        <v>3706</v>
      </c>
      <c r="G66" s="88"/>
      <c r="H66" s="223">
        <v>71.0</v>
      </c>
      <c r="I66" s="211">
        <v>88.0</v>
      </c>
      <c r="J66" s="211">
        <f>VLOOKUP(D66,'L3'!$1:$2060,2,False)</f>
        <v>70</v>
      </c>
      <c r="K66" s="211">
        <f>VLOOKUP(D66,'L4'!$1:$2059,2,False)</f>
        <v>70</v>
      </c>
      <c r="L66" s="212">
        <f>VLOOKUP(D66,'A1 RETEST 5 DEC'!$1:$2096,2,FALSE)</f>
        <v>50</v>
      </c>
      <c r="M66" s="213">
        <f>VLOOKUP(D66,'A2 RETEST 4 DEC'!$1:$2096,2,False)</f>
        <v>21</v>
      </c>
      <c r="N66" s="213">
        <v>53.0</v>
      </c>
      <c r="O66" s="212"/>
      <c r="P66" s="214">
        <f>IFNA(VLOOKUP(D66,'S1'!$1:$2000,2,False),0)</f>
        <v>78</v>
      </c>
      <c r="Q66" s="214">
        <f>vlookup(D66,'S2'!A62:B1264,2,0)</f>
        <v>84</v>
      </c>
      <c r="R66" s="214">
        <f>ifna(vlookup(D66,'S3'!$1:$1311,2,False),0)</f>
        <v>83</v>
      </c>
      <c r="S66" s="214"/>
      <c r="T66" s="215">
        <v>11.0</v>
      </c>
      <c r="U66" s="215">
        <v>19.0</v>
      </c>
      <c r="V66" s="215">
        <v>38.0</v>
      </c>
      <c r="W66" s="215">
        <v>44.0</v>
      </c>
      <c r="X66" s="216">
        <v>80.0</v>
      </c>
      <c r="Y66" s="215"/>
      <c r="Z66" s="217"/>
      <c r="AA66" s="218">
        <v>24.0</v>
      </c>
      <c r="AB66" s="219">
        <v>89.0</v>
      </c>
      <c r="AC66" s="129">
        <v>36.0</v>
      </c>
      <c r="AD66" s="129">
        <v>70.0</v>
      </c>
      <c r="AE66" s="130" t="s">
        <v>3708</v>
      </c>
      <c r="AF66" s="129"/>
      <c r="AG66" s="129">
        <v>39.0</v>
      </c>
      <c r="AH66" s="129"/>
      <c r="AI66" s="131"/>
      <c r="AJ66" s="131"/>
      <c r="AK66" s="132">
        <f t="shared" si="1"/>
        <v>4</v>
      </c>
      <c r="AL66" s="132">
        <f t="shared" si="2"/>
        <v>1</v>
      </c>
      <c r="AM66" s="133">
        <f t="shared" si="3"/>
        <v>2</v>
      </c>
      <c r="AN66" s="132" t="str">
        <f t="shared" si="4"/>
        <v>3.5</v>
      </c>
      <c r="AO66" s="132">
        <f t="shared" si="5"/>
        <v>3</v>
      </c>
      <c r="AP66" s="88"/>
    </row>
    <row r="67">
      <c r="A67" s="142">
        <v>63.0</v>
      </c>
      <c r="B67" s="220" t="s">
        <v>1423</v>
      </c>
      <c r="C67" s="221" t="s">
        <v>3480</v>
      </c>
      <c r="D67" s="209" t="str">
        <f>VLOOKUP(B67,USN!$1:$1088,2,False)</f>
        <v>1CR23IS064</v>
      </c>
      <c r="E67" s="222">
        <v>8.453021336E9</v>
      </c>
      <c r="F67" s="222" t="s">
        <v>3706</v>
      </c>
      <c r="G67" s="88"/>
      <c r="H67" s="223">
        <v>75.0</v>
      </c>
      <c r="I67" s="211">
        <v>86.0</v>
      </c>
      <c r="J67" s="211">
        <f>VLOOKUP(D67,'L3'!$1:$2060,2,False)</f>
        <v>70</v>
      </c>
      <c r="K67" s="211">
        <f>VLOOKUP(D67,'L4'!$1:$2059,2,False)</f>
        <v>73</v>
      </c>
      <c r="L67" s="212">
        <f>VLOOKUP(D67,'A1 RETEST 5 DEC'!$1:$2096,2,FALSE)</f>
        <v>12</v>
      </c>
      <c r="M67" s="213">
        <f>VLOOKUP(D67,'A2 RETEST 4 DEC'!$1:$2096,2,False)</f>
        <v>39</v>
      </c>
      <c r="N67" s="213">
        <v>60.0</v>
      </c>
      <c r="O67" s="212"/>
      <c r="P67" s="214">
        <f>IFNA(VLOOKUP(D67,'S1'!$1:$2000,2,False),0)</f>
        <v>86</v>
      </c>
      <c r="Q67" s="214">
        <f>vlookup(D67,'S2'!A63:B1265,2,0)</f>
        <v>84</v>
      </c>
      <c r="R67" s="214">
        <f>ifna(vlookup(D67,'S3'!$1:$1311,2,False),0)</f>
        <v>72</v>
      </c>
      <c r="S67" s="214"/>
      <c r="T67" s="215">
        <v>11.0</v>
      </c>
      <c r="U67" s="215">
        <v>21.0</v>
      </c>
      <c r="V67" s="215">
        <v>42.0</v>
      </c>
      <c r="W67" s="215">
        <v>48.0</v>
      </c>
      <c r="X67" s="216">
        <v>68.0</v>
      </c>
      <c r="Y67" s="215"/>
      <c r="Z67" s="217"/>
      <c r="AA67" s="218">
        <v>20.0</v>
      </c>
      <c r="AB67" s="219">
        <v>97.0</v>
      </c>
      <c r="AC67" s="129">
        <v>37.0</v>
      </c>
      <c r="AD67" s="129">
        <v>70.0</v>
      </c>
      <c r="AE67" s="130">
        <v>71.0</v>
      </c>
      <c r="AF67" s="129"/>
      <c r="AG67" s="129">
        <v>45.0</v>
      </c>
      <c r="AH67" s="129"/>
      <c r="AI67" s="88"/>
      <c r="AJ67" s="88"/>
      <c r="AK67" s="132">
        <f t="shared" si="1"/>
        <v>4</v>
      </c>
      <c r="AL67" s="132">
        <f t="shared" si="2"/>
        <v>0</v>
      </c>
      <c r="AM67" s="133">
        <f t="shared" si="3"/>
        <v>2</v>
      </c>
      <c r="AN67" s="132" t="str">
        <f t="shared" si="4"/>
        <v>3.5</v>
      </c>
      <c r="AO67" s="132">
        <f t="shared" si="5"/>
        <v>3</v>
      </c>
      <c r="AP67" s="88"/>
    </row>
    <row r="68">
      <c r="A68" s="142">
        <v>64.0</v>
      </c>
      <c r="B68" s="220" t="s">
        <v>1410</v>
      </c>
      <c r="C68" s="221" t="s">
        <v>3481</v>
      </c>
      <c r="D68" s="209" t="str">
        <f>VLOOKUP(B68,USN!$1:$1088,2,False)</f>
        <v>1CR23IS065</v>
      </c>
      <c r="E68" s="227">
        <v>6.362396179E9</v>
      </c>
      <c r="F68" s="222" t="s">
        <v>3706</v>
      </c>
      <c r="G68" s="88"/>
      <c r="H68" s="236"/>
      <c r="I68" s="211">
        <v>78.0</v>
      </c>
      <c r="J68" s="211">
        <f>VLOOKUP(D68,'L3'!$1:$2060,2,False)</f>
        <v>5</v>
      </c>
      <c r="K68" s="211">
        <f>VLOOKUP(D68,'L4'!$1:$2059,2,False)</f>
        <v>10</v>
      </c>
      <c r="L68" s="212">
        <f>VLOOKUP(D68,'A1 RETEST 5 DEC'!$1:$2096,2,FALSE)</f>
        <v>0</v>
      </c>
      <c r="M68" s="213">
        <f>VLOOKUP(D68,'A2 RETEST 4 DEC'!$1:$2096,2,False)</f>
        <v>0</v>
      </c>
      <c r="N68" s="213">
        <v>0.0</v>
      </c>
      <c r="O68" s="212"/>
      <c r="P68" s="214">
        <f>IFNA(VLOOKUP(D68,'S1'!$1:$2000,2,False),0)</f>
        <v>77</v>
      </c>
      <c r="Q68" s="214">
        <f>vlookup(D68,'S2'!A64:B1266,2,0)</f>
        <v>0</v>
      </c>
      <c r="R68" s="214">
        <f>ifna(vlookup(D68,'S3'!$1:$1311,2,False),0)</f>
        <v>0</v>
      </c>
      <c r="S68" s="214"/>
      <c r="T68" s="237" t="s">
        <v>2477</v>
      </c>
      <c r="U68" s="215">
        <v>8.0</v>
      </c>
      <c r="V68" s="215"/>
      <c r="W68" s="215"/>
      <c r="X68" s="216">
        <v>0.0</v>
      </c>
      <c r="Y68" s="215"/>
      <c r="Z68" s="217"/>
      <c r="AA68" s="218">
        <v>32.0</v>
      </c>
      <c r="AB68" s="219">
        <v>42.0</v>
      </c>
      <c r="AC68" s="129">
        <v>0.0</v>
      </c>
      <c r="AD68" s="129">
        <v>0.0</v>
      </c>
      <c r="AE68" s="130">
        <v>10.0</v>
      </c>
      <c r="AF68" s="129"/>
      <c r="AG68" s="129">
        <v>20.0</v>
      </c>
      <c r="AH68" s="129"/>
      <c r="AI68" s="88"/>
      <c r="AJ68" s="88"/>
      <c r="AK68" s="132">
        <f t="shared" si="1"/>
        <v>0</v>
      </c>
      <c r="AL68" s="132">
        <f t="shared" si="2"/>
        <v>0</v>
      </c>
      <c r="AM68" s="133">
        <f t="shared" si="3"/>
        <v>0</v>
      </c>
      <c r="AN68" s="132" t="str">
        <f t="shared" si="4"/>
        <v>0</v>
      </c>
      <c r="AO68" s="132">
        <f t="shared" si="5"/>
        <v>1</v>
      </c>
      <c r="AP68" s="88"/>
    </row>
    <row r="69">
      <c r="A69" s="142">
        <v>65.0</v>
      </c>
      <c r="B69" s="115" t="s">
        <v>1398</v>
      </c>
      <c r="C69" s="221" t="s">
        <v>3482</v>
      </c>
      <c r="D69" s="209" t="str">
        <f>VLOOKUP(B69,USN!$1:$1088,2,False)</f>
        <v>1CR23IS066</v>
      </c>
      <c r="E69" s="238">
        <v>8.217470754E9</v>
      </c>
      <c r="F69" s="119" t="s">
        <v>3706</v>
      </c>
      <c r="G69" s="88"/>
      <c r="H69" s="223">
        <v>70.0</v>
      </c>
      <c r="I69" s="211">
        <v>74.0</v>
      </c>
      <c r="J69" s="211">
        <f>VLOOKUP(D69,'L3'!$1:$2060,2,False)</f>
        <v>70</v>
      </c>
      <c r="K69" s="211">
        <f>VLOOKUP(D69,'L4'!$1:$2059,2,False)</f>
        <v>79</v>
      </c>
      <c r="L69" s="212">
        <f>VLOOKUP(D69,'A1 RETEST 5 DEC'!$1:$2096,2,FALSE)</f>
        <v>50</v>
      </c>
      <c r="M69" s="213">
        <f>VLOOKUP(D69,'A2 RETEST 4 DEC'!$1:$2096,2,False)</f>
        <v>67</v>
      </c>
      <c r="N69" s="213">
        <v>22.0</v>
      </c>
      <c r="O69" s="212"/>
      <c r="P69" s="214">
        <f>IFNA(VLOOKUP(D69,'S1'!$1:$2000,2,False),0)</f>
        <v>50</v>
      </c>
      <c r="Q69" s="214">
        <f>vlookup(D69,'S2'!A65:B1267,2,0)</f>
        <v>50</v>
      </c>
      <c r="R69" s="214">
        <f>ifna(vlookup(D69,'S3'!$1:$1311,2,False),0)</f>
        <v>82</v>
      </c>
      <c r="S69" s="214"/>
      <c r="T69" s="215">
        <v>13.0</v>
      </c>
      <c r="U69" s="215">
        <v>24.0</v>
      </c>
      <c r="V69" s="215">
        <v>48.0</v>
      </c>
      <c r="W69" s="215">
        <v>60.0</v>
      </c>
      <c r="X69" s="216">
        <v>96.0</v>
      </c>
      <c r="Y69" s="215"/>
      <c r="Z69" s="224"/>
      <c r="AA69" s="218">
        <v>60.0</v>
      </c>
      <c r="AB69" s="219">
        <v>79.0</v>
      </c>
      <c r="AC69" s="129">
        <v>100.0</v>
      </c>
      <c r="AD69" s="129">
        <v>92.0</v>
      </c>
      <c r="AE69" s="130">
        <v>80.0</v>
      </c>
      <c r="AF69" s="129"/>
      <c r="AG69" s="129">
        <v>35.0</v>
      </c>
      <c r="AH69" s="129"/>
      <c r="AI69" s="131"/>
      <c r="AJ69" s="131"/>
      <c r="AK69" s="132">
        <f t="shared" si="1"/>
        <v>4</v>
      </c>
      <c r="AL69" s="132">
        <f t="shared" si="2"/>
        <v>2</v>
      </c>
      <c r="AM69" s="133">
        <f t="shared" si="3"/>
        <v>3</v>
      </c>
      <c r="AN69" s="132" t="str">
        <f t="shared" si="4"/>
        <v>3.5</v>
      </c>
      <c r="AO69" s="132">
        <f t="shared" si="5"/>
        <v>3</v>
      </c>
      <c r="AP69" s="88"/>
    </row>
    <row r="70">
      <c r="A70" s="142">
        <v>66.0</v>
      </c>
      <c r="B70" s="115" t="s">
        <v>1425</v>
      </c>
      <c r="C70" s="221" t="s">
        <v>3483</v>
      </c>
      <c r="D70" s="209" t="str">
        <f>VLOOKUP(B70,USN!$1:$1088,2,False)</f>
        <v>1CR23IS068</v>
      </c>
      <c r="E70" s="119">
        <v>9.611509675E9</v>
      </c>
      <c r="F70" s="119" t="s">
        <v>3706</v>
      </c>
      <c r="G70" s="88"/>
      <c r="H70" s="223">
        <v>81.0</v>
      </c>
      <c r="I70" s="211">
        <v>86.0</v>
      </c>
      <c r="J70" s="211">
        <f>VLOOKUP(D70,'L3'!$1:$2060,2,False)</f>
        <v>87</v>
      </c>
      <c r="K70" s="211">
        <f>VLOOKUP(D70,'L4'!$1:$2059,2,False)</f>
        <v>72</v>
      </c>
      <c r="L70" s="212">
        <f>VLOOKUP(D70,'A1 RETEST 5 DEC'!$1:$2096,2,FALSE)</f>
        <v>50</v>
      </c>
      <c r="M70" s="213">
        <f>VLOOKUP(D70,'A2 RETEST 4 DEC'!$1:$2096,2,False)</f>
        <v>21</v>
      </c>
      <c r="N70" s="213">
        <v>50.0</v>
      </c>
      <c r="O70" s="212"/>
      <c r="P70" s="214">
        <f>IFNA(VLOOKUP(D70,'S1'!$1:$2000,2,False),0)</f>
        <v>50</v>
      </c>
      <c r="Q70" s="214">
        <f>vlookup(D70,'S2'!A66:B1268,2,0)</f>
        <v>84</v>
      </c>
      <c r="R70" s="214">
        <f>ifna(vlookup(D70,'S3'!$1:$1311,2,False),0)</f>
        <v>70</v>
      </c>
      <c r="S70" s="214"/>
      <c r="T70" s="215">
        <v>17.0</v>
      </c>
      <c r="U70" s="215">
        <v>25.0</v>
      </c>
      <c r="V70" s="215">
        <v>40.0</v>
      </c>
      <c r="W70" s="215"/>
      <c r="X70" s="216">
        <v>76.0</v>
      </c>
      <c r="Y70" s="215"/>
      <c r="Z70" s="217"/>
      <c r="AA70" s="218">
        <v>15.0</v>
      </c>
      <c r="AB70" s="219">
        <v>54.0</v>
      </c>
      <c r="AC70" s="129">
        <v>33.0</v>
      </c>
      <c r="AD70" s="129">
        <v>60.0</v>
      </c>
      <c r="AE70" s="129">
        <v>70.0</v>
      </c>
      <c r="AF70" s="129"/>
      <c r="AG70" s="129">
        <v>62.0</v>
      </c>
      <c r="AH70" s="129"/>
      <c r="AI70" s="88"/>
      <c r="AJ70" s="88"/>
      <c r="AK70" s="132">
        <f t="shared" si="1"/>
        <v>4</v>
      </c>
      <c r="AL70" s="132">
        <f t="shared" si="2"/>
        <v>1</v>
      </c>
      <c r="AM70" s="133">
        <f t="shared" si="3"/>
        <v>2</v>
      </c>
      <c r="AN70" s="132" t="str">
        <f t="shared" si="4"/>
        <v>3.5</v>
      </c>
      <c r="AO70" s="132">
        <f t="shared" si="5"/>
        <v>3</v>
      </c>
      <c r="AP70" s="88"/>
    </row>
    <row r="71">
      <c r="A71" s="142">
        <v>67.0</v>
      </c>
      <c r="B71" s="229" t="s">
        <v>1474</v>
      </c>
      <c r="C71" s="221" t="s">
        <v>3484</v>
      </c>
      <c r="D71" s="209" t="str">
        <f>VLOOKUP(B71,USN!$1:$1088,2,False)</f>
        <v>1CR23IS069</v>
      </c>
      <c r="E71" s="227">
        <v>8.971212957E9</v>
      </c>
      <c r="F71" s="222" t="s">
        <v>3706</v>
      </c>
      <c r="G71" s="88"/>
      <c r="H71" s="223">
        <v>80.0</v>
      </c>
      <c r="I71" s="211">
        <v>84.0</v>
      </c>
      <c r="J71" s="211">
        <f>VLOOKUP(D71,'L3'!$1:$2060,2,False)</f>
        <v>20</v>
      </c>
      <c r="K71" s="211">
        <f>VLOOKUP(D71,'L4'!$1:$2059,2,False)</f>
        <v>70</v>
      </c>
      <c r="L71" s="212">
        <f>VLOOKUP(D71,'A1 RETEST 5 DEC'!$1:$2096,2,FALSE)</f>
        <v>50</v>
      </c>
      <c r="M71" s="213">
        <f>VLOOKUP(D71,'A2 RETEST 4 DEC'!$1:$2096,2,False)</f>
        <v>15</v>
      </c>
      <c r="N71" s="213">
        <v>41.0</v>
      </c>
      <c r="O71" s="212"/>
      <c r="P71" s="214">
        <f>IFNA(VLOOKUP(D71,'S1'!$1:$2000,2,False),0)</f>
        <v>50</v>
      </c>
      <c r="Q71" s="214">
        <f>vlookup(D71,'S2'!A67:B1269,2,0)</f>
        <v>66</v>
      </c>
      <c r="R71" s="214">
        <f>ifna(vlookup(D71,'S3'!$1:$1311,2,False),0)</f>
        <v>94</v>
      </c>
      <c r="S71" s="214"/>
      <c r="T71" s="215">
        <v>17.0</v>
      </c>
      <c r="U71" s="215">
        <v>20.0</v>
      </c>
      <c r="V71" s="215"/>
      <c r="W71" s="215">
        <v>60.0</v>
      </c>
      <c r="X71" s="216">
        <v>88.0</v>
      </c>
      <c r="Y71" s="215"/>
      <c r="Z71" s="217"/>
      <c r="AA71" s="218">
        <v>22.0</v>
      </c>
      <c r="AB71" s="219">
        <v>83.0</v>
      </c>
      <c r="AC71" s="129">
        <v>70.0</v>
      </c>
      <c r="AD71" s="129">
        <v>100.0</v>
      </c>
      <c r="AE71" s="130">
        <v>14.0</v>
      </c>
      <c r="AF71" s="129"/>
      <c r="AG71" s="129">
        <v>70.0</v>
      </c>
      <c r="AH71" s="129"/>
      <c r="AI71" s="88"/>
      <c r="AJ71" s="88"/>
      <c r="AK71" s="132">
        <f t="shared" si="1"/>
        <v>2</v>
      </c>
      <c r="AL71" s="132">
        <f t="shared" si="2"/>
        <v>1</v>
      </c>
      <c r="AM71" s="133">
        <f t="shared" si="3"/>
        <v>3</v>
      </c>
      <c r="AN71" s="132" t="str">
        <f t="shared" si="4"/>
        <v>3</v>
      </c>
      <c r="AO71" s="132">
        <f t="shared" si="5"/>
        <v>3</v>
      </c>
      <c r="AP71" s="88"/>
    </row>
    <row r="72">
      <c r="A72" s="142">
        <v>68.0</v>
      </c>
      <c r="B72" s="220" t="s">
        <v>1426</v>
      </c>
      <c r="C72" s="221" t="s">
        <v>3485</v>
      </c>
      <c r="D72" s="209" t="str">
        <f>VLOOKUP(B72,USN!$1:$1088,2,False)</f>
        <v>1CR23IS070</v>
      </c>
      <c r="E72" s="222" t="s">
        <v>3709</v>
      </c>
      <c r="F72" s="222" t="s">
        <v>3706</v>
      </c>
      <c r="G72" s="88"/>
      <c r="H72" s="223">
        <v>78.0</v>
      </c>
      <c r="I72" s="211">
        <v>86.0</v>
      </c>
      <c r="J72" s="211">
        <f>VLOOKUP(D72,'L3'!$1:$2060,2,False)</f>
        <v>70</v>
      </c>
      <c r="K72" s="211">
        <f>VLOOKUP(D72,'L4'!$1:$2059,2,False)</f>
        <v>70</v>
      </c>
      <c r="L72" s="212">
        <f>VLOOKUP(D72,'A1 RETEST 5 DEC'!$1:$2096,2,FALSE)</f>
        <v>50</v>
      </c>
      <c r="M72" s="213">
        <f>VLOOKUP(D72,'A2 RETEST 4 DEC'!$1:$2096,2,False)</f>
        <v>29</v>
      </c>
      <c r="N72" s="213">
        <v>50.0</v>
      </c>
      <c r="O72" s="212"/>
      <c r="P72" s="214">
        <f>IFNA(VLOOKUP(D72,'S1'!$1:$2000,2,False),0)</f>
        <v>79</v>
      </c>
      <c r="Q72" s="214">
        <f>vlookup(D72,'S2'!A68:B1270,2,0)</f>
        <v>62</v>
      </c>
      <c r="R72" s="214">
        <f>ifna(vlookup(D72,'S3'!$1:$1311,2,False),0)</f>
        <v>76</v>
      </c>
      <c r="S72" s="214"/>
      <c r="T72" s="215">
        <v>12.0</v>
      </c>
      <c r="U72" s="215">
        <v>23.0</v>
      </c>
      <c r="V72" s="215">
        <v>46.0</v>
      </c>
      <c r="W72" s="215">
        <v>44.0</v>
      </c>
      <c r="X72" s="216">
        <v>80.0</v>
      </c>
      <c r="Y72" s="215"/>
      <c r="Z72" s="224"/>
      <c r="AA72" s="218">
        <v>0.0</v>
      </c>
      <c r="AB72" s="219">
        <v>87.0</v>
      </c>
      <c r="AC72" s="129">
        <v>42.0</v>
      </c>
      <c r="AD72" s="129">
        <v>100.0</v>
      </c>
      <c r="AE72" s="129">
        <v>70.0</v>
      </c>
      <c r="AF72" s="129"/>
      <c r="AG72" s="129">
        <v>70.0</v>
      </c>
      <c r="AH72" s="129"/>
      <c r="AI72" s="88"/>
      <c r="AJ72" s="88"/>
      <c r="AK72" s="132">
        <f t="shared" si="1"/>
        <v>4</v>
      </c>
      <c r="AL72" s="132">
        <f t="shared" si="2"/>
        <v>1</v>
      </c>
      <c r="AM72" s="133">
        <f t="shared" si="3"/>
        <v>2</v>
      </c>
      <c r="AN72" s="132" t="str">
        <f t="shared" si="4"/>
        <v>3.5</v>
      </c>
      <c r="AO72" s="132">
        <f t="shared" si="5"/>
        <v>3</v>
      </c>
      <c r="AP72" s="88"/>
    </row>
    <row r="73">
      <c r="A73" s="142">
        <v>69.0</v>
      </c>
      <c r="B73" s="220" t="s">
        <v>1427</v>
      </c>
      <c r="C73" s="221" t="s">
        <v>3486</v>
      </c>
      <c r="D73" s="209" t="str">
        <f>VLOOKUP(B73,USN!$1:$1088,2,False)</f>
        <v>1CR23IS071</v>
      </c>
      <c r="E73" s="222">
        <v>9.103213811E9</v>
      </c>
      <c r="F73" s="222" t="s">
        <v>3706</v>
      </c>
      <c r="G73" s="88"/>
      <c r="H73" s="210">
        <v>74.0</v>
      </c>
      <c r="I73" s="211">
        <v>79.0</v>
      </c>
      <c r="J73" s="211">
        <f>VLOOKUP(D73,'L3'!$1:$2060,2,False)</f>
        <v>26</v>
      </c>
      <c r="K73" s="211">
        <f>VLOOKUP(D73,'L4'!$1:$2059,2,False)</f>
        <v>70</v>
      </c>
      <c r="L73" s="212">
        <f>VLOOKUP(D73,'A1 RETEST 5 DEC'!$1:$2096,2,FALSE)</f>
        <v>50</v>
      </c>
      <c r="M73" s="213">
        <f>VLOOKUP(D73,'A2 RETEST 4 DEC'!$1:$2096,2,False)</f>
        <v>0</v>
      </c>
      <c r="N73" s="213">
        <v>9.0</v>
      </c>
      <c r="O73" s="212"/>
      <c r="P73" s="214">
        <f>IFNA(VLOOKUP(D73,'S1'!$1:$2000,2,False),0)</f>
        <v>50</v>
      </c>
      <c r="Q73" s="214">
        <f>vlookup(D73,'S2'!A69:B1271,2,0)</f>
        <v>0</v>
      </c>
      <c r="R73" s="214">
        <f>ifna(vlookup(D73,'S3'!$1:$1311,2,False),0)</f>
        <v>0</v>
      </c>
      <c r="S73" s="214"/>
      <c r="T73" s="215">
        <v>11.0</v>
      </c>
      <c r="U73" s="215">
        <v>24.0</v>
      </c>
      <c r="V73" s="215"/>
      <c r="W73" s="215">
        <v>68.0</v>
      </c>
      <c r="X73" s="216">
        <v>80.0</v>
      </c>
      <c r="Y73" s="215"/>
      <c r="Z73" s="224"/>
      <c r="AA73" s="218">
        <v>0.0</v>
      </c>
      <c r="AB73" s="219">
        <v>52.0</v>
      </c>
      <c r="AC73" s="129">
        <v>17.0</v>
      </c>
      <c r="AD73" s="129">
        <v>100.0</v>
      </c>
      <c r="AE73" s="130">
        <v>17.0</v>
      </c>
      <c r="AF73" s="129"/>
      <c r="AG73" s="129">
        <v>79.0</v>
      </c>
      <c r="AH73" s="129"/>
      <c r="AI73" s="88"/>
      <c r="AJ73" s="88"/>
      <c r="AK73" s="132">
        <f t="shared" si="1"/>
        <v>2</v>
      </c>
      <c r="AL73" s="132">
        <f t="shared" si="2"/>
        <v>1</v>
      </c>
      <c r="AM73" s="133">
        <f t="shared" si="3"/>
        <v>3</v>
      </c>
      <c r="AN73" s="132" t="str">
        <f t="shared" si="4"/>
        <v>3</v>
      </c>
      <c r="AO73" s="132">
        <f t="shared" si="5"/>
        <v>1</v>
      </c>
      <c r="AP73" s="88"/>
    </row>
    <row r="74">
      <c r="A74" s="142">
        <v>70.0</v>
      </c>
      <c r="B74" s="220" t="s">
        <v>1428</v>
      </c>
      <c r="C74" s="221" t="s">
        <v>3487</v>
      </c>
      <c r="D74" s="209" t="str">
        <f>VLOOKUP(B74,USN!$1:$1088,2,False)</f>
        <v>1CR23IS072</v>
      </c>
      <c r="E74" s="222">
        <v>7.209363888E9</v>
      </c>
      <c r="F74" s="222" t="s">
        <v>3706</v>
      </c>
      <c r="G74" s="88"/>
      <c r="H74" s="223">
        <v>79.0</v>
      </c>
      <c r="I74" s="211">
        <v>77.0</v>
      </c>
      <c r="J74" s="211">
        <f>VLOOKUP(D74,'L3'!$1:$2060,2,False)</f>
        <v>70</v>
      </c>
      <c r="K74" s="211">
        <f>VLOOKUP(D74,'L4'!$1:$2059,2,False)</f>
        <v>73</v>
      </c>
      <c r="L74" s="212">
        <f>VLOOKUP(D74,'A1 RETEST 5 DEC'!$1:$2096,2,FALSE)</f>
        <v>50</v>
      </c>
      <c r="M74" s="213">
        <f>VLOOKUP(D74,'A2 RETEST 4 DEC'!$1:$2096,2,False)</f>
        <v>59</v>
      </c>
      <c r="N74" s="213">
        <v>50.0</v>
      </c>
      <c r="O74" s="212"/>
      <c r="P74" s="214">
        <f>IFNA(VLOOKUP(D74,'S1'!$1:$2000,2,False),0)</f>
        <v>50</v>
      </c>
      <c r="Q74" s="214">
        <f>vlookup(D74,'S2'!A70:B1272,2,0)</f>
        <v>62</v>
      </c>
      <c r="R74" s="214">
        <f>ifna(vlookup(D74,'S3'!$1:$1311,2,False),0)</f>
        <v>88</v>
      </c>
      <c r="S74" s="214"/>
      <c r="T74" s="215">
        <v>13.0</v>
      </c>
      <c r="U74" s="215">
        <v>19.0</v>
      </c>
      <c r="V74" s="215">
        <v>44.0</v>
      </c>
      <c r="W74" s="215"/>
      <c r="X74" s="216">
        <v>80.0</v>
      </c>
      <c r="Y74" s="215"/>
      <c r="Z74" s="224"/>
      <c r="AA74" s="218">
        <v>90.0</v>
      </c>
      <c r="AB74" s="219">
        <v>70.0</v>
      </c>
      <c r="AC74" s="129">
        <v>65.0</v>
      </c>
      <c r="AD74" s="129">
        <v>75.0</v>
      </c>
      <c r="AE74" s="130">
        <v>70.0</v>
      </c>
      <c r="AF74" s="129"/>
      <c r="AG74" s="129">
        <v>78.0</v>
      </c>
      <c r="AH74" s="129"/>
      <c r="AI74" s="88"/>
      <c r="AJ74" s="88"/>
      <c r="AK74" s="132">
        <f t="shared" si="1"/>
        <v>4</v>
      </c>
      <c r="AL74" s="132">
        <f t="shared" si="2"/>
        <v>3</v>
      </c>
      <c r="AM74" s="133">
        <f t="shared" si="3"/>
        <v>2</v>
      </c>
      <c r="AN74" s="132" t="str">
        <f t="shared" si="4"/>
        <v>3.5</v>
      </c>
      <c r="AO74" s="132">
        <f t="shared" si="5"/>
        <v>3</v>
      </c>
      <c r="AP74" s="88"/>
    </row>
    <row r="75">
      <c r="A75" s="142">
        <v>71.0</v>
      </c>
      <c r="B75" s="220" t="s">
        <v>1408</v>
      </c>
      <c r="C75" s="221" t="s">
        <v>3488</v>
      </c>
      <c r="D75" s="209" t="str">
        <f>VLOOKUP(B75,USN!$1:$1088,2,False)</f>
        <v>1CR23IS073</v>
      </c>
      <c r="E75" s="227">
        <v>7.204423872E9</v>
      </c>
      <c r="F75" s="222" t="s">
        <v>3706</v>
      </c>
      <c r="G75" s="88"/>
      <c r="H75" s="223">
        <v>76.0</v>
      </c>
      <c r="I75" s="211">
        <v>87.0</v>
      </c>
      <c r="J75" s="211">
        <f>VLOOKUP(D75,'L3'!$1:$2060,2,False)</f>
        <v>79</v>
      </c>
      <c r="K75" s="211">
        <f>VLOOKUP(D75,'L4'!$1:$2059,2,False)</f>
        <v>76</v>
      </c>
      <c r="L75" s="212">
        <f>VLOOKUP(D75,'A1 RETEST 5 DEC'!$1:$2096,2,FALSE)</f>
        <v>50</v>
      </c>
      <c r="M75" s="213">
        <f>VLOOKUP(D75,'A2 RETEST 4 DEC'!$1:$2096,2,False)</f>
        <v>64</v>
      </c>
      <c r="N75" s="213">
        <v>50.0</v>
      </c>
      <c r="O75" s="212"/>
      <c r="P75" s="214">
        <f>IFNA(VLOOKUP(D75,'S1'!$1:$2000,2,False),0)</f>
        <v>77</v>
      </c>
      <c r="Q75" s="214">
        <f>vlookup(D75,'S2'!A71:B1273,2,0)</f>
        <v>62</v>
      </c>
      <c r="R75" s="214">
        <f>ifna(vlookup(D75,'S3'!$1:$1311,2,False),0)</f>
        <v>88</v>
      </c>
      <c r="S75" s="214"/>
      <c r="T75" s="215">
        <v>12.0</v>
      </c>
      <c r="U75" s="215">
        <v>24.0</v>
      </c>
      <c r="V75" s="215">
        <v>42.0</v>
      </c>
      <c r="W75" s="215"/>
      <c r="X75" s="216">
        <v>80.0</v>
      </c>
      <c r="Y75" s="215"/>
      <c r="Z75" s="217"/>
      <c r="AA75" s="218">
        <v>58.0</v>
      </c>
      <c r="AB75" s="219">
        <v>100.0</v>
      </c>
      <c r="AC75" s="129">
        <v>76.0</v>
      </c>
      <c r="AD75" s="129">
        <v>75.0</v>
      </c>
      <c r="AE75" s="130">
        <v>70.0</v>
      </c>
      <c r="AF75" s="129"/>
      <c r="AG75" s="129">
        <v>78.0</v>
      </c>
      <c r="AH75" s="129"/>
      <c r="AI75" s="131"/>
      <c r="AJ75" s="131"/>
      <c r="AK75" s="132">
        <f t="shared" si="1"/>
        <v>4</v>
      </c>
      <c r="AL75" s="132">
        <f t="shared" si="2"/>
        <v>3</v>
      </c>
      <c r="AM75" s="133">
        <f t="shared" si="3"/>
        <v>2</v>
      </c>
      <c r="AN75" s="132" t="str">
        <f t="shared" si="4"/>
        <v>3.5</v>
      </c>
      <c r="AO75" s="132">
        <f t="shared" si="5"/>
        <v>3</v>
      </c>
      <c r="AP75" s="88"/>
    </row>
    <row r="76">
      <c r="A76" s="142">
        <v>72.0</v>
      </c>
      <c r="B76" s="220" t="s">
        <v>1429</v>
      </c>
      <c r="C76" s="221" t="s">
        <v>3489</v>
      </c>
      <c r="D76" s="209" t="str">
        <f>VLOOKUP(B76,USN!$1:$1088,2,False)</f>
        <v>1CR23IS074</v>
      </c>
      <c r="E76" s="222">
        <v>9.182154389E9</v>
      </c>
      <c r="F76" s="222" t="s">
        <v>3706</v>
      </c>
      <c r="G76" s="88"/>
      <c r="H76" s="223">
        <v>82.0</v>
      </c>
      <c r="I76" s="211">
        <v>85.0</v>
      </c>
      <c r="J76" s="211">
        <f>VLOOKUP(D76,'L3'!$1:$2060,2,False)</f>
        <v>5</v>
      </c>
      <c r="K76" s="211">
        <f>VLOOKUP(D76,'L4'!$1:$2059,2,False)</f>
        <v>4</v>
      </c>
      <c r="L76" s="212">
        <f>VLOOKUP(D76,'A1 RETEST 5 DEC'!$1:$2096,2,FALSE)</f>
        <v>27</v>
      </c>
      <c r="M76" s="213">
        <f>VLOOKUP(D76,'A2 RETEST 4 DEC'!$1:$2096,2,False)</f>
        <v>0</v>
      </c>
      <c r="N76" s="213">
        <v>0.0</v>
      </c>
      <c r="O76" s="212"/>
      <c r="P76" s="214">
        <f>IFNA(VLOOKUP(D76,'S1'!$1:$2000,2,False),0)</f>
        <v>79</v>
      </c>
      <c r="Q76" s="214">
        <f>vlookup(D76,'S2'!A72:B1274,2,0)</f>
        <v>0</v>
      </c>
      <c r="R76" s="214">
        <f>ifna(vlookup(D76,'S3'!$1:$1311,2,False),0)</f>
        <v>0</v>
      </c>
      <c r="S76" s="214"/>
      <c r="T76" s="215">
        <v>17.0</v>
      </c>
      <c r="U76" s="215">
        <v>23.0</v>
      </c>
      <c r="V76" s="215"/>
      <c r="W76" s="215"/>
      <c r="X76" s="216">
        <v>0.0</v>
      </c>
      <c r="Y76" s="215"/>
      <c r="Z76" s="217"/>
      <c r="AA76" s="218">
        <v>88.0</v>
      </c>
      <c r="AB76" s="219">
        <v>75.0</v>
      </c>
      <c r="AC76" s="129">
        <v>60.0</v>
      </c>
      <c r="AD76" s="129">
        <v>0.0</v>
      </c>
      <c r="AE76" s="130">
        <v>10.0</v>
      </c>
      <c r="AF76" s="129"/>
      <c r="AG76" s="129">
        <v>10.0</v>
      </c>
      <c r="AH76" s="129"/>
      <c r="AI76" s="88"/>
      <c r="AJ76" s="88"/>
      <c r="AK76" s="132">
        <f t="shared" si="1"/>
        <v>2</v>
      </c>
      <c r="AL76" s="132">
        <f t="shared" si="2"/>
        <v>0</v>
      </c>
      <c r="AM76" s="133">
        <f t="shared" si="3"/>
        <v>2</v>
      </c>
      <c r="AN76" s="132" t="str">
        <f t="shared" si="4"/>
        <v>3</v>
      </c>
      <c r="AO76" s="132">
        <f t="shared" si="5"/>
        <v>1</v>
      </c>
      <c r="AP76" s="88"/>
    </row>
    <row r="77">
      <c r="A77" s="142">
        <v>73.0</v>
      </c>
      <c r="B77" s="239" t="s">
        <v>1422</v>
      </c>
      <c r="C77" s="221" t="s">
        <v>3490</v>
      </c>
      <c r="D77" s="209" t="str">
        <f>VLOOKUP(B77,USN!$1:$1088,2,False)</f>
        <v>1CR23IS075</v>
      </c>
      <c r="E77" s="240">
        <v>7.460894558E9</v>
      </c>
      <c r="F77" s="240" t="s">
        <v>3706</v>
      </c>
      <c r="G77" s="88"/>
      <c r="H77" s="223">
        <v>66.0</v>
      </c>
      <c r="I77" s="211">
        <v>69.0</v>
      </c>
      <c r="J77" s="211">
        <f>VLOOKUP(D77,'L3'!$1:$2060,2,False)</f>
        <v>70</v>
      </c>
      <c r="K77" s="211">
        <f>VLOOKUP(D77,'L4'!$1:$2059,2,False)</f>
        <v>70</v>
      </c>
      <c r="L77" s="212">
        <f>VLOOKUP(D77,'A1 RETEST 5 DEC'!$1:$2096,2,FALSE)</f>
        <v>50</v>
      </c>
      <c r="M77" s="213">
        <f>VLOOKUP(D77,'A2 RETEST 4 DEC'!$1:$2096,2,False)</f>
        <v>21</v>
      </c>
      <c r="N77" s="213">
        <v>50.0</v>
      </c>
      <c r="O77" s="212"/>
      <c r="P77" s="214">
        <f>IFNA(VLOOKUP(D77,'S1'!$1:$2000,2,False),0)</f>
        <v>0</v>
      </c>
      <c r="Q77" s="214">
        <f>vlookup(D77,'S2'!A73:B1275,2,0)</f>
        <v>0</v>
      </c>
      <c r="R77" s="214">
        <f>ifna(vlookup(D77,'S3'!$1:$1311,2,False),0)</f>
        <v>87</v>
      </c>
      <c r="S77" s="214"/>
      <c r="T77" s="215">
        <v>18.0</v>
      </c>
      <c r="U77" s="215">
        <v>19.0</v>
      </c>
      <c r="V77" s="215">
        <v>46.0</v>
      </c>
      <c r="W77" s="215">
        <v>24.0</v>
      </c>
      <c r="X77" s="216">
        <v>76.0</v>
      </c>
      <c r="Y77" s="215"/>
      <c r="Z77" s="217"/>
      <c r="AA77" s="218">
        <v>45.0</v>
      </c>
      <c r="AB77" s="219">
        <v>43.0</v>
      </c>
      <c r="AC77" s="129">
        <v>0.0</v>
      </c>
      <c r="AD77" s="129">
        <v>0.0</v>
      </c>
      <c r="AE77" s="130">
        <v>10.0</v>
      </c>
      <c r="AF77" s="129"/>
      <c r="AG77" s="129">
        <v>17.0</v>
      </c>
      <c r="AH77" s="129"/>
      <c r="AI77" s="88"/>
      <c r="AJ77" s="88"/>
      <c r="AK77" s="132">
        <f t="shared" si="1"/>
        <v>4</v>
      </c>
      <c r="AL77" s="132">
        <f t="shared" si="2"/>
        <v>1</v>
      </c>
      <c r="AM77" s="133">
        <f t="shared" si="3"/>
        <v>2</v>
      </c>
      <c r="AN77" s="132" t="str">
        <f t="shared" si="4"/>
        <v>0</v>
      </c>
      <c r="AO77" s="132">
        <f t="shared" si="5"/>
        <v>0</v>
      </c>
      <c r="AP77" s="88"/>
    </row>
    <row r="78">
      <c r="A78" s="142">
        <v>74.0</v>
      </c>
      <c r="B78" s="220" t="s">
        <v>1531</v>
      </c>
      <c r="C78" s="221" t="s">
        <v>3491</v>
      </c>
      <c r="D78" s="209" t="str">
        <f>VLOOKUP(B78,USN!$1:$1088,2,False)</f>
        <v>1CR23IS076</v>
      </c>
      <c r="E78" s="240">
        <v>9.972334509E9</v>
      </c>
      <c r="F78" s="222" t="s">
        <v>3706</v>
      </c>
      <c r="G78" s="88"/>
      <c r="H78" s="211">
        <v>70.0</v>
      </c>
      <c r="I78" s="211">
        <v>78.0</v>
      </c>
      <c r="J78" s="211">
        <f>VLOOKUP(D78,'L3'!$1:$2060,2,False)</f>
        <v>70</v>
      </c>
      <c r="K78" s="211">
        <f>VLOOKUP(D78,'L4'!$1:$2059,2,False)</f>
        <v>70</v>
      </c>
      <c r="L78" s="212">
        <f>VLOOKUP(D78,'A1 RETEST 5 DEC'!$1:$2096,2,FALSE)</f>
        <v>50</v>
      </c>
      <c r="M78" s="213">
        <f>VLOOKUP(D78,'A2 RETEST 4 DEC'!$1:$2096,2,False)</f>
        <v>5</v>
      </c>
      <c r="N78" s="213">
        <v>50.0</v>
      </c>
      <c r="O78" s="212"/>
      <c r="P78" s="214">
        <f>IFNA(VLOOKUP(D78,'S1'!$1:$2000,2,False),0)</f>
        <v>50</v>
      </c>
      <c r="Q78" s="214">
        <f>vlookup(D78,'S2'!A74:B1276,2,0)</f>
        <v>50</v>
      </c>
      <c r="R78" s="214">
        <f>ifna(vlookup(D78,'S3'!$1:$1311,2,False),0)</f>
        <v>0</v>
      </c>
      <c r="S78" s="214"/>
      <c r="T78" s="215">
        <v>10.0</v>
      </c>
      <c r="U78" s="215">
        <v>25.0</v>
      </c>
      <c r="V78" s="215">
        <v>44.0</v>
      </c>
      <c r="W78" s="215">
        <v>32.0</v>
      </c>
      <c r="X78" s="216">
        <v>80.0</v>
      </c>
      <c r="Y78" s="215"/>
      <c r="Z78" s="217"/>
      <c r="AA78" s="218">
        <v>12.0</v>
      </c>
      <c r="AB78" s="219">
        <v>79.0</v>
      </c>
      <c r="AC78" s="129">
        <v>0.0</v>
      </c>
      <c r="AD78" s="129">
        <v>32.0</v>
      </c>
      <c r="AE78" s="130">
        <v>10.0</v>
      </c>
      <c r="AF78" s="129"/>
      <c r="AG78" s="129">
        <v>19.0</v>
      </c>
      <c r="AH78" s="129"/>
      <c r="AI78" s="88"/>
      <c r="AJ78" s="88"/>
      <c r="AK78" s="132">
        <f t="shared" si="1"/>
        <v>4</v>
      </c>
      <c r="AL78" s="132">
        <f t="shared" si="2"/>
        <v>1</v>
      </c>
      <c r="AM78" s="133">
        <f t="shared" si="3"/>
        <v>2</v>
      </c>
      <c r="AN78" s="132" t="str">
        <f t="shared" si="4"/>
        <v>2</v>
      </c>
      <c r="AO78" s="132">
        <f t="shared" si="5"/>
        <v>2</v>
      </c>
      <c r="AP78" s="88"/>
    </row>
    <row r="79">
      <c r="A79" s="142">
        <v>75.0</v>
      </c>
      <c r="B79" s="229" t="s">
        <v>1470</v>
      </c>
      <c r="C79" s="221" t="s">
        <v>3492</v>
      </c>
      <c r="D79" s="209" t="str">
        <f>VLOOKUP(B79,USN!$1:$1088,2,False)</f>
        <v>1CR23IS077</v>
      </c>
      <c r="E79" s="227">
        <v>8.050955119E9</v>
      </c>
      <c r="F79" s="222" t="s">
        <v>3706</v>
      </c>
      <c r="G79" s="88"/>
      <c r="H79" s="223">
        <v>77.0</v>
      </c>
      <c r="I79" s="211">
        <v>85.0</v>
      </c>
      <c r="J79" s="211">
        <f>VLOOKUP(D79,'L3'!$1:$2060,2,False)</f>
        <v>71</v>
      </c>
      <c r="K79" s="211">
        <f>VLOOKUP(D79,'L4'!$1:$2059,2,False)</f>
        <v>79</v>
      </c>
      <c r="L79" s="212">
        <f>VLOOKUP(D79,'A1 RETEST 5 DEC'!$1:$2096,2,FALSE)</f>
        <v>53</v>
      </c>
      <c r="M79" s="213">
        <f>VLOOKUP(D79,'A2 RETEST 4 DEC'!$1:$2096,2,False)</f>
        <v>50</v>
      </c>
      <c r="N79" s="213">
        <v>50.0</v>
      </c>
      <c r="O79" s="212"/>
      <c r="P79" s="214">
        <f>IFNA(VLOOKUP(D79,'S1'!$1:$2000,2,False),0)</f>
        <v>84</v>
      </c>
      <c r="Q79" s="214">
        <f>vlookup(D79,'S2'!A75:B1277,2,0)</f>
        <v>82</v>
      </c>
      <c r="R79" s="214">
        <f>ifna(vlookup(D79,'S3'!$1:$1311,2,False),0)</f>
        <v>88</v>
      </c>
      <c r="S79" s="214"/>
      <c r="T79" s="215">
        <v>11.0</v>
      </c>
      <c r="U79" s="215">
        <v>22.0</v>
      </c>
      <c r="V79" s="215">
        <v>44.0</v>
      </c>
      <c r="W79" s="215">
        <v>44.0</v>
      </c>
      <c r="X79" s="216">
        <v>92.0</v>
      </c>
      <c r="Y79" s="215"/>
      <c r="Z79" s="217"/>
      <c r="AA79" s="218">
        <v>24.0</v>
      </c>
      <c r="AB79" s="219">
        <v>95.0</v>
      </c>
      <c r="AC79" s="129">
        <v>67.0</v>
      </c>
      <c r="AD79" s="129">
        <v>100.0</v>
      </c>
      <c r="AE79" s="130">
        <v>73.0</v>
      </c>
      <c r="AF79" s="129"/>
      <c r="AG79" s="129">
        <v>90.0</v>
      </c>
      <c r="AH79" s="129"/>
      <c r="AI79" s="88"/>
      <c r="AJ79" s="88"/>
      <c r="AK79" s="132">
        <f t="shared" si="1"/>
        <v>4</v>
      </c>
      <c r="AL79" s="132">
        <f t="shared" si="2"/>
        <v>3</v>
      </c>
      <c r="AM79" s="133">
        <f t="shared" si="3"/>
        <v>2</v>
      </c>
      <c r="AN79" s="132" t="str">
        <f t="shared" si="4"/>
        <v>3.5</v>
      </c>
      <c r="AO79" s="132">
        <f t="shared" si="5"/>
        <v>3</v>
      </c>
      <c r="AP79" s="88"/>
    </row>
    <row r="80">
      <c r="A80" s="142">
        <v>76.0</v>
      </c>
      <c r="B80" s="220" t="s">
        <v>1430</v>
      </c>
      <c r="C80" s="221" t="s">
        <v>3493</v>
      </c>
      <c r="D80" s="209" t="str">
        <f>VLOOKUP(B80,USN!$1:$1088,2,False)</f>
        <v>1CR23IS078</v>
      </c>
      <c r="E80" s="222">
        <v>9.448853944E9</v>
      </c>
      <c r="F80" s="222" t="s">
        <v>3706</v>
      </c>
      <c r="G80" s="88"/>
      <c r="H80" s="223">
        <v>80.0</v>
      </c>
      <c r="I80" s="211">
        <v>89.0</v>
      </c>
      <c r="J80" s="211">
        <f>VLOOKUP(D80,'L3'!$1:$2060,2,False)</f>
        <v>81</v>
      </c>
      <c r="K80" s="211">
        <f>VLOOKUP(D80,'L4'!$1:$2059,2,False)</f>
        <v>83</v>
      </c>
      <c r="L80" s="212">
        <f>VLOOKUP(D80,'A1 RETEST 5 DEC'!$1:$2096,2,FALSE)</f>
        <v>50</v>
      </c>
      <c r="M80" s="213">
        <f>VLOOKUP(D80,'A2 RETEST 4 DEC'!$1:$2096,2,False)</f>
        <v>50</v>
      </c>
      <c r="N80" s="213">
        <v>51.0</v>
      </c>
      <c r="O80" s="212"/>
      <c r="P80" s="214">
        <f>IFNA(VLOOKUP(D80,'S1'!$1:$2000,2,False),0)</f>
        <v>79</v>
      </c>
      <c r="Q80" s="214">
        <f>vlookup(D80,'S2'!A76:B1278,2,0)</f>
        <v>90</v>
      </c>
      <c r="R80" s="214">
        <f>ifna(vlookup(D80,'S3'!$1:$1311,2,False),0)</f>
        <v>89</v>
      </c>
      <c r="S80" s="214"/>
      <c r="T80" s="215">
        <v>12.0</v>
      </c>
      <c r="U80" s="215">
        <v>25.0</v>
      </c>
      <c r="V80" s="215">
        <v>46.0</v>
      </c>
      <c r="W80" s="215">
        <v>52.0</v>
      </c>
      <c r="X80" s="216">
        <v>68.0</v>
      </c>
      <c r="Y80" s="215"/>
      <c r="Z80" s="217"/>
      <c r="AA80" s="218">
        <v>76.0</v>
      </c>
      <c r="AB80" s="219">
        <v>100.0</v>
      </c>
      <c r="AC80" s="129">
        <v>82.0</v>
      </c>
      <c r="AD80" s="129">
        <v>100.0</v>
      </c>
      <c r="AE80" s="130">
        <v>70.0</v>
      </c>
      <c r="AF80" s="129"/>
      <c r="AG80" s="129">
        <v>78.0</v>
      </c>
      <c r="AH80" s="129"/>
      <c r="AI80" s="88"/>
      <c r="AJ80" s="88"/>
      <c r="AK80" s="132">
        <f t="shared" si="1"/>
        <v>4</v>
      </c>
      <c r="AL80" s="132">
        <f t="shared" si="2"/>
        <v>3</v>
      </c>
      <c r="AM80" s="133">
        <f t="shared" si="3"/>
        <v>3</v>
      </c>
      <c r="AN80" s="132" t="str">
        <f t="shared" si="4"/>
        <v>3.5</v>
      </c>
      <c r="AO80" s="132">
        <f t="shared" si="5"/>
        <v>3</v>
      </c>
      <c r="AP80" s="88"/>
    </row>
    <row r="81">
      <c r="A81" s="142">
        <v>77.0</v>
      </c>
      <c r="B81" s="220" t="s">
        <v>1431</v>
      </c>
      <c r="C81" s="221" t="s">
        <v>3494</v>
      </c>
      <c r="D81" s="209" t="str">
        <f>VLOOKUP(B81,USN!$1:$1088,2,False)</f>
        <v>1CR23IS079</v>
      </c>
      <c r="E81" s="222">
        <v>8.095102712E9</v>
      </c>
      <c r="F81" s="222" t="s">
        <v>3706</v>
      </c>
      <c r="G81" s="88"/>
      <c r="H81" s="223">
        <v>85.0</v>
      </c>
      <c r="I81" s="211">
        <v>96.0</v>
      </c>
      <c r="J81" s="211">
        <f>VLOOKUP(D81,'L3'!$1:$2060,2,False)</f>
        <v>77</v>
      </c>
      <c r="K81" s="211">
        <f>VLOOKUP(D81,'L4'!$1:$2059,2,False)</f>
        <v>87</v>
      </c>
      <c r="L81" s="212">
        <f>VLOOKUP(D81,'A1 RETEST 5 DEC'!$1:$2096,2,FALSE)</f>
        <v>50</v>
      </c>
      <c r="M81" s="213">
        <f>VLOOKUP(D81,'A2 RETEST 4 DEC'!$1:$2096,2,False)</f>
        <v>53</v>
      </c>
      <c r="N81" s="213">
        <v>61.0</v>
      </c>
      <c r="O81" s="212"/>
      <c r="P81" s="214">
        <f>IFNA(VLOOKUP(D81,'S1'!$1:$2000,2,False),0)</f>
        <v>87</v>
      </c>
      <c r="Q81" s="214">
        <f>vlookup(D81,'S2'!A77:B1279,2,0)</f>
        <v>81</v>
      </c>
      <c r="R81" s="214">
        <f>ifna(vlookup(D81,'S3'!$1:$1311,2,False),0)</f>
        <v>89</v>
      </c>
      <c r="S81" s="214"/>
      <c r="T81" s="215">
        <v>11.0</v>
      </c>
      <c r="U81" s="215">
        <v>24.0</v>
      </c>
      <c r="V81" s="215">
        <v>46.0</v>
      </c>
      <c r="W81" s="215">
        <v>56.0</v>
      </c>
      <c r="X81" s="215">
        <v>60.0</v>
      </c>
      <c r="Y81" s="215"/>
      <c r="Z81" s="217"/>
      <c r="AA81" s="218">
        <v>70.0</v>
      </c>
      <c r="AB81" s="219">
        <v>100.0</v>
      </c>
      <c r="AC81" s="129">
        <v>72.0</v>
      </c>
      <c r="AD81" s="129">
        <v>70.0</v>
      </c>
      <c r="AE81" s="130">
        <v>70.0</v>
      </c>
      <c r="AF81" s="129"/>
      <c r="AG81" s="129">
        <v>75.0</v>
      </c>
      <c r="AH81" s="129"/>
      <c r="AI81" s="88"/>
      <c r="AJ81" s="88"/>
      <c r="AK81" s="132">
        <f t="shared" si="1"/>
        <v>4</v>
      </c>
      <c r="AL81" s="132">
        <f t="shared" si="2"/>
        <v>3</v>
      </c>
      <c r="AM81" s="133">
        <f t="shared" si="3"/>
        <v>3</v>
      </c>
      <c r="AN81" s="132" t="str">
        <f t="shared" si="4"/>
        <v>3.5</v>
      </c>
      <c r="AO81" s="132">
        <f t="shared" si="5"/>
        <v>3</v>
      </c>
      <c r="AP81" s="88"/>
    </row>
    <row r="82">
      <c r="A82" s="142">
        <v>78.0</v>
      </c>
      <c r="B82" s="220" t="s">
        <v>1409</v>
      </c>
      <c r="C82" s="221" t="s">
        <v>3495</v>
      </c>
      <c r="D82" s="209" t="str">
        <f>VLOOKUP(B82,USN!$1:$1088,2,False)</f>
        <v>1CR23IS080</v>
      </c>
      <c r="E82" s="227">
        <v>9.35312471E9</v>
      </c>
      <c r="F82" s="222" t="s">
        <v>3706</v>
      </c>
      <c r="G82" s="88"/>
      <c r="H82" s="223">
        <v>81.0</v>
      </c>
      <c r="I82" s="211">
        <v>89.0</v>
      </c>
      <c r="J82" s="211">
        <f>VLOOKUP(D82,'L3'!$1:$2060,2,False)</f>
        <v>77</v>
      </c>
      <c r="K82" s="211">
        <f>VLOOKUP(D82,'L4'!$1:$2059,2,False)</f>
        <v>70</v>
      </c>
      <c r="L82" s="212">
        <f>VLOOKUP(D82,'A1 RETEST 5 DEC'!$1:$2096,2,FALSE)</f>
        <v>50</v>
      </c>
      <c r="M82" s="213">
        <f>VLOOKUP(D82,'A2 RETEST 4 DEC'!$1:$2096,2,False)</f>
        <v>36</v>
      </c>
      <c r="N82" s="213">
        <v>6.0</v>
      </c>
      <c r="O82" s="212"/>
      <c r="P82" s="214">
        <f>IFNA(VLOOKUP(D82,'S1'!$1:$2000,2,False),0)</f>
        <v>91</v>
      </c>
      <c r="Q82" s="214">
        <f>vlookup(D82,'S2'!A78:B1280,2,0)</f>
        <v>50</v>
      </c>
      <c r="R82" s="214">
        <f>ifna(vlookup(D82,'S3'!$1:$1311,2,False),0)</f>
        <v>50</v>
      </c>
      <c r="S82" s="214"/>
      <c r="T82" s="215">
        <v>12.0</v>
      </c>
      <c r="U82" s="215">
        <v>25.0</v>
      </c>
      <c r="V82" s="215">
        <v>46.0</v>
      </c>
      <c r="W82" s="215"/>
      <c r="X82" s="216">
        <v>72.0</v>
      </c>
      <c r="Y82" s="215"/>
      <c r="Z82" s="224"/>
      <c r="AA82" s="218">
        <v>26.0</v>
      </c>
      <c r="AB82" s="219">
        <v>67.0</v>
      </c>
      <c r="AC82" s="129">
        <v>0.0</v>
      </c>
      <c r="AD82" s="129">
        <v>80.0</v>
      </c>
      <c r="AE82" s="130">
        <v>10.0</v>
      </c>
      <c r="AF82" s="129"/>
      <c r="AG82" s="129">
        <v>10.0</v>
      </c>
      <c r="AH82" s="129"/>
      <c r="AI82" s="88"/>
      <c r="AJ82" s="88"/>
      <c r="AK82" s="132">
        <f t="shared" si="1"/>
        <v>4</v>
      </c>
      <c r="AL82" s="132">
        <f t="shared" si="2"/>
        <v>1</v>
      </c>
      <c r="AM82" s="133">
        <f t="shared" si="3"/>
        <v>2</v>
      </c>
      <c r="AN82" s="132" t="str">
        <f t="shared" si="4"/>
        <v>3</v>
      </c>
      <c r="AO82" s="132">
        <f t="shared" si="5"/>
        <v>3</v>
      </c>
      <c r="AP82" s="88"/>
    </row>
    <row r="83">
      <c r="A83" s="142">
        <v>79.0</v>
      </c>
      <c r="B83" s="220" t="s">
        <v>1432</v>
      </c>
      <c r="C83" s="221" t="s">
        <v>3496</v>
      </c>
      <c r="D83" s="209" t="str">
        <f>VLOOKUP(B83,USN!$1:$1088,2,False)</f>
        <v>1CR23IS081</v>
      </c>
      <c r="E83" s="222">
        <v>9.900000874E9</v>
      </c>
      <c r="F83" s="222" t="s">
        <v>3706</v>
      </c>
      <c r="G83" s="88"/>
      <c r="H83" s="223">
        <v>73.0</v>
      </c>
      <c r="I83" s="211">
        <v>77.0</v>
      </c>
      <c r="J83" s="211">
        <f>VLOOKUP(D83,'L3'!$1:$2060,2,False)</f>
        <v>26</v>
      </c>
      <c r="K83" s="211">
        <f>VLOOKUP(D83,'L4'!$1:$2059,2,False)</f>
        <v>70</v>
      </c>
      <c r="L83" s="212">
        <f>VLOOKUP(D83,'A1 RETEST 5 DEC'!$1:$2096,2,FALSE)</f>
        <v>50</v>
      </c>
      <c r="M83" s="213">
        <f>VLOOKUP(D83,'A2 RETEST 4 DEC'!$1:$2096,2,False)</f>
        <v>51</v>
      </c>
      <c r="N83" s="213">
        <v>50.0</v>
      </c>
      <c r="O83" s="212"/>
      <c r="P83" s="214">
        <f>IFNA(VLOOKUP(D83,'S1'!$1:$2000,2,False),0)</f>
        <v>50</v>
      </c>
      <c r="Q83" s="214">
        <f>vlookup(D83,'S2'!A79:B1281,2,0)</f>
        <v>63</v>
      </c>
      <c r="R83" s="214">
        <f>ifna(vlookup(D83,'S3'!$1:$1311,2,False),0)</f>
        <v>74</v>
      </c>
      <c r="S83" s="214"/>
      <c r="T83" s="215">
        <v>10.0</v>
      </c>
      <c r="U83" s="215">
        <v>24.0</v>
      </c>
      <c r="V83" s="215"/>
      <c r="W83" s="215">
        <v>36.0</v>
      </c>
      <c r="X83" s="216">
        <v>84.0</v>
      </c>
      <c r="Y83" s="215"/>
      <c r="Z83" s="217"/>
      <c r="AA83" s="218">
        <v>20.0</v>
      </c>
      <c r="AB83" s="219">
        <v>70.0</v>
      </c>
      <c r="AC83" s="129">
        <v>70.0</v>
      </c>
      <c r="AD83" s="129">
        <v>100.0</v>
      </c>
      <c r="AE83" s="130">
        <v>17.0</v>
      </c>
      <c r="AF83" s="129"/>
      <c r="AG83" s="129">
        <v>75.0</v>
      </c>
      <c r="AH83" s="129"/>
      <c r="AI83" s="88"/>
      <c r="AJ83" s="88"/>
      <c r="AK83" s="132">
        <f t="shared" si="1"/>
        <v>2</v>
      </c>
      <c r="AL83" s="132">
        <f t="shared" si="2"/>
        <v>3</v>
      </c>
      <c r="AM83" s="133">
        <f t="shared" si="3"/>
        <v>2</v>
      </c>
      <c r="AN83" s="132" t="str">
        <f t="shared" si="4"/>
        <v>3</v>
      </c>
      <c r="AO83" s="132">
        <f t="shared" si="5"/>
        <v>3</v>
      </c>
      <c r="AP83" s="88"/>
    </row>
    <row r="84">
      <c r="A84" s="142">
        <v>80.0</v>
      </c>
      <c r="B84" s="229" t="s">
        <v>1468</v>
      </c>
      <c r="C84" s="221" t="s">
        <v>3497</v>
      </c>
      <c r="D84" s="209" t="str">
        <f>VLOOKUP(B84,USN!$1:$1088,2,False)</f>
        <v>1CR23IS082</v>
      </c>
      <c r="E84" s="227">
        <v>8.660851833E9</v>
      </c>
      <c r="F84" s="222" t="s">
        <v>3706</v>
      </c>
      <c r="G84" s="88"/>
      <c r="H84" s="223">
        <v>71.0</v>
      </c>
      <c r="I84" s="211">
        <v>82.0</v>
      </c>
      <c r="J84" s="211">
        <f>VLOOKUP(D84,'L3'!$1:$2060,2,False)</f>
        <v>75</v>
      </c>
      <c r="K84" s="211">
        <f>VLOOKUP(D84,'L4'!$1:$2059,2,False)</f>
        <v>70</v>
      </c>
      <c r="L84" s="212">
        <f>VLOOKUP(D84,'A1 RETEST 5 DEC'!$1:$2096,2,FALSE)</f>
        <v>50</v>
      </c>
      <c r="M84" s="213">
        <f>VLOOKUP(D84,'A2 RETEST 4 DEC'!$1:$2096,2,False)</f>
        <v>62</v>
      </c>
      <c r="N84" s="213">
        <v>7.0</v>
      </c>
      <c r="O84" s="212"/>
      <c r="P84" s="214">
        <f>IFNA(VLOOKUP(D84,'S1'!$1:$2000,2,False),0)</f>
        <v>50</v>
      </c>
      <c r="Q84" s="214">
        <f>vlookup(D84,'S2'!A80:B1282,2,0)</f>
        <v>62</v>
      </c>
      <c r="R84" s="214">
        <f>ifna(vlookup(D84,'S3'!$1:$1311,2,False),0)</f>
        <v>75</v>
      </c>
      <c r="S84" s="214"/>
      <c r="T84" s="215">
        <v>18.0</v>
      </c>
      <c r="U84" s="215">
        <v>24.0</v>
      </c>
      <c r="V84" s="215">
        <v>48.0</v>
      </c>
      <c r="W84" s="215">
        <v>52.0</v>
      </c>
      <c r="X84" s="216">
        <v>92.0</v>
      </c>
      <c r="Y84" s="215"/>
      <c r="Z84" s="217"/>
      <c r="AA84" s="218">
        <v>58.0</v>
      </c>
      <c r="AB84" s="219">
        <v>96.0</v>
      </c>
      <c r="AC84" s="129">
        <v>60.0</v>
      </c>
      <c r="AD84" s="129">
        <v>80.0</v>
      </c>
      <c r="AE84" s="130">
        <v>70.0</v>
      </c>
      <c r="AF84" s="129"/>
      <c r="AG84" s="129">
        <v>38.0</v>
      </c>
      <c r="AH84" s="129"/>
      <c r="AI84" s="88"/>
      <c r="AJ84" s="88"/>
      <c r="AK84" s="132">
        <f t="shared" si="1"/>
        <v>4</v>
      </c>
      <c r="AL84" s="132">
        <f t="shared" si="2"/>
        <v>2</v>
      </c>
      <c r="AM84" s="133">
        <f t="shared" si="3"/>
        <v>3</v>
      </c>
      <c r="AN84" s="132" t="str">
        <f t="shared" si="4"/>
        <v>3.5</v>
      </c>
      <c r="AO84" s="132">
        <f t="shared" si="5"/>
        <v>3</v>
      </c>
      <c r="AP84" s="88"/>
    </row>
    <row r="85">
      <c r="A85" s="142">
        <v>81.0</v>
      </c>
      <c r="B85" s="220" t="s">
        <v>1433</v>
      </c>
      <c r="C85" s="221" t="s">
        <v>3498</v>
      </c>
      <c r="D85" s="209" t="str">
        <f>VLOOKUP(B85,USN!$1:$1088,2,False)</f>
        <v>1CR23IS083</v>
      </c>
      <c r="E85" s="222">
        <v>9.481226867E9</v>
      </c>
      <c r="F85" s="222" t="s">
        <v>3706</v>
      </c>
      <c r="G85" s="88"/>
      <c r="H85" s="223">
        <v>91.0</v>
      </c>
      <c r="I85" s="211">
        <v>96.0</v>
      </c>
      <c r="J85" s="211">
        <f>VLOOKUP(D85,'L3'!$1:$2060,2,False)</f>
        <v>80</v>
      </c>
      <c r="K85" s="211">
        <f>VLOOKUP(D85,'L4'!$1:$2059,2,False)</f>
        <v>90</v>
      </c>
      <c r="L85" s="212">
        <f>VLOOKUP(D85,'A1 RETEST 5 DEC'!$1:$2096,2,FALSE)</f>
        <v>50</v>
      </c>
      <c r="M85" s="213">
        <f>VLOOKUP(D85,'A2 RETEST 4 DEC'!$1:$2096,2,False)</f>
        <v>50</v>
      </c>
      <c r="N85" s="213">
        <v>50.0</v>
      </c>
      <c r="O85" s="212"/>
      <c r="P85" s="214">
        <f>IFNA(VLOOKUP(D85,'S1'!$1:$2000,2,False),0)</f>
        <v>81</v>
      </c>
      <c r="Q85" s="214">
        <f>vlookup(D85,'S2'!A81:B1283,2,0)</f>
        <v>90</v>
      </c>
      <c r="R85" s="214">
        <f>ifna(vlookup(D85,'S3'!$1:$1311,2,False),0)</f>
        <v>90</v>
      </c>
      <c r="S85" s="214"/>
      <c r="T85" s="215">
        <v>13.0</v>
      </c>
      <c r="U85" s="215">
        <v>25.0</v>
      </c>
      <c r="V85" s="215">
        <v>48.0</v>
      </c>
      <c r="W85" s="215">
        <v>44.0</v>
      </c>
      <c r="X85" s="216">
        <v>84.0</v>
      </c>
      <c r="Y85" s="215"/>
      <c r="Z85" s="217"/>
      <c r="AA85" s="218">
        <v>100.0</v>
      </c>
      <c r="AB85" s="219">
        <v>100.0</v>
      </c>
      <c r="AC85" s="129">
        <v>81.0</v>
      </c>
      <c r="AD85" s="129">
        <v>100.0</v>
      </c>
      <c r="AE85" s="130">
        <v>76.0</v>
      </c>
      <c r="AF85" s="129"/>
      <c r="AG85" s="129">
        <v>60.0</v>
      </c>
      <c r="AH85" s="129"/>
      <c r="AI85" s="88"/>
      <c r="AJ85" s="88"/>
      <c r="AK85" s="132">
        <f t="shared" si="1"/>
        <v>4</v>
      </c>
      <c r="AL85" s="132">
        <f t="shared" si="2"/>
        <v>3</v>
      </c>
      <c r="AM85" s="133">
        <f t="shared" si="3"/>
        <v>2</v>
      </c>
      <c r="AN85" s="132" t="str">
        <f t="shared" si="4"/>
        <v>3.5</v>
      </c>
      <c r="AO85" s="132">
        <f t="shared" si="5"/>
        <v>3</v>
      </c>
      <c r="AP85" s="88"/>
    </row>
    <row r="86">
      <c r="A86" s="142">
        <v>82.0</v>
      </c>
      <c r="B86" s="220" t="s">
        <v>1421</v>
      </c>
      <c r="C86" s="221" t="s">
        <v>3256</v>
      </c>
      <c r="D86" s="209" t="str">
        <f>VLOOKUP(B86,USN!$1:$1088,2,False)</f>
        <v>1CR23IS084</v>
      </c>
      <c r="E86" s="227">
        <v>7.903616747E9</v>
      </c>
      <c r="F86" s="222" t="s">
        <v>3706</v>
      </c>
      <c r="G86" s="88"/>
      <c r="H86" s="223">
        <v>65.0</v>
      </c>
      <c r="I86" s="211">
        <v>71.0</v>
      </c>
      <c r="J86" s="211">
        <f>VLOOKUP(D86,'L3'!$1:$2060,2,False)</f>
        <v>29</v>
      </c>
      <c r="K86" s="211">
        <f>VLOOKUP(D86,'L4'!$1:$2059,2,False)</f>
        <v>20</v>
      </c>
      <c r="L86" s="212">
        <f>VLOOKUP(D86,'A1 RETEST 5 DEC'!$1:$2096,2,FALSE)</f>
        <v>29</v>
      </c>
      <c r="M86" s="213">
        <f>VLOOKUP(D86,'A2 RETEST 4 DEC'!$1:$2096,2,False)</f>
        <v>21</v>
      </c>
      <c r="N86" s="213">
        <v>9.0</v>
      </c>
      <c r="O86" s="212"/>
      <c r="P86" s="214">
        <f>IFNA(VLOOKUP(D86,'S1'!$1:$2000,2,False),0)</f>
        <v>81</v>
      </c>
      <c r="Q86" s="214">
        <f>vlookup(D86,'S2'!A82:B1284,2,0)</f>
        <v>50</v>
      </c>
      <c r="R86" s="214">
        <f>ifna(vlookup(D86,'S3'!$1:$1311,2,False),0)</f>
        <v>0</v>
      </c>
      <c r="S86" s="214"/>
      <c r="T86" s="215">
        <v>18.0</v>
      </c>
      <c r="U86" s="215">
        <v>24.0</v>
      </c>
      <c r="V86" s="215">
        <v>46.0</v>
      </c>
      <c r="W86" s="215">
        <v>44.0</v>
      </c>
      <c r="X86" s="216">
        <v>68.0</v>
      </c>
      <c r="Y86" s="215"/>
      <c r="Z86" s="224"/>
      <c r="AA86" s="218">
        <v>60.0</v>
      </c>
      <c r="AB86" s="219">
        <v>20.0</v>
      </c>
      <c r="AC86" s="129">
        <v>0.0</v>
      </c>
      <c r="AD86" s="129">
        <v>65.0</v>
      </c>
      <c r="AE86" s="130">
        <v>10.0</v>
      </c>
      <c r="AF86" s="129"/>
      <c r="AG86" s="129">
        <v>14.0</v>
      </c>
      <c r="AH86" s="129"/>
      <c r="AI86" s="88"/>
      <c r="AJ86" s="88"/>
      <c r="AK86" s="132">
        <f t="shared" si="1"/>
        <v>2</v>
      </c>
      <c r="AL86" s="132">
        <f t="shared" si="2"/>
        <v>0</v>
      </c>
      <c r="AM86" s="133">
        <f t="shared" si="3"/>
        <v>2</v>
      </c>
      <c r="AN86" s="132" t="str">
        <f t="shared" si="4"/>
        <v>0</v>
      </c>
      <c r="AO86" s="132">
        <f t="shared" si="5"/>
        <v>2</v>
      </c>
      <c r="AP86" s="88"/>
    </row>
    <row r="87">
      <c r="A87" s="142">
        <v>83.0</v>
      </c>
      <c r="B87" s="220" t="s">
        <v>1434</v>
      </c>
      <c r="C87" s="221" t="s">
        <v>3499</v>
      </c>
      <c r="D87" s="209" t="str">
        <f>VLOOKUP(B87,USN!$1:$1088,2,False)</f>
        <v>1CR23IS085</v>
      </c>
      <c r="E87" s="222">
        <v>9.68665746E9</v>
      </c>
      <c r="F87" s="222" t="s">
        <v>3706</v>
      </c>
      <c r="G87" s="88"/>
      <c r="H87" s="223">
        <v>85.0</v>
      </c>
      <c r="I87" s="211">
        <v>95.0</v>
      </c>
      <c r="J87" s="211">
        <f>VLOOKUP(D87,'L3'!$1:$2060,2,False)</f>
        <v>93</v>
      </c>
      <c r="K87" s="211">
        <f>VLOOKUP(D87,'L4'!$1:$2059,2,False)</f>
        <v>82</v>
      </c>
      <c r="L87" s="212">
        <f>VLOOKUP(D87,'A1 RETEST 5 DEC'!$1:$2096,2,FALSE)</f>
        <v>50</v>
      </c>
      <c r="M87" s="213">
        <f>VLOOKUP(D87,'A2 RETEST 4 DEC'!$1:$2096,2,False)</f>
        <v>50</v>
      </c>
      <c r="N87" s="213">
        <v>50.0</v>
      </c>
      <c r="O87" s="212"/>
      <c r="P87" s="214">
        <f>IFNA(VLOOKUP(D87,'S1'!$1:$2000,2,False),0)</f>
        <v>79</v>
      </c>
      <c r="Q87" s="214">
        <f>vlookup(D87,'S2'!A83:B1285,2,0)</f>
        <v>62</v>
      </c>
      <c r="R87" s="214">
        <f>ifna(vlookup(D87,'S3'!$1:$1311,2,False),0)</f>
        <v>50</v>
      </c>
      <c r="S87" s="214"/>
      <c r="T87" s="215">
        <v>12.0</v>
      </c>
      <c r="U87" s="215">
        <v>16.0</v>
      </c>
      <c r="V87" s="215">
        <v>46.0</v>
      </c>
      <c r="W87" s="215">
        <v>44.0</v>
      </c>
      <c r="X87" s="216">
        <v>68.0</v>
      </c>
      <c r="Y87" s="215"/>
      <c r="Z87" s="217"/>
      <c r="AA87" s="218">
        <v>79.0</v>
      </c>
      <c r="AB87" s="219">
        <v>70.0</v>
      </c>
      <c r="AC87" s="129">
        <v>65.0</v>
      </c>
      <c r="AD87" s="129">
        <v>75.0</v>
      </c>
      <c r="AE87" s="130">
        <v>79.0</v>
      </c>
      <c r="AF87" s="129"/>
      <c r="AG87" s="129">
        <v>72.0</v>
      </c>
      <c r="AH87" s="129"/>
      <c r="AI87" s="88"/>
      <c r="AJ87" s="88"/>
      <c r="AK87" s="132">
        <f t="shared" si="1"/>
        <v>4</v>
      </c>
      <c r="AL87" s="132">
        <f t="shared" si="2"/>
        <v>3</v>
      </c>
      <c r="AM87" s="133">
        <f t="shared" si="3"/>
        <v>2</v>
      </c>
      <c r="AN87" s="132" t="str">
        <f t="shared" si="4"/>
        <v>3.5</v>
      </c>
      <c r="AO87" s="132">
        <f t="shared" si="5"/>
        <v>3</v>
      </c>
      <c r="AP87" s="88"/>
    </row>
    <row r="88">
      <c r="A88" s="142">
        <v>84.0</v>
      </c>
      <c r="B88" s="220" t="s">
        <v>1411</v>
      </c>
      <c r="C88" s="221" t="s">
        <v>3500</v>
      </c>
      <c r="D88" s="209" t="str">
        <f>VLOOKUP(B88,USN!$1:$1088,2,False)</f>
        <v>1CR23IS086</v>
      </c>
      <c r="E88" s="227">
        <v>7.20431718E9</v>
      </c>
      <c r="F88" s="222" t="s">
        <v>3706</v>
      </c>
      <c r="G88" s="88"/>
      <c r="H88" s="223">
        <v>70.0</v>
      </c>
      <c r="I88" s="211">
        <v>84.0</v>
      </c>
      <c r="J88" s="211">
        <f>VLOOKUP(D88,'L3'!$1:$2060,2,False)</f>
        <v>59</v>
      </c>
      <c r="K88" s="211">
        <f>VLOOKUP(D88,'L4'!$1:$2059,2,False)</f>
        <v>70</v>
      </c>
      <c r="L88" s="212">
        <f>VLOOKUP(D88,'A1 RETEST 5 DEC'!$1:$2096,2,FALSE)</f>
        <v>50</v>
      </c>
      <c r="M88" s="213">
        <f>VLOOKUP(D88,'A2 RETEST 4 DEC'!$1:$2096,2,False)</f>
        <v>32</v>
      </c>
      <c r="N88" s="213">
        <v>12.0</v>
      </c>
      <c r="O88" s="212"/>
      <c r="P88" s="214">
        <f>IFNA(VLOOKUP(D88,'S1'!$1:$2000,2,False),0)</f>
        <v>78</v>
      </c>
      <c r="Q88" s="214">
        <f>vlookup(D88,'S2'!A84:B1286,2,0)</f>
        <v>50</v>
      </c>
      <c r="R88" s="214">
        <f>ifna(vlookup(D88,'S3'!$1:$1311,2,False),0)</f>
        <v>50</v>
      </c>
      <c r="S88" s="214"/>
      <c r="T88" s="215">
        <v>14.0</v>
      </c>
      <c r="U88" s="215">
        <v>19.0</v>
      </c>
      <c r="V88" s="215">
        <v>42.0</v>
      </c>
      <c r="W88" s="215">
        <v>56.0</v>
      </c>
      <c r="X88" s="216">
        <v>72.0</v>
      </c>
      <c r="Y88" s="215"/>
      <c r="Z88" s="224"/>
      <c r="AA88" s="218">
        <v>26.0</v>
      </c>
      <c r="AB88" s="219">
        <v>62.0</v>
      </c>
      <c r="AC88" s="129">
        <v>0.0</v>
      </c>
      <c r="AD88" s="129">
        <v>80.0</v>
      </c>
      <c r="AE88" s="130">
        <v>15.0</v>
      </c>
      <c r="AF88" s="129"/>
      <c r="AG88" s="129">
        <v>23.0</v>
      </c>
      <c r="AH88" s="129"/>
      <c r="AI88" s="88"/>
      <c r="AJ88" s="88"/>
      <c r="AK88" s="132">
        <f t="shared" si="1"/>
        <v>2</v>
      </c>
      <c r="AL88" s="132">
        <f t="shared" si="2"/>
        <v>1</v>
      </c>
      <c r="AM88" s="133">
        <f t="shared" si="3"/>
        <v>3</v>
      </c>
      <c r="AN88" s="132" t="str">
        <f t="shared" si="4"/>
        <v>3</v>
      </c>
      <c r="AO88" s="132">
        <f t="shared" si="5"/>
        <v>3</v>
      </c>
      <c r="AP88" s="88"/>
    </row>
    <row r="89">
      <c r="A89" s="142">
        <v>85.0</v>
      </c>
      <c r="B89" s="220" t="s">
        <v>1435</v>
      </c>
      <c r="C89" s="221" t="s">
        <v>3501</v>
      </c>
      <c r="D89" s="209" t="str">
        <f>VLOOKUP(B89,USN!$1:$1088,2,False)</f>
        <v>1CR23IS087</v>
      </c>
      <c r="E89" s="222">
        <v>9.150410381E9</v>
      </c>
      <c r="F89" s="222" t="s">
        <v>3706</v>
      </c>
      <c r="G89" s="88"/>
      <c r="H89" s="223">
        <v>81.0</v>
      </c>
      <c r="I89" s="211">
        <v>84.0</v>
      </c>
      <c r="J89" s="211">
        <f>VLOOKUP(D89,'L3'!$1:$2060,2,False)</f>
        <v>73</v>
      </c>
      <c r="K89" s="211">
        <f>VLOOKUP(D89,'L4'!$1:$2059,2,False)</f>
        <v>87</v>
      </c>
      <c r="L89" s="212">
        <f>VLOOKUP(D89,'A1 RETEST 5 DEC'!$1:$2096,2,FALSE)</f>
        <v>50</v>
      </c>
      <c r="M89" s="213">
        <f>VLOOKUP(D89,'A2 RETEST 4 DEC'!$1:$2096,2,False)</f>
        <v>50</v>
      </c>
      <c r="N89" s="213">
        <v>51.0</v>
      </c>
      <c r="O89" s="212"/>
      <c r="P89" s="214">
        <f>IFNA(VLOOKUP(D89,'S1'!$1:$2000,2,False),0)</f>
        <v>87</v>
      </c>
      <c r="Q89" s="214">
        <f>vlookup(D89,'S2'!A85:B1287,2,0)</f>
        <v>90</v>
      </c>
      <c r="R89" s="214">
        <f>ifna(vlookup(D89,'S3'!$1:$1311,2,False),0)</f>
        <v>74</v>
      </c>
      <c r="S89" s="214"/>
      <c r="T89" s="215">
        <v>10.0</v>
      </c>
      <c r="U89" s="215">
        <v>23.0</v>
      </c>
      <c r="V89" s="215">
        <v>46.0</v>
      </c>
      <c r="W89" s="215">
        <v>52.0</v>
      </c>
      <c r="X89" s="216">
        <v>84.0</v>
      </c>
      <c r="Y89" s="215"/>
      <c r="Z89" s="217"/>
      <c r="AA89" s="218">
        <v>68.0</v>
      </c>
      <c r="AB89" s="219">
        <v>100.0</v>
      </c>
      <c r="AC89" s="129">
        <v>73.0</v>
      </c>
      <c r="AD89" s="129">
        <v>100.0</v>
      </c>
      <c r="AE89" s="130">
        <v>74.0</v>
      </c>
      <c r="AF89" s="129"/>
      <c r="AG89" s="129">
        <v>70.0</v>
      </c>
      <c r="AH89" s="129"/>
      <c r="AI89" s="88"/>
      <c r="AJ89" s="88"/>
      <c r="AK89" s="132">
        <f t="shared" si="1"/>
        <v>4</v>
      </c>
      <c r="AL89" s="132">
        <f t="shared" si="2"/>
        <v>3</v>
      </c>
      <c r="AM89" s="133">
        <f t="shared" si="3"/>
        <v>3</v>
      </c>
      <c r="AN89" s="132" t="str">
        <f t="shared" si="4"/>
        <v>3.5</v>
      </c>
      <c r="AO89" s="132">
        <f t="shared" si="5"/>
        <v>3</v>
      </c>
      <c r="AP89" s="88"/>
    </row>
    <row r="90">
      <c r="A90" s="142">
        <v>86.0</v>
      </c>
      <c r="B90" s="220" t="s">
        <v>1436</v>
      </c>
      <c r="C90" s="221" t="s">
        <v>3502</v>
      </c>
      <c r="D90" s="209" t="str">
        <f>VLOOKUP(B90,USN!$1:$1088,2,False)</f>
        <v>1CR23IS088</v>
      </c>
      <c r="E90" s="240">
        <v>9.148876443E9</v>
      </c>
      <c r="F90" s="222" t="s">
        <v>3706</v>
      </c>
      <c r="G90" s="88"/>
      <c r="H90" s="223">
        <v>75.0</v>
      </c>
      <c r="I90" s="211">
        <v>84.0</v>
      </c>
      <c r="J90" s="211">
        <f>VLOOKUP(D90,'L3'!$1:$2060,2,False)</f>
        <v>75</v>
      </c>
      <c r="K90" s="211">
        <f>VLOOKUP(D90,'L4'!$1:$2059,2,False)</f>
        <v>80</v>
      </c>
      <c r="L90" s="212">
        <f>VLOOKUP(D90,'A1 RETEST 5 DEC'!$1:$2096,2,FALSE)</f>
        <v>69</v>
      </c>
      <c r="M90" s="213">
        <f>VLOOKUP(D90,'A2 RETEST 4 DEC'!$1:$2096,2,False)</f>
        <v>37</v>
      </c>
      <c r="N90" s="213">
        <v>50.0</v>
      </c>
      <c r="O90" s="212"/>
      <c r="P90" s="214">
        <f>IFNA(VLOOKUP(D90,'S1'!$1:$2000,2,False),0)</f>
        <v>50</v>
      </c>
      <c r="Q90" s="214">
        <f>vlookup(D90,'S2'!A86:B1288,2,0)</f>
        <v>82</v>
      </c>
      <c r="R90" s="214">
        <f>ifna(vlookup(D90,'S3'!$1:$1311,2,False),0)</f>
        <v>86</v>
      </c>
      <c r="S90" s="214"/>
      <c r="T90" s="215">
        <v>10.0</v>
      </c>
      <c r="U90" s="215">
        <v>23.0</v>
      </c>
      <c r="V90" s="215">
        <v>46.0</v>
      </c>
      <c r="W90" s="215">
        <v>48.0</v>
      </c>
      <c r="X90" s="216">
        <v>80.0</v>
      </c>
      <c r="Y90" s="215"/>
      <c r="Z90" s="217"/>
      <c r="AA90" s="218">
        <v>80.0</v>
      </c>
      <c r="AB90" s="219">
        <v>97.0</v>
      </c>
      <c r="AC90" s="129">
        <v>70.0</v>
      </c>
      <c r="AD90" s="129">
        <v>80.0</v>
      </c>
      <c r="AE90" s="130">
        <v>72.0</v>
      </c>
      <c r="AF90" s="129"/>
      <c r="AG90" s="129">
        <v>80.0</v>
      </c>
      <c r="AH90" s="129"/>
      <c r="AI90" s="88"/>
      <c r="AJ90" s="88"/>
      <c r="AK90" s="132">
        <f t="shared" si="1"/>
        <v>4</v>
      </c>
      <c r="AL90" s="132">
        <f t="shared" si="2"/>
        <v>1</v>
      </c>
      <c r="AM90" s="133">
        <f t="shared" si="3"/>
        <v>2</v>
      </c>
      <c r="AN90" s="132" t="str">
        <f t="shared" si="4"/>
        <v>3.5</v>
      </c>
      <c r="AO90" s="132">
        <f t="shared" si="5"/>
        <v>3</v>
      </c>
      <c r="AP90" s="88"/>
    </row>
    <row r="91">
      <c r="A91" s="142">
        <v>87.0</v>
      </c>
      <c r="B91" s="220" t="s">
        <v>1493</v>
      </c>
      <c r="C91" s="221" t="s">
        <v>3503</v>
      </c>
      <c r="D91" s="209" t="str">
        <f>VLOOKUP(B91,USN!$1:$1088,2,False)</f>
        <v>1CR23IS089</v>
      </c>
      <c r="E91" s="227">
        <v>9.741612545E9</v>
      </c>
      <c r="F91" s="222" t="s">
        <v>3706</v>
      </c>
      <c r="G91" s="88"/>
      <c r="H91" s="223">
        <v>71.0</v>
      </c>
      <c r="I91" s="211">
        <v>77.0</v>
      </c>
      <c r="J91" s="211">
        <f>VLOOKUP(D91,'L3'!$1:$2060,2,False)</f>
        <v>71</v>
      </c>
      <c r="K91" s="211">
        <f>VLOOKUP(D91,'L4'!$1:$2059,2,False)</f>
        <v>74</v>
      </c>
      <c r="L91" s="212">
        <f>VLOOKUP(D91,'A1 RETEST 5 DEC'!$1:$2096,2,FALSE)</f>
        <v>50</v>
      </c>
      <c r="M91" s="213">
        <f>VLOOKUP(D91,'A2 RETEST 4 DEC'!$1:$2096,2,False)</f>
        <v>24</v>
      </c>
      <c r="N91" s="213">
        <v>50.0</v>
      </c>
      <c r="O91" s="212"/>
      <c r="P91" s="214">
        <f>IFNA(VLOOKUP(D91,'S1'!$1:$2000,2,False),0)</f>
        <v>68</v>
      </c>
      <c r="Q91" s="214">
        <f>vlookup(D91,'S2'!A87:B1289,2,0)</f>
        <v>62</v>
      </c>
      <c r="R91" s="214">
        <f>ifna(vlookup(D91,'S3'!$1:$1311,2,False),0)</f>
        <v>89</v>
      </c>
      <c r="S91" s="214"/>
      <c r="T91" s="215">
        <v>12.0</v>
      </c>
      <c r="U91" s="215">
        <v>24.0</v>
      </c>
      <c r="V91" s="215">
        <v>48.0</v>
      </c>
      <c r="W91" s="215"/>
      <c r="X91" s="216">
        <v>76.0</v>
      </c>
      <c r="Y91" s="215"/>
      <c r="Z91" s="217"/>
      <c r="AA91" s="218">
        <v>45.0</v>
      </c>
      <c r="AB91" s="219">
        <v>100.0</v>
      </c>
      <c r="AC91" s="129">
        <v>67.0</v>
      </c>
      <c r="AD91" s="129">
        <v>60.0</v>
      </c>
      <c r="AE91" s="130">
        <v>70.0</v>
      </c>
      <c r="AF91" s="129"/>
      <c r="AG91" s="129">
        <v>52.0</v>
      </c>
      <c r="AH91" s="129"/>
      <c r="AI91" s="88"/>
      <c r="AJ91" s="88"/>
      <c r="AK91" s="132">
        <f t="shared" si="1"/>
        <v>4</v>
      </c>
      <c r="AL91" s="132">
        <f t="shared" si="2"/>
        <v>1</v>
      </c>
      <c r="AM91" s="133">
        <f t="shared" si="3"/>
        <v>2</v>
      </c>
      <c r="AN91" s="132" t="str">
        <f t="shared" si="4"/>
        <v>3.5</v>
      </c>
      <c r="AO91" s="132">
        <f t="shared" si="5"/>
        <v>3</v>
      </c>
      <c r="AP91" s="88"/>
    </row>
    <row r="92">
      <c r="A92" s="142">
        <v>88.0</v>
      </c>
      <c r="B92" s="220" t="s">
        <v>1437</v>
      </c>
      <c r="C92" s="221" t="s">
        <v>3504</v>
      </c>
      <c r="D92" s="209" t="str">
        <f>VLOOKUP(B92,USN!$1:$1088,2,False)</f>
        <v>1CR23IS090</v>
      </c>
      <c r="E92" s="222">
        <v>7.975950934E9</v>
      </c>
      <c r="F92" s="222" t="s">
        <v>3706</v>
      </c>
      <c r="G92" s="88"/>
      <c r="H92" s="233">
        <v>70.0</v>
      </c>
      <c r="I92" s="211">
        <v>76.0</v>
      </c>
      <c r="J92" s="211">
        <f>VLOOKUP(D92,'L3'!$1:$2060,2,False)</f>
        <v>70</v>
      </c>
      <c r="K92" s="211">
        <f>VLOOKUP(D92,'L4'!$1:$2059,2,False)</f>
        <v>70</v>
      </c>
      <c r="L92" s="212">
        <f>VLOOKUP(D92,'A1 RETEST 5 DEC'!$1:$2096,2,FALSE)</f>
        <v>50</v>
      </c>
      <c r="M92" s="213">
        <f>VLOOKUP(D92,'A2 RETEST 4 DEC'!$1:$2096,2,False)</f>
        <v>50</v>
      </c>
      <c r="N92" s="213">
        <v>50.0</v>
      </c>
      <c r="O92" s="212"/>
      <c r="P92" s="214">
        <f>IFNA(VLOOKUP(D92,'S1'!$1:$2000,2,False),0)</f>
        <v>86</v>
      </c>
      <c r="Q92" s="214">
        <f>vlookup(D92,'S2'!A88:B1290,2,0)</f>
        <v>81</v>
      </c>
      <c r="R92" s="214">
        <f>ifna(vlookup(D92,'S3'!$1:$1311,2,False),0)</f>
        <v>95</v>
      </c>
      <c r="S92" s="214"/>
      <c r="T92" s="215">
        <v>12.0</v>
      </c>
      <c r="U92" s="215">
        <v>25.0</v>
      </c>
      <c r="V92" s="215">
        <v>46.0</v>
      </c>
      <c r="W92" s="215">
        <v>80.0</v>
      </c>
      <c r="X92" s="216">
        <v>88.0</v>
      </c>
      <c r="Y92" s="215"/>
      <c r="Z92" s="217"/>
      <c r="AA92" s="218">
        <v>0.0</v>
      </c>
      <c r="AB92" s="219">
        <v>100.0</v>
      </c>
      <c r="AC92" s="129">
        <v>67.0</v>
      </c>
      <c r="AD92" s="129">
        <v>100.0</v>
      </c>
      <c r="AE92" s="130">
        <v>70.0</v>
      </c>
      <c r="AF92" s="129"/>
      <c r="AG92" s="129">
        <v>74.0</v>
      </c>
      <c r="AH92" s="129"/>
      <c r="AI92" s="88"/>
      <c r="AJ92" s="88"/>
      <c r="AK92" s="132">
        <f t="shared" si="1"/>
        <v>4</v>
      </c>
      <c r="AL92" s="132">
        <f t="shared" si="2"/>
        <v>3</v>
      </c>
      <c r="AM92" s="133">
        <f t="shared" si="3"/>
        <v>3</v>
      </c>
      <c r="AN92" s="132" t="str">
        <f t="shared" si="4"/>
        <v>3.5</v>
      </c>
      <c r="AO92" s="132">
        <f t="shared" si="5"/>
        <v>3</v>
      </c>
      <c r="AP92" s="88"/>
    </row>
    <row r="93">
      <c r="A93" s="142">
        <v>89.0</v>
      </c>
      <c r="B93" s="220" t="s">
        <v>1438</v>
      </c>
      <c r="C93" s="221" t="s">
        <v>3505</v>
      </c>
      <c r="D93" s="209" t="str">
        <f>VLOOKUP(B93,USN!$1:$1088,2,False)</f>
        <v>1CR23IS091</v>
      </c>
      <c r="E93" s="222">
        <v>9.686910823E9</v>
      </c>
      <c r="F93" s="222" t="s">
        <v>3706</v>
      </c>
      <c r="G93" s="88"/>
      <c r="H93" s="223">
        <v>82.0</v>
      </c>
      <c r="I93" s="211">
        <v>88.0</v>
      </c>
      <c r="J93" s="211">
        <f>VLOOKUP(D93,'L3'!$1:$2060,2,False)</f>
        <v>65</v>
      </c>
      <c r="K93" s="211">
        <f>VLOOKUP(D93,'L4'!$1:$2059,2,False)</f>
        <v>72</v>
      </c>
      <c r="L93" s="212">
        <f>VLOOKUP(D93,'A1 RETEST 5 DEC'!$1:$2096,2,FALSE)</f>
        <v>51</v>
      </c>
      <c r="M93" s="213">
        <f>VLOOKUP(D93,'A2 RETEST 4 DEC'!$1:$2096,2,False)</f>
        <v>19</v>
      </c>
      <c r="N93" s="213">
        <v>0.0</v>
      </c>
      <c r="O93" s="212"/>
      <c r="P93" s="214">
        <f>IFNA(VLOOKUP(D93,'S1'!$1:$2000,2,False),0)</f>
        <v>81</v>
      </c>
      <c r="Q93" s="214">
        <f>vlookup(D93,'S2'!A89:B1291,2,0)</f>
        <v>84</v>
      </c>
      <c r="R93" s="214">
        <f>ifna(vlookup(D93,'S3'!$1:$1311,2,False),0)</f>
        <v>50</v>
      </c>
      <c r="S93" s="214"/>
      <c r="T93" s="215">
        <v>18.0</v>
      </c>
      <c r="U93" s="215">
        <v>25.0</v>
      </c>
      <c r="V93" s="215">
        <v>50.0</v>
      </c>
      <c r="W93" s="215"/>
      <c r="X93" s="216">
        <v>0.0</v>
      </c>
      <c r="Y93" s="215"/>
      <c r="Z93" s="217"/>
      <c r="AA93" s="218">
        <v>64.0</v>
      </c>
      <c r="AB93" s="219">
        <v>100.0</v>
      </c>
      <c r="AC93" s="129">
        <v>43.0</v>
      </c>
      <c r="AD93" s="129">
        <v>70.0</v>
      </c>
      <c r="AE93" s="130">
        <v>10.0</v>
      </c>
      <c r="AF93" s="129"/>
      <c r="AG93" s="129">
        <v>10.0</v>
      </c>
      <c r="AH93" s="129"/>
      <c r="AI93" s="88"/>
      <c r="AJ93" s="88"/>
      <c r="AK93" s="132">
        <f t="shared" si="1"/>
        <v>2</v>
      </c>
      <c r="AL93" s="132">
        <f t="shared" si="2"/>
        <v>1</v>
      </c>
      <c r="AM93" s="133">
        <f t="shared" si="3"/>
        <v>2</v>
      </c>
      <c r="AN93" s="132" t="str">
        <f t="shared" si="4"/>
        <v>3</v>
      </c>
      <c r="AO93" s="132">
        <f t="shared" si="5"/>
        <v>3</v>
      </c>
      <c r="AP93" s="88"/>
    </row>
    <row r="94">
      <c r="A94" s="142">
        <v>90.0</v>
      </c>
      <c r="B94" s="220" t="s">
        <v>1439</v>
      </c>
      <c r="C94" s="221" t="s">
        <v>3506</v>
      </c>
      <c r="D94" s="209" t="str">
        <f>VLOOKUP(B94,USN!$1:$1088,2,False)</f>
        <v>1CR23IS092</v>
      </c>
      <c r="E94" s="240">
        <v>9.535060762E9</v>
      </c>
      <c r="F94" s="222" t="s">
        <v>3706</v>
      </c>
      <c r="G94" s="88"/>
      <c r="H94" s="223">
        <v>81.0</v>
      </c>
      <c r="I94" s="211">
        <v>91.0</v>
      </c>
      <c r="J94" s="211">
        <f>VLOOKUP(D94,'L3'!$1:$2060,2,False)</f>
        <v>77</v>
      </c>
      <c r="K94" s="211">
        <f>VLOOKUP(D94,'L4'!$1:$2059,2,False)</f>
        <v>86</v>
      </c>
      <c r="L94" s="212">
        <f>VLOOKUP(D94,'A1 RETEST 5 DEC'!$1:$2096,2,FALSE)</f>
        <v>60</v>
      </c>
      <c r="M94" s="213">
        <f>VLOOKUP(D94,'A2 RETEST 4 DEC'!$1:$2096,2,False)</f>
        <v>43</v>
      </c>
      <c r="N94" s="213">
        <v>59.0</v>
      </c>
      <c r="O94" s="212"/>
      <c r="P94" s="214">
        <f>IFNA(VLOOKUP(D94,'S1'!$1:$2000,2,False),0)</f>
        <v>86</v>
      </c>
      <c r="Q94" s="214">
        <f>vlookup(D94,'S2'!A90:B1292,2,0)</f>
        <v>82</v>
      </c>
      <c r="R94" s="214">
        <f>ifna(vlookup(D94,'S3'!$1:$1311,2,False),0)</f>
        <v>87</v>
      </c>
      <c r="S94" s="214"/>
      <c r="T94" s="215">
        <v>14.0</v>
      </c>
      <c r="U94" s="215">
        <v>21.0</v>
      </c>
      <c r="V94" s="215">
        <v>46.0</v>
      </c>
      <c r="W94" s="215">
        <v>48.0</v>
      </c>
      <c r="X94" s="216">
        <v>80.0</v>
      </c>
      <c r="Y94" s="215"/>
      <c r="Z94" s="217"/>
      <c r="AA94" s="218">
        <v>64.0</v>
      </c>
      <c r="AB94" s="219">
        <v>100.0</v>
      </c>
      <c r="AC94" s="129">
        <v>72.0</v>
      </c>
      <c r="AD94" s="129">
        <v>100.0</v>
      </c>
      <c r="AE94" s="130">
        <v>70.0</v>
      </c>
      <c r="AF94" s="129"/>
      <c r="AG94" s="129">
        <v>75.0</v>
      </c>
      <c r="AH94" s="129"/>
      <c r="AI94" s="88"/>
      <c r="AJ94" s="88"/>
      <c r="AK94" s="132">
        <f t="shared" si="1"/>
        <v>4</v>
      </c>
      <c r="AL94" s="132">
        <f t="shared" si="2"/>
        <v>1</v>
      </c>
      <c r="AM94" s="133">
        <f t="shared" si="3"/>
        <v>2</v>
      </c>
      <c r="AN94" s="132" t="str">
        <f t="shared" si="4"/>
        <v>3.5</v>
      </c>
      <c r="AO94" s="132">
        <f t="shared" si="5"/>
        <v>3</v>
      </c>
      <c r="AP94" s="88"/>
    </row>
    <row r="95">
      <c r="A95" s="142">
        <v>91.0</v>
      </c>
      <c r="B95" s="220" t="s">
        <v>1440</v>
      </c>
      <c r="C95" s="221" t="s">
        <v>3507</v>
      </c>
      <c r="D95" s="209" t="str">
        <f>VLOOKUP(B95,USN!$1:$1088,2,False)</f>
        <v>1CR23IS093</v>
      </c>
      <c r="E95" s="222">
        <v>9.329944373E9</v>
      </c>
      <c r="F95" s="222" t="s">
        <v>3706</v>
      </c>
      <c r="G95" s="88"/>
      <c r="H95" s="223">
        <v>92.0</v>
      </c>
      <c r="I95" s="211">
        <v>92.0</v>
      </c>
      <c r="J95" s="211">
        <f>VLOOKUP(D95,'L3'!$1:$2060,2,False)</f>
        <v>79</v>
      </c>
      <c r="K95" s="211">
        <f>VLOOKUP(D95,'L4'!$1:$2059,2,False)</f>
        <v>83</v>
      </c>
      <c r="L95" s="212">
        <f>VLOOKUP(D95,'A1 RETEST 5 DEC'!$1:$2096,2,FALSE)</f>
        <v>63</v>
      </c>
      <c r="M95" s="213">
        <f>VLOOKUP(D95,'A2 RETEST 4 DEC'!$1:$2096,2,False)</f>
        <v>96</v>
      </c>
      <c r="N95" s="213">
        <v>76.0</v>
      </c>
      <c r="O95" s="212"/>
      <c r="P95" s="214">
        <f>IFNA(VLOOKUP(D95,'S1'!$1:$2000,2,False),0)</f>
        <v>90</v>
      </c>
      <c r="Q95" s="214">
        <f>vlookup(D95,'S2'!A91:B1293,2,0)</f>
        <v>81</v>
      </c>
      <c r="R95" s="214">
        <f>ifna(vlookup(D95,'S3'!$1:$1311,2,False),0)</f>
        <v>91</v>
      </c>
      <c r="S95" s="214"/>
      <c r="T95" s="215">
        <v>12.0</v>
      </c>
      <c r="U95" s="215">
        <v>23.0</v>
      </c>
      <c r="V95" s="215">
        <v>42.0</v>
      </c>
      <c r="W95" s="215">
        <v>68.0</v>
      </c>
      <c r="X95" s="216">
        <v>76.0</v>
      </c>
      <c r="Y95" s="215"/>
      <c r="Z95" s="217"/>
      <c r="AA95" s="218">
        <v>84.0</v>
      </c>
      <c r="AB95" s="219">
        <v>100.0</v>
      </c>
      <c r="AC95" s="129">
        <v>30.0</v>
      </c>
      <c r="AD95" s="129">
        <v>70.0</v>
      </c>
      <c r="AE95" s="130">
        <v>73.0</v>
      </c>
      <c r="AF95" s="129"/>
      <c r="AG95" s="129">
        <v>80.0</v>
      </c>
      <c r="AH95" s="129"/>
      <c r="AI95" s="88"/>
      <c r="AJ95" s="88"/>
      <c r="AK95" s="132">
        <f t="shared" si="1"/>
        <v>4</v>
      </c>
      <c r="AL95" s="132">
        <f t="shared" si="2"/>
        <v>3</v>
      </c>
      <c r="AM95" s="133">
        <f t="shared" si="3"/>
        <v>3</v>
      </c>
      <c r="AN95" s="132" t="str">
        <f t="shared" si="4"/>
        <v>3.5</v>
      </c>
      <c r="AO95" s="132">
        <f t="shared" si="5"/>
        <v>3</v>
      </c>
      <c r="AP95" s="88"/>
    </row>
    <row r="96">
      <c r="A96" s="142">
        <v>92.0</v>
      </c>
      <c r="B96" s="220" t="s">
        <v>1441</v>
      </c>
      <c r="C96" s="221" t="s">
        <v>3508</v>
      </c>
      <c r="D96" s="209" t="str">
        <f>VLOOKUP(B96,USN!$1:$1088,2,False)</f>
        <v>1CR23IS094</v>
      </c>
      <c r="E96" s="222">
        <v>9.901828113E9</v>
      </c>
      <c r="F96" s="222" t="s">
        <v>3706</v>
      </c>
      <c r="G96" s="88"/>
      <c r="H96" s="233">
        <v>70.0</v>
      </c>
      <c r="I96" s="211">
        <v>94.0</v>
      </c>
      <c r="J96" s="211">
        <f>VLOOKUP(D96,'L3'!$1:$2060,2,False)</f>
        <v>87</v>
      </c>
      <c r="K96" s="211">
        <f>VLOOKUP(D96,'L4'!$1:$2059,2,False)</f>
        <v>72</v>
      </c>
      <c r="L96" s="212">
        <f>VLOOKUP(D96,'A1 RETEST 5 DEC'!$1:$2096,2,FALSE)</f>
        <v>70</v>
      </c>
      <c r="M96" s="213">
        <f>VLOOKUP(D96,'A2 RETEST 4 DEC'!$1:$2096,2,False)</f>
        <v>70</v>
      </c>
      <c r="N96" s="213">
        <v>71.0</v>
      </c>
      <c r="O96" s="212"/>
      <c r="P96" s="214">
        <f>IFNA(VLOOKUP(D96,'S1'!$1:$2000,2,False),0)</f>
        <v>81</v>
      </c>
      <c r="Q96" s="214">
        <f>vlookup(D96,'S2'!A92:B1294,2,0)</f>
        <v>84</v>
      </c>
      <c r="R96" s="214">
        <f>ifna(vlookup(D96,'S3'!$1:$1311,2,False),0)</f>
        <v>90</v>
      </c>
      <c r="S96" s="214"/>
      <c r="T96" s="215">
        <v>16.0</v>
      </c>
      <c r="U96" s="215">
        <v>19.0</v>
      </c>
      <c r="V96" s="215">
        <v>46.0</v>
      </c>
      <c r="W96" s="215">
        <v>56.0</v>
      </c>
      <c r="X96" s="216">
        <v>84.0</v>
      </c>
      <c r="Y96" s="215"/>
      <c r="Z96" s="217"/>
      <c r="AA96" s="218">
        <v>96.0</v>
      </c>
      <c r="AB96" s="219">
        <v>95.0</v>
      </c>
      <c r="AC96" s="129">
        <v>98.0</v>
      </c>
      <c r="AD96" s="129">
        <v>83.0</v>
      </c>
      <c r="AE96" s="130">
        <v>78.0</v>
      </c>
      <c r="AF96" s="129"/>
      <c r="AG96" s="129">
        <v>70.0</v>
      </c>
      <c r="AH96" s="129"/>
      <c r="AI96" s="88"/>
      <c r="AJ96" s="88"/>
      <c r="AK96" s="132">
        <f t="shared" si="1"/>
        <v>4</v>
      </c>
      <c r="AL96" s="132">
        <f t="shared" si="2"/>
        <v>3</v>
      </c>
      <c r="AM96" s="133">
        <f t="shared" si="3"/>
        <v>3</v>
      </c>
      <c r="AN96" s="132" t="str">
        <f t="shared" si="4"/>
        <v>3.5</v>
      </c>
      <c r="AO96" s="132">
        <f t="shared" si="5"/>
        <v>3</v>
      </c>
      <c r="AP96" s="88"/>
    </row>
    <row r="97">
      <c r="A97" s="142">
        <v>93.0</v>
      </c>
      <c r="B97" s="241" t="s">
        <v>1460</v>
      </c>
      <c r="C97" s="221" t="s">
        <v>3509</v>
      </c>
      <c r="D97" s="209" t="str">
        <f>VLOOKUP(B97,USN!$1:$1088,2,False)</f>
        <v>1CR23IS095</v>
      </c>
      <c r="E97" s="226">
        <v>8.904194894E9</v>
      </c>
      <c r="F97" s="222" t="s">
        <v>3706</v>
      </c>
      <c r="G97" s="88"/>
      <c r="H97" s="223">
        <v>75.0</v>
      </c>
      <c r="I97" s="211">
        <v>78.0</v>
      </c>
      <c r="J97" s="211">
        <f>VLOOKUP(D97,'L3'!$1:$2060,2,False)</f>
        <v>70</v>
      </c>
      <c r="K97" s="211">
        <f>VLOOKUP(D97,'L4'!$1:$2059,2,False)</f>
        <v>70</v>
      </c>
      <c r="L97" s="212">
        <f>VLOOKUP(D97,'A1 RETEST 5 DEC'!$1:$2096,2,FALSE)</f>
        <v>50</v>
      </c>
      <c r="M97" s="213">
        <f>VLOOKUP(D97,'A2 RETEST 4 DEC'!$1:$2096,2,False)</f>
        <v>50</v>
      </c>
      <c r="N97" s="213">
        <v>50.0</v>
      </c>
      <c r="O97" s="212"/>
      <c r="P97" s="214">
        <f>IFNA(VLOOKUP(D97,'S1'!$1:$2000,2,False),0)</f>
        <v>50</v>
      </c>
      <c r="Q97" s="214">
        <f>vlookup(D97,'S2'!A93:B1295,2,0)</f>
        <v>81</v>
      </c>
      <c r="R97" s="214">
        <f>ifna(vlookup(D97,'S3'!$1:$1311,2,False),0)</f>
        <v>84</v>
      </c>
      <c r="S97" s="214"/>
      <c r="T97" s="215">
        <v>11.0</v>
      </c>
      <c r="U97" s="215">
        <v>24.0</v>
      </c>
      <c r="V97" s="215">
        <v>48.0</v>
      </c>
      <c r="W97" s="215">
        <v>68.0</v>
      </c>
      <c r="X97" s="216">
        <v>88.0</v>
      </c>
      <c r="Y97" s="215"/>
      <c r="Z97" s="217"/>
      <c r="AA97" s="218">
        <v>62.0</v>
      </c>
      <c r="AB97" s="219">
        <v>100.0</v>
      </c>
      <c r="AC97" s="129">
        <v>62.0</v>
      </c>
      <c r="AD97" s="129">
        <v>60.0</v>
      </c>
      <c r="AE97" s="130">
        <v>90.0</v>
      </c>
      <c r="AF97" s="129"/>
      <c r="AG97" s="129">
        <v>67.0</v>
      </c>
      <c r="AH97" s="129"/>
      <c r="AI97" s="88"/>
      <c r="AJ97" s="88"/>
      <c r="AK97" s="132">
        <f t="shared" si="1"/>
        <v>4</v>
      </c>
      <c r="AL97" s="132">
        <f t="shared" si="2"/>
        <v>3</v>
      </c>
      <c r="AM97" s="133">
        <f t="shared" si="3"/>
        <v>3</v>
      </c>
      <c r="AN97" s="132" t="str">
        <f t="shared" si="4"/>
        <v>3.5</v>
      </c>
      <c r="AO97" s="132">
        <f t="shared" si="5"/>
        <v>3</v>
      </c>
      <c r="AP97" s="88"/>
    </row>
    <row r="98">
      <c r="A98" s="142">
        <v>94.0</v>
      </c>
      <c r="B98" s="229" t="s">
        <v>1466</v>
      </c>
      <c r="C98" s="221" t="s">
        <v>3510</v>
      </c>
      <c r="D98" s="209" t="str">
        <f>VLOOKUP(B98,USN!$1:$1088,2,False)</f>
        <v>1CR23IS096</v>
      </c>
      <c r="E98" s="227">
        <v>8.310742023E9</v>
      </c>
      <c r="F98" s="222" t="s">
        <v>3706</v>
      </c>
      <c r="G98" s="88"/>
      <c r="H98" s="223">
        <v>71.0</v>
      </c>
      <c r="I98" s="211">
        <v>80.0</v>
      </c>
      <c r="J98" s="211">
        <f>VLOOKUP(D98,'L3'!$1:$2060,2,False)</f>
        <v>78</v>
      </c>
      <c r="K98" s="211">
        <f>VLOOKUP(D98,'L4'!$1:$2059,2,False)</f>
        <v>73</v>
      </c>
      <c r="L98" s="212">
        <f>VLOOKUP(D98,'A1 RETEST 5 DEC'!$1:$2096,2,FALSE)</f>
        <v>50</v>
      </c>
      <c r="M98" s="213">
        <f>VLOOKUP(D98,'A2 RETEST 4 DEC'!$1:$2096,2,False)</f>
        <v>53</v>
      </c>
      <c r="N98" s="213">
        <v>50.0</v>
      </c>
      <c r="O98" s="212"/>
      <c r="P98" s="214">
        <f>IFNA(VLOOKUP(D98,'S1'!$1:$2000,2,False),0)</f>
        <v>84</v>
      </c>
      <c r="Q98" s="214">
        <f>vlookup(D98,'S2'!A94:B1296,2,0)</f>
        <v>82</v>
      </c>
      <c r="R98" s="214">
        <f>ifna(vlookup(D98,'S3'!$1:$1311,2,False),0)</f>
        <v>50</v>
      </c>
      <c r="S98" s="214"/>
      <c r="T98" s="215">
        <v>11.0</v>
      </c>
      <c r="U98" s="215">
        <v>22.0</v>
      </c>
      <c r="V98" s="215">
        <v>46.0</v>
      </c>
      <c r="W98" s="215">
        <v>60.0</v>
      </c>
      <c r="X98" s="216">
        <v>80.0</v>
      </c>
      <c r="Y98" s="215"/>
      <c r="Z98" s="217"/>
      <c r="AA98" s="218">
        <v>54.0</v>
      </c>
      <c r="AB98" s="219">
        <v>100.0</v>
      </c>
      <c r="AC98" s="129">
        <v>66.0</v>
      </c>
      <c r="AD98" s="129">
        <v>100.0</v>
      </c>
      <c r="AE98" s="130">
        <v>70.0</v>
      </c>
      <c r="AF98" s="129"/>
      <c r="AG98" s="129">
        <v>71.0</v>
      </c>
      <c r="AH98" s="129"/>
      <c r="AI98" s="88"/>
      <c r="AJ98" s="88"/>
      <c r="AK98" s="132">
        <f t="shared" si="1"/>
        <v>4</v>
      </c>
      <c r="AL98" s="132">
        <f t="shared" si="2"/>
        <v>3</v>
      </c>
      <c r="AM98" s="133">
        <f t="shared" si="3"/>
        <v>3</v>
      </c>
      <c r="AN98" s="132" t="str">
        <f t="shared" si="4"/>
        <v>3.5</v>
      </c>
      <c r="AO98" s="132">
        <f t="shared" si="5"/>
        <v>3</v>
      </c>
      <c r="AP98" s="88"/>
    </row>
    <row r="99">
      <c r="A99" s="142">
        <v>95.0</v>
      </c>
      <c r="B99" s="220" t="s">
        <v>1555</v>
      </c>
      <c r="C99" s="221" t="s">
        <v>3511</v>
      </c>
      <c r="D99" s="209" t="str">
        <f>VLOOKUP(B99,USN!$1:$1088,2,False)</f>
        <v>1CR23IS097</v>
      </c>
      <c r="E99" s="240">
        <v>9.80751215E9</v>
      </c>
      <c r="F99" s="222" t="s">
        <v>3706</v>
      </c>
      <c r="G99" s="88"/>
      <c r="H99" s="233">
        <v>70.0</v>
      </c>
      <c r="I99" s="211">
        <v>81.0</v>
      </c>
      <c r="J99" s="211">
        <f>VLOOKUP(D99,'L3'!$1:$2060,2,False)</f>
        <v>70</v>
      </c>
      <c r="K99" s="211">
        <f>VLOOKUP(D99,'L4'!$1:$2059,2,False)</f>
        <v>72</v>
      </c>
      <c r="L99" s="212">
        <f>VLOOKUP(D99,'A1 RETEST 5 DEC'!$1:$2096,2,FALSE)</f>
        <v>50</v>
      </c>
      <c r="M99" s="213">
        <f>VLOOKUP(D99,'A2 RETEST 4 DEC'!$1:$2096,2,False)</f>
        <v>38</v>
      </c>
      <c r="N99" s="213">
        <v>50.0</v>
      </c>
      <c r="O99" s="212"/>
      <c r="P99" s="214">
        <f>IFNA(VLOOKUP(D99,'S1'!$1:$2000,2,False),0)</f>
        <v>0</v>
      </c>
      <c r="Q99" s="214">
        <f>vlookup(D99,'S2'!A95:B1297,2,0)</f>
        <v>0</v>
      </c>
      <c r="R99" s="214">
        <f>ifna(vlookup(D99,'S3'!$1:$1311,2,False),0)</f>
        <v>75</v>
      </c>
      <c r="S99" s="214"/>
      <c r="T99" s="215">
        <v>19.0</v>
      </c>
      <c r="U99" s="215">
        <v>22.0</v>
      </c>
      <c r="V99" s="215">
        <v>46.0</v>
      </c>
      <c r="W99" s="215">
        <v>72.0</v>
      </c>
      <c r="X99" s="216">
        <v>80.0</v>
      </c>
      <c r="Y99" s="215"/>
      <c r="Z99" s="217"/>
      <c r="AA99" s="218">
        <v>22.0</v>
      </c>
      <c r="AB99" s="219">
        <v>90.0</v>
      </c>
      <c r="AC99" s="129">
        <v>77.0</v>
      </c>
      <c r="AD99" s="129">
        <v>100.0</v>
      </c>
      <c r="AE99" s="130">
        <v>70.0</v>
      </c>
      <c r="AF99" s="129"/>
      <c r="AG99" s="129">
        <v>17.0</v>
      </c>
      <c r="AH99" s="129"/>
      <c r="AI99" s="88"/>
      <c r="AJ99" s="88"/>
      <c r="AK99" s="132">
        <f t="shared" si="1"/>
        <v>4</v>
      </c>
      <c r="AL99" s="132">
        <f t="shared" si="2"/>
        <v>1</v>
      </c>
      <c r="AM99" s="133">
        <f t="shared" si="3"/>
        <v>3</v>
      </c>
      <c r="AN99" s="132" t="str">
        <f t="shared" si="4"/>
        <v>3.5</v>
      </c>
      <c r="AO99" s="132">
        <f t="shared" si="5"/>
        <v>0</v>
      </c>
      <c r="AP99" s="88"/>
    </row>
    <row r="100">
      <c r="A100" s="142">
        <v>96.0</v>
      </c>
      <c r="B100" s="229" t="s">
        <v>1481</v>
      </c>
      <c r="C100" s="221" t="s">
        <v>3512</v>
      </c>
      <c r="D100" s="209" t="str">
        <f>VLOOKUP(B100,USN!$1:$1088,2,False)</f>
        <v>1CR23IS098</v>
      </c>
      <c r="E100" s="227">
        <v>7.483816005E9</v>
      </c>
      <c r="F100" s="222" t="s">
        <v>3706</v>
      </c>
      <c r="G100" s="88"/>
      <c r="H100" s="223">
        <v>66.0</v>
      </c>
      <c r="I100" s="211">
        <v>78.0</v>
      </c>
      <c r="J100" s="211">
        <f>VLOOKUP(D100,'L3'!$1:$2060,2,False)</f>
        <v>71</v>
      </c>
      <c r="K100" s="211">
        <f>VLOOKUP(D100,'L4'!$1:$2059,2,False)</f>
        <v>70</v>
      </c>
      <c r="L100" s="212">
        <f>VLOOKUP(D100,'A1 RETEST 5 DEC'!$1:$2096,2,FALSE)</f>
        <v>50</v>
      </c>
      <c r="M100" s="213">
        <f>VLOOKUP(D100,'A2 RETEST 4 DEC'!$1:$2096,2,False)</f>
        <v>50</v>
      </c>
      <c r="N100" s="213">
        <v>10.0</v>
      </c>
      <c r="O100" s="212"/>
      <c r="P100" s="214">
        <f>IFNA(VLOOKUP(D100,'S1'!$1:$2000,2,False),0)</f>
        <v>0</v>
      </c>
      <c r="Q100" s="214">
        <f>vlookup(D100,'S2'!A96:B1298,2,0)</f>
        <v>50</v>
      </c>
      <c r="R100" s="214">
        <f>ifna(vlookup(D100,'S3'!$1:$1311,2,False),0)</f>
        <v>0</v>
      </c>
      <c r="S100" s="214"/>
      <c r="T100" s="215">
        <v>23.0</v>
      </c>
      <c r="U100" s="215">
        <v>24.0</v>
      </c>
      <c r="V100" s="215"/>
      <c r="W100" s="215">
        <v>72.0</v>
      </c>
      <c r="X100" s="216">
        <v>84.0</v>
      </c>
      <c r="Y100" s="215"/>
      <c r="Z100" s="217"/>
      <c r="AA100" s="218">
        <v>21.0</v>
      </c>
      <c r="AB100" s="219">
        <v>82.0</v>
      </c>
      <c r="AC100" s="129">
        <v>0.0</v>
      </c>
      <c r="AD100" s="129">
        <v>80.0</v>
      </c>
      <c r="AE100" s="130">
        <v>13.0</v>
      </c>
      <c r="AF100" s="129"/>
      <c r="AG100" s="129">
        <v>10.0</v>
      </c>
      <c r="AH100" s="129"/>
      <c r="AI100" s="88"/>
      <c r="AJ100" s="88"/>
      <c r="AK100" s="132">
        <f t="shared" si="1"/>
        <v>4</v>
      </c>
      <c r="AL100" s="132">
        <f t="shared" si="2"/>
        <v>2</v>
      </c>
      <c r="AM100" s="133">
        <f t="shared" si="3"/>
        <v>3</v>
      </c>
      <c r="AN100" s="132" t="str">
        <f t="shared" si="4"/>
        <v>3</v>
      </c>
      <c r="AO100" s="132">
        <f t="shared" si="5"/>
        <v>0</v>
      </c>
      <c r="AP100" s="88"/>
    </row>
    <row r="101">
      <c r="A101" s="142">
        <v>97.0</v>
      </c>
      <c r="B101" s="220" t="s">
        <v>1442</v>
      </c>
      <c r="C101" s="221" t="s">
        <v>3513</v>
      </c>
      <c r="D101" s="209" t="str">
        <f>VLOOKUP(B101,USN!$1:$1088,2,False)</f>
        <v>1CR23IS099</v>
      </c>
      <c r="E101" s="222">
        <v>7.975119312E9</v>
      </c>
      <c r="F101" s="222" t="s">
        <v>3706</v>
      </c>
      <c r="G101" s="88"/>
      <c r="H101" s="223">
        <v>74.0</v>
      </c>
      <c r="I101" s="211">
        <v>81.0</v>
      </c>
      <c r="J101" s="211">
        <f>VLOOKUP(D101,'L3'!$1:$2060,2,False)</f>
        <v>81</v>
      </c>
      <c r="K101" s="211">
        <f>VLOOKUP(D101,'L4'!$1:$2059,2,False)</f>
        <v>70</v>
      </c>
      <c r="L101" s="212">
        <f>VLOOKUP(D101,'A1 RETEST 5 DEC'!$1:$2096,2,FALSE)</f>
        <v>50</v>
      </c>
      <c r="M101" s="213">
        <f>VLOOKUP(D101,'A2 RETEST 4 DEC'!$1:$2096,2,False)</f>
        <v>39</v>
      </c>
      <c r="N101" s="213">
        <v>6.0</v>
      </c>
      <c r="O101" s="212"/>
      <c r="P101" s="214">
        <f>IFNA(VLOOKUP(D101,'S1'!$1:$2000,2,False),0)</f>
        <v>50</v>
      </c>
      <c r="Q101" s="214">
        <f>vlookup(D101,'S2'!A97:B1299,2,0)</f>
        <v>62</v>
      </c>
      <c r="R101" s="214">
        <f>ifna(vlookup(D101,'S3'!$1:$1311,2,False),0)</f>
        <v>50</v>
      </c>
      <c r="S101" s="214"/>
      <c r="T101" s="215">
        <v>18.0</v>
      </c>
      <c r="U101" s="215">
        <v>24.0</v>
      </c>
      <c r="V101" s="215">
        <v>48.0</v>
      </c>
      <c r="W101" s="215">
        <v>64.0</v>
      </c>
      <c r="X101" s="216">
        <v>80.0</v>
      </c>
      <c r="Y101" s="215"/>
      <c r="Z101" s="217"/>
      <c r="AA101" s="218">
        <v>18.0</v>
      </c>
      <c r="AB101" s="219">
        <v>52.0</v>
      </c>
      <c r="AC101" s="129">
        <v>65.0</v>
      </c>
      <c r="AD101" s="129">
        <v>90.0</v>
      </c>
      <c r="AE101" s="130">
        <v>13.0</v>
      </c>
      <c r="AF101" s="129"/>
      <c r="AG101" s="129">
        <v>27.0</v>
      </c>
      <c r="AH101" s="129"/>
      <c r="AI101" s="88"/>
      <c r="AJ101" s="88"/>
      <c r="AK101" s="132">
        <f t="shared" si="1"/>
        <v>4</v>
      </c>
      <c r="AL101" s="132">
        <f t="shared" si="2"/>
        <v>1</v>
      </c>
      <c r="AM101" s="133">
        <f t="shared" si="3"/>
        <v>3</v>
      </c>
      <c r="AN101" s="132" t="str">
        <f t="shared" si="4"/>
        <v>3</v>
      </c>
      <c r="AO101" s="132">
        <f t="shared" si="5"/>
        <v>3</v>
      </c>
      <c r="AP101" s="88"/>
    </row>
    <row r="102">
      <c r="A102" s="142">
        <v>98.0</v>
      </c>
      <c r="B102" s="229" t="s">
        <v>1471</v>
      </c>
      <c r="C102" s="221" t="s">
        <v>3514</v>
      </c>
      <c r="D102" s="209" t="str">
        <f>VLOOKUP(B102,USN!$1:$1088,2,False)</f>
        <v>1CR23IS101</v>
      </c>
      <c r="E102" s="227">
        <v>9.886698596E9</v>
      </c>
      <c r="F102" s="222" t="s">
        <v>3706</v>
      </c>
      <c r="G102" s="88"/>
      <c r="H102" s="223">
        <v>86.0</v>
      </c>
      <c r="I102" s="211">
        <v>87.0</v>
      </c>
      <c r="J102" s="211">
        <f>VLOOKUP(D102,'L3'!$1:$2060,2,False)</f>
        <v>70</v>
      </c>
      <c r="K102" s="211">
        <f>VLOOKUP(D102,'L4'!$1:$2059,2,False)</f>
        <v>70</v>
      </c>
      <c r="L102" s="212">
        <f>VLOOKUP(D102,'A1 RETEST 5 DEC'!$1:$2096,2,FALSE)</f>
        <v>50</v>
      </c>
      <c r="M102" s="213">
        <f>VLOOKUP(D102,'A2 RETEST 4 DEC'!$1:$2096,2,False)</f>
        <v>50</v>
      </c>
      <c r="N102" s="213">
        <v>50.0</v>
      </c>
      <c r="O102" s="212"/>
      <c r="P102" s="214">
        <f>IFNA(VLOOKUP(D102,'S1'!$1:$2000,2,False),0)</f>
        <v>90</v>
      </c>
      <c r="Q102" s="214">
        <f>vlookup(D102,'S2'!A98:B1300,2,0)</f>
        <v>50</v>
      </c>
      <c r="R102" s="214">
        <f>ifna(vlookup(D102,'S3'!$1:$1311,2,False),0)</f>
        <v>80</v>
      </c>
      <c r="S102" s="214"/>
      <c r="T102" s="215">
        <v>10.0</v>
      </c>
      <c r="U102" s="215">
        <v>21.0</v>
      </c>
      <c r="V102" s="215">
        <v>46.0</v>
      </c>
      <c r="W102" s="215">
        <v>48.0</v>
      </c>
      <c r="X102" s="216">
        <v>76.0</v>
      </c>
      <c r="Y102" s="215"/>
      <c r="Z102" s="217"/>
      <c r="AA102" s="218">
        <v>75.0</v>
      </c>
      <c r="AB102" s="219">
        <v>87.0</v>
      </c>
      <c r="AC102" s="129">
        <v>62.0</v>
      </c>
      <c r="AD102" s="129">
        <v>67.0</v>
      </c>
      <c r="AE102" s="130">
        <v>88.0</v>
      </c>
      <c r="AF102" s="129"/>
      <c r="AG102" s="129">
        <v>50.0</v>
      </c>
      <c r="AH102" s="129"/>
      <c r="AI102" s="88"/>
      <c r="AJ102" s="88"/>
      <c r="AK102" s="132">
        <f t="shared" si="1"/>
        <v>4</v>
      </c>
      <c r="AL102" s="132">
        <f t="shared" si="2"/>
        <v>3</v>
      </c>
      <c r="AM102" s="133">
        <f t="shared" si="3"/>
        <v>2</v>
      </c>
      <c r="AN102" s="132" t="str">
        <f t="shared" si="4"/>
        <v>3.5</v>
      </c>
      <c r="AO102" s="132">
        <f t="shared" si="5"/>
        <v>3</v>
      </c>
      <c r="AP102" s="88"/>
    </row>
    <row r="103">
      <c r="A103" s="142">
        <v>99.0</v>
      </c>
      <c r="B103" s="220" t="s">
        <v>1550</v>
      </c>
      <c r="C103" s="221" t="s">
        <v>3515</v>
      </c>
      <c r="D103" s="209" t="str">
        <f>VLOOKUP(B103,USN!$1:$1088,2,False)</f>
        <v>1CR23IS102</v>
      </c>
      <c r="E103" s="222">
        <v>9.380467804E9</v>
      </c>
      <c r="F103" s="222" t="s">
        <v>3706</v>
      </c>
      <c r="G103" s="88"/>
      <c r="H103" s="223">
        <v>76.0</v>
      </c>
      <c r="I103" s="211">
        <v>85.0</v>
      </c>
      <c r="J103" s="211">
        <f>VLOOKUP(D103,'L3'!$1:$2060,2,False)</f>
        <v>70</v>
      </c>
      <c r="K103" s="211">
        <f>VLOOKUP(D103,'L4'!$1:$2059,2,False)</f>
        <v>70</v>
      </c>
      <c r="L103" s="212">
        <f>VLOOKUP(D103,'A1 RETEST 5 DEC'!$1:$2096,2,FALSE)</f>
        <v>50</v>
      </c>
      <c r="M103" s="213">
        <f>VLOOKUP(D103,'A2 RETEST 4 DEC'!$1:$2096,2,False)</f>
        <v>50</v>
      </c>
      <c r="N103" s="213">
        <v>50.0</v>
      </c>
      <c r="O103" s="212"/>
      <c r="P103" s="214">
        <f>IFNA(VLOOKUP(D103,'S1'!$1:$2000,2,False),0)</f>
        <v>0</v>
      </c>
      <c r="Q103" s="214">
        <f>vlookup(D103,'S2'!A99:B1301,2,0)</f>
        <v>0</v>
      </c>
      <c r="R103" s="214">
        <f>ifna(vlookup(D103,'S3'!$1:$1311,2,False),0)</f>
        <v>88</v>
      </c>
      <c r="S103" s="214"/>
      <c r="T103" s="215">
        <v>19.0</v>
      </c>
      <c r="U103" s="215">
        <v>24.0</v>
      </c>
      <c r="V103" s="215">
        <v>44.0</v>
      </c>
      <c r="W103" s="215"/>
      <c r="X103" s="216">
        <v>76.0</v>
      </c>
      <c r="Y103" s="215"/>
      <c r="Z103" s="217"/>
      <c r="AA103" s="218">
        <v>4.0</v>
      </c>
      <c r="AB103" s="219">
        <v>55.0</v>
      </c>
      <c r="AC103" s="129">
        <v>67.0</v>
      </c>
      <c r="AD103" s="129">
        <v>60.0</v>
      </c>
      <c r="AE103" s="130">
        <v>12.0</v>
      </c>
      <c r="AF103" s="129"/>
      <c r="AG103" s="129">
        <v>27.0</v>
      </c>
      <c r="AH103" s="129"/>
      <c r="AI103" s="88"/>
      <c r="AJ103" s="88"/>
      <c r="AK103" s="132">
        <f t="shared" si="1"/>
        <v>4</v>
      </c>
      <c r="AL103" s="132">
        <f t="shared" si="2"/>
        <v>3</v>
      </c>
      <c r="AM103" s="133">
        <f t="shared" si="3"/>
        <v>2</v>
      </c>
      <c r="AN103" s="132" t="str">
        <f t="shared" si="4"/>
        <v>3</v>
      </c>
      <c r="AO103" s="132">
        <f t="shared" si="5"/>
        <v>0</v>
      </c>
      <c r="AP103" s="88"/>
    </row>
    <row r="104">
      <c r="A104" s="142">
        <v>100.0</v>
      </c>
      <c r="B104" s="241" t="s">
        <v>1461</v>
      </c>
      <c r="C104" s="221" t="s">
        <v>3516</v>
      </c>
      <c r="D104" s="209" t="str">
        <f>VLOOKUP(B104,USN!$1:$1088,2,False)</f>
        <v>1CR23IS103</v>
      </c>
      <c r="E104" s="226">
        <v>9.84568281E9</v>
      </c>
      <c r="F104" s="222" t="s">
        <v>3706</v>
      </c>
      <c r="G104" s="88"/>
      <c r="H104" s="223">
        <v>77.0</v>
      </c>
      <c r="I104" s="211">
        <v>85.0</v>
      </c>
      <c r="J104" s="211">
        <f>VLOOKUP(D104,'L3'!$1:$2060,2,False)</f>
        <v>70</v>
      </c>
      <c r="K104" s="211">
        <f>VLOOKUP(D104,'L4'!$1:$2059,2,False)</f>
        <v>70</v>
      </c>
      <c r="L104" s="212">
        <f>VLOOKUP(D104,'A1 RETEST 5 DEC'!$1:$2096,2,FALSE)</f>
        <v>50</v>
      </c>
      <c r="M104" s="213">
        <f>VLOOKUP(D104,'A2 RETEST 4 DEC'!$1:$2096,2,False)</f>
        <v>50</v>
      </c>
      <c r="N104" s="213">
        <v>50.0</v>
      </c>
      <c r="O104" s="212"/>
      <c r="P104" s="214">
        <f>IFNA(VLOOKUP(D104,'S1'!$1:$2000,2,False),0)</f>
        <v>80</v>
      </c>
      <c r="Q104" s="214">
        <f>vlookup(D104,'S2'!A100:B1302,2,0)</f>
        <v>62</v>
      </c>
      <c r="R104" s="214">
        <f>ifna(vlookup(D104,'S3'!$1:$1311,2,False),0)</f>
        <v>0</v>
      </c>
      <c r="S104" s="214"/>
      <c r="T104" s="215">
        <v>10.0</v>
      </c>
      <c r="U104" s="215">
        <v>24.0</v>
      </c>
      <c r="V104" s="215">
        <v>46.0</v>
      </c>
      <c r="W104" s="215">
        <v>60.0</v>
      </c>
      <c r="X104" s="216">
        <v>76.0</v>
      </c>
      <c r="Y104" s="215"/>
      <c r="Z104" s="217"/>
      <c r="AA104" s="218">
        <v>16.0</v>
      </c>
      <c r="AB104" s="219">
        <v>93.0</v>
      </c>
      <c r="AC104" s="129">
        <v>49.0</v>
      </c>
      <c r="AD104" s="129">
        <v>60.0</v>
      </c>
      <c r="AE104" s="130">
        <v>70.0</v>
      </c>
      <c r="AF104" s="129"/>
      <c r="AG104" s="129">
        <v>33.0</v>
      </c>
      <c r="AH104" s="129"/>
      <c r="AI104" s="88"/>
      <c r="AJ104" s="88"/>
      <c r="AK104" s="132">
        <f t="shared" si="1"/>
        <v>4</v>
      </c>
      <c r="AL104" s="132">
        <f t="shared" si="2"/>
        <v>3</v>
      </c>
      <c r="AM104" s="133">
        <f t="shared" si="3"/>
        <v>3</v>
      </c>
      <c r="AN104" s="132" t="str">
        <f t="shared" si="4"/>
        <v>3.5</v>
      </c>
      <c r="AO104" s="132">
        <f t="shared" si="5"/>
        <v>2</v>
      </c>
      <c r="AP104" s="88"/>
    </row>
    <row r="105">
      <c r="A105" s="142">
        <v>101.0</v>
      </c>
      <c r="B105" s="220" t="s">
        <v>1444</v>
      </c>
      <c r="C105" s="221" t="s">
        <v>3517</v>
      </c>
      <c r="D105" s="209" t="str">
        <f>VLOOKUP(B105,USN!$1:$1088,2,False)</f>
        <v>1CR23IS104</v>
      </c>
      <c r="E105" s="222">
        <v>7.89900557E9</v>
      </c>
      <c r="F105" s="222" t="s">
        <v>3706</v>
      </c>
      <c r="G105" s="88"/>
      <c r="H105" s="223">
        <v>75.0</v>
      </c>
      <c r="I105" s="211">
        <v>78.0</v>
      </c>
      <c r="J105" s="211">
        <f>VLOOKUP(D105,'L3'!$1:$2060,2,False)</f>
        <v>21</v>
      </c>
      <c r="K105" s="211">
        <f>VLOOKUP(D105,'L4'!$1:$2059,2,False)</f>
        <v>70</v>
      </c>
      <c r="L105" s="212">
        <f>VLOOKUP(D105,'A1 RETEST 5 DEC'!$1:$2096,2,FALSE)</f>
        <v>50</v>
      </c>
      <c r="M105" s="213">
        <f>VLOOKUP(D105,'A2 RETEST 4 DEC'!$1:$2096,2,False)</f>
        <v>41</v>
      </c>
      <c r="N105" s="213">
        <v>19.0</v>
      </c>
      <c r="O105" s="212"/>
      <c r="P105" s="214">
        <f>IFNA(VLOOKUP(D105,'S1'!$1:$2000,2,False),0)</f>
        <v>0</v>
      </c>
      <c r="Q105" s="214">
        <f>vlookup(D105,'S2'!A101:B1303,2,0)</f>
        <v>0</v>
      </c>
      <c r="R105" s="214">
        <f>ifna(vlookup(D105,'S3'!$1:$1311,2,False),0)</f>
        <v>0</v>
      </c>
      <c r="S105" s="214"/>
      <c r="T105" s="215">
        <v>13.0</v>
      </c>
      <c r="U105" s="215">
        <v>23.0</v>
      </c>
      <c r="V105" s="215"/>
      <c r="W105" s="215">
        <v>64.0</v>
      </c>
      <c r="X105" s="216">
        <v>88.0</v>
      </c>
      <c r="Y105" s="215"/>
      <c r="Z105" s="217"/>
      <c r="AA105" s="218">
        <v>0.0</v>
      </c>
      <c r="AB105" s="219">
        <v>40.0</v>
      </c>
      <c r="AC105" s="129">
        <v>16.0</v>
      </c>
      <c r="AD105" s="129">
        <v>100.0</v>
      </c>
      <c r="AE105" s="130">
        <v>10.0</v>
      </c>
      <c r="AF105" s="129"/>
      <c r="AG105" s="129">
        <v>42.0</v>
      </c>
      <c r="AH105" s="129"/>
      <c r="AI105" s="88"/>
      <c r="AJ105" s="88"/>
      <c r="AK105" s="132">
        <f t="shared" si="1"/>
        <v>2</v>
      </c>
      <c r="AL105" s="132">
        <f t="shared" si="2"/>
        <v>1</v>
      </c>
      <c r="AM105" s="133">
        <f t="shared" si="3"/>
        <v>3</v>
      </c>
      <c r="AN105" s="132" t="str">
        <f t="shared" si="4"/>
        <v>0</v>
      </c>
      <c r="AO105" s="132">
        <f t="shared" si="5"/>
        <v>0</v>
      </c>
      <c r="AP105" s="88"/>
    </row>
    <row r="106">
      <c r="A106" s="142">
        <v>102.0</v>
      </c>
      <c r="B106" s="229" t="s">
        <v>1478</v>
      </c>
      <c r="C106" s="221" t="s">
        <v>3518</v>
      </c>
      <c r="D106" s="209" t="str">
        <f>VLOOKUP(B106,USN!$1:$1088,2,False)</f>
        <v>1CR23IS105</v>
      </c>
      <c r="E106" s="227">
        <v>9.90099271E9</v>
      </c>
      <c r="F106" s="222" t="s">
        <v>3706</v>
      </c>
      <c r="G106" s="88"/>
      <c r="H106" s="223">
        <v>83.0</v>
      </c>
      <c r="I106" s="211">
        <v>89.0</v>
      </c>
      <c r="J106" s="211">
        <f>VLOOKUP(D106,'L3'!$1:$2060,2,False)</f>
        <v>87</v>
      </c>
      <c r="K106" s="211">
        <f>VLOOKUP(D106,'L4'!$1:$2059,2,False)</f>
        <v>74</v>
      </c>
      <c r="L106" s="212">
        <f>VLOOKUP(D106,'A1 RETEST 5 DEC'!$1:$2096,2,FALSE)</f>
        <v>50</v>
      </c>
      <c r="M106" s="213">
        <f>VLOOKUP(D106,'A2 RETEST 4 DEC'!$1:$2096,2,False)</f>
        <v>52</v>
      </c>
      <c r="N106" s="213">
        <v>50.0</v>
      </c>
      <c r="O106" s="212"/>
      <c r="P106" s="214">
        <f>IFNA(VLOOKUP(D106,'S1'!$1:$2000,2,False),0)</f>
        <v>84</v>
      </c>
      <c r="Q106" s="214">
        <f>vlookup(D106,'S2'!A102:B1304,2,0)</f>
        <v>82</v>
      </c>
      <c r="R106" s="214">
        <f>ifna(vlookup(D106,'S3'!$1:$1311,2,False),0)</f>
        <v>87</v>
      </c>
      <c r="S106" s="214"/>
      <c r="T106" s="215">
        <v>13.0</v>
      </c>
      <c r="U106" s="215">
        <v>21.0</v>
      </c>
      <c r="V106" s="215">
        <v>46.0</v>
      </c>
      <c r="W106" s="215">
        <v>68.0</v>
      </c>
      <c r="X106" s="216">
        <v>80.0</v>
      </c>
      <c r="Y106" s="215"/>
      <c r="Z106" s="217"/>
      <c r="AA106" s="218">
        <v>93.0</v>
      </c>
      <c r="AB106" s="219">
        <v>90.0</v>
      </c>
      <c r="AC106" s="129">
        <v>78.0</v>
      </c>
      <c r="AD106" s="129">
        <v>100.0</v>
      </c>
      <c r="AE106" s="130">
        <v>70.0</v>
      </c>
      <c r="AF106" s="129"/>
      <c r="AG106" s="129">
        <v>77.0</v>
      </c>
      <c r="AH106" s="129"/>
      <c r="AI106" s="88"/>
      <c r="AJ106" s="88"/>
      <c r="AK106" s="132">
        <f t="shared" si="1"/>
        <v>4</v>
      </c>
      <c r="AL106" s="132">
        <f t="shared" si="2"/>
        <v>3</v>
      </c>
      <c r="AM106" s="133">
        <f t="shared" si="3"/>
        <v>3</v>
      </c>
      <c r="AN106" s="132" t="str">
        <f t="shared" si="4"/>
        <v>3.5</v>
      </c>
      <c r="AO106" s="132">
        <f t="shared" si="5"/>
        <v>3</v>
      </c>
      <c r="AP106" s="88"/>
    </row>
    <row r="107">
      <c r="A107" s="142">
        <v>103.0</v>
      </c>
      <c r="B107" s="220" t="s">
        <v>1445</v>
      </c>
      <c r="C107" s="221" t="s">
        <v>3519</v>
      </c>
      <c r="D107" s="209" t="str">
        <f>VLOOKUP(B107,USN!$1:$1088,2,False)</f>
        <v>1CR23IS106</v>
      </c>
      <c r="E107" s="222">
        <v>8.789601387E9</v>
      </c>
      <c r="F107" s="222" t="s">
        <v>3706</v>
      </c>
      <c r="G107" s="88"/>
      <c r="H107" s="223">
        <v>74.0</v>
      </c>
      <c r="I107" s="211">
        <v>83.0</v>
      </c>
      <c r="J107" s="211">
        <f>VLOOKUP(D107,'L3'!$1:$2060,2,False)</f>
        <v>75</v>
      </c>
      <c r="K107" s="211">
        <f>VLOOKUP(D107,'L4'!$1:$2059,2,False)</f>
        <v>73</v>
      </c>
      <c r="L107" s="212">
        <f>VLOOKUP(D107,'A1 RETEST 5 DEC'!$1:$2096,2,FALSE)</f>
        <v>50</v>
      </c>
      <c r="M107" s="213">
        <f>VLOOKUP(D107,'A2 RETEST 4 DEC'!$1:$2096,2,False)</f>
        <v>50</v>
      </c>
      <c r="N107" s="213">
        <v>58.0</v>
      </c>
      <c r="O107" s="212"/>
      <c r="P107" s="214">
        <f>IFNA(VLOOKUP(D107,'S1'!$1:$2000,2,False),0)</f>
        <v>50</v>
      </c>
      <c r="Q107" s="214">
        <f>vlookup(D107,'S2'!A103:B1305,2,0)</f>
        <v>63</v>
      </c>
      <c r="R107" s="214">
        <f>ifna(vlookup(D107,'S3'!$1:$1311,2,False),0)</f>
        <v>90</v>
      </c>
      <c r="S107" s="214"/>
      <c r="T107" s="215">
        <v>11.0</v>
      </c>
      <c r="U107" s="215">
        <v>22.0</v>
      </c>
      <c r="V107" s="215">
        <v>48.0</v>
      </c>
      <c r="W107" s="215">
        <v>72.0</v>
      </c>
      <c r="X107" s="216">
        <v>84.0</v>
      </c>
      <c r="Y107" s="215"/>
      <c r="Z107" s="217"/>
      <c r="AA107" s="218">
        <v>98.0</v>
      </c>
      <c r="AB107" s="219">
        <v>100.0</v>
      </c>
      <c r="AC107" s="129">
        <v>53.0</v>
      </c>
      <c r="AD107" s="129">
        <v>84.0</v>
      </c>
      <c r="AE107" s="130">
        <v>70.0</v>
      </c>
      <c r="AF107" s="129"/>
      <c r="AG107" s="129">
        <v>49.0</v>
      </c>
      <c r="AH107" s="129"/>
      <c r="AI107" s="88"/>
      <c r="AJ107" s="88"/>
      <c r="AK107" s="132">
        <f t="shared" si="1"/>
        <v>4</v>
      </c>
      <c r="AL107" s="132">
        <f t="shared" si="2"/>
        <v>3</v>
      </c>
      <c r="AM107" s="133">
        <f t="shared" si="3"/>
        <v>3</v>
      </c>
      <c r="AN107" s="132" t="str">
        <f t="shared" si="4"/>
        <v>3.5</v>
      </c>
      <c r="AO107" s="132">
        <f t="shared" si="5"/>
        <v>3</v>
      </c>
      <c r="AP107" s="88"/>
    </row>
    <row r="108">
      <c r="A108" s="142">
        <v>104.0</v>
      </c>
      <c r="B108" s="229" t="s">
        <v>1482</v>
      </c>
      <c r="C108" s="221" t="s">
        <v>3520</v>
      </c>
      <c r="D108" s="209" t="str">
        <f>VLOOKUP(B108,USN!$1:$1088,2,False)</f>
        <v>1CR23IS107</v>
      </c>
      <c r="E108" s="227">
        <v>9.972494155E9</v>
      </c>
      <c r="F108" s="222" t="s">
        <v>3706</v>
      </c>
      <c r="G108" s="88"/>
      <c r="H108" s="223">
        <v>80.0</v>
      </c>
      <c r="I108" s="211">
        <v>93.0</v>
      </c>
      <c r="J108" s="211">
        <f>VLOOKUP(D108,'L3'!$1:$2060,2,False)</f>
        <v>88</v>
      </c>
      <c r="K108" s="211">
        <f>VLOOKUP(D108,'L4'!$1:$2059,2,False)</f>
        <v>86</v>
      </c>
      <c r="L108" s="212">
        <f>VLOOKUP(D108,'A1 RETEST 5 DEC'!$1:$2096,2,FALSE)</f>
        <v>54</v>
      </c>
      <c r="M108" s="213">
        <f>VLOOKUP(D108,'A2 RETEST 4 DEC'!$1:$2096,2,False)</f>
        <v>66</v>
      </c>
      <c r="N108" s="213">
        <v>76.0</v>
      </c>
      <c r="O108" s="212"/>
      <c r="P108" s="214">
        <f>IFNA(VLOOKUP(D108,'S1'!$1:$2000,2,False),0)</f>
        <v>50</v>
      </c>
      <c r="Q108" s="214">
        <f>vlookup(D108,'S2'!A104:B1306,2,0)</f>
        <v>90</v>
      </c>
      <c r="R108" s="214">
        <f>ifna(vlookup(D108,'S3'!$1:$1311,2,False),0)</f>
        <v>90</v>
      </c>
      <c r="S108" s="214"/>
      <c r="T108" s="215">
        <v>10.0</v>
      </c>
      <c r="U108" s="215">
        <v>22.0</v>
      </c>
      <c r="V108" s="215">
        <v>48.0</v>
      </c>
      <c r="W108" s="215">
        <v>68.0</v>
      </c>
      <c r="X108" s="216">
        <v>84.0</v>
      </c>
      <c r="Y108" s="215"/>
      <c r="Z108" s="217"/>
      <c r="AA108" s="218">
        <v>85.0</v>
      </c>
      <c r="AB108" s="219">
        <v>100.0</v>
      </c>
      <c r="AC108" s="129">
        <v>93.0</v>
      </c>
      <c r="AD108" s="129">
        <v>100.0</v>
      </c>
      <c r="AE108" s="130">
        <v>70.0</v>
      </c>
      <c r="AF108" s="129"/>
      <c r="AG108" s="129">
        <v>67.0</v>
      </c>
      <c r="AH108" s="129"/>
      <c r="AI108" s="88"/>
      <c r="AJ108" s="88"/>
      <c r="AK108" s="132">
        <f t="shared" si="1"/>
        <v>4</v>
      </c>
      <c r="AL108" s="132">
        <f t="shared" si="2"/>
        <v>3</v>
      </c>
      <c r="AM108" s="133">
        <f t="shared" si="3"/>
        <v>3</v>
      </c>
      <c r="AN108" s="132" t="str">
        <f t="shared" si="4"/>
        <v>3.5</v>
      </c>
      <c r="AO108" s="132">
        <f t="shared" si="5"/>
        <v>3</v>
      </c>
      <c r="AP108" s="88"/>
    </row>
    <row r="109">
      <c r="A109" s="142">
        <v>105.0</v>
      </c>
      <c r="B109" s="220" t="s">
        <v>1446</v>
      </c>
      <c r="C109" s="221" t="s">
        <v>3521</v>
      </c>
      <c r="D109" s="209" t="str">
        <f>VLOOKUP(B109,USN!$1:$1088,2,False)</f>
        <v>1CR23IS108</v>
      </c>
      <c r="E109" s="222">
        <v>9.538746073E9</v>
      </c>
      <c r="F109" s="222" t="s">
        <v>3706</v>
      </c>
      <c r="G109" s="88"/>
      <c r="H109" s="223">
        <v>71.0</v>
      </c>
      <c r="I109" s="211">
        <v>72.0</v>
      </c>
      <c r="J109" s="211">
        <f>VLOOKUP(D109,'L3'!$1:$2060,2,False)</f>
        <v>71</v>
      </c>
      <c r="K109" s="211">
        <f>VLOOKUP(D109,'L4'!$1:$2059,2,False)</f>
        <v>70</v>
      </c>
      <c r="L109" s="212">
        <f>VLOOKUP(D109,'A1 RETEST 5 DEC'!$1:$2096,2,FALSE)</f>
        <v>50</v>
      </c>
      <c r="M109" s="213">
        <f>VLOOKUP(D109,'A2 RETEST 4 DEC'!$1:$2096,2,False)</f>
        <v>67</v>
      </c>
      <c r="N109" s="213">
        <v>50.0</v>
      </c>
      <c r="O109" s="212"/>
      <c r="P109" s="214">
        <f>IFNA(VLOOKUP(D109,'S1'!$1:$2000,2,False),0)</f>
        <v>81</v>
      </c>
      <c r="Q109" s="214">
        <f>vlookup(D109,'S2'!A105:B1307,2,0)</f>
        <v>62</v>
      </c>
      <c r="R109" s="214">
        <f>ifna(vlookup(D109,'S3'!$1:$1311,2,False),0)</f>
        <v>80</v>
      </c>
      <c r="S109" s="214"/>
      <c r="T109" s="215">
        <v>11.0</v>
      </c>
      <c r="U109" s="215">
        <v>23.0</v>
      </c>
      <c r="V109" s="215">
        <v>46.0</v>
      </c>
      <c r="W109" s="215">
        <v>64.0</v>
      </c>
      <c r="X109" s="216">
        <v>80.0</v>
      </c>
      <c r="Y109" s="215"/>
      <c r="Z109" s="217"/>
      <c r="AA109" s="218">
        <v>44.0</v>
      </c>
      <c r="AB109" s="219">
        <v>96.0</v>
      </c>
      <c r="AC109" s="129">
        <v>64.0</v>
      </c>
      <c r="AD109" s="129">
        <v>100.0</v>
      </c>
      <c r="AE109" s="129">
        <v>70.0</v>
      </c>
      <c r="AF109" s="129"/>
      <c r="AG109" s="129">
        <v>70.0</v>
      </c>
      <c r="AH109" s="129"/>
      <c r="AI109" s="88"/>
      <c r="AJ109" s="88"/>
      <c r="AK109" s="132">
        <f t="shared" si="1"/>
        <v>4</v>
      </c>
      <c r="AL109" s="132">
        <f t="shared" si="2"/>
        <v>3</v>
      </c>
      <c r="AM109" s="133">
        <f t="shared" si="3"/>
        <v>3</v>
      </c>
      <c r="AN109" s="132" t="str">
        <f t="shared" si="4"/>
        <v>3.5</v>
      </c>
      <c r="AO109" s="132">
        <f t="shared" si="5"/>
        <v>3</v>
      </c>
      <c r="AP109" s="88"/>
    </row>
    <row r="110">
      <c r="A110" s="142">
        <v>106.0</v>
      </c>
      <c r="B110" s="220" t="s">
        <v>1549</v>
      </c>
      <c r="C110" s="221" t="s">
        <v>3522</v>
      </c>
      <c r="D110" s="209" t="str">
        <f>VLOOKUP(B110,USN!$1:$1088,2,False)</f>
        <v>1CR23IS109</v>
      </c>
      <c r="E110" s="234">
        <v>9.019184134E9</v>
      </c>
      <c r="F110" s="234" t="s">
        <v>3706</v>
      </c>
      <c r="G110" s="88"/>
      <c r="H110" s="223">
        <v>70.0</v>
      </c>
      <c r="I110" s="211">
        <v>70.0</v>
      </c>
      <c r="J110" s="211">
        <f>VLOOKUP(D110,'L3'!$1:$2060,2,False)</f>
        <v>70</v>
      </c>
      <c r="K110" s="211">
        <f>VLOOKUP(D110,'L4'!$1:$2059,2,False)</f>
        <v>70</v>
      </c>
      <c r="L110" s="212">
        <f>VLOOKUP(D110,'A1 RETEST 5 DEC'!$1:$2096,2,FALSE)</f>
        <v>50</v>
      </c>
      <c r="M110" s="213">
        <f>VLOOKUP(D110,'A2 RETEST 4 DEC'!$1:$2096,2,False)</f>
        <v>71</v>
      </c>
      <c r="N110" s="213">
        <v>50.0</v>
      </c>
      <c r="O110" s="212"/>
      <c r="P110" s="214">
        <f>IFNA(VLOOKUP(D110,'S1'!$1:$2000,2,False),0)</f>
        <v>81</v>
      </c>
      <c r="Q110" s="214">
        <f>vlookup(D110,'S2'!A106:B1308,2,0)</f>
        <v>62</v>
      </c>
      <c r="R110" s="214">
        <f>ifna(vlookup(D110,'S3'!$1:$1311,2,False),0)</f>
        <v>88</v>
      </c>
      <c r="S110" s="214"/>
      <c r="T110" s="215">
        <v>19.0</v>
      </c>
      <c r="U110" s="215">
        <v>24.0</v>
      </c>
      <c r="V110" s="215">
        <v>38.0</v>
      </c>
      <c r="W110" s="215">
        <v>72.0</v>
      </c>
      <c r="X110" s="216">
        <v>84.0</v>
      </c>
      <c r="Y110" s="215"/>
      <c r="Z110" s="217"/>
      <c r="AA110" s="218">
        <v>48.0</v>
      </c>
      <c r="AB110" s="219">
        <v>80.0</v>
      </c>
      <c r="AC110" s="129">
        <v>60.0</v>
      </c>
      <c r="AD110" s="129">
        <v>80.0</v>
      </c>
      <c r="AE110" s="130">
        <v>13.0</v>
      </c>
      <c r="AF110" s="129"/>
      <c r="AG110" s="129">
        <v>43.0</v>
      </c>
      <c r="AH110" s="129"/>
      <c r="AI110" s="88"/>
      <c r="AJ110" s="88"/>
      <c r="AK110" s="132">
        <f t="shared" si="1"/>
        <v>4</v>
      </c>
      <c r="AL110" s="132">
        <f t="shared" si="2"/>
        <v>3</v>
      </c>
      <c r="AM110" s="133">
        <f t="shared" si="3"/>
        <v>3</v>
      </c>
      <c r="AN110" s="132" t="str">
        <f t="shared" si="4"/>
        <v>3</v>
      </c>
      <c r="AO110" s="132">
        <f t="shared" si="5"/>
        <v>3</v>
      </c>
      <c r="AP110" s="88"/>
    </row>
    <row r="111">
      <c r="A111" s="142">
        <v>107.0</v>
      </c>
      <c r="B111" s="220" t="s">
        <v>1447</v>
      </c>
      <c r="C111" s="221" t="s">
        <v>3523</v>
      </c>
      <c r="D111" s="209" t="str">
        <f>VLOOKUP(B111,USN!$1:$1088,2,False)</f>
        <v>1CR23IS110</v>
      </c>
      <c r="E111" s="240">
        <v>8.762603596E9</v>
      </c>
      <c r="F111" s="222" t="s">
        <v>3706</v>
      </c>
      <c r="G111" s="88"/>
      <c r="H111" s="223">
        <v>74.0</v>
      </c>
      <c r="I111" s="211">
        <v>74.0</v>
      </c>
      <c r="J111" s="211">
        <f>VLOOKUP(D111,'L3'!$1:$2060,2,False)</f>
        <v>70</v>
      </c>
      <c r="K111" s="211">
        <f>VLOOKUP(D111,'L4'!$1:$2059,2,False)</f>
        <v>70</v>
      </c>
      <c r="L111" s="212">
        <f>VLOOKUP(D111,'A1 RETEST 5 DEC'!$1:$2096,2,FALSE)</f>
        <v>50</v>
      </c>
      <c r="M111" s="213">
        <f>VLOOKUP(D111,'A2 RETEST 4 DEC'!$1:$2096,2,False)</f>
        <v>57</v>
      </c>
      <c r="N111" s="213">
        <v>59.0</v>
      </c>
      <c r="O111" s="212"/>
      <c r="P111" s="214">
        <f>IFNA(VLOOKUP(D111,'S1'!$1:$2000,2,False),0)</f>
        <v>90</v>
      </c>
      <c r="Q111" s="214">
        <f>vlookup(D111,'S2'!A107:B1309,2,0)</f>
        <v>50</v>
      </c>
      <c r="R111" s="214">
        <f>ifna(vlookup(D111,'S3'!$1:$1311,2,False),0)</f>
        <v>74</v>
      </c>
      <c r="S111" s="214"/>
      <c r="T111" s="215">
        <v>18.0</v>
      </c>
      <c r="U111" s="215">
        <v>25.0</v>
      </c>
      <c r="V111" s="215">
        <v>40.0</v>
      </c>
      <c r="W111" s="215">
        <v>72.0</v>
      </c>
      <c r="X111" s="216">
        <v>68.0</v>
      </c>
      <c r="Y111" s="215"/>
      <c r="Z111" s="217"/>
      <c r="AA111" s="218">
        <v>94.0</v>
      </c>
      <c r="AB111" s="219">
        <v>96.0</v>
      </c>
      <c r="AC111" s="129">
        <v>68.0</v>
      </c>
      <c r="AD111" s="129">
        <v>100.0</v>
      </c>
      <c r="AE111" s="130">
        <v>84.0</v>
      </c>
      <c r="AF111" s="129"/>
      <c r="AG111" s="129">
        <v>64.0</v>
      </c>
      <c r="AH111" s="129"/>
      <c r="AI111" s="88"/>
      <c r="AJ111" s="88"/>
      <c r="AK111" s="132">
        <f t="shared" si="1"/>
        <v>4</v>
      </c>
      <c r="AL111" s="132">
        <f t="shared" si="2"/>
        <v>3</v>
      </c>
      <c r="AM111" s="133">
        <f t="shared" si="3"/>
        <v>3</v>
      </c>
      <c r="AN111" s="132" t="str">
        <f t="shared" si="4"/>
        <v>3.5</v>
      </c>
      <c r="AO111" s="132">
        <f t="shared" si="5"/>
        <v>3</v>
      </c>
      <c r="AP111" s="88"/>
    </row>
    <row r="112">
      <c r="A112" s="142">
        <v>108.0</v>
      </c>
      <c r="B112" s="220" t="s">
        <v>1448</v>
      </c>
      <c r="C112" s="221" t="s">
        <v>3524</v>
      </c>
      <c r="D112" s="209" t="str">
        <f>VLOOKUP(B112,USN!$1:$1088,2,False)</f>
        <v>1CR23IS111</v>
      </c>
      <c r="E112" s="222">
        <v>6.205245097E9</v>
      </c>
      <c r="F112" s="222" t="s">
        <v>3706</v>
      </c>
      <c r="G112" s="88"/>
      <c r="H112" s="223">
        <v>71.0</v>
      </c>
      <c r="I112" s="211">
        <v>83.0</v>
      </c>
      <c r="J112" s="211">
        <f>VLOOKUP(D112,'L3'!$1:$2060,2,False)</f>
        <v>88</v>
      </c>
      <c r="K112" s="211">
        <f>VLOOKUP(D112,'L4'!$1:$2059,2,False)</f>
        <v>78</v>
      </c>
      <c r="L112" s="212">
        <f>VLOOKUP(D112,'A1 RETEST 5 DEC'!$1:$2096,2,FALSE)</f>
        <v>66</v>
      </c>
      <c r="M112" s="213">
        <f>VLOOKUP(D112,'A2 RETEST 4 DEC'!$1:$2096,2,False)</f>
        <v>59</v>
      </c>
      <c r="N112" s="213">
        <v>67.0</v>
      </c>
      <c r="O112" s="212"/>
      <c r="P112" s="214">
        <f>IFNA(VLOOKUP(D112,'S1'!$1:$2000,2,False),0)</f>
        <v>90</v>
      </c>
      <c r="Q112" s="214">
        <f>vlookup(D112,'S2'!A108:B1310,2,0)</f>
        <v>90</v>
      </c>
      <c r="R112" s="214">
        <f>ifna(vlookup(D112,'S3'!$1:$1311,2,False),0)</f>
        <v>90</v>
      </c>
      <c r="S112" s="214"/>
      <c r="T112" s="215">
        <v>14.0</v>
      </c>
      <c r="U112" s="215">
        <v>26.0</v>
      </c>
      <c r="V112" s="215">
        <v>44.0</v>
      </c>
      <c r="W112" s="215">
        <v>76.0</v>
      </c>
      <c r="X112" s="216">
        <v>88.0</v>
      </c>
      <c r="Y112" s="215"/>
      <c r="Z112" s="217"/>
      <c r="AA112" s="218">
        <v>100.0</v>
      </c>
      <c r="AB112" s="219">
        <v>100.0</v>
      </c>
      <c r="AC112" s="129">
        <v>92.0</v>
      </c>
      <c r="AD112" s="129">
        <v>84.0</v>
      </c>
      <c r="AE112" s="130">
        <v>84.0</v>
      </c>
      <c r="AF112" s="129"/>
      <c r="AG112" s="129">
        <v>74.0</v>
      </c>
      <c r="AH112" s="129"/>
      <c r="AI112" s="88"/>
      <c r="AJ112" s="88"/>
      <c r="AK112" s="132">
        <f t="shared" si="1"/>
        <v>4</v>
      </c>
      <c r="AL112" s="132">
        <f t="shared" si="2"/>
        <v>3</v>
      </c>
      <c r="AM112" s="133">
        <f t="shared" si="3"/>
        <v>3</v>
      </c>
      <c r="AN112" s="132" t="str">
        <f t="shared" si="4"/>
        <v>3.5</v>
      </c>
      <c r="AO112" s="132">
        <f t="shared" si="5"/>
        <v>3</v>
      </c>
      <c r="AP112" s="88"/>
    </row>
    <row r="113">
      <c r="A113" s="142">
        <v>109.0</v>
      </c>
      <c r="B113" s="220" t="s">
        <v>1449</v>
      </c>
      <c r="C113" s="221" t="s">
        <v>3525</v>
      </c>
      <c r="D113" s="209" t="str">
        <f>VLOOKUP(B113,USN!$1:$1088,2,False)</f>
        <v>1CR23IS112</v>
      </c>
      <c r="E113" s="222">
        <v>8.861721676E9</v>
      </c>
      <c r="F113" s="222" t="s">
        <v>3706</v>
      </c>
      <c r="G113" s="88"/>
      <c r="H113" s="223">
        <v>92.0</v>
      </c>
      <c r="I113" s="211">
        <v>89.0</v>
      </c>
      <c r="J113" s="211">
        <f>VLOOKUP(D113,'L3'!$1:$2060,2,False)</f>
        <v>90</v>
      </c>
      <c r="K113" s="211">
        <f>VLOOKUP(D113,'L4'!$1:$2059,2,False)</f>
        <v>70</v>
      </c>
      <c r="L113" s="212">
        <f>VLOOKUP(D113,'A1 RETEST 5 DEC'!$1:$2096,2,FALSE)</f>
        <v>50</v>
      </c>
      <c r="M113" s="213">
        <f>VLOOKUP(D113,'A2 RETEST 4 DEC'!$1:$2096,2,False)</f>
        <v>63</v>
      </c>
      <c r="N113" s="213">
        <v>67.0</v>
      </c>
      <c r="O113" s="212"/>
      <c r="P113" s="214">
        <f>IFNA(VLOOKUP(D113,'S1'!$1:$2000,2,False),0)</f>
        <v>50</v>
      </c>
      <c r="Q113" s="214">
        <f>vlookup(D113,'S2'!A109:B1311,2,0)</f>
        <v>84</v>
      </c>
      <c r="R113" s="214">
        <f>ifna(vlookup(D113,'S3'!$1:$1311,2,False),0)</f>
        <v>80</v>
      </c>
      <c r="S113" s="214"/>
      <c r="T113" s="215">
        <v>18.0</v>
      </c>
      <c r="U113" s="215">
        <v>22.0</v>
      </c>
      <c r="V113" s="215">
        <v>46.0</v>
      </c>
      <c r="W113" s="215">
        <v>56.0</v>
      </c>
      <c r="X113" s="216">
        <v>72.0</v>
      </c>
      <c r="Y113" s="215"/>
      <c r="Z113" s="217"/>
      <c r="AA113" s="218">
        <v>92.0</v>
      </c>
      <c r="AB113" s="219">
        <v>100.0</v>
      </c>
      <c r="AC113" s="129">
        <v>98.0</v>
      </c>
      <c r="AD113" s="129">
        <v>63.0</v>
      </c>
      <c r="AE113" s="130">
        <v>70.0</v>
      </c>
      <c r="AF113" s="129"/>
      <c r="AG113" s="129">
        <v>59.0</v>
      </c>
      <c r="AH113" s="129"/>
      <c r="AI113" s="88"/>
      <c r="AJ113" s="88"/>
      <c r="AK113" s="132">
        <f t="shared" si="1"/>
        <v>4</v>
      </c>
      <c r="AL113" s="132">
        <f t="shared" si="2"/>
        <v>3</v>
      </c>
      <c r="AM113" s="133">
        <f t="shared" si="3"/>
        <v>3</v>
      </c>
      <c r="AN113" s="132" t="str">
        <f t="shared" si="4"/>
        <v>3.5</v>
      </c>
      <c r="AO113" s="132">
        <f t="shared" si="5"/>
        <v>3</v>
      </c>
      <c r="AP113" s="88"/>
    </row>
    <row r="114">
      <c r="A114" s="142">
        <v>110.0</v>
      </c>
      <c r="B114" s="220" t="s">
        <v>1450</v>
      </c>
      <c r="C114" s="221" t="s">
        <v>3526</v>
      </c>
      <c r="D114" s="209" t="str">
        <f>VLOOKUP(B114,USN!$1:$1088,2,False)</f>
        <v>1CR23IS113</v>
      </c>
      <c r="E114" s="222">
        <v>9.926819555E9</v>
      </c>
      <c r="F114" s="222" t="s">
        <v>3706</v>
      </c>
      <c r="G114" s="88"/>
      <c r="H114" s="223">
        <v>76.0</v>
      </c>
      <c r="I114" s="211">
        <v>90.0</v>
      </c>
      <c r="J114" s="211">
        <f>VLOOKUP(D114,'L3'!$1:$2060,2,False)</f>
        <v>81</v>
      </c>
      <c r="K114" s="211">
        <f>VLOOKUP(D114,'L4'!$1:$2059,2,False)</f>
        <v>74</v>
      </c>
      <c r="L114" s="212">
        <f>VLOOKUP(D114,'A1 RETEST 5 DEC'!$1:$2096,2,FALSE)</f>
        <v>63</v>
      </c>
      <c r="M114" s="213">
        <f>VLOOKUP(D114,'A2 RETEST 4 DEC'!$1:$2096,2,False)</f>
        <v>62</v>
      </c>
      <c r="N114" s="213">
        <v>72.0</v>
      </c>
      <c r="O114" s="212"/>
      <c r="P114" s="214">
        <f>IFNA(VLOOKUP(D114,'S1'!$1:$2000,2,False),0)</f>
        <v>87</v>
      </c>
      <c r="Q114" s="214">
        <f>vlookup(D114,'S2'!A110:B1312,2,0)</f>
        <v>81</v>
      </c>
      <c r="R114" s="214">
        <f>ifna(vlookup(D114,'S3'!$1:$1311,2,False),0)</f>
        <v>90</v>
      </c>
      <c r="S114" s="214"/>
      <c r="T114" s="215">
        <v>16.0</v>
      </c>
      <c r="U114" s="215">
        <v>23.0</v>
      </c>
      <c r="V114" s="215">
        <v>44.0</v>
      </c>
      <c r="W114" s="215">
        <v>56.0</v>
      </c>
      <c r="X114" s="216">
        <v>76.0</v>
      </c>
      <c r="Y114" s="215"/>
      <c r="Z114" s="217"/>
      <c r="AA114" s="218">
        <v>84.0</v>
      </c>
      <c r="AB114" s="219">
        <v>98.0</v>
      </c>
      <c r="AC114" s="129">
        <v>22.0</v>
      </c>
      <c r="AD114" s="129">
        <v>70.0</v>
      </c>
      <c r="AE114" s="130">
        <v>70.0</v>
      </c>
      <c r="AF114" s="129"/>
      <c r="AG114" s="129">
        <v>81.0</v>
      </c>
      <c r="AH114" s="129"/>
      <c r="AI114" s="88"/>
      <c r="AJ114" s="88"/>
      <c r="AK114" s="132">
        <f t="shared" si="1"/>
        <v>4</v>
      </c>
      <c r="AL114" s="132">
        <f t="shared" si="2"/>
        <v>3</v>
      </c>
      <c r="AM114" s="133">
        <f t="shared" si="3"/>
        <v>3</v>
      </c>
      <c r="AN114" s="132" t="str">
        <f t="shared" si="4"/>
        <v>3.5</v>
      </c>
      <c r="AO114" s="132">
        <f t="shared" si="5"/>
        <v>3</v>
      </c>
      <c r="AP114" s="88"/>
    </row>
    <row r="115">
      <c r="A115" s="142">
        <v>111.0</v>
      </c>
      <c r="B115" s="220" t="s">
        <v>1547</v>
      </c>
      <c r="C115" s="221" t="s">
        <v>3527</v>
      </c>
      <c r="D115" s="209" t="str">
        <f>VLOOKUP(B115,USN!$1:$1088,2,False)</f>
        <v>1CR23IS115</v>
      </c>
      <c r="E115" s="234">
        <v>9.900258511E9</v>
      </c>
      <c r="F115" s="234" t="s">
        <v>3706</v>
      </c>
      <c r="G115" s="88"/>
      <c r="H115" s="233">
        <v>70.0</v>
      </c>
      <c r="I115" s="211">
        <v>72.0</v>
      </c>
      <c r="J115" s="211">
        <f>VLOOKUP(D115,'L3'!$1:$2060,2,False)</f>
        <v>70</v>
      </c>
      <c r="K115" s="211">
        <f>VLOOKUP(D115,'L4'!$1:$2059,2,False)</f>
        <v>73</v>
      </c>
      <c r="L115" s="212">
        <f>VLOOKUP(D115,'A1 RETEST 5 DEC'!$1:$2096,2,FALSE)</f>
        <v>50</v>
      </c>
      <c r="M115" s="213">
        <f>VLOOKUP(D115,'A2 RETEST 4 DEC'!$1:$2096,2,False)</f>
        <v>58</v>
      </c>
      <c r="N115" s="213">
        <v>72.0</v>
      </c>
      <c r="O115" s="212"/>
      <c r="P115" s="214">
        <f>IFNA(VLOOKUP(D115,'S1'!$1:$2000,2,False),0)</f>
        <v>50</v>
      </c>
      <c r="Q115" s="214">
        <f>vlookup(D115,'S2'!A111:B1313,2,0)</f>
        <v>62</v>
      </c>
      <c r="R115" s="214">
        <f>ifna(vlookup(D115,'S3'!$1:$1311,2,False),0)</f>
        <v>73</v>
      </c>
      <c r="S115" s="214"/>
      <c r="T115" s="215">
        <v>13.0</v>
      </c>
      <c r="U115" s="215">
        <v>23.0</v>
      </c>
      <c r="V115" s="215">
        <v>42.0</v>
      </c>
      <c r="W115" s="215">
        <v>68.0</v>
      </c>
      <c r="X115" s="216">
        <v>84.0</v>
      </c>
      <c r="Y115" s="215"/>
      <c r="Z115" s="217"/>
      <c r="AA115" s="218">
        <v>66.0</v>
      </c>
      <c r="AB115" s="219">
        <v>97.0</v>
      </c>
      <c r="AC115" s="129">
        <v>61.0</v>
      </c>
      <c r="AD115" s="129">
        <v>78.0</v>
      </c>
      <c r="AE115" s="130">
        <v>58.0</v>
      </c>
      <c r="AF115" s="129"/>
      <c r="AG115" s="129">
        <v>49.0</v>
      </c>
      <c r="AH115" s="129"/>
      <c r="AI115" s="88"/>
      <c r="AJ115" s="88"/>
      <c r="AK115" s="132">
        <f t="shared" si="1"/>
        <v>4</v>
      </c>
      <c r="AL115" s="132">
        <f t="shared" si="2"/>
        <v>3</v>
      </c>
      <c r="AM115" s="133">
        <f t="shared" si="3"/>
        <v>3</v>
      </c>
      <c r="AN115" s="132" t="str">
        <f t="shared" si="4"/>
        <v>3</v>
      </c>
      <c r="AO115" s="132">
        <f t="shared" si="5"/>
        <v>3</v>
      </c>
      <c r="AP115" s="88"/>
    </row>
    <row r="116">
      <c r="A116" s="142">
        <v>112.0</v>
      </c>
      <c r="B116" s="220" t="s">
        <v>1452</v>
      </c>
      <c r="C116" s="221" t="s">
        <v>3528</v>
      </c>
      <c r="D116" s="209" t="str">
        <f>VLOOKUP(B116,USN!$1:$1088,2,False)</f>
        <v>1CR23IS116</v>
      </c>
      <c r="E116" s="222">
        <v>8.207354243E9</v>
      </c>
      <c r="F116" s="222" t="s">
        <v>3706</v>
      </c>
      <c r="G116" s="88"/>
      <c r="H116" s="223">
        <v>89.0</v>
      </c>
      <c r="I116" s="211">
        <v>93.0</v>
      </c>
      <c r="J116" s="211">
        <f>VLOOKUP(D116,'L3'!$1:$2060,2,False)</f>
        <v>85</v>
      </c>
      <c r="K116" s="211">
        <f>VLOOKUP(D116,'L4'!$1:$2059,2,False)</f>
        <v>80</v>
      </c>
      <c r="L116" s="212">
        <f>VLOOKUP(D116,'A1 RETEST 5 DEC'!$1:$2096,2,FALSE)</f>
        <v>74</v>
      </c>
      <c r="M116" s="213">
        <f>VLOOKUP(D116,'A2 RETEST 4 DEC'!$1:$2096,2,False)</f>
        <v>64</v>
      </c>
      <c r="N116" s="213">
        <v>76.0</v>
      </c>
      <c r="O116" s="212"/>
      <c r="P116" s="214">
        <f>IFNA(VLOOKUP(D116,'S1'!$1:$2000,2,False),0)</f>
        <v>80</v>
      </c>
      <c r="Q116" s="214">
        <f>vlookup(D116,'S2'!A112:B1314,2,0)</f>
        <v>81</v>
      </c>
      <c r="R116" s="214">
        <f>ifna(vlookup(D116,'S3'!$1:$1311,2,False),0)</f>
        <v>90</v>
      </c>
      <c r="S116" s="214"/>
      <c r="T116" s="215">
        <v>14.0</v>
      </c>
      <c r="U116" s="215">
        <v>23.0</v>
      </c>
      <c r="V116" s="215">
        <v>46.0</v>
      </c>
      <c r="W116" s="215">
        <v>60.0</v>
      </c>
      <c r="X116" s="216">
        <v>84.0</v>
      </c>
      <c r="Y116" s="215"/>
      <c r="Z116" s="217"/>
      <c r="AA116" s="218">
        <v>34.0</v>
      </c>
      <c r="AB116" s="219">
        <v>97.0</v>
      </c>
      <c r="AC116" s="129">
        <v>52.0</v>
      </c>
      <c r="AD116" s="129">
        <v>70.0</v>
      </c>
      <c r="AE116" s="130">
        <v>70.0</v>
      </c>
      <c r="AF116" s="129"/>
      <c r="AG116" s="129">
        <v>85.0</v>
      </c>
      <c r="AH116" s="129"/>
      <c r="AI116" s="88"/>
      <c r="AJ116" s="88"/>
      <c r="AK116" s="132">
        <f t="shared" si="1"/>
        <v>4</v>
      </c>
      <c r="AL116" s="132">
        <f t="shared" si="2"/>
        <v>3</v>
      </c>
      <c r="AM116" s="133">
        <f t="shared" si="3"/>
        <v>3</v>
      </c>
      <c r="AN116" s="132" t="str">
        <f t="shared" si="4"/>
        <v>3.5</v>
      </c>
      <c r="AO116" s="132">
        <f t="shared" si="5"/>
        <v>3</v>
      </c>
      <c r="AP116" s="88"/>
    </row>
    <row r="117">
      <c r="A117" s="142">
        <v>113.0</v>
      </c>
      <c r="B117" s="229" t="s">
        <v>1484</v>
      </c>
      <c r="C117" s="221" t="s">
        <v>3529</v>
      </c>
      <c r="D117" s="209" t="str">
        <f>VLOOKUP(B117,USN!$1:$1088,2,False)</f>
        <v>1CR23IS117</v>
      </c>
      <c r="E117" s="227">
        <v>8.618487676E9</v>
      </c>
      <c r="F117" s="222" t="s">
        <v>3706</v>
      </c>
      <c r="G117" s="88"/>
      <c r="H117" s="223">
        <v>85.0</v>
      </c>
      <c r="I117" s="211">
        <v>89.0</v>
      </c>
      <c r="J117" s="211">
        <f>VLOOKUP(D117,'L3'!$1:$2060,2,False)</f>
        <v>78</v>
      </c>
      <c r="K117" s="211">
        <f>VLOOKUP(D117,'L4'!$1:$2059,2,False)</f>
        <v>70</v>
      </c>
      <c r="L117" s="212">
        <f>VLOOKUP(D117,'A1 RETEST 5 DEC'!$1:$2096,2,FALSE)</f>
        <v>50</v>
      </c>
      <c r="M117" s="213">
        <f>VLOOKUP(D117,'A2 RETEST 4 DEC'!$1:$2096,2,False)</f>
        <v>50</v>
      </c>
      <c r="N117" s="213">
        <v>10.0</v>
      </c>
      <c r="O117" s="212"/>
      <c r="P117" s="214">
        <f>IFNA(VLOOKUP(D117,'S1'!$1:$2000,2,False),0)</f>
        <v>81</v>
      </c>
      <c r="Q117" s="214">
        <f>vlookup(D117,'S2'!A113:B1315,2,0)</f>
        <v>50</v>
      </c>
      <c r="R117" s="214">
        <f>ifna(vlookup(D117,'S3'!$1:$1311,2,False),0)</f>
        <v>50</v>
      </c>
      <c r="S117" s="214"/>
      <c r="T117" s="215">
        <v>18.0</v>
      </c>
      <c r="U117" s="215">
        <v>23.0</v>
      </c>
      <c r="V117" s="215"/>
      <c r="W117" s="215">
        <v>60.0</v>
      </c>
      <c r="X117" s="216">
        <v>88.0</v>
      </c>
      <c r="Y117" s="215"/>
      <c r="Z117" s="217"/>
      <c r="AA117" s="218">
        <v>6.0</v>
      </c>
      <c r="AB117" s="219">
        <v>95.0</v>
      </c>
      <c r="AC117" s="129">
        <v>53.0</v>
      </c>
      <c r="AD117" s="129">
        <v>100.0</v>
      </c>
      <c r="AE117" s="130">
        <v>11.0</v>
      </c>
      <c r="AF117" s="129"/>
      <c r="AG117" s="129">
        <v>23.0</v>
      </c>
      <c r="AH117" s="129"/>
      <c r="AI117" s="88"/>
      <c r="AJ117" s="88"/>
      <c r="AK117" s="132">
        <f t="shared" si="1"/>
        <v>4</v>
      </c>
      <c r="AL117" s="132">
        <f t="shared" si="2"/>
        <v>2</v>
      </c>
      <c r="AM117" s="133">
        <f t="shared" si="3"/>
        <v>3</v>
      </c>
      <c r="AN117" s="132" t="str">
        <f t="shared" si="4"/>
        <v>3</v>
      </c>
      <c r="AO117" s="132">
        <f t="shared" si="5"/>
        <v>3</v>
      </c>
      <c r="AP117" s="88"/>
    </row>
    <row r="118">
      <c r="A118" s="142">
        <v>114.0</v>
      </c>
      <c r="B118" s="220" t="s">
        <v>1453</v>
      </c>
      <c r="C118" s="221" t="s">
        <v>3530</v>
      </c>
      <c r="D118" s="209" t="str">
        <f>VLOOKUP(B118,USN!$1:$1088,2,False)</f>
        <v>1CR23IS118</v>
      </c>
      <c r="E118" s="222">
        <v>7.208648927E9</v>
      </c>
      <c r="F118" s="222" t="s">
        <v>3706</v>
      </c>
      <c r="G118" s="88"/>
      <c r="H118" s="233">
        <v>70.0</v>
      </c>
      <c r="I118" s="211">
        <v>72.0</v>
      </c>
      <c r="J118" s="211">
        <f>VLOOKUP(D118,'L3'!$1:$2060,2,False)</f>
        <v>70</v>
      </c>
      <c r="K118" s="211">
        <f>VLOOKUP(D118,'L4'!$1:$2059,2,False)</f>
        <v>75</v>
      </c>
      <c r="L118" s="212">
        <f>VLOOKUP(D118,'A1 RETEST 5 DEC'!$1:$2096,2,FALSE)</f>
        <v>50</v>
      </c>
      <c r="M118" s="213">
        <f>VLOOKUP(D118,'A2 RETEST 4 DEC'!$1:$2096,2,False)</f>
        <v>50</v>
      </c>
      <c r="N118" s="213">
        <v>78.0</v>
      </c>
      <c r="O118" s="212"/>
      <c r="P118" s="214">
        <f>IFNA(VLOOKUP(D118,'S1'!$1:$2000,2,False),0)</f>
        <v>81</v>
      </c>
      <c r="Q118" s="214">
        <f>vlookup(D118,'S2'!A114:B1316,2,0)</f>
        <v>55</v>
      </c>
      <c r="R118" s="214">
        <f>ifna(vlookup(D118,'S3'!$1:$1311,2,False),0)</f>
        <v>85</v>
      </c>
      <c r="S118" s="214"/>
      <c r="T118" s="215">
        <v>22.0</v>
      </c>
      <c r="U118" s="215">
        <v>23.0</v>
      </c>
      <c r="V118" s="215">
        <v>48.0</v>
      </c>
      <c r="W118" s="215">
        <v>84.0</v>
      </c>
      <c r="X118" s="216">
        <v>80.0</v>
      </c>
      <c r="Y118" s="215"/>
      <c r="Z118" s="217"/>
      <c r="AA118" s="218">
        <v>44.0</v>
      </c>
      <c r="AB118" s="219">
        <v>98.0</v>
      </c>
      <c r="AC118" s="129">
        <v>73.0</v>
      </c>
      <c r="AD118" s="129">
        <v>60.0</v>
      </c>
      <c r="AE118" s="130">
        <v>71.0</v>
      </c>
      <c r="AF118" s="129"/>
      <c r="AG118" s="129">
        <v>56.0</v>
      </c>
      <c r="AH118" s="129"/>
      <c r="AI118" s="88"/>
      <c r="AJ118" s="88"/>
      <c r="AK118" s="132">
        <f t="shared" si="1"/>
        <v>4</v>
      </c>
      <c r="AL118" s="132">
        <f t="shared" si="2"/>
        <v>3</v>
      </c>
      <c r="AM118" s="133">
        <f t="shared" si="3"/>
        <v>3</v>
      </c>
      <c r="AN118" s="132" t="str">
        <f t="shared" si="4"/>
        <v>3.5</v>
      </c>
      <c r="AO118" s="132">
        <f t="shared" si="5"/>
        <v>3</v>
      </c>
      <c r="AP118" s="88"/>
    </row>
    <row r="119">
      <c r="A119" s="142">
        <v>115.0</v>
      </c>
      <c r="B119" s="229" t="s">
        <v>1467</v>
      </c>
      <c r="C119" s="221" t="s">
        <v>3531</v>
      </c>
      <c r="D119" s="209" t="str">
        <f>VLOOKUP(B119,USN!$1:$1088,2,False)</f>
        <v>1CR23IS119</v>
      </c>
      <c r="E119" s="227">
        <v>8.073580548E9</v>
      </c>
      <c r="F119" s="222" t="s">
        <v>3706</v>
      </c>
      <c r="G119" s="88"/>
      <c r="H119" s="223">
        <v>76.0</v>
      </c>
      <c r="I119" s="211">
        <v>80.0</v>
      </c>
      <c r="J119" s="211">
        <f>VLOOKUP(D119,'L3'!$1:$2060,2,False)</f>
        <v>70</v>
      </c>
      <c r="K119" s="211">
        <f>VLOOKUP(D119,'L4'!$1:$2059,2,False)</f>
        <v>70</v>
      </c>
      <c r="L119" s="212">
        <f>VLOOKUP(D119,'A1 RETEST 5 DEC'!$1:$2096,2,FALSE)</f>
        <v>50</v>
      </c>
      <c r="M119" s="213">
        <f>VLOOKUP(D119,'A2 RETEST 4 DEC'!$1:$2096,2,False)</f>
        <v>31</v>
      </c>
      <c r="N119" s="213">
        <v>13.0</v>
      </c>
      <c r="O119" s="212"/>
      <c r="P119" s="214">
        <f>IFNA(VLOOKUP(D119,'S1'!$1:$2000,2,False),0)</f>
        <v>86</v>
      </c>
      <c r="Q119" s="214">
        <f>vlookup(D119,'S2'!A115:B1317,2,0)</f>
        <v>55</v>
      </c>
      <c r="R119" s="214">
        <f>ifna(vlookup(D119,'S3'!$1:$1311,2,False),0)</f>
        <v>94</v>
      </c>
      <c r="S119" s="214"/>
      <c r="T119" s="215">
        <v>16.0</v>
      </c>
      <c r="U119" s="215">
        <v>24.0</v>
      </c>
      <c r="V119" s="215">
        <v>48.0</v>
      </c>
      <c r="W119" s="215">
        <v>64.0</v>
      </c>
      <c r="X119" s="216">
        <v>72.0</v>
      </c>
      <c r="Y119" s="215"/>
      <c r="Z119" s="217"/>
      <c r="AA119" s="218">
        <v>46.0</v>
      </c>
      <c r="AB119" s="219">
        <v>97.0</v>
      </c>
      <c r="AC119" s="129">
        <v>61.0</v>
      </c>
      <c r="AD119" s="129">
        <v>100.0</v>
      </c>
      <c r="AE119" s="130">
        <v>75.0</v>
      </c>
      <c r="AF119" s="129"/>
      <c r="AG119" s="129">
        <v>80.0</v>
      </c>
      <c r="AH119" s="129"/>
      <c r="AI119" s="88"/>
      <c r="AJ119" s="88"/>
      <c r="AK119" s="132">
        <f t="shared" si="1"/>
        <v>4</v>
      </c>
      <c r="AL119" s="132">
        <f t="shared" si="2"/>
        <v>1</v>
      </c>
      <c r="AM119" s="133">
        <f t="shared" si="3"/>
        <v>3</v>
      </c>
      <c r="AN119" s="132" t="str">
        <f t="shared" si="4"/>
        <v>3.5</v>
      </c>
      <c r="AO119" s="132">
        <f t="shared" si="5"/>
        <v>3</v>
      </c>
      <c r="AP119" s="88"/>
    </row>
    <row r="120">
      <c r="A120" s="142">
        <v>116.0</v>
      </c>
      <c r="B120" s="229" t="s">
        <v>1475</v>
      </c>
      <c r="C120" s="221" t="s">
        <v>3532</v>
      </c>
      <c r="D120" s="209" t="str">
        <f>VLOOKUP(B120,USN!$1:$1088,2,False)</f>
        <v>1CR23IS120</v>
      </c>
      <c r="E120" s="227">
        <v>6.366601103E9</v>
      </c>
      <c r="F120" s="222" t="s">
        <v>3706</v>
      </c>
      <c r="G120" s="88"/>
      <c r="H120" s="223">
        <v>78.0</v>
      </c>
      <c r="I120" s="211">
        <v>85.0</v>
      </c>
      <c r="J120" s="211">
        <f>VLOOKUP(D120,'L3'!$1:$2060,2,False)</f>
        <v>77</v>
      </c>
      <c r="K120" s="211">
        <f>VLOOKUP(D120,'L4'!$1:$2059,2,False)</f>
        <v>70</v>
      </c>
      <c r="L120" s="212">
        <f>VLOOKUP(D120,'A1 RETEST 5 DEC'!$1:$2096,2,FALSE)</f>
        <v>50</v>
      </c>
      <c r="M120" s="213">
        <f>VLOOKUP(D120,'A2 RETEST 4 DEC'!$1:$2096,2,False)</f>
        <v>53</v>
      </c>
      <c r="N120" s="213">
        <v>69.0</v>
      </c>
      <c r="O120" s="212"/>
      <c r="P120" s="214">
        <f>IFNA(VLOOKUP(D120,'S1'!$1:$2000,2,False),0)</f>
        <v>77</v>
      </c>
      <c r="Q120" s="214">
        <f>vlookup(D120,'S2'!A116:B1318,2,0)</f>
        <v>81</v>
      </c>
      <c r="R120" s="214">
        <f>ifna(vlookup(D120,'S3'!$1:$1311,2,False),0)</f>
        <v>88</v>
      </c>
      <c r="S120" s="214"/>
      <c r="T120" s="215">
        <v>20.0</v>
      </c>
      <c r="U120" s="215">
        <v>24.0</v>
      </c>
      <c r="V120" s="215">
        <v>46.0</v>
      </c>
      <c r="W120" s="215">
        <v>72.0</v>
      </c>
      <c r="X120" s="216">
        <v>84.0</v>
      </c>
      <c r="Y120" s="215"/>
      <c r="Z120" s="217"/>
      <c r="AA120" s="218">
        <v>19.0</v>
      </c>
      <c r="AB120" s="219">
        <v>96.0</v>
      </c>
      <c r="AC120" s="129">
        <v>62.0</v>
      </c>
      <c r="AD120" s="129">
        <v>74.0</v>
      </c>
      <c r="AE120" s="130">
        <v>70.0</v>
      </c>
      <c r="AF120" s="129"/>
      <c r="AG120" s="129">
        <v>70.0</v>
      </c>
      <c r="AH120" s="129"/>
      <c r="AI120" s="88"/>
      <c r="AJ120" s="88"/>
      <c r="AK120" s="132">
        <f t="shared" si="1"/>
        <v>4</v>
      </c>
      <c r="AL120" s="132">
        <f t="shared" si="2"/>
        <v>3</v>
      </c>
      <c r="AM120" s="133">
        <f t="shared" si="3"/>
        <v>3</v>
      </c>
      <c r="AN120" s="132" t="str">
        <f t="shared" si="4"/>
        <v>3.5</v>
      </c>
      <c r="AO120" s="132">
        <f t="shared" si="5"/>
        <v>3</v>
      </c>
      <c r="AP120" s="88"/>
    </row>
    <row r="121">
      <c r="A121" s="142">
        <v>117.0</v>
      </c>
      <c r="B121" s="220" t="s">
        <v>1454</v>
      </c>
      <c r="C121" s="221" t="s">
        <v>3533</v>
      </c>
      <c r="D121" s="209" t="str">
        <f>VLOOKUP(B121,USN!$1:$1088,2,False)</f>
        <v>1CR23IS121</v>
      </c>
      <c r="E121" s="222">
        <v>9.326087732E9</v>
      </c>
      <c r="F121" s="222" t="s">
        <v>3706</v>
      </c>
      <c r="G121" s="88"/>
      <c r="H121" s="223">
        <v>87.0</v>
      </c>
      <c r="I121" s="211">
        <v>89.0</v>
      </c>
      <c r="J121" s="211">
        <f>VLOOKUP(D121,'L3'!$1:$2060,2,False)</f>
        <v>70</v>
      </c>
      <c r="K121" s="211">
        <f>VLOOKUP(D121,'L4'!$1:$2059,2,False)</f>
        <v>79</v>
      </c>
      <c r="L121" s="212">
        <f>VLOOKUP(D121,'A1 RETEST 5 DEC'!$1:$2096,2,FALSE)</f>
        <v>50</v>
      </c>
      <c r="M121" s="213">
        <f>VLOOKUP(D121,'A2 RETEST 4 DEC'!$1:$2096,2,False)</f>
        <v>31</v>
      </c>
      <c r="N121" s="213">
        <v>65.0</v>
      </c>
      <c r="O121" s="212"/>
      <c r="P121" s="214">
        <f>IFNA(VLOOKUP(D121,'S1'!$1:$2000,2,False),0)</f>
        <v>81</v>
      </c>
      <c r="Q121" s="214">
        <f>vlookup(D121,'S2'!A117:B1319,2,0)</f>
        <v>84</v>
      </c>
      <c r="R121" s="214">
        <f>ifna(vlookup(D121,'S3'!$1:$1311,2,False),0)</f>
        <v>69</v>
      </c>
      <c r="S121" s="214"/>
      <c r="T121" s="215">
        <v>16.0</v>
      </c>
      <c r="U121" s="215">
        <v>19.0</v>
      </c>
      <c r="V121" s="215"/>
      <c r="W121" s="215">
        <v>56.0</v>
      </c>
      <c r="X121" s="216">
        <v>80.0</v>
      </c>
      <c r="Y121" s="215"/>
      <c r="Z121" s="217"/>
      <c r="AA121" s="218">
        <v>48.0</v>
      </c>
      <c r="AB121" s="219">
        <v>96.0</v>
      </c>
      <c r="AC121" s="129">
        <v>69.0</v>
      </c>
      <c r="AD121" s="129">
        <v>60.0</v>
      </c>
      <c r="AE121" s="130">
        <v>70.0</v>
      </c>
      <c r="AF121" s="129"/>
      <c r="AG121" s="129">
        <v>65.0</v>
      </c>
      <c r="AH121" s="129"/>
      <c r="AI121" s="88"/>
      <c r="AJ121" s="88"/>
      <c r="AK121" s="132">
        <f t="shared" si="1"/>
        <v>4</v>
      </c>
      <c r="AL121" s="132">
        <f t="shared" si="2"/>
        <v>1</v>
      </c>
      <c r="AM121" s="133">
        <f t="shared" si="3"/>
        <v>3</v>
      </c>
      <c r="AN121" s="132" t="str">
        <f t="shared" si="4"/>
        <v>3.5</v>
      </c>
      <c r="AO121" s="132">
        <f t="shared" si="5"/>
        <v>3</v>
      </c>
      <c r="AP121" s="88"/>
    </row>
    <row r="122">
      <c r="A122" s="142">
        <v>118.0</v>
      </c>
      <c r="B122" s="229" t="s">
        <v>1477</v>
      </c>
      <c r="C122" s="221" t="s">
        <v>3534</v>
      </c>
      <c r="D122" s="209" t="str">
        <f>VLOOKUP(B122,USN!$1:$1088,2,False)</f>
        <v>1CR23IS122</v>
      </c>
      <c r="E122" s="227">
        <v>9.901678806E9</v>
      </c>
      <c r="F122" s="222" t="s">
        <v>3706</v>
      </c>
      <c r="G122" s="88"/>
      <c r="H122" s="223">
        <v>80.0</v>
      </c>
      <c r="I122" s="211">
        <v>78.0</v>
      </c>
      <c r="J122" s="211">
        <f>VLOOKUP(D122,'L3'!$1:$2060,2,False)</f>
        <v>70</v>
      </c>
      <c r="K122" s="211">
        <f>VLOOKUP(D122,'L4'!$1:$2059,2,False)</f>
        <v>70</v>
      </c>
      <c r="L122" s="212">
        <f>VLOOKUP(D122,'A1 RETEST 5 DEC'!$1:$2096,2,FALSE)</f>
        <v>50</v>
      </c>
      <c r="M122" s="213">
        <f>VLOOKUP(D122,'A2 RETEST 4 DEC'!$1:$2096,2,False)</f>
        <v>32</v>
      </c>
      <c r="N122" s="213">
        <v>50.0</v>
      </c>
      <c r="O122" s="212"/>
      <c r="P122" s="214">
        <f>IFNA(VLOOKUP(D122,'S1'!$1:$2000,2,False),0)</f>
        <v>79</v>
      </c>
      <c r="Q122" s="214">
        <f>vlookup(D122,'S2'!A118:B1320,2,0)</f>
        <v>50</v>
      </c>
      <c r="R122" s="214">
        <f>ifna(vlookup(D122,'S3'!$1:$1311,2,False),0)</f>
        <v>50</v>
      </c>
      <c r="S122" s="214"/>
      <c r="T122" s="215">
        <v>13.0</v>
      </c>
      <c r="U122" s="215">
        <v>22.0</v>
      </c>
      <c r="V122" s="215">
        <v>42.0</v>
      </c>
      <c r="W122" s="215">
        <v>40.0</v>
      </c>
      <c r="X122" s="216">
        <v>68.0</v>
      </c>
      <c r="Y122" s="215"/>
      <c r="Z122" s="217"/>
      <c r="AA122" s="218">
        <v>76.0</v>
      </c>
      <c r="AB122" s="219">
        <v>92.0</v>
      </c>
      <c r="AC122" s="129">
        <v>77.0</v>
      </c>
      <c r="AD122" s="129">
        <v>80.0</v>
      </c>
      <c r="AE122" s="130">
        <v>70.0</v>
      </c>
      <c r="AF122" s="129"/>
      <c r="AG122" s="129">
        <v>39.0</v>
      </c>
      <c r="AH122" s="129"/>
      <c r="AI122" s="88"/>
      <c r="AJ122" s="88"/>
      <c r="AK122" s="132">
        <f t="shared" si="1"/>
        <v>4</v>
      </c>
      <c r="AL122" s="132">
        <f t="shared" si="2"/>
        <v>1</v>
      </c>
      <c r="AM122" s="133">
        <f t="shared" si="3"/>
        <v>2</v>
      </c>
      <c r="AN122" s="132" t="str">
        <f t="shared" si="4"/>
        <v>3.5</v>
      </c>
      <c r="AO122" s="132">
        <f t="shared" si="5"/>
        <v>3</v>
      </c>
      <c r="AP122" s="88"/>
    </row>
    <row r="123">
      <c r="A123" s="142">
        <v>119.0</v>
      </c>
      <c r="B123" s="220" t="s">
        <v>1415</v>
      </c>
      <c r="C123" s="221" t="s">
        <v>3535</v>
      </c>
      <c r="D123" s="209" t="str">
        <f>VLOOKUP(B123,USN!$1:$1088,2,False)</f>
        <v>1CR23IS123</v>
      </c>
      <c r="E123" s="227">
        <v>7.67618684E9</v>
      </c>
      <c r="F123" s="222" t="s">
        <v>3706</v>
      </c>
      <c r="G123" s="88"/>
      <c r="H123" s="223">
        <v>93.0</v>
      </c>
      <c r="I123" s="211">
        <v>92.0</v>
      </c>
      <c r="J123" s="211">
        <f>VLOOKUP(D123,'L3'!$1:$2060,2,False)</f>
        <v>74</v>
      </c>
      <c r="K123" s="211">
        <f>VLOOKUP(D123,'L4'!$1:$2059,2,False)</f>
        <v>78</v>
      </c>
      <c r="L123" s="212">
        <f>VLOOKUP(D123,'A1 RETEST 5 DEC'!$1:$2096,2,FALSE)</f>
        <v>50</v>
      </c>
      <c r="M123" s="213">
        <f>VLOOKUP(D123,'A2 RETEST 4 DEC'!$1:$2096,2,False)</f>
        <v>60</v>
      </c>
      <c r="N123" s="213">
        <v>75.0</v>
      </c>
      <c r="O123" s="212"/>
      <c r="P123" s="214">
        <f>IFNA(VLOOKUP(D123,'S1'!$1:$2000,2,False),0)</f>
        <v>81</v>
      </c>
      <c r="Q123" s="214">
        <f>vlookup(D123,'S2'!A119:B1321,2,0)</f>
        <v>50</v>
      </c>
      <c r="R123" s="214">
        <f>ifna(vlookup(D123,'S3'!$1:$1311,2,False),0)</f>
        <v>86</v>
      </c>
      <c r="S123" s="214"/>
      <c r="T123" s="215">
        <v>19.0</v>
      </c>
      <c r="U123" s="215">
        <v>23.0</v>
      </c>
      <c r="V123" s="215">
        <v>48.0</v>
      </c>
      <c r="W123" s="215">
        <v>76.0</v>
      </c>
      <c r="X123" s="216">
        <v>84.0</v>
      </c>
      <c r="Y123" s="215"/>
      <c r="Z123" s="224"/>
      <c r="AA123" s="218">
        <v>100.0</v>
      </c>
      <c r="AB123" s="219">
        <v>100.0</v>
      </c>
      <c r="AC123" s="129">
        <v>80.0</v>
      </c>
      <c r="AD123" s="129">
        <v>94.0</v>
      </c>
      <c r="AE123" s="130">
        <v>70.0</v>
      </c>
      <c r="AF123" s="129"/>
      <c r="AG123" s="129">
        <v>43.0</v>
      </c>
      <c r="AH123" s="129"/>
      <c r="AI123" s="88"/>
      <c r="AJ123" s="88"/>
      <c r="AK123" s="132">
        <f t="shared" si="1"/>
        <v>4</v>
      </c>
      <c r="AL123" s="132">
        <f t="shared" si="2"/>
        <v>3</v>
      </c>
      <c r="AM123" s="133">
        <f t="shared" si="3"/>
        <v>3</v>
      </c>
      <c r="AN123" s="132" t="str">
        <f t="shared" si="4"/>
        <v>3.5</v>
      </c>
      <c r="AO123" s="132">
        <f t="shared" si="5"/>
        <v>3</v>
      </c>
      <c r="AP123" s="88"/>
    </row>
    <row r="124">
      <c r="A124" s="142">
        <v>120.0</v>
      </c>
      <c r="B124" s="220" t="s">
        <v>1455</v>
      </c>
      <c r="C124" s="221" t="s">
        <v>3536</v>
      </c>
      <c r="D124" s="209" t="str">
        <f>VLOOKUP(B124,USN!$1:$1088,2,False)</f>
        <v>1CR23IS124</v>
      </c>
      <c r="E124" s="222">
        <v>7.654193333E9</v>
      </c>
      <c r="F124" s="222" t="s">
        <v>3706</v>
      </c>
      <c r="G124" s="88"/>
      <c r="H124" s="223">
        <v>77.0</v>
      </c>
      <c r="I124" s="211">
        <v>88.0</v>
      </c>
      <c r="J124" s="211">
        <f>VLOOKUP(D124,'L3'!$1:$2060,2,False)</f>
        <v>80</v>
      </c>
      <c r="K124" s="211">
        <f>VLOOKUP(D124,'L4'!$1:$2059,2,False)</f>
        <v>76</v>
      </c>
      <c r="L124" s="212">
        <f>VLOOKUP(D124,'A1 RETEST 5 DEC'!$1:$2096,2,FALSE)</f>
        <v>72</v>
      </c>
      <c r="M124" s="213">
        <f>VLOOKUP(D124,'A2 RETEST 4 DEC'!$1:$2096,2,False)</f>
        <v>61</v>
      </c>
      <c r="N124" s="213">
        <v>82.0</v>
      </c>
      <c r="O124" s="212"/>
      <c r="P124" s="214">
        <f>IFNA(VLOOKUP(D124,'S1'!$1:$2000,2,False),0)</f>
        <v>82</v>
      </c>
      <c r="Q124" s="214">
        <f>vlookup(D124,'S2'!A120:B1322,2,0)</f>
        <v>90</v>
      </c>
      <c r="R124" s="214">
        <f>ifna(vlookup(D124,'S3'!$1:$1311,2,False),0)</f>
        <v>90</v>
      </c>
      <c r="S124" s="214"/>
      <c r="T124" s="215">
        <v>13.0</v>
      </c>
      <c r="U124" s="215">
        <v>23.0</v>
      </c>
      <c r="V124" s="215">
        <v>46.0</v>
      </c>
      <c r="W124" s="215">
        <v>72.0</v>
      </c>
      <c r="X124" s="216">
        <v>84.0</v>
      </c>
      <c r="Y124" s="215"/>
      <c r="Z124" s="217"/>
      <c r="AA124" s="218">
        <v>80.0</v>
      </c>
      <c r="AB124" s="219">
        <v>100.0</v>
      </c>
      <c r="AC124" s="129">
        <v>80.0</v>
      </c>
      <c r="AD124" s="129">
        <v>84.0</v>
      </c>
      <c r="AE124" s="130">
        <v>84.0</v>
      </c>
      <c r="AF124" s="129"/>
      <c r="AG124" s="129">
        <v>84.0</v>
      </c>
      <c r="AH124" s="129"/>
      <c r="AI124" s="88"/>
      <c r="AJ124" s="88"/>
      <c r="AK124" s="132">
        <f t="shared" si="1"/>
        <v>4</v>
      </c>
      <c r="AL124" s="132">
        <f t="shared" si="2"/>
        <v>3</v>
      </c>
      <c r="AM124" s="133">
        <f t="shared" si="3"/>
        <v>3</v>
      </c>
      <c r="AN124" s="132" t="str">
        <f t="shared" si="4"/>
        <v>3.5</v>
      </c>
      <c r="AO124" s="132">
        <f t="shared" si="5"/>
        <v>3</v>
      </c>
      <c r="AP124" s="88"/>
    </row>
    <row r="125">
      <c r="A125" s="142">
        <v>121.0</v>
      </c>
      <c r="B125" s="229" t="s">
        <v>1480</v>
      </c>
      <c r="C125" s="221" t="s">
        <v>3537</v>
      </c>
      <c r="D125" s="209" t="str">
        <f>VLOOKUP(B125,USN!$1:$1088,2,False)</f>
        <v>1CR23IS125</v>
      </c>
      <c r="E125" s="227">
        <v>9.980521408E9</v>
      </c>
      <c r="F125" s="222" t="s">
        <v>3706</v>
      </c>
      <c r="G125" s="88"/>
      <c r="H125" s="223">
        <v>73.0</v>
      </c>
      <c r="I125" s="211">
        <v>78.0</v>
      </c>
      <c r="J125" s="211">
        <f>VLOOKUP(D125,'L3'!$1:$2060,2,False)</f>
        <v>83</v>
      </c>
      <c r="K125" s="211">
        <f>VLOOKUP(D125,'L4'!$1:$2059,2,False)</f>
        <v>73</v>
      </c>
      <c r="L125" s="212">
        <f>VLOOKUP(D125,'A1 RETEST 5 DEC'!$1:$2096,2,FALSE)</f>
        <v>50</v>
      </c>
      <c r="M125" s="213">
        <f>VLOOKUP(D125,'A2 RETEST 4 DEC'!$1:$2096,2,False)</f>
        <v>66</v>
      </c>
      <c r="N125" s="213">
        <v>75.0</v>
      </c>
      <c r="O125" s="212"/>
      <c r="P125" s="214">
        <f>IFNA(VLOOKUP(D125,'S1'!$1:$2000,2,False),0)</f>
        <v>50</v>
      </c>
      <c r="Q125" s="214">
        <f>vlookup(D125,'S2'!A121:B1323,2,0)</f>
        <v>81</v>
      </c>
      <c r="R125" s="214">
        <f>ifna(vlookup(D125,'S3'!$1:$1311,2,False),0)</f>
        <v>93</v>
      </c>
      <c r="S125" s="214"/>
      <c r="T125" s="215">
        <v>11.0</v>
      </c>
      <c r="U125" s="215">
        <v>24.0</v>
      </c>
      <c r="V125" s="215">
        <v>46.0</v>
      </c>
      <c r="W125" s="215">
        <v>72.0</v>
      </c>
      <c r="X125" s="216">
        <v>84.0</v>
      </c>
      <c r="Y125" s="215"/>
      <c r="Z125" s="217"/>
      <c r="AA125" s="218">
        <v>60.0</v>
      </c>
      <c r="AB125" s="219">
        <v>100.0</v>
      </c>
      <c r="AC125" s="129">
        <v>77.0</v>
      </c>
      <c r="AD125" s="129">
        <v>84.0</v>
      </c>
      <c r="AE125" s="130">
        <v>70.0</v>
      </c>
      <c r="AF125" s="129"/>
      <c r="AG125" s="129">
        <v>77.0</v>
      </c>
      <c r="AH125" s="129"/>
      <c r="AI125" s="88"/>
      <c r="AJ125" s="88"/>
      <c r="AK125" s="132">
        <f t="shared" si="1"/>
        <v>4</v>
      </c>
      <c r="AL125" s="132">
        <f t="shared" si="2"/>
        <v>3</v>
      </c>
      <c r="AM125" s="133">
        <f t="shared" si="3"/>
        <v>3</v>
      </c>
      <c r="AN125" s="132" t="str">
        <f t="shared" si="4"/>
        <v>3.5</v>
      </c>
      <c r="AO125" s="132">
        <f t="shared" si="5"/>
        <v>3</v>
      </c>
      <c r="AP125" s="88"/>
    </row>
    <row r="126">
      <c r="A126" s="142">
        <v>122.0</v>
      </c>
      <c r="B126" s="220" t="s">
        <v>1548</v>
      </c>
      <c r="C126" s="221" t="s">
        <v>2594</v>
      </c>
      <c r="D126" s="209" t="str">
        <f>VLOOKUP(B126,USN!$1:$1088,2,False)</f>
        <v>1CR23IS126</v>
      </c>
      <c r="E126" s="234">
        <v>7.406627406E9</v>
      </c>
      <c r="F126" s="234" t="s">
        <v>3706</v>
      </c>
      <c r="G126" s="88"/>
      <c r="H126" s="210">
        <v>75.0</v>
      </c>
      <c r="I126" s="211">
        <v>70.0</v>
      </c>
      <c r="J126" s="211">
        <f>VLOOKUP(D126,'L3'!$1:$2060,2,False)</f>
        <v>70</v>
      </c>
      <c r="K126" s="211">
        <f>VLOOKUP(D126,'L4'!$1:$2059,2,False)</f>
        <v>70</v>
      </c>
      <c r="L126" s="212">
        <f>VLOOKUP(D126,'A1 RETEST 5 DEC'!$1:$2096,2,FALSE)</f>
        <v>50</v>
      </c>
      <c r="M126" s="213">
        <f>VLOOKUP(D126,'A2 RETEST 4 DEC'!$1:$2096,2,False)</f>
        <v>50</v>
      </c>
      <c r="N126" s="213">
        <v>65.0</v>
      </c>
      <c r="O126" s="212"/>
      <c r="P126" s="214">
        <f>IFNA(VLOOKUP(D126,'S1'!$1:$2000,2,False),0)</f>
        <v>68</v>
      </c>
      <c r="Q126" s="214">
        <f>vlookup(D126,'S2'!A122:B1324,2,0)</f>
        <v>50</v>
      </c>
      <c r="R126" s="214">
        <f>ifna(vlookup(D126,'S3'!$1:$1311,2,False),0)</f>
        <v>75</v>
      </c>
      <c r="S126" s="214"/>
      <c r="T126" s="215">
        <v>11.0</v>
      </c>
      <c r="U126" s="215">
        <v>23.0</v>
      </c>
      <c r="V126" s="215"/>
      <c r="W126" s="215">
        <v>60.0</v>
      </c>
      <c r="X126" s="216">
        <v>68.0</v>
      </c>
      <c r="Y126" s="215"/>
      <c r="Z126" s="217"/>
      <c r="AA126" s="218">
        <v>14.0</v>
      </c>
      <c r="AB126" s="219">
        <v>96.0</v>
      </c>
      <c r="AC126" s="129">
        <v>69.0</v>
      </c>
      <c r="AD126" s="129">
        <v>85.0</v>
      </c>
      <c r="AE126" s="130">
        <v>70.0</v>
      </c>
      <c r="AF126" s="129"/>
      <c r="AG126" s="129">
        <v>12.0</v>
      </c>
      <c r="AH126" s="129"/>
      <c r="AI126" s="88"/>
      <c r="AJ126" s="88"/>
      <c r="AK126" s="132">
        <f t="shared" si="1"/>
        <v>4</v>
      </c>
      <c r="AL126" s="132">
        <f t="shared" si="2"/>
        <v>3</v>
      </c>
      <c r="AM126" s="133">
        <f t="shared" si="3"/>
        <v>3</v>
      </c>
      <c r="AN126" s="132" t="str">
        <f t="shared" si="4"/>
        <v>3.5</v>
      </c>
      <c r="AO126" s="132">
        <f t="shared" si="5"/>
        <v>3</v>
      </c>
      <c r="AP126" s="88"/>
    </row>
    <row r="127">
      <c r="A127" s="142">
        <v>123.0</v>
      </c>
      <c r="B127" s="220" t="s">
        <v>1456</v>
      </c>
      <c r="C127" s="221" t="s">
        <v>3538</v>
      </c>
      <c r="D127" s="209" t="str">
        <f>VLOOKUP(B127,USN!$1:$1088,2,False)</f>
        <v>1CR23IS127</v>
      </c>
      <c r="E127" s="222">
        <v>7.204320427E9</v>
      </c>
      <c r="F127" s="222" t="s">
        <v>3706</v>
      </c>
      <c r="G127" s="88"/>
      <c r="H127" s="223">
        <v>71.0</v>
      </c>
      <c r="I127" s="211">
        <v>82.0</v>
      </c>
      <c r="J127" s="211">
        <f>VLOOKUP(D127,'L3'!$1:$2060,2,False)</f>
        <v>71</v>
      </c>
      <c r="K127" s="211">
        <f>VLOOKUP(D127,'L4'!$1:$2059,2,False)</f>
        <v>70</v>
      </c>
      <c r="L127" s="212">
        <f>VLOOKUP(D127,'A1 RETEST 5 DEC'!$1:$2096,2,FALSE)</f>
        <v>50</v>
      </c>
      <c r="M127" s="213">
        <f>VLOOKUP(D127,'A2 RETEST 4 DEC'!$1:$2096,2,False)</f>
        <v>30</v>
      </c>
      <c r="N127" s="213">
        <v>64.0</v>
      </c>
      <c r="O127" s="212"/>
      <c r="P127" s="214">
        <f>IFNA(VLOOKUP(D127,'S1'!$1:$2000,2,False),0)</f>
        <v>50</v>
      </c>
      <c r="Q127" s="214">
        <f>vlookup(D127,'S2'!A123:B1325,2,0)</f>
        <v>84</v>
      </c>
      <c r="R127" s="214">
        <f>ifna(vlookup(D127,'S3'!$1:$1311,2,False),0)</f>
        <v>72</v>
      </c>
      <c r="S127" s="214"/>
      <c r="T127" s="215">
        <v>14.0</v>
      </c>
      <c r="U127" s="215">
        <v>24.0</v>
      </c>
      <c r="V127" s="215">
        <v>36.0</v>
      </c>
      <c r="W127" s="215">
        <v>56.0</v>
      </c>
      <c r="X127" s="216">
        <v>80.0</v>
      </c>
      <c r="Y127" s="215"/>
      <c r="Z127" s="217"/>
      <c r="AA127" s="218">
        <v>40.0</v>
      </c>
      <c r="AB127" s="219">
        <v>92.0</v>
      </c>
      <c r="AC127" s="129">
        <v>37.0</v>
      </c>
      <c r="AD127" s="129">
        <v>60.0</v>
      </c>
      <c r="AE127" s="130">
        <v>56.0</v>
      </c>
      <c r="AF127" s="129"/>
      <c r="AG127" s="129">
        <v>49.0</v>
      </c>
      <c r="AH127" s="129"/>
      <c r="AI127" s="88"/>
      <c r="AJ127" s="88"/>
      <c r="AK127" s="132">
        <f t="shared" si="1"/>
        <v>4</v>
      </c>
      <c r="AL127" s="132">
        <f t="shared" si="2"/>
        <v>1</v>
      </c>
      <c r="AM127" s="133">
        <f t="shared" si="3"/>
        <v>3</v>
      </c>
      <c r="AN127" s="132" t="str">
        <f t="shared" si="4"/>
        <v>3</v>
      </c>
      <c r="AO127" s="132">
        <f t="shared" si="5"/>
        <v>3</v>
      </c>
      <c r="AP127" s="88"/>
    </row>
    <row r="128">
      <c r="A128" s="142">
        <v>124.0</v>
      </c>
      <c r="B128" s="220" t="s">
        <v>1457</v>
      </c>
      <c r="C128" s="221" t="s">
        <v>3539</v>
      </c>
      <c r="D128" s="209" t="str">
        <f>VLOOKUP(B128,USN!$1:$1088,2,False)</f>
        <v>1CR23IS128</v>
      </c>
      <c r="E128" s="222">
        <v>8.073496814E9</v>
      </c>
      <c r="F128" s="222" t="s">
        <v>3706</v>
      </c>
      <c r="G128" s="88"/>
      <c r="H128" s="223">
        <v>74.0</v>
      </c>
      <c r="I128" s="211">
        <v>78.0</v>
      </c>
      <c r="J128" s="211">
        <f>VLOOKUP(D128,'L3'!$1:$2060,2,False)</f>
        <v>70</v>
      </c>
      <c r="K128" s="211">
        <f>VLOOKUP(D128,'L4'!$1:$2059,2,False)</f>
        <v>70</v>
      </c>
      <c r="L128" s="212">
        <f>VLOOKUP(D128,'A1 RETEST 5 DEC'!$1:$2096,2,FALSE)</f>
        <v>50</v>
      </c>
      <c r="M128" s="213">
        <f>VLOOKUP(D128,'A2 RETEST 4 DEC'!$1:$2096,2,False)</f>
        <v>23</v>
      </c>
      <c r="N128" s="213">
        <v>62.0</v>
      </c>
      <c r="O128" s="212"/>
      <c r="P128" s="214">
        <f>IFNA(VLOOKUP(D128,'S1'!$1:$2000,2,False),0)</f>
        <v>79</v>
      </c>
      <c r="Q128" s="214">
        <f>vlookup(D128,'S2'!A124:B1326,2,0)</f>
        <v>50</v>
      </c>
      <c r="R128" s="214">
        <f>ifna(vlookup(D128,'S3'!$1:$1311,2,False),0)</f>
        <v>75</v>
      </c>
      <c r="S128" s="214"/>
      <c r="T128" s="215">
        <v>10.0</v>
      </c>
      <c r="U128" s="215">
        <v>20.0</v>
      </c>
      <c r="V128" s="215">
        <v>46.0</v>
      </c>
      <c r="W128" s="215">
        <v>56.0</v>
      </c>
      <c r="X128" s="216">
        <v>72.0</v>
      </c>
      <c r="Y128" s="215"/>
      <c r="Z128" s="217"/>
      <c r="AA128" s="218">
        <v>58.0</v>
      </c>
      <c r="AB128" s="219">
        <v>93.0</v>
      </c>
      <c r="AC128" s="129">
        <v>62.0</v>
      </c>
      <c r="AD128" s="129">
        <v>75.0</v>
      </c>
      <c r="AE128" s="130">
        <v>89.0</v>
      </c>
      <c r="AF128" s="129"/>
      <c r="AG128" s="129">
        <v>72.0</v>
      </c>
      <c r="AH128" s="129"/>
      <c r="AI128" s="88"/>
      <c r="AJ128" s="88"/>
      <c r="AK128" s="132">
        <f t="shared" si="1"/>
        <v>4</v>
      </c>
      <c r="AL128" s="132">
        <f t="shared" si="2"/>
        <v>1</v>
      </c>
      <c r="AM128" s="133">
        <f t="shared" si="3"/>
        <v>3</v>
      </c>
      <c r="AN128" s="132" t="str">
        <f t="shared" si="4"/>
        <v>3.5</v>
      </c>
      <c r="AO128" s="132">
        <f t="shared" si="5"/>
        <v>3</v>
      </c>
      <c r="AP128" s="88"/>
    </row>
    <row r="129">
      <c r="A129" s="142">
        <v>125.0</v>
      </c>
      <c r="B129" s="220" t="s">
        <v>1458</v>
      </c>
      <c r="C129" s="221" t="s">
        <v>3540</v>
      </c>
      <c r="D129" s="209" t="str">
        <f>VLOOKUP(B129,USN!$1:$1088,2,False)</f>
        <v>1CR23IS129</v>
      </c>
      <c r="E129" s="222">
        <v>9.91628922E9</v>
      </c>
      <c r="F129" s="222" t="s">
        <v>3706</v>
      </c>
      <c r="G129" s="88"/>
      <c r="H129" s="223">
        <v>71.0</v>
      </c>
      <c r="I129" s="211">
        <v>80.0</v>
      </c>
      <c r="J129" s="211">
        <f>VLOOKUP(D129,'L3'!$1:$2060,2,False)</f>
        <v>73</v>
      </c>
      <c r="K129" s="211">
        <f>VLOOKUP(D129,'L4'!$1:$2059,2,False)</f>
        <v>77</v>
      </c>
      <c r="L129" s="212">
        <f>VLOOKUP(D129,'A1 RETEST 5 DEC'!$1:$2096,2,FALSE)</f>
        <v>50</v>
      </c>
      <c r="M129" s="213">
        <f>VLOOKUP(D129,'A2 RETEST 4 DEC'!$1:$2096,2,False)</f>
        <v>29</v>
      </c>
      <c r="N129" s="213">
        <v>50.0</v>
      </c>
      <c r="O129" s="212"/>
      <c r="P129" s="214">
        <f>IFNA(VLOOKUP(D129,'S1'!$1:$2000,2,False),0)</f>
        <v>77</v>
      </c>
      <c r="Q129" s="214">
        <f>vlookup(D129,'S2'!A125:B1327,2,0)</f>
        <v>62</v>
      </c>
      <c r="R129" s="214">
        <f>ifna(vlookup(D129,'S3'!$1:$1311,2,False),0)</f>
        <v>86</v>
      </c>
      <c r="S129" s="214"/>
      <c r="T129" s="215">
        <v>16.0</v>
      </c>
      <c r="U129" s="215">
        <v>21.0</v>
      </c>
      <c r="V129" s="215">
        <v>48.0</v>
      </c>
      <c r="W129" s="215">
        <v>68.0</v>
      </c>
      <c r="X129" s="216">
        <v>88.0</v>
      </c>
      <c r="Y129" s="215"/>
      <c r="Z129" s="217"/>
      <c r="AA129" s="218">
        <v>36.0</v>
      </c>
      <c r="AB129" s="219">
        <v>76.0</v>
      </c>
      <c r="AC129" s="129">
        <v>62.0</v>
      </c>
      <c r="AD129" s="129">
        <v>75.0</v>
      </c>
      <c r="AE129" s="130">
        <v>72.0</v>
      </c>
      <c r="AF129" s="129"/>
      <c r="AG129" s="129">
        <v>72.0</v>
      </c>
      <c r="AH129" s="129"/>
      <c r="AI129" s="88"/>
      <c r="AJ129" s="88"/>
      <c r="AK129" s="132">
        <f t="shared" si="1"/>
        <v>4</v>
      </c>
      <c r="AL129" s="132">
        <f t="shared" si="2"/>
        <v>1</v>
      </c>
      <c r="AM129" s="133">
        <f t="shared" si="3"/>
        <v>3</v>
      </c>
      <c r="AN129" s="132" t="str">
        <f t="shared" si="4"/>
        <v>3.5</v>
      </c>
      <c r="AO129" s="132">
        <f t="shared" si="5"/>
        <v>3</v>
      </c>
      <c r="AP129" s="88"/>
    </row>
    <row r="130">
      <c r="A130" s="142">
        <v>126.0</v>
      </c>
      <c r="B130" s="220" t="s">
        <v>1459</v>
      </c>
      <c r="C130" s="221" t="s">
        <v>3541</v>
      </c>
      <c r="D130" s="209" t="str">
        <f>VLOOKUP(B130,USN!$1:$1088,2,False)</f>
        <v>1CR23IS130</v>
      </c>
      <c r="E130" s="222">
        <v>7.022902296E9</v>
      </c>
      <c r="F130" s="222" t="s">
        <v>3706</v>
      </c>
      <c r="G130" s="88"/>
      <c r="H130" s="223">
        <v>80.0</v>
      </c>
      <c r="I130" s="211">
        <v>93.0</v>
      </c>
      <c r="J130" s="211">
        <f>VLOOKUP(D130,'L3'!$1:$2060,2,False)</f>
        <v>83</v>
      </c>
      <c r="K130" s="211">
        <f>VLOOKUP(D130,'L4'!$1:$2059,2,False)</f>
        <v>84</v>
      </c>
      <c r="L130" s="212">
        <f>VLOOKUP(D130,'A1 RETEST 5 DEC'!$1:$2096,2,FALSE)</f>
        <v>55</v>
      </c>
      <c r="M130" s="213">
        <f>VLOOKUP(D130,'A2 RETEST 4 DEC'!$1:$2096,2,False)</f>
        <v>50</v>
      </c>
      <c r="N130" s="213">
        <v>60.0</v>
      </c>
      <c r="O130" s="212"/>
      <c r="P130" s="214">
        <f>IFNA(VLOOKUP(D130,'S1'!$1:$2000,2,False),0)</f>
        <v>50</v>
      </c>
      <c r="Q130" s="214">
        <f>vlookup(D130,'S2'!A126:B1328,2,0)</f>
        <v>81</v>
      </c>
      <c r="R130" s="214">
        <f>ifna(vlookup(D130,'S3'!$1:$1311,2,False),0)</f>
        <v>95</v>
      </c>
      <c r="S130" s="214"/>
      <c r="T130" s="215">
        <v>21.0</v>
      </c>
      <c r="U130" s="215">
        <v>24.0</v>
      </c>
      <c r="V130" s="215">
        <v>46.0</v>
      </c>
      <c r="W130" s="215">
        <v>72.0</v>
      </c>
      <c r="X130" s="216">
        <v>88.0</v>
      </c>
      <c r="Y130" s="215"/>
      <c r="Z130" s="217"/>
      <c r="AA130" s="218">
        <v>90.0</v>
      </c>
      <c r="AB130" s="219">
        <v>100.0</v>
      </c>
      <c r="AC130" s="129">
        <v>82.0</v>
      </c>
      <c r="AD130" s="129">
        <v>100.0</v>
      </c>
      <c r="AE130" s="130">
        <v>71.0</v>
      </c>
      <c r="AF130" s="129"/>
      <c r="AG130" s="129">
        <v>88.0</v>
      </c>
      <c r="AH130" s="129"/>
      <c r="AI130" s="88"/>
      <c r="AJ130" s="88"/>
      <c r="AK130" s="132">
        <f t="shared" si="1"/>
        <v>4</v>
      </c>
      <c r="AL130" s="132">
        <f t="shared" si="2"/>
        <v>3</v>
      </c>
      <c r="AM130" s="133">
        <f t="shared" si="3"/>
        <v>3</v>
      </c>
      <c r="AN130" s="132" t="str">
        <f t="shared" si="4"/>
        <v>3.5</v>
      </c>
      <c r="AO130" s="132">
        <f t="shared" si="5"/>
        <v>3</v>
      </c>
      <c r="AP130" s="88"/>
    </row>
    <row r="131">
      <c r="A131" s="142">
        <v>127.0</v>
      </c>
      <c r="B131" s="241" t="s">
        <v>1462</v>
      </c>
      <c r="C131" s="221" t="s">
        <v>3542</v>
      </c>
      <c r="D131" s="209" t="str">
        <f>VLOOKUP(B131,USN!$1:$1088,2,False)</f>
        <v>1CR23IS131</v>
      </c>
      <c r="E131" s="226">
        <v>8.867042036E9</v>
      </c>
      <c r="F131" s="222" t="s">
        <v>3706</v>
      </c>
      <c r="G131" s="88"/>
      <c r="H131" s="233">
        <v>70.0</v>
      </c>
      <c r="I131" s="211">
        <v>82.0</v>
      </c>
      <c r="J131" s="211">
        <f>VLOOKUP(D131,'L3'!$1:$2060,2,False)</f>
        <v>73</v>
      </c>
      <c r="K131" s="211">
        <f>VLOOKUP(D131,'L4'!$1:$2059,2,False)</f>
        <v>70</v>
      </c>
      <c r="L131" s="212">
        <f>VLOOKUP(D131,'A1 RETEST 5 DEC'!$1:$2096,2,FALSE)</f>
        <v>50</v>
      </c>
      <c r="M131" s="213">
        <f>VLOOKUP(D131,'A2 RETEST 4 DEC'!$1:$2096,2,False)</f>
        <v>37</v>
      </c>
      <c r="N131" s="213">
        <v>15.0</v>
      </c>
      <c r="O131" s="212"/>
      <c r="P131" s="214">
        <f>IFNA(VLOOKUP(D131,'S1'!$1:$2000,2,False),0)</f>
        <v>0</v>
      </c>
      <c r="Q131" s="214">
        <f>vlookup(D131,'S2'!A127:B1329,2,0)</f>
        <v>50</v>
      </c>
      <c r="R131" s="214">
        <f>ifna(vlookup(D131,'S3'!$1:$1311,2,False),0)</f>
        <v>76</v>
      </c>
      <c r="S131" s="214"/>
      <c r="T131" s="215">
        <v>10.0</v>
      </c>
      <c r="U131" s="215">
        <v>24.0</v>
      </c>
      <c r="V131" s="215">
        <v>46.0</v>
      </c>
      <c r="W131" s="215">
        <v>72.0</v>
      </c>
      <c r="X131" s="216">
        <v>76.0</v>
      </c>
      <c r="Y131" s="215"/>
      <c r="Z131" s="217"/>
      <c r="AA131" s="218">
        <v>30.0</v>
      </c>
      <c r="AB131" s="219">
        <v>89.0</v>
      </c>
      <c r="AC131" s="129">
        <v>52.0</v>
      </c>
      <c r="AD131" s="129">
        <v>100.0</v>
      </c>
      <c r="AE131" s="130">
        <v>15.0</v>
      </c>
      <c r="AF131" s="129"/>
      <c r="AG131" s="129">
        <v>42.0</v>
      </c>
      <c r="AH131" s="129"/>
      <c r="AI131" s="88"/>
      <c r="AJ131" s="88"/>
      <c r="AK131" s="132">
        <f t="shared" si="1"/>
        <v>4</v>
      </c>
      <c r="AL131" s="132">
        <f t="shared" si="2"/>
        <v>1</v>
      </c>
      <c r="AM131" s="133">
        <f t="shared" si="3"/>
        <v>3</v>
      </c>
      <c r="AN131" s="132" t="str">
        <f t="shared" si="4"/>
        <v>3</v>
      </c>
      <c r="AO131" s="132">
        <f t="shared" si="5"/>
        <v>0</v>
      </c>
      <c r="AP131" s="88"/>
    </row>
    <row r="132">
      <c r="A132" s="142">
        <v>128.0</v>
      </c>
      <c r="B132" s="220" t="s">
        <v>1463</v>
      </c>
      <c r="C132" s="221" t="s">
        <v>3543</v>
      </c>
      <c r="D132" s="209" t="str">
        <f>VLOOKUP(B132,USN!$1:$1088,2,False)</f>
        <v>1CR23IS132</v>
      </c>
      <c r="E132" s="226">
        <v>8.217281176E9</v>
      </c>
      <c r="F132" s="222" t="s">
        <v>3706</v>
      </c>
      <c r="G132" s="88"/>
      <c r="H132" s="210">
        <v>70.0</v>
      </c>
      <c r="I132" s="211">
        <v>75.0</v>
      </c>
      <c r="J132" s="211">
        <f>VLOOKUP(D132,'L3'!$1:$2060,2,False)</f>
        <v>70</v>
      </c>
      <c r="K132" s="211">
        <f>VLOOKUP(D132,'L4'!$1:$2059,2,False)</f>
        <v>72</v>
      </c>
      <c r="L132" s="212">
        <f>VLOOKUP(D132,'A1 RETEST 5 DEC'!$1:$2096,2,FALSE)</f>
        <v>50</v>
      </c>
      <c r="M132" s="213">
        <v>50.0</v>
      </c>
      <c r="N132" s="213">
        <v>50.0</v>
      </c>
      <c r="O132" s="212"/>
      <c r="P132" s="214">
        <f>IFNA(VLOOKUP(D132,'S1'!$1:$2000,2,False),0)</f>
        <v>80</v>
      </c>
      <c r="Q132" s="214">
        <f>vlookup(D132,'S2'!A128:B1330,2,0)</f>
        <v>82</v>
      </c>
      <c r="R132" s="214">
        <f>ifna(vlookup(D132,'S3'!$1:$1311,2,False),0)</f>
        <v>88</v>
      </c>
      <c r="S132" s="214"/>
      <c r="T132" s="215">
        <v>12.0</v>
      </c>
      <c r="U132" s="215">
        <v>20.0</v>
      </c>
      <c r="V132" s="215">
        <v>46.0</v>
      </c>
      <c r="W132" s="215">
        <v>72.0</v>
      </c>
      <c r="X132" s="216">
        <v>72.0</v>
      </c>
      <c r="Y132" s="215"/>
      <c r="Z132" s="217"/>
      <c r="AA132" s="218">
        <v>72.0</v>
      </c>
      <c r="AB132" s="219">
        <v>74.0</v>
      </c>
      <c r="AC132" s="129">
        <v>77.0</v>
      </c>
      <c r="AD132" s="129">
        <v>100.0</v>
      </c>
      <c r="AE132" s="130">
        <v>72.0</v>
      </c>
      <c r="AF132" s="129"/>
      <c r="AG132" s="129">
        <v>78.0</v>
      </c>
      <c r="AH132" s="129"/>
      <c r="AI132" s="88"/>
      <c r="AJ132" s="88"/>
      <c r="AK132" s="132">
        <f t="shared" si="1"/>
        <v>4</v>
      </c>
      <c r="AL132" s="132">
        <f t="shared" si="2"/>
        <v>3</v>
      </c>
      <c r="AM132" s="133">
        <f t="shared" si="3"/>
        <v>3</v>
      </c>
      <c r="AN132" s="132" t="str">
        <f t="shared" si="4"/>
        <v>3.5</v>
      </c>
      <c r="AO132" s="132">
        <f t="shared" si="5"/>
        <v>3</v>
      </c>
      <c r="AP132" s="88"/>
    </row>
    <row r="133">
      <c r="A133" s="142">
        <v>129.0</v>
      </c>
      <c r="B133" s="220" t="s">
        <v>1469</v>
      </c>
      <c r="C133" s="221" t="s">
        <v>3544</v>
      </c>
      <c r="D133" s="209" t="str">
        <f>VLOOKUP(B133,USN!$1:$1088,2,False)</f>
        <v>1CR23IS133</v>
      </c>
      <c r="E133" s="227">
        <v>8.904467535E9</v>
      </c>
      <c r="F133" s="222" t="s">
        <v>3706</v>
      </c>
      <c r="G133" s="88"/>
      <c r="H133" s="210">
        <v>72.0</v>
      </c>
      <c r="I133" s="211">
        <v>85.0</v>
      </c>
      <c r="J133" s="211">
        <f>VLOOKUP(D133,'L3'!$1:$2060,2,False)</f>
        <v>74</v>
      </c>
      <c r="K133" s="211">
        <f>VLOOKUP(D133,'L4'!$1:$2059,2,False)</f>
        <v>70</v>
      </c>
      <c r="L133" s="212">
        <f>VLOOKUP(D133,'A1 RETEST 5 DEC'!$1:$2096,2,FALSE)</f>
        <v>50</v>
      </c>
      <c r="M133" s="213">
        <f>VLOOKUP(D133,'A2 RETEST 4 DEC'!$1:$2096,2,False)</f>
        <v>50</v>
      </c>
      <c r="N133" s="213">
        <v>50.0</v>
      </c>
      <c r="O133" s="212"/>
      <c r="P133" s="214">
        <f>IFNA(VLOOKUP(D133,'S1'!$1:$2000,2,False),0)</f>
        <v>81</v>
      </c>
      <c r="Q133" s="214">
        <f>vlookup(D133,'S2'!A129:B1331,2,0)</f>
        <v>81</v>
      </c>
      <c r="R133" s="214">
        <f>ifna(vlookup(D133,'S3'!$1:$1311,2,False),0)</f>
        <v>85</v>
      </c>
      <c r="S133" s="214"/>
      <c r="T133" s="215">
        <v>11.0</v>
      </c>
      <c r="U133" s="215">
        <v>23.0</v>
      </c>
      <c r="V133" s="215">
        <v>42.0</v>
      </c>
      <c r="W133" s="215">
        <v>68.0</v>
      </c>
      <c r="X133" s="216">
        <v>80.0</v>
      </c>
      <c r="Y133" s="215"/>
      <c r="Z133" s="217"/>
      <c r="AA133" s="218">
        <v>46.0</v>
      </c>
      <c r="AB133" s="219">
        <v>92.0</v>
      </c>
      <c r="AC133" s="129">
        <v>80.0</v>
      </c>
      <c r="AD133" s="129">
        <v>80.0</v>
      </c>
      <c r="AE133" s="130">
        <v>70.0</v>
      </c>
      <c r="AF133" s="129"/>
      <c r="AG133" s="129">
        <v>75.0</v>
      </c>
      <c r="AH133" s="129"/>
      <c r="AI133" s="88"/>
      <c r="AJ133" s="88"/>
      <c r="AK133" s="132">
        <f t="shared" si="1"/>
        <v>4</v>
      </c>
      <c r="AL133" s="132">
        <f t="shared" si="2"/>
        <v>3</v>
      </c>
      <c r="AM133" s="133">
        <f t="shared" si="3"/>
        <v>3</v>
      </c>
      <c r="AN133" s="132" t="str">
        <f t="shared" si="4"/>
        <v>3.5</v>
      </c>
      <c r="AO133" s="132">
        <f t="shared" si="5"/>
        <v>3</v>
      </c>
      <c r="AP133" s="88"/>
    </row>
    <row r="134">
      <c r="A134" s="142">
        <v>130.0</v>
      </c>
      <c r="B134" s="242" t="s">
        <v>1413</v>
      </c>
      <c r="C134" s="221" t="s">
        <v>3545</v>
      </c>
      <c r="D134" s="209" t="str">
        <f>VLOOKUP(B134,USN!$1:$1088,2,False)</f>
        <v>1CR23IS134</v>
      </c>
      <c r="E134" s="227">
        <v>9.019296849E9</v>
      </c>
      <c r="F134" s="222" t="s">
        <v>3706</v>
      </c>
      <c r="G134" s="88"/>
      <c r="H134" s="233">
        <v>70.0</v>
      </c>
      <c r="I134" s="211">
        <v>87.0</v>
      </c>
      <c r="J134" s="211">
        <f>VLOOKUP(D134,'L3'!$1:$2060,2,False)</f>
        <v>70</v>
      </c>
      <c r="K134" s="211">
        <f>VLOOKUP(D134,'L4'!$1:$2059,2,False)</f>
        <v>71</v>
      </c>
      <c r="L134" s="212">
        <f>VLOOKUP(D134,'A1 RETEST 5 DEC'!$1:$2096,2,FALSE)</f>
        <v>50</v>
      </c>
      <c r="M134" s="213">
        <f>VLOOKUP(D134,'A2 RETEST 4 DEC'!$1:$2096,2,False)</f>
        <v>58</v>
      </c>
      <c r="N134" s="213">
        <v>50.0</v>
      </c>
      <c r="O134" s="212"/>
      <c r="P134" s="214">
        <f>IFNA(VLOOKUP(D134,'S1'!$1:$2000,2,False),0)</f>
        <v>82</v>
      </c>
      <c r="Q134" s="214">
        <f>vlookup(D134,'S2'!A130:B1332,2,0)</f>
        <v>58</v>
      </c>
      <c r="R134" s="214">
        <f>ifna(vlookup(D134,'S3'!$1:$1311,2,False),0)</f>
        <v>81</v>
      </c>
      <c r="S134" s="214"/>
      <c r="T134" s="215">
        <v>18.0</v>
      </c>
      <c r="U134" s="215">
        <v>22.0</v>
      </c>
      <c r="V134" s="215">
        <v>42.0</v>
      </c>
      <c r="W134" s="215">
        <v>40.0</v>
      </c>
      <c r="X134" s="216">
        <v>76.0</v>
      </c>
      <c r="Y134" s="215"/>
      <c r="Z134" s="224"/>
      <c r="AA134" s="218">
        <v>66.0</v>
      </c>
      <c r="AB134" s="219">
        <v>70.0</v>
      </c>
      <c r="AC134" s="129">
        <v>52.0</v>
      </c>
      <c r="AD134" s="129">
        <v>60.0</v>
      </c>
      <c r="AE134" s="130">
        <v>80.0</v>
      </c>
      <c r="AF134" s="129"/>
      <c r="AG134" s="129">
        <v>62.0</v>
      </c>
      <c r="AH134" s="129"/>
      <c r="AI134" s="88"/>
      <c r="AJ134" s="88"/>
      <c r="AK134" s="132">
        <f t="shared" si="1"/>
        <v>4</v>
      </c>
      <c r="AL134" s="132">
        <f t="shared" si="2"/>
        <v>3</v>
      </c>
      <c r="AM134" s="133">
        <f t="shared" si="3"/>
        <v>2</v>
      </c>
      <c r="AN134" s="132" t="str">
        <f t="shared" si="4"/>
        <v>3.5</v>
      </c>
      <c r="AO134" s="132">
        <f t="shared" si="5"/>
        <v>3</v>
      </c>
      <c r="AP134" s="88"/>
    </row>
    <row r="135">
      <c r="A135" s="142">
        <v>131.0</v>
      </c>
      <c r="B135" s="229" t="s">
        <v>1476</v>
      </c>
      <c r="C135" s="221" t="s">
        <v>3546</v>
      </c>
      <c r="D135" s="209" t="str">
        <f>VLOOKUP(B135,USN!$1:$1088,2,False)</f>
        <v>1CR23IS135</v>
      </c>
      <c r="E135" s="227">
        <v>9.113636488E9</v>
      </c>
      <c r="F135" s="222" t="s">
        <v>3706</v>
      </c>
      <c r="G135" s="88"/>
      <c r="H135" s="210">
        <v>81.0</v>
      </c>
      <c r="I135" s="211">
        <v>91.0</v>
      </c>
      <c r="J135" s="211">
        <f>VLOOKUP(D135,'L3'!$1:$2060,2,False)</f>
        <v>70</v>
      </c>
      <c r="K135" s="211">
        <f>VLOOKUP(D135,'L4'!$1:$2059,2,False)</f>
        <v>79</v>
      </c>
      <c r="L135" s="212">
        <f>VLOOKUP(D135,'A1 RETEST 5 DEC'!$1:$2096,2,FALSE)</f>
        <v>54</v>
      </c>
      <c r="M135" s="213">
        <f>VLOOKUP(D135,'A2 RETEST 4 DEC'!$1:$2096,2,False)</f>
        <v>50</v>
      </c>
      <c r="N135" s="213">
        <v>45.0</v>
      </c>
      <c r="O135" s="212"/>
      <c r="P135" s="214">
        <f>IFNA(VLOOKUP(D135,'S1'!$1:$2000,2,False),0)</f>
        <v>86</v>
      </c>
      <c r="Q135" s="214">
        <f>vlookup(D135,'S2'!A131:B1333,2,0)</f>
        <v>81</v>
      </c>
      <c r="R135" s="214">
        <f>ifna(vlookup(D135,'S3'!$1:$1311,2,False),0)</f>
        <v>90</v>
      </c>
      <c r="S135" s="214"/>
      <c r="T135" s="215">
        <v>10.0</v>
      </c>
      <c r="U135" s="215">
        <v>24.0</v>
      </c>
      <c r="V135" s="215">
        <v>46.0</v>
      </c>
      <c r="W135" s="215">
        <v>64.0</v>
      </c>
      <c r="X135" s="216">
        <v>84.0</v>
      </c>
      <c r="Y135" s="215"/>
      <c r="Z135" s="217"/>
      <c r="AA135" s="218">
        <v>18.8</v>
      </c>
      <c r="AB135" s="219">
        <v>100.0</v>
      </c>
      <c r="AC135" s="129">
        <v>72.0</v>
      </c>
      <c r="AD135" s="129">
        <v>100.0</v>
      </c>
      <c r="AE135" s="130">
        <v>72.0</v>
      </c>
      <c r="AF135" s="129"/>
      <c r="AG135" s="129">
        <v>89.0</v>
      </c>
      <c r="AH135" s="129"/>
      <c r="AI135" s="88"/>
      <c r="AJ135" s="88"/>
      <c r="AK135" s="132">
        <f t="shared" si="1"/>
        <v>4</v>
      </c>
      <c r="AL135" s="132">
        <f t="shared" si="2"/>
        <v>2</v>
      </c>
      <c r="AM135" s="133">
        <f t="shared" si="3"/>
        <v>3</v>
      </c>
      <c r="AN135" s="132" t="str">
        <f t="shared" si="4"/>
        <v>3.5</v>
      </c>
      <c r="AO135" s="132">
        <f t="shared" si="5"/>
        <v>3</v>
      </c>
      <c r="AP135" s="88"/>
    </row>
    <row r="136">
      <c r="A136" s="142">
        <v>132.0</v>
      </c>
      <c r="B136" s="220" t="s">
        <v>1489</v>
      </c>
      <c r="C136" s="221" t="s">
        <v>3547</v>
      </c>
      <c r="D136" s="209" t="str">
        <f>VLOOKUP(B136,USN!$1:$1088,2,False)</f>
        <v>1CR23IS136</v>
      </c>
      <c r="E136" s="222">
        <v>8.210222611E9</v>
      </c>
      <c r="F136" s="222" t="s">
        <v>3706</v>
      </c>
      <c r="G136" s="88"/>
      <c r="H136" s="210">
        <v>75.0</v>
      </c>
      <c r="I136" s="211">
        <v>88.0</v>
      </c>
      <c r="J136" s="211">
        <f>VLOOKUP(D136,'L3'!$1:$2060,2,False)</f>
        <v>77</v>
      </c>
      <c r="K136" s="211">
        <f>VLOOKUP(D136,'L4'!$1:$2059,2,False)</f>
        <v>70</v>
      </c>
      <c r="L136" s="212">
        <f>VLOOKUP(D136,'A1 RETEST 5 DEC'!$1:$2096,2,FALSE)</f>
        <v>50</v>
      </c>
      <c r="M136" s="213">
        <f>VLOOKUP(D136,'A2 RETEST 4 DEC'!$1:$2096,2,False)</f>
        <v>58</v>
      </c>
      <c r="N136" s="213">
        <v>56.0</v>
      </c>
      <c r="O136" s="212"/>
      <c r="P136" s="214">
        <f>IFNA(VLOOKUP(D136,'S1'!$1:$2000,2,False),0)</f>
        <v>86</v>
      </c>
      <c r="Q136" s="214">
        <f>vlookup(D136,'S2'!A132:B1334,2,0)</f>
        <v>84</v>
      </c>
      <c r="R136" s="214">
        <f>ifna(vlookup(D136,'S3'!$1:$1311,2,False),0)</f>
        <v>93</v>
      </c>
      <c r="S136" s="214"/>
      <c r="T136" s="215">
        <v>12.0</v>
      </c>
      <c r="U136" s="215">
        <v>23.0</v>
      </c>
      <c r="V136" s="215">
        <v>46.0</v>
      </c>
      <c r="W136" s="215">
        <v>56.0</v>
      </c>
      <c r="X136" s="216">
        <v>80.0</v>
      </c>
      <c r="Y136" s="215"/>
      <c r="Z136" s="217"/>
      <c r="AA136" s="218">
        <v>82.0</v>
      </c>
      <c r="AB136" s="219">
        <v>65.0</v>
      </c>
      <c r="AC136" s="129">
        <v>78.0</v>
      </c>
      <c r="AD136" s="129">
        <v>70.0</v>
      </c>
      <c r="AE136" s="130">
        <v>80.0</v>
      </c>
      <c r="AF136" s="129"/>
      <c r="AG136" s="129">
        <v>84.0</v>
      </c>
      <c r="AH136" s="129"/>
      <c r="AI136" s="88"/>
      <c r="AJ136" s="88"/>
      <c r="AK136" s="132">
        <f t="shared" si="1"/>
        <v>4</v>
      </c>
      <c r="AL136" s="132">
        <f t="shared" si="2"/>
        <v>3</v>
      </c>
      <c r="AM136" s="133">
        <f t="shared" si="3"/>
        <v>3</v>
      </c>
      <c r="AN136" s="132" t="str">
        <f t="shared" si="4"/>
        <v>3.5</v>
      </c>
      <c r="AO136" s="132">
        <f t="shared" si="5"/>
        <v>3</v>
      </c>
      <c r="AP136" s="88"/>
    </row>
    <row r="137">
      <c r="A137" s="142">
        <v>133.0</v>
      </c>
      <c r="B137" s="220" t="s">
        <v>82</v>
      </c>
      <c r="C137" s="221" t="s">
        <v>3548</v>
      </c>
      <c r="D137" s="209" t="str">
        <f>VLOOKUP(B137,USN!$1:$1088,2,False)</f>
        <v>1CR23IS137</v>
      </c>
      <c r="E137" s="227">
        <v>7.619317331E9</v>
      </c>
      <c r="F137" s="222" t="s">
        <v>3706</v>
      </c>
      <c r="G137" s="88"/>
      <c r="H137" s="243">
        <v>70.0</v>
      </c>
      <c r="I137" s="211">
        <v>72.0</v>
      </c>
      <c r="J137" s="211">
        <f>VLOOKUP(D137,'L3'!$1:$2060,2,False)</f>
        <v>70</v>
      </c>
      <c r="K137" s="211">
        <f>VLOOKUP(D137,'L4'!$1:$2059,2,False)</f>
        <v>70</v>
      </c>
      <c r="L137" s="212">
        <f>VLOOKUP(D137,'A1 RETEST 5 DEC'!$1:$2096,2,FALSE)</f>
        <v>50</v>
      </c>
      <c r="M137" s="213">
        <f>VLOOKUP(D137,'A2 RETEST 4 DEC'!$1:$2096,2,False)</f>
        <v>48</v>
      </c>
      <c r="N137" s="213">
        <v>50.0</v>
      </c>
      <c r="O137" s="212"/>
      <c r="P137" s="214">
        <f>IFNA(VLOOKUP(D137,'S1'!$1:$2000,2,False),0)</f>
        <v>50</v>
      </c>
      <c r="Q137" s="214">
        <f>vlookup(D137,'S2'!A133:B1335,2,0)</f>
        <v>50</v>
      </c>
      <c r="R137" s="214">
        <f>ifna(vlookup(D137,'S3'!$1:$1311,2,False),0)</f>
        <v>50</v>
      </c>
      <c r="S137" s="214"/>
      <c r="T137" s="215">
        <v>22.0</v>
      </c>
      <c r="U137" s="215">
        <v>23.0</v>
      </c>
      <c r="V137" s="215">
        <v>46.0</v>
      </c>
      <c r="W137" s="215">
        <v>56.0</v>
      </c>
      <c r="X137" s="216">
        <v>92.0</v>
      </c>
      <c r="Y137" s="215"/>
      <c r="Z137" s="217"/>
      <c r="AA137" s="218">
        <v>8.0</v>
      </c>
      <c r="AB137" s="219">
        <v>87.0</v>
      </c>
      <c r="AC137" s="129">
        <v>70.0</v>
      </c>
      <c r="AD137" s="129">
        <v>2.0</v>
      </c>
      <c r="AE137" s="130">
        <v>92.0</v>
      </c>
      <c r="AF137" s="129"/>
      <c r="AG137" s="129">
        <v>10.0</v>
      </c>
      <c r="AH137" s="129"/>
      <c r="AI137" s="88"/>
      <c r="AJ137" s="88"/>
      <c r="AK137" s="132">
        <f t="shared" si="1"/>
        <v>4</v>
      </c>
      <c r="AL137" s="132">
        <f t="shared" si="2"/>
        <v>1</v>
      </c>
      <c r="AM137" s="133">
        <f t="shared" si="3"/>
        <v>3</v>
      </c>
      <c r="AN137" s="132" t="str">
        <f t="shared" si="4"/>
        <v>3.5</v>
      </c>
      <c r="AO137" s="132">
        <f t="shared" si="5"/>
        <v>3</v>
      </c>
      <c r="AP137" s="88"/>
    </row>
    <row r="138">
      <c r="A138" s="142">
        <v>134.0</v>
      </c>
      <c r="B138" s="244" t="s">
        <v>1488</v>
      </c>
      <c r="C138" s="221" t="s">
        <v>3549</v>
      </c>
      <c r="D138" s="209" t="str">
        <f>VLOOKUP(B138,USN!$1:$1088,2,False)</f>
        <v>1CR23IS138</v>
      </c>
      <c r="E138" s="245">
        <v>9.958079531E9</v>
      </c>
      <c r="F138" s="240" t="s">
        <v>3706</v>
      </c>
      <c r="G138" s="88"/>
      <c r="H138" s="223">
        <v>78.0</v>
      </c>
      <c r="I138" s="211">
        <v>86.0</v>
      </c>
      <c r="J138" s="211">
        <f>VLOOKUP(D138,'L3'!$1:$2060,2,False)</f>
        <v>70</v>
      </c>
      <c r="K138" s="211">
        <f>VLOOKUP(D138,'L4'!$1:$2059,2,False)</f>
        <v>70</v>
      </c>
      <c r="L138" s="212">
        <f>VLOOKUP(D138,'A1 RETEST 5 DEC'!$1:$2096,2,FALSE)</f>
        <v>50</v>
      </c>
      <c r="M138" s="213">
        <f>VLOOKUP(D138,'A2 RETEST 4 DEC'!$1:$2096,2,False)</f>
        <v>26</v>
      </c>
      <c r="N138" s="213">
        <v>13.0</v>
      </c>
      <c r="O138" s="212"/>
      <c r="P138" s="214">
        <f>IFNA(VLOOKUP(D138,'S1'!$1:$2000,2,False),0)</f>
        <v>50</v>
      </c>
      <c r="Q138" s="214">
        <f>vlookup(D138,'S2'!A134:B1336,2,0)</f>
        <v>50</v>
      </c>
      <c r="R138" s="214">
        <f>ifna(vlookup(D138,'S3'!$1:$1311,2,False),0)</f>
        <v>50</v>
      </c>
      <c r="S138" s="214"/>
      <c r="T138" s="215">
        <v>11.0</v>
      </c>
      <c r="U138" s="215">
        <v>23.0</v>
      </c>
      <c r="V138" s="215">
        <v>48.0</v>
      </c>
      <c r="W138" s="215"/>
      <c r="X138" s="216">
        <v>72.0</v>
      </c>
      <c r="Y138" s="215"/>
      <c r="Z138" s="217"/>
      <c r="AA138" s="218">
        <v>0.0</v>
      </c>
      <c r="AB138" s="219">
        <v>92.0</v>
      </c>
      <c r="AC138" s="129">
        <v>67.0</v>
      </c>
      <c r="AD138" s="129">
        <v>0.0</v>
      </c>
      <c r="AE138" s="130">
        <v>10.0</v>
      </c>
      <c r="AF138" s="129"/>
      <c r="AG138" s="129">
        <v>10.0</v>
      </c>
      <c r="AH138" s="129"/>
      <c r="AI138" s="88"/>
      <c r="AJ138" s="88"/>
      <c r="AK138" s="132">
        <f t="shared" si="1"/>
        <v>4</v>
      </c>
      <c r="AL138" s="132">
        <f t="shared" si="2"/>
        <v>1</v>
      </c>
      <c r="AM138" s="133">
        <f t="shared" si="3"/>
        <v>2</v>
      </c>
      <c r="AN138" s="132" t="str">
        <f t="shared" si="4"/>
        <v>3</v>
      </c>
      <c r="AO138" s="132">
        <f t="shared" si="5"/>
        <v>3</v>
      </c>
      <c r="AP138" s="88"/>
    </row>
    <row r="139">
      <c r="A139" s="142">
        <v>135.0</v>
      </c>
      <c r="B139" s="220" t="s">
        <v>1490</v>
      </c>
      <c r="C139" s="221" t="s">
        <v>3550</v>
      </c>
      <c r="D139" s="209" t="str">
        <f>VLOOKUP(B139,USN!$1:$1088,2,False)</f>
        <v>1CR23IS139</v>
      </c>
      <c r="E139" s="222">
        <v>9.234248466E9</v>
      </c>
      <c r="F139" s="222" t="s">
        <v>3706</v>
      </c>
      <c r="G139" s="88"/>
      <c r="H139" s="223">
        <v>76.0</v>
      </c>
      <c r="I139" s="211">
        <v>88.0</v>
      </c>
      <c r="J139" s="211">
        <f>VLOOKUP(D139,'L3'!$1:$2060,2,False)</f>
        <v>70</v>
      </c>
      <c r="K139" s="211">
        <f>VLOOKUP(D139,'L4'!$1:$2059,2,False)</f>
        <v>79</v>
      </c>
      <c r="L139" s="212">
        <f>VLOOKUP(D139,'A1 RETEST 5 DEC'!$1:$2096,2,FALSE)</f>
        <v>63</v>
      </c>
      <c r="M139" s="213">
        <f>VLOOKUP(D139,'A2 RETEST 4 DEC'!$1:$2096,2,False)</f>
        <v>68</v>
      </c>
      <c r="N139" s="213">
        <v>69.0</v>
      </c>
      <c r="O139" s="212"/>
      <c r="P139" s="214">
        <f>IFNA(VLOOKUP(D139,'S1'!$1:$2000,2,False),0)</f>
        <v>50</v>
      </c>
      <c r="Q139" s="214">
        <f>vlookup(D139,'S2'!A135:B1337,2,0)</f>
        <v>72</v>
      </c>
      <c r="R139" s="214">
        <f>ifna(vlookup(D139,'S3'!$1:$1311,2,False),0)</f>
        <v>95</v>
      </c>
      <c r="S139" s="214"/>
      <c r="T139" s="215">
        <v>20.0</v>
      </c>
      <c r="U139" s="215">
        <v>10.0</v>
      </c>
      <c r="V139" s="215">
        <v>42.0</v>
      </c>
      <c r="W139" s="215">
        <v>56.0</v>
      </c>
      <c r="X139" s="216">
        <v>72.0</v>
      </c>
      <c r="Y139" s="215"/>
      <c r="Z139" s="217"/>
      <c r="AA139" s="218">
        <v>70.0</v>
      </c>
      <c r="AB139" s="219">
        <v>50.0</v>
      </c>
      <c r="AC139" s="129">
        <v>99.0</v>
      </c>
      <c r="AD139" s="129">
        <v>60.0</v>
      </c>
      <c r="AE139" s="130">
        <v>78.0</v>
      </c>
      <c r="AF139" s="129"/>
      <c r="AG139" s="129">
        <v>89.0</v>
      </c>
      <c r="AH139" s="129"/>
      <c r="AI139" s="88"/>
      <c r="AJ139" s="88"/>
      <c r="AK139" s="132">
        <f t="shared" si="1"/>
        <v>4</v>
      </c>
      <c r="AL139" s="132">
        <f t="shared" si="2"/>
        <v>3</v>
      </c>
      <c r="AM139" s="133">
        <f t="shared" si="3"/>
        <v>3</v>
      </c>
      <c r="AN139" s="132" t="str">
        <f t="shared" si="4"/>
        <v>3.5</v>
      </c>
      <c r="AO139" s="132">
        <f t="shared" si="5"/>
        <v>3</v>
      </c>
      <c r="AP139" s="88"/>
    </row>
    <row r="140">
      <c r="A140" s="142">
        <v>136.0</v>
      </c>
      <c r="B140" s="220" t="s">
        <v>1491</v>
      </c>
      <c r="C140" s="221" t="s">
        <v>3551</v>
      </c>
      <c r="D140" s="209" t="str">
        <f>VLOOKUP(B140,USN!$1:$1088,2,False)</f>
        <v>1CR23IS140</v>
      </c>
      <c r="E140" s="222">
        <v>9.87484013E9</v>
      </c>
      <c r="F140" s="222" t="s">
        <v>3706</v>
      </c>
      <c r="G140" s="88"/>
      <c r="H140" s="210">
        <v>79.0</v>
      </c>
      <c r="I140" s="211">
        <v>88.0</v>
      </c>
      <c r="J140" s="211">
        <f>VLOOKUP(D140,'L3'!$1:$2060,2,False)</f>
        <v>70</v>
      </c>
      <c r="K140" s="211">
        <f>VLOOKUP(D140,'L4'!$1:$2059,2,False)</f>
        <v>79</v>
      </c>
      <c r="L140" s="212">
        <f>VLOOKUP(D140,'A1 RETEST 5 DEC'!$1:$2096,2,FALSE)</f>
        <v>50</v>
      </c>
      <c r="M140" s="213">
        <f>VLOOKUP(D140,'A2 RETEST 4 DEC'!$1:$2096,2,False)</f>
        <v>65</v>
      </c>
      <c r="N140" s="213">
        <v>64.0</v>
      </c>
      <c r="O140" s="212"/>
      <c r="P140" s="214">
        <f>IFNA(VLOOKUP(D140,'S1'!$1:$2000,2,False),0)</f>
        <v>81</v>
      </c>
      <c r="Q140" s="214">
        <f>vlookup(D140,'S2'!A136:B1338,2,0)</f>
        <v>72</v>
      </c>
      <c r="R140" s="214">
        <f>ifna(vlookup(D140,'S3'!$1:$1311,2,False),0)</f>
        <v>89</v>
      </c>
      <c r="S140" s="214"/>
      <c r="T140" s="215">
        <v>20.0</v>
      </c>
      <c r="U140" s="215">
        <v>21.0</v>
      </c>
      <c r="V140" s="215">
        <v>46.0</v>
      </c>
      <c r="W140" s="215">
        <v>76.0</v>
      </c>
      <c r="X140" s="216">
        <v>72.0</v>
      </c>
      <c r="Y140" s="215"/>
      <c r="Z140" s="217"/>
      <c r="AA140" s="218">
        <v>94.0</v>
      </c>
      <c r="AB140" s="219">
        <v>100.0</v>
      </c>
      <c r="AC140" s="129">
        <v>97.0</v>
      </c>
      <c r="AD140" s="129">
        <v>73.0</v>
      </c>
      <c r="AE140" s="130">
        <v>77.0</v>
      </c>
      <c r="AF140" s="129"/>
      <c r="AG140" s="129">
        <v>91.0</v>
      </c>
      <c r="AH140" s="129"/>
      <c r="AI140" s="88"/>
      <c r="AJ140" s="88"/>
      <c r="AK140" s="132">
        <f t="shared" si="1"/>
        <v>4</v>
      </c>
      <c r="AL140" s="132">
        <f t="shared" si="2"/>
        <v>3</v>
      </c>
      <c r="AM140" s="133">
        <f t="shared" si="3"/>
        <v>3</v>
      </c>
      <c r="AN140" s="132" t="str">
        <f t="shared" si="4"/>
        <v>3.5</v>
      </c>
      <c r="AO140" s="132">
        <f t="shared" si="5"/>
        <v>3</v>
      </c>
      <c r="AP140" s="88"/>
    </row>
    <row r="141">
      <c r="A141" s="142">
        <v>137.0</v>
      </c>
      <c r="B141" s="220" t="s">
        <v>1535</v>
      </c>
      <c r="C141" s="221" t="s">
        <v>3552</v>
      </c>
      <c r="D141" s="209" t="str">
        <f>VLOOKUP(B141,USN!$1:$1088,2,False)</f>
        <v>1CR23IS141</v>
      </c>
      <c r="E141" s="222">
        <v>9.019483035E9</v>
      </c>
      <c r="F141" s="222" t="s">
        <v>3706</v>
      </c>
      <c r="G141" s="88"/>
      <c r="H141" s="223">
        <v>72.0</v>
      </c>
      <c r="I141" s="211">
        <v>80.0</v>
      </c>
      <c r="J141" s="211">
        <f>VLOOKUP(D141,'L3'!$1:$2060,2,False)</f>
        <v>71</v>
      </c>
      <c r="K141" s="211">
        <f>VLOOKUP(D141,'L4'!$1:$2059,2,False)</f>
        <v>70</v>
      </c>
      <c r="L141" s="212">
        <f>VLOOKUP(D141,'A1 RETEST 5 DEC'!$1:$2096,2,FALSE)</f>
        <v>50</v>
      </c>
      <c r="M141" s="213">
        <f>VLOOKUP(D141,'A2 RETEST 4 DEC'!$1:$2096,2,False)</f>
        <v>42</v>
      </c>
      <c r="N141" s="213">
        <v>57.0</v>
      </c>
      <c r="O141" s="212"/>
      <c r="P141" s="214">
        <f>IFNA(VLOOKUP(D141,'S1'!$1:$2000,2,False),0)</f>
        <v>68</v>
      </c>
      <c r="Q141" s="214">
        <f>vlookup(D141,'S2'!A137:B1339,2,0)</f>
        <v>60</v>
      </c>
      <c r="R141" s="214">
        <f>ifna(vlookup(D141,'S3'!$1:$1311,2,False),0)</f>
        <v>89</v>
      </c>
      <c r="S141" s="214"/>
      <c r="T141" s="215">
        <v>13.0</v>
      </c>
      <c r="U141" s="215">
        <v>23.0</v>
      </c>
      <c r="V141" s="215">
        <v>46.0</v>
      </c>
      <c r="W141" s="215">
        <v>72.0</v>
      </c>
      <c r="X141" s="216">
        <v>84.0</v>
      </c>
      <c r="Y141" s="215"/>
      <c r="Z141" s="217"/>
      <c r="AA141" s="218">
        <v>24.0</v>
      </c>
      <c r="AB141" s="219">
        <v>95.0</v>
      </c>
      <c r="AC141" s="129">
        <v>76.0</v>
      </c>
      <c r="AD141" s="129">
        <v>100.0</v>
      </c>
      <c r="AE141" s="130">
        <v>73.0</v>
      </c>
      <c r="AF141" s="129"/>
      <c r="AG141" s="129">
        <v>81.0</v>
      </c>
      <c r="AH141" s="129"/>
      <c r="AI141" s="88"/>
      <c r="AJ141" s="88"/>
      <c r="AK141" s="132">
        <f t="shared" si="1"/>
        <v>4</v>
      </c>
      <c r="AL141" s="132">
        <f t="shared" si="2"/>
        <v>1</v>
      </c>
      <c r="AM141" s="133">
        <f t="shared" si="3"/>
        <v>3</v>
      </c>
      <c r="AN141" s="132" t="str">
        <f t="shared" si="4"/>
        <v>3.5</v>
      </c>
      <c r="AO141" s="132">
        <f t="shared" si="5"/>
        <v>3</v>
      </c>
      <c r="AP141" s="88"/>
    </row>
    <row r="142">
      <c r="A142" s="142">
        <v>138.0</v>
      </c>
      <c r="B142" s="220" t="s">
        <v>1533</v>
      </c>
      <c r="C142" s="221" t="s">
        <v>3553</v>
      </c>
      <c r="D142" s="209" t="str">
        <f>VLOOKUP(B142,USN!$1:$1088,2,False)</f>
        <v>1CR23IS142</v>
      </c>
      <c r="E142" s="222">
        <v>8.252736987E9</v>
      </c>
      <c r="F142" s="222" t="s">
        <v>3706</v>
      </c>
      <c r="G142" s="88"/>
      <c r="H142" s="223">
        <v>74.0</v>
      </c>
      <c r="I142" s="211">
        <v>83.0</v>
      </c>
      <c r="J142" s="211">
        <f>VLOOKUP(D142,'L3'!$1:$2060,2,False)</f>
        <v>70</v>
      </c>
      <c r="K142" s="211">
        <f>VLOOKUP(D142,'L4'!$1:$2059,2,False)</f>
        <v>70</v>
      </c>
      <c r="L142" s="212">
        <f>VLOOKUP(D142,'A1 RETEST 5 DEC'!$1:$2096,2,FALSE)</f>
        <v>50</v>
      </c>
      <c r="M142" s="213">
        <f>VLOOKUP(D142,'A2 RETEST 4 DEC'!$1:$2096,2,False)</f>
        <v>35</v>
      </c>
      <c r="N142" s="213">
        <v>31.0</v>
      </c>
      <c r="O142" s="212"/>
      <c r="P142" s="214">
        <f>IFNA(VLOOKUP(D142,'S1'!$1:$2000,2,False),0)</f>
        <v>0</v>
      </c>
      <c r="Q142" s="214">
        <f>vlookup(D142,'S2'!A138:B1340,2,0)</f>
        <v>65</v>
      </c>
      <c r="R142" s="214">
        <f>ifna(vlookup(D142,'S3'!$1:$1311,2,False),0)</f>
        <v>50</v>
      </c>
      <c r="S142" s="214"/>
      <c r="T142" s="215">
        <v>19.0</v>
      </c>
      <c r="U142" s="215">
        <v>17.0</v>
      </c>
      <c r="V142" s="215">
        <v>44.0</v>
      </c>
      <c r="W142" s="215"/>
      <c r="X142" s="216">
        <v>84.0</v>
      </c>
      <c r="Y142" s="215"/>
      <c r="Z142" s="217"/>
      <c r="AA142" s="218">
        <v>0.0</v>
      </c>
      <c r="AB142" s="219">
        <v>100.0</v>
      </c>
      <c r="AC142" s="129">
        <v>0.0</v>
      </c>
      <c r="AD142" s="129">
        <v>80.0</v>
      </c>
      <c r="AE142" s="130">
        <v>70.0</v>
      </c>
      <c r="AF142" s="129"/>
      <c r="AG142" s="129">
        <v>0.0</v>
      </c>
      <c r="AH142" s="129"/>
      <c r="AI142" s="88"/>
      <c r="AJ142" s="88"/>
      <c r="AK142" s="132">
        <f t="shared" si="1"/>
        <v>4</v>
      </c>
      <c r="AL142" s="132">
        <f t="shared" si="2"/>
        <v>1</v>
      </c>
      <c r="AM142" s="133">
        <f t="shared" si="3"/>
        <v>2</v>
      </c>
      <c r="AN142" s="132" t="str">
        <f t="shared" si="4"/>
        <v>3.5</v>
      </c>
      <c r="AO142" s="132">
        <f t="shared" si="5"/>
        <v>0</v>
      </c>
      <c r="AP142" s="88"/>
    </row>
    <row r="143">
      <c r="A143" s="142">
        <v>139.0</v>
      </c>
      <c r="B143" s="220" t="s">
        <v>1492</v>
      </c>
      <c r="C143" s="221" t="s">
        <v>3554</v>
      </c>
      <c r="D143" s="209" t="str">
        <f>VLOOKUP(B143,USN!$1:$1088,2,False)</f>
        <v>1CR23IS143</v>
      </c>
      <c r="E143" s="222">
        <v>9.508390962E9</v>
      </c>
      <c r="F143" s="222" t="s">
        <v>3706</v>
      </c>
      <c r="G143" s="88"/>
      <c r="H143" s="243">
        <v>70.0</v>
      </c>
      <c r="I143" s="211">
        <v>81.0</v>
      </c>
      <c r="J143" s="211">
        <f>VLOOKUP(D143,'L3'!$1:$2060,2,False)</f>
        <v>70</v>
      </c>
      <c r="K143" s="211">
        <f>VLOOKUP(D143,'L4'!$1:$2059,2,False)</f>
        <v>70</v>
      </c>
      <c r="L143" s="212">
        <f>VLOOKUP(D143,'A1 RETEST 5 DEC'!$1:$2096,2,FALSE)</f>
        <v>55</v>
      </c>
      <c r="M143" s="213">
        <f>VLOOKUP(D143,'A2 RETEST 4 DEC'!$1:$2096,2,False)</f>
        <v>66</v>
      </c>
      <c r="N143" s="213">
        <v>73.0</v>
      </c>
      <c r="O143" s="212"/>
      <c r="P143" s="214">
        <f>IFNA(VLOOKUP(D143,'S1'!$1:$2000,2,False),0)</f>
        <v>81</v>
      </c>
      <c r="Q143" s="214">
        <f>vlookup(D143,'S2'!A139:B1341,2,0)</f>
        <v>72</v>
      </c>
      <c r="R143" s="214">
        <f>ifna(vlookup(D143,'S3'!$1:$1311,2,False),0)</f>
        <v>91</v>
      </c>
      <c r="S143" s="214"/>
      <c r="T143" s="215">
        <v>10.0</v>
      </c>
      <c r="U143" s="215">
        <v>24.0</v>
      </c>
      <c r="V143" s="215">
        <v>46.0</v>
      </c>
      <c r="W143" s="215">
        <v>64.0</v>
      </c>
      <c r="X143" s="216">
        <v>80.0</v>
      </c>
      <c r="Y143" s="215"/>
      <c r="Z143" s="217"/>
      <c r="AA143" s="218">
        <v>14.0</v>
      </c>
      <c r="AB143" s="219">
        <v>100.0</v>
      </c>
      <c r="AC143" s="129">
        <v>74.0</v>
      </c>
      <c r="AD143" s="129">
        <v>62.0</v>
      </c>
      <c r="AE143" s="130">
        <v>72.0</v>
      </c>
      <c r="AF143" s="129"/>
      <c r="AG143" s="129">
        <v>71.0</v>
      </c>
      <c r="AH143" s="129"/>
      <c r="AI143" s="88"/>
      <c r="AJ143" s="88"/>
      <c r="AK143" s="132">
        <f t="shared" si="1"/>
        <v>4</v>
      </c>
      <c r="AL143" s="132">
        <f t="shared" si="2"/>
        <v>3</v>
      </c>
      <c r="AM143" s="133">
        <f t="shared" si="3"/>
        <v>3</v>
      </c>
      <c r="AN143" s="132" t="str">
        <f t="shared" si="4"/>
        <v>3.5</v>
      </c>
      <c r="AO143" s="132">
        <f t="shared" si="5"/>
        <v>3</v>
      </c>
      <c r="AP143" s="88"/>
    </row>
    <row r="144">
      <c r="A144" s="142">
        <v>140.0</v>
      </c>
      <c r="B144" s="246" t="s">
        <v>1494</v>
      </c>
      <c r="C144" s="221" t="s">
        <v>3555</v>
      </c>
      <c r="D144" s="209" t="str">
        <f>VLOOKUP(B144,USN!$1:$1088,2,False)</f>
        <v>1CR23IS144</v>
      </c>
      <c r="E144" s="222">
        <v>8.008519529E9</v>
      </c>
      <c r="F144" s="222" t="s">
        <v>3706</v>
      </c>
      <c r="G144" s="88"/>
      <c r="H144" s="223">
        <v>84.0</v>
      </c>
      <c r="I144" s="211">
        <v>83.0</v>
      </c>
      <c r="J144" s="211">
        <f>VLOOKUP(D144,'L3'!$1:$2060,2,False)</f>
        <v>76</v>
      </c>
      <c r="K144" s="211">
        <f>VLOOKUP(D144,'L4'!$1:$2059,2,False)</f>
        <v>70</v>
      </c>
      <c r="L144" s="212">
        <f>VLOOKUP(D144,'A1 RETEST 5 DEC'!$1:$2096,2,FALSE)</f>
        <v>50</v>
      </c>
      <c r="M144" s="213">
        <f>VLOOKUP(D144,'A2 RETEST 4 DEC'!$1:$2096,2,False)</f>
        <v>38</v>
      </c>
      <c r="N144" s="213">
        <v>66.0</v>
      </c>
      <c r="O144" s="212"/>
      <c r="P144" s="214">
        <f>IFNA(VLOOKUP(D144,'S1'!$1:$2000,2,False),0)</f>
        <v>86</v>
      </c>
      <c r="Q144" s="214">
        <f>vlookup(D144,'S2'!A140:B1342,2,0)</f>
        <v>60</v>
      </c>
      <c r="R144" s="214">
        <f>ifna(vlookup(D144,'S3'!$1:$1311,2,False),0)</f>
        <v>88</v>
      </c>
      <c r="S144" s="214"/>
      <c r="T144" s="215">
        <v>18.0</v>
      </c>
      <c r="U144" s="215">
        <v>23.0</v>
      </c>
      <c r="V144" s="215">
        <v>46.0</v>
      </c>
      <c r="W144" s="215">
        <v>64.0</v>
      </c>
      <c r="X144" s="216">
        <v>76.0</v>
      </c>
      <c r="Y144" s="215"/>
      <c r="Z144" s="217"/>
      <c r="AA144" s="218">
        <v>50.0</v>
      </c>
      <c r="AB144" s="219">
        <v>100.0</v>
      </c>
      <c r="AC144" s="129">
        <v>67.0</v>
      </c>
      <c r="AD144" s="129">
        <v>60.0</v>
      </c>
      <c r="AE144" s="130">
        <v>72.0</v>
      </c>
      <c r="AF144" s="129"/>
      <c r="AG144" s="129">
        <v>47.0</v>
      </c>
      <c r="AH144" s="129"/>
      <c r="AI144" s="88"/>
      <c r="AJ144" s="88"/>
      <c r="AK144" s="132">
        <f t="shared" si="1"/>
        <v>4</v>
      </c>
      <c r="AL144" s="132">
        <f t="shared" si="2"/>
        <v>1</v>
      </c>
      <c r="AM144" s="133">
        <f t="shared" si="3"/>
        <v>3</v>
      </c>
      <c r="AN144" s="132" t="str">
        <f t="shared" si="4"/>
        <v>3.5</v>
      </c>
      <c r="AO144" s="132">
        <f t="shared" si="5"/>
        <v>3</v>
      </c>
      <c r="AP144" s="88"/>
    </row>
    <row r="145">
      <c r="A145" s="142">
        <v>141.0</v>
      </c>
      <c r="B145" s="220" t="s">
        <v>1495</v>
      </c>
      <c r="C145" s="221" t="s">
        <v>3556</v>
      </c>
      <c r="D145" s="209" t="str">
        <f>VLOOKUP(B145,USN!$1:$1088,2,False)</f>
        <v>1CR23IS145</v>
      </c>
      <c r="E145" s="222">
        <v>9.663356481E9</v>
      </c>
      <c r="F145" s="222" t="s">
        <v>3706</v>
      </c>
      <c r="G145" s="88"/>
      <c r="H145" s="223">
        <v>78.0</v>
      </c>
      <c r="I145" s="211">
        <v>87.0</v>
      </c>
      <c r="J145" s="211">
        <f>VLOOKUP(D145,'L3'!$1:$2060,2,False)</f>
        <v>78</v>
      </c>
      <c r="K145" s="211">
        <f>VLOOKUP(D145,'L4'!$1:$2059,2,False)</f>
        <v>70</v>
      </c>
      <c r="L145" s="212">
        <f>VLOOKUP(D145,'A1 RETEST 5 DEC'!$1:$2096,2,FALSE)</f>
        <v>50</v>
      </c>
      <c r="M145" s="213">
        <f>VLOOKUP(D145,'A2 RETEST 4 DEC'!$1:$2096,2,False)</f>
        <v>45</v>
      </c>
      <c r="N145" s="213">
        <v>69.0</v>
      </c>
      <c r="O145" s="212"/>
      <c r="P145" s="214">
        <f>IFNA(VLOOKUP(D145,'S1'!$1:$2000,2,False),0)</f>
        <v>50</v>
      </c>
      <c r="Q145" s="214">
        <f>vlookup(D145,'S2'!A141:B1343,2,0)</f>
        <v>63</v>
      </c>
      <c r="R145" s="214">
        <f>ifna(vlookup(D145,'S3'!$1:$1311,2,False),0)</f>
        <v>80</v>
      </c>
      <c r="S145" s="214"/>
      <c r="T145" s="215">
        <v>12.0</v>
      </c>
      <c r="U145" s="215">
        <v>23.0</v>
      </c>
      <c r="V145" s="215">
        <v>48.0</v>
      </c>
      <c r="W145" s="215">
        <v>48.0</v>
      </c>
      <c r="X145" s="216">
        <v>68.0</v>
      </c>
      <c r="Y145" s="215"/>
      <c r="Z145" s="217"/>
      <c r="AA145" s="218">
        <v>74.0</v>
      </c>
      <c r="AB145" s="219">
        <v>85.0</v>
      </c>
      <c r="AC145" s="129">
        <v>66.0</v>
      </c>
      <c r="AD145" s="129">
        <v>100.0</v>
      </c>
      <c r="AE145" s="130">
        <v>79.0</v>
      </c>
      <c r="AF145" s="129"/>
      <c r="AG145" s="129">
        <v>57.0</v>
      </c>
      <c r="AH145" s="129"/>
      <c r="AI145" s="88"/>
      <c r="AJ145" s="88"/>
      <c r="AK145" s="132">
        <f t="shared" si="1"/>
        <v>4</v>
      </c>
      <c r="AL145" s="132">
        <f t="shared" si="2"/>
        <v>1</v>
      </c>
      <c r="AM145" s="133">
        <f t="shared" si="3"/>
        <v>2</v>
      </c>
      <c r="AN145" s="132" t="str">
        <f t="shared" si="4"/>
        <v>3.5</v>
      </c>
      <c r="AO145" s="132">
        <f t="shared" si="5"/>
        <v>3</v>
      </c>
      <c r="AP145" s="88"/>
    </row>
    <row r="146">
      <c r="A146" s="142">
        <v>142.0</v>
      </c>
      <c r="B146" s="220" t="s">
        <v>1496</v>
      </c>
      <c r="C146" s="221" t="s">
        <v>3557</v>
      </c>
      <c r="D146" s="209" t="str">
        <f>VLOOKUP(B146,USN!$1:$1088,2,False)</f>
        <v>1CR23IS146</v>
      </c>
      <c r="E146" s="222">
        <v>6.360591034E9</v>
      </c>
      <c r="F146" s="222" t="s">
        <v>3706</v>
      </c>
      <c r="G146" s="88"/>
      <c r="H146" s="233">
        <v>70.0</v>
      </c>
      <c r="I146" s="211">
        <v>76.0</v>
      </c>
      <c r="J146" s="211">
        <f>VLOOKUP(D146,'L3'!$1:$2060,2,False)</f>
        <v>70</v>
      </c>
      <c r="K146" s="211">
        <f>VLOOKUP(D146,'L4'!$1:$2059,2,False)</f>
        <v>70</v>
      </c>
      <c r="L146" s="212">
        <f>VLOOKUP(D146,'A1 RETEST 5 DEC'!$1:$2096,2,FALSE)</f>
        <v>50</v>
      </c>
      <c r="M146" s="213">
        <f>VLOOKUP(D146,'A2 RETEST 4 DEC'!$1:$2096,2,False)</f>
        <v>32</v>
      </c>
      <c r="N146" s="213">
        <v>57.0</v>
      </c>
      <c r="O146" s="212"/>
      <c r="P146" s="214">
        <f>IFNA(VLOOKUP(D146,'S1'!$1:$2000,2,False),0)</f>
        <v>50</v>
      </c>
      <c r="Q146" s="214">
        <f>vlookup(D146,'S2'!A142:B1344,2,0)</f>
        <v>57</v>
      </c>
      <c r="R146" s="214">
        <f>ifna(vlookup(D146,'S3'!$1:$1311,2,False),0)</f>
        <v>79</v>
      </c>
      <c r="S146" s="214"/>
      <c r="T146" s="215">
        <v>11.0</v>
      </c>
      <c r="U146" s="215">
        <v>23.0</v>
      </c>
      <c r="V146" s="215">
        <v>46.0</v>
      </c>
      <c r="W146" s="215">
        <v>36.0</v>
      </c>
      <c r="X146" s="216">
        <v>80.0</v>
      </c>
      <c r="Y146" s="215"/>
      <c r="Z146" s="217"/>
      <c r="AA146" s="218">
        <v>20.0</v>
      </c>
      <c r="AB146" s="219">
        <v>90.0</v>
      </c>
      <c r="AC146" s="129">
        <v>60.0</v>
      </c>
      <c r="AD146" s="129">
        <v>100.0</v>
      </c>
      <c r="AE146" s="130">
        <v>10.0</v>
      </c>
      <c r="AF146" s="129"/>
      <c r="AG146" s="129">
        <v>48.0</v>
      </c>
      <c r="AH146" s="129"/>
      <c r="AI146" s="88"/>
      <c r="AJ146" s="88"/>
      <c r="AK146" s="132">
        <f t="shared" si="1"/>
        <v>4</v>
      </c>
      <c r="AL146" s="132">
        <f t="shared" si="2"/>
        <v>1</v>
      </c>
      <c r="AM146" s="133">
        <f t="shared" si="3"/>
        <v>2</v>
      </c>
      <c r="AN146" s="132" t="str">
        <f t="shared" si="4"/>
        <v>3</v>
      </c>
      <c r="AO146" s="132">
        <f t="shared" si="5"/>
        <v>3</v>
      </c>
      <c r="AP146" s="88"/>
    </row>
    <row r="147">
      <c r="A147" s="142">
        <v>143.0</v>
      </c>
      <c r="B147" s="220" t="s">
        <v>1497</v>
      </c>
      <c r="C147" s="221" t="s">
        <v>3558</v>
      </c>
      <c r="D147" s="209" t="str">
        <f>VLOOKUP(B147,USN!$1:$1088,2,False)</f>
        <v>1CR23IS147</v>
      </c>
      <c r="E147" s="222">
        <v>7.415855241E9</v>
      </c>
      <c r="F147" s="222" t="s">
        <v>3706</v>
      </c>
      <c r="G147" s="88"/>
      <c r="H147" s="210">
        <v>85.0</v>
      </c>
      <c r="I147" s="211">
        <v>97.0</v>
      </c>
      <c r="J147" s="211">
        <f>VLOOKUP(D147,'L3'!$1:$2060,2,False)</f>
        <v>74</v>
      </c>
      <c r="K147" s="211">
        <f>VLOOKUP(D147,'L4'!$1:$2059,2,False)</f>
        <v>78</v>
      </c>
      <c r="L147" s="212">
        <f>VLOOKUP(D147,'A1 RETEST 5 DEC'!$1:$2096,2,FALSE)</f>
        <v>68</v>
      </c>
      <c r="M147" s="213">
        <f>VLOOKUP(D147,'A2 RETEST 4 DEC'!$1:$2096,2,False)</f>
        <v>77</v>
      </c>
      <c r="N147" s="213">
        <v>77.0</v>
      </c>
      <c r="O147" s="212"/>
      <c r="P147" s="214">
        <f>IFNA(VLOOKUP(D147,'S1'!$1:$2000,2,False),0)</f>
        <v>82</v>
      </c>
      <c r="Q147" s="214">
        <f>vlookup(D147,'S2'!A143:B1345,2,0)</f>
        <v>72</v>
      </c>
      <c r="R147" s="214">
        <f>ifna(vlookup(D147,'S3'!$1:$1311,2,False),0)</f>
        <v>95</v>
      </c>
      <c r="S147" s="214"/>
      <c r="T147" s="215">
        <v>13.0</v>
      </c>
      <c r="U147" s="215">
        <v>23.0</v>
      </c>
      <c r="V147" s="215">
        <v>46.0</v>
      </c>
      <c r="W147" s="215">
        <v>64.0</v>
      </c>
      <c r="X147" s="216">
        <v>76.0</v>
      </c>
      <c r="Y147" s="215"/>
      <c r="Z147" s="217"/>
      <c r="AA147" s="218">
        <v>82.0</v>
      </c>
      <c r="AB147" s="219">
        <v>100.0</v>
      </c>
      <c r="AC147" s="129">
        <v>98.0</v>
      </c>
      <c r="AD147" s="129">
        <v>100.0</v>
      </c>
      <c r="AE147" s="130">
        <v>80.0</v>
      </c>
      <c r="AF147" s="129"/>
      <c r="AG147" s="129">
        <v>82.0</v>
      </c>
      <c r="AH147" s="129"/>
      <c r="AI147" s="88"/>
      <c r="AJ147" s="88"/>
      <c r="AK147" s="132">
        <f t="shared" si="1"/>
        <v>4</v>
      </c>
      <c r="AL147" s="132">
        <f t="shared" si="2"/>
        <v>3</v>
      </c>
      <c r="AM147" s="133">
        <f t="shared" si="3"/>
        <v>3</v>
      </c>
      <c r="AN147" s="132" t="str">
        <f t="shared" si="4"/>
        <v>3.5</v>
      </c>
      <c r="AO147" s="132">
        <f t="shared" si="5"/>
        <v>3</v>
      </c>
      <c r="AP147" s="88"/>
    </row>
    <row r="148">
      <c r="A148" s="142">
        <v>144.0</v>
      </c>
      <c r="B148" s="220" t="s">
        <v>1498</v>
      </c>
      <c r="C148" s="221" t="s">
        <v>3559</v>
      </c>
      <c r="D148" s="209" t="str">
        <f>VLOOKUP(B148,USN!$1:$1088,2,False)</f>
        <v>1CR23IS148</v>
      </c>
      <c r="E148" s="222">
        <v>8.210621507E9</v>
      </c>
      <c r="F148" s="222" t="s">
        <v>3706</v>
      </c>
      <c r="G148" s="88"/>
      <c r="H148" s="210">
        <v>83.0</v>
      </c>
      <c r="I148" s="211">
        <v>93.0</v>
      </c>
      <c r="J148" s="211">
        <f>VLOOKUP(D148,'L3'!$1:$2060,2,False)</f>
        <v>70</v>
      </c>
      <c r="K148" s="211">
        <f>VLOOKUP(D148,'L4'!$1:$2059,2,False)</f>
        <v>82</v>
      </c>
      <c r="L148" s="212">
        <f>VLOOKUP(D148,'A1 RETEST 5 DEC'!$1:$2096,2,FALSE)</f>
        <v>73</v>
      </c>
      <c r="M148" s="213">
        <f>VLOOKUP(D148,'A2 RETEST 4 DEC'!$1:$2096,2,False)</f>
        <v>78</v>
      </c>
      <c r="N148" s="213">
        <v>78.0</v>
      </c>
      <c r="O148" s="212"/>
      <c r="P148" s="214">
        <f>IFNA(VLOOKUP(D148,'S1'!$1:$2000,2,False),0)</f>
        <v>50</v>
      </c>
      <c r="Q148" s="214">
        <f>vlookup(D148,'S2'!A144:B1346,2,0)</f>
        <v>72</v>
      </c>
      <c r="R148" s="214">
        <f>ifna(vlookup(D148,'S3'!$1:$1311,2,False),0)</f>
        <v>95</v>
      </c>
      <c r="S148" s="214"/>
      <c r="T148" s="215">
        <v>11.0</v>
      </c>
      <c r="U148" s="215">
        <v>23.0</v>
      </c>
      <c r="V148" s="215">
        <v>46.0</v>
      </c>
      <c r="W148" s="215">
        <v>50.0</v>
      </c>
      <c r="X148" s="216">
        <v>72.0</v>
      </c>
      <c r="Y148" s="215"/>
      <c r="Z148" s="217"/>
      <c r="AA148" s="218">
        <v>94.0</v>
      </c>
      <c r="AB148" s="219">
        <v>100.0</v>
      </c>
      <c r="AC148" s="129">
        <v>97.0</v>
      </c>
      <c r="AD148" s="129">
        <v>100.0</v>
      </c>
      <c r="AE148" s="130">
        <v>77.0</v>
      </c>
      <c r="AF148" s="129"/>
      <c r="AG148" s="129">
        <v>87.0</v>
      </c>
      <c r="AH148" s="129"/>
      <c r="AI148" s="88"/>
      <c r="AJ148" s="88"/>
      <c r="AK148" s="132">
        <f t="shared" si="1"/>
        <v>4</v>
      </c>
      <c r="AL148" s="132">
        <f t="shared" si="2"/>
        <v>3</v>
      </c>
      <c r="AM148" s="133">
        <f t="shared" si="3"/>
        <v>3</v>
      </c>
      <c r="AN148" s="132" t="str">
        <f t="shared" si="4"/>
        <v>3.5</v>
      </c>
      <c r="AO148" s="132">
        <f t="shared" si="5"/>
        <v>3</v>
      </c>
      <c r="AP148" s="88"/>
    </row>
    <row r="149">
      <c r="A149" s="142">
        <v>145.0</v>
      </c>
      <c r="B149" s="220" t="s">
        <v>1400</v>
      </c>
      <c r="C149" s="221" t="s">
        <v>3560</v>
      </c>
      <c r="D149" s="209" t="str">
        <f>VLOOKUP(B149,USN!$1:$1088,2,False)</f>
        <v>1CR23IS149</v>
      </c>
      <c r="E149" s="225" t="s">
        <v>3710</v>
      </c>
      <c r="F149" s="222" t="s">
        <v>3706</v>
      </c>
      <c r="G149" s="88"/>
      <c r="H149" s="233">
        <v>70.0</v>
      </c>
      <c r="I149" s="211">
        <v>76.0</v>
      </c>
      <c r="J149" s="211">
        <f>VLOOKUP(D149,'L3'!$1:$2060,2,False)</f>
        <v>75</v>
      </c>
      <c r="K149" s="211">
        <f>VLOOKUP(D149,'L4'!$1:$2059,2,False)</f>
        <v>70</v>
      </c>
      <c r="L149" s="212">
        <f>VLOOKUP(D149,'A1 RETEST 5 DEC'!$1:$2096,2,FALSE)</f>
        <v>50</v>
      </c>
      <c r="M149" s="213">
        <f>VLOOKUP(D149,'A2 RETEST 4 DEC'!$1:$2096,2,False)</f>
        <v>31</v>
      </c>
      <c r="N149" s="213">
        <v>35.0</v>
      </c>
      <c r="O149" s="212"/>
      <c r="P149" s="214">
        <f>IFNA(VLOOKUP(D149,'S1'!$1:$2000,2,False),0)</f>
        <v>78</v>
      </c>
      <c r="Q149" s="214">
        <f>vlookup(D149,'S2'!A145:B1347,2,0)</f>
        <v>0</v>
      </c>
      <c r="R149" s="214">
        <f>ifna(vlookup(D149,'S3'!$1:$1311,2,False),0)</f>
        <v>0</v>
      </c>
      <c r="S149" s="214"/>
      <c r="T149" s="215">
        <v>12.0</v>
      </c>
      <c r="U149" s="215">
        <v>23.0</v>
      </c>
      <c r="V149" s="215">
        <v>48.0</v>
      </c>
      <c r="W149" s="215">
        <v>56.0</v>
      </c>
      <c r="X149" s="216">
        <v>80.0</v>
      </c>
      <c r="Y149" s="215"/>
      <c r="Z149" s="224"/>
      <c r="AA149" s="218">
        <v>88.0</v>
      </c>
      <c r="AB149" s="219">
        <v>97.0</v>
      </c>
      <c r="AC149" s="129">
        <v>0.0</v>
      </c>
      <c r="AD149" s="129">
        <v>0.0</v>
      </c>
      <c r="AE149" s="130">
        <v>13.0</v>
      </c>
      <c r="AF149" s="129"/>
      <c r="AG149" s="129">
        <v>39.0</v>
      </c>
      <c r="AH149" s="129"/>
      <c r="AI149" s="131"/>
      <c r="AJ149" s="131"/>
      <c r="AK149" s="132">
        <f t="shared" si="1"/>
        <v>4</v>
      </c>
      <c r="AL149" s="132">
        <f t="shared" si="2"/>
        <v>1</v>
      </c>
      <c r="AM149" s="133">
        <f t="shared" si="3"/>
        <v>3</v>
      </c>
      <c r="AN149" s="132" t="str">
        <f t="shared" si="4"/>
        <v>2</v>
      </c>
      <c r="AO149" s="132">
        <f t="shared" si="5"/>
        <v>1</v>
      </c>
      <c r="AP149" s="88"/>
    </row>
    <row r="150">
      <c r="A150" s="142">
        <v>146.0</v>
      </c>
      <c r="B150" s="220" t="s">
        <v>25</v>
      </c>
      <c r="C150" s="221" t="s">
        <v>3561</v>
      </c>
      <c r="D150" s="209" t="str">
        <f>VLOOKUP(B150,USN!$1:$1088,2,False)</f>
        <v>1CR23IS151</v>
      </c>
      <c r="E150" s="234">
        <v>7.889921993E9</v>
      </c>
      <c r="F150" s="222" t="s">
        <v>3706</v>
      </c>
      <c r="G150" s="88"/>
      <c r="H150" s="233">
        <v>76.0</v>
      </c>
      <c r="I150" s="211">
        <v>74.0</v>
      </c>
      <c r="J150" s="211">
        <f>VLOOKUP(D150,'L3'!$1:$2060,2,False)</f>
        <v>38</v>
      </c>
      <c r="K150" s="211">
        <f>VLOOKUP(D150,'L4'!$1:$2059,2,False)</f>
        <v>70</v>
      </c>
      <c r="L150" s="212">
        <f>VLOOKUP(D150,'A1 RETEST 5 DEC'!$1:$2096,2,FALSE)</f>
        <v>50</v>
      </c>
      <c r="M150" s="213">
        <f>VLOOKUP(D150,'A2 RETEST 4 DEC'!$1:$2096,2,False)</f>
        <v>50</v>
      </c>
      <c r="N150" s="213">
        <v>9.0</v>
      </c>
      <c r="O150" s="212"/>
      <c r="P150" s="214">
        <f>IFNA(VLOOKUP(D150,'S1'!$1:$2000,2,False),0)</f>
        <v>0</v>
      </c>
      <c r="Q150" s="214">
        <f>vlookup(D150,'S2'!A146:B1348,2,0)</f>
        <v>0</v>
      </c>
      <c r="R150" s="214">
        <f>ifna(vlookup(D150,'S3'!$1:$1311,2,False),0)</f>
        <v>0</v>
      </c>
      <c r="S150" s="214"/>
      <c r="T150" s="215">
        <v>14.0</v>
      </c>
      <c r="U150" s="215">
        <v>20.0</v>
      </c>
      <c r="V150" s="215"/>
      <c r="W150" s="215">
        <v>24.0</v>
      </c>
      <c r="X150" s="216">
        <v>80.0</v>
      </c>
      <c r="Y150" s="215"/>
      <c r="Z150" s="217"/>
      <c r="AA150" s="218">
        <v>14.0</v>
      </c>
      <c r="AB150" s="219">
        <v>20.0</v>
      </c>
      <c r="AC150" s="129">
        <v>0.0</v>
      </c>
      <c r="AD150" s="129">
        <v>75.0</v>
      </c>
      <c r="AE150" s="130">
        <v>10.0</v>
      </c>
      <c r="AF150" s="129"/>
      <c r="AG150" s="129">
        <v>4.0</v>
      </c>
      <c r="AH150" s="129"/>
      <c r="AI150" s="88"/>
      <c r="AJ150" s="88"/>
      <c r="AK150" s="132">
        <f t="shared" si="1"/>
        <v>2</v>
      </c>
      <c r="AL150" s="132">
        <f t="shared" si="2"/>
        <v>2</v>
      </c>
      <c r="AM150" s="133">
        <f t="shared" si="3"/>
        <v>2</v>
      </c>
      <c r="AN150" s="132" t="str">
        <f t="shared" si="4"/>
        <v>0</v>
      </c>
      <c r="AO150" s="132">
        <f t="shared" si="5"/>
        <v>0</v>
      </c>
      <c r="AP150" s="88"/>
    </row>
    <row r="151">
      <c r="A151" s="142">
        <v>147.0</v>
      </c>
      <c r="B151" s="220" t="s">
        <v>1500</v>
      </c>
      <c r="C151" s="221" t="s">
        <v>3562</v>
      </c>
      <c r="D151" s="209" t="str">
        <f>VLOOKUP(B151,USN!$1:$1088,2,False)</f>
        <v>1CR23IS152</v>
      </c>
      <c r="E151" s="222">
        <v>8.296651515E9</v>
      </c>
      <c r="F151" s="222" t="s">
        <v>3706</v>
      </c>
      <c r="G151" s="88"/>
      <c r="H151" s="223">
        <v>66.0</v>
      </c>
      <c r="I151" s="211">
        <v>72.0</v>
      </c>
      <c r="J151" s="211">
        <f>VLOOKUP(D151,'L3'!$1:$2060,2,False)</f>
        <v>25</v>
      </c>
      <c r="K151" s="211">
        <f>VLOOKUP(D151,'L4'!$1:$2059,2,False)</f>
        <v>70</v>
      </c>
      <c r="L151" s="212">
        <f>VLOOKUP(D151,'A1 RETEST 5 DEC'!$1:$2096,2,FALSE)</f>
        <v>50</v>
      </c>
      <c r="M151" s="213">
        <f>VLOOKUP(D151,'A2 RETEST 4 DEC'!$1:$2096,2,False)</f>
        <v>50</v>
      </c>
      <c r="N151" s="213">
        <v>26.0</v>
      </c>
      <c r="O151" s="212"/>
      <c r="P151" s="214">
        <f>IFNA(VLOOKUP(D151,'S1'!$1:$2000,2,False),0)</f>
        <v>0</v>
      </c>
      <c r="Q151" s="214">
        <f>vlookup(D151,'S2'!A147:B1349,2,0)</f>
        <v>50</v>
      </c>
      <c r="R151" s="214">
        <f>ifna(vlookup(D151,'S3'!$1:$1311,2,False),0)</f>
        <v>50</v>
      </c>
      <c r="S151" s="214"/>
      <c r="T151" s="215">
        <v>16.0</v>
      </c>
      <c r="U151" s="215">
        <v>21.0</v>
      </c>
      <c r="V151" s="215">
        <v>44.0</v>
      </c>
      <c r="W151" s="215">
        <v>68.0</v>
      </c>
      <c r="X151" s="216">
        <v>80.0</v>
      </c>
      <c r="Y151" s="215"/>
      <c r="Z151" s="224"/>
      <c r="AA151" s="218">
        <v>66.0</v>
      </c>
      <c r="AB151" s="219">
        <v>49.0</v>
      </c>
      <c r="AC151" s="129">
        <v>0.0</v>
      </c>
      <c r="AD151" s="129">
        <v>90.0</v>
      </c>
      <c r="AE151" s="130">
        <v>46.0</v>
      </c>
      <c r="AF151" s="129"/>
      <c r="AG151" s="129">
        <v>1.0</v>
      </c>
      <c r="AH151" s="129"/>
      <c r="AI151" s="88"/>
      <c r="AJ151" s="88"/>
      <c r="AK151" s="132">
        <f t="shared" si="1"/>
        <v>2</v>
      </c>
      <c r="AL151" s="132">
        <f t="shared" si="2"/>
        <v>2</v>
      </c>
      <c r="AM151" s="133">
        <f t="shared" si="3"/>
        <v>3</v>
      </c>
      <c r="AN151" s="132" t="str">
        <f t="shared" si="4"/>
        <v>0</v>
      </c>
      <c r="AO151" s="132">
        <f t="shared" si="5"/>
        <v>0</v>
      </c>
      <c r="AP151" s="88"/>
    </row>
    <row r="152">
      <c r="A152" s="142">
        <v>148.0</v>
      </c>
      <c r="B152" s="220" t="s">
        <v>1501</v>
      </c>
      <c r="C152" s="221" t="s">
        <v>3563</v>
      </c>
      <c r="D152" s="209" t="str">
        <f>VLOOKUP(B152,USN!$1:$1088,2,False)</f>
        <v>1CR23IS153</v>
      </c>
      <c r="E152" s="222">
        <v>7.870014306E9</v>
      </c>
      <c r="F152" s="222" t="s">
        <v>3706</v>
      </c>
      <c r="G152" s="88"/>
      <c r="H152" s="223">
        <v>77.0</v>
      </c>
      <c r="I152" s="211">
        <v>90.0</v>
      </c>
      <c r="J152" s="211">
        <f>VLOOKUP(D152,'L3'!$1:$2060,2,False)</f>
        <v>79</v>
      </c>
      <c r="K152" s="211">
        <f>VLOOKUP(D152,'L4'!$1:$2059,2,False)</f>
        <v>73</v>
      </c>
      <c r="L152" s="212">
        <f>VLOOKUP(D152,'A1 RETEST 5 DEC'!$1:$2096,2,FALSE)</f>
        <v>50</v>
      </c>
      <c r="M152" s="213">
        <f>VLOOKUP(D152,'A2 RETEST 4 DEC'!$1:$2096,2,False)</f>
        <v>51</v>
      </c>
      <c r="N152" s="213">
        <v>76.0</v>
      </c>
      <c r="O152" s="212"/>
      <c r="P152" s="214">
        <f>IFNA(VLOOKUP(D152,'S1'!$1:$2000,2,False),0)</f>
        <v>82</v>
      </c>
      <c r="Q152" s="214">
        <f>vlookup(D152,'S2'!A148:B1350,2,0)</f>
        <v>84</v>
      </c>
      <c r="R152" s="214">
        <f>ifna(vlookup(D152,'S3'!$1:$1311,2,False),0)</f>
        <v>95</v>
      </c>
      <c r="S152" s="214"/>
      <c r="T152" s="215">
        <v>14.0</v>
      </c>
      <c r="U152" s="215">
        <v>22.0</v>
      </c>
      <c r="V152" s="215">
        <v>44.0</v>
      </c>
      <c r="W152" s="215">
        <v>76.0</v>
      </c>
      <c r="X152" s="216">
        <v>92.0</v>
      </c>
      <c r="Y152" s="215"/>
      <c r="Z152" s="217"/>
      <c r="AA152" s="218">
        <v>68.0</v>
      </c>
      <c r="AB152" s="219">
        <v>97.0</v>
      </c>
      <c r="AC152" s="129">
        <v>67.0</v>
      </c>
      <c r="AD152" s="129">
        <v>80.0</v>
      </c>
      <c r="AE152" s="130">
        <v>80.0</v>
      </c>
      <c r="AF152" s="129"/>
      <c r="AG152" s="129">
        <v>81.0</v>
      </c>
      <c r="AH152" s="129"/>
      <c r="AI152" s="88"/>
      <c r="AJ152" s="88"/>
      <c r="AK152" s="132">
        <f t="shared" si="1"/>
        <v>4</v>
      </c>
      <c r="AL152" s="132">
        <f t="shared" si="2"/>
        <v>3</v>
      </c>
      <c r="AM152" s="133">
        <f t="shared" si="3"/>
        <v>3</v>
      </c>
      <c r="AN152" s="132" t="str">
        <f t="shared" si="4"/>
        <v>3.5</v>
      </c>
      <c r="AO152" s="132">
        <f t="shared" si="5"/>
        <v>3</v>
      </c>
      <c r="AP152" s="88"/>
    </row>
    <row r="153">
      <c r="A153" s="142">
        <v>149.0</v>
      </c>
      <c r="B153" s="220" t="s">
        <v>1543</v>
      </c>
      <c r="C153" s="221" t="s">
        <v>3564</v>
      </c>
      <c r="D153" s="209" t="str">
        <f>VLOOKUP(B153,USN!$1:$1088,2,False)</f>
        <v>1CR23IS154</v>
      </c>
      <c r="E153" s="222">
        <v>7.795004907E9</v>
      </c>
      <c r="F153" s="222" t="s">
        <v>3706</v>
      </c>
      <c r="G153" s="88"/>
      <c r="H153" s="223">
        <v>81.0</v>
      </c>
      <c r="I153" s="211">
        <v>88.0</v>
      </c>
      <c r="J153" s="211">
        <f>VLOOKUP(D153,'L3'!$1:$2060,2,False)</f>
        <v>77</v>
      </c>
      <c r="K153" s="211">
        <f>VLOOKUP(D153,'L4'!$1:$2059,2,False)</f>
        <v>83</v>
      </c>
      <c r="L153" s="212">
        <f>VLOOKUP(D153,'A1 RETEST 5 DEC'!$1:$2096,2,FALSE)</f>
        <v>50</v>
      </c>
      <c r="M153" s="213">
        <f>VLOOKUP(D153,'A2 RETEST 4 DEC'!$1:$2096,2,False)</f>
        <v>44</v>
      </c>
      <c r="N153" s="213">
        <v>74.0</v>
      </c>
      <c r="O153" s="212"/>
      <c r="P153" s="214">
        <f>IFNA(VLOOKUP(D153,'S1'!$1:$2000,2,False),0)</f>
        <v>68</v>
      </c>
      <c r="Q153" s="214">
        <f>vlookup(D153,'S2'!A149:B1351,2,0)</f>
        <v>71</v>
      </c>
      <c r="R153" s="214">
        <f>ifna(vlookup(D153,'S3'!$1:$1311,2,False),0)</f>
        <v>50</v>
      </c>
      <c r="S153" s="214"/>
      <c r="T153" s="215">
        <v>11.0</v>
      </c>
      <c r="U153" s="215">
        <v>23.0</v>
      </c>
      <c r="V153" s="215">
        <v>48.0</v>
      </c>
      <c r="W153" s="215"/>
      <c r="X153" s="216">
        <v>92.0</v>
      </c>
      <c r="Y153" s="215"/>
      <c r="Z153" s="217"/>
      <c r="AA153" s="218">
        <v>32.0</v>
      </c>
      <c r="AB153" s="219">
        <v>88.0</v>
      </c>
      <c r="AC153" s="129">
        <v>72.0</v>
      </c>
      <c r="AD153" s="129">
        <v>60.0</v>
      </c>
      <c r="AE153" s="130">
        <v>75.0</v>
      </c>
      <c r="AF153" s="129"/>
      <c r="AG153" s="129">
        <v>81.0</v>
      </c>
      <c r="AH153" s="129"/>
      <c r="AI153" s="88"/>
      <c r="AJ153" s="88"/>
      <c r="AK153" s="132">
        <f t="shared" si="1"/>
        <v>4</v>
      </c>
      <c r="AL153" s="132">
        <f t="shared" si="2"/>
        <v>1</v>
      </c>
      <c r="AM153" s="133">
        <f t="shared" si="3"/>
        <v>2</v>
      </c>
      <c r="AN153" s="132" t="str">
        <f t="shared" si="4"/>
        <v>3.5</v>
      </c>
      <c r="AO153" s="132">
        <f t="shared" si="5"/>
        <v>3</v>
      </c>
      <c r="AP153" s="88"/>
    </row>
    <row r="154">
      <c r="A154" s="142">
        <v>150.0</v>
      </c>
      <c r="B154" s="220" t="s">
        <v>1502</v>
      </c>
      <c r="C154" s="221" t="s">
        <v>3565</v>
      </c>
      <c r="D154" s="209" t="str">
        <f>VLOOKUP(B154,USN!$1:$1088,2,False)</f>
        <v>1CR23IS155</v>
      </c>
      <c r="E154" s="222">
        <v>9.334958538E9</v>
      </c>
      <c r="F154" s="222" t="s">
        <v>3706</v>
      </c>
      <c r="G154" s="88"/>
      <c r="H154" s="223">
        <v>89.0</v>
      </c>
      <c r="I154" s="211">
        <v>94.0</v>
      </c>
      <c r="J154" s="211">
        <f>VLOOKUP(D154,'L3'!$1:$2060,2,False)</f>
        <v>82</v>
      </c>
      <c r="K154" s="211">
        <f>VLOOKUP(D154,'L4'!$1:$2059,2,False)</f>
        <v>82</v>
      </c>
      <c r="L154" s="212">
        <f>VLOOKUP(D154,'A1 RETEST 5 DEC'!$1:$2096,2,FALSE)</f>
        <v>50</v>
      </c>
      <c r="M154" s="213">
        <f>VLOOKUP(D154,'A2 RETEST 4 DEC'!$1:$2096,2,False)</f>
        <v>74</v>
      </c>
      <c r="N154" s="213">
        <v>74.0</v>
      </c>
      <c r="O154" s="212"/>
      <c r="P154" s="214">
        <f>IFNA(VLOOKUP(D154,'S1'!$1:$2000,2,False),0)</f>
        <v>81</v>
      </c>
      <c r="Q154" s="214">
        <f>vlookup(D154,'S2'!A150:B1352,2,0)</f>
        <v>84</v>
      </c>
      <c r="R154" s="214">
        <f>ifna(vlookup(D154,'S3'!$1:$1311,2,False),0)</f>
        <v>95</v>
      </c>
      <c r="S154" s="214"/>
      <c r="T154" s="215">
        <v>19.0</v>
      </c>
      <c r="U154" s="215">
        <v>23.0</v>
      </c>
      <c r="V154" s="215">
        <v>46.0</v>
      </c>
      <c r="W154" s="215">
        <v>76.0</v>
      </c>
      <c r="X154" s="216">
        <v>80.0</v>
      </c>
      <c r="Y154" s="215"/>
      <c r="Z154" s="217"/>
      <c r="AA154" s="218">
        <v>68.0</v>
      </c>
      <c r="AB154" s="219">
        <v>100.0</v>
      </c>
      <c r="AC154" s="129">
        <v>81.0</v>
      </c>
      <c r="AD154" s="129">
        <v>75.0</v>
      </c>
      <c r="AE154" s="130">
        <v>80.0</v>
      </c>
      <c r="AF154" s="129"/>
      <c r="AG154" s="129">
        <v>88.0</v>
      </c>
      <c r="AH154" s="129"/>
      <c r="AI154" s="88"/>
      <c r="AJ154" s="88"/>
      <c r="AK154" s="132">
        <f t="shared" si="1"/>
        <v>4</v>
      </c>
      <c r="AL154" s="132">
        <f t="shared" si="2"/>
        <v>3</v>
      </c>
      <c r="AM154" s="133">
        <f t="shared" si="3"/>
        <v>3</v>
      </c>
      <c r="AN154" s="132" t="str">
        <f t="shared" si="4"/>
        <v>3.5</v>
      </c>
      <c r="AO154" s="132">
        <f t="shared" si="5"/>
        <v>3</v>
      </c>
      <c r="AP154" s="88"/>
    </row>
    <row r="155">
      <c r="A155" s="142">
        <v>151.0</v>
      </c>
      <c r="B155" s="220" t="s">
        <v>1503</v>
      </c>
      <c r="C155" s="221" t="s">
        <v>3566</v>
      </c>
      <c r="D155" s="209" t="str">
        <f>VLOOKUP(B155,USN!$1:$1088,2,False)</f>
        <v>1CR23IS156</v>
      </c>
      <c r="E155" s="222">
        <v>8.073623789E9</v>
      </c>
      <c r="F155" s="222" t="s">
        <v>3706</v>
      </c>
      <c r="G155" s="88"/>
      <c r="H155" s="223">
        <v>69.0</v>
      </c>
      <c r="I155" s="211">
        <v>72.0</v>
      </c>
      <c r="J155" s="211">
        <f>VLOOKUP(D155,'L3'!$1:$2060,2,False)</f>
        <v>70</v>
      </c>
      <c r="K155" s="211">
        <f>VLOOKUP(D155,'L4'!$1:$2059,2,False)</f>
        <v>22</v>
      </c>
      <c r="L155" s="212">
        <f>VLOOKUP(D155,'A1 RETEST 5 DEC'!$1:$2096,2,FALSE)</f>
        <v>21</v>
      </c>
      <c r="M155" s="213">
        <f>VLOOKUP(D155,'A2 RETEST 4 DEC'!$1:$2096,2,False)</f>
        <v>53</v>
      </c>
      <c r="N155" s="213">
        <v>22.0</v>
      </c>
      <c r="O155" s="212"/>
      <c r="P155" s="214">
        <f>IFNA(VLOOKUP(D155,'S1'!$1:$2000,2,False),0)</f>
        <v>0</v>
      </c>
      <c r="Q155" s="214">
        <f>vlookup(D155,'S2'!A151:B1353,2,0)</f>
        <v>57</v>
      </c>
      <c r="R155" s="214">
        <f>ifna(vlookup(D155,'S3'!$1:$1311,2,False),0)</f>
        <v>0</v>
      </c>
      <c r="S155" s="214"/>
      <c r="T155" s="215">
        <v>14.0</v>
      </c>
      <c r="U155" s="215">
        <v>22.0</v>
      </c>
      <c r="V155" s="215">
        <v>46.0</v>
      </c>
      <c r="W155" s="215">
        <v>20.0</v>
      </c>
      <c r="X155" s="216">
        <v>72.0</v>
      </c>
      <c r="Y155" s="215"/>
      <c r="Z155" s="217"/>
      <c r="AA155" s="218">
        <v>0.0</v>
      </c>
      <c r="AB155" s="219">
        <v>59.0</v>
      </c>
      <c r="AC155" s="129">
        <v>100.0</v>
      </c>
      <c r="AD155" s="129">
        <v>2.0</v>
      </c>
      <c r="AE155" s="130">
        <v>10.0</v>
      </c>
      <c r="AF155" s="129"/>
      <c r="AG155" s="129">
        <v>0.0</v>
      </c>
      <c r="AH155" s="129"/>
      <c r="AI155" s="88"/>
      <c r="AJ155" s="88"/>
      <c r="AK155" s="132">
        <f t="shared" si="1"/>
        <v>3</v>
      </c>
      <c r="AL155" s="132">
        <f t="shared" si="2"/>
        <v>0</v>
      </c>
      <c r="AM155" s="133">
        <f t="shared" si="3"/>
        <v>2</v>
      </c>
      <c r="AN155" s="132" t="str">
        <f t="shared" si="4"/>
        <v>3</v>
      </c>
      <c r="AO155" s="132">
        <f t="shared" si="5"/>
        <v>0</v>
      </c>
      <c r="AP155" s="88"/>
    </row>
    <row r="156">
      <c r="A156" s="142">
        <v>152.0</v>
      </c>
      <c r="B156" s="220" t="s">
        <v>1505</v>
      </c>
      <c r="C156" s="221" t="s">
        <v>3567</v>
      </c>
      <c r="D156" s="209" t="str">
        <f>VLOOKUP(B156,USN!$1:$1088,2,False)</f>
        <v>1CR23IS158</v>
      </c>
      <c r="E156" s="222">
        <v>7.3490603E9</v>
      </c>
      <c r="F156" s="222" t="s">
        <v>3706</v>
      </c>
      <c r="G156" s="88"/>
      <c r="H156" s="223">
        <v>80.0</v>
      </c>
      <c r="I156" s="211">
        <v>92.0</v>
      </c>
      <c r="J156" s="211">
        <f>VLOOKUP(D156,'L3'!$1:$2060,2,False)</f>
        <v>32</v>
      </c>
      <c r="K156" s="211">
        <f>VLOOKUP(D156,'L4'!$1:$2059,2,False)</f>
        <v>70</v>
      </c>
      <c r="L156" s="212">
        <f>VLOOKUP(D156,'A1 RETEST 5 DEC'!$1:$2096,2,FALSE)</f>
        <v>50</v>
      </c>
      <c r="M156" s="213">
        <f>VLOOKUP(D156,'A2 RETEST 4 DEC'!$1:$2096,2,False)</f>
        <v>50</v>
      </c>
      <c r="N156" s="213">
        <v>25.0</v>
      </c>
      <c r="O156" s="212"/>
      <c r="P156" s="214">
        <f>IFNA(VLOOKUP(D156,'S1'!$1:$2000,2,False),0)</f>
        <v>50</v>
      </c>
      <c r="Q156" s="214">
        <f>vlookup(D156,'S2'!A152:B1354,2,0)</f>
        <v>63</v>
      </c>
      <c r="R156" s="214">
        <f>ifna(vlookup(D156,'S3'!$1:$1311,2,False),0)</f>
        <v>89</v>
      </c>
      <c r="S156" s="214"/>
      <c r="T156" s="215">
        <v>19.0</v>
      </c>
      <c r="U156" s="215">
        <v>24.0</v>
      </c>
      <c r="V156" s="215">
        <v>48.0</v>
      </c>
      <c r="W156" s="215">
        <v>56.0</v>
      </c>
      <c r="X156" s="216">
        <v>68.0</v>
      </c>
      <c r="Y156" s="215"/>
      <c r="Z156" s="217"/>
      <c r="AA156" s="218">
        <v>0.0</v>
      </c>
      <c r="AB156" s="219">
        <v>50.0</v>
      </c>
      <c r="AC156" s="129">
        <v>0.0</v>
      </c>
      <c r="AD156" s="129">
        <v>100.0</v>
      </c>
      <c r="AE156" s="130">
        <v>80.0</v>
      </c>
      <c r="AF156" s="129"/>
      <c r="AG156" s="129">
        <v>0.0</v>
      </c>
      <c r="AH156" s="129"/>
      <c r="AI156" s="88"/>
      <c r="AJ156" s="88"/>
      <c r="AK156" s="132">
        <f t="shared" si="1"/>
        <v>2</v>
      </c>
      <c r="AL156" s="132">
        <f t="shared" si="2"/>
        <v>2</v>
      </c>
      <c r="AM156" s="133">
        <f t="shared" si="3"/>
        <v>3</v>
      </c>
      <c r="AN156" s="132" t="str">
        <f t="shared" si="4"/>
        <v>3.5</v>
      </c>
      <c r="AO156" s="132">
        <f t="shared" si="5"/>
        <v>3</v>
      </c>
      <c r="AP156" s="88"/>
    </row>
    <row r="157">
      <c r="A157" s="142">
        <v>153.0</v>
      </c>
      <c r="B157" s="220" t="s">
        <v>1554</v>
      </c>
      <c r="C157" s="221" t="s">
        <v>3568</v>
      </c>
      <c r="D157" s="209" t="str">
        <f>VLOOKUP(B157,USN!$1:$1088,2,False)</f>
        <v>1CR23IS159</v>
      </c>
      <c r="E157" s="222" t="s">
        <v>3711</v>
      </c>
      <c r="F157" s="222" t="s">
        <v>3706</v>
      </c>
      <c r="G157" s="88"/>
      <c r="H157" s="223">
        <v>71.0</v>
      </c>
      <c r="I157" s="211">
        <v>88.0</v>
      </c>
      <c r="J157" s="211">
        <f>VLOOKUP(D157,'L3'!$1:$2060,2,False)</f>
        <v>70</v>
      </c>
      <c r="K157" s="211">
        <f>VLOOKUP(D157,'L4'!$1:$2059,2,False)</f>
        <v>70</v>
      </c>
      <c r="L157" s="212">
        <f>VLOOKUP(D157,'A1 RETEST 5 DEC'!$1:$2096,2,FALSE)</f>
        <v>50</v>
      </c>
      <c r="M157" s="213">
        <f>VLOOKUP(D157,'A2 RETEST 4 DEC'!$1:$2096,2,False)</f>
        <v>64</v>
      </c>
      <c r="N157" s="213">
        <v>50.0</v>
      </c>
      <c r="O157" s="212"/>
      <c r="P157" s="214">
        <f>IFNA(VLOOKUP(D157,'S1'!$1:$2000,2,False),0)</f>
        <v>50</v>
      </c>
      <c r="Q157" s="214">
        <f>vlookup(D157,'S2'!A153:B1355,2,0)</f>
        <v>63</v>
      </c>
      <c r="R157" s="214">
        <f>ifna(vlookup(D157,'S3'!$1:$1311,2,False),0)</f>
        <v>50</v>
      </c>
      <c r="S157" s="214"/>
      <c r="T157" s="215">
        <v>19.0</v>
      </c>
      <c r="U157" s="215">
        <v>22.0</v>
      </c>
      <c r="V157" s="215">
        <v>48.0</v>
      </c>
      <c r="W157" s="215">
        <v>64.0</v>
      </c>
      <c r="X157" s="216">
        <v>88.0</v>
      </c>
      <c r="Y157" s="215"/>
      <c r="Z157" s="217"/>
      <c r="AA157" s="218">
        <v>6.0</v>
      </c>
      <c r="AB157" s="219">
        <v>88.0</v>
      </c>
      <c r="AC157" s="129">
        <v>75.0</v>
      </c>
      <c r="AD157" s="129">
        <v>100.0</v>
      </c>
      <c r="AE157" s="130">
        <v>70.0</v>
      </c>
      <c r="AF157" s="129"/>
      <c r="AG157" s="129">
        <v>62.0</v>
      </c>
      <c r="AH157" s="129"/>
      <c r="AI157" s="88"/>
      <c r="AJ157" s="88"/>
      <c r="AK157" s="132">
        <f t="shared" si="1"/>
        <v>4</v>
      </c>
      <c r="AL157" s="132">
        <f t="shared" si="2"/>
        <v>3</v>
      </c>
      <c r="AM157" s="133">
        <f t="shared" si="3"/>
        <v>3</v>
      </c>
      <c r="AN157" s="132" t="str">
        <f t="shared" si="4"/>
        <v>3.5</v>
      </c>
      <c r="AO157" s="132">
        <f t="shared" si="5"/>
        <v>3</v>
      </c>
      <c r="AP157" s="88"/>
    </row>
    <row r="158">
      <c r="A158" s="142">
        <v>154.0</v>
      </c>
      <c r="B158" s="220" t="s">
        <v>1506</v>
      </c>
      <c r="C158" s="221" t="s">
        <v>3569</v>
      </c>
      <c r="D158" s="209" t="str">
        <f>VLOOKUP(B158,USN!$1:$1088,2,False)</f>
        <v>1CR23IS160</v>
      </c>
      <c r="E158" s="222">
        <v>8.9712178E9</v>
      </c>
      <c r="F158" s="222" t="s">
        <v>3706</v>
      </c>
      <c r="G158" s="88"/>
      <c r="H158" s="223">
        <v>77.0</v>
      </c>
      <c r="I158" s="211">
        <v>85.0</v>
      </c>
      <c r="J158" s="211">
        <f>VLOOKUP(D158,'L3'!$1:$2060,2,False)</f>
        <v>70</v>
      </c>
      <c r="K158" s="211">
        <f>VLOOKUP(D158,'L4'!$1:$2059,2,False)</f>
        <v>79</v>
      </c>
      <c r="L158" s="212">
        <f>VLOOKUP(D158,'A1 RETEST 5 DEC'!$1:$2096,2,FALSE)</f>
        <v>50</v>
      </c>
      <c r="M158" s="213">
        <f>VLOOKUP(D158,'A2 RETEST 4 DEC'!$1:$2096,2,False)</f>
        <v>38</v>
      </c>
      <c r="N158" s="213">
        <v>26.0</v>
      </c>
      <c r="O158" s="212"/>
      <c r="P158" s="214">
        <f>IFNA(VLOOKUP(D158,'S1'!$1:$2000,2,False),0)</f>
        <v>74</v>
      </c>
      <c r="Q158" s="214">
        <f>vlookup(D158,'S2'!A154:B1356,2,0)</f>
        <v>61</v>
      </c>
      <c r="R158" s="214">
        <f>ifna(vlookup(D158,'S3'!$1:$1311,2,False),0)</f>
        <v>91</v>
      </c>
      <c r="S158" s="214"/>
      <c r="T158" s="215">
        <v>17.0</v>
      </c>
      <c r="U158" s="215">
        <v>20.0</v>
      </c>
      <c r="V158" s="215"/>
      <c r="W158" s="215"/>
      <c r="X158" s="216">
        <v>72.0</v>
      </c>
      <c r="Y158" s="215"/>
      <c r="Z158" s="217"/>
      <c r="AA158" s="218">
        <v>97.0</v>
      </c>
      <c r="AB158" s="219">
        <v>95.0</v>
      </c>
      <c r="AC158" s="129">
        <v>65.0</v>
      </c>
      <c r="AD158" s="129">
        <v>35.0</v>
      </c>
      <c r="AE158" s="130">
        <v>10.0</v>
      </c>
      <c r="AF158" s="129"/>
      <c r="AG158" s="129">
        <v>10.0</v>
      </c>
      <c r="AH158" s="129"/>
      <c r="AI158" s="88"/>
      <c r="AJ158" s="88"/>
      <c r="AK158" s="132">
        <f t="shared" si="1"/>
        <v>4</v>
      </c>
      <c r="AL158" s="132">
        <f t="shared" si="2"/>
        <v>1</v>
      </c>
      <c r="AM158" s="133">
        <f t="shared" si="3"/>
        <v>2</v>
      </c>
      <c r="AN158" s="132" t="str">
        <f t="shared" si="4"/>
        <v>3</v>
      </c>
      <c r="AO158" s="132">
        <f t="shared" si="5"/>
        <v>3</v>
      </c>
      <c r="AP158" s="88"/>
    </row>
    <row r="159">
      <c r="A159" s="142">
        <v>155.0</v>
      </c>
      <c r="B159" s="220" t="s">
        <v>1507</v>
      </c>
      <c r="C159" s="221" t="s">
        <v>3570</v>
      </c>
      <c r="D159" s="209" t="str">
        <f>VLOOKUP(B159,USN!$1:$1088,2,False)</f>
        <v>1CR23IS161</v>
      </c>
      <c r="E159" s="222">
        <v>8.105491027E9</v>
      </c>
      <c r="F159" s="222" t="s">
        <v>3706</v>
      </c>
      <c r="G159" s="88"/>
      <c r="H159" s="243">
        <v>70.0</v>
      </c>
      <c r="I159" s="211">
        <v>75.0</v>
      </c>
      <c r="J159" s="211">
        <f>VLOOKUP(D159,'L3'!$1:$2060,2,False)</f>
        <v>53</v>
      </c>
      <c r="K159" s="211">
        <f>VLOOKUP(D159,'L4'!$1:$2059,2,False)</f>
        <v>70</v>
      </c>
      <c r="L159" s="212">
        <f>VLOOKUP(D159,'A1 RETEST 5 DEC'!$1:$2096,2,FALSE)</f>
        <v>50</v>
      </c>
      <c r="M159" s="213">
        <f>VLOOKUP(D159,'A2 RETEST 4 DEC'!$1:$2096,2,False)</f>
        <v>23</v>
      </c>
      <c r="N159" s="213">
        <v>50.0</v>
      </c>
      <c r="O159" s="212"/>
      <c r="P159" s="214">
        <f>IFNA(VLOOKUP(D159,'S1'!$1:$2000,2,False),0)</f>
        <v>81</v>
      </c>
      <c r="Q159" s="214">
        <f>vlookup(D159,'S2'!A155:B1357,2,0)</f>
        <v>57</v>
      </c>
      <c r="R159" s="214">
        <f>ifna(vlookup(D159,'S3'!$1:$1311,2,False),0)</f>
        <v>41</v>
      </c>
      <c r="S159" s="214"/>
      <c r="T159" s="215">
        <v>8.0</v>
      </c>
      <c r="U159" s="215">
        <v>19.0</v>
      </c>
      <c r="V159" s="215"/>
      <c r="W159" s="215">
        <v>28.0</v>
      </c>
      <c r="X159" s="216">
        <v>72.0</v>
      </c>
      <c r="Y159" s="215"/>
      <c r="Z159" s="217"/>
      <c r="AA159" s="218">
        <v>44.0</v>
      </c>
      <c r="AB159" s="219">
        <v>56.0</v>
      </c>
      <c r="AC159" s="129">
        <v>100.0</v>
      </c>
      <c r="AD159" s="129">
        <v>2.0</v>
      </c>
      <c r="AE159" s="130">
        <v>10.0</v>
      </c>
      <c r="AF159" s="129"/>
      <c r="AG159" s="129">
        <v>17.0</v>
      </c>
      <c r="AH159" s="129"/>
      <c r="AI159" s="88"/>
      <c r="AJ159" s="88"/>
      <c r="AK159" s="132">
        <f t="shared" si="1"/>
        <v>2</v>
      </c>
      <c r="AL159" s="132">
        <f t="shared" si="2"/>
        <v>1</v>
      </c>
      <c r="AM159" s="133">
        <f t="shared" si="3"/>
        <v>0</v>
      </c>
      <c r="AN159" s="132" t="str">
        <f t="shared" si="4"/>
        <v>3</v>
      </c>
      <c r="AO159" s="132">
        <f t="shared" si="5"/>
        <v>2</v>
      </c>
      <c r="AP159" s="88"/>
    </row>
    <row r="160">
      <c r="A160" s="142">
        <v>156.0</v>
      </c>
      <c r="B160" s="220" t="s">
        <v>1539</v>
      </c>
      <c r="C160" s="221" t="s">
        <v>3571</v>
      </c>
      <c r="D160" s="209" t="str">
        <f>VLOOKUP(B160,USN!$1:$1088,2,False)</f>
        <v>1CR23IS162</v>
      </c>
      <c r="E160" s="222">
        <v>9.902858308E9</v>
      </c>
      <c r="F160" s="222" t="s">
        <v>3706</v>
      </c>
      <c r="G160" s="88"/>
      <c r="H160" s="223">
        <v>81.0</v>
      </c>
      <c r="I160" s="211">
        <v>89.0</v>
      </c>
      <c r="J160" s="211">
        <f>VLOOKUP(D160,'L3'!$1:$2060,2,False)</f>
        <v>74</v>
      </c>
      <c r="K160" s="211">
        <f>VLOOKUP(D160,'L4'!$1:$2059,2,False)</f>
        <v>80</v>
      </c>
      <c r="L160" s="212">
        <f>VLOOKUP(D160,'A1 RETEST 5 DEC'!$1:$2096,2,FALSE)</f>
        <v>50</v>
      </c>
      <c r="M160" s="213">
        <f>VLOOKUP(D160,'A2 RETEST 4 DEC'!$1:$2096,2,False)</f>
        <v>50</v>
      </c>
      <c r="N160" s="213">
        <v>56.0</v>
      </c>
      <c r="O160" s="212"/>
      <c r="P160" s="214">
        <f>IFNA(VLOOKUP(D160,'S1'!$1:$2000,2,False),0)</f>
        <v>68</v>
      </c>
      <c r="Q160" s="214">
        <f>vlookup(D160,'S2'!A156:B1358,2,0)</f>
        <v>78</v>
      </c>
      <c r="R160" s="214">
        <f>ifna(vlookup(D160,'S3'!$1:$1311,2,False),0)</f>
        <v>93</v>
      </c>
      <c r="S160" s="214"/>
      <c r="T160" s="215">
        <v>18.0</v>
      </c>
      <c r="U160" s="215">
        <v>21.0</v>
      </c>
      <c r="V160" s="215">
        <v>46.0</v>
      </c>
      <c r="W160" s="215">
        <v>60.0</v>
      </c>
      <c r="X160" s="216">
        <v>92.0</v>
      </c>
      <c r="Y160" s="215"/>
      <c r="Z160" s="217"/>
      <c r="AA160" s="218">
        <v>28.0</v>
      </c>
      <c r="AB160" s="219">
        <v>98.0</v>
      </c>
      <c r="AC160" s="129">
        <v>77.0</v>
      </c>
      <c r="AD160" s="129">
        <v>70.0</v>
      </c>
      <c r="AE160" s="130">
        <v>72.0</v>
      </c>
      <c r="AF160" s="129"/>
      <c r="AG160" s="129">
        <v>83.0</v>
      </c>
      <c r="AH160" s="129"/>
      <c r="AI160" s="88"/>
      <c r="AJ160" s="88"/>
      <c r="AK160" s="132">
        <f t="shared" si="1"/>
        <v>4</v>
      </c>
      <c r="AL160" s="132">
        <f t="shared" si="2"/>
        <v>3</v>
      </c>
      <c r="AM160" s="133">
        <f t="shared" si="3"/>
        <v>3</v>
      </c>
      <c r="AN160" s="132" t="str">
        <f t="shared" si="4"/>
        <v>3.5</v>
      </c>
      <c r="AO160" s="132">
        <f t="shared" si="5"/>
        <v>3</v>
      </c>
      <c r="AP160" s="88"/>
    </row>
    <row r="161">
      <c r="A161" s="142">
        <v>157.0</v>
      </c>
      <c r="B161" s="220" t="s">
        <v>1464</v>
      </c>
      <c r="C161" s="221" t="s">
        <v>3572</v>
      </c>
      <c r="D161" s="209" t="str">
        <f>VLOOKUP(B161,USN!$1:$1088,2,False)</f>
        <v>1CR23IS163</v>
      </c>
      <c r="E161" s="226">
        <v>7.353813757E9</v>
      </c>
      <c r="F161" s="222" t="s">
        <v>3706</v>
      </c>
      <c r="G161" s="88"/>
      <c r="H161" s="223">
        <v>86.0</v>
      </c>
      <c r="I161" s="211">
        <v>91.0</v>
      </c>
      <c r="J161" s="211">
        <f>VLOOKUP(D161,'L3'!$1:$2060,2,False)</f>
        <v>87</v>
      </c>
      <c r="K161" s="211">
        <f>VLOOKUP(D161,'L4'!$1:$2059,2,False)</f>
        <v>78</v>
      </c>
      <c r="L161" s="212">
        <f>VLOOKUP(D161,'A1 RETEST 5 DEC'!$1:$2096,2,FALSE)</f>
        <v>65</v>
      </c>
      <c r="M161" s="213">
        <f>VLOOKUP(D161,'A2 RETEST 4 DEC'!$1:$2096,2,False)</f>
        <v>53</v>
      </c>
      <c r="N161" s="213">
        <v>60.0</v>
      </c>
      <c r="O161" s="212"/>
      <c r="P161" s="214">
        <f>IFNA(VLOOKUP(D161,'S1'!$1:$2000,2,False),0)</f>
        <v>87</v>
      </c>
      <c r="Q161" s="214">
        <f>vlookup(D161,'S2'!A157:B1359,2,0)</f>
        <v>78</v>
      </c>
      <c r="R161" s="214">
        <f>ifna(vlookup(D161,'S3'!$1:$1311,2,False),0)</f>
        <v>95</v>
      </c>
      <c r="S161" s="214"/>
      <c r="T161" s="215">
        <v>18.0</v>
      </c>
      <c r="U161" s="215">
        <v>25.0</v>
      </c>
      <c r="V161" s="215">
        <v>48.0</v>
      </c>
      <c r="W161" s="215">
        <v>56.0</v>
      </c>
      <c r="X161" s="216">
        <v>76.0</v>
      </c>
      <c r="Y161" s="215"/>
      <c r="Z161" s="217"/>
      <c r="AA161" s="218">
        <v>100.0</v>
      </c>
      <c r="AB161" s="219">
        <v>97.0</v>
      </c>
      <c r="AC161" s="129">
        <v>61.0</v>
      </c>
      <c r="AD161" s="129">
        <v>100.0</v>
      </c>
      <c r="AE161" s="130">
        <v>79.0</v>
      </c>
      <c r="AF161" s="129"/>
      <c r="AG161" s="129">
        <v>84.0</v>
      </c>
      <c r="AH161" s="129"/>
      <c r="AI161" s="88"/>
      <c r="AJ161" s="88"/>
      <c r="AK161" s="132">
        <f t="shared" si="1"/>
        <v>4</v>
      </c>
      <c r="AL161" s="132">
        <f t="shared" si="2"/>
        <v>3</v>
      </c>
      <c r="AM161" s="133">
        <f t="shared" si="3"/>
        <v>3</v>
      </c>
      <c r="AN161" s="132" t="str">
        <f t="shared" si="4"/>
        <v>3.5</v>
      </c>
      <c r="AO161" s="132">
        <f t="shared" si="5"/>
        <v>3</v>
      </c>
      <c r="AP161" s="88"/>
    </row>
    <row r="162">
      <c r="A162" s="142">
        <v>158.0</v>
      </c>
      <c r="B162" s="220" t="s">
        <v>1508</v>
      </c>
      <c r="C162" s="221" t="s">
        <v>3573</v>
      </c>
      <c r="D162" s="209" t="str">
        <f>VLOOKUP(B162,USN!$1:$1088,2,False)</f>
        <v>1CR23IS164</v>
      </c>
      <c r="E162" s="222">
        <v>9.122437012E9</v>
      </c>
      <c r="F162" s="222" t="s">
        <v>3706</v>
      </c>
      <c r="G162" s="88"/>
      <c r="H162" s="223">
        <v>80.0</v>
      </c>
      <c r="I162" s="211">
        <v>88.0</v>
      </c>
      <c r="J162" s="211">
        <f>VLOOKUP(D162,'L3'!$1:$2060,2,False)</f>
        <v>74</v>
      </c>
      <c r="K162" s="211">
        <f>VLOOKUP(D162,'L4'!$1:$2059,2,False)</f>
        <v>76</v>
      </c>
      <c r="L162" s="212">
        <f>VLOOKUP(D162,'A1 RETEST 5 DEC'!$1:$2096,2,FALSE)</f>
        <v>48</v>
      </c>
      <c r="M162" s="213">
        <f>VLOOKUP(D162,'A2 RETEST 4 DEC'!$1:$2096,2,False)</f>
        <v>50</v>
      </c>
      <c r="N162" s="213">
        <v>62.0</v>
      </c>
      <c r="O162" s="212"/>
      <c r="P162" s="214">
        <f>IFNA(VLOOKUP(D162,'S1'!$1:$2000,2,False),0)</f>
        <v>50</v>
      </c>
      <c r="Q162" s="214">
        <f>vlookup(D162,'S2'!A158:B1360,2,0)</f>
        <v>84</v>
      </c>
      <c r="R162" s="214">
        <f>ifna(vlookup(D162,'S3'!$1:$1311,2,False),0)</f>
        <v>95</v>
      </c>
      <c r="S162" s="214"/>
      <c r="T162" s="215">
        <v>22.0</v>
      </c>
      <c r="U162" s="215">
        <v>21.0</v>
      </c>
      <c r="V162" s="215">
        <v>46.0</v>
      </c>
      <c r="W162" s="215">
        <v>36.0</v>
      </c>
      <c r="X162" s="216">
        <v>80.0</v>
      </c>
      <c r="Y162" s="215"/>
      <c r="Z162" s="217"/>
      <c r="AA162" s="218">
        <v>50.0</v>
      </c>
      <c r="AB162" s="219">
        <v>90.0</v>
      </c>
      <c r="AC162" s="129">
        <v>67.0</v>
      </c>
      <c r="AD162" s="129">
        <v>2.0</v>
      </c>
      <c r="AE162" s="130">
        <v>77.0</v>
      </c>
      <c r="AF162" s="129"/>
      <c r="AG162" s="129">
        <v>83.0</v>
      </c>
      <c r="AH162" s="129"/>
      <c r="AI162" s="88"/>
      <c r="AJ162" s="88"/>
      <c r="AK162" s="132">
        <f t="shared" si="1"/>
        <v>4</v>
      </c>
      <c r="AL162" s="132">
        <f t="shared" si="2"/>
        <v>0</v>
      </c>
      <c r="AM162" s="133">
        <f t="shared" si="3"/>
        <v>2</v>
      </c>
      <c r="AN162" s="132" t="str">
        <f t="shared" si="4"/>
        <v>3.5</v>
      </c>
      <c r="AO162" s="132">
        <f t="shared" si="5"/>
        <v>3</v>
      </c>
      <c r="AP162" s="88"/>
    </row>
    <row r="163">
      <c r="A163" s="142">
        <v>159.0</v>
      </c>
      <c r="B163" s="220" t="s">
        <v>1534</v>
      </c>
      <c r="C163" s="221" t="s">
        <v>3574</v>
      </c>
      <c r="D163" s="209" t="str">
        <f>VLOOKUP(B163,USN!$1:$1088,2,False)</f>
        <v>1CR23IS165</v>
      </c>
      <c r="E163" s="222">
        <v>7.975438395E9</v>
      </c>
      <c r="F163" s="222" t="s">
        <v>3706</v>
      </c>
      <c r="G163" s="155"/>
      <c r="H163" s="233">
        <v>70.0</v>
      </c>
      <c r="I163" s="211">
        <v>70.0</v>
      </c>
      <c r="J163" s="211">
        <f>VLOOKUP(D163,'L3'!$1:$2060,2,False)</f>
        <v>70</v>
      </c>
      <c r="K163" s="211">
        <f>VLOOKUP(D163,'L4'!$1:$2059,2,False)</f>
        <v>70</v>
      </c>
      <c r="L163" s="212">
        <f>VLOOKUP(D163,'A1 RETEST 5 DEC'!$1:$2096,2,FALSE)</f>
        <v>50</v>
      </c>
      <c r="M163" s="213">
        <f>VLOOKUP(D163,'A2 RETEST 4 DEC'!$1:$2096,2,False)</f>
        <v>4</v>
      </c>
      <c r="N163" s="213">
        <v>50.0</v>
      </c>
      <c r="O163" s="212"/>
      <c r="P163" s="214">
        <f>IFNA(VLOOKUP(D163,'S1'!$1:$2000,2,False),0)</f>
        <v>68</v>
      </c>
      <c r="Q163" s="214">
        <f>vlookup(D163,'S2'!A159:B1361,2,0)</f>
        <v>57</v>
      </c>
      <c r="R163" s="214">
        <f>ifna(vlookup(D163,'S3'!$1:$1311,2,False),0)</f>
        <v>75</v>
      </c>
      <c r="S163" s="214"/>
      <c r="T163" s="215">
        <v>22.0</v>
      </c>
      <c r="U163" s="215">
        <v>23.0</v>
      </c>
      <c r="V163" s="215">
        <v>46.0</v>
      </c>
      <c r="W163" s="215">
        <v>32.0</v>
      </c>
      <c r="X163" s="216">
        <v>92.0</v>
      </c>
      <c r="Y163" s="215"/>
      <c r="Z163" s="217"/>
      <c r="AA163" s="218">
        <v>2.0</v>
      </c>
      <c r="AB163" s="219">
        <v>80.0</v>
      </c>
      <c r="AC163" s="129">
        <v>70.0</v>
      </c>
      <c r="AD163" s="129">
        <v>60.0</v>
      </c>
      <c r="AE163" s="130">
        <v>72.0</v>
      </c>
      <c r="AF163" s="129"/>
      <c r="AG163" s="129">
        <v>19.0</v>
      </c>
      <c r="AH163" s="129"/>
      <c r="AI163" s="88"/>
      <c r="AJ163" s="88"/>
      <c r="AK163" s="132">
        <f t="shared" si="1"/>
        <v>4</v>
      </c>
      <c r="AL163" s="132">
        <f t="shared" si="2"/>
        <v>1</v>
      </c>
      <c r="AM163" s="133">
        <f t="shared" si="3"/>
        <v>2</v>
      </c>
      <c r="AN163" s="132" t="str">
        <f t="shared" si="4"/>
        <v>3.5</v>
      </c>
      <c r="AO163" s="132">
        <f t="shared" si="5"/>
        <v>3</v>
      </c>
      <c r="AP163" s="88"/>
    </row>
    <row r="164">
      <c r="A164" s="142">
        <v>160.0</v>
      </c>
      <c r="B164" s="220" t="s">
        <v>1509</v>
      </c>
      <c r="C164" s="221" t="s">
        <v>3575</v>
      </c>
      <c r="D164" s="209" t="str">
        <f>VLOOKUP(B164,USN!$1:$1088,2,False)</f>
        <v>1CR23IS166</v>
      </c>
      <c r="E164" s="222">
        <v>9.060691934E9</v>
      </c>
      <c r="F164" s="222" t="s">
        <v>3706</v>
      </c>
      <c r="G164" s="88"/>
      <c r="H164" s="223">
        <v>83.0</v>
      </c>
      <c r="I164" s="211">
        <v>92.0</v>
      </c>
      <c r="J164" s="211">
        <f>VLOOKUP(D164,'L3'!$1:$2060,2,False)</f>
        <v>70</v>
      </c>
      <c r="K164" s="211">
        <f>VLOOKUP(D164,'L4'!$1:$2059,2,False)</f>
        <v>70</v>
      </c>
      <c r="L164" s="212">
        <f>VLOOKUP(D164,'A1 RETEST 5 DEC'!$1:$2096,2,FALSE)</f>
        <v>50</v>
      </c>
      <c r="M164" s="213">
        <f>VLOOKUP(D164,'A2 RETEST 4 DEC'!$1:$2096,2,False)</f>
        <v>50</v>
      </c>
      <c r="N164" s="213">
        <v>50.0</v>
      </c>
      <c r="O164" s="212"/>
      <c r="P164" s="214">
        <f>IFNA(VLOOKUP(D164,'S1'!$1:$2000,2,False),0)</f>
        <v>50</v>
      </c>
      <c r="Q164" s="214">
        <f>vlookup(D164,'S2'!A160:B1362,2,0)</f>
        <v>65</v>
      </c>
      <c r="R164" s="214">
        <f>ifna(vlookup(D164,'S3'!$1:$1311,2,False),0)</f>
        <v>50</v>
      </c>
      <c r="S164" s="214"/>
      <c r="T164" s="215">
        <v>19.0</v>
      </c>
      <c r="U164" s="215">
        <v>23.0</v>
      </c>
      <c r="V164" s="215"/>
      <c r="W164" s="215">
        <v>72.0</v>
      </c>
      <c r="X164" s="216">
        <v>76.0</v>
      </c>
      <c r="Y164" s="215"/>
      <c r="Z164" s="217"/>
      <c r="AA164" s="218">
        <v>82.0</v>
      </c>
      <c r="AB164" s="219">
        <v>100.0</v>
      </c>
      <c r="AC164" s="129">
        <v>74.0</v>
      </c>
      <c r="AD164" s="129">
        <v>60.0</v>
      </c>
      <c r="AE164" s="130">
        <v>98.0</v>
      </c>
      <c r="AF164" s="129"/>
      <c r="AG164" s="129">
        <v>10.0</v>
      </c>
      <c r="AH164" s="129"/>
      <c r="AI164" s="88"/>
      <c r="AJ164" s="88"/>
      <c r="AK164" s="132">
        <f t="shared" si="1"/>
        <v>4</v>
      </c>
      <c r="AL164" s="132">
        <f t="shared" si="2"/>
        <v>3</v>
      </c>
      <c r="AM164" s="133">
        <f t="shared" si="3"/>
        <v>3</v>
      </c>
      <c r="AN164" s="132" t="str">
        <f t="shared" si="4"/>
        <v>3.5</v>
      </c>
      <c r="AO164" s="132">
        <f t="shared" si="5"/>
        <v>3</v>
      </c>
      <c r="AP164" s="88"/>
    </row>
    <row r="165">
      <c r="A165" s="142">
        <v>161.0</v>
      </c>
      <c r="B165" s="220" t="s">
        <v>1532</v>
      </c>
      <c r="C165" s="221" t="s">
        <v>3576</v>
      </c>
      <c r="D165" s="209" t="str">
        <f>VLOOKUP(B165,USN!$1:$1088,2,False)</f>
        <v>1CR23IS167</v>
      </c>
      <c r="E165" s="247">
        <v>9.808054411E9</v>
      </c>
      <c r="F165" s="222" t="s">
        <v>3706</v>
      </c>
      <c r="G165" s="88"/>
      <c r="H165" s="223">
        <v>73.0</v>
      </c>
      <c r="I165" s="211">
        <v>82.0</v>
      </c>
      <c r="J165" s="211">
        <f>VLOOKUP(D165,'L3'!$1:$2060,2,False)</f>
        <v>41</v>
      </c>
      <c r="K165" s="211">
        <f>VLOOKUP(D165,'L4'!$1:$2059,2,False)</f>
        <v>12</v>
      </c>
      <c r="L165" s="212">
        <f>VLOOKUP(D165,'A1 RETEST 5 DEC'!$1:$2096,2,FALSE)</f>
        <v>12</v>
      </c>
      <c r="M165" s="213">
        <f>VLOOKUP(D165,'A2 RETEST 4 DEC'!$1:$2096,2,False)</f>
        <v>0</v>
      </c>
      <c r="N165" s="213">
        <v>0.0</v>
      </c>
      <c r="O165" s="212"/>
      <c r="P165" s="214">
        <f>IFNA(VLOOKUP(D165,'S1'!$1:$2000,2,False),0)</f>
        <v>0</v>
      </c>
      <c r="Q165" s="214">
        <f>vlookup(D165,'S2'!A161:B1363,2,0)</f>
        <v>0</v>
      </c>
      <c r="R165" s="214">
        <f>ifna(vlookup(D165,'S3'!$1:$1311,2,False),0)</f>
        <v>0</v>
      </c>
      <c r="S165" s="214"/>
      <c r="T165" s="215">
        <v>10.0</v>
      </c>
      <c r="U165" s="215">
        <v>23.0</v>
      </c>
      <c r="V165" s="215">
        <v>48.0</v>
      </c>
      <c r="W165" s="215">
        <v>48.0</v>
      </c>
      <c r="X165" s="216">
        <v>64.0</v>
      </c>
      <c r="Y165" s="215"/>
      <c r="Z165" s="217"/>
      <c r="AA165" s="218">
        <v>0.0</v>
      </c>
      <c r="AB165" s="219">
        <v>90.0</v>
      </c>
      <c r="AC165" s="129">
        <v>0.0</v>
      </c>
      <c r="AD165" s="129">
        <v>0.0</v>
      </c>
      <c r="AE165" s="130">
        <v>10.0</v>
      </c>
      <c r="AF165" s="129"/>
      <c r="AG165" s="129">
        <v>0.0</v>
      </c>
      <c r="AH165" s="129"/>
      <c r="AI165" s="88"/>
      <c r="AJ165" s="88"/>
      <c r="AK165" s="132">
        <f t="shared" si="1"/>
        <v>2</v>
      </c>
      <c r="AL165" s="132">
        <f t="shared" si="2"/>
        <v>0</v>
      </c>
      <c r="AM165" s="133">
        <f t="shared" si="3"/>
        <v>2</v>
      </c>
      <c r="AN165" s="132" t="str">
        <f t="shared" si="4"/>
        <v>2</v>
      </c>
      <c r="AO165" s="132">
        <f t="shared" si="5"/>
        <v>0</v>
      </c>
      <c r="AP165" s="88"/>
    </row>
    <row r="166">
      <c r="A166" s="142">
        <v>162.0</v>
      </c>
      <c r="B166" s="220" t="s">
        <v>1419</v>
      </c>
      <c r="C166" s="221" t="s">
        <v>3577</v>
      </c>
      <c r="D166" s="209" t="str">
        <f>VLOOKUP(B166,USN!$1:$1088,2,False)</f>
        <v>1CR23IS168</v>
      </c>
      <c r="E166" s="227">
        <v>9.945230609E9</v>
      </c>
      <c r="F166" s="222" t="s">
        <v>3706</v>
      </c>
      <c r="G166" s="88"/>
      <c r="H166" s="223">
        <v>89.0</v>
      </c>
      <c r="I166" s="211">
        <v>90.0</v>
      </c>
      <c r="J166" s="211">
        <f>VLOOKUP(D166,'L3'!$1:$2060,2,False)</f>
        <v>78</v>
      </c>
      <c r="K166" s="211">
        <f>VLOOKUP(D166,'L4'!$1:$2059,2,False)</f>
        <v>75</v>
      </c>
      <c r="L166" s="212">
        <f>VLOOKUP(D166,'A1 RETEST 5 DEC'!$1:$2096,2,FALSE)</f>
        <v>50</v>
      </c>
      <c r="M166" s="213">
        <f>VLOOKUP(D166,'A2 RETEST 4 DEC'!$1:$2096,2,False)</f>
        <v>50</v>
      </c>
      <c r="N166" s="213">
        <v>50.0</v>
      </c>
      <c r="O166" s="212"/>
      <c r="P166" s="214">
        <f>IFNA(VLOOKUP(D166,'S1'!$1:$2000,2,False),0)</f>
        <v>78</v>
      </c>
      <c r="Q166" s="214">
        <f>vlookup(D166,'S2'!A162:B1364,2,0)</f>
        <v>60</v>
      </c>
      <c r="R166" s="214">
        <f>ifna(vlookup(D166,'S3'!$1:$1311,2,False),0)</f>
        <v>90</v>
      </c>
      <c r="S166" s="214"/>
      <c r="T166" s="215">
        <v>11.0</v>
      </c>
      <c r="U166" s="215">
        <v>24.0</v>
      </c>
      <c r="V166" s="215">
        <v>48.0</v>
      </c>
      <c r="W166" s="215"/>
      <c r="X166" s="216">
        <v>80.0</v>
      </c>
      <c r="Y166" s="215"/>
      <c r="Z166" s="224"/>
      <c r="AA166" s="218">
        <v>84.0</v>
      </c>
      <c r="AB166" s="219">
        <v>100.0</v>
      </c>
      <c r="AC166" s="129">
        <v>60.0</v>
      </c>
      <c r="AD166" s="129">
        <v>100.0</v>
      </c>
      <c r="AE166" s="130">
        <v>87.0</v>
      </c>
      <c r="AF166" s="129"/>
      <c r="AG166" s="129">
        <v>92.0</v>
      </c>
      <c r="AH166" s="129"/>
      <c r="AI166" s="88"/>
      <c r="AJ166" s="88"/>
      <c r="AK166" s="132">
        <f t="shared" si="1"/>
        <v>4</v>
      </c>
      <c r="AL166" s="132">
        <f t="shared" si="2"/>
        <v>3</v>
      </c>
      <c r="AM166" s="133">
        <f t="shared" si="3"/>
        <v>2</v>
      </c>
      <c r="AN166" s="132" t="str">
        <f t="shared" si="4"/>
        <v>3.5</v>
      </c>
      <c r="AO166" s="132">
        <f t="shared" si="5"/>
        <v>3</v>
      </c>
      <c r="AP166" s="88"/>
    </row>
    <row r="167">
      <c r="A167" s="142">
        <v>163.0</v>
      </c>
      <c r="B167" s="220" t="s">
        <v>1537</v>
      </c>
      <c r="C167" s="221" t="s">
        <v>3578</v>
      </c>
      <c r="D167" s="209" t="str">
        <f>VLOOKUP(B167,USN!$1:$1088,2,False)</f>
        <v>1CR23IS169</v>
      </c>
      <c r="E167" s="222">
        <v>7.483757106E9</v>
      </c>
      <c r="F167" s="222" t="s">
        <v>3706</v>
      </c>
      <c r="G167" s="88"/>
      <c r="H167" s="233">
        <v>70.0</v>
      </c>
      <c r="I167" s="211">
        <v>74.0</v>
      </c>
      <c r="J167" s="211">
        <f>VLOOKUP(D167,'L3'!$1:$2060,2,False)</f>
        <v>70</v>
      </c>
      <c r="K167" s="211">
        <f>VLOOKUP(D167,'L4'!$1:$2059,2,False)</f>
        <v>70</v>
      </c>
      <c r="L167" s="212">
        <f>VLOOKUP(D167,'A1 RETEST 5 DEC'!$1:$2096,2,FALSE)</f>
        <v>50</v>
      </c>
      <c r="M167" s="213">
        <f>VLOOKUP(D167,'A2 RETEST 4 DEC'!$1:$2096,2,False)</f>
        <v>13</v>
      </c>
      <c r="N167" s="213">
        <v>57.0</v>
      </c>
      <c r="O167" s="212"/>
      <c r="P167" s="214">
        <f>IFNA(VLOOKUP(D167,'S1'!$1:$2000,2,False),0)</f>
        <v>81</v>
      </c>
      <c r="Q167" s="214">
        <f>vlookup(D167,'S2'!A163:B1365,2,0)</f>
        <v>60</v>
      </c>
      <c r="R167" s="214">
        <f>ifna(vlookup(D167,'S3'!$1:$1311,2,False),0)</f>
        <v>88</v>
      </c>
      <c r="S167" s="214"/>
      <c r="T167" s="215">
        <v>11.0</v>
      </c>
      <c r="U167" s="215">
        <v>23.0</v>
      </c>
      <c r="V167" s="215">
        <v>48.0</v>
      </c>
      <c r="W167" s="215">
        <v>72.0</v>
      </c>
      <c r="X167" s="216">
        <v>72.0</v>
      </c>
      <c r="Y167" s="215"/>
      <c r="Z167" s="217"/>
      <c r="AA167" s="218">
        <v>60.8</v>
      </c>
      <c r="AB167" s="219">
        <v>100.0</v>
      </c>
      <c r="AC167" s="129">
        <v>61.0</v>
      </c>
      <c r="AD167" s="129">
        <v>100.0</v>
      </c>
      <c r="AE167" s="130">
        <v>84.0</v>
      </c>
      <c r="AF167" s="129"/>
      <c r="AG167" s="129">
        <v>86.0</v>
      </c>
      <c r="AH167" s="129"/>
      <c r="AI167" s="88"/>
      <c r="AJ167" s="88"/>
      <c r="AK167" s="132">
        <f t="shared" si="1"/>
        <v>4</v>
      </c>
      <c r="AL167" s="132">
        <f t="shared" si="2"/>
        <v>1</v>
      </c>
      <c r="AM167" s="133">
        <f t="shared" si="3"/>
        <v>3</v>
      </c>
      <c r="AN167" s="132" t="str">
        <f t="shared" si="4"/>
        <v>3.5</v>
      </c>
      <c r="AO167" s="132">
        <f t="shared" si="5"/>
        <v>3</v>
      </c>
      <c r="AP167" s="88"/>
    </row>
    <row r="168">
      <c r="A168" s="142">
        <v>164.0</v>
      </c>
      <c r="B168" s="220" t="s">
        <v>1510</v>
      </c>
      <c r="C168" s="221" t="s">
        <v>3579</v>
      </c>
      <c r="D168" s="209" t="str">
        <f>VLOOKUP(B168,USN!$1:$1088,2,False)</f>
        <v>1CR23IS170</v>
      </c>
      <c r="E168" s="222">
        <v>7.676625075E9</v>
      </c>
      <c r="F168" s="222" t="s">
        <v>3706</v>
      </c>
      <c r="G168" s="88"/>
      <c r="H168" s="233">
        <v>70.0</v>
      </c>
      <c r="I168" s="211">
        <v>84.0</v>
      </c>
      <c r="J168" s="211">
        <f>VLOOKUP(D168,'L3'!$1:$2060,2,False)</f>
        <v>77</v>
      </c>
      <c r="K168" s="211">
        <f>VLOOKUP(D168,'L4'!$1:$2059,2,False)</f>
        <v>70</v>
      </c>
      <c r="L168" s="212">
        <f>VLOOKUP(D168,'A1 RETEST 5 DEC'!$1:$2096,2,FALSE)</f>
        <v>50</v>
      </c>
      <c r="M168" s="213">
        <f>VLOOKUP(D168,'A2 RETEST 4 DEC'!$1:$2096,2,False)</f>
        <v>47</v>
      </c>
      <c r="N168" s="213">
        <v>50.0</v>
      </c>
      <c r="O168" s="212"/>
      <c r="P168" s="214">
        <f>IFNA(VLOOKUP(D168,'S1'!$1:$2000,2,False),0)</f>
        <v>68</v>
      </c>
      <c r="Q168" s="214">
        <f>vlookup(D168,'S2'!A164:B1366,2,0)</f>
        <v>78</v>
      </c>
      <c r="R168" s="214">
        <f>ifna(vlookup(D168,'S3'!$1:$1311,2,False),0)</f>
        <v>90</v>
      </c>
      <c r="S168" s="214"/>
      <c r="T168" s="215">
        <v>18.0</v>
      </c>
      <c r="U168" s="215">
        <v>23.0</v>
      </c>
      <c r="V168" s="215">
        <v>46.0</v>
      </c>
      <c r="W168" s="215">
        <v>72.0</v>
      </c>
      <c r="X168" s="216">
        <v>96.0</v>
      </c>
      <c r="Y168" s="215"/>
      <c r="Z168" s="217"/>
      <c r="AA168" s="218">
        <v>71.0</v>
      </c>
      <c r="AB168" s="219">
        <v>100.0</v>
      </c>
      <c r="AC168" s="129">
        <v>72.0</v>
      </c>
      <c r="AD168" s="129">
        <v>75.0</v>
      </c>
      <c r="AE168" s="130">
        <v>77.0</v>
      </c>
      <c r="AF168" s="129"/>
      <c r="AG168" s="129">
        <v>82.0</v>
      </c>
      <c r="AH168" s="129"/>
      <c r="AI168" s="88"/>
      <c r="AJ168" s="88"/>
      <c r="AK168" s="132">
        <f t="shared" si="1"/>
        <v>4</v>
      </c>
      <c r="AL168" s="132">
        <f t="shared" si="2"/>
        <v>1</v>
      </c>
      <c r="AM168" s="133">
        <f t="shared" si="3"/>
        <v>3</v>
      </c>
      <c r="AN168" s="132" t="str">
        <f t="shared" si="4"/>
        <v>3.5</v>
      </c>
      <c r="AO168" s="132">
        <f t="shared" si="5"/>
        <v>3</v>
      </c>
      <c r="AP168" s="88"/>
    </row>
    <row r="169">
      <c r="A169" s="142">
        <v>165.0</v>
      </c>
      <c r="B169" s="229" t="s">
        <v>1483</v>
      </c>
      <c r="C169" s="221" t="s">
        <v>3580</v>
      </c>
      <c r="D169" s="209" t="str">
        <f>VLOOKUP(B169,USN!$1:$1088,2,False)</f>
        <v>1CR23IS171</v>
      </c>
      <c r="E169" s="227">
        <v>9.632155272E9</v>
      </c>
      <c r="F169" s="222" t="s">
        <v>3706</v>
      </c>
      <c r="G169" s="88"/>
      <c r="H169" s="223">
        <v>77.0</v>
      </c>
      <c r="I169" s="211">
        <v>90.0</v>
      </c>
      <c r="J169" s="211">
        <f>VLOOKUP(D169,'L3'!$1:$2060,2,False)</f>
        <v>70</v>
      </c>
      <c r="K169" s="211">
        <f>VLOOKUP(D169,'L4'!$1:$2059,2,False)</f>
        <v>76</v>
      </c>
      <c r="L169" s="212">
        <f>VLOOKUP(D169,'A1 RETEST 5 DEC'!$1:$2096,2,FALSE)</f>
        <v>50</v>
      </c>
      <c r="M169" s="213">
        <f>VLOOKUP(D169,'A2 RETEST 4 DEC'!$1:$2096,2,False)</f>
        <v>43</v>
      </c>
      <c r="N169" s="213">
        <v>50.0</v>
      </c>
      <c r="O169" s="212"/>
      <c r="P169" s="214">
        <f>IFNA(VLOOKUP(D169,'S1'!$1:$2000,2,False),0)</f>
        <v>84</v>
      </c>
      <c r="Q169" s="214">
        <f>vlookup(D169,'S2'!A165:B1367,2,0)</f>
        <v>81</v>
      </c>
      <c r="R169" s="214">
        <f>ifna(vlookup(D169,'S3'!$1:$1311,2,False),0)</f>
        <v>94</v>
      </c>
      <c r="S169" s="214"/>
      <c r="T169" s="215">
        <v>15.0</v>
      </c>
      <c r="U169" s="215">
        <v>22.0</v>
      </c>
      <c r="V169" s="215">
        <v>48.0</v>
      </c>
      <c r="W169" s="215">
        <v>68.0</v>
      </c>
      <c r="X169" s="216">
        <v>80.0</v>
      </c>
      <c r="Y169" s="215"/>
      <c r="Z169" s="217"/>
      <c r="AA169" s="218">
        <v>74.0</v>
      </c>
      <c r="AB169" s="219">
        <v>100.0</v>
      </c>
      <c r="AC169" s="129">
        <v>80.0</v>
      </c>
      <c r="AD169" s="129">
        <v>100.0</v>
      </c>
      <c r="AE169" s="130">
        <v>77.0</v>
      </c>
      <c r="AF169" s="129"/>
      <c r="AG169" s="129">
        <v>81.0</v>
      </c>
      <c r="AH169" s="129"/>
      <c r="AI169" s="88"/>
      <c r="AJ169" s="88"/>
      <c r="AK169" s="132">
        <f t="shared" si="1"/>
        <v>4</v>
      </c>
      <c r="AL169" s="132">
        <f t="shared" si="2"/>
        <v>1</v>
      </c>
      <c r="AM169" s="133">
        <f t="shared" si="3"/>
        <v>3</v>
      </c>
      <c r="AN169" s="132" t="str">
        <f t="shared" si="4"/>
        <v>3.5</v>
      </c>
      <c r="AO169" s="132">
        <f t="shared" si="5"/>
        <v>3</v>
      </c>
      <c r="AP169" s="88"/>
    </row>
    <row r="170">
      <c r="A170" s="142">
        <v>166.0</v>
      </c>
      <c r="B170" s="220" t="s">
        <v>1511</v>
      </c>
      <c r="C170" s="221" t="s">
        <v>3581</v>
      </c>
      <c r="D170" s="209" t="str">
        <f>VLOOKUP(B170,USN!$1:$1088,2,False)</f>
        <v>1CR23IS172</v>
      </c>
      <c r="E170" s="222">
        <v>7.099643157E9</v>
      </c>
      <c r="F170" s="222" t="s">
        <v>3706</v>
      </c>
      <c r="G170" s="88"/>
      <c r="H170" s="223">
        <v>90.0</v>
      </c>
      <c r="I170" s="211">
        <v>95.0</v>
      </c>
      <c r="J170" s="211">
        <f>VLOOKUP(D170,'L3'!$1:$2060,2,False)</f>
        <v>75</v>
      </c>
      <c r="K170" s="211">
        <f>VLOOKUP(D170,'L4'!$1:$2059,2,False)</f>
        <v>71</v>
      </c>
      <c r="L170" s="212">
        <f>VLOOKUP(D170,'A1 RETEST 5 DEC'!$1:$2096,2,FALSE)</f>
        <v>72</v>
      </c>
      <c r="M170" s="213">
        <f>VLOOKUP(D170,'A2 RETEST 4 DEC'!$1:$2096,2,False)</f>
        <v>59</v>
      </c>
      <c r="N170" s="213">
        <v>73.0</v>
      </c>
      <c r="O170" s="212"/>
      <c r="P170" s="214">
        <f>IFNA(VLOOKUP(D170,'S1'!$1:$2000,2,False),0)</f>
        <v>50</v>
      </c>
      <c r="Q170" s="214">
        <f>vlookup(D170,'S2'!A166:B1368,2,0)</f>
        <v>72</v>
      </c>
      <c r="R170" s="214">
        <f>ifna(vlookup(D170,'S3'!$1:$1311,2,False),0)</f>
        <v>0</v>
      </c>
      <c r="S170" s="214"/>
      <c r="T170" s="215">
        <v>11.0</v>
      </c>
      <c r="U170" s="215">
        <v>23.0</v>
      </c>
      <c r="V170" s="215">
        <v>48.0</v>
      </c>
      <c r="W170" s="215">
        <v>76.0</v>
      </c>
      <c r="X170" s="216">
        <v>68.0</v>
      </c>
      <c r="Y170" s="215"/>
      <c r="Z170" s="217"/>
      <c r="AA170" s="218">
        <v>69.0</v>
      </c>
      <c r="AB170" s="219">
        <v>100.0</v>
      </c>
      <c r="AC170" s="129">
        <v>77.0</v>
      </c>
      <c r="AD170" s="129">
        <v>100.0</v>
      </c>
      <c r="AE170" s="130">
        <v>76.0</v>
      </c>
      <c r="AF170" s="129"/>
      <c r="AG170" s="129">
        <v>10.0</v>
      </c>
      <c r="AH170" s="129"/>
      <c r="AI170" s="88"/>
      <c r="AJ170" s="88"/>
      <c r="AK170" s="132">
        <f t="shared" si="1"/>
        <v>4</v>
      </c>
      <c r="AL170" s="132">
        <f t="shared" si="2"/>
        <v>3</v>
      </c>
      <c r="AM170" s="133">
        <f t="shared" si="3"/>
        <v>3</v>
      </c>
      <c r="AN170" s="132" t="str">
        <f t="shared" si="4"/>
        <v>3.5</v>
      </c>
      <c r="AO170" s="132">
        <f t="shared" si="5"/>
        <v>2</v>
      </c>
      <c r="AP170" s="88"/>
    </row>
    <row r="171">
      <c r="A171" s="142">
        <v>167.0</v>
      </c>
      <c r="B171" s="220" t="s">
        <v>1525</v>
      </c>
      <c r="C171" s="221" t="s">
        <v>3582</v>
      </c>
      <c r="D171" s="209" t="str">
        <f>VLOOKUP(B171,USN!$1:$1088,2,False)</f>
        <v>1CR23IS173</v>
      </c>
      <c r="E171" s="222">
        <v>9.334014837E9</v>
      </c>
      <c r="F171" s="222" t="s">
        <v>3706</v>
      </c>
      <c r="G171" s="88"/>
      <c r="H171" s="223">
        <v>83.0</v>
      </c>
      <c r="I171" s="211">
        <v>83.0</v>
      </c>
      <c r="J171" s="211">
        <f>VLOOKUP(D171,'L3'!$1:$2060,2,False)</f>
        <v>81</v>
      </c>
      <c r="K171" s="211">
        <f>VLOOKUP(D171,'L4'!$1:$2059,2,False)</f>
        <v>85</v>
      </c>
      <c r="L171" s="212">
        <f>VLOOKUP(D171,'A1 RETEST 5 DEC'!$1:$2096,2,FALSE)</f>
        <v>50</v>
      </c>
      <c r="M171" s="213">
        <f>VLOOKUP(D171,'A2 RETEST 4 DEC'!$1:$2096,2,False)</f>
        <v>74</v>
      </c>
      <c r="N171" s="213">
        <v>64.0</v>
      </c>
      <c r="O171" s="212"/>
      <c r="P171" s="214">
        <f>IFNA(VLOOKUP(D171,'S1'!$1:$2000,2,False),0)</f>
        <v>86</v>
      </c>
      <c r="Q171" s="214">
        <f>vlookup(D171,'S2'!A167:B1369,2,0)</f>
        <v>84</v>
      </c>
      <c r="R171" s="214">
        <f>ifna(vlookup(D171,'S3'!$1:$1311,2,False),0)</f>
        <v>93</v>
      </c>
      <c r="S171" s="214"/>
      <c r="T171" s="215">
        <v>10.0</v>
      </c>
      <c r="U171" s="215">
        <v>20.0</v>
      </c>
      <c r="V171" s="215">
        <v>46.0</v>
      </c>
      <c r="W171" s="215">
        <v>76.0</v>
      </c>
      <c r="X171" s="216">
        <v>84.0</v>
      </c>
      <c r="Y171" s="215"/>
      <c r="Z171" s="217"/>
      <c r="AA171" s="218">
        <v>96.0</v>
      </c>
      <c r="AB171" s="219">
        <v>100.0</v>
      </c>
      <c r="AC171" s="129">
        <v>68.0</v>
      </c>
      <c r="AD171" s="129">
        <v>2.0</v>
      </c>
      <c r="AE171" s="130">
        <v>75.0</v>
      </c>
      <c r="AF171" s="129"/>
      <c r="AG171" s="129">
        <v>89.0</v>
      </c>
      <c r="AH171" s="129"/>
      <c r="AI171" s="88"/>
      <c r="AJ171" s="88"/>
      <c r="AK171" s="132">
        <f t="shared" si="1"/>
        <v>4</v>
      </c>
      <c r="AL171" s="132">
        <f t="shared" si="2"/>
        <v>3</v>
      </c>
      <c r="AM171" s="133">
        <f t="shared" si="3"/>
        <v>3</v>
      </c>
      <c r="AN171" s="132" t="str">
        <f t="shared" si="4"/>
        <v>3.5</v>
      </c>
      <c r="AO171" s="132">
        <f t="shared" si="5"/>
        <v>3</v>
      </c>
      <c r="AP171" s="88"/>
    </row>
    <row r="172">
      <c r="A172" s="142">
        <v>168.0</v>
      </c>
      <c r="B172" s="220" t="s">
        <v>1542</v>
      </c>
      <c r="C172" s="221" t="s">
        <v>3583</v>
      </c>
      <c r="D172" s="209" t="str">
        <f>VLOOKUP(B172,USN!$1:$1088,2,False)</f>
        <v>1CR23IS174</v>
      </c>
      <c r="E172" s="222">
        <v>8.088973374E9</v>
      </c>
      <c r="F172" s="222" t="s">
        <v>3706</v>
      </c>
      <c r="G172" s="88"/>
      <c r="H172" s="210">
        <v>77.0</v>
      </c>
      <c r="I172" s="211">
        <v>76.0</v>
      </c>
      <c r="J172" s="211">
        <f>VLOOKUP(D172,'L3'!$1:$2060,2,False)</f>
        <v>71</v>
      </c>
      <c r="K172" s="211">
        <f>VLOOKUP(D172,'L4'!$1:$2059,2,False)</f>
        <v>70</v>
      </c>
      <c r="L172" s="212">
        <f>VLOOKUP(D172,'A1 RETEST 5 DEC'!$1:$2096,2,FALSE)</f>
        <v>50</v>
      </c>
      <c r="M172" s="213">
        <f>VLOOKUP(D172,'A2 RETEST 4 DEC'!$1:$2096,2,False)</f>
        <v>45</v>
      </c>
      <c r="N172" s="213">
        <v>67.0</v>
      </c>
      <c r="O172" s="212"/>
      <c r="P172" s="214">
        <f>IFNA(VLOOKUP(D172,'S1'!$1:$2000,2,False),0)</f>
        <v>86</v>
      </c>
      <c r="Q172" s="214">
        <f>vlookup(D172,'S2'!A168:B1370,2,0)</f>
        <v>71</v>
      </c>
      <c r="R172" s="214">
        <f>ifna(vlookup(D172,'S3'!$1:$1311,2,False),0)</f>
        <v>88</v>
      </c>
      <c r="S172" s="214"/>
      <c r="T172" s="215">
        <v>19.0</v>
      </c>
      <c r="U172" s="215">
        <v>23.0</v>
      </c>
      <c r="V172" s="215">
        <v>48.0</v>
      </c>
      <c r="W172" s="215">
        <v>72.0</v>
      </c>
      <c r="X172" s="216">
        <v>76.0</v>
      </c>
      <c r="Y172" s="215"/>
      <c r="Z172" s="217"/>
      <c r="AA172" s="218">
        <v>62.0</v>
      </c>
      <c r="AB172" s="219">
        <v>97.0</v>
      </c>
      <c r="AC172" s="129">
        <v>67.0</v>
      </c>
      <c r="AD172" s="129">
        <v>2.0</v>
      </c>
      <c r="AE172" s="130">
        <v>92.0</v>
      </c>
      <c r="AF172" s="129"/>
      <c r="AG172" s="129">
        <v>84.0</v>
      </c>
      <c r="AH172" s="129"/>
      <c r="AI172" s="88"/>
      <c r="AJ172" s="88"/>
      <c r="AK172" s="132">
        <f t="shared" si="1"/>
        <v>4</v>
      </c>
      <c r="AL172" s="132">
        <f t="shared" si="2"/>
        <v>1</v>
      </c>
      <c r="AM172" s="133">
        <f t="shared" si="3"/>
        <v>3</v>
      </c>
      <c r="AN172" s="132" t="str">
        <f t="shared" si="4"/>
        <v>3.5</v>
      </c>
      <c r="AO172" s="132">
        <f t="shared" si="5"/>
        <v>3</v>
      </c>
      <c r="AP172" s="88"/>
    </row>
    <row r="173">
      <c r="A173" s="142">
        <v>169.0</v>
      </c>
      <c r="B173" s="220" t="s">
        <v>1540</v>
      </c>
      <c r="C173" s="221" t="s">
        <v>3584</v>
      </c>
      <c r="D173" s="209" t="str">
        <f>VLOOKUP(B173,USN!$1:$1088,2,False)</f>
        <v>1CR23IS175</v>
      </c>
      <c r="E173" s="222">
        <v>8.105918251E9</v>
      </c>
      <c r="F173" s="222" t="s">
        <v>3706</v>
      </c>
      <c r="G173" s="88"/>
      <c r="H173" s="233">
        <v>70.0</v>
      </c>
      <c r="I173" s="211">
        <v>70.0</v>
      </c>
      <c r="J173" s="211">
        <f>VLOOKUP(D173,'L3'!$1:$2060,2,False)</f>
        <v>70</v>
      </c>
      <c r="K173" s="211">
        <f>VLOOKUP(D173,'L4'!$1:$2059,2,False)</f>
        <v>70</v>
      </c>
      <c r="L173" s="212">
        <f>VLOOKUP(D173,'A1 RETEST 5 DEC'!$1:$2096,2,FALSE)</f>
        <v>15</v>
      </c>
      <c r="M173" s="213">
        <f>VLOOKUP(D173,'A2 RETEST 4 DEC'!$1:$2096,2,False)</f>
        <v>44</v>
      </c>
      <c r="N173" s="213">
        <v>16.0</v>
      </c>
      <c r="O173" s="212"/>
      <c r="P173" s="214">
        <f>IFNA(VLOOKUP(D173,'S1'!$1:$2000,2,False),0)</f>
        <v>50</v>
      </c>
      <c r="Q173" s="214">
        <f>vlookup(D173,'S2'!A169:B1371,2,0)</f>
        <v>71</v>
      </c>
      <c r="R173" s="214">
        <f>ifna(vlookup(D173,'S3'!$1:$1311,2,False),0)</f>
        <v>60</v>
      </c>
      <c r="S173" s="214"/>
      <c r="T173" s="215">
        <v>12.0</v>
      </c>
      <c r="U173" s="215">
        <v>24.0</v>
      </c>
      <c r="V173" s="215">
        <v>44.0</v>
      </c>
      <c r="W173" s="215">
        <v>60.0</v>
      </c>
      <c r="X173" s="216">
        <v>96.0</v>
      </c>
      <c r="Y173" s="215"/>
      <c r="Z173" s="217"/>
      <c r="AA173" s="218">
        <v>46.0</v>
      </c>
      <c r="AB173" s="219">
        <v>79.0</v>
      </c>
      <c r="AC173" s="129">
        <v>11.0</v>
      </c>
      <c r="AD173" s="129">
        <v>60.0</v>
      </c>
      <c r="AE173" s="130">
        <v>70.0</v>
      </c>
      <c r="AF173" s="129"/>
      <c r="AG173" s="129">
        <v>75.0</v>
      </c>
      <c r="AH173" s="129"/>
      <c r="AI173" s="88"/>
      <c r="AJ173" s="88"/>
      <c r="AK173" s="132">
        <f t="shared" si="1"/>
        <v>4</v>
      </c>
      <c r="AL173" s="132">
        <f t="shared" si="2"/>
        <v>0</v>
      </c>
      <c r="AM173" s="133">
        <f t="shared" si="3"/>
        <v>3</v>
      </c>
      <c r="AN173" s="132" t="str">
        <f t="shared" si="4"/>
        <v>3.5</v>
      </c>
      <c r="AO173" s="132">
        <f t="shared" si="5"/>
        <v>3</v>
      </c>
      <c r="AP173" s="88"/>
    </row>
    <row r="174">
      <c r="A174" s="142">
        <v>170.0</v>
      </c>
      <c r="B174" s="220" t="s">
        <v>1545</v>
      </c>
      <c r="C174" s="221" t="s">
        <v>3585</v>
      </c>
      <c r="D174" s="209" t="str">
        <f>VLOOKUP(B174,USN!$1:$1088,2,False)</f>
        <v>1CR23IS176</v>
      </c>
      <c r="E174" s="222">
        <v>7.676367034E9</v>
      </c>
      <c r="F174" s="222" t="s">
        <v>3706</v>
      </c>
      <c r="G174" s="88"/>
      <c r="H174" s="223">
        <v>71.0</v>
      </c>
      <c r="I174" s="211">
        <v>73.0</v>
      </c>
      <c r="J174" s="211">
        <f>VLOOKUP(D174,'L3'!$1:$2060,2,False)</f>
        <v>70</v>
      </c>
      <c r="K174" s="211">
        <f>VLOOKUP(D174,'L4'!$1:$2059,2,False)</f>
        <v>70</v>
      </c>
      <c r="L174" s="212">
        <f>VLOOKUP(D174,'A1 RETEST 5 DEC'!$1:$2096,2,FALSE)</f>
        <v>50</v>
      </c>
      <c r="M174" s="213">
        <f>VLOOKUP(D174,'A2 RETEST 4 DEC'!$1:$2096,2,False)</f>
        <v>9</v>
      </c>
      <c r="N174" s="213">
        <v>50.0</v>
      </c>
      <c r="O174" s="212"/>
      <c r="P174" s="214">
        <f>IFNA(VLOOKUP(D174,'S1'!$1:$2000,2,False),0)</f>
        <v>86</v>
      </c>
      <c r="Q174" s="214">
        <f>vlookup(D174,'S2'!A170:B1372,2,0)</f>
        <v>61</v>
      </c>
      <c r="R174" s="214">
        <f>ifna(vlookup(D174,'S3'!$1:$1311,2,False),0)</f>
        <v>70</v>
      </c>
      <c r="S174" s="214"/>
      <c r="T174" s="215">
        <v>21.0</v>
      </c>
      <c r="U174" s="215">
        <v>25.0</v>
      </c>
      <c r="V174" s="215">
        <v>46.0</v>
      </c>
      <c r="W174" s="215">
        <v>32.0</v>
      </c>
      <c r="X174" s="216">
        <v>80.0</v>
      </c>
      <c r="Y174" s="215"/>
      <c r="Z174" s="217"/>
      <c r="AA174" s="218">
        <v>28.0</v>
      </c>
      <c r="AB174" s="219">
        <v>96.0</v>
      </c>
      <c r="AC174" s="129">
        <v>5.0</v>
      </c>
      <c r="AD174" s="129">
        <v>100.0</v>
      </c>
      <c r="AE174" s="130">
        <v>70.0</v>
      </c>
      <c r="AF174" s="129"/>
      <c r="AG174" s="129">
        <v>50.0</v>
      </c>
      <c r="AH174" s="129"/>
      <c r="AI174" s="88"/>
      <c r="AJ174" s="88"/>
      <c r="AK174" s="132">
        <f t="shared" si="1"/>
        <v>4</v>
      </c>
      <c r="AL174" s="132">
        <f t="shared" si="2"/>
        <v>1</v>
      </c>
      <c r="AM174" s="133">
        <f t="shared" si="3"/>
        <v>2</v>
      </c>
      <c r="AN174" s="132" t="str">
        <f t="shared" si="4"/>
        <v>3.5</v>
      </c>
      <c r="AO174" s="132">
        <f t="shared" si="5"/>
        <v>3</v>
      </c>
      <c r="AP174" s="88"/>
    </row>
    <row r="175">
      <c r="A175" s="142">
        <v>171.0</v>
      </c>
      <c r="B175" s="220" t="s">
        <v>1526</v>
      </c>
      <c r="C175" s="221" t="s">
        <v>3586</v>
      </c>
      <c r="D175" s="209" t="str">
        <f>VLOOKUP(B175,USN!$1:$1088,2,False)</f>
        <v>1CR23IS177</v>
      </c>
      <c r="E175" s="222">
        <v>6.366947666E9</v>
      </c>
      <c r="F175" s="222" t="s">
        <v>3706</v>
      </c>
      <c r="G175" s="88"/>
      <c r="H175" s="233">
        <v>70.0</v>
      </c>
      <c r="I175" s="211">
        <v>75.0</v>
      </c>
      <c r="J175" s="211">
        <f>VLOOKUP(D175,'L3'!$1:$2060,2,False)</f>
        <v>70</v>
      </c>
      <c r="K175" s="211">
        <f>VLOOKUP(D175,'L4'!$1:$2059,2,False)</f>
        <v>70</v>
      </c>
      <c r="L175" s="212">
        <f>VLOOKUP(D175,'A1 RETEST 5 DEC'!$1:$2096,2,FALSE)</f>
        <v>50</v>
      </c>
      <c r="M175" s="213">
        <f>VLOOKUP(D175,'A2 RETEST 4 DEC'!$1:$2096,2,False)</f>
        <v>42</v>
      </c>
      <c r="N175" s="213">
        <v>25.0</v>
      </c>
      <c r="O175" s="212"/>
      <c r="P175" s="214">
        <f>IFNA(VLOOKUP(D175,'S1'!$1:$2000,2,False),0)</f>
        <v>68</v>
      </c>
      <c r="Q175" s="214">
        <f>vlookup(D175,'S2'!A171:B1373,2,0)</f>
        <v>57</v>
      </c>
      <c r="R175" s="214">
        <f>ifna(vlookup(D175,'S3'!$1:$1311,2,False),0)</f>
        <v>79</v>
      </c>
      <c r="S175" s="214"/>
      <c r="T175" s="215">
        <v>20.0</v>
      </c>
      <c r="U175" s="215">
        <v>23.0</v>
      </c>
      <c r="V175" s="215">
        <v>46.0</v>
      </c>
      <c r="W175" s="215">
        <v>48.0</v>
      </c>
      <c r="X175" s="216">
        <v>84.0</v>
      </c>
      <c r="Y175" s="215"/>
      <c r="Z175" s="217"/>
      <c r="AA175" s="218">
        <v>0.0</v>
      </c>
      <c r="AB175" s="219">
        <v>75.0</v>
      </c>
      <c r="AC175" s="129">
        <v>66.0</v>
      </c>
      <c r="AD175" s="129">
        <v>70.0</v>
      </c>
      <c r="AE175" s="130">
        <v>60.0</v>
      </c>
      <c r="AF175" s="129"/>
      <c r="AG175" s="129">
        <v>14.0</v>
      </c>
      <c r="AH175" s="129"/>
      <c r="AI175" s="88"/>
      <c r="AJ175" s="88"/>
      <c r="AK175" s="132">
        <f t="shared" si="1"/>
        <v>4</v>
      </c>
      <c r="AL175" s="132">
        <f t="shared" si="2"/>
        <v>1</v>
      </c>
      <c r="AM175" s="133">
        <f t="shared" si="3"/>
        <v>2</v>
      </c>
      <c r="AN175" s="132" t="str">
        <f t="shared" si="4"/>
        <v>3</v>
      </c>
      <c r="AO175" s="132">
        <f t="shared" si="5"/>
        <v>3</v>
      </c>
      <c r="AP175" s="88"/>
    </row>
    <row r="176">
      <c r="A176" s="142">
        <v>172.0</v>
      </c>
      <c r="B176" s="220" t="s">
        <v>1553</v>
      </c>
      <c r="C176" s="221" t="s">
        <v>3587</v>
      </c>
      <c r="D176" s="209" t="str">
        <f>VLOOKUP(B176,USN!$1:$1088,2,False)</f>
        <v>1CR23IS178</v>
      </c>
      <c r="E176" s="222">
        <v>8.971268928E9</v>
      </c>
      <c r="F176" s="222" t="s">
        <v>3706</v>
      </c>
      <c r="G176" s="88"/>
      <c r="H176" s="223">
        <v>64.0</v>
      </c>
      <c r="I176" s="211">
        <v>74.0</v>
      </c>
      <c r="J176" s="211">
        <f>VLOOKUP(D176,'L3'!$1:$2060,2,False)</f>
        <v>18</v>
      </c>
      <c r="K176" s="211">
        <f>VLOOKUP(D176,'L4'!$1:$2059,2,False)</f>
        <v>4</v>
      </c>
      <c r="L176" s="212">
        <f>VLOOKUP(D176,'A1 RETEST 5 DEC'!$1:$2096,2,FALSE)</f>
        <v>14</v>
      </c>
      <c r="M176" s="213">
        <f>VLOOKUP(D176,'A2 RETEST 4 DEC'!$1:$2096,2,False)</f>
        <v>0</v>
      </c>
      <c r="N176" s="213">
        <v>0.0</v>
      </c>
      <c r="O176" s="212"/>
      <c r="P176" s="214">
        <f>IFNA(VLOOKUP(D176,'S1'!$1:$2000,2,False),0)</f>
        <v>0</v>
      </c>
      <c r="Q176" s="214">
        <f>vlookup(D176,'S2'!A172:B1374,2,0)</f>
        <v>0</v>
      </c>
      <c r="R176" s="214">
        <f>ifna(vlookup(D176,'S3'!$1:$1311,2,False),0)</f>
        <v>0</v>
      </c>
      <c r="S176" s="214"/>
      <c r="T176" s="215" t="s">
        <v>2477</v>
      </c>
      <c r="U176" s="215" t="s">
        <v>2477</v>
      </c>
      <c r="V176" s="215">
        <v>8.0</v>
      </c>
      <c r="W176" s="215">
        <v>52.0</v>
      </c>
      <c r="X176" s="216">
        <v>0.0</v>
      </c>
      <c r="Y176" s="215"/>
      <c r="Z176" s="217"/>
      <c r="AA176" s="218">
        <v>6.0</v>
      </c>
      <c r="AB176" s="219">
        <v>65.0</v>
      </c>
      <c r="AC176" s="129">
        <v>0.0</v>
      </c>
      <c r="AD176" s="129">
        <v>0.0</v>
      </c>
      <c r="AE176" s="130">
        <v>10.0</v>
      </c>
      <c r="AF176" s="129"/>
      <c r="AG176" s="129">
        <v>0.0</v>
      </c>
      <c r="AH176" s="129"/>
      <c r="AI176" s="88"/>
      <c r="AJ176" s="88"/>
      <c r="AK176" s="132">
        <f t="shared" si="1"/>
        <v>0</v>
      </c>
      <c r="AL176" s="132">
        <f t="shared" si="2"/>
        <v>0</v>
      </c>
      <c r="AM176" s="133">
        <f t="shared" si="3"/>
        <v>3</v>
      </c>
      <c r="AN176" s="132" t="str">
        <f t="shared" si="4"/>
        <v>2</v>
      </c>
      <c r="AO176" s="132">
        <f t="shared" si="5"/>
        <v>0</v>
      </c>
      <c r="AP176" s="88"/>
    </row>
    <row r="177">
      <c r="A177" s="142">
        <v>173.0</v>
      </c>
      <c r="B177" s="220" t="s">
        <v>1544</v>
      </c>
      <c r="C177" s="221" t="s">
        <v>3588</v>
      </c>
      <c r="D177" s="209" t="str">
        <f>VLOOKUP(B177,USN!$1:$1088,2,False)</f>
        <v>1CR23IS179</v>
      </c>
      <c r="E177" s="222">
        <v>8.050619061E9</v>
      </c>
      <c r="F177" s="222" t="s">
        <v>3706</v>
      </c>
      <c r="G177" s="88"/>
      <c r="H177" s="223">
        <v>65.0</v>
      </c>
      <c r="I177" s="211">
        <v>66.0</v>
      </c>
      <c r="J177" s="211">
        <f>VLOOKUP(D177,'L3'!$1:$2060,2,False)</f>
        <v>33</v>
      </c>
      <c r="K177" s="211">
        <f>VLOOKUP(D177,'L4'!$1:$2059,2,False)</f>
        <v>45</v>
      </c>
      <c r="L177" s="212">
        <f>VLOOKUP(D177,'A1 RETEST 5 DEC'!$1:$2096,2,FALSE)</f>
        <v>33</v>
      </c>
      <c r="M177" s="213">
        <f>VLOOKUP(D177,'A2 RETEST 4 DEC'!$1:$2096,2,False)</f>
        <v>50</v>
      </c>
      <c r="N177" s="213">
        <v>0.0</v>
      </c>
      <c r="O177" s="212"/>
      <c r="P177" s="214">
        <f>IFNA(VLOOKUP(D177,'S1'!$1:$2000,2,False),0)</f>
        <v>0</v>
      </c>
      <c r="Q177" s="214">
        <f>vlookup(D177,'S2'!A173:B1375,2,0)</f>
        <v>0</v>
      </c>
      <c r="R177" s="214">
        <f>ifna(vlookup(D177,'S3'!$1:$1311,2,False),0)</f>
        <v>0</v>
      </c>
      <c r="S177" s="214"/>
      <c r="T177" s="215">
        <v>18.0</v>
      </c>
      <c r="U177" s="215">
        <v>24.0</v>
      </c>
      <c r="V177" s="215">
        <v>48.0</v>
      </c>
      <c r="W177" s="215">
        <v>28.0</v>
      </c>
      <c r="X177" s="216">
        <v>76.0</v>
      </c>
      <c r="Y177" s="215"/>
      <c r="Z177" s="217"/>
      <c r="AA177" s="218">
        <v>4.0</v>
      </c>
      <c r="AB177" s="219">
        <v>69.0</v>
      </c>
      <c r="AC177" s="129">
        <v>3.0</v>
      </c>
      <c r="AD177" s="129">
        <v>0.0</v>
      </c>
      <c r="AE177" s="130">
        <v>10.0</v>
      </c>
      <c r="AF177" s="129"/>
      <c r="AG177" s="129">
        <v>0.0</v>
      </c>
      <c r="AH177" s="129"/>
      <c r="AI177" s="88"/>
      <c r="AJ177" s="88"/>
      <c r="AK177" s="132">
        <f t="shared" si="1"/>
        <v>2</v>
      </c>
      <c r="AL177" s="132">
        <f t="shared" si="2"/>
        <v>0</v>
      </c>
      <c r="AM177" s="133">
        <f t="shared" si="3"/>
        <v>2</v>
      </c>
      <c r="AN177" s="132" t="str">
        <f t="shared" si="4"/>
        <v>2</v>
      </c>
      <c r="AO177" s="132">
        <f t="shared" si="5"/>
        <v>0</v>
      </c>
      <c r="AP177" s="88"/>
    </row>
    <row r="178">
      <c r="A178" s="142">
        <v>174.0</v>
      </c>
      <c r="B178" s="220" t="s">
        <v>1536</v>
      </c>
      <c r="C178" s="221" t="s">
        <v>3589</v>
      </c>
      <c r="D178" s="209" t="str">
        <f>VLOOKUP(B178,USN!$1:$1088,2,False)</f>
        <v>1CR23IS180</v>
      </c>
      <c r="E178" s="222">
        <v>9.353683848E9</v>
      </c>
      <c r="F178" s="222" t="s">
        <v>3706</v>
      </c>
      <c r="G178" s="88"/>
      <c r="H178" s="210">
        <v>82.0</v>
      </c>
      <c r="I178" s="211">
        <v>85.0</v>
      </c>
      <c r="J178" s="211">
        <f>VLOOKUP(D178,'L3'!$1:$2060,2,False)</f>
        <v>79</v>
      </c>
      <c r="K178" s="211">
        <f>VLOOKUP(D178,'L4'!$1:$2059,2,False)</f>
        <v>70</v>
      </c>
      <c r="L178" s="212">
        <f>VLOOKUP(D178,'A1 RETEST 5 DEC'!$1:$2096,2,FALSE)</f>
        <v>87</v>
      </c>
      <c r="M178" s="213">
        <f>VLOOKUP(D178,'A2 RETEST 4 DEC'!$1:$2096,2,False)</f>
        <v>88</v>
      </c>
      <c r="N178" s="213">
        <v>78.0</v>
      </c>
      <c r="O178" s="212"/>
      <c r="P178" s="214">
        <f>IFNA(VLOOKUP(D178,'S1'!$1:$2000,2,False),0)</f>
        <v>58</v>
      </c>
      <c r="Q178" s="214">
        <f>vlookup(D178,'S2'!A174:B1376,2,0)</f>
        <v>60</v>
      </c>
      <c r="R178" s="214">
        <f>ifna(vlookup(D178,'S3'!$1:$1311,2,False),0)</f>
        <v>87</v>
      </c>
      <c r="S178" s="214"/>
      <c r="T178" s="215">
        <v>13.0</v>
      </c>
      <c r="U178" s="215">
        <v>18.0</v>
      </c>
      <c r="V178" s="215">
        <v>46.0</v>
      </c>
      <c r="W178" s="215">
        <v>50.0</v>
      </c>
      <c r="X178" s="216">
        <v>92.0</v>
      </c>
      <c r="Y178" s="215"/>
      <c r="Z178" s="217"/>
      <c r="AA178" s="218">
        <v>20.0</v>
      </c>
      <c r="AB178" s="219">
        <v>100.0</v>
      </c>
      <c r="AC178" s="129">
        <v>99.0</v>
      </c>
      <c r="AD178" s="129">
        <v>100.0</v>
      </c>
      <c r="AE178" s="130">
        <v>78.0</v>
      </c>
      <c r="AF178" s="129"/>
      <c r="AG178" s="129">
        <v>83.0</v>
      </c>
      <c r="AH178" s="129"/>
      <c r="AI178" s="88"/>
      <c r="AJ178" s="88"/>
      <c r="AK178" s="132">
        <f t="shared" si="1"/>
        <v>4</v>
      </c>
      <c r="AL178" s="132">
        <f t="shared" si="2"/>
        <v>3</v>
      </c>
      <c r="AM178" s="133">
        <f t="shared" si="3"/>
        <v>3</v>
      </c>
      <c r="AN178" s="132" t="str">
        <f t="shared" si="4"/>
        <v>3.5</v>
      </c>
      <c r="AO178" s="132">
        <f t="shared" si="5"/>
        <v>3</v>
      </c>
      <c r="AP178" s="88"/>
    </row>
    <row r="179">
      <c r="A179" s="142">
        <v>175.0</v>
      </c>
      <c r="B179" s="220" t="s">
        <v>1527</v>
      </c>
      <c r="C179" s="221" t="s">
        <v>3590</v>
      </c>
      <c r="D179" s="209" t="str">
        <f>VLOOKUP(B179,USN!$1:$1088,2,False)</f>
        <v>1CR23IS181</v>
      </c>
      <c r="E179" s="222">
        <v>9.740327541E9</v>
      </c>
      <c r="F179" s="222" t="s">
        <v>3706</v>
      </c>
      <c r="G179" s="88"/>
      <c r="H179" s="223">
        <v>88.0</v>
      </c>
      <c r="I179" s="211">
        <v>94.0</v>
      </c>
      <c r="J179" s="211">
        <f>VLOOKUP(D179,'L3'!$1:$2060,2,False)</f>
        <v>81</v>
      </c>
      <c r="K179" s="211">
        <f>VLOOKUP(D179,'L4'!$1:$2059,2,False)</f>
        <v>79</v>
      </c>
      <c r="L179" s="212">
        <f>VLOOKUP(D179,'A1 RETEST 5 DEC'!$1:$2096,2,FALSE)</f>
        <v>62</v>
      </c>
      <c r="M179" s="213">
        <f>VLOOKUP(D179,'A2 RETEST 4 DEC'!$1:$2096,2,False)</f>
        <v>70</v>
      </c>
      <c r="N179" s="213">
        <v>73.0</v>
      </c>
      <c r="O179" s="212"/>
      <c r="P179" s="214">
        <f>IFNA(VLOOKUP(D179,'S1'!$1:$2000,2,False),0)</f>
        <v>83</v>
      </c>
      <c r="Q179" s="214">
        <f>vlookup(D179,'S2'!A175:B1377,2,0)</f>
        <v>82</v>
      </c>
      <c r="R179" s="214">
        <f>ifna(vlookup(D179,'S3'!$1:$1311,2,False),0)</f>
        <v>91</v>
      </c>
      <c r="S179" s="214"/>
      <c r="T179" s="215">
        <v>12.0</v>
      </c>
      <c r="U179" s="215">
        <v>24.0</v>
      </c>
      <c r="V179" s="215">
        <v>38.0</v>
      </c>
      <c r="W179" s="215">
        <v>52.0</v>
      </c>
      <c r="X179" s="216">
        <v>84.0</v>
      </c>
      <c r="Y179" s="215"/>
      <c r="Z179" s="217"/>
      <c r="AA179" s="218">
        <v>92.0</v>
      </c>
      <c r="AB179" s="219">
        <v>100.0</v>
      </c>
      <c r="AC179" s="129">
        <v>80.0</v>
      </c>
      <c r="AD179" s="129">
        <v>75.0</v>
      </c>
      <c r="AE179" s="130">
        <v>73.0</v>
      </c>
      <c r="AF179" s="129"/>
      <c r="AG179" s="129">
        <v>89.0</v>
      </c>
      <c r="AH179" s="129"/>
      <c r="AI179" s="88"/>
      <c r="AJ179" s="88"/>
      <c r="AK179" s="132">
        <f t="shared" si="1"/>
        <v>4</v>
      </c>
      <c r="AL179" s="132">
        <f t="shared" si="2"/>
        <v>3</v>
      </c>
      <c r="AM179" s="133">
        <f t="shared" si="3"/>
        <v>3</v>
      </c>
      <c r="AN179" s="132" t="str">
        <f t="shared" si="4"/>
        <v>3.5</v>
      </c>
      <c r="AO179" s="132">
        <f t="shared" si="5"/>
        <v>3</v>
      </c>
      <c r="AP179" s="88"/>
    </row>
    <row r="180">
      <c r="A180" s="142">
        <v>176.0</v>
      </c>
      <c r="B180" s="220" t="s">
        <v>1512</v>
      </c>
      <c r="C180" s="221" t="s">
        <v>3591</v>
      </c>
      <c r="D180" s="209" t="str">
        <f>VLOOKUP(B180,USN!$1:$1088,2,False)</f>
        <v>1CR23IS182</v>
      </c>
      <c r="E180" s="222">
        <v>9.60639104E9</v>
      </c>
      <c r="F180" s="222" t="s">
        <v>3706</v>
      </c>
      <c r="G180" s="88"/>
      <c r="H180" s="223">
        <v>79.0</v>
      </c>
      <c r="I180" s="211">
        <v>87.0</v>
      </c>
      <c r="J180" s="211">
        <f>VLOOKUP(D180,'L3'!$1:$2060,2,False)</f>
        <v>81</v>
      </c>
      <c r="K180" s="211">
        <f>VLOOKUP(D180,'L4'!$1:$2059,2,False)</f>
        <v>70</v>
      </c>
      <c r="L180" s="212">
        <f>VLOOKUP(D180,'A1 RETEST 5 DEC'!$1:$2096,2,FALSE)</f>
        <v>50</v>
      </c>
      <c r="M180" s="213">
        <f>VLOOKUP(D180,'A2 RETEST 4 DEC'!$1:$2096,2,False)</f>
        <v>44</v>
      </c>
      <c r="N180" s="213">
        <v>50.0</v>
      </c>
      <c r="O180" s="212"/>
      <c r="P180" s="214">
        <f>IFNA(VLOOKUP(D180,'S1'!$1:$2000,2,False),0)</f>
        <v>50</v>
      </c>
      <c r="Q180" s="214">
        <f>vlookup(D180,'S2'!A176:B1378,2,0)</f>
        <v>63</v>
      </c>
      <c r="R180" s="214">
        <f>ifna(vlookup(D180,'S3'!$1:$1311,2,False),0)</f>
        <v>93</v>
      </c>
      <c r="S180" s="214"/>
      <c r="T180" s="215">
        <v>20.0</v>
      </c>
      <c r="U180" s="215">
        <v>23.0</v>
      </c>
      <c r="V180" s="215">
        <v>48.0</v>
      </c>
      <c r="W180" s="215">
        <v>32.0</v>
      </c>
      <c r="X180" s="216">
        <v>96.0</v>
      </c>
      <c r="Y180" s="215"/>
      <c r="Z180" s="217"/>
      <c r="AA180" s="218">
        <v>84.0</v>
      </c>
      <c r="AB180" s="219">
        <v>87.0</v>
      </c>
      <c r="AC180" s="129">
        <v>100.0</v>
      </c>
      <c r="AD180" s="129">
        <v>0.0</v>
      </c>
      <c r="AE180" s="130">
        <v>73.0</v>
      </c>
      <c r="AF180" s="129"/>
      <c r="AG180" s="129">
        <v>80.0</v>
      </c>
      <c r="AH180" s="129"/>
      <c r="AI180" s="88"/>
      <c r="AJ180" s="88"/>
      <c r="AK180" s="132">
        <f t="shared" si="1"/>
        <v>4</v>
      </c>
      <c r="AL180" s="132">
        <f t="shared" si="2"/>
        <v>1</v>
      </c>
      <c r="AM180" s="133">
        <f t="shared" si="3"/>
        <v>2</v>
      </c>
      <c r="AN180" s="132" t="str">
        <f t="shared" si="4"/>
        <v>3.5</v>
      </c>
      <c r="AO180" s="132">
        <f t="shared" si="5"/>
        <v>3</v>
      </c>
      <c r="AP180" s="88"/>
    </row>
    <row r="181">
      <c r="A181" s="142">
        <v>177.0</v>
      </c>
      <c r="B181" s="220" t="s">
        <v>1513</v>
      </c>
      <c r="C181" s="221" t="s">
        <v>3592</v>
      </c>
      <c r="D181" s="209" t="str">
        <f>VLOOKUP(B181,USN!$1:$1088,2,False)</f>
        <v>1CR23IS183</v>
      </c>
      <c r="E181" s="222">
        <v>8.310200823E9</v>
      </c>
      <c r="F181" s="222" t="s">
        <v>3706</v>
      </c>
      <c r="G181" s="88"/>
      <c r="H181" s="223">
        <v>79.0</v>
      </c>
      <c r="I181" s="211">
        <v>80.0</v>
      </c>
      <c r="J181" s="211">
        <f>VLOOKUP(D181,'L3'!$1:$2060,2,False)</f>
        <v>76</v>
      </c>
      <c r="K181" s="211">
        <f>VLOOKUP(D181,'L4'!$1:$2059,2,False)</f>
        <v>70</v>
      </c>
      <c r="L181" s="212">
        <f>VLOOKUP(D181,'A1 RETEST 5 DEC'!$1:$2096,2,FALSE)</f>
        <v>50</v>
      </c>
      <c r="M181" s="213">
        <f>VLOOKUP(D181,'A2 RETEST 4 DEC'!$1:$2096,2,False)</f>
        <v>50</v>
      </c>
      <c r="N181" s="213">
        <v>57.0</v>
      </c>
      <c r="O181" s="212"/>
      <c r="P181" s="214">
        <f>IFNA(VLOOKUP(D181,'S1'!$1:$2000,2,False),0)</f>
        <v>50</v>
      </c>
      <c r="Q181" s="214">
        <f>vlookup(D181,'S2'!A177:B1379,2,0)</f>
        <v>57</v>
      </c>
      <c r="R181" s="214">
        <f>ifna(vlookup(D181,'S3'!$1:$1311,2,False),0)</f>
        <v>50</v>
      </c>
      <c r="S181" s="214"/>
      <c r="T181" s="215">
        <v>20.0</v>
      </c>
      <c r="U181" s="215" t="s">
        <v>2477</v>
      </c>
      <c r="V181" s="215">
        <v>48.0</v>
      </c>
      <c r="W181" s="215"/>
      <c r="X181" s="216">
        <v>72.0</v>
      </c>
      <c r="Y181" s="215"/>
      <c r="Z181" s="217"/>
      <c r="AA181" s="218">
        <v>50.0</v>
      </c>
      <c r="AB181" s="219">
        <v>79.0</v>
      </c>
      <c r="AC181" s="129">
        <v>97.0</v>
      </c>
      <c r="AD181" s="129">
        <v>100.0</v>
      </c>
      <c r="AE181" s="130">
        <v>70.0</v>
      </c>
      <c r="AF181" s="129"/>
      <c r="AG181" s="129">
        <v>35.0</v>
      </c>
      <c r="AH181" s="129"/>
      <c r="AI181" s="88"/>
      <c r="AJ181" s="88"/>
      <c r="AK181" s="132">
        <f t="shared" si="1"/>
        <v>4</v>
      </c>
      <c r="AL181" s="132">
        <f t="shared" si="2"/>
        <v>3</v>
      </c>
      <c r="AM181" s="133">
        <f t="shared" si="3"/>
        <v>2</v>
      </c>
      <c r="AN181" s="132" t="str">
        <f t="shared" si="4"/>
        <v>3.5</v>
      </c>
      <c r="AO181" s="132">
        <f t="shared" si="5"/>
        <v>3</v>
      </c>
      <c r="AP181" s="88"/>
    </row>
    <row r="182">
      <c r="A182" s="142">
        <v>178.0</v>
      </c>
      <c r="B182" s="220" t="s">
        <v>1541</v>
      </c>
      <c r="C182" s="221" t="s">
        <v>3593</v>
      </c>
      <c r="D182" s="209" t="str">
        <f>VLOOKUP(B182,USN!$1:$1088,2,False)</f>
        <v>1CR23IS184</v>
      </c>
      <c r="E182" s="222">
        <v>7.259208989E9</v>
      </c>
      <c r="F182" s="222" t="s">
        <v>3706</v>
      </c>
      <c r="G182" s="88"/>
      <c r="H182" s="223">
        <v>72.0</v>
      </c>
      <c r="I182" s="211">
        <v>87.0</v>
      </c>
      <c r="J182" s="211">
        <f>VLOOKUP(D182,'L3'!$1:$2060,2,False)</f>
        <v>72</v>
      </c>
      <c r="K182" s="211">
        <f>VLOOKUP(D182,'L4'!$1:$2059,2,False)</f>
        <v>70</v>
      </c>
      <c r="L182" s="212">
        <f>VLOOKUP(D182,'A1 RETEST 5 DEC'!$1:$2096,2,FALSE)</f>
        <v>50</v>
      </c>
      <c r="M182" s="213">
        <f>VLOOKUP(D182,'A2 RETEST 4 DEC'!$1:$2096,2,False)</f>
        <v>50</v>
      </c>
      <c r="N182" s="213">
        <v>52.0</v>
      </c>
      <c r="O182" s="212"/>
      <c r="P182" s="214">
        <f>IFNA(VLOOKUP(D182,'S1'!$1:$2000,2,False),0)</f>
        <v>68</v>
      </c>
      <c r="Q182" s="214">
        <f>vlookup(D182,'S2'!A178:B1380,2,0)</f>
        <v>60</v>
      </c>
      <c r="R182" s="214">
        <f>ifna(vlookup(D182,'S3'!$1:$1311,2,False),0)</f>
        <v>89</v>
      </c>
      <c r="S182" s="214"/>
      <c r="T182" s="215">
        <v>20.0</v>
      </c>
      <c r="U182" s="215">
        <v>21.0</v>
      </c>
      <c r="V182" s="215">
        <v>48.0</v>
      </c>
      <c r="W182" s="215">
        <v>48.0</v>
      </c>
      <c r="X182" s="216">
        <v>92.0</v>
      </c>
      <c r="Y182" s="215"/>
      <c r="Z182" s="217"/>
      <c r="AA182" s="218">
        <v>26.0</v>
      </c>
      <c r="AB182" s="219">
        <v>95.0</v>
      </c>
      <c r="AC182" s="129">
        <v>88.0</v>
      </c>
      <c r="AD182" s="129">
        <v>100.0</v>
      </c>
      <c r="AE182" s="130">
        <v>72.0</v>
      </c>
      <c r="AF182" s="129"/>
      <c r="AG182" s="129">
        <v>48.0</v>
      </c>
      <c r="AH182" s="129"/>
      <c r="AI182" s="88"/>
      <c r="AJ182" s="88"/>
      <c r="AK182" s="132">
        <f t="shared" si="1"/>
        <v>4</v>
      </c>
      <c r="AL182" s="132">
        <f t="shared" si="2"/>
        <v>3</v>
      </c>
      <c r="AM182" s="133">
        <f t="shared" si="3"/>
        <v>2</v>
      </c>
      <c r="AN182" s="132" t="str">
        <f t="shared" si="4"/>
        <v>3.5</v>
      </c>
      <c r="AO182" s="132">
        <f t="shared" si="5"/>
        <v>3</v>
      </c>
      <c r="AP182" s="88"/>
    </row>
    <row r="183">
      <c r="A183" s="142">
        <v>179.0</v>
      </c>
      <c r="B183" s="220" t="s">
        <v>1551</v>
      </c>
      <c r="C183" s="221" t="s">
        <v>3594</v>
      </c>
      <c r="D183" s="209" t="str">
        <f>VLOOKUP(B183,USN!$1:$1088,2,False)</f>
        <v>1CR23IS185</v>
      </c>
      <c r="E183" s="222">
        <v>9.740657185E9</v>
      </c>
      <c r="F183" s="222" t="s">
        <v>3706</v>
      </c>
      <c r="G183" s="88"/>
      <c r="H183" s="223">
        <v>77.0</v>
      </c>
      <c r="I183" s="211">
        <v>75.0</v>
      </c>
      <c r="J183" s="211">
        <f>VLOOKUP(D183,'L3'!$1:$2060,2,False)</f>
        <v>70</v>
      </c>
      <c r="K183" s="211">
        <f>VLOOKUP(D183,'L4'!$1:$2059,2,False)</f>
        <v>70</v>
      </c>
      <c r="L183" s="212">
        <f>VLOOKUP(D183,'A1 RETEST 5 DEC'!$1:$2096,2,FALSE)</f>
        <v>50</v>
      </c>
      <c r="M183" s="213">
        <f>VLOOKUP(D183,'A2 RETEST 4 DEC'!$1:$2096,2,False)</f>
        <v>50</v>
      </c>
      <c r="N183" s="213">
        <v>50.0</v>
      </c>
      <c r="O183" s="212"/>
      <c r="P183" s="214">
        <f>IFNA(VLOOKUP(D183,'S1'!$1:$2000,2,False),0)</f>
        <v>68</v>
      </c>
      <c r="Q183" s="214">
        <f>vlookup(D183,'S2'!A179:B1381,2,0)</f>
        <v>71</v>
      </c>
      <c r="R183" s="214">
        <f>ifna(vlookup(D183,'S3'!$1:$1311,2,False),0)</f>
        <v>85</v>
      </c>
      <c r="S183" s="214"/>
      <c r="T183" s="215">
        <v>19.0</v>
      </c>
      <c r="U183" s="215">
        <v>23.0</v>
      </c>
      <c r="V183" s="215"/>
      <c r="W183" s="215">
        <v>40.0</v>
      </c>
      <c r="X183" s="216">
        <v>76.0</v>
      </c>
      <c r="Y183" s="215"/>
      <c r="Z183" s="217"/>
      <c r="AA183" s="218">
        <v>18.0</v>
      </c>
      <c r="AB183" s="219">
        <v>78.0</v>
      </c>
      <c r="AC183" s="129">
        <v>61.0</v>
      </c>
      <c r="AD183" s="129">
        <v>0.0</v>
      </c>
      <c r="AE183" s="130">
        <v>61.0</v>
      </c>
      <c r="AF183" s="129"/>
      <c r="AG183" s="129">
        <v>45.0</v>
      </c>
      <c r="AH183" s="129"/>
      <c r="AI183" s="88"/>
      <c r="AJ183" s="88"/>
      <c r="AK183" s="132">
        <f t="shared" si="1"/>
        <v>4</v>
      </c>
      <c r="AL183" s="132">
        <f t="shared" si="2"/>
        <v>3</v>
      </c>
      <c r="AM183" s="133">
        <f t="shared" si="3"/>
        <v>2</v>
      </c>
      <c r="AN183" s="132" t="str">
        <f t="shared" si="4"/>
        <v>3</v>
      </c>
      <c r="AO183" s="132">
        <f t="shared" si="5"/>
        <v>3</v>
      </c>
      <c r="AP183" s="88"/>
    </row>
    <row r="184">
      <c r="A184" s="142">
        <v>180.0</v>
      </c>
      <c r="B184" s="220" t="s">
        <v>1538</v>
      </c>
      <c r="C184" s="221" t="s">
        <v>3595</v>
      </c>
      <c r="D184" s="209" t="str">
        <f>VLOOKUP(B184,USN!$1:$1088,2,False)</f>
        <v>1CR23IS186</v>
      </c>
      <c r="E184" s="222">
        <v>8.073758981E9</v>
      </c>
      <c r="F184" s="222" t="s">
        <v>3706</v>
      </c>
      <c r="G184" s="88"/>
      <c r="H184" s="233">
        <v>70.0</v>
      </c>
      <c r="I184" s="211">
        <v>70.0</v>
      </c>
      <c r="J184" s="211">
        <f>VLOOKUP(D184,'L3'!$1:$2060,2,False)</f>
        <v>70</v>
      </c>
      <c r="K184" s="211">
        <f>VLOOKUP(D184,'L4'!$1:$2059,2,False)</f>
        <v>70</v>
      </c>
      <c r="L184" s="212">
        <f>VLOOKUP(D184,'A1 RETEST 5 DEC'!$1:$2096,2,FALSE)</f>
        <v>50</v>
      </c>
      <c r="M184" s="213">
        <f>VLOOKUP(D184,'A2 RETEST 4 DEC'!$1:$2096,2,False)</f>
        <v>50</v>
      </c>
      <c r="N184" s="213">
        <v>19.0</v>
      </c>
      <c r="O184" s="212"/>
      <c r="P184" s="214">
        <f>IFNA(VLOOKUP(D184,'S1'!$1:$2000,2,False),0)</f>
        <v>81</v>
      </c>
      <c r="Q184" s="214">
        <f>vlookup(D184,'S2'!A180:B1382,2,0)</f>
        <v>50</v>
      </c>
      <c r="R184" s="214">
        <f>ifna(vlookup(D184,'S3'!$1:$1311,2,False),0)</f>
        <v>50</v>
      </c>
      <c r="S184" s="214"/>
      <c r="T184" s="215">
        <v>19.0</v>
      </c>
      <c r="U184" s="215">
        <v>23.0</v>
      </c>
      <c r="V184" s="215">
        <v>44.0</v>
      </c>
      <c r="W184" s="215">
        <v>28.0</v>
      </c>
      <c r="X184" s="216">
        <v>72.0</v>
      </c>
      <c r="Y184" s="215"/>
      <c r="Z184" s="217"/>
      <c r="AA184" s="218">
        <v>4.0</v>
      </c>
      <c r="AB184" s="219">
        <v>82.0</v>
      </c>
      <c r="AC184" s="129">
        <v>66.0</v>
      </c>
      <c r="AD184" s="129">
        <v>70.0</v>
      </c>
      <c r="AE184" s="130">
        <v>40.0</v>
      </c>
      <c r="AF184" s="129"/>
      <c r="AG184" s="129">
        <v>11.0</v>
      </c>
      <c r="AH184" s="129"/>
      <c r="AI184" s="88"/>
      <c r="AJ184" s="88"/>
      <c r="AK184" s="132">
        <f t="shared" si="1"/>
        <v>4</v>
      </c>
      <c r="AL184" s="132">
        <f t="shared" si="2"/>
        <v>2</v>
      </c>
      <c r="AM184" s="133">
        <f t="shared" si="3"/>
        <v>2</v>
      </c>
      <c r="AN184" s="132" t="str">
        <f t="shared" si="4"/>
        <v>3</v>
      </c>
      <c r="AO184" s="132">
        <f t="shared" si="5"/>
        <v>3</v>
      </c>
      <c r="AP184" s="88"/>
    </row>
    <row r="185">
      <c r="A185" s="142">
        <v>181.0</v>
      </c>
      <c r="B185" s="220" t="s">
        <v>1514</v>
      </c>
      <c r="C185" s="248" t="s">
        <v>3596</v>
      </c>
      <c r="D185" s="209" t="str">
        <f>VLOOKUP(B185,USN!$1:$1088,2,False)</f>
        <v>1CR23IS187</v>
      </c>
      <c r="E185" s="234">
        <v>7.019020245E9</v>
      </c>
      <c r="F185" s="222" t="s">
        <v>3706</v>
      </c>
      <c r="G185" s="88"/>
      <c r="H185" s="223">
        <v>70.0</v>
      </c>
      <c r="I185" s="211">
        <v>87.0</v>
      </c>
      <c r="J185" s="211">
        <f>VLOOKUP(D185,'L3'!$1:$2060,2,False)</f>
        <v>70</v>
      </c>
      <c r="K185" s="211">
        <f>VLOOKUP(D185,'L4'!$1:$2059,2,False)</f>
        <v>70</v>
      </c>
      <c r="L185" s="212">
        <f>VLOOKUP(D185,'A1 RETEST 5 DEC'!$1:$2096,2,FALSE)</f>
        <v>31</v>
      </c>
      <c r="M185" s="213">
        <f>VLOOKUP(D185,'A2 RETEST 4 DEC'!$1:$2096,2,False)</f>
        <v>50</v>
      </c>
      <c r="N185" s="213">
        <v>9.0</v>
      </c>
      <c r="O185" s="212"/>
      <c r="P185" s="214">
        <f>IFNA(VLOOKUP(D185,'S1'!$1:$2000,2,False),0)</f>
        <v>68</v>
      </c>
      <c r="Q185" s="214">
        <f>vlookup(D185,'S2'!A181:B1383,2,0)</f>
        <v>81</v>
      </c>
      <c r="R185" s="214">
        <f>ifna(vlookup(D185,'S3'!$1:$1311,2,False),0)</f>
        <v>41</v>
      </c>
      <c r="S185" s="214"/>
      <c r="T185" s="215">
        <v>20.0</v>
      </c>
      <c r="U185" s="215">
        <v>21.0</v>
      </c>
      <c r="V185" s="215">
        <v>46.0</v>
      </c>
      <c r="W185" s="215"/>
      <c r="X185" s="216">
        <v>88.0</v>
      </c>
      <c r="Y185" s="215"/>
      <c r="Z185" s="217"/>
      <c r="AA185" s="218">
        <v>58.0</v>
      </c>
      <c r="AB185" s="219">
        <v>89.0</v>
      </c>
      <c r="AC185" s="129">
        <v>0.0</v>
      </c>
      <c r="AD185" s="129">
        <v>75.0</v>
      </c>
      <c r="AE185" s="130">
        <v>10.0</v>
      </c>
      <c r="AF185" s="129"/>
      <c r="AG185" s="129">
        <v>10.0</v>
      </c>
      <c r="AH185" s="129"/>
      <c r="AI185" s="88"/>
      <c r="AJ185" s="88"/>
      <c r="AK185" s="132">
        <f t="shared" si="1"/>
        <v>4</v>
      </c>
      <c r="AL185" s="132">
        <f t="shared" si="2"/>
        <v>0</v>
      </c>
      <c r="AM185" s="133">
        <f t="shared" si="3"/>
        <v>2</v>
      </c>
      <c r="AN185" s="132" t="str">
        <f t="shared" si="4"/>
        <v>3</v>
      </c>
      <c r="AO185" s="132">
        <f t="shared" si="5"/>
        <v>2</v>
      </c>
      <c r="AP185" s="88"/>
    </row>
    <row r="186">
      <c r="A186" s="142">
        <v>182.0</v>
      </c>
      <c r="B186" s="220" t="s">
        <v>1515</v>
      </c>
      <c r="C186" s="221" t="s">
        <v>3597</v>
      </c>
      <c r="D186" s="209" t="str">
        <f>VLOOKUP(B186,USN!$1:$1088,2,False)</f>
        <v>1CR23IS188</v>
      </c>
      <c r="E186" s="222">
        <v>6.306060597E9</v>
      </c>
      <c r="F186" s="222" t="s">
        <v>3706</v>
      </c>
      <c r="G186" s="88"/>
      <c r="H186" s="223">
        <v>71.0</v>
      </c>
      <c r="I186" s="211">
        <v>81.0</v>
      </c>
      <c r="J186" s="211">
        <f>VLOOKUP(D186,'L3'!$1:$2060,2,False)</f>
        <v>70</v>
      </c>
      <c r="K186" s="211">
        <f>VLOOKUP(D186,'L4'!$1:$2059,2,False)</f>
        <v>70</v>
      </c>
      <c r="L186" s="212">
        <f>VLOOKUP(D186,'A1 RETEST 5 DEC'!$1:$2096,2,FALSE)</f>
        <v>50</v>
      </c>
      <c r="M186" s="213">
        <f>VLOOKUP(D186,'A2 RETEST 4 DEC'!$1:$2096,2,False)</f>
        <v>52</v>
      </c>
      <c r="N186" s="213">
        <v>54.0</v>
      </c>
      <c r="O186" s="212"/>
      <c r="P186" s="214">
        <f>IFNA(VLOOKUP(D186,'S1'!$1:$2000,2,False),0)</f>
        <v>50</v>
      </c>
      <c r="Q186" s="214">
        <f>vlookup(D186,'S2'!A182:B1384,2,0)</f>
        <v>65</v>
      </c>
      <c r="R186" s="214">
        <f>ifna(vlookup(D186,'S3'!$1:$1311,2,False),0)</f>
        <v>76</v>
      </c>
      <c r="S186" s="214"/>
      <c r="T186" s="215">
        <v>16.0</v>
      </c>
      <c r="U186" s="215">
        <v>23.0</v>
      </c>
      <c r="V186" s="215">
        <v>44.0</v>
      </c>
      <c r="W186" s="215">
        <v>44.0</v>
      </c>
      <c r="X186" s="216">
        <v>80.0</v>
      </c>
      <c r="Y186" s="215"/>
      <c r="Z186" s="217"/>
      <c r="AA186" s="218">
        <v>79.0</v>
      </c>
      <c r="AB186" s="219">
        <v>92.0</v>
      </c>
      <c r="AC186" s="129">
        <v>28.0</v>
      </c>
      <c r="AD186" s="129">
        <v>60.0</v>
      </c>
      <c r="AE186" s="130">
        <v>70.0</v>
      </c>
      <c r="AF186" s="129"/>
      <c r="AG186" s="129">
        <v>0.0</v>
      </c>
      <c r="AH186" s="129"/>
      <c r="AI186" s="88"/>
      <c r="AJ186" s="88"/>
      <c r="AK186" s="132">
        <f t="shared" si="1"/>
        <v>4</v>
      </c>
      <c r="AL186" s="132">
        <f t="shared" si="2"/>
        <v>3</v>
      </c>
      <c r="AM186" s="133">
        <f t="shared" si="3"/>
        <v>2</v>
      </c>
      <c r="AN186" s="132" t="str">
        <f t="shared" si="4"/>
        <v>3.5</v>
      </c>
      <c r="AO186" s="132">
        <f t="shared" si="5"/>
        <v>3</v>
      </c>
      <c r="AP186" s="88"/>
    </row>
    <row r="187">
      <c r="A187" s="142">
        <v>183.0</v>
      </c>
      <c r="B187" s="220" t="s">
        <v>1516</v>
      </c>
      <c r="C187" s="221" t="s">
        <v>3598</v>
      </c>
      <c r="D187" s="209" t="str">
        <f>VLOOKUP(B187,USN!$1:$1088,2,False)</f>
        <v>1CR23IS189</v>
      </c>
      <c r="E187" s="222">
        <v>7.903052247E9</v>
      </c>
      <c r="F187" s="222" t="s">
        <v>3706</v>
      </c>
      <c r="G187" s="88"/>
      <c r="H187" s="223">
        <v>80.0</v>
      </c>
      <c r="I187" s="211">
        <v>83.0</v>
      </c>
      <c r="J187" s="211">
        <f>VLOOKUP(D187,'L3'!$1:$2060,2,False)</f>
        <v>79</v>
      </c>
      <c r="K187" s="211">
        <f>VLOOKUP(D187,'L4'!$1:$2059,2,False)</f>
        <v>70</v>
      </c>
      <c r="L187" s="212">
        <f>VLOOKUP(D187,'A1 RETEST 5 DEC'!$1:$2096,2,FALSE)</f>
        <v>26</v>
      </c>
      <c r="M187" s="213">
        <f>VLOOKUP(D187,'A2 RETEST 4 DEC'!$1:$2096,2,False)</f>
        <v>72</v>
      </c>
      <c r="N187" s="213">
        <v>63.0</v>
      </c>
      <c r="O187" s="212"/>
      <c r="P187" s="214">
        <f>IFNA(VLOOKUP(D187,'S1'!$1:$2000,2,False),0)</f>
        <v>73</v>
      </c>
      <c r="Q187" s="214">
        <f>vlookup(D187,'S2'!A183:B1385,2,0)</f>
        <v>65</v>
      </c>
      <c r="R187" s="214">
        <f>ifna(vlookup(D187,'S3'!$1:$1311,2,False),0)</f>
        <v>45</v>
      </c>
      <c r="S187" s="214"/>
      <c r="T187" s="215">
        <v>10.0</v>
      </c>
      <c r="U187" s="215">
        <v>22.0</v>
      </c>
      <c r="V187" s="215">
        <v>44.0</v>
      </c>
      <c r="W187" s="215">
        <v>48.0</v>
      </c>
      <c r="X187" s="216">
        <v>84.0</v>
      </c>
      <c r="Y187" s="215"/>
      <c r="Z187" s="224"/>
      <c r="AA187" s="218">
        <v>48.0</v>
      </c>
      <c r="AB187" s="219">
        <v>74.0</v>
      </c>
      <c r="AC187" s="129">
        <v>21.0</v>
      </c>
      <c r="AD187" s="129">
        <v>70.0</v>
      </c>
      <c r="AE187" s="130">
        <v>21.0</v>
      </c>
      <c r="AF187" s="129"/>
      <c r="AG187" s="129">
        <v>48.0</v>
      </c>
      <c r="AH187" s="129"/>
      <c r="AI187" s="88"/>
      <c r="AJ187" s="88"/>
      <c r="AK187" s="132">
        <f t="shared" si="1"/>
        <v>4</v>
      </c>
      <c r="AL187" s="132">
        <f t="shared" si="2"/>
        <v>0</v>
      </c>
      <c r="AM187" s="133">
        <f t="shared" si="3"/>
        <v>2</v>
      </c>
      <c r="AN187" s="132" t="str">
        <f t="shared" si="4"/>
        <v>3</v>
      </c>
      <c r="AO187" s="132">
        <f t="shared" si="5"/>
        <v>2</v>
      </c>
      <c r="AP187" s="88"/>
    </row>
    <row r="188">
      <c r="A188" s="142">
        <v>184.0</v>
      </c>
      <c r="B188" s="220" t="s">
        <v>1517</v>
      </c>
      <c r="C188" s="221" t="s">
        <v>3599</v>
      </c>
      <c r="D188" s="209" t="str">
        <f>VLOOKUP(B188,USN!$1:$1088,2,False)</f>
        <v>1CR23IS190</v>
      </c>
      <c r="E188" s="222">
        <v>6.294589873E9</v>
      </c>
      <c r="F188" s="222" t="s">
        <v>3706</v>
      </c>
      <c r="G188" s="88"/>
      <c r="H188" s="210">
        <v>81.0</v>
      </c>
      <c r="I188" s="211">
        <v>87.0</v>
      </c>
      <c r="J188" s="211">
        <f>VLOOKUP(D188,'L3'!$1:$2060,2,False)</f>
        <v>81</v>
      </c>
      <c r="K188" s="211">
        <f>VLOOKUP(D188,'L4'!$1:$2059,2,False)</f>
        <v>78</v>
      </c>
      <c r="L188" s="212">
        <f>VLOOKUP(D188,'A1 RETEST 5 DEC'!$1:$2096,2,FALSE)</f>
        <v>29</v>
      </c>
      <c r="M188" s="213">
        <f>VLOOKUP(D188,'A2 RETEST 4 DEC'!$1:$2096,2,False)</f>
        <v>61</v>
      </c>
      <c r="N188" s="213">
        <v>52.0</v>
      </c>
      <c r="O188" s="212"/>
      <c r="P188" s="214">
        <f>IFNA(VLOOKUP(D188,'S1'!$1:$2000,2,False),0)</f>
        <v>86</v>
      </c>
      <c r="Q188" s="214">
        <f>vlookup(D188,'S2'!A184:B1386,2,0)</f>
        <v>82</v>
      </c>
      <c r="R188" s="214">
        <f>ifna(vlookup(D188,'S3'!$1:$1311,2,False),0)</f>
        <v>93</v>
      </c>
      <c r="S188" s="214"/>
      <c r="T188" s="215">
        <v>17.0</v>
      </c>
      <c r="U188" s="215">
        <v>20.0</v>
      </c>
      <c r="V188" s="215">
        <v>44.0</v>
      </c>
      <c r="W188" s="215">
        <v>60.0</v>
      </c>
      <c r="X188" s="216">
        <v>84.0</v>
      </c>
      <c r="Y188" s="215"/>
      <c r="Z188" s="217"/>
      <c r="AA188" s="218">
        <v>64.0</v>
      </c>
      <c r="AB188" s="219">
        <v>96.0</v>
      </c>
      <c r="AC188" s="129">
        <v>62.0</v>
      </c>
      <c r="AD188" s="129">
        <v>3.0</v>
      </c>
      <c r="AE188" s="130">
        <v>35.0</v>
      </c>
      <c r="AF188" s="129"/>
      <c r="AG188" s="129">
        <v>81.0</v>
      </c>
      <c r="AH188" s="129"/>
      <c r="AI188" s="88"/>
      <c r="AJ188" s="88"/>
      <c r="AK188" s="132">
        <f t="shared" si="1"/>
        <v>4</v>
      </c>
      <c r="AL188" s="132">
        <f t="shared" si="2"/>
        <v>0</v>
      </c>
      <c r="AM188" s="133">
        <f t="shared" si="3"/>
        <v>3</v>
      </c>
      <c r="AN188" s="132" t="str">
        <f t="shared" si="4"/>
        <v>3</v>
      </c>
      <c r="AO188" s="132">
        <f t="shared" si="5"/>
        <v>3</v>
      </c>
      <c r="AP188" s="88"/>
    </row>
    <row r="189">
      <c r="A189" s="142">
        <v>185.0</v>
      </c>
      <c r="B189" s="220" t="s">
        <v>1518</v>
      </c>
      <c r="C189" s="221" t="s">
        <v>3600</v>
      </c>
      <c r="D189" s="209" t="str">
        <f>VLOOKUP(B189,USN!$1:$1088,2,False)</f>
        <v>1CR23IS191</v>
      </c>
      <c r="E189" s="222">
        <v>9.113184979E9</v>
      </c>
      <c r="F189" s="222" t="s">
        <v>3706</v>
      </c>
      <c r="G189" s="88"/>
      <c r="H189" s="223">
        <v>78.0</v>
      </c>
      <c r="I189" s="211">
        <v>76.0</v>
      </c>
      <c r="J189" s="211">
        <f>VLOOKUP(D189,'L3'!$1:$2060,2,False)</f>
        <v>17</v>
      </c>
      <c r="K189" s="211">
        <f>VLOOKUP(D189,'L4'!$1:$2059,2,False)</f>
        <v>33</v>
      </c>
      <c r="L189" s="212">
        <f>VLOOKUP(D189,'A1 RETEST 5 DEC'!$1:$2096,2,FALSE)</f>
        <v>27</v>
      </c>
      <c r="M189" s="213">
        <f>VLOOKUP(D189,'A2 RETEST 4 DEC'!$1:$2096,2,False)</f>
        <v>61</v>
      </c>
      <c r="N189" s="213">
        <v>20.0</v>
      </c>
      <c r="O189" s="212"/>
      <c r="P189" s="214">
        <f>IFNA(VLOOKUP(D189,'S1'!$1:$2000,2,False),0)</f>
        <v>81</v>
      </c>
      <c r="Q189" s="214">
        <f>vlookup(D189,'S2'!A185:B1387,2,0)</f>
        <v>0</v>
      </c>
      <c r="R189" s="214">
        <f>ifna(vlookup(D189,'S3'!$1:$1311,2,False),0)</f>
        <v>0</v>
      </c>
      <c r="S189" s="214"/>
      <c r="T189" s="215">
        <v>18.0</v>
      </c>
      <c r="U189" s="215">
        <v>22.0</v>
      </c>
      <c r="V189" s="215">
        <v>46.0</v>
      </c>
      <c r="W189" s="215">
        <v>20.0</v>
      </c>
      <c r="X189" s="216">
        <v>92.0</v>
      </c>
      <c r="Y189" s="215"/>
      <c r="Z189" s="217"/>
      <c r="AA189" s="218">
        <v>0.0</v>
      </c>
      <c r="AB189" s="219">
        <v>54.0</v>
      </c>
      <c r="AC189" s="129">
        <v>0.0</v>
      </c>
      <c r="AD189" s="129">
        <v>3.0</v>
      </c>
      <c r="AE189" s="130">
        <v>10.0</v>
      </c>
      <c r="AF189" s="129"/>
      <c r="AG189" s="129">
        <v>16.0</v>
      </c>
      <c r="AH189" s="129"/>
      <c r="AI189" s="88"/>
      <c r="AJ189" s="88"/>
      <c r="AK189" s="132">
        <f t="shared" si="1"/>
        <v>2</v>
      </c>
      <c r="AL189" s="132">
        <f t="shared" si="2"/>
        <v>0</v>
      </c>
      <c r="AM189" s="133">
        <f t="shared" si="3"/>
        <v>2</v>
      </c>
      <c r="AN189" s="132" t="str">
        <f t="shared" si="4"/>
        <v>2</v>
      </c>
      <c r="AO189" s="132">
        <f t="shared" si="5"/>
        <v>1</v>
      </c>
      <c r="AP189" s="88"/>
    </row>
    <row r="190">
      <c r="A190" s="142">
        <v>186.0</v>
      </c>
      <c r="B190" s="220" t="s">
        <v>1530</v>
      </c>
      <c r="C190" s="221" t="s">
        <v>3601</v>
      </c>
      <c r="D190" s="209" t="str">
        <f>VLOOKUP(B190,USN!$1:$1088,2,False)</f>
        <v>1CR23IS192</v>
      </c>
      <c r="E190" s="234">
        <v>9.90176736E9</v>
      </c>
      <c r="F190" s="222" t="s">
        <v>3706</v>
      </c>
      <c r="G190" s="88"/>
      <c r="H190" s="211">
        <v>84.0</v>
      </c>
      <c r="I190" s="211">
        <v>90.0</v>
      </c>
      <c r="J190" s="211">
        <f>VLOOKUP(D190,'L3'!$1:$2060,2,False)</f>
        <v>73</v>
      </c>
      <c r="K190" s="211">
        <f>VLOOKUP(D190,'L4'!$1:$2059,2,False)</f>
        <v>74</v>
      </c>
      <c r="L190" s="212">
        <f>VLOOKUP(D190,'A1 RETEST 5 DEC'!$1:$2096,2,FALSE)</f>
        <v>50</v>
      </c>
      <c r="M190" s="213">
        <f>VLOOKUP(D190,'A2 RETEST 4 DEC'!$1:$2096,2,False)</f>
        <v>48</v>
      </c>
      <c r="N190" s="213">
        <v>56.0</v>
      </c>
      <c r="O190" s="212"/>
      <c r="P190" s="214">
        <f>IFNA(VLOOKUP(D190,'S1'!$1:$2000,2,False),0)</f>
        <v>68</v>
      </c>
      <c r="Q190" s="214">
        <f>vlookup(D190,'S2'!A186:B1388,2,0)</f>
        <v>78</v>
      </c>
      <c r="R190" s="214">
        <f>ifna(vlookup(D190,'S3'!$1:$1311,2,False),0)</f>
        <v>93</v>
      </c>
      <c r="S190" s="214"/>
      <c r="T190" s="215">
        <v>11.0</v>
      </c>
      <c r="U190" s="215">
        <v>19.0</v>
      </c>
      <c r="V190" s="215">
        <v>44.0</v>
      </c>
      <c r="W190" s="215">
        <v>44.0</v>
      </c>
      <c r="X190" s="216">
        <v>80.0</v>
      </c>
      <c r="Y190" s="215"/>
      <c r="Z190" s="217"/>
      <c r="AA190" s="218">
        <v>88.0</v>
      </c>
      <c r="AB190" s="219">
        <v>100.0</v>
      </c>
      <c r="AC190" s="129">
        <v>62.0</v>
      </c>
      <c r="AD190" s="129">
        <v>70.0</v>
      </c>
      <c r="AE190" s="130">
        <v>70.0</v>
      </c>
      <c r="AF190" s="129"/>
      <c r="AG190" s="129">
        <v>87.0</v>
      </c>
      <c r="AH190" s="129"/>
      <c r="AI190" s="88"/>
      <c r="AJ190" s="88"/>
      <c r="AK190" s="132">
        <f t="shared" si="1"/>
        <v>4</v>
      </c>
      <c r="AL190" s="132">
        <f t="shared" si="2"/>
        <v>1</v>
      </c>
      <c r="AM190" s="133">
        <f t="shared" si="3"/>
        <v>2</v>
      </c>
      <c r="AN190" s="132" t="str">
        <f t="shared" si="4"/>
        <v>3.5</v>
      </c>
      <c r="AO190" s="132">
        <f t="shared" si="5"/>
        <v>3</v>
      </c>
      <c r="AP190" s="88"/>
    </row>
    <row r="191">
      <c r="A191" s="142">
        <v>187.0</v>
      </c>
      <c r="B191" s="246" t="s">
        <v>1519</v>
      </c>
      <c r="C191" s="221" t="s">
        <v>3602</v>
      </c>
      <c r="D191" s="209" t="str">
        <f>VLOOKUP(B191,USN!$1:$1088,2,False)</f>
        <v>1CR23IS193</v>
      </c>
      <c r="E191" s="222">
        <v>8.828268843E9</v>
      </c>
      <c r="F191" s="222" t="s">
        <v>3706</v>
      </c>
      <c r="G191" s="88"/>
      <c r="H191" s="223">
        <v>80.0</v>
      </c>
      <c r="I191" s="211">
        <v>83.0</v>
      </c>
      <c r="J191" s="211">
        <f>VLOOKUP(D191,'L3'!$1:$2060,2,False)</f>
        <v>70</v>
      </c>
      <c r="K191" s="211">
        <f>VLOOKUP(D191,'L4'!$1:$2059,2,False)</f>
        <v>70</v>
      </c>
      <c r="L191" s="212">
        <f>VLOOKUP(D191,'A1 RETEST 5 DEC'!$1:$2096,2,FALSE)</f>
        <v>50</v>
      </c>
      <c r="M191" s="213">
        <f>VLOOKUP(D191,'A2 RETEST 4 DEC'!$1:$2096,2,False)</f>
        <v>54</v>
      </c>
      <c r="N191" s="213">
        <v>63.0</v>
      </c>
      <c r="O191" s="212"/>
      <c r="P191" s="214">
        <f>IFNA(VLOOKUP(D191,'S1'!$1:$2000,2,False),0)</f>
        <v>73</v>
      </c>
      <c r="Q191" s="214">
        <f>vlookup(D191,'S2'!A187:B1389,2,0)</f>
        <v>63</v>
      </c>
      <c r="R191" s="214">
        <f>ifna(vlookup(D191,'S3'!$1:$1311,2,False),0)</f>
        <v>90</v>
      </c>
      <c r="S191" s="214"/>
      <c r="T191" s="215">
        <v>13.0</v>
      </c>
      <c r="U191" s="215">
        <v>23.0</v>
      </c>
      <c r="V191" s="215">
        <v>44.0</v>
      </c>
      <c r="W191" s="215">
        <v>32.0</v>
      </c>
      <c r="X191" s="216">
        <v>80.0</v>
      </c>
      <c r="Y191" s="215"/>
      <c r="Z191" s="217"/>
      <c r="AA191" s="218">
        <v>80.0</v>
      </c>
      <c r="AB191" s="219">
        <v>53.0</v>
      </c>
      <c r="AC191" s="129">
        <v>32.0</v>
      </c>
      <c r="AD191" s="129">
        <v>60.0</v>
      </c>
      <c r="AE191" s="130">
        <v>82.0</v>
      </c>
      <c r="AF191" s="129"/>
      <c r="AG191" s="129">
        <v>82.0</v>
      </c>
      <c r="AH191" s="129"/>
      <c r="AI191" s="88"/>
      <c r="AJ191" s="88"/>
      <c r="AK191" s="132">
        <f t="shared" si="1"/>
        <v>4</v>
      </c>
      <c r="AL191" s="132">
        <f t="shared" si="2"/>
        <v>3</v>
      </c>
      <c r="AM191" s="133">
        <f t="shared" si="3"/>
        <v>2</v>
      </c>
      <c r="AN191" s="132" t="str">
        <f t="shared" si="4"/>
        <v>3.5</v>
      </c>
      <c r="AO191" s="132">
        <f t="shared" si="5"/>
        <v>3</v>
      </c>
      <c r="AP191" s="88"/>
    </row>
    <row r="192">
      <c r="A192" s="142">
        <v>188.0</v>
      </c>
      <c r="B192" s="220" t="s">
        <v>1521</v>
      </c>
      <c r="C192" s="221" t="s">
        <v>3603</v>
      </c>
      <c r="D192" s="209" t="str">
        <f>VLOOKUP(B192,USN!$1:$1088,2,False)</f>
        <v>1CR23IS195</v>
      </c>
      <c r="E192" s="222">
        <v>9.392262238E9</v>
      </c>
      <c r="F192" s="222" t="s">
        <v>3706</v>
      </c>
      <c r="G192" s="88"/>
      <c r="H192" s="210">
        <v>74.0</v>
      </c>
      <c r="I192" s="211">
        <v>88.0</v>
      </c>
      <c r="J192" s="211">
        <f>VLOOKUP(D192,'L3'!$1:$2060,2,False)</f>
        <v>88</v>
      </c>
      <c r="K192" s="211">
        <f>VLOOKUP(D192,'L4'!$1:$2059,2,False)</f>
        <v>75</v>
      </c>
      <c r="L192" s="212">
        <f>VLOOKUP(D192,'A1 RETEST 5 DEC'!$1:$2096,2,FALSE)</f>
        <v>50</v>
      </c>
      <c r="M192" s="213">
        <f>VLOOKUP(D192,'A2 RETEST 4 DEC'!$1:$2096,2,False)</f>
        <v>44</v>
      </c>
      <c r="N192" s="213">
        <v>63.0</v>
      </c>
      <c r="O192" s="212"/>
      <c r="P192" s="214">
        <f>IFNA(VLOOKUP(D192,'S1'!$1:$2000,2,False),0)</f>
        <v>73</v>
      </c>
      <c r="Q192" s="214">
        <f>vlookup(D192,'S2'!A188:B1390,2,0)</f>
        <v>65</v>
      </c>
      <c r="R192" s="214">
        <f>ifna(vlookup(D192,'S3'!$1:$1311,2,False),0)</f>
        <v>92</v>
      </c>
      <c r="S192" s="214"/>
      <c r="T192" s="215" t="s">
        <v>2477</v>
      </c>
      <c r="U192" s="215">
        <v>20.0</v>
      </c>
      <c r="V192" s="215"/>
      <c r="W192" s="215">
        <v>50.0</v>
      </c>
      <c r="X192" s="216">
        <v>80.0</v>
      </c>
      <c r="Y192" s="215"/>
      <c r="Z192" s="217"/>
      <c r="AA192" s="218">
        <v>4.0</v>
      </c>
      <c r="AB192" s="219">
        <v>97.0</v>
      </c>
      <c r="AC192" s="129">
        <v>69.0</v>
      </c>
      <c r="AD192" s="129">
        <v>70.0</v>
      </c>
      <c r="AE192" s="130">
        <v>85.0</v>
      </c>
      <c r="AF192" s="129"/>
      <c r="AG192" s="129">
        <v>74.0</v>
      </c>
      <c r="AH192" s="129"/>
      <c r="AI192" s="88"/>
      <c r="AJ192" s="88"/>
      <c r="AK192" s="132">
        <f t="shared" si="1"/>
        <v>4</v>
      </c>
      <c r="AL192" s="132">
        <f t="shared" si="2"/>
        <v>1</v>
      </c>
      <c r="AM192" s="133">
        <f t="shared" si="3"/>
        <v>3</v>
      </c>
      <c r="AN192" s="132" t="str">
        <f t="shared" si="4"/>
        <v>3.5</v>
      </c>
      <c r="AO192" s="132">
        <f t="shared" si="5"/>
        <v>3</v>
      </c>
      <c r="AP192" s="88"/>
    </row>
    <row r="193">
      <c r="A193" s="142">
        <v>189.0</v>
      </c>
      <c r="B193" s="220" t="s">
        <v>1522</v>
      </c>
      <c r="C193" s="221" t="s">
        <v>3604</v>
      </c>
      <c r="D193" s="209" t="str">
        <f>VLOOKUP(B193,USN!$1:$1088,2,False)</f>
        <v>1CR23IS196</v>
      </c>
      <c r="E193" s="222">
        <v>7.992474956E9</v>
      </c>
      <c r="F193" s="222" t="s">
        <v>3706</v>
      </c>
      <c r="G193" s="88"/>
      <c r="H193" s="223">
        <v>83.0</v>
      </c>
      <c r="I193" s="211">
        <v>84.0</v>
      </c>
      <c r="J193" s="211">
        <f>VLOOKUP(D193,'L3'!$1:$2060,2,False)</f>
        <v>78</v>
      </c>
      <c r="K193" s="211">
        <f>VLOOKUP(D193,'L4'!$1:$2059,2,False)</f>
        <v>83</v>
      </c>
      <c r="L193" s="212">
        <f>VLOOKUP(D193,'A1 RETEST 5 DEC'!$1:$2096,2,FALSE)</f>
        <v>70</v>
      </c>
      <c r="M193" s="213">
        <f>VLOOKUP(D193,'A2 RETEST 4 DEC'!$1:$2096,2,False)</f>
        <v>69</v>
      </c>
      <c r="N193" s="213">
        <v>65.0</v>
      </c>
      <c r="O193" s="212"/>
      <c r="P193" s="214">
        <f>IFNA(VLOOKUP(D193,'S1'!$1:$2000,2,False),0)</f>
        <v>73</v>
      </c>
      <c r="Q193" s="214">
        <f>vlookup(D193,'S2'!A189:B1391,2,0)</f>
        <v>65</v>
      </c>
      <c r="R193" s="214">
        <f>ifna(vlookup(D193,'S3'!$1:$1311,2,False),0)</f>
        <v>89</v>
      </c>
      <c r="S193" s="214"/>
      <c r="T193" s="215">
        <v>11.0</v>
      </c>
      <c r="U193" s="215">
        <v>24.0</v>
      </c>
      <c r="V193" s="215">
        <v>40.0</v>
      </c>
      <c r="W193" s="215">
        <v>50.0</v>
      </c>
      <c r="X193" s="216">
        <v>84.0</v>
      </c>
      <c r="Y193" s="215"/>
      <c r="Z193" s="217"/>
      <c r="AA193" s="249">
        <v>100.0</v>
      </c>
      <c r="AB193" s="219">
        <v>96.0</v>
      </c>
      <c r="AC193" s="129">
        <v>98.0</v>
      </c>
      <c r="AD193" s="129">
        <v>79.0</v>
      </c>
      <c r="AE193" s="130">
        <v>78.0</v>
      </c>
      <c r="AF193" s="129"/>
      <c r="AG193" s="129">
        <v>82.0</v>
      </c>
      <c r="AH193" s="129"/>
      <c r="AI193" s="88"/>
      <c r="AJ193" s="88"/>
      <c r="AK193" s="132">
        <f t="shared" si="1"/>
        <v>4</v>
      </c>
      <c r="AL193" s="132">
        <f t="shared" si="2"/>
        <v>3</v>
      </c>
      <c r="AM193" s="133">
        <f t="shared" si="3"/>
        <v>3</v>
      </c>
      <c r="AN193" s="132" t="str">
        <f t="shared" si="4"/>
        <v>3.5</v>
      </c>
      <c r="AO193" s="132">
        <f t="shared" si="5"/>
        <v>3</v>
      </c>
      <c r="AP193" s="88"/>
    </row>
    <row r="194">
      <c r="A194" s="142">
        <v>190.0</v>
      </c>
      <c r="B194" s="246" t="s">
        <v>1414</v>
      </c>
      <c r="C194" s="221" t="s">
        <v>3605</v>
      </c>
      <c r="D194" s="209" t="str">
        <f>VLOOKUP(B194,USN!$1:$1088,2,False)</f>
        <v>1CR23IS197</v>
      </c>
      <c r="E194" s="234">
        <v>7.259423738E9</v>
      </c>
      <c r="F194" s="222" t="s">
        <v>3706</v>
      </c>
      <c r="G194" s="88"/>
      <c r="H194" s="210">
        <v>66.0</v>
      </c>
      <c r="I194" s="211">
        <v>81.0</v>
      </c>
      <c r="J194" s="211">
        <f>VLOOKUP(D194,'L3'!$1:$2060,2,False)</f>
        <v>37</v>
      </c>
      <c r="K194" s="211">
        <f>VLOOKUP(D194,'L4'!$1:$2059,2,False)</f>
        <v>43</v>
      </c>
      <c r="L194" s="212">
        <f>VLOOKUP(D194,'A1 RETEST 5 DEC'!$1:$2096,2,FALSE)</f>
        <v>24</v>
      </c>
      <c r="M194" s="213">
        <f>VLOOKUP(D194,'A2 RETEST 4 DEC'!$1:$2096,2,False)</f>
        <v>5</v>
      </c>
      <c r="N194" s="213">
        <v>0.0</v>
      </c>
      <c r="O194" s="212"/>
      <c r="P194" s="214">
        <f>IFNA(VLOOKUP(D194,'S1'!$1:$2000,2,False),0)</f>
        <v>82</v>
      </c>
      <c r="Q194" s="214">
        <f>vlookup(D194,'S2'!A190:B1392,2,0)</f>
        <v>0</v>
      </c>
      <c r="R194" s="214">
        <f>ifna(vlookup(D194,'S3'!$1:$1311,2,False),0)</f>
        <v>0</v>
      </c>
      <c r="S194" s="214"/>
      <c r="T194" s="215">
        <v>10.0</v>
      </c>
      <c r="U194" s="215">
        <v>6.0</v>
      </c>
      <c r="V194" s="215"/>
      <c r="W194" s="215"/>
      <c r="X194" s="216">
        <v>0.0</v>
      </c>
      <c r="Y194" s="215"/>
      <c r="Z194" s="224"/>
      <c r="AA194" s="218">
        <v>26.0</v>
      </c>
      <c r="AB194" s="250">
        <v>48.0</v>
      </c>
      <c r="AC194" s="129">
        <v>6.0</v>
      </c>
      <c r="AD194" s="129">
        <v>0.0</v>
      </c>
      <c r="AE194" s="130">
        <v>10.0</v>
      </c>
      <c r="AF194" s="129"/>
      <c r="AG194" s="129">
        <v>0.0</v>
      </c>
      <c r="AH194" s="129"/>
      <c r="AI194" s="88"/>
      <c r="AJ194" s="88"/>
      <c r="AK194" s="132">
        <f t="shared" si="1"/>
        <v>2</v>
      </c>
      <c r="AL194" s="132">
        <f t="shared" si="2"/>
        <v>0</v>
      </c>
      <c r="AM194" s="133">
        <f t="shared" si="3"/>
        <v>0</v>
      </c>
      <c r="AN194" s="132" t="str">
        <f t="shared" si="4"/>
        <v>0</v>
      </c>
      <c r="AO194" s="132">
        <f t="shared" si="5"/>
        <v>1</v>
      </c>
      <c r="AP194" s="88"/>
    </row>
    <row r="195">
      <c r="A195" s="142">
        <v>191.0</v>
      </c>
      <c r="B195" s="220" t="s">
        <v>1529</v>
      </c>
      <c r="C195" s="221" t="s">
        <v>3606</v>
      </c>
      <c r="D195" s="209" t="str">
        <f>VLOOKUP(B195,USN!$1:$1088,2,False)</f>
        <v>1CR23IS199</v>
      </c>
      <c r="E195" s="222">
        <v>9.686493314E9</v>
      </c>
      <c r="F195" s="222" t="s">
        <v>3706</v>
      </c>
      <c r="G195" s="88"/>
      <c r="H195" s="211">
        <v>70.0</v>
      </c>
      <c r="I195" s="211">
        <v>73.0</v>
      </c>
      <c r="J195" s="211">
        <f>VLOOKUP(D195,'L3'!$1:$2060,2,False)</f>
        <v>70</v>
      </c>
      <c r="K195" s="211">
        <f>VLOOKUP(D195,'L4'!$1:$2059,2,False)</f>
        <v>70</v>
      </c>
      <c r="L195" s="212">
        <f>VLOOKUP(D195,'A1 RETEST 5 DEC'!$1:$2096,2,FALSE)</f>
        <v>50</v>
      </c>
      <c r="M195" s="213">
        <f>VLOOKUP(D195,'A2 RETEST 4 DEC'!$1:$2096,2,False)</f>
        <v>50</v>
      </c>
      <c r="N195" s="213">
        <v>50.0</v>
      </c>
      <c r="O195" s="212"/>
      <c r="P195" s="214">
        <f>IFNA(VLOOKUP(D195,'S1'!$1:$2000,2,False),0)</f>
        <v>50</v>
      </c>
      <c r="Q195" s="214">
        <f>vlookup(D195,'S2'!A191:B1393,2,0)</f>
        <v>57</v>
      </c>
      <c r="R195" s="214">
        <f>ifna(vlookup(D195,'S3'!$1:$1311,2,False),0)</f>
        <v>50</v>
      </c>
      <c r="S195" s="214"/>
      <c r="T195" s="215">
        <v>11.0</v>
      </c>
      <c r="U195" s="215">
        <v>12.0</v>
      </c>
      <c r="V195" s="215">
        <v>46.0</v>
      </c>
      <c r="W195" s="215"/>
      <c r="X195" s="216">
        <v>84.0</v>
      </c>
      <c r="Y195" s="215"/>
      <c r="Z195" s="217"/>
      <c r="AA195" s="218">
        <v>0.0</v>
      </c>
      <c r="AB195" s="219">
        <v>82.0</v>
      </c>
      <c r="AC195" s="129">
        <v>49.0</v>
      </c>
      <c r="AD195" s="129">
        <v>100.0</v>
      </c>
      <c r="AE195" s="130">
        <v>70.0</v>
      </c>
      <c r="AF195" s="129"/>
      <c r="AG195" s="129">
        <v>65.0</v>
      </c>
      <c r="AH195" s="129"/>
      <c r="AI195" s="88"/>
      <c r="AJ195" s="88"/>
      <c r="AK195" s="132">
        <f t="shared" si="1"/>
        <v>4</v>
      </c>
      <c r="AL195" s="132">
        <f t="shared" si="2"/>
        <v>3</v>
      </c>
      <c r="AM195" s="133">
        <f t="shared" si="3"/>
        <v>2</v>
      </c>
      <c r="AN195" s="132" t="str">
        <f t="shared" si="4"/>
        <v>3.5</v>
      </c>
      <c r="AO195" s="132">
        <f t="shared" si="5"/>
        <v>3</v>
      </c>
      <c r="AP195" s="88"/>
    </row>
    <row r="196">
      <c r="A196" s="142">
        <v>192.0</v>
      </c>
      <c r="B196" s="220" t="s">
        <v>1523</v>
      </c>
      <c r="C196" s="221" t="s">
        <v>3607</v>
      </c>
      <c r="D196" s="209" t="str">
        <f>VLOOKUP(B196,USN!$1:$1088,2,False)</f>
        <v>1CR23IS200</v>
      </c>
      <c r="E196" s="222">
        <v>9.036150866E9</v>
      </c>
      <c r="F196" s="222" t="s">
        <v>3706</v>
      </c>
      <c r="G196" s="88"/>
      <c r="H196" s="210">
        <v>70.0</v>
      </c>
      <c r="I196" s="211">
        <v>77.0</v>
      </c>
      <c r="J196" s="211">
        <f>VLOOKUP(D196,'L3'!$1:$2060,2,False)</f>
        <v>74</v>
      </c>
      <c r="K196" s="211">
        <f>VLOOKUP(D196,'L4'!$1:$2059,2,False)</f>
        <v>70</v>
      </c>
      <c r="L196" s="212">
        <f>VLOOKUP(D196,'A1 RETEST 5 DEC'!$1:$2096,2,FALSE)</f>
        <v>50</v>
      </c>
      <c r="M196" s="213">
        <f>VLOOKUP(D196,'A2 RETEST 4 DEC'!$1:$2096,2,False)</f>
        <v>21</v>
      </c>
      <c r="N196" s="213">
        <v>50.0</v>
      </c>
      <c r="O196" s="212"/>
      <c r="P196" s="214">
        <f>IFNA(VLOOKUP(D196,'S1'!$1:$2000,2,False),0)</f>
        <v>68</v>
      </c>
      <c r="Q196" s="214">
        <f>vlookup(D196,'S2'!A192:B1394,2,0)</f>
        <v>71</v>
      </c>
      <c r="R196" s="214">
        <f>ifna(vlookup(D196,'S3'!$1:$1311,2,False),0)</f>
        <v>87</v>
      </c>
      <c r="S196" s="214"/>
      <c r="T196" s="215">
        <v>10.0</v>
      </c>
      <c r="U196" s="215">
        <v>23.0</v>
      </c>
      <c r="V196" s="215">
        <v>36.0</v>
      </c>
      <c r="W196" s="215"/>
      <c r="X196" s="216">
        <v>88.0</v>
      </c>
      <c r="Y196" s="215"/>
      <c r="Z196" s="217"/>
      <c r="AA196" s="218">
        <v>78.0</v>
      </c>
      <c r="AB196" s="219">
        <v>100.0</v>
      </c>
      <c r="AC196" s="129">
        <v>47.0</v>
      </c>
      <c r="AD196" s="129">
        <v>80.0</v>
      </c>
      <c r="AE196" s="130">
        <v>70.0</v>
      </c>
      <c r="AF196" s="129"/>
      <c r="AG196" s="129">
        <v>84.0</v>
      </c>
      <c r="AH196" s="129"/>
      <c r="AI196" s="88"/>
      <c r="AJ196" s="88"/>
      <c r="AK196" s="132">
        <f t="shared" si="1"/>
        <v>4</v>
      </c>
      <c r="AL196" s="132">
        <f t="shared" si="2"/>
        <v>1</v>
      </c>
      <c r="AM196" s="133">
        <f t="shared" si="3"/>
        <v>2</v>
      </c>
      <c r="AN196" s="132" t="str">
        <f t="shared" si="4"/>
        <v>3.5</v>
      </c>
      <c r="AO196" s="132">
        <f t="shared" si="5"/>
        <v>3</v>
      </c>
      <c r="AP196" s="88"/>
    </row>
    <row r="197">
      <c r="A197" s="142">
        <v>193.0</v>
      </c>
      <c r="B197" s="220" t="s">
        <v>1420</v>
      </c>
      <c r="C197" s="221" t="s">
        <v>3608</v>
      </c>
      <c r="D197" s="209" t="str">
        <f>VLOOKUP(B197,USN!$1:$1088,2,False)</f>
        <v>1CR23IS201</v>
      </c>
      <c r="E197" s="227">
        <v>6.360400946E9</v>
      </c>
      <c r="F197" s="222" t="s">
        <v>3706</v>
      </c>
      <c r="G197" s="88"/>
      <c r="H197" s="233">
        <v>70.0</v>
      </c>
      <c r="I197" s="211">
        <v>70.0</v>
      </c>
      <c r="J197" s="211">
        <f>VLOOKUP(D197,'L3'!$1:$2060,2,False)</f>
        <v>70</v>
      </c>
      <c r="K197" s="211">
        <f>VLOOKUP(D197,'L4'!$1:$2059,2,False)</f>
        <v>70</v>
      </c>
      <c r="L197" s="212">
        <f>VLOOKUP(D197,'A1 RETEST 5 DEC'!$1:$2096,2,FALSE)</f>
        <v>50</v>
      </c>
      <c r="M197" s="213">
        <f>VLOOKUP(D197,'A2 RETEST 4 DEC'!$1:$2096,2,False)</f>
        <v>50</v>
      </c>
      <c r="N197" s="213">
        <v>68.0</v>
      </c>
      <c r="O197" s="212"/>
      <c r="P197" s="214">
        <f>IFNA(VLOOKUP(D197,'S1'!$1:$2000,2,False),0)</f>
        <v>50</v>
      </c>
      <c r="Q197" s="214">
        <f>vlookup(D197,'S2'!A193:B1395,2,0)</f>
        <v>57</v>
      </c>
      <c r="R197" s="214">
        <f>ifna(vlookup(D197,'S3'!$1:$1311,2,False),0)</f>
        <v>84</v>
      </c>
      <c r="S197" s="214"/>
      <c r="T197" s="215">
        <v>22.0</v>
      </c>
      <c r="U197" s="215">
        <v>25.0</v>
      </c>
      <c r="V197" s="215">
        <v>46.0</v>
      </c>
      <c r="W197" s="215">
        <v>52.0</v>
      </c>
      <c r="X197" s="216">
        <v>68.0</v>
      </c>
      <c r="Y197" s="215"/>
      <c r="Z197" s="224"/>
      <c r="AA197" s="218">
        <v>64.0</v>
      </c>
      <c r="AB197" s="219">
        <v>78.0</v>
      </c>
      <c r="AC197" s="129">
        <v>46.0</v>
      </c>
      <c r="AD197" s="129">
        <v>80.0</v>
      </c>
      <c r="AE197" s="130">
        <v>53.0</v>
      </c>
      <c r="AF197" s="129"/>
      <c r="AG197" s="129">
        <v>27.0</v>
      </c>
      <c r="AH197" s="129"/>
      <c r="AI197" s="88"/>
      <c r="AJ197" s="88"/>
      <c r="AK197" s="132">
        <f t="shared" si="1"/>
        <v>4</v>
      </c>
      <c r="AL197" s="132">
        <f t="shared" si="2"/>
        <v>3</v>
      </c>
      <c r="AM197" s="133">
        <f t="shared" si="3"/>
        <v>3</v>
      </c>
      <c r="AN197" s="132" t="str">
        <f t="shared" si="4"/>
        <v>3</v>
      </c>
      <c r="AO197" s="132">
        <f t="shared" si="5"/>
        <v>3</v>
      </c>
      <c r="AP197" s="88"/>
    </row>
    <row r="198">
      <c r="A198" s="142">
        <v>194.0</v>
      </c>
      <c r="B198" s="220" t="s">
        <v>1524</v>
      </c>
      <c r="C198" s="221" t="s">
        <v>3609</v>
      </c>
      <c r="D198" s="209" t="str">
        <f>VLOOKUP(B198,USN!$1:$1088,2,False)</f>
        <v>1CR23IS202</v>
      </c>
      <c r="E198" s="222">
        <v>7.780994557E9</v>
      </c>
      <c r="F198" s="222" t="s">
        <v>3706</v>
      </c>
      <c r="G198" s="88"/>
      <c r="H198" s="223">
        <v>81.0</v>
      </c>
      <c r="I198" s="211">
        <v>94.0</v>
      </c>
      <c r="J198" s="211">
        <f>VLOOKUP(D198,'L3'!$1:$2060,2,False)</f>
        <v>85</v>
      </c>
      <c r="K198" s="211">
        <f>VLOOKUP(D198,'L4'!$1:$2059,2,False)</f>
        <v>86</v>
      </c>
      <c r="L198" s="212">
        <f>VLOOKUP(D198,'A1 RETEST 5 DEC'!$1:$2096,2,FALSE)</f>
        <v>50</v>
      </c>
      <c r="M198" s="213">
        <f>VLOOKUP(D198,'A2 RETEST 4 DEC'!$1:$2096,2,False)</f>
        <v>74</v>
      </c>
      <c r="N198" s="213">
        <v>76.0</v>
      </c>
      <c r="O198" s="212"/>
      <c r="P198" s="214">
        <f>IFNA(VLOOKUP(D198,'S1'!$1:$2000,2,False),0)</f>
        <v>81</v>
      </c>
      <c r="Q198" s="214">
        <f>vlookup(D198,'S2'!A194:B1396,2,0)</f>
        <v>82</v>
      </c>
      <c r="R198" s="214">
        <f>ifna(vlookup(D198,'S3'!$1:$1311,2,False),0)</f>
        <v>84</v>
      </c>
      <c r="S198" s="214"/>
      <c r="T198" s="215">
        <v>13.0</v>
      </c>
      <c r="U198" s="215">
        <v>23.0</v>
      </c>
      <c r="V198" s="215">
        <v>46.0</v>
      </c>
      <c r="W198" s="215">
        <v>44.0</v>
      </c>
      <c r="X198" s="216">
        <v>88.0</v>
      </c>
      <c r="Y198" s="215"/>
      <c r="Z198" s="217"/>
      <c r="AA198" s="218">
        <v>90.0</v>
      </c>
      <c r="AB198" s="219">
        <v>100.0</v>
      </c>
      <c r="AC198" s="129">
        <v>70.0</v>
      </c>
      <c r="AD198" s="129">
        <v>100.0</v>
      </c>
      <c r="AE198" s="130">
        <v>74.0</v>
      </c>
      <c r="AF198" s="129"/>
      <c r="AG198" s="129">
        <v>96.0</v>
      </c>
      <c r="AH198" s="129"/>
      <c r="AI198" s="88"/>
      <c r="AJ198" s="88"/>
      <c r="AK198" s="132">
        <f t="shared" si="1"/>
        <v>4</v>
      </c>
      <c r="AL198" s="132">
        <f t="shared" si="2"/>
        <v>3</v>
      </c>
      <c r="AM198" s="133">
        <f t="shared" si="3"/>
        <v>2</v>
      </c>
      <c r="AN198" s="132" t="str">
        <f t="shared" si="4"/>
        <v>3.5</v>
      </c>
      <c r="AO198" s="132">
        <f t="shared" si="5"/>
        <v>3</v>
      </c>
      <c r="AP198" s="88"/>
    </row>
    <row r="199">
      <c r="A199" s="142">
        <v>195.0</v>
      </c>
      <c r="B199" s="251" t="s">
        <v>2281</v>
      </c>
      <c r="C199" s="252" t="s">
        <v>3342</v>
      </c>
      <c r="D199" s="253" t="s">
        <v>1339</v>
      </c>
      <c r="E199" s="254">
        <v>8.660330783E9</v>
      </c>
      <c r="F199" s="222" t="s">
        <v>3706</v>
      </c>
      <c r="G199" s="88"/>
      <c r="H199" s="255">
        <v>88.0</v>
      </c>
      <c r="I199" s="155">
        <v>89.0</v>
      </c>
      <c r="J199" s="211">
        <v>81.0</v>
      </c>
      <c r="K199" s="211">
        <f>VLOOKUP(D199,'L4'!$1:$2059,2,False)</f>
        <v>81</v>
      </c>
      <c r="L199" s="212">
        <f>VLOOKUP(D199,'A1 RETEST 5 DEC'!$1:$2096,2,FALSE)</f>
        <v>50</v>
      </c>
      <c r="M199" s="213">
        <f>VLOOKUP(D199,'A2 RETEST 4 DEC'!$1:$2096,2,False)</f>
        <v>62</v>
      </c>
      <c r="N199" s="213">
        <v>63.0</v>
      </c>
      <c r="O199" s="105"/>
      <c r="P199" s="214">
        <f>IFNA(VLOOKUP(D199,'S1'!$1:$2000,2,False),0)</f>
        <v>50</v>
      </c>
      <c r="Q199" s="214">
        <f>vlookup(D199,'S2'!A195:B1397,2,0)</f>
        <v>78</v>
      </c>
      <c r="R199" s="214">
        <f>ifna(vlookup(D199,'S3'!$1:$1311,2,False),0)</f>
        <v>84</v>
      </c>
      <c r="S199" s="105"/>
      <c r="T199" s="161">
        <v>18.0</v>
      </c>
      <c r="U199" s="105">
        <v>17.0</v>
      </c>
      <c r="V199" s="215">
        <v>46.0</v>
      </c>
      <c r="W199" s="215">
        <v>44.0</v>
      </c>
      <c r="X199" s="216">
        <v>80.0</v>
      </c>
      <c r="Y199" s="105"/>
      <c r="Z199" s="158"/>
      <c r="AA199" s="256"/>
      <c r="AB199" s="105">
        <v>100.0</v>
      </c>
      <c r="AC199" s="105">
        <v>77.0</v>
      </c>
      <c r="AD199" s="105">
        <v>100.0</v>
      </c>
      <c r="AE199" s="130">
        <v>73.0</v>
      </c>
      <c r="AF199" s="158"/>
      <c r="AG199" s="129">
        <v>75.0</v>
      </c>
      <c r="AH199" s="129"/>
      <c r="AI199" s="88"/>
      <c r="AJ199" s="88"/>
      <c r="AK199" s="132">
        <f t="shared" si="1"/>
        <v>4</v>
      </c>
      <c r="AL199" s="132">
        <f t="shared" si="2"/>
        <v>3</v>
      </c>
      <c r="AM199" s="133">
        <f t="shared" si="3"/>
        <v>2</v>
      </c>
      <c r="AN199" s="132" t="str">
        <f t="shared" si="4"/>
        <v>3.5</v>
      </c>
      <c r="AO199" s="132">
        <f t="shared" si="5"/>
        <v>3</v>
      </c>
      <c r="AP199" s="88"/>
    </row>
    <row r="200">
      <c r="A200" s="142">
        <v>196.0</v>
      </c>
      <c r="B200" s="257" t="s">
        <v>2154</v>
      </c>
      <c r="C200" s="252" t="s">
        <v>3610</v>
      </c>
      <c r="D200" s="253" t="s">
        <v>1249</v>
      </c>
      <c r="E200" s="254">
        <v>9.731276655E9</v>
      </c>
      <c r="F200" s="222" t="s">
        <v>3706</v>
      </c>
      <c r="G200" s="88"/>
      <c r="H200" s="255">
        <v>70.0</v>
      </c>
      <c r="I200" s="155">
        <v>70.0</v>
      </c>
      <c r="J200" s="211">
        <f>IFNA(VLOOKUP(D200,'L3'!$1:$2060,2,False),0)</f>
        <v>70</v>
      </c>
      <c r="K200" s="211">
        <f>VLOOKUP(D200,'L4'!$1:$2059,2,False)</f>
        <v>70</v>
      </c>
      <c r="L200" s="212">
        <f>VLOOKUP(D200,'A1 RETEST 5 DEC'!$1:$2096,2,FALSE)</f>
        <v>50</v>
      </c>
      <c r="M200" s="213">
        <f>VLOOKUP(D200,'A2 RETEST 4 DEC'!$1:$2096,2,False)</f>
        <v>50</v>
      </c>
      <c r="N200" s="213">
        <v>50.0</v>
      </c>
      <c r="O200" s="105"/>
      <c r="P200" s="214">
        <f>IFNA(VLOOKUP(D200,'S1'!$1:$2000,2,False),0)</f>
        <v>78</v>
      </c>
      <c r="Q200" s="214">
        <f>vlookup(D200,'S2'!A196:B1398,2,0)</f>
        <v>50</v>
      </c>
      <c r="R200" s="214">
        <f>ifna(vlookup(D200,'S3'!$1:$1311,2,False),0)</f>
        <v>84</v>
      </c>
      <c r="S200" s="105"/>
      <c r="T200" s="161"/>
      <c r="U200" s="105"/>
      <c r="V200" s="105"/>
      <c r="W200" s="215">
        <v>60.0</v>
      </c>
      <c r="X200" s="216">
        <v>92.0</v>
      </c>
      <c r="Y200" s="105"/>
      <c r="Z200" s="158"/>
      <c r="AA200" s="256"/>
      <c r="AB200" s="105"/>
      <c r="AC200" s="105">
        <v>90.0</v>
      </c>
      <c r="AD200" s="105"/>
      <c r="AE200" s="130">
        <v>74.0</v>
      </c>
      <c r="AF200" s="158"/>
      <c r="AG200" s="129">
        <v>28.0</v>
      </c>
      <c r="AH200" s="129"/>
      <c r="AI200" s="88"/>
      <c r="AJ200" s="88"/>
      <c r="AK200" s="132">
        <f t="shared" si="1"/>
        <v>4</v>
      </c>
      <c r="AL200" s="132">
        <f t="shared" si="2"/>
        <v>3</v>
      </c>
      <c r="AM200" s="133">
        <f t="shared" si="3"/>
        <v>0</v>
      </c>
      <c r="AN200" s="132" t="str">
        <f t="shared" si="4"/>
        <v>0</v>
      </c>
      <c r="AO200" s="132">
        <f t="shared" si="5"/>
        <v>3</v>
      </c>
      <c r="AP200" s="88"/>
    </row>
    <row r="201">
      <c r="A201" s="142">
        <v>197.0</v>
      </c>
      <c r="B201" s="115" t="s">
        <v>2167</v>
      </c>
      <c r="C201" s="252" t="s">
        <v>3611</v>
      </c>
      <c r="D201" s="209" t="s">
        <v>864</v>
      </c>
      <c r="E201" s="254">
        <v>9.980613392E9</v>
      </c>
      <c r="F201" s="222" t="s">
        <v>3706</v>
      </c>
      <c r="G201" s="88"/>
      <c r="H201" s="222">
        <v>79.0</v>
      </c>
      <c r="I201" s="258">
        <v>83.0</v>
      </c>
      <c r="J201" s="211">
        <f>IFNA(VLOOKUP(D201,'L3'!$1:$2060,2,False),0)</f>
        <v>72</v>
      </c>
      <c r="K201" s="211">
        <f>VLOOKUP(D201,'L4'!$1:$2059,2,False)</f>
        <v>78</v>
      </c>
      <c r="L201" s="212">
        <f>VLOOKUP(D201,'A1 RETEST 5 DEC'!$1:$2096,2,FALSE)</f>
        <v>62</v>
      </c>
      <c r="M201" s="213">
        <f>VLOOKUP(D201,'A2 RETEST 4 DEC'!$1:$2096,2,False)</f>
        <v>62</v>
      </c>
      <c r="N201" s="213">
        <v>50.0</v>
      </c>
      <c r="O201" s="105"/>
      <c r="P201" s="214">
        <f>IFNA(VLOOKUP(D201,'S1'!$1:$2000,2,False),0)</f>
        <v>70</v>
      </c>
      <c r="Q201" s="214">
        <f>vlookup(D201,'S2'!A197:B1399,2,0)</f>
        <v>84</v>
      </c>
      <c r="R201" s="214">
        <f>ifna(vlookup(D201,'S3'!$1:$1311,2,False),0)</f>
        <v>93</v>
      </c>
      <c r="S201" s="105"/>
      <c r="T201" s="215">
        <v>15.0</v>
      </c>
      <c r="U201" s="215">
        <v>15.0</v>
      </c>
      <c r="V201" s="105">
        <v>46.0</v>
      </c>
      <c r="W201" s="215">
        <v>52.0</v>
      </c>
      <c r="X201" s="216">
        <v>84.0</v>
      </c>
      <c r="Y201" s="105"/>
      <c r="Z201" s="158"/>
      <c r="AA201" s="256"/>
      <c r="AB201" s="105">
        <v>100.0</v>
      </c>
      <c r="AC201" s="105">
        <v>64.0</v>
      </c>
      <c r="AD201" s="105">
        <v>77.0</v>
      </c>
      <c r="AE201" s="130">
        <v>70.0</v>
      </c>
      <c r="AF201" s="158"/>
      <c r="AG201" s="129">
        <v>93.0</v>
      </c>
      <c r="AH201" s="129"/>
      <c r="AI201" s="88"/>
      <c r="AJ201" s="88"/>
      <c r="AK201" s="132">
        <f t="shared" si="1"/>
        <v>4</v>
      </c>
      <c r="AL201" s="132">
        <f t="shared" si="2"/>
        <v>3</v>
      </c>
      <c r="AM201" s="133">
        <f t="shared" si="3"/>
        <v>3</v>
      </c>
      <c r="AN201" s="132" t="str">
        <f t="shared" si="4"/>
        <v>3.5</v>
      </c>
      <c r="AO201" s="132">
        <f t="shared" si="5"/>
        <v>3</v>
      </c>
      <c r="AP201" s="88"/>
    </row>
    <row r="202">
      <c r="A202" s="142">
        <v>198.0</v>
      </c>
      <c r="B202" s="257" t="s">
        <v>2315</v>
      </c>
      <c r="C202" s="252" t="s">
        <v>3337</v>
      </c>
      <c r="D202" s="259" t="s">
        <v>861</v>
      </c>
      <c r="E202" s="254">
        <v>8.433998135E9</v>
      </c>
      <c r="F202" s="222" t="s">
        <v>3706</v>
      </c>
      <c r="G202" s="88"/>
      <c r="H202" s="255">
        <v>83.0</v>
      </c>
      <c r="I202" s="155">
        <v>86.0</v>
      </c>
      <c r="J202" s="211">
        <f>IFNA(VLOOKUP(D202,'L3'!$1:$2060,2,False),0)</f>
        <v>70</v>
      </c>
      <c r="K202" s="211">
        <f>VLOOKUP(D202,'L4'!$1:$2059,2,False)</f>
        <v>70</v>
      </c>
      <c r="L202" s="212">
        <f>VLOOKUP(D202,'A1 RETEST 5 DEC'!$1:$2096,2,FALSE)</f>
        <v>72</v>
      </c>
      <c r="M202" s="213">
        <f>VLOOKUP(D202,'A2 RETEST 4 DEC'!$1:$2096,2,False)</f>
        <v>83</v>
      </c>
      <c r="N202" s="213">
        <v>66.0</v>
      </c>
      <c r="O202" s="105"/>
      <c r="P202" s="214">
        <f>IFNA(VLOOKUP(D202,'S1'!$1:$2000,2,False),0)</f>
        <v>75</v>
      </c>
      <c r="Q202" s="214">
        <f>vlookup(D202,'S2'!A198:B1400,2,0)</f>
        <v>65</v>
      </c>
      <c r="R202" s="214">
        <f>ifna(vlookup(D202,'S3'!$1:$1311,2,False),0)</f>
        <v>91</v>
      </c>
      <c r="S202" s="105"/>
      <c r="T202" s="161">
        <v>18.0</v>
      </c>
      <c r="U202" s="105">
        <v>11.0</v>
      </c>
      <c r="V202" s="105">
        <v>0.0</v>
      </c>
      <c r="W202" s="215">
        <v>64.0</v>
      </c>
      <c r="X202" s="216">
        <v>84.0</v>
      </c>
      <c r="Y202" s="105"/>
      <c r="Z202" s="158"/>
      <c r="AA202" s="256"/>
      <c r="AB202" s="105">
        <v>100.0</v>
      </c>
      <c r="AC202" s="105">
        <v>69.0</v>
      </c>
      <c r="AD202" s="105">
        <v>68.0</v>
      </c>
      <c r="AE202" s="130">
        <v>70.0</v>
      </c>
      <c r="AF202" s="158"/>
      <c r="AG202" s="129">
        <v>52.0</v>
      </c>
      <c r="AH202" s="129"/>
      <c r="AI202" s="88"/>
      <c r="AJ202" s="88"/>
      <c r="AK202" s="132">
        <f t="shared" si="1"/>
        <v>4</v>
      </c>
      <c r="AL202" s="132">
        <f t="shared" si="2"/>
        <v>3</v>
      </c>
      <c r="AM202" s="133">
        <f t="shared" si="3"/>
        <v>3</v>
      </c>
      <c r="AN202" s="132" t="str">
        <f t="shared" si="4"/>
        <v>3.5</v>
      </c>
      <c r="AO202" s="132">
        <f t="shared" si="5"/>
        <v>3</v>
      </c>
      <c r="AP202" s="88"/>
    </row>
    <row r="203">
      <c r="A203" s="142">
        <v>199.0</v>
      </c>
      <c r="B203" s="260" t="s">
        <v>1675</v>
      </c>
      <c r="C203" s="252" t="s">
        <v>3612</v>
      </c>
      <c r="D203" s="254" t="s">
        <v>1340</v>
      </c>
      <c r="E203" s="254">
        <v>8.660835895E9</v>
      </c>
      <c r="F203" s="222" t="s">
        <v>3706</v>
      </c>
      <c r="G203" s="88"/>
      <c r="H203" s="255">
        <v>0.0</v>
      </c>
      <c r="I203" s="155">
        <v>0.0</v>
      </c>
      <c r="J203" s="211">
        <f>IFNA(VLOOKUP(D203,'L3'!$1:$2060,2,False),0)</f>
        <v>0</v>
      </c>
      <c r="K203" s="211">
        <v>0.0</v>
      </c>
      <c r="L203" s="212">
        <f>VLOOKUP(D203,'A1 RETEST 5 DEC'!$1:$2096,2,FALSE)</f>
        <v>50</v>
      </c>
      <c r="M203" s="213">
        <f>VLOOKUP(D203,'A2 RETEST 4 DEC'!$1:$2096,2,False)</f>
        <v>6</v>
      </c>
      <c r="N203" s="213">
        <v>0.0</v>
      </c>
      <c r="O203" s="105"/>
      <c r="P203" s="214">
        <f>IFNA(VLOOKUP(D203,'S1'!$1:$2000,2,False),0)</f>
        <v>0</v>
      </c>
      <c r="Q203" s="214">
        <f>vlookup(D203,'S2'!A199:B1401,2,0)</f>
        <v>50</v>
      </c>
      <c r="R203" s="214">
        <f>ifna(vlookup(D203,'S3'!$1:$1311,2,False),0)</f>
        <v>50</v>
      </c>
      <c r="S203" s="105"/>
      <c r="T203" s="161"/>
      <c r="U203" s="105"/>
      <c r="V203" s="105"/>
      <c r="W203" s="215">
        <v>72.0</v>
      </c>
      <c r="X203" s="216">
        <v>72.0</v>
      </c>
      <c r="Y203" s="105"/>
      <c r="Z203" s="158"/>
      <c r="AA203" s="256"/>
      <c r="AB203" s="105"/>
      <c r="AC203" s="105">
        <v>0.0</v>
      </c>
      <c r="AD203" s="105"/>
      <c r="AE203" s="130">
        <v>16.0</v>
      </c>
      <c r="AF203" s="158"/>
      <c r="AG203" s="129">
        <v>10.0</v>
      </c>
      <c r="AH203" s="129"/>
      <c r="AI203" s="88"/>
      <c r="AJ203" s="88"/>
      <c r="AK203" s="132">
        <f t="shared" si="1"/>
        <v>0</v>
      </c>
      <c r="AL203" s="132">
        <f t="shared" si="2"/>
        <v>1</v>
      </c>
      <c r="AM203" s="133">
        <f t="shared" si="3"/>
        <v>0</v>
      </c>
      <c r="AN203" s="132" t="str">
        <f t="shared" si="4"/>
        <v>0</v>
      </c>
      <c r="AO203" s="132">
        <f t="shared" si="5"/>
        <v>0</v>
      </c>
      <c r="AP203" s="88"/>
    </row>
    <row r="204">
      <c r="A204" s="142">
        <v>200.0</v>
      </c>
      <c r="B204" s="257" t="s">
        <v>72</v>
      </c>
      <c r="C204" s="252" t="s">
        <v>3685</v>
      </c>
      <c r="D204" s="259" t="s">
        <v>866</v>
      </c>
      <c r="E204" s="254">
        <v>9.353370883E9</v>
      </c>
      <c r="F204" s="222" t="s">
        <v>3706</v>
      </c>
      <c r="G204" s="88"/>
      <c r="H204" s="255">
        <v>70.0</v>
      </c>
      <c r="I204" s="155">
        <f>IFNA(VLOOKUP(B204,'L2'!$1:$1000,2,False),0)</f>
        <v>88</v>
      </c>
      <c r="J204" s="211">
        <f>IFNA(VLOOKUP(D204,'L3'!$1:$2060,2,False),0)</f>
        <v>70</v>
      </c>
      <c r="K204" s="211">
        <f>VLOOKUP(D204,'L4'!$1:$2059,2,False)</f>
        <v>72</v>
      </c>
      <c r="L204" s="212">
        <f>VLOOKUP(D204,'A1 RETEST 5 DEC'!$1:$2096,2,FALSE)</f>
        <v>42</v>
      </c>
      <c r="M204" s="213">
        <f>VLOOKUP(D204,'A2 RETEST 4 DEC'!$1:$2096,2,False)</f>
        <v>62</v>
      </c>
      <c r="N204" s="213">
        <v>50.0</v>
      </c>
      <c r="O204" s="105"/>
      <c r="P204" s="214">
        <f>IFNA(VLOOKUP(D204,'S1'!$1:$2000,2,False),0)</f>
        <v>0</v>
      </c>
      <c r="Q204" s="214">
        <f>vlookup(D204,'S2'!A200:B1402,2,0)</f>
        <v>50</v>
      </c>
      <c r="R204" s="214">
        <f>ifna(vlookup(D204,'S3'!$1:$1311,2,False),0)</f>
        <v>0</v>
      </c>
      <c r="S204" s="105"/>
      <c r="T204" s="161"/>
      <c r="U204" s="105"/>
      <c r="V204" s="105"/>
      <c r="W204" s="215">
        <v>68.0</v>
      </c>
      <c r="X204" s="216">
        <v>88.0</v>
      </c>
      <c r="Y204" s="105"/>
      <c r="Z204" s="158"/>
      <c r="AA204" s="256"/>
      <c r="AB204" s="105">
        <v>10.0</v>
      </c>
      <c r="AC204" s="105">
        <v>10.0</v>
      </c>
      <c r="AD204" s="105"/>
      <c r="AE204" s="130">
        <v>24.0</v>
      </c>
      <c r="AF204" s="158"/>
      <c r="AG204" s="129">
        <v>36.0</v>
      </c>
      <c r="AH204" s="129"/>
      <c r="AI204" s="88"/>
      <c r="AJ204" s="88"/>
      <c r="AK204" s="132">
        <f t="shared" si="1"/>
        <v>4</v>
      </c>
      <c r="AL204" s="132">
        <f t="shared" si="2"/>
        <v>0</v>
      </c>
      <c r="AM204" s="133">
        <f t="shared" si="3"/>
        <v>0</v>
      </c>
      <c r="AN204" s="132" t="str">
        <f t="shared" si="4"/>
        <v>0</v>
      </c>
      <c r="AO204" s="132">
        <f t="shared" si="5"/>
        <v>0</v>
      </c>
      <c r="AP204" s="88"/>
    </row>
    <row r="205">
      <c r="A205" s="142">
        <v>201.0</v>
      </c>
      <c r="B205" s="260" t="s">
        <v>118</v>
      </c>
      <c r="C205" s="252" t="s">
        <v>3686</v>
      </c>
      <c r="D205" s="259" t="s">
        <v>871</v>
      </c>
      <c r="E205" s="254">
        <v>9.380664359E9</v>
      </c>
      <c r="F205" s="222" t="s">
        <v>3706</v>
      </c>
      <c r="G205" s="88"/>
      <c r="H205" s="255">
        <f>IFNA(VLOOKUP(B205,'L1 '!$1:$1000,2,False),0)</f>
        <v>28</v>
      </c>
      <c r="I205" s="155">
        <f>IFNA(VLOOKUP(B205,'L2'!$1:$1000,2,False),0)</f>
        <v>32</v>
      </c>
      <c r="J205" s="211">
        <f>IFNA(VLOOKUP(D205,'L3'!$1:$2060,2,False),0)</f>
        <v>70</v>
      </c>
      <c r="K205" s="211">
        <f>VLOOKUP(D205,'L4'!$1:$2059,2,False)</f>
        <v>47</v>
      </c>
      <c r="L205" s="212">
        <f>VLOOKUP(D205,'A1 RETEST 5 DEC'!$1:$2096,2,FALSE)</f>
        <v>5</v>
      </c>
      <c r="M205" s="213">
        <f>VLOOKUP(D205,'A2 RETEST 4 DEC'!$1:$2096,2,False)</f>
        <v>15</v>
      </c>
      <c r="N205" s="213">
        <v>23.0</v>
      </c>
      <c r="O205" s="105"/>
      <c r="P205" s="214">
        <f>IFNA(VLOOKUP(D205,'S1'!$1:$2000,2,False),0)</f>
        <v>0</v>
      </c>
      <c r="Q205" s="214">
        <f>vlookup(D205,'S2'!A201:B1403,2,0)</f>
        <v>55</v>
      </c>
      <c r="R205" s="214">
        <f>ifna(vlookup(D205,'S3'!$1:$1311,2,False),0)</f>
        <v>46</v>
      </c>
      <c r="S205" s="105"/>
      <c r="T205" s="161"/>
      <c r="U205" s="105"/>
      <c r="V205" s="105"/>
      <c r="W205" s="215">
        <v>48.0</v>
      </c>
      <c r="X205" s="216">
        <v>60.0</v>
      </c>
      <c r="Y205" s="105"/>
      <c r="Z205" s="158"/>
      <c r="AA205" s="256"/>
      <c r="AB205" s="105">
        <v>0.0</v>
      </c>
      <c r="AC205" s="105">
        <v>0.0</v>
      </c>
      <c r="AD205" s="105">
        <v>60.0</v>
      </c>
      <c r="AE205" s="130">
        <v>25.0</v>
      </c>
      <c r="AF205" s="158"/>
      <c r="AG205" s="129">
        <v>36.0</v>
      </c>
      <c r="AH205" s="129"/>
      <c r="AI205" s="88"/>
      <c r="AJ205" s="88"/>
      <c r="AK205" s="132">
        <f t="shared" si="1"/>
        <v>0</v>
      </c>
      <c r="AL205" s="132">
        <f t="shared" si="2"/>
        <v>0</v>
      </c>
      <c r="AM205" s="133">
        <f t="shared" si="3"/>
        <v>0</v>
      </c>
      <c r="AN205" s="132" t="str">
        <f t="shared" si="4"/>
        <v>0</v>
      </c>
      <c r="AO205" s="132">
        <f t="shared" si="5"/>
        <v>0</v>
      </c>
      <c r="AP205" s="88"/>
    </row>
    <row r="206">
      <c r="A206" s="142">
        <v>202.0</v>
      </c>
      <c r="B206" s="260" t="s">
        <v>88</v>
      </c>
      <c r="C206" s="252" t="s">
        <v>3687</v>
      </c>
      <c r="D206" s="254" t="s">
        <v>867</v>
      </c>
      <c r="E206" s="254">
        <v>7.760404413E9</v>
      </c>
      <c r="F206" s="222" t="s">
        <v>3706</v>
      </c>
      <c r="G206" s="88"/>
      <c r="H206" s="255">
        <v>70.0</v>
      </c>
      <c r="I206" s="155">
        <f>IFNA(VLOOKUP(B206,'L2'!$1:$1000,2,False),0)</f>
        <v>80</v>
      </c>
      <c r="J206" s="211">
        <f>IFNA(VLOOKUP(D206,'L3'!$1:$2060,2,False),0)</f>
        <v>70</v>
      </c>
      <c r="K206" s="211">
        <f>VLOOKUP(D206,'L4'!$1:$2059,2,False)</f>
        <v>70</v>
      </c>
      <c r="L206" s="212">
        <f>VLOOKUP(D206,'A1 RETEST 5 DEC'!$1:$2096,2,FALSE)</f>
        <v>50</v>
      </c>
      <c r="M206" s="213">
        <f>VLOOKUP(D206,'A2 RETEST 4 DEC'!$1:$2096,2,False)</f>
        <v>44</v>
      </c>
      <c r="N206" s="213">
        <v>50.0</v>
      </c>
      <c r="O206" s="105"/>
      <c r="P206" s="214">
        <f>IFNA(VLOOKUP(D206,'S1'!$1:$2000,2,False),0)</f>
        <v>0</v>
      </c>
      <c r="Q206" s="214">
        <f>vlookup(D206,'S2'!A202:B1404,2,0)</f>
        <v>58</v>
      </c>
      <c r="R206" s="214">
        <f>ifna(vlookup(D206,'S3'!$1:$1311,2,False),0)</f>
        <v>0</v>
      </c>
      <c r="S206" s="105"/>
      <c r="T206" s="161"/>
      <c r="U206" s="105"/>
      <c r="V206" s="105"/>
      <c r="W206" s="215">
        <v>52.0</v>
      </c>
      <c r="X206" s="216">
        <v>0.0</v>
      </c>
      <c r="Y206" s="105"/>
      <c r="Z206" s="158"/>
      <c r="AA206" s="256"/>
      <c r="AB206" s="105">
        <v>0.0</v>
      </c>
      <c r="AC206" s="105">
        <v>0.0</v>
      </c>
      <c r="AD206" s="105"/>
      <c r="AE206" s="130">
        <v>12.0</v>
      </c>
      <c r="AF206" s="158"/>
      <c r="AG206" s="129">
        <v>41.0</v>
      </c>
      <c r="AH206" s="129"/>
      <c r="AI206" s="88"/>
      <c r="AJ206" s="88"/>
      <c r="AK206" s="132">
        <f t="shared" si="1"/>
        <v>4</v>
      </c>
      <c r="AL206" s="132">
        <f t="shared" si="2"/>
        <v>1</v>
      </c>
      <c r="AM206" s="133">
        <f t="shared" si="3"/>
        <v>0</v>
      </c>
      <c r="AN206" s="132" t="str">
        <f t="shared" si="4"/>
        <v>0</v>
      </c>
      <c r="AO206" s="132">
        <f t="shared" si="5"/>
        <v>0</v>
      </c>
      <c r="AP206" s="88"/>
    </row>
    <row r="207">
      <c r="A207" s="142">
        <v>203.0</v>
      </c>
      <c r="B207" s="260" t="s">
        <v>75</v>
      </c>
      <c r="C207" s="252" t="s">
        <v>3688</v>
      </c>
      <c r="D207" s="254" t="s">
        <v>872</v>
      </c>
      <c r="E207" s="254">
        <v>8.088433937E9</v>
      </c>
      <c r="F207" s="222" t="s">
        <v>3706</v>
      </c>
      <c r="G207" s="88"/>
      <c r="H207" s="255">
        <v>70.0</v>
      </c>
      <c r="I207" s="155">
        <v>70.0</v>
      </c>
      <c r="J207" s="211">
        <f>IFNA(VLOOKUP(D207,'L3'!$1:$2060,2,False),0)</f>
        <v>70</v>
      </c>
      <c r="K207" s="211">
        <f>VLOOKUP(D207,'L4'!$1:$2059,2,False)</f>
        <v>72</v>
      </c>
      <c r="L207" s="212">
        <f>VLOOKUP(D207,'A1 RETEST 5 DEC'!$1:$2096,2,FALSE)</f>
        <v>50</v>
      </c>
      <c r="M207" s="213">
        <f>VLOOKUP(D207,'A2 RETEST 4 DEC'!$1:$2096,2,False)</f>
        <v>50</v>
      </c>
      <c r="N207" s="213">
        <v>47.0</v>
      </c>
      <c r="O207" s="105"/>
      <c r="P207" s="214">
        <f>IFNA(VLOOKUP(D207,'S1'!$1:$2000,2,False),0)</f>
        <v>50</v>
      </c>
      <c r="Q207" s="214">
        <f>vlookup(D207,'S2'!A203:B1405,2,0)</f>
        <v>55</v>
      </c>
      <c r="R207" s="214">
        <f>ifna(vlookup(D207,'S3'!$1:$1311,2,False),0)</f>
        <v>50</v>
      </c>
      <c r="S207" s="105"/>
      <c r="T207" s="161"/>
      <c r="U207" s="105"/>
      <c r="V207" s="105"/>
      <c r="W207" s="215">
        <v>64.0</v>
      </c>
      <c r="X207" s="216">
        <v>72.0</v>
      </c>
      <c r="Y207" s="105"/>
      <c r="Z207" s="158"/>
      <c r="AA207" s="256"/>
      <c r="AB207" s="105">
        <v>57.0</v>
      </c>
      <c r="AC207" s="105">
        <v>60.0</v>
      </c>
      <c r="AD207" s="105">
        <v>75.0</v>
      </c>
      <c r="AE207" s="130">
        <v>70.0</v>
      </c>
      <c r="AF207" s="158"/>
      <c r="AG207" s="129">
        <v>62.0</v>
      </c>
      <c r="AH207" s="129"/>
      <c r="AI207" s="88"/>
      <c r="AJ207" s="88"/>
      <c r="AK207" s="132">
        <f t="shared" si="1"/>
        <v>4</v>
      </c>
      <c r="AL207" s="132">
        <f t="shared" si="2"/>
        <v>2</v>
      </c>
      <c r="AM207" s="133">
        <f t="shared" si="3"/>
        <v>0</v>
      </c>
      <c r="AN207" s="132" t="str">
        <f t="shared" si="4"/>
        <v>3.5</v>
      </c>
      <c r="AO207" s="132">
        <f t="shared" si="5"/>
        <v>3</v>
      </c>
      <c r="AP207" s="88"/>
    </row>
    <row r="208">
      <c r="A208" s="142">
        <v>204.0</v>
      </c>
      <c r="B208" s="260" t="s">
        <v>51</v>
      </c>
      <c r="C208" s="252" t="s">
        <v>3689</v>
      </c>
      <c r="D208" s="254" t="s">
        <v>869</v>
      </c>
      <c r="E208" s="254">
        <v>7.676461832E9</v>
      </c>
      <c r="F208" s="222" t="s">
        <v>3706</v>
      </c>
      <c r="G208" s="88"/>
      <c r="H208" s="255">
        <v>70.0</v>
      </c>
      <c r="I208" s="155">
        <f>IFNA(VLOOKUP(B208,'L2'!$1:$1000,2,False),0)</f>
        <v>88</v>
      </c>
      <c r="J208" s="211">
        <f>IFNA(VLOOKUP(D208,'L3'!$1:$2060,2,False),0)</f>
        <v>70</v>
      </c>
      <c r="K208" s="211">
        <f>VLOOKUP(D208,'L4'!$1:$2059,2,False)</f>
        <v>70</v>
      </c>
      <c r="L208" s="212">
        <f>VLOOKUP(D208,'A1 RETEST 5 DEC'!$1:$2096,2,FALSE)</f>
        <v>75</v>
      </c>
      <c r="M208" s="213">
        <f>VLOOKUP(D208,'A2 RETEST 4 DEC'!$1:$2096,2,False)</f>
        <v>43</v>
      </c>
      <c r="N208" s="213">
        <v>50.0</v>
      </c>
      <c r="O208" s="105"/>
      <c r="P208" s="214">
        <f>IFNA(VLOOKUP(D208,'S1'!$1:$2000,2,False),0)</f>
        <v>50</v>
      </c>
      <c r="Q208" s="214">
        <v>0.0</v>
      </c>
      <c r="R208" s="214">
        <f>ifna(vlookup(D208,'S3'!$1:$1311,2,False),0)</f>
        <v>83</v>
      </c>
      <c r="S208" s="105"/>
      <c r="T208" s="161"/>
      <c r="U208" s="105"/>
      <c r="V208" s="105"/>
      <c r="W208" s="215">
        <v>68.0</v>
      </c>
      <c r="X208" s="216">
        <v>68.0</v>
      </c>
      <c r="Y208" s="105"/>
      <c r="Z208" s="158"/>
      <c r="AA208" s="256"/>
      <c r="AB208" s="105">
        <v>80.0</v>
      </c>
      <c r="AC208" s="105">
        <v>80.0</v>
      </c>
      <c r="AD208" s="105">
        <v>60.0</v>
      </c>
      <c r="AE208" s="130">
        <v>20.0</v>
      </c>
      <c r="AF208" s="158"/>
      <c r="AG208" s="129">
        <v>33.0</v>
      </c>
      <c r="AH208" s="129"/>
      <c r="AI208" s="88"/>
      <c r="AJ208" s="88"/>
      <c r="AK208" s="132">
        <f t="shared" si="1"/>
        <v>4</v>
      </c>
      <c r="AL208" s="132">
        <f t="shared" si="2"/>
        <v>1</v>
      </c>
      <c r="AM208" s="133">
        <f t="shared" si="3"/>
        <v>0</v>
      </c>
      <c r="AN208" s="132" t="str">
        <f t="shared" si="4"/>
        <v>3</v>
      </c>
      <c r="AO208" s="132">
        <f t="shared" si="5"/>
        <v>1</v>
      </c>
      <c r="AP208" s="88"/>
    </row>
    <row r="209">
      <c r="A209" s="142">
        <v>205.0</v>
      </c>
      <c r="B209" s="260" t="s">
        <v>3690</v>
      </c>
      <c r="C209" s="252" t="s">
        <v>3691</v>
      </c>
      <c r="D209" s="254" t="s">
        <v>1342</v>
      </c>
      <c r="E209" s="254">
        <v>9.844762215E9</v>
      </c>
      <c r="F209" s="222" t="s">
        <v>3706</v>
      </c>
      <c r="G209" s="88"/>
      <c r="H209" s="255">
        <f>IFNA(VLOOKUP(B209,'L1 '!$1:$1000,2,False),0)</f>
        <v>0</v>
      </c>
      <c r="I209" s="155">
        <f>IFNA(VLOOKUP(B209,'L2'!$1:$1000,2,False),0)</f>
        <v>0</v>
      </c>
      <c r="J209" s="211">
        <f>IFNA(VLOOKUP(D209,'L3'!$1:$2060,2,False),0)</f>
        <v>0</v>
      </c>
      <c r="K209" s="211">
        <f>VLOOKUP(D209,'L4'!$1:$2059,2,False)</f>
        <v>0</v>
      </c>
      <c r="L209" s="212">
        <f>VLOOKUP(D209,'A1 RETEST 5 DEC'!$1:$2096,2,FALSE)</f>
        <v>0</v>
      </c>
      <c r="M209" s="213">
        <f>VLOOKUP(D209,'A2 RETEST 4 DEC'!$1:$2096,2,False)</f>
        <v>0</v>
      </c>
      <c r="N209" s="213">
        <v>0.0</v>
      </c>
      <c r="O209" s="105"/>
      <c r="P209" s="214">
        <f>IFNA(VLOOKUP(D209,'S1'!$1:$2000,2,False),0)</f>
        <v>0</v>
      </c>
      <c r="Q209" s="214">
        <v>0.0</v>
      </c>
      <c r="R209" s="214">
        <f>ifna(vlookup(D209,'S3'!$1:$1311,2,False),0)</f>
        <v>0</v>
      </c>
      <c r="S209" s="105"/>
      <c r="T209" s="161"/>
      <c r="U209" s="105"/>
      <c r="V209" s="105"/>
      <c r="W209" s="215"/>
      <c r="X209" s="216">
        <v>0.0</v>
      </c>
      <c r="Y209" s="105"/>
      <c r="Z209" s="158"/>
      <c r="AA209" s="256"/>
      <c r="AB209" s="105">
        <v>0.0</v>
      </c>
      <c r="AC209" s="105">
        <v>0.0</v>
      </c>
      <c r="AD209" s="105"/>
      <c r="AE209" s="130">
        <v>10.0</v>
      </c>
      <c r="AF209" s="158"/>
      <c r="AG209" s="129">
        <v>10.0</v>
      </c>
      <c r="AH209" s="129"/>
      <c r="AI209" s="88"/>
      <c r="AJ209" s="88"/>
      <c r="AK209" s="132">
        <f t="shared" si="1"/>
        <v>0</v>
      </c>
      <c r="AL209" s="132">
        <f t="shared" si="2"/>
        <v>0</v>
      </c>
      <c r="AM209" s="133">
        <f t="shared" si="3"/>
        <v>0</v>
      </c>
      <c r="AN209" s="132" t="str">
        <f t="shared" si="4"/>
        <v>0</v>
      </c>
      <c r="AO209" s="132">
        <f t="shared" si="5"/>
        <v>0</v>
      </c>
      <c r="AP209" s="88"/>
    </row>
    <row r="210">
      <c r="A210" s="142">
        <v>206.0</v>
      </c>
      <c r="B210" s="260" t="s">
        <v>77</v>
      </c>
      <c r="C210" s="252" t="s">
        <v>3692</v>
      </c>
      <c r="D210" s="254" t="s">
        <v>882</v>
      </c>
      <c r="E210" s="254">
        <v>7.975963348E9</v>
      </c>
      <c r="F210" s="222" t="s">
        <v>3706</v>
      </c>
      <c r="G210" s="88"/>
      <c r="H210" s="255">
        <v>70.0</v>
      </c>
      <c r="I210" s="155">
        <f>IFNA(VLOOKUP(B210,'L2'!$1:$1000,2,False),0)</f>
        <v>92</v>
      </c>
      <c r="J210" s="211">
        <f>IFNA(VLOOKUP(D210,'L3'!$1:$2060,2,False),0)</f>
        <v>70</v>
      </c>
      <c r="K210" s="211">
        <f>VLOOKUP(D210,'L4'!$1:$2059,2,False)</f>
        <v>76</v>
      </c>
      <c r="L210" s="212">
        <f>VLOOKUP(D210,'A1 RETEST 5 DEC'!$1:$2096,2,FALSE)</f>
        <v>75</v>
      </c>
      <c r="M210" s="213">
        <f>VLOOKUP(D210,'A2 RETEST 4 DEC'!$1:$2096,2,False)</f>
        <v>50</v>
      </c>
      <c r="N210" s="213">
        <v>14.0</v>
      </c>
      <c r="O210" s="105"/>
      <c r="P210" s="214">
        <f>IFNA(VLOOKUP(D210,'S1'!$1:$2000,2,False),0)</f>
        <v>50</v>
      </c>
      <c r="Q210" s="214">
        <f>vlookup(D210,'S2'!A206:B1408,2,0)</f>
        <v>55</v>
      </c>
      <c r="R210" s="214">
        <f>ifna(vlookup(D210,'S3'!$1:$1311,2,False),0)</f>
        <v>73</v>
      </c>
      <c r="S210" s="105"/>
      <c r="T210" s="161"/>
      <c r="U210" s="105"/>
      <c r="V210" s="105"/>
      <c r="W210" s="215">
        <v>72.0</v>
      </c>
      <c r="X210" s="216">
        <v>72.0</v>
      </c>
      <c r="Y210" s="105"/>
      <c r="Z210" s="158"/>
      <c r="AA210" s="256"/>
      <c r="AB210" s="105">
        <v>50.0</v>
      </c>
      <c r="AC210" s="105">
        <v>22.0</v>
      </c>
      <c r="AD210" s="105">
        <v>90.0</v>
      </c>
      <c r="AE210" s="130">
        <v>70.0</v>
      </c>
      <c r="AF210" s="158"/>
      <c r="AG210" s="129">
        <v>53.0</v>
      </c>
      <c r="AH210" s="129"/>
      <c r="AI210" s="88"/>
      <c r="AJ210" s="88"/>
      <c r="AK210" s="132">
        <f t="shared" si="1"/>
        <v>4</v>
      </c>
      <c r="AL210" s="132">
        <f t="shared" si="2"/>
        <v>2</v>
      </c>
      <c r="AM210" s="133">
        <f t="shared" si="3"/>
        <v>0</v>
      </c>
      <c r="AN210" s="132" t="str">
        <f t="shared" si="4"/>
        <v>3.5</v>
      </c>
      <c r="AO210" s="132">
        <f t="shared" si="5"/>
        <v>3</v>
      </c>
      <c r="AP210" s="88"/>
    </row>
    <row r="211">
      <c r="A211" s="142">
        <v>207.0</v>
      </c>
      <c r="B211" s="260" t="s">
        <v>76</v>
      </c>
      <c r="C211" s="252" t="s">
        <v>3693</v>
      </c>
      <c r="D211" s="254" t="s">
        <v>873</v>
      </c>
      <c r="E211" s="254">
        <v>9.019952977E9</v>
      </c>
      <c r="F211" s="222" t="s">
        <v>3706</v>
      </c>
      <c r="G211" s="88"/>
      <c r="H211" s="255">
        <f>IFNA(VLOOKUP(B211,'L1 '!$1:$1000,2,False),0)</f>
        <v>52</v>
      </c>
      <c r="I211" s="155">
        <f>IFNA(VLOOKUP(B211,'L2'!$1:$1000,2,False),0)</f>
        <v>80</v>
      </c>
      <c r="J211" s="211">
        <f>IFNA(VLOOKUP(D211,'L3'!$1:$2060,2,False),0)</f>
        <v>70</v>
      </c>
      <c r="K211" s="211">
        <f>VLOOKUP(D211,'L4'!$1:$2059,2,False)</f>
        <v>55</v>
      </c>
      <c r="L211" s="212">
        <f>VLOOKUP(D211,'A1 RETEST 5 DEC'!$1:$2096,2,FALSE)</f>
        <v>50</v>
      </c>
      <c r="M211" s="213">
        <f>VLOOKUP(D211,'A2 RETEST 4 DEC'!$1:$2096,2,False)</f>
        <v>24</v>
      </c>
      <c r="N211" s="213">
        <v>50.0</v>
      </c>
      <c r="O211" s="105"/>
      <c r="P211" s="214">
        <f>IFNA(VLOOKUP(D211,'S1'!$1:$2000,2,False),0)</f>
        <v>0</v>
      </c>
      <c r="Q211" s="214">
        <f>vlookup(D211,'S2'!A207:B1409,2,0)</f>
        <v>0</v>
      </c>
      <c r="R211" s="214">
        <f>ifna(vlookup(D211,'S3'!$1:$1311,2,False),0)</f>
        <v>0</v>
      </c>
      <c r="S211" s="105"/>
      <c r="T211" s="161"/>
      <c r="U211" s="105"/>
      <c r="V211" s="105"/>
      <c r="W211" s="215">
        <v>72.0</v>
      </c>
      <c r="X211" s="216">
        <v>80.0</v>
      </c>
      <c r="Y211" s="105"/>
      <c r="Z211" s="158"/>
      <c r="AA211" s="256"/>
      <c r="AB211" s="105">
        <v>70.0</v>
      </c>
      <c r="AC211" s="105">
        <v>70.0</v>
      </c>
      <c r="AD211" s="105">
        <v>70.0</v>
      </c>
      <c r="AE211" s="130">
        <v>13.0</v>
      </c>
      <c r="AF211" s="158"/>
      <c r="AG211" s="129">
        <v>42.0</v>
      </c>
      <c r="AH211" s="129"/>
      <c r="AI211" s="88"/>
      <c r="AJ211" s="88"/>
      <c r="AK211" s="132">
        <f t="shared" si="1"/>
        <v>0</v>
      </c>
      <c r="AL211" s="132">
        <f t="shared" si="2"/>
        <v>1</v>
      </c>
      <c r="AM211" s="133">
        <f t="shared" si="3"/>
        <v>0</v>
      </c>
      <c r="AN211" s="132" t="str">
        <f t="shared" si="4"/>
        <v>3</v>
      </c>
      <c r="AO211" s="132">
        <f t="shared" si="5"/>
        <v>0</v>
      </c>
      <c r="AP211" s="88"/>
    </row>
    <row r="212">
      <c r="A212" s="142">
        <v>208.0</v>
      </c>
      <c r="B212" s="260" t="s">
        <v>105</v>
      </c>
      <c r="C212" s="252" t="s">
        <v>3694</v>
      </c>
      <c r="D212" s="254" t="s">
        <v>877</v>
      </c>
      <c r="E212" s="254">
        <v>8.431777921E9</v>
      </c>
      <c r="F212" s="222" t="s">
        <v>3706</v>
      </c>
      <c r="G212" s="88"/>
      <c r="H212" s="255">
        <v>70.0</v>
      </c>
      <c r="I212" s="155">
        <f>IFNA(VLOOKUP(B212,'L2'!$1:$1000,2,False),0)</f>
        <v>76</v>
      </c>
      <c r="J212" s="211">
        <f>IFNA(VLOOKUP(D212,'L3'!$1:$2060,2,False),0)</f>
        <v>70</v>
      </c>
      <c r="K212" s="211">
        <f>VLOOKUP(D212,'L4'!$1:$2059,2,False)</f>
        <v>70</v>
      </c>
      <c r="L212" s="212">
        <f>VLOOKUP(D212,'A1 RETEST 5 DEC'!$1:$2096,2,FALSE)</f>
        <v>50</v>
      </c>
      <c r="M212" s="213">
        <f>VLOOKUP(D212,'A2 RETEST 4 DEC'!$1:$2096,2,False)</f>
        <v>18</v>
      </c>
      <c r="N212" s="213">
        <v>26.0</v>
      </c>
      <c r="O212" s="105"/>
      <c r="P212" s="214">
        <f>IFNA(VLOOKUP(D212,'S1'!$1:$2000,2,False),0)</f>
        <v>50</v>
      </c>
      <c r="Q212" s="214">
        <f>vlookup(D212,'S2'!A208:B1410,2,0)</f>
        <v>50</v>
      </c>
      <c r="R212" s="214">
        <f>ifna(vlookup(D212,'S3'!$1:$1311,2,False),0)</f>
        <v>50</v>
      </c>
      <c r="S212" s="105"/>
      <c r="T212" s="161"/>
      <c r="U212" s="105"/>
      <c r="V212" s="105"/>
      <c r="W212" s="215">
        <v>64.0</v>
      </c>
      <c r="X212" s="216">
        <v>76.0</v>
      </c>
      <c r="Y212" s="105"/>
      <c r="Z212" s="158"/>
      <c r="AA212" s="256"/>
      <c r="AB212" s="105">
        <v>27.0</v>
      </c>
      <c r="AC212" s="105">
        <v>27.0</v>
      </c>
      <c r="AD212" s="105">
        <v>100.0</v>
      </c>
      <c r="AE212" s="130">
        <v>10.0</v>
      </c>
      <c r="AF212" s="158"/>
      <c r="AG212" s="129">
        <v>5.0</v>
      </c>
      <c r="AH212" s="129"/>
      <c r="AI212" s="88"/>
      <c r="AJ212" s="88"/>
      <c r="AK212" s="132">
        <f t="shared" si="1"/>
        <v>4</v>
      </c>
      <c r="AL212" s="132">
        <f t="shared" si="2"/>
        <v>1</v>
      </c>
      <c r="AM212" s="133">
        <f t="shared" si="3"/>
        <v>0</v>
      </c>
      <c r="AN212" s="132" t="str">
        <f t="shared" si="4"/>
        <v>0</v>
      </c>
      <c r="AO212" s="132">
        <f t="shared" si="5"/>
        <v>3</v>
      </c>
      <c r="AP212" s="88"/>
    </row>
    <row r="213">
      <c r="A213" s="142">
        <v>209.0</v>
      </c>
      <c r="B213" s="260" t="s">
        <v>3695</v>
      </c>
      <c r="C213" s="252" t="s">
        <v>3696</v>
      </c>
      <c r="D213" s="254" t="s">
        <v>879</v>
      </c>
      <c r="E213" s="254">
        <v>7.090640012E9</v>
      </c>
      <c r="F213" s="222" t="s">
        <v>3706</v>
      </c>
      <c r="G213" s="88"/>
      <c r="H213" s="255">
        <f>IFNA(VLOOKUP(B213,'L1 '!$1:$1000,2,False),0)</f>
        <v>0</v>
      </c>
      <c r="I213" s="155">
        <f>IFNA(VLOOKUP(B213,'L2'!$1:$1000,2,False),0)</f>
        <v>0</v>
      </c>
      <c r="J213" s="211">
        <f>IFNA(VLOOKUP(D213,'L3'!$1:$2060,2,False),0)</f>
        <v>70</v>
      </c>
      <c r="K213" s="211">
        <f>VLOOKUP(D213,'L4'!$1:$2059,2,False)</f>
        <v>47</v>
      </c>
      <c r="L213" s="212">
        <f>VLOOKUP(D213,'A1 RETEST 5 DEC'!$1:$2096,2,FALSE)</f>
        <v>0</v>
      </c>
      <c r="M213" s="213">
        <f>VLOOKUP(D213,'A2 RETEST 4 DEC'!$1:$2096,2,False)</f>
        <v>7</v>
      </c>
      <c r="N213" s="213">
        <v>0.0</v>
      </c>
      <c r="O213" s="105"/>
      <c r="P213" s="214">
        <f>IFNA(VLOOKUP(D213,'S1'!$1:$2000,2,False),0)</f>
        <v>0</v>
      </c>
      <c r="Q213" s="214">
        <f>vlookup(D213,'S2'!A209:B1411,2,0)</f>
        <v>0</v>
      </c>
      <c r="R213" s="214">
        <f>ifna(vlookup(D213,'S3'!$1:$1311,2,False),0)</f>
        <v>0</v>
      </c>
      <c r="S213" s="105"/>
      <c r="T213" s="161"/>
      <c r="U213" s="105"/>
      <c r="V213" s="105"/>
      <c r="W213" s="215">
        <v>56.0</v>
      </c>
      <c r="X213" s="216">
        <v>76.0</v>
      </c>
      <c r="Y213" s="105"/>
      <c r="Z213" s="158"/>
      <c r="AA213" s="256"/>
      <c r="AB213" s="105">
        <v>0.0</v>
      </c>
      <c r="AC213" s="105">
        <v>0.0</v>
      </c>
      <c r="AD213" s="105">
        <v>75.0</v>
      </c>
      <c r="AE213" s="130">
        <v>10.0</v>
      </c>
      <c r="AF213" s="158"/>
      <c r="AG213" s="129">
        <v>0.0</v>
      </c>
      <c r="AH213" s="129"/>
      <c r="AI213" s="88"/>
      <c r="AJ213" s="88"/>
      <c r="AK213" s="132">
        <f t="shared" si="1"/>
        <v>0</v>
      </c>
      <c r="AL213" s="132">
        <f t="shared" si="2"/>
        <v>0</v>
      </c>
      <c r="AM213" s="133">
        <f t="shared" si="3"/>
        <v>0</v>
      </c>
      <c r="AN213" s="132" t="str">
        <f t="shared" si="4"/>
        <v>0</v>
      </c>
      <c r="AO213" s="132">
        <f t="shared" si="5"/>
        <v>0</v>
      </c>
      <c r="AP213" s="88"/>
    </row>
    <row r="214">
      <c r="A214" s="142">
        <v>210.0</v>
      </c>
      <c r="B214" s="260" t="s">
        <v>60</v>
      </c>
      <c r="C214" s="252" t="s">
        <v>3697</v>
      </c>
      <c r="D214" s="254" t="s">
        <v>870</v>
      </c>
      <c r="E214" s="254">
        <v>7.996730073E9</v>
      </c>
      <c r="F214" s="222" t="s">
        <v>3706</v>
      </c>
      <c r="G214" s="88"/>
      <c r="H214" s="255">
        <v>70.0</v>
      </c>
      <c r="I214" s="155">
        <f>IFNA(VLOOKUP(B214,'L2'!$1:$1000,2,False),0)</f>
        <v>92</v>
      </c>
      <c r="J214" s="211">
        <f>IFNA(VLOOKUP(D214,'L3'!$1:$2060,2,False),0)</f>
        <v>70</v>
      </c>
      <c r="K214" s="211">
        <f>VLOOKUP(D214,'L4'!$1:$2059,2,False)</f>
        <v>70</v>
      </c>
      <c r="L214" s="212">
        <f>VLOOKUP(D214,'A1 RETEST 5 DEC'!$1:$2096,2,FALSE)</f>
        <v>75</v>
      </c>
      <c r="M214" s="213">
        <f>VLOOKUP(D214,'A2 RETEST 4 DEC'!$1:$2096,2,False)</f>
        <v>21</v>
      </c>
      <c r="N214" s="213">
        <v>50.0</v>
      </c>
      <c r="O214" s="105"/>
      <c r="P214" s="214">
        <f>IFNA(VLOOKUP(D214,'S1'!$1:$2000,2,False),0)</f>
        <v>50</v>
      </c>
      <c r="Q214" s="214">
        <f>vlookup(D214,'S2'!A210:B1412,2,0)</f>
        <v>50</v>
      </c>
      <c r="R214" s="214">
        <f>ifna(vlookup(D214,'S3'!$1:$1311,2,False),0)</f>
        <v>50</v>
      </c>
      <c r="S214" s="105"/>
      <c r="T214" s="161"/>
      <c r="U214" s="105"/>
      <c r="V214" s="105"/>
      <c r="W214" s="215">
        <v>64.0</v>
      </c>
      <c r="X214" s="216">
        <v>88.0</v>
      </c>
      <c r="Y214" s="105"/>
      <c r="Z214" s="158"/>
      <c r="AA214" s="256"/>
      <c r="AB214" s="105">
        <v>94.0</v>
      </c>
      <c r="AC214" s="105">
        <v>94.0</v>
      </c>
      <c r="AD214" s="105">
        <v>60.0</v>
      </c>
      <c r="AE214" s="130">
        <v>80.0</v>
      </c>
      <c r="AF214" s="158"/>
      <c r="AG214" s="129">
        <v>41.0</v>
      </c>
      <c r="AH214" s="129"/>
      <c r="AI214" s="88"/>
      <c r="AJ214" s="88"/>
      <c r="AK214" s="132">
        <f t="shared" si="1"/>
        <v>4</v>
      </c>
      <c r="AL214" s="132">
        <f t="shared" si="2"/>
        <v>1</v>
      </c>
      <c r="AM214" s="133">
        <f t="shared" si="3"/>
        <v>0</v>
      </c>
      <c r="AN214" s="132" t="str">
        <f t="shared" si="4"/>
        <v>3.5</v>
      </c>
      <c r="AO214" s="132">
        <f t="shared" si="5"/>
        <v>3</v>
      </c>
      <c r="AP214" s="88"/>
    </row>
    <row r="215">
      <c r="A215" s="142">
        <v>211.0</v>
      </c>
      <c r="B215" s="260" t="s">
        <v>116</v>
      </c>
      <c r="C215" s="252" t="s">
        <v>3698</v>
      </c>
      <c r="D215" s="254" t="s">
        <v>881</v>
      </c>
      <c r="E215" s="254">
        <v>8.310949735E9</v>
      </c>
      <c r="F215" s="222" t="s">
        <v>3706</v>
      </c>
      <c r="G215" s="88"/>
      <c r="H215" s="255">
        <f>IFNA(VLOOKUP(B215,'L1 '!$1:$1000,2,False),0)</f>
        <v>32</v>
      </c>
      <c r="I215" s="155">
        <f>IFNA(VLOOKUP(B215,'L2'!$1:$1000,2,False),0)</f>
        <v>52</v>
      </c>
      <c r="J215" s="211">
        <f>IFNA(VLOOKUP(D215,'L3'!$1:$2060,2,False),0)</f>
        <v>43</v>
      </c>
      <c r="K215" s="211">
        <f>VLOOKUP(D215,'L4'!$1:$2059,2,False)</f>
        <v>70</v>
      </c>
      <c r="L215" s="212">
        <f>VLOOKUP(D215,'A1 RETEST 5 DEC'!$1:$2096,2,FALSE)</f>
        <v>50</v>
      </c>
      <c r="M215" s="213">
        <f>VLOOKUP(D215,'A2 RETEST 4 DEC'!$1:$2096,2,False)</f>
        <v>22</v>
      </c>
      <c r="N215" s="213">
        <v>61.0</v>
      </c>
      <c r="O215" s="105"/>
      <c r="P215" s="214">
        <f>IFNA(VLOOKUP(D215,'S1'!$1:$2000,2,False),0)</f>
        <v>50</v>
      </c>
      <c r="Q215" s="214">
        <f>vlookup(D215,'S2'!A211:B1413,2,0)</f>
        <v>50</v>
      </c>
      <c r="R215" s="214">
        <f>ifna(vlookup(D215,'S3'!$1:$1311,2,False),0)</f>
        <v>50</v>
      </c>
      <c r="S215" s="105"/>
      <c r="T215" s="161"/>
      <c r="U215" s="105"/>
      <c r="V215" s="105"/>
      <c r="W215" s="215">
        <v>40.0</v>
      </c>
      <c r="X215" s="216">
        <v>76.0</v>
      </c>
      <c r="Y215" s="105"/>
      <c r="Z215" s="158"/>
      <c r="AA215" s="256"/>
      <c r="AB215" s="105">
        <v>65.0</v>
      </c>
      <c r="AC215" s="105">
        <v>65.0</v>
      </c>
      <c r="AD215" s="105">
        <v>60.0</v>
      </c>
      <c r="AE215" s="130">
        <v>10.0</v>
      </c>
      <c r="AF215" s="158"/>
      <c r="AG215" s="129">
        <v>17.0</v>
      </c>
      <c r="AH215" s="129"/>
      <c r="AI215" s="88"/>
      <c r="AJ215" s="88"/>
      <c r="AK215" s="132">
        <f t="shared" si="1"/>
        <v>0</v>
      </c>
      <c r="AL215" s="132">
        <f t="shared" si="2"/>
        <v>1</v>
      </c>
      <c r="AM215" s="133">
        <f t="shared" si="3"/>
        <v>0</v>
      </c>
      <c r="AN215" s="132" t="str">
        <f t="shared" si="4"/>
        <v>3</v>
      </c>
      <c r="AO215" s="132">
        <f t="shared" si="5"/>
        <v>3</v>
      </c>
      <c r="AP215" s="88"/>
    </row>
    <row r="216">
      <c r="A216" s="142">
        <v>212.0</v>
      </c>
      <c r="B216" s="257" t="s">
        <v>119</v>
      </c>
      <c r="C216" s="252" t="s">
        <v>3699</v>
      </c>
      <c r="D216" s="254" t="s">
        <v>876</v>
      </c>
      <c r="E216" s="254">
        <v>6.363201334E9</v>
      </c>
      <c r="F216" s="222" t="s">
        <v>3706</v>
      </c>
      <c r="G216" s="88"/>
      <c r="H216" s="255">
        <v>70.0</v>
      </c>
      <c r="I216" s="155">
        <v>70.0</v>
      </c>
      <c r="J216" s="211">
        <f>IFNA(VLOOKUP(D216,'L3'!$1:$2060,2,False),0)</f>
        <v>70</v>
      </c>
      <c r="K216" s="211">
        <f>VLOOKUP(D216,'L4'!$1:$2059,2,False)</f>
        <v>70</v>
      </c>
      <c r="L216" s="212">
        <f>VLOOKUP(D216,'A1 RETEST 5 DEC'!$1:$2096,2,FALSE)</f>
        <v>5</v>
      </c>
      <c r="M216" s="213">
        <f>VLOOKUP(D216,'A2 RETEST 4 DEC'!$1:$2096,2,False)</f>
        <v>13</v>
      </c>
      <c r="N216" s="213">
        <v>13.0</v>
      </c>
      <c r="O216" s="105"/>
      <c r="P216" s="214">
        <f>IFNA(VLOOKUP(D216,'S1'!$1:$2000,2,False),0)</f>
        <v>0</v>
      </c>
      <c r="Q216" s="214">
        <f>vlookup(D216,'S2'!A212:B1414,2,0)</f>
        <v>71</v>
      </c>
      <c r="R216" s="214">
        <f>ifna(vlookup(D216,'S3'!$1:$1311,2,False),0)</f>
        <v>0</v>
      </c>
      <c r="S216" s="105"/>
      <c r="T216" s="161"/>
      <c r="U216" s="105"/>
      <c r="V216" s="105"/>
      <c r="W216" s="215"/>
      <c r="X216" s="216">
        <v>88.0</v>
      </c>
      <c r="Y216" s="105"/>
      <c r="Z216" s="158"/>
      <c r="AA216" s="256"/>
      <c r="AB216" s="105">
        <v>0.0</v>
      </c>
      <c r="AC216" s="105">
        <v>0.0</v>
      </c>
      <c r="AD216" s="105">
        <v>80.0</v>
      </c>
      <c r="AE216" s="130">
        <v>70.0</v>
      </c>
      <c r="AF216" s="158"/>
      <c r="AG216" s="129">
        <v>36.0</v>
      </c>
      <c r="AH216" s="129"/>
      <c r="AI216" s="88"/>
      <c r="AJ216" s="88"/>
      <c r="AK216" s="132">
        <f t="shared" si="1"/>
        <v>4</v>
      </c>
      <c r="AL216" s="132">
        <f t="shared" si="2"/>
        <v>0</v>
      </c>
      <c r="AM216" s="133">
        <f t="shared" si="3"/>
        <v>0</v>
      </c>
      <c r="AN216" s="132" t="str">
        <f t="shared" si="4"/>
        <v>0</v>
      </c>
      <c r="AO216" s="132">
        <f t="shared" si="5"/>
        <v>0</v>
      </c>
      <c r="AP216" s="88"/>
    </row>
    <row r="217">
      <c r="A217" s="142">
        <v>213.0</v>
      </c>
      <c r="B217" s="257" t="s">
        <v>3700</v>
      </c>
      <c r="C217" s="252" t="s">
        <v>3701</v>
      </c>
      <c r="D217" s="254" t="s">
        <v>878</v>
      </c>
      <c r="E217" s="254">
        <v>8.431332406E9</v>
      </c>
      <c r="F217" s="222" t="s">
        <v>3706</v>
      </c>
      <c r="G217" s="88"/>
      <c r="H217" s="255">
        <v>70.0</v>
      </c>
      <c r="I217" s="155">
        <v>70.0</v>
      </c>
      <c r="J217" s="211">
        <f>IFNA(VLOOKUP(D217,'L3'!$1:$2060,2,False),0)</f>
        <v>50</v>
      </c>
      <c r="K217" s="211">
        <f>VLOOKUP(D217,'L4'!$1:$2059,2,False)</f>
        <v>70</v>
      </c>
      <c r="L217" s="212">
        <f>VLOOKUP(D217,'A1 RETEST 5 DEC'!$1:$2096,2,FALSE)</f>
        <v>11</v>
      </c>
      <c r="M217" s="213">
        <f>VLOOKUP(D217,'A2 RETEST 4 DEC'!$1:$2096,2,False)</f>
        <v>11</v>
      </c>
      <c r="N217" s="213">
        <v>0.0</v>
      </c>
      <c r="O217" s="105"/>
      <c r="P217" s="214">
        <f>IFNA(VLOOKUP(D217,'S1'!$1:$2000,2,False),0)</f>
        <v>50</v>
      </c>
      <c r="Q217" s="214">
        <f>vlookup(D217,'S2'!A213:B1415,2,0)</f>
        <v>50</v>
      </c>
      <c r="R217" s="214">
        <f>ifna(vlookup(D217,'S3'!$1:$1311,2,False),0)</f>
        <v>0</v>
      </c>
      <c r="S217" s="105"/>
      <c r="T217" s="161"/>
      <c r="U217" s="105"/>
      <c r="V217" s="105"/>
      <c r="W217" s="215">
        <v>20.0</v>
      </c>
      <c r="X217" s="216">
        <v>80.0</v>
      </c>
      <c r="Y217" s="105"/>
      <c r="Z217" s="158"/>
      <c r="AA217" s="256"/>
      <c r="AB217" s="105">
        <v>0.0</v>
      </c>
      <c r="AC217" s="105">
        <v>0.0</v>
      </c>
      <c r="AD217" s="105"/>
      <c r="AE217" s="130">
        <v>10.0</v>
      </c>
      <c r="AF217" s="158"/>
      <c r="AG217" s="129">
        <v>10.0</v>
      </c>
      <c r="AH217" s="129"/>
      <c r="AI217" s="88"/>
      <c r="AJ217" s="88"/>
      <c r="AK217" s="132">
        <f t="shared" si="1"/>
        <v>2</v>
      </c>
      <c r="AL217" s="132">
        <f t="shared" si="2"/>
        <v>0</v>
      </c>
      <c r="AM217" s="133">
        <f t="shared" si="3"/>
        <v>0</v>
      </c>
      <c r="AN217" s="132" t="str">
        <f t="shared" si="4"/>
        <v>0</v>
      </c>
      <c r="AO217" s="132">
        <f t="shared" si="5"/>
        <v>2</v>
      </c>
      <c r="AP217" s="88"/>
    </row>
    <row r="218">
      <c r="A218" s="142">
        <v>214.0</v>
      </c>
      <c r="B218" s="257" t="s">
        <v>32</v>
      </c>
      <c r="C218" s="252" t="s">
        <v>3702</v>
      </c>
      <c r="D218" s="254" t="s">
        <v>880</v>
      </c>
      <c r="E218" s="254">
        <v>9.731821855E9</v>
      </c>
      <c r="F218" s="222" t="s">
        <v>3706</v>
      </c>
      <c r="G218" s="88"/>
      <c r="H218" s="255">
        <f>IFNA(VLOOKUP(B218,'L1 '!$1:$1000,2,False),0)</f>
        <v>72</v>
      </c>
      <c r="I218" s="155">
        <f>IFNA(VLOOKUP(B218,'L2'!$1:$1000,2,False),0)</f>
        <v>92</v>
      </c>
      <c r="J218" s="211">
        <f>IFNA(VLOOKUP(D218,'L3'!$1:$2060,2,False),0)</f>
        <v>70</v>
      </c>
      <c r="K218" s="211">
        <f>VLOOKUP(D218,'L4'!$1:$2059,2,False)</f>
        <v>70</v>
      </c>
      <c r="L218" s="212">
        <f>VLOOKUP(D218,'A1 RETEST 5 DEC'!$1:$2096,2,FALSE)</f>
        <v>75</v>
      </c>
      <c r="M218" s="213">
        <f>VLOOKUP(D218,'A2 RETEST 4 DEC'!$1:$2096,2,False)</f>
        <v>15</v>
      </c>
      <c r="N218" s="213">
        <v>9.0</v>
      </c>
      <c r="O218" s="105"/>
      <c r="P218" s="214">
        <f>IFNA(VLOOKUP(D218,'S1'!$1:$2000,2,False),0)</f>
        <v>50</v>
      </c>
      <c r="Q218" s="214">
        <f>vlookup(D218,'S2'!A214:B1416,2,0)</f>
        <v>50</v>
      </c>
      <c r="R218" s="214">
        <f>ifna(vlookup(D218,'S3'!$1:$1311,2,False),0)</f>
        <v>63</v>
      </c>
      <c r="S218" s="105"/>
      <c r="T218" s="161"/>
      <c r="U218" s="105"/>
      <c r="V218" s="105"/>
      <c r="W218" s="215">
        <v>24.0</v>
      </c>
      <c r="X218" s="216">
        <v>72.0</v>
      </c>
      <c r="Y218" s="105"/>
      <c r="Z218" s="158"/>
      <c r="AA218" s="105"/>
      <c r="AB218" s="105">
        <v>0.0</v>
      </c>
      <c r="AC218" s="105">
        <v>0.0</v>
      </c>
      <c r="AD218" s="105">
        <v>60.0</v>
      </c>
      <c r="AE218" s="130">
        <v>19.0</v>
      </c>
      <c r="AF218" s="158"/>
      <c r="AG218" s="129">
        <v>45.0</v>
      </c>
      <c r="AH218" s="129"/>
      <c r="AI218" s="88"/>
      <c r="AJ218" s="88"/>
      <c r="AK218" s="132">
        <f t="shared" si="1"/>
        <v>4</v>
      </c>
      <c r="AL218" s="132">
        <f t="shared" si="2"/>
        <v>1</v>
      </c>
      <c r="AM218" s="133">
        <f t="shared" si="3"/>
        <v>0</v>
      </c>
      <c r="AN218" s="132" t="str">
        <f t="shared" si="4"/>
        <v>0</v>
      </c>
      <c r="AO218" s="132">
        <f t="shared" si="5"/>
        <v>3</v>
      </c>
      <c r="AP218" s="88"/>
    </row>
    <row r="219">
      <c r="A219" s="142">
        <v>215.0</v>
      </c>
      <c r="B219" s="260" t="s">
        <v>81</v>
      </c>
      <c r="C219" s="252" t="s">
        <v>3703</v>
      </c>
      <c r="D219" s="254" t="s">
        <v>1341</v>
      </c>
      <c r="E219" s="254">
        <v>7.676833434E9</v>
      </c>
      <c r="F219" s="222" t="s">
        <v>3706</v>
      </c>
      <c r="G219" s="88"/>
      <c r="H219" s="255">
        <f>IFNA(VLOOKUP(B219,'L1 '!$1:$1000,2,False),0)</f>
        <v>48</v>
      </c>
      <c r="I219" s="155">
        <f>IFNA(VLOOKUP(B219,'L2'!$1:$1000,2,False),0)</f>
        <v>56</v>
      </c>
      <c r="J219" s="211">
        <f>IFNA(VLOOKUP(D219,'L3'!$1:$2060,2,False),0)</f>
        <v>0</v>
      </c>
      <c r="K219" s="211">
        <f>VLOOKUP(D219,'L4'!$1:$2059,2,False)</f>
        <v>70</v>
      </c>
      <c r="L219" s="212">
        <f>VLOOKUP(D219,'A1 RETEST 5 DEC'!$1:$2096,2,FALSE)</f>
        <v>50</v>
      </c>
      <c r="M219" s="213">
        <f>VLOOKUP(D219,'A2 RETEST 4 DEC'!$1:$2096,2,False)</f>
        <v>13</v>
      </c>
      <c r="N219" s="213">
        <v>4.0</v>
      </c>
      <c r="O219" s="105"/>
      <c r="P219" s="214">
        <f>IFNA(VLOOKUP(D219,'S1'!$1:$2000,2,False),0)</f>
        <v>0</v>
      </c>
      <c r="Q219" s="214">
        <f>vlookup(D219,'S2'!A215:B1417,2,0)</f>
        <v>0</v>
      </c>
      <c r="R219" s="214">
        <f>ifna(vlookup(D219,'S3'!$1:$1311,2,False),0)</f>
        <v>0</v>
      </c>
      <c r="S219" s="105"/>
      <c r="T219" s="161"/>
      <c r="U219" s="105"/>
      <c r="V219" s="105"/>
      <c r="W219" s="215">
        <v>60.0</v>
      </c>
      <c r="X219" s="216">
        <v>72.0</v>
      </c>
      <c r="Y219" s="105"/>
      <c r="Z219" s="158"/>
      <c r="AA219" s="105"/>
      <c r="AB219" s="105">
        <v>22.0</v>
      </c>
      <c r="AC219" s="105">
        <v>22.0</v>
      </c>
      <c r="AD219" s="105">
        <v>60.0</v>
      </c>
      <c r="AE219" s="130">
        <v>14.0</v>
      </c>
      <c r="AF219" s="158"/>
      <c r="AG219" s="129">
        <v>27.0</v>
      </c>
      <c r="AH219" s="129"/>
      <c r="AI219" s="88"/>
      <c r="AJ219" s="88"/>
      <c r="AK219" s="132">
        <f t="shared" si="1"/>
        <v>0</v>
      </c>
      <c r="AL219" s="132">
        <f t="shared" si="2"/>
        <v>1</v>
      </c>
      <c r="AM219" s="133">
        <f t="shared" si="3"/>
        <v>0</v>
      </c>
      <c r="AN219" s="132" t="str">
        <f t="shared" si="4"/>
        <v>0</v>
      </c>
      <c r="AO219" s="132">
        <f t="shared" si="5"/>
        <v>0</v>
      </c>
      <c r="AP219" s="88"/>
    </row>
    <row r="220">
      <c r="A220" s="142">
        <v>216.0</v>
      </c>
      <c r="B220" s="260" t="s">
        <v>110</v>
      </c>
      <c r="C220" s="252" t="s">
        <v>3704</v>
      </c>
      <c r="D220" s="254" t="s">
        <v>865</v>
      </c>
      <c r="E220" s="254">
        <v>9.945024004E9</v>
      </c>
      <c r="F220" s="222" t="s">
        <v>3706</v>
      </c>
      <c r="G220" s="88"/>
      <c r="H220" s="255">
        <v>70.0</v>
      </c>
      <c r="I220" s="155">
        <v>70.0</v>
      </c>
      <c r="J220" s="211">
        <f>IFNA(VLOOKUP(D220,'L3'!$1:$2060,2,False),0)</f>
        <v>70</v>
      </c>
      <c r="K220" s="211">
        <f>VLOOKUP(D220,'L4'!$1:$2059,2,False)</f>
        <v>70</v>
      </c>
      <c r="L220" s="212">
        <f>VLOOKUP(D220,'A1 RETEST 5 DEC'!$1:$2096,2,FALSE)</f>
        <v>42</v>
      </c>
      <c r="M220" s="213">
        <f>VLOOKUP(D220,'A2 RETEST 4 DEC'!$1:$2096,2,False)</f>
        <v>6</v>
      </c>
      <c r="N220" s="213">
        <v>0.0</v>
      </c>
      <c r="O220" s="105"/>
      <c r="P220" s="214">
        <f>IFNA(VLOOKUP(D220,'S1'!$1:$2000,2,False),0)</f>
        <v>50</v>
      </c>
      <c r="Q220" s="214">
        <f>vlookup(D220,'S2'!A216:B1418,2,0)</f>
        <v>50</v>
      </c>
      <c r="R220" s="214">
        <f>ifna(vlookup(D220,'S3'!$1:$1311,2,False),0)</f>
        <v>0</v>
      </c>
      <c r="S220" s="105"/>
      <c r="T220" s="161"/>
      <c r="U220" s="105"/>
      <c r="V220" s="105"/>
      <c r="W220" s="215"/>
      <c r="X220" s="216">
        <v>0.0</v>
      </c>
      <c r="Y220" s="105"/>
      <c r="Z220" s="158"/>
      <c r="AA220" s="105"/>
      <c r="AB220" s="105">
        <v>0.0</v>
      </c>
      <c r="AC220" s="105">
        <v>0.0</v>
      </c>
      <c r="AD220" s="105">
        <v>88.0</v>
      </c>
      <c r="AE220" s="130">
        <v>10.0</v>
      </c>
      <c r="AF220" s="158"/>
      <c r="AG220" s="129">
        <v>26.0</v>
      </c>
      <c r="AH220" s="129"/>
      <c r="AI220" s="88"/>
      <c r="AJ220" s="88"/>
      <c r="AK220" s="132">
        <f t="shared" si="1"/>
        <v>4</v>
      </c>
      <c r="AL220" s="132">
        <f t="shared" si="2"/>
        <v>0</v>
      </c>
      <c r="AM220" s="133">
        <f t="shared" si="3"/>
        <v>0</v>
      </c>
      <c r="AN220" s="132" t="str">
        <f t="shared" si="4"/>
        <v>0</v>
      </c>
      <c r="AO220" s="132">
        <f t="shared" si="5"/>
        <v>2</v>
      </c>
      <c r="AP220" s="88"/>
    </row>
    <row r="221">
      <c r="A221" s="261"/>
      <c r="B221" s="172" t="s">
        <v>3712</v>
      </c>
      <c r="C221" s="172" t="s">
        <v>3713</v>
      </c>
      <c r="D221" s="173" t="s">
        <v>863</v>
      </c>
      <c r="E221" s="155"/>
      <c r="F221" s="155" t="s">
        <v>3706</v>
      </c>
      <c r="G221" s="88"/>
      <c r="H221" s="255">
        <v>83.0</v>
      </c>
      <c r="I221" s="155">
        <v>67.0</v>
      </c>
      <c r="J221" s="155">
        <v>0.0</v>
      </c>
      <c r="K221" s="155">
        <v>0.0</v>
      </c>
      <c r="L221" s="212">
        <f>VLOOKUP(D221,'A1 RETEST 5 DEC'!$1:$2096,2,FALSE)</f>
        <v>54</v>
      </c>
      <c r="M221" s="213">
        <f>VLOOKUP(D221,'A2 RETEST 4 DEC'!$1:$2096,2,False)</f>
        <v>0</v>
      </c>
      <c r="N221" s="105">
        <v>0.0</v>
      </c>
      <c r="O221" s="105">
        <v>0.0</v>
      </c>
      <c r="P221" s="214">
        <f>IFNA(VLOOKUP(D221,'S1'!$1:$2000,2,False),0)</f>
        <v>0</v>
      </c>
      <c r="Q221" s="214">
        <f>vlookup(D221,'S2'!A217:B1419,2,0)</f>
        <v>0</v>
      </c>
      <c r="R221" s="214">
        <f>ifna(vlookup(D221,'S3'!$1:$1311,2,False),0)</f>
        <v>0</v>
      </c>
      <c r="S221" s="105">
        <v>0.0</v>
      </c>
      <c r="T221" s="105"/>
      <c r="U221" s="105">
        <v>15.0</v>
      </c>
      <c r="V221" s="105">
        <v>0.0</v>
      </c>
      <c r="W221" s="105">
        <v>16.0</v>
      </c>
      <c r="X221" s="215">
        <v>0.0</v>
      </c>
      <c r="Y221" s="105">
        <v>0.0</v>
      </c>
      <c r="Z221" s="155">
        <v>0.0</v>
      </c>
      <c r="AA221" s="105"/>
      <c r="AB221" s="105">
        <v>62.0</v>
      </c>
      <c r="AC221" s="105">
        <v>10.0</v>
      </c>
      <c r="AD221" s="105">
        <v>0.0</v>
      </c>
      <c r="AE221" s="130" t="s">
        <v>3708</v>
      </c>
      <c r="AF221" s="155"/>
      <c r="AG221" s="105"/>
      <c r="AH221" s="155"/>
      <c r="AI221" s="88"/>
      <c r="AJ221" s="88"/>
      <c r="AK221" s="132">
        <f t="shared" si="1"/>
        <v>2</v>
      </c>
      <c r="AL221" s="132">
        <f t="shared" si="2"/>
        <v>1</v>
      </c>
      <c r="AM221" s="133">
        <f t="shared" si="3"/>
        <v>0</v>
      </c>
      <c r="AN221" s="132" t="str">
        <f t="shared" si="4"/>
        <v>2</v>
      </c>
      <c r="AO221" s="132">
        <f t="shared" si="5"/>
        <v>0</v>
      </c>
      <c r="AP221" s="88"/>
    </row>
    <row r="222">
      <c r="A222" s="261"/>
      <c r="B222" s="172"/>
      <c r="C222" s="172"/>
      <c r="D222" s="173"/>
      <c r="E222" s="155"/>
      <c r="F222" s="155"/>
      <c r="G222" s="88"/>
      <c r="H222" s="255"/>
      <c r="I222" s="155"/>
      <c r="J222" s="155"/>
      <c r="K222" s="15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58"/>
      <c r="AA222" s="105"/>
      <c r="AB222" s="105"/>
      <c r="AC222" s="105"/>
      <c r="AD222" s="105"/>
      <c r="AE222" s="105"/>
      <c r="AF222" s="158"/>
      <c r="AG222" s="105"/>
      <c r="AH222" s="158"/>
      <c r="AI222" s="88"/>
      <c r="AJ222" s="88"/>
      <c r="AK222" s="131"/>
      <c r="AL222" s="131"/>
      <c r="AM222" s="131"/>
      <c r="AN222" s="131"/>
      <c r="AO222" s="131"/>
      <c r="AP222" s="88"/>
    </row>
    <row r="223">
      <c r="A223" s="261"/>
      <c r="B223" s="172"/>
      <c r="C223" s="172"/>
      <c r="D223" s="173"/>
      <c r="E223" s="155"/>
      <c r="F223" s="155"/>
      <c r="G223" s="88"/>
      <c r="H223" s="255"/>
      <c r="I223" s="155"/>
      <c r="J223" s="155"/>
      <c r="K223" s="15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58"/>
      <c r="AA223" s="105"/>
      <c r="AB223" s="105"/>
      <c r="AC223" s="105"/>
      <c r="AD223" s="105"/>
      <c r="AE223" s="105"/>
      <c r="AF223" s="158"/>
      <c r="AG223" s="105"/>
      <c r="AH223" s="158"/>
      <c r="AI223" s="88"/>
      <c r="AJ223" s="88"/>
      <c r="AK223" s="131"/>
      <c r="AL223" s="131"/>
      <c r="AM223" s="131"/>
      <c r="AN223" s="131"/>
      <c r="AO223" s="131"/>
      <c r="AP223" s="88"/>
    </row>
    <row r="224">
      <c r="A224" s="261"/>
      <c r="B224" s="172"/>
      <c r="C224" s="172"/>
      <c r="D224" s="173"/>
      <c r="E224" s="155"/>
      <c r="F224" s="155"/>
      <c r="G224" s="88"/>
      <c r="H224" s="255"/>
      <c r="I224" s="155"/>
      <c r="J224" s="155"/>
      <c r="K224" s="15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58"/>
      <c r="AA224" s="105"/>
      <c r="AB224" s="105"/>
      <c r="AC224" s="105"/>
      <c r="AD224" s="105"/>
      <c r="AE224" s="105"/>
      <c r="AF224" s="158"/>
      <c r="AG224" s="105"/>
      <c r="AH224" s="158"/>
      <c r="AI224" s="88"/>
      <c r="AJ224" s="88"/>
      <c r="AK224" s="131"/>
      <c r="AL224" s="131"/>
      <c r="AM224" s="131"/>
      <c r="AN224" s="131"/>
      <c r="AO224" s="131"/>
      <c r="AP224" s="88"/>
    </row>
    <row r="225">
      <c r="A225" s="261"/>
      <c r="B225" s="172"/>
      <c r="C225" s="172"/>
      <c r="D225" s="173"/>
      <c r="E225" s="155"/>
      <c r="F225" s="155"/>
      <c r="G225" s="88"/>
      <c r="H225" s="255"/>
      <c r="I225" s="155"/>
      <c r="J225" s="155"/>
      <c r="K225" s="15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58"/>
      <c r="AA225" s="105"/>
      <c r="AB225" s="105"/>
      <c r="AC225" s="105"/>
      <c r="AD225" s="105"/>
      <c r="AE225" s="105"/>
      <c r="AF225" s="158"/>
      <c r="AG225" s="105"/>
      <c r="AH225" s="158"/>
      <c r="AI225" s="88"/>
      <c r="AJ225" s="88"/>
      <c r="AK225" s="131"/>
      <c r="AL225" s="131"/>
      <c r="AM225" s="131"/>
      <c r="AN225" s="131"/>
      <c r="AO225" s="131"/>
      <c r="AP225" s="88"/>
    </row>
    <row r="226">
      <c r="A226" s="261"/>
      <c r="B226" s="172"/>
      <c r="C226" s="172"/>
      <c r="D226" s="173"/>
      <c r="E226" s="155"/>
      <c r="F226" s="155"/>
      <c r="G226" s="88"/>
      <c r="H226" s="255"/>
      <c r="I226" s="155"/>
      <c r="J226" s="155"/>
      <c r="K226" s="15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58"/>
      <c r="AA226" s="105"/>
      <c r="AB226" s="105"/>
      <c r="AC226" s="105"/>
      <c r="AD226" s="105"/>
      <c r="AE226" s="105"/>
      <c r="AF226" s="158"/>
      <c r="AG226" s="105"/>
      <c r="AH226" s="158"/>
      <c r="AI226" s="88"/>
      <c r="AJ226" s="88"/>
      <c r="AK226" s="131"/>
      <c r="AL226" s="131"/>
      <c r="AM226" s="131"/>
      <c r="AN226" s="131"/>
      <c r="AO226" s="131"/>
      <c r="AP226" s="88"/>
    </row>
    <row r="227">
      <c r="A227" s="261"/>
      <c r="B227" s="172"/>
      <c r="C227" s="172"/>
      <c r="D227" s="173"/>
      <c r="E227" s="155"/>
      <c r="F227" s="155"/>
      <c r="G227" s="88"/>
      <c r="H227" s="255"/>
      <c r="I227" s="155"/>
      <c r="J227" s="155"/>
      <c r="K227" s="15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58"/>
      <c r="AA227" s="105"/>
      <c r="AB227" s="105"/>
      <c r="AC227" s="105"/>
      <c r="AD227" s="105"/>
      <c r="AE227" s="105"/>
      <c r="AF227" s="158"/>
      <c r="AG227" s="105"/>
      <c r="AH227" s="158"/>
      <c r="AI227" s="88"/>
      <c r="AJ227" s="88"/>
      <c r="AK227" s="131"/>
      <c r="AL227" s="131"/>
      <c r="AM227" s="131"/>
      <c r="AN227" s="131"/>
      <c r="AO227" s="131"/>
      <c r="AP227" s="88"/>
    </row>
    <row r="228">
      <c r="A228" s="261"/>
      <c r="B228" s="172"/>
      <c r="C228" s="172"/>
      <c r="D228" s="173"/>
      <c r="E228" s="155"/>
      <c r="F228" s="155"/>
      <c r="G228" s="88"/>
      <c r="H228" s="255"/>
      <c r="I228" s="155"/>
      <c r="J228" s="155"/>
      <c r="K228" s="15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58"/>
      <c r="AA228" s="105"/>
      <c r="AB228" s="105"/>
      <c r="AC228" s="105"/>
      <c r="AD228" s="105"/>
      <c r="AE228" s="105"/>
      <c r="AF228" s="158"/>
      <c r="AG228" s="105"/>
      <c r="AH228" s="158"/>
      <c r="AI228" s="88"/>
      <c r="AJ228" s="88"/>
      <c r="AK228" s="131"/>
      <c r="AL228" s="131"/>
      <c r="AM228" s="131"/>
      <c r="AN228" s="131"/>
      <c r="AO228" s="131"/>
      <c r="AP228" s="88"/>
    </row>
    <row r="229">
      <c r="A229" s="261"/>
      <c r="B229" s="172"/>
      <c r="C229" s="172"/>
      <c r="D229" s="173"/>
      <c r="E229" s="155"/>
      <c r="F229" s="155"/>
      <c r="G229" s="88"/>
      <c r="H229" s="255"/>
      <c r="I229" s="155"/>
      <c r="J229" s="155"/>
      <c r="K229" s="15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58"/>
      <c r="AA229" s="105"/>
      <c r="AB229" s="105"/>
      <c r="AC229" s="105"/>
      <c r="AD229" s="105"/>
      <c r="AE229" s="105"/>
      <c r="AF229" s="158"/>
      <c r="AG229" s="105"/>
      <c r="AH229" s="158"/>
      <c r="AI229" s="88"/>
      <c r="AJ229" s="88"/>
      <c r="AK229" s="131"/>
      <c r="AL229" s="131"/>
      <c r="AM229" s="131"/>
      <c r="AN229" s="131"/>
      <c r="AO229" s="131"/>
      <c r="AP229" s="88"/>
    </row>
    <row r="230">
      <c r="A230" s="261"/>
      <c r="B230" s="172"/>
      <c r="C230" s="172"/>
      <c r="D230" s="173"/>
      <c r="E230" s="155"/>
      <c r="F230" s="155"/>
      <c r="G230" s="88"/>
      <c r="H230" s="255"/>
      <c r="I230" s="155"/>
      <c r="J230" s="155"/>
      <c r="K230" s="15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58"/>
      <c r="AA230" s="105"/>
      <c r="AB230" s="105"/>
      <c r="AC230" s="105"/>
      <c r="AD230" s="105"/>
      <c r="AE230" s="105"/>
      <c r="AF230" s="158"/>
      <c r="AG230" s="105"/>
      <c r="AH230" s="158"/>
      <c r="AI230" s="88"/>
      <c r="AJ230" s="88"/>
      <c r="AK230" s="131"/>
      <c r="AL230" s="131"/>
      <c r="AM230" s="131"/>
      <c r="AN230" s="131"/>
      <c r="AO230" s="131"/>
      <c r="AP230" s="88"/>
    </row>
    <row r="231">
      <c r="A231" s="261"/>
      <c r="B231" s="172"/>
      <c r="C231" s="172"/>
      <c r="D231" s="173"/>
      <c r="E231" s="155"/>
      <c r="F231" s="155"/>
      <c r="G231" s="88"/>
      <c r="H231" s="255"/>
      <c r="I231" s="155"/>
      <c r="J231" s="155"/>
      <c r="K231" s="15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58"/>
      <c r="AA231" s="105"/>
      <c r="AB231" s="105"/>
      <c r="AC231" s="105"/>
      <c r="AD231" s="105"/>
      <c r="AE231" s="105"/>
      <c r="AF231" s="158"/>
      <c r="AG231" s="105"/>
      <c r="AH231" s="158"/>
      <c r="AI231" s="88"/>
      <c r="AJ231" s="88"/>
      <c r="AK231" s="131"/>
      <c r="AL231" s="131"/>
      <c r="AM231" s="131"/>
      <c r="AN231" s="131"/>
      <c r="AO231" s="131"/>
      <c r="AP231" s="88"/>
    </row>
    <row r="232">
      <c r="A232" s="261"/>
      <c r="B232" s="172"/>
      <c r="C232" s="172"/>
      <c r="D232" s="173"/>
      <c r="E232" s="155"/>
      <c r="F232" s="155"/>
      <c r="G232" s="88"/>
      <c r="H232" s="255"/>
      <c r="I232" s="155"/>
      <c r="J232" s="155"/>
      <c r="K232" s="15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58"/>
      <c r="AA232" s="105"/>
      <c r="AB232" s="105"/>
      <c r="AC232" s="105"/>
      <c r="AD232" s="105"/>
      <c r="AE232" s="105"/>
      <c r="AF232" s="158"/>
      <c r="AG232" s="105"/>
      <c r="AH232" s="158"/>
      <c r="AI232" s="88"/>
      <c r="AJ232" s="88"/>
      <c r="AK232" s="131"/>
      <c r="AL232" s="131"/>
      <c r="AM232" s="131"/>
      <c r="AN232" s="131"/>
      <c r="AO232" s="131"/>
      <c r="AP232" s="88"/>
    </row>
    <row r="233">
      <c r="A233" s="261"/>
      <c r="B233" s="172"/>
      <c r="C233" s="172"/>
      <c r="D233" s="173"/>
      <c r="E233" s="155"/>
      <c r="F233" s="155"/>
      <c r="G233" s="88"/>
      <c r="H233" s="255"/>
      <c r="I233" s="155"/>
      <c r="J233" s="155"/>
      <c r="K233" s="15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58"/>
      <c r="AA233" s="105"/>
      <c r="AB233" s="105"/>
      <c r="AC233" s="105"/>
      <c r="AD233" s="105"/>
      <c r="AE233" s="105"/>
      <c r="AF233" s="158"/>
      <c r="AG233" s="105"/>
      <c r="AH233" s="158"/>
      <c r="AI233" s="88"/>
      <c r="AJ233" s="88"/>
      <c r="AK233" s="131"/>
      <c r="AL233" s="131"/>
      <c r="AM233" s="131"/>
      <c r="AN233" s="131"/>
      <c r="AO233" s="131"/>
      <c r="AP233" s="88"/>
    </row>
    <row r="234">
      <c r="A234" s="261"/>
      <c r="B234" s="172"/>
      <c r="C234" s="172"/>
      <c r="D234" s="173"/>
      <c r="E234" s="155"/>
      <c r="F234" s="155"/>
      <c r="G234" s="88"/>
      <c r="H234" s="255"/>
      <c r="I234" s="155"/>
      <c r="J234" s="155"/>
      <c r="K234" s="15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58"/>
      <c r="AA234" s="105"/>
      <c r="AB234" s="105"/>
      <c r="AC234" s="105"/>
      <c r="AD234" s="105"/>
      <c r="AE234" s="105"/>
      <c r="AF234" s="158"/>
      <c r="AG234" s="105"/>
      <c r="AH234" s="158"/>
      <c r="AI234" s="88"/>
      <c r="AJ234" s="88"/>
      <c r="AK234" s="131"/>
      <c r="AL234" s="131"/>
      <c r="AM234" s="131"/>
      <c r="AN234" s="131"/>
      <c r="AO234" s="131"/>
      <c r="AP234" s="88"/>
    </row>
    <row r="235">
      <c r="A235" s="261"/>
      <c r="B235" s="172"/>
      <c r="C235" s="172"/>
      <c r="D235" s="173"/>
      <c r="E235" s="155"/>
      <c r="F235" s="155"/>
      <c r="G235" s="88"/>
      <c r="H235" s="255"/>
      <c r="I235" s="155"/>
      <c r="J235" s="155"/>
      <c r="K235" s="15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58"/>
      <c r="AA235" s="105"/>
      <c r="AB235" s="105"/>
      <c r="AC235" s="105"/>
      <c r="AD235" s="105"/>
      <c r="AE235" s="105"/>
      <c r="AF235" s="158"/>
      <c r="AG235" s="105"/>
      <c r="AH235" s="158"/>
      <c r="AI235" s="88"/>
      <c r="AJ235" s="88"/>
      <c r="AK235" s="131"/>
      <c r="AL235" s="131"/>
      <c r="AM235" s="131"/>
      <c r="AN235" s="131"/>
      <c r="AO235" s="131"/>
      <c r="AP235" s="88"/>
    </row>
    <row r="236">
      <c r="A236" s="261"/>
      <c r="B236" s="172"/>
      <c r="C236" s="172"/>
      <c r="D236" s="173"/>
      <c r="E236" s="155"/>
      <c r="F236" s="155"/>
      <c r="G236" s="88"/>
      <c r="H236" s="255"/>
      <c r="I236" s="155"/>
      <c r="J236" s="155"/>
      <c r="K236" s="15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58"/>
      <c r="AA236" s="105"/>
      <c r="AB236" s="105"/>
      <c r="AC236" s="105"/>
      <c r="AD236" s="105"/>
      <c r="AE236" s="105"/>
      <c r="AF236" s="158"/>
      <c r="AG236" s="105"/>
      <c r="AH236" s="158"/>
      <c r="AI236" s="88"/>
      <c r="AJ236" s="88"/>
      <c r="AK236" s="131"/>
      <c r="AL236" s="131"/>
      <c r="AM236" s="131"/>
      <c r="AN236" s="131"/>
      <c r="AO236" s="131"/>
      <c r="AP236" s="88"/>
    </row>
    <row r="237">
      <c r="A237" s="261"/>
      <c r="B237" s="172"/>
      <c r="C237" s="172"/>
      <c r="D237" s="173"/>
      <c r="E237" s="155"/>
      <c r="F237" s="155"/>
      <c r="G237" s="88"/>
      <c r="H237" s="255"/>
      <c r="I237" s="155"/>
      <c r="J237" s="155"/>
      <c r="K237" s="15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58"/>
      <c r="AA237" s="105"/>
      <c r="AB237" s="105"/>
      <c r="AC237" s="105"/>
      <c r="AD237" s="105"/>
      <c r="AE237" s="105"/>
      <c r="AF237" s="158"/>
      <c r="AG237" s="105"/>
      <c r="AH237" s="158"/>
      <c r="AI237" s="88"/>
      <c r="AJ237" s="88"/>
      <c r="AK237" s="131"/>
      <c r="AL237" s="131"/>
      <c r="AM237" s="131"/>
      <c r="AN237" s="131"/>
      <c r="AO237" s="131"/>
      <c r="AP237" s="88"/>
    </row>
    <row r="238">
      <c r="A238" s="261"/>
      <c r="B238" s="172"/>
      <c r="C238" s="172"/>
      <c r="D238" s="173"/>
      <c r="E238" s="155"/>
      <c r="F238" s="155"/>
      <c r="G238" s="88"/>
      <c r="H238" s="255"/>
      <c r="I238" s="155"/>
      <c r="J238" s="155"/>
      <c r="K238" s="15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58"/>
      <c r="AA238" s="105"/>
      <c r="AB238" s="105"/>
      <c r="AC238" s="105"/>
      <c r="AD238" s="105"/>
      <c r="AE238" s="105"/>
      <c r="AF238" s="158"/>
      <c r="AG238" s="105"/>
      <c r="AH238" s="158"/>
      <c r="AI238" s="88"/>
      <c r="AJ238" s="88"/>
      <c r="AK238" s="131"/>
      <c r="AL238" s="131"/>
      <c r="AM238" s="131"/>
      <c r="AN238" s="131"/>
      <c r="AO238" s="131"/>
      <c r="AP238" s="88"/>
    </row>
    <row r="239">
      <c r="A239" s="261"/>
      <c r="B239" s="172"/>
      <c r="C239" s="172"/>
      <c r="D239" s="173"/>
      <c r="E239" s="155"/>
      <c r="F239" s="155"/>
      <c r="G239" s="88"/>
      <c r="H239" s="255"/>
      <c r="I239" s="155"/>
      <c r="J239" s="155"/>
      <c r="K239" s="15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58"/>
      <c r="AA239" s="105"/>
      <c r="AB239" s="105"/>
      <c r="AC239" s="105"/>
      <c r="AD239" s="105"/>
      <c r="AE239" s="105"/>
      <c r="AF239" s="158"/>
      <c r="AG239" s="105"/>
      <c r="AH239" s="158"/>
      <c r="AI239" s="88"/>
      <c r="AJ239" s="88"/>
      <c r="AK239" s="131"/>
      <c r="AL239" s="131"/>
      <c r="AM239" s="131"/>
      <c r="AN239" s="131"/>
      <c r="AO239" s="131"/>
      <c r="AP239" s="88"/>
    </row>
    <row r="240">
      <c r="A240" s="261"/>
      <c r="B240" s="172"/>
      <c r="C240" s="172"/>
      <c r="D240" s="173"/>
      <c r="E240" s="155"/>
      <c r="F240" s="155"/>
      <c r="G240" s="88"/>
      <c r="H240" s="255"/>
      <c r="I240" s="155"/>
      <c r="J240" s="155"/>
      <c r="K240" s="15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58"/>
      <c r="AA240" s="105"/>
      <c r="AB240" s="105"/>
      <c r="AC240" s="105"/>
      <c r="AD240" s="105"/>
      <c r="AE240" s="105"/>
      <c r="AF240" s="158"/>
      <c r="AG240" s="105"/>
      <c r="AH240" s="158"/>
      <c r="AI240" s="88"/>
      <c r="AJ240" s="88"/>
      <c r="AK240" s="131"/>
      <c r="AL240" s="131"/>
      <c r="AM240" s="131"/>
      <c r="AN240" s="131"/>
      <c r="AO240" s="131"/>
      <c r="AP240" s="88"/>
    </row>
    <row r="241">
      <c r="A241" s="261"/>
      <c r="B241" s="172"/>
      <c r="C241" s="172"/>
      <c r="D241" s="173"/>
      <c r="E241" s="155"/>
      <c r="F241" s="155"/>
      <c r="G241" s="88"/>
      <c r="H241" s="255"/>
      <c r="I241" s="155"/>
      <c r="J241" s="155"/>
      <c r="K241" s="15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58"/>
      <c r="AA241" s="105"/>
      <c r="AB241" s="105"/>
      <c r="AC241" s="105"/>
      <c r="AD241" s="105"/>
      <c r="AE241" s="105"/>
      <c r="AF241" s="158"/>
      <c r="AG241" s="105"/>
      <c r="AH241" s="158"/>
      <c r="AI241" s="88"/>
      <c r="AJ241" s="88"/>
      <c r="AK241" s="131"/>
      <c r="AL241" s="131"/>
      <c r="AM241" s="131"/>
      <c r="AN241" s="131"/>
      <c r="AO241" s="131"/>
      <c r="AP241" s="88"/>
    </row>
    <row r="242">
      <c r="A242" s="261"/>
      <c r="B242" s="172"/>
      <c r="C242" s="172"/>
      <c r="D242" s="173"/>
      <c r="E242" s="155"/>
      <c r="F242" s="155"/>
      <c r="G242" s="88"/>
      <c r="H242" s="255"/>
      <c r="I242" s="155"/>
      <c r="J242" s="155"/>
      <c r="K242" s="15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58"/>
      <c r="AA242" s="105"/>
      <c r="AB242" s="105"/>
      <c r="AC242" s="105"/>
      <c r="AD242" s="105"/>
      <c r="AE242" s="105"/>
      <c r="AF242" s="158"/>
      <c r="AG242" s="105"/>
      <c r="AH242" s="158"/>
      <c r="AI242" s="88"/>
      <c r="AJ242" s="88"/>
      <c r="AK242" s="131"/>
      <c r="AL242" s="131"/>
      <c r="AM242" s="131"/>
      <c r="AN242" s="131"/>
      <c r="AO242" s="131"/>
      <c r="AP242" s="88"/>
    </row>
    <row r="243">
      <c r="A243" s="261"/>
      <c r="B243" s="172"/>
      <c r="C243" s="172"/>
      <c r="D243" s="173"/>
      <c r="E243" s="155"/>
      <c r="F243" s="155"/>
      <c r="G243" s="88"/>
      <c r="H243" s="255"/>
      <c r="I243" s="155"/>
      <c r="J243" s="155"/>
      <c r="K243" s="15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58"/>
      <c r="AA243" s="105"/>
      <c r="AB243" s="105"/>
      <c r="AC243" s="105"/>
      <c r="AD243" s="105"/>
      <c r="AE243" s="105"/>
      <c r="AF243" s="158"/>
      <c r="AG243" s="105"/>
      <c r="AH243" s="158"/>
      <c r="AI243" s="88"/>
      <c r="AJ243" s="88"/>
      <c r="AK243" s="131"/>
      <c r="AL243" s="131"/>
      <c r="AM243" s="131"/>
      <c r="AN243" s="131"/>
      <c r="AO243" s="131"/>
      <c r="AP243" s="88"/>
    </row>
    <row r="244">
      <c r="A244" s="261"/>
      <c r="B244" s="172"/>
      <c r="C244" s="172"/>
      <c r="D244" s="173"/>
      <c r="E244" s="155"/>
      <c r="F244" s="155"/>
      <c r="G244" s="88"/>
      <c r="H244" s="255"/>
      <c r="I244" s="155"/>
      <c r="J244" s="155"/>
      <c r="K244" s="15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58"/>
      <c r="AA244" s="105"/>
      <c r="AB244" s="105"/>
      <c r="AC244" s="105"/>
      <c r="AD244" s="105"/>
      <c r="AE244" s="105"/>
      <c r="AF244" s="158"/>
      <c r="AG244" s="105"/>
      <c r="AH244" s="158"/>
      <c r="AI244" s="88"/>
      <c r="AJ244" s="88"/>
      <c r="AK244" s="131"/>
      <c r="AL244" s="131"/>
      <c r="AM244" s="131"/>
      <c r="AN244" s="131"/>
      <c r="AO244" s="131"/>
      <c r="AP244" s="88"/>
    </row>
    <row r="245">
      <c r="A245" s="261"/>
      <c r="B245" s="172"/>
      <c r="C245" s="172"/>
      <c r="D245" s="173"/>
      <c r="E245" s="155"/>
      <c r="F245" s="155"/>
      <c r="G245" s="88"/>
      <c r="H245" s="255"/>
      <c r="I245" s="155"/>
      <c r="J245" s="155"/>
      <c r="K245" s="15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58"/>
      <c r="AA245" s="105"/>
      <c r="AB245" s="105"/>
      <c r="AC245" s="105"/>
      <c r="AD245" s="105"/>
      <c r="AE245" s="105"/>
      <c r="AF245" s="158"/>
      <c r="AG245" s="105"/>
      <c r="AH245" s="158"/>
      <c r="AI245" s="88"/>
      <c r="AJ245" s="88"/>
      <c r="AK245" s="131"/>
      <c r="AL245" s="131"/>
      <c r="AM245" s="131"/>
      <c r="AN245" s="131"/>
      <c r="AO245" s="131"/>
      <c r="AP245" s="88"/>
    </row>
    <row r="246">
      <c r="A246" s="261"/>
      <c r="B246" s="172"/>
      <c r="C246" s="172"/>
      <c r="D246" s="173"/>
      <c r="E246" s="155"/>
      <c r="F246" s="155"/>
      <c r="G246" s="88"/>
      <c r="H246" s="255"/>
      <c r="I246" s="155"/>
      <c r="J246" s="155"/>
      <c r="K246" s="15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58"/>
      <c r="AA246" s="105"/>
      <c r="AB246" s="105"/>
      <c r="AC246" s="105"/>
      <c r="AD246" s="105"/>
      <c r="AE246" s="105"/>
      <c r="AF246" s="158"/>
      <c r="AG246" s="105"/>
      <c r="AH246" s="158"/>
      <c r="AI246" s="88"/>
      <c r="AJ246" s="88"/>
      <c r="AK246" s="131"/>
      <c r="AL246" s="131"/>
      <c r="AM246" s="131"/>
      <c r="AN246" s="131"/>
      <c r="AO246" s="131"/>
      <c r="AP246" s="88"/>
    </row>
    <row r="247">
      <c r="A247" s="261"/>
      <c r="B247" s="172"/>
      <c r="C247" s="172"/>
      <c r="D247" s="173"/>
      <c r="E247" s="155"/>
      <c r="F247" s="155"/>
      <c r="G247" s="88"/>
      <c r="H247" s="255"/>
      <c r="I247" s="155"/>
      <c r="J247" s="155"/>
      <c r="K247" s="15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58"/>
      <c r="AA247" s="105"/>
      <c r="AB247" s="105"/>
      <c r="AC247" s="105"/>
      <c r="AD247" s="105"/>
      <c r="AE247" s="105"/>
      <c r="AF247" s="158"/>
      <c r="AG247" s="105"/>
      <c r="AH247" s="158"/>
      <c r="AI247" s="88"/>
      <c r="AJ247" s="88"/>
      <c r="AK247" s="131"/>
      <c r="AL247" s="131"/>
      <c r="AM247" s="131"/>
      <c r="AN247" s="131"/>
      <c r="AO247" s="131"/>
      <c r="AP247" s="88"/>
    </row>
    <row r="248">
      <c r="A248" s="261"/>
      <c r="B248" s="172"/>
      <c r="C248" s="172"/>
      <c r="D248" s="173"/>
      <c r="E248" s="155"/>
      <c r="F248" s="155"/>
      <c r="G248" s="88"/>
      <c r="H248" s="255"/>
      <c r="I248" s="155"/>
      <c r="J248" s="155"/>
      <c r="K248" s="15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58"/>
      <c r="AA248" s="105"/>
      <c r="AB248" s="105"/>
      <c r="AC248" s="105"/>
      <c r="AD248" s="105"/>
      <c r="AE248" s="105"/>
      <c r="AF248" s="158"/>
      <c r="AG248" s="105"/>
      <c r="AH248" s="158"/>
      <c r="AI248" s="88"/>
      <c r="AJ248" s="88"/>
      <c r="AK248" s="131"/>
      <c r="AL248" s="131"/>
      <c r="AM248" s="131"/>
      <c r="AN248" s="131"/>
      <c r="AO248" s="131"/>
      <c r="AP248" s="88"/>
    </row>
    <row r="249">
      <c r="A249" s="261"/>
      <c r="B249" s="172"/>
      <c r="C249" s="172"/>
      <c r="D249" s="173"/>
      <c r="E249" s="155"/>
      <c r="F249" s="155"/>
      <c r="G249" s="88"/>
      <c r="H249" s="255"/>
      <c r="I249" s="155"/>
      <c r="J249" s="155"/>
      <c r="K249" s="15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58"/>
      <c r="AA249" s="105"/>
      <c r="AB249" s="105"/>
      <c r="AC249" s="105"/>
      <c r="AD249" s="105"/>
      <c r="AE249" s="105"/>
      <c r="AF249" s="158"/>
      <c r="AG249" s="105"/>
      <c r="AH249" s="158"/>
      <c r="AI249" s="88"/>
      <c r="AJ249" s="88"/>
      <c r="AK249" s="131"/>
      <c r="AL249" s="131"/>
      <c r="AM249" s="131"/>
      <c r="AN249" s="131"/>
      <c r="AO249" s="131"/>
      <c r="AP249" s="88"/>
    </row>
    <row r="250">
      <c r="A250" s="261"/>
      <c r="B250" s="172"/>
      <c r="C250" s="172"/>
      <c r="D250" s="173"/>
      <c r="E250" s="155"/>
      <c r="F250" s="155"/>
      <c r="G250" s="88"/>
      <c r="H250" s="255"/>
      <c r="I250" s="155"/>
      <c r="J250" s="155"/>
      <c r="K250" s="15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58"/>
      <c r="AA250" s="105"/>
      <c r="AB250" s="105"/>
      <c r="AC250" s="105"/>
      <c r="AD250" s="105"/>
      <c r="AE250" s="105"/>
      <c r="AF250" s="158"/>
      <c r="AG250" s="105"/>
      <c r="AH250" s="158"/>
      <c r="AI250" s="88"/>
      <c r="AJ250" s="88"/>
      <c r="AK250" s="131"/>
      <c r="AL250" s="131"/>
      <c r="AM250" s="131"/>
      <c r="AN250" s="131"/>
      <c r="AO250" s="131"/>
      <c r="AP250" s="88"/>
    </row>
    <row r="251">
      <c r="A251" s="261"/>
      <c r="B251" s="172"/>
      <c r="C251" s="172"/>
      <c r="D251" s="173"/>
      <c r="E251" s="155"/>
      <c r="F251" s="155"/>
      <c r="G251" s="88"/>
      <c r="H251" s="255"/>
      <c r="I251" s="155"/>
      <c r="J251" s="155"/>
      <c r="K251" s="15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58"/>
      <c r="AA251" s="105"/>
      <c r="AB251" s="105"/>
      <c r="AC251" s="105"/>
      <c r="AD251" s="105"/>
      <c r="AE251" s="105"/>
      <c r="AF251" s="158"/>
      <c r="AG251" s="105"/>
      <c r="AH251" s="158"/>
      <c r="AI251" s="88"/>
      <c r="AJ251" s="88"/>
      <c r="AK251" s="131"/>
      <c r="AL251" s="131"/>
      <c r="AM251" s="131"/>
      <c r="AN251" s="131"/>
      <c r="AO251" s="131"/>
      <c r="AP251" s="88"/>
    </row>
    <row r="252">
      <c r="A252" s="261"/>
      <c r="B252" s="172"/>
      <c r="C252" s="172"/>
      <c r="D252" s="173"/>
      <c r="E252" s="155"/>
      <c r="F252" s="155"/>
      <c r="G252" s="88"/>
      <c r="H252" s="255"/>
      <c r="I252" s="155"/>
      <c r="J252" s="155"/>
      <c r="K252" s="15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58"/>
      <c r="AA252" s="105"/>
      <c r="AB252" s="105"/>
      <c r="AC252" s="105"/>
      <c r="AD252" s="105"/>
      <c r="AE252" s="105"/>
      <c r="AF252" s="158"/>
      <c r="AG252" s="105"/>
      <c r="AH252" s="158"/>
      <c r="AI252" s="88"/>
      <c r="AJ252" s="88"/>
      <c r="AK252" s="131"/>
      <c r="AL252" s="131"/>
      <c r="AM252" s="131"/>
      <c r="AN252" s="131"/>
      <c r="AO252" s="131"/>
      <c r="AP252" s="88"/>
    </row>
    <row r="253">
      <c r="A253" s="261"/>
      <c r="B253" s="172"/>
      <c r="C253" s="172"/>
      <c r="D253" s="173"/>
      <c r="E253" s="155"/>
      <c r="F253" s="155"/>
      <c r="G253" s="88"/>
      <c r="H253" s="255"/>
      <c r="I253" s="155"/>
      <c r="J253" s="155"/>
      <c r="K253" s="15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58"/>
      <c r="AA253" s="105"/>
      <c r="AB253" s="105"/>
      <c r="AC253" s="105"/>
      <c r="AD253" s="105"/>
      <c r="AE253" s="105"/>
      <c r="AF253" s="158"/>
      <c r="AG253" s="105"/>
      <c r="AH253" s="158"/>
      <c r="AI253" s="88"/>
      <c r="AJ253" s="88"/>
      <c r="AK253" s="131"/>
      <c r="AL253" s="131"/>
      <c r="AM253" s="131"/>
      <c r="AN253" s="131"/>
      <c r="AO253" s="131"/>
      <c r="AP253" s="88"/>
    </row>
    <row r="254">
      <c r="A254" s="261"/>
      <c r="B254" s="172"/>
      <c r="C254" s="172"/>
      <c r="D254" s="173"/>
      <c r="E254" s="155"/>
      <c r="F254" s="155"/>
      <c r="G254" s="88"/>
      <c r="H254" s="255"/>
      <c r="I254" s="155"/>
      <c r="J254" s="155"/>
      <c r="K254" s="15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58"/>
      <c r="AA254" s="105"/>
      <c r="AB254" s="105"/>
      <c r="AC254" s="105"/>
      <c r="AD254" s="105"/>
      <c r="AE254" s="105"/>
      <c r="AF254" s="158"/>
      <c r="AG254" s="105"/>
      <c r="AH254" s="158"/>
      <c r="AI254" s="88"/>
      <c r="AJ254" s="88"/>
      <c r="AK254" s="131"/>
      <c r="AL254" s="131"/>
      <c r="AM254" s="131"/>
      <c r="AN254" s="131"/>
      <c r="AO254" s="131"/>
      <c r="AP254" s="88"/>
    </row>
    <row r="255">
      <c r="A255" s="261"/>
      <c r="B255" s="172"/>
      <c r="C255" s="172"/>
      <c r="D255" s="173"/>
      <c r="E255" s="155"/>
      <c r="F255" s="155"/>
      <c r="G255" s="88"/>
      <c r="H255" s="255"/>
      <c r="I255" s="155"/>
      <c r="J255" s="155"/>
      <c r="K255" s="15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58"/>
      <c r="AA255" s="105"/>
      <c r="AB255" s="105"/>
      <c r="AC255" s="105"/>
      <c r="AD255" s="105"/>
      <c r="AE255" s="105"/>
      <c r="AF255" s="158"/>
      <c r="AG255" s="105"/>
      <c r="AH255" s="158"/>
      <c r="AI255" s="88"/>
      <c r="AJ255" s="88"/>
      <c r="AK255" s="131"/>
      <c r="AL255" s="131"/>
      <c r="AM255" s="131"/>
      <c r="AN255" s="131"/>
      <c r="AO255" s="131"/>
      <c r="AP255" s="88"/>
    </row>
    <row r="256">
      <c r="A256" s="261"/>
      <c r="B256" s="172"/>
      <c r="C256" s="172"/>
      <c r="D256" s="173"/>
      <c r="E256" s="155"/>
      <c r="F256" s="155"/>
      <c r="G256" s="88"/>
      <c r="H256" s="255"/>
      <c r="I256" s="155"/>
      <c r="J256" s="155"/>
      <c r="K256" s="15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58"/>
      <c r="AA256" s="105"/>
      <c r="AB256" s="105"/>
      <c r="AC256" s="105"/>
      <c r="AD256" s="105"/>
      <c r="AE256" s="105"/>
      <c r="AF256" s="158"/>
      <c r="AG256" s="105"/>
      <c r="AH256" s="158"/>
      <c r="AI256" s="88"/>
      <c r="AJ256" s="88"/>
      <c r="AK256" s="131"/>
      <c r="AL256" s="131"/>
      <c r="AM256" s="131"/>
      <c r="AN256" s="131"/>
      <c r="AO256" s="131"/>
      <c r="AP256" s="88"/>
    </row>
    <row r="257">
      <c r="A257" s="261"/>
      <c r="B257" s="172"/>
      <c r="C257" s="172"/>
      <c r="D257" s="173"/>
      <c r="E257" s="155"/>
      <c r="F257" s="155"/>
      <c r="G257" s="88"/>
      <c r="H257" s="255"/>
      <c r="I257" s="155"/>
      <c r="J257" s="155"/>
      <c r="K257" s="15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58"/>
      <c r="AA257" s="105"/>
      <c r="AB257" s="105"/>
      <c r="AC257" s="105"/>
      <c r="AD257" s="105"/>
      <c r="AE257" s="105"/>
      <c r="AF257" s="158"/>
      <c r="AG257" s="105"/>
      <c r="AH257" s="158"/>
      <c r="AI257" s="88"/>
      <c r="AJ257" s="88"/>
      <c r="AK257" s="131"/>
      <c r="AL257" s="131"/>
      <c r="AM257" s="131"/>
      <c r="AN257" s="131"/>
      <c r="AO257" s="131"/>
      <c r="AP257" s="88"/>
    </row>
    <row r="258">
      <c r="A258" s="261"/>
      <c r="B258" s="172"/>
      <c r="C258" s="172"/>
      <c r="D258" s="173"/>
      <c r="E258" s="155"/>
      <c r="F258" s="155"/>
      <c r="G258" s="88"/>
      <c r="H258" s="255"/>
      <c r="I258" s="155"/>
      <c r="J258" s="155"/>
      <c r="K258" s="15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58"/>
      <c r="AA258" s="105"/>
      <c r="AB258" s="105"/>
      <c r="AC258" s="105"/>
      <c r="AD258" s="105"/>
      <c r="AE258" s="105"/>
      <c r="AF258" s="158"/>
      <c r="AG258" s="105"/>
      <c r="AH258" s="158"/>
      <c r="AI258" s="88"/>
      <c r="AJ258" s="88"/>
      <c r="AK258" s="131"/>
      <c r="AL258" s="131"/>
      <c r="AM258" s="131"/>
      <c r="AN258" s="131"/>
      <c r="AO258" s="131"/>
      <c r="AP258" s="88"/>
    </row>
    <row r="259">
      <c r="A259" s="261"/>
      <c r="B259" s="172"/>
      <c r="C259" s="172"/>
      <c r="D259" s="173"/>
      <c r="E259" s="155"/>
      <c r="F259" s="155"/>
      <c r="G259" s="88"/>
      <c r="H259" s="255"/>
      <c r="I259" s="155"/>
      <c r="J259" s="155"/>
      <c r="K259" s="15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58"/>
      <c r="AA259" s="105"/>
      <c r="AB259" s="105"/>
      <c r="AC259" s="105"/>
      <c r="AD259" s="105"/>
      <c r="AE259" s="105"/>
      <c r="AF259" s="158"/>
      <c r="AG259" s="105"/>
      <c r="AH259" s="158"/>
      <c r="AI259" s="88"/>
      <c r="AJ259" s="88"/>
      <c r="AK259" s="131"/>
      <c r="AL259" s="131"/>
      <c r="AM259" s="131"/>
      <c r="AN259" s="131"/>
      <c r="AO259" s="131"/>
      <c r="AP259" s="88"/>
    </row>
    <row r="260">
      <c r="A260" s="155"/>
      <c r="B260" s="173"/>
      <c r="C260" s="174"/>
      <c r="D260" s="173"/>
      <c r="E260" s="155"/>
      <c r="F260" s="155"/>
      <c r="G260" s="88"/>
      <c r="H260" s="255"/>
      <c r="I260" s="155"/>
      <c r="J260" s="155"/>
      <c r="K260" s="15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58"/>
      <c r="AA260" s="105"/>
      <c r="AB260" s="105"/>
      <c r="AC260" s="105"/>
      <c r="AD260" s="105"/>
      <c r="AE260" s="105"/>
      <c r="AF260" s="158"/>
      <c r="AG260" s="105"/>
      <c r="AH260" s="158"/>
      <c r="AI260" s="88"/>
      <c r="AJ260" s="88"/>
      <c r="AK260" s="131"/>
      <c r="AL260" s="131"/>
      <c r="AM260" s="131"/>
      <c r="AN260" s="131"/>
      <c r="AO260" s="131"/>
      <c r="AP260" s="88"/>
    </row>
    <row r="261">
      <c r="A261" s="155"/>
      <c r="B261" s="173"/>
      <c r="C261" s="174"/>
      <c r="D261" s="173"/>
      <c r="E261" s="155"/>
      <c r="F261" s="155"/>
      <c r="G261" s="88"/>
      <c r="H261" s="255"/>
      <c r="I261" s="155"/>
      <c r="J261" s="155"/>
      <c r="K261" s="15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58"/>
      <c r="AA261" s="105"/>
      <c r="AB261" s="105"/>
      <c r="AC261" s="105"/>
      <c r="AD261" s="105"/>
      <c r="AE261" s="105"/>
      <c r="AF261" s="158"/>
      <c r="AG261" s="105"/>
      <c r="AH261" s="158"/>
      <c r="AI261" s="88"/>
      <c r="AJ261" s="88"/>
      <c r="AK261" s="131"/>
      <c r="AL261" s="131"/>
      <c r="AM261" s="131"/>
      <c r="AN261" s="131"/>
      <c r="AO261" s="131"/>
      <c r="AP261" s="88"/>
    </row>
    <row r="262">
      <c r="A262" s="155"/>
      <c r="B262" s="173"/>
      <c r="C262" s="174"/>
      <c r="D262" s="173"/>
      <c r="E262" s="155"/>
      <c r="F262" s="155"/>
      <c r="G262" s="88"/>
      <c r="H262" s="255"/>
      <c r="I262" s="155"/>
      <c r="J262" s="155"/>
      <c r="K262" s="15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58"/>
      <c r="AA262" s="105"/>
      <c r="AB262" s="105"/>
      <c r="AC262" s="105"/>
      <c r="AD262" s="105"/>
      <c r="AE262" s="105"/>
      <c r="AF262" s="158"/>
      <c r="AG262" s="105"/>
      <c r="AH262" s="158"/>
      <c r="AI262" s="88"/>
      <c r="AJ262" s="88"/>
      <c r="AK262" s="131"/>
      <c r="AL262" s="131"/>
      <c r="AM262" s="131"/>
      <c r="AN262" s="131"/>
      <c r="AO262" s="131"/>
      <c r="AP262" s="88"/>
    </row>
    <row r="263">
      <c r="A263" s="261"/>
      <c r="B263" s="172"/>
      <c r="C263" s="172"/>
      <c r="D263" s="173"/>
      <c r="E263" s="155"/>
      <c r="F263" s="155"/>
      <c r="G263" s="88"/>
      <c r="H263" s="255"/>
      <c r="I263" s="155"/>
      <c r="J263" s="155"/>
      <c r="K263" s="15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58"/>
      <c r="AA263" s="105"/>
      <c r="AB263" s="105"/>
      <c r="AC263" s="105"/>
      <c r="AD263" s="105"/>
      <c r="AE263" s="105"/>
      <c r="AF263" s="158"/>
      <c r="AG263" s="105"/>
      <c r="AH263" s="158"/>
      <c r="AI263" s="88"/>
      <c r="AJ263" s="88"/>
      <c r="AK263" s="131"/>
      <c r="AL263" s="131"/>
      <c r="AM263" s="131"/>
      <c r="AN263" s="131"/>
      <c r="AO263" s="131"/>
      <c r="AP263" s="88"/>
    </row>
    <row r="264">
      <c r="A264" s="261"/>
      <c r="B264" s="172"/>
      <c r="C264" s="172"/>
      <c r="D264" s="173"/>
      <c r="E264" s="155"/>
      <c r="F264" s="155"/>
      <c r="G264" s="88"/>
      <c r="H264" s="255"/>
      <c r="I264" s="155"/>
      <c r="J264" s="155"/>
      <c r="K264" s="15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58"/>
      <c r="AA264" s="105"/>
      <c r="AB264" s="105"/>
      <c r="AC264" s="105"/>
      <c r="AD264" s="105"/>
      <c r="AE264" s="105"/>
      <c r="AF264" s="158"/>
      <c r="AG264" s="105"/>
      <c r="AH264" s="158"/>
      <c r="AI264" s="88"/>
      <c r="AJ264" s="88"/>
      <c r="AK264" s="131"/>
      <c r="AL264" s="131"/>
      <c r="AM264" s="131"/>
      <c r="AN264" s="131"/>
      <c r="AO264" s="131"/>
      <c r="AP264" s="88"/>
    </row>
    <row r="265">
      <c r="A265" s="261"/>
      <c r="B265" s="172"/>
      <c r="C265" s="172"/>
      <c r="D265" s="173"/>
      <c r="E265" s="155"/>
      <c r="F265" s="155"/>
      <c r="G265" s="88"/>
      <c r="H265" s="255"/>
      <c r="I265" s="155"/>
      <c r="J265" s="155"/>
      <c r="K265" s="15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58"/>
      <c r="AA265" s="105"/>
      <c r="AB265" s="105"/>
      <c r="AC265" s="105"/>
      <c r="AD265" s="105"/>
      <c r="AE265" s="105"/>
      <c r="AF265" s="158"/>
      <c r="AG265" s="105"/>
      <c r="AH265" s="158"/>
      <c r="AI265" s="88"/>
      <c r="AJ265" s="88"/>
      <c r="AK265" s="131"/>
      <c r="AL265" s="131"/>
      <c r="AM265" s="131"/>
      <c r="AN265" s="131"/>
      <c r="AO265" s="131"/>
      <c r="AP265" s="88"/>
    </row>
    <row r="266">
      <c r="A266" s="261"/>
      <c r="B266" s="172"/>
      <c r="C266" s="172"/>
      <c r="D266" s="173"/>
      <c r="E266" s="155"/>
      <c r="F266" s="155"/>
      <c r="G266" s="88"/>
      <c r="H266" s="255"/>
      <c r="I266" s="155"/>
      <c r="J266" s="155"/>
      <c r="K266" s="15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58"/>
      <c r="AA266" s="105"/>
      <c r="AB266" s="105"/>
      <c r="AC266" s="105"/>
      <c r="AD266" s="105"/>
      <c r="AE266" s="105"/>
      <c r="AF266" s="158"/>
      <c r="AG266" s="105"/>
      <c r="AH266" s="158"/>
      <c r="AI266" s="88"/>
      <c r="AJ266" s="88"/>
      <c r="AK266" s="131"/>
      <c r="AL266" s="131"/>
      <c r="AM266" s="131"/>
      <c r="AN266" s="131"/>
      <c r="AO266" s="131"/>
      <c r="AP266" s="88"/>
    </row>
    <row r="267">
      <c r="A267" s="261"/>
      <c r="B267" s="172"/>
      <c r="C267" s="172"/>
      <c r="D267" s="173"/>
      <c r="E267" s="155"/>
      <c r="F267" s="155"/>
      <c r="G267" s="88"/>
      <c r="H267" s="255"/>
      <c r="I267" s="155"/>
      <c r="J267" s="155"/>
      <c r="K267" s="15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58"/>
      <c r="AA267" s="105"/>
      <c r="AB267" s="105"/>
      <c r="AC267" s="105"/>
      <c r="AD267" s="105"/>
      <c r="AE267" s="105"/>
      <c r="AF267" s="158"/>
      <c r="AG267" s="105"/>
      <c r="AH267" s="158"/>
      <c r="AI267" s="88"/>
      <c r="AJ267" s="88"/>
      <c r="AK267" s="131"/>
      <c r="AL267" s="131"/>
      <c r="AM267" s="131"/>
      <c r="AN267" s="131"/>
      <c r="AO267" s="131"/>
      <c r="AP267" s="88"/>
    </row>
    <row r="268">
      <c r="A268" s="261"/>
      <c r="B268" s="172"/>
      <c r="C268" s="172"/>
      <c r="D268" s="173"/>
      <c r="E268" s="155"/>
      <c r="F268" s="155"/>
      <c r="G268" s="88"/>
      <c r="H268" s="255"/>
      <c r="I268" s="155"/>
      <c r="J268" s="155"/>
      <c r="K268" s="15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58"/>
      <c r="AA268" s="105"/>
      <c r="AB268" s="105"/>
      <c r="AC268" s="105"/>
      <c r="AD268" s="105"/>
      <c r="AE268" s="105"/>
      <c r="AF268" s="158"/>
      <c r="AG268" s="105"/>
      <c r="AH268" s="158"/>
      <c r="AI268" s="88"/>
      <c r="AJ268" s="88"/>
      <c r="AK268" s="131"/>
      <c r="AL268" s="131"/>
      <c r="AM268" s="131"/>
      <c r="AN268" s="131"/>
      <c r="AO268" s="131"/>
      <c r="AP268" s="88"/>
    </row>
    <row r="269">
      <c r="A269" s="261"/>
      <c r="B269" s="172"/>
      <c r="C269" s="172"/>
      <c r="D269" s="173"/>
      <c r="E269" s="155"/>
      <c r="F269" s="155"/>
      <c r="G269" s="88"/>
      <c r="H269" s="255"/>
      <c r="I269" s="155"/>
      <c r="J269" s="155"/>
      <c r="K269" s="15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58"/>
      <c r="AA269" s="105"/>
      <c r="AB269" s="105"/>
      <c r="AC269" s="105"/>
      <c r="AD269" s="105"/>
      <c r="AE269" s="105"/>
      <c r="AF269" s="158"/>
      <c r="AG269" s="105"/>
      <c r="AH269" s="158"/>
      <c r="AI269" s="88"/>
      <c r="AJ269" s="88"/>
      <c r="AK269" s="131"/>
      <c r="AL269" s="131"/>
      <c r="AM269" s="131"/>
      <c r="AN269" s="131"/>
      <c r="AO269" s="131"/>
      <c r="AP269" s="88"/>
    </row>
    <row r="270">
      <c r="A270" s="261"/>
      <c r="B270" s="172"/>
      <c r="C270" s="172"/>
      <c r="D270" s="173"/>
      <c r="E270" s="155"/>
      <c r="F270" s="155"/>
      <c r="G270" s="88"/>
      <c r="H270" s="255"/>
      <c r="I270" s="155"/>
      <c r="J270" s="155"/>
      <c r="K270" s="15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58"/>
      <c r="AA270" s="105"/>
      <c r="AB270" s="105"/>
      <c r="AC270" s="105"/>
      <c r="AD270" s="105"/>
      <c r="AE270" s="105"/>
      <c r="AF270" s="158"/>
      <c r="AG270" s="105"/>
      <c r="AH270" s="158"/>
      <c r="AI270" s="88"/>
      <c r="AJ270" s="88"/>
      <c r="AK270" s="131"/>
      <c r="AL270" s="131"/>
      <c r="AM270" s="131"/>
      <c r="AN270" s="131"/>
      <c r="AO270" s="131"/>
      <c r="AP270" s="88"/>
    </row>
    <row r="271">
      <c r="A271" s="261"/>
      <c r="B271" s="172"/>
      <c r="C271" s="172"/>
      <c r="D271" s="173"/>
      <c r="E271" s="155"/>
      <c r="F271" s="155"/>
      <c r="G271" s="88"/>
      <c r="H271" s="255"/>
      <c r="I271" s="155"/>
      <c r="J271" s="155"/>
      <c r="K271" s="15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58"/>
      <c r="AA271" s="105"/>
      <c r="AB271" s="105"/>
      <c r="AC271" s="105"/>
      <c r="AD271" s="105"/>
      <c r="AE271" s="105"/>
      <c r="AF271" s="158"/>
      <c r="AG271" s="105"/>
      <c r="AH271" s="158"/>
      <c r="AI271" s="88"/>
      <c r="AJ271" s="88"/>
      <c r="AK271" s="131"/>
      <c r="AL271" s="131"/>
      <c r="AM271" s="131"/>
      <c r="AN271" s="131"/>
      <c r="AO271" s="131"/>
      <c r="AP271" s="88"/>
    </row>
    <row r="272">
      <c r="A272" s="261"/>
      <c r="B272" s="172"/>
      <c r="C272" s="172"/>
      <c r="D272" s="173"/>
      <c r="E272" s="155"/>
      <c r="F272" s="155"/>
      <c r="G272" s="88"/>
      <c r="H272" s="255"/>
      <c r="I272" s="155"/>
      <c r="J272" s="155"/>
      <c r="K272" s="15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58"/>
      <c r="AA272" s="105"/>
      <c r="AB272" s="105"/>
      <c r="AC272" s="105"/>
      <c r="AD272" s="105"/>
      <c r="AE272" s="105"/>
      <c r="AF272" s="158"/>
      <c r="AG272" s="105"/>
      <c r="AH272" s="158"/>
      <c r="AI272" s="88"/>
      <c r="AJ272" s="88"/>
      <c r="AK272" s="131"/>
      <c r="AL272" s="131"/>
      <c r="AM272" s="131"/>
      <c r="AN272" s="131"/>
      <c r="AO272" s="131"/>
      <c r="AP272" s="88"/>
    </row>
    <row r="273">
      <c r="A273" s="261"/>
      <c r="B273" s="172"/>
      <c r="C273" s="172"/>
      <c r="D273" s="173"/>
      <c r="E273" s="155"/>
      <c r="F273" s="155"/>
      <c r="G273" s="88"/>
      <c r="H273" s="255"/>
      <c r="I273" s="155"/>
      <c r="J273" s="155"/>
      <c r="K273" s="15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58"/>
      <c r="AA273" s="105"/>
      <c r="AB273" s="105"/>
      <c r="AC273" s="105"/>
      <c r="AD273" s="105"/>
      <c r="AE273" s="105"/>
      <c r="AF273" s="158"/>
      <c r="AG273" s="105"/>
      <c r="AH273" s="158"/>
      <c r="AI273" s="88"/>
      <c r="AJ273" s="88"/>
      <c r="AK273" s="131"/>
      <c r="AL273" s="131"/>
      <c r="AM273" s="131"/>
      <c r="AN273" s="131"/>
      <c r="AO273" s="131"/>
      <c r="AP273" s="88"/>
    </row>
    <row r="274">
      <c r="A274" s="261"/>
      <c r="B274" s="172"/>
      <c r="C274" s="172"/>
      <c r="D274" s="173"/>
      <c r="E274" s="155"/>
      <c r="F274" s="155"/>
      <c r="G274" s="88"/>
      <c r="H274" s="255"/>
      <c r="I274" s="155"/>
      <c r="J274" s="155"/>
      <c r="K274" s="15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58"/>
      <c r="AA274" s="105"/>
      <c r="AB274" s="105"/>
      <c r="AC274" s="105"/>
      <c r="AD274" s="105"/>
      <c r="AE274" s="105"/>
      <c r="AF274" s="158"/>
      <c r="AG274" s="105"/>
      <c r="AH274" s="158"/>
      <c r="AI274" s="88"/>
      <c r="AJ274" s="88"/>
      <c r="AK274" s="131"/>
      <c r="AL274" s="131"/>
      <c r="AM274" s="131"/>
      <c r="AN274" s="131"/>
      <c r="AO274" s="131"/>
      <c r="AP274" s="88"/>
    </row>
    <row r="275">
      <c r="A275" s="261"/>
      <c r="B275" s="172"/>
      <c r="C275" s="172"/>
      <c r="D275" s="173"/>
      <c r="E275" s="155"/>
      <c r="F275" s="155"/>
      <c r="G275" s="88"/>
      <c r="H275" s="255"/>
      <c r="I275" s="155"/>
      <c r="J275" s="155"/>
      <c r="K275" s="15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58"/>
      <c r="AA275" s="105"/>
      <c r="AB275" s="105"/>
      <c r="AC275" s="105"/>
      <c r="AD275" s="105"/>
      <c r="AE275" s="105"/>
      <c r="AF275" s="158"/>
      <c r="AG275" s="105"/>
      <c r="AH275" s="158"/>
      <c r="AI275" s="88"/>
      <c r="AJ275" s="88"/>
      <c r="AK275" s="131"/>
      <c r="AL275" s="131"/>
      <c r="AM275" s="131"/>
      <c r="AN275" s="131"/>
      <c r="AO275" s="131"/>
      <c r="AP275" s="88"/>
    </row>
    <row r="276">
      <c r="A276" s="261"/>
      <c r="B276" s="172"/>
      <c r="C276" s="172"/>
      <c r="D276" s="173"/>
      <c r="E276" s="155"/>
      <c r="F276" s="155"/>
      <c r="G276" s="88"/>
      <c r="H276" s="255"/>
      <c r="I276" s="155"/>
      <c r="J276" s="155"/>
      <c r="K276" s="15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58"/>
      <c r="AA276" s="105"/>
      <c r="AB276" s="105"/>
      <c r="AC276" s="105"/>
      <c r="AD276" s="105"/>
      <c r="AE276" s="105"/>
      <c r="AF276" s="158"/>
      <c r="AG276" s="105"/>
      <c r="AH276" s="158"/>
      <c r="AI276" s="88"/>
      <c r="AJ276" s="88"/>
      <c r="AK276" s="131"/>
      <c r="AL276" s="131"/>
      <c r="AM276" s="131"/>
      <c r="AN276" s="131"/>
      <c r="AO276" s="131"/>
      <c r="AP276" s="88"/>
    </row>
    <row r="277">
      <c r="A277" s="261"/>
      <c r="B277" s="172"/>
      <c r="C277" s="172"/>
      <c r="D277" s="173"/>
      <c r="E277" s="155"/>
      <c r="F277" s="155"/>
      <c r="G277" s="88"/>
      <c r="H277" s="255"/>
      <c r="I277" s="155"/>
      <c r="J277" s="155"/>
      <c r="K277" s="15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58"/>
      <c r="AA277" s="105"/>
      <c r="AB277" s="105"/>
      <c r="AC277" s="105"/>
      <c r="AD277" s="105"/>
      <c r="AE277" s="105"/>
      <c r="AF277" s="158"/>
      <c r="AG277" s="105"/>
      <c r="AH277" s="158"/>
      <c r="AI277" s="88"/>
      <c r="AJ277" s="88"/>
      <c r="AK277" s="131"/>
      <c r="AL277" s="131"/>
      <c r="AM277" s="131"/>
      <c r="AN277" s="131"/>
      <c r="AO277" s="131"/>
      <c r="AP277" s="88"/>
    </row>
    <row r="278">
      <c r="A278" s="261"/>
      <c r="B278" s="172"/>
      <c r="C278" s="172"/>
      <c r="D278" s="173"/>
      <c r="E278" s="155"/>
      <c r="F278" s="155"/>
      <c r="G278" s="88"/>
      <c r="H278" s="255"/>
      <c r="I278" s="155"/>
      <c r="J278" s="155"/>
      <c r="K278" s="15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58"/>
      <c r="AA278" s="105"/>
      <c r="AB278" s="105"/>
      <c r="AC278" s="105"/>
      <c r="AD278" s="105"/>
      <c r="AE278" s="105"/>
      <c r="AF278" s="158"/>
      <c r="AG278" s="105"/>
      <c r="AH278" s="158"/>
      <c r="AI278" s="88"/>
      <c r="AJ278" s="88"/>
      <c r="AK278" s="131"/>
      <c r="AL278" s="131"/>
      <c r="AM278" s="131"/>
      <c r="AN278" s="131"/>
      <c r="AO278" s="131"/>
      <c r="AP278" s="88"/>
    </row>
    <row r="279">
      <c r="A279" s="261"/>
      <c r="B279" s="172"/>
      <c r="C279" s="172"/>
      <c r="D279" s="173"/>
      <c r="E279" s="155"/>
      <c r="F279" s="155"/>
      <c r="G279" s="88"/>
      <c r="H279" s="255"/>
      <c r="I279" s="155"/>
      <c r="J279" s="155"/>
      <c r="K279" s="15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58"/>
      <c r="AA279" s="105"/>
      <c r="AB279" s="105"/>
      <c r="AC279" s="105"/>
      <c r="AD279" s="105"/>
      <c r="AE279" s="105"/>
      <c r="AF279" s="158"/>
      <c r="AG279" s="105"/>
      <c r="AH279" s="158"/>
      <c r="AI279" s="88"/>
      <c r="AJ279" s="88"/>
      <c r="AK279" s="131"/>
      <c r="AL279" s="131"/>
      <c r="AM279" s="131"/>
      <c r="AN279" s="131"/>
      <c r="AO279" s="131"/>
      <c r="AP279" s="88"/>
    </row>
    <row r="280">
      <c r="A280" s="261"/>
      <c r="B280" s="172"/>
      <c r="C280" s="172"/>
      <c r="D280" s="173"/>
      <c r="E280" s="155"/>
      <c r="F280" s="155"/>
      <c r="G280" s="88"/>
      <c r="H280" s="255"/>
      <c r="I280" s="155"/>
      <c r="J280" s="155"/>
      <c r="K280" s="15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58"/>
      <c r="AA280" s="105"/>
      <c r="AB280" s="105"/>
      <c r="AC280" s="105"/>
      <c r="AD280" s="105"/>
      <c r="AE280" s="105"/>
      <c r="AF280" s="158"/>
      <c r="AG280" s="105"/>
      <c r="AH280" s="158"/>
      <c r="AI280" s="88"/>
      <c r="AJ280" s="88"/>
      <c r="AK280" s="131"/>
      <c r="AL280" s="131"/>
      <c r="AM280" s="131"/>
      <c r="AN280" s="131"/>
      <c r="AO280" s="131"/>
      <c r="AP280" s="88"/>
    </row>
    <row r="281">
      <c r="A281" s="261"/>
      <c r="B281" s="172"/>
      <c r="C281" s="172"/>
      <c r="D281" s="173"/>
      <c r="E281" s="155"/>
      <c r="F281" s="155"/>
      <c r="G281" s="88"/>
      <c r="H281" s="255"/>
      <c r="I281" s="155"/>
      <c r="J281" s="155"/>
      <c r="K281" s="15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58"/>
      <c r="AA281" s="105"/>
      <c r="AB281" s="105"/>
      <c r="AC281" s="105"/>
      <c r="AD281" s="105"/>
      <c r="AE281" s="105"/>
      <c r="AF281" s="158"/>
      <c r="AG281" s="105"/>
      <c r="AH281" s="158"/>
      <c r="AI281" s="88"/>
      <c r="AJ281" s="88"/>
      <c r="AK281" s="131"/>
      <c r="AL281" s="131"/>
      <c r="AM281" s="131"/>
      <c r="AN281" s="131"/>
      <c r="AO281" s="131"/>
      <c r="AP281" s="88"/>
    </row>
    <row r="282">
      <c r="A282" s="261"/>
      <c r="B282" s="172"/>
      <c r="C282" s="172"/>
      <c r="D282" s="173"/>
      <c r="E282" s="155"/>
      <c r="F282" s="155"/>
      <c r="G282" s="88"/>
      <c r="H282" s="255"/>
      <c r="I282" s="155"/>
      <c r="J282" s="155"/>
      <c r="K282" s="15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58"/>
      <c r="AA282" s="105"/>
      <c r="AB282" s="105"/>
      <c r="AC282" s="105"/>
      <c r="AD282" s="105"/>
      <c r="AE282" s="105"/>
      <c r="AF282" s="158"/>
      <c r="AG282" s="105"/>
      <c r="AH282" s="158"/>
      <c r="AI282" s="88"/>
      <c r="AJ282" s="88"/>
      <c r="AK282" s="131"/>
      <c r="AL282" s="131"/>
      <c r="AM282" s="131"/>
      <c r="AN282" s="131"/>
      <c r="AO282" s="131"/>
      <c r="AP282" s="88"/>
    </row>
    <row r="283">
      <c r="A283" s="261"/>
      <c r="B283" s="172"/>
      <c r="C283" s="172"/>
      <c r="D283" s="173"/>
      <c r="E283" s="155"/>
      <c r="F283" s="155"/>
      <c r="G283" s="88"/>
      <c r="H283" s="255"/>
      <c r="I283" s="155"/>
      <c r="J283" s="155"/>
      <c r="K283" s="15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58"/>
      <c r="AA283" s="105"/>
      <c r="AB283" s="105"/>
      <c r="AC283" s="105"/>
      <c r="AD283" s="105"/>
      <c r="AE283" s="105"/>
      <c r="AF283" s="158"/>
      <c r="AG283" s="105"/>
      <c r="AH283" s="158"/>
      <c r="AI283" s="88"/>
      <c r="AJ283" s="88"/>
      <c r="AK283" s="131"/>
      <c r="AL283" s="131"/>
      <c r="AM283" s="131"/>
      <c r="AN283" s="131"/>
      <c r="AO283" s="131"/>
      <c r="AP283" s="88"/>
    </row>
    <row r="284">
      <c r="A284" s="261"/>
      <c r="B284" s="172"/>
      <c r="C284" s="172"/>
      <c r="D284" s="173"/>
      <c r="E284" s="155"/>
      <c r="F284" s="155"/>
      <c r="G284" s="88"/>
      <c r="H284" s="255"/>
      <c r="I284" s="155"/>
      <c r="J284" s="155"/>
      <c r="K284" s="15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58"/>
      <c r="AA284" s="105"/>
      <c r="AB284" s="105"/>
      <c r="AC284" s="105"/>
      <c r="AD284" s="105"/>
      <c r="AE284" s="105"/>
      <c r="AF284" s="158"/>
      <c r="AG284" s="105"/>
      <c r="AH284" s="158"/>
      <c r="AI284" s="88"/>
      <c r="AJ284" s="88"/>
      <c r="AK284" s="131"/>
      <c r="AL284" s="131"/>
      <c r="AM284" s="131"/>
      <c r="AN284" s="131"/>
      <c r="AO284" s="131"/>
      <c r="AP284" s="88"/>
    </row>
    <row r="285">
      <c r="A285" s="261"/>
      <c r="B285" s="172"/>
      <c r="C285" s="172"/>
      <c r="D285" s="173"/>
      <c r="E285" s="155"/>
      <c r="F285" s="155"/>
      <c r="G285" s="88"/>
      <c r="H285" s="255"/>
      <c r="I285" s="155"/>
      <c r="J285" s="155"/>
      <c r="K285" s="15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58"/>
      <c r="AA285" s="105"/>
      <c r="AB285" s="105"/>
      <c r="AC285" s="105"/>
      <c r="AD285" s="105"/>
      <c r="AE285" s="105"/>
      <c r="AF285" s="158"/>
      <c r="AG285" s="105"/>
      <c r="AH285" s="158"/>
      <c r="AI285" s="88"/>
      <c r="AJ285" s="88"/>
      <c r="AK285" s="131"/>
      <c r="AL285" s="131"/>
      <c r="AM285" s="131"/>
      <c r="AN285" s="131"/>
      <c r="AO285" s="131"/>
      <c r="AP285" s="88"/>
    </row>
    <row r="286">
      <c r="A286" s="261"/>
      <c r="B286" s="172"/>
      <c r="C286" s="172"/>
      <c r="D286" s="173"/>
      <c r="E286" s="155"/>
      <c r="F286" s="155"/>
      <c r="G286" s="88"/>
      <c r="H286" s="255"/>
      <c r="I286" s="155"/>
      <c r="J286" s="155"/>
      <c r="K286" s="15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58"/>
      <c r="AA286" s="105"/>
      <c r="AB286" s="105"/>
      <c r="AC286" s="105"/>
      <c r="AD286" s="105"/>
      <c r="AE286" s="105"/>
      <c r="AF286" s="158"/>
      <c r="AG286" s="105"/>
      <c r="AH286" s="158"/>
      <c r="AI286" s="88"/>
      <c r="AJ286" s="88"/>
      <c r="AK286" s="131"/>
      <c r="AL286" s="131"/>
      <c r="AM286" s="131"/>
      <c r="AN286" s="131"/>
      <c r="AO286" s="131"/>
      <c r="AP286" s="88"/>
    </row>
    <row r="287">
      <c r="A287" s="261"/>
      <c r="B287" s="172"/>
      <c r="C287" s="172"/>
      <c r="D287" s="173"/>
      <c r="E287" s="155"/>
      <c r="F287" s="155"/>
      <c r="G287" s="88"/>
      <c r="H287" s="255"/>
      <c r="I287" s="155"/>
      <c r="J287" s="155"/>
      <c r="K287" s="15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58"/>
      <c r="AA287" s="105"/>
      <c r="AB287" s="105"/>
      <c r="AC287" s="105"/>
      <c r="AD287" s="105"/>
      <c r="AE287" s="105"/>
      <c r="AF287" s="158"/>
      <c r="AG287" s="105"/>
      <c r="AH287" s="158"/>
      <c r="AI287" s="88"/>
      <c r="AJ287" s="88"/>
      <c r="AK287" s="131"/>
      <c r="AL287" s="131"/>
      <c r="AM287" s="131"/>
      <c r="AN287" s="131"/>
      <c r="AO287" s="131"/>
      <c r="AP287" s="88"/>
    </row>
    <row r="288">
      <c r="A288" s="261"/>
      <c r="B288" s="172"/>
      <c r="C288" s="172"/>
      <c r="D288" s="173"/>
      <c r="E288" s="155"/>
      <c r="F288" s="155"/>
      <c r="G288" s="88"/>
      <c r="H288" s="255"/>
      <c r="I288" s="155"/>
      <c r="J288" s="155"/>
      <c r="K288" s="15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58"/>
      <c r="AA288" s="105"/>
      <c r="AB288" s="105"/>
      <c r="AC288" s="105"/>
      <c r="AD288" s="105"/>
      <c r="AE288" s="105"/>
      <c r="AF288" s="158"/>
      <c r="AG288" s="105"/>
      <c r="AH288" s="158"/>
      <c r="AI288" s="88"/>
      <c r="AJ288" s="88"/>
      <c r="AK288" s="131"/>
      <c r="AL288" s="131"/>
      <c r="AM288" s="131"/>
      <c r="AN288" s="131"/>
      <c r="AO288" s="131"/>
      <c r="AP288" s="88"/>
    </row>
    <row r="289">
      <c r="A289" s="261"/>
      <c r="B289" s="172"/>
      <c r="C289" s="172"/>
      <c r="D289" s="173"/>
      <c r="E289" s="155"/>
      <c r="F289" s="155"/>
      <c r="G289" s="88"/>
      <c r="H289" s="255"/>
      <c r="I289" s="155"/>
      <c r="J289" s="155"/>
      <c r="K289" s="15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58"/>
      <c r="AA289" s="105"/>
      <c r="AB289" s="105"/>
      <c r="AC289" s="105"/>
      <c r="AD289" s="105"/>
      <c r="AE289" s="105"/>
      <c r="AF289" s="158"/>
      <c r="AG289" s="105"/>
      <c r="AH289" s="158"/>
      <c r="AI289" s="88"/>
      <c r="AJ289" s="88"/>
      <c r="AK289" s="131"/>
      <c r="AL289" s="131"/>
      <c r="AM289" s="131"/>
      <c r="AN289" s="131"/>
      <c r="AO289" s="131"/>
      <c r="AP289" s="88"/>
    </row>
    <row r="290">
      <c r="A290" s="261"/>
      <c r="B290" s="172"/>
      <c r="C290" s="172"/>
      <c r="D290" s="173"/>
      <c r="E290" s="155"/>
      <c r="F290" s="155"/>
      <c r="G290" s="88"/>
      <c r="H290" s="255"/>
      <c r="I290" s="155"/>
      <c r="J290" s="155"/>
      <c r="K290" s="15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58"/>
      <c r="AA290" s="105"/>
      <c r="AB290" s="105"/>
      <c r="AC290" s="105"/>
      <c r="AD290" s="105"/>
      <c r="AE290" s="105"/>
      <c r="AF290" s="158"/>
      <c r="AG290" s="105"/>
      <c r="AH290" s="158"/>
      <c r="AI290" s="88"/>
      <c r="AJ290" s="88"/>
      <c r="AK290" s="131"/>
      <c r="AL290" s="131"/>
      <c r="AM290" s="131"/>
      <c r="AN290" s="131"/>
      <c r="AO290" s="131"/>
      <c r="AP290" s="88"/>
    </row>
    <row r="291">
      <c r="A291" s="261"/>
      <c r="B291" s="172"/>
      <c r="C291" s="172"/>
      <c r="D291" s="173"/>
      <c r="E291" s="155"/>
      <c r="F291" s="155"/>
      <c r="G291" s="88"/>
      <c r="H291" s="255"/>
      <c r="I291" s="155"/>
      <c r="J291" s="155"/>
      <c r="K291" s="15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58"/>
      <c r="AA291" s="105"/>
      <c r="AB291" s="105"/>
      <c r="AC291" s="105"/>
      <c r="AD291" s="105"/>
      <c r="AE291" s="105"/>
      <c r="AF291" s="158"/>
      <c r="AG291" s="105"/>
      <c r="AH291" s="158"/>
      <c r="AI291" s="88"/>
      <c r="AJ291" s="88"/>
      <c r="AK291" s="131"/>
      <c r="AL291" s="131"/>
      <c r="AM291" s="131"/>
      <c r="AN291" s="131"/>
      <c r="AO291" s="131"/>
      <c r="AP291" s="88"/>
    </row>
    <row r="292">
      <c r="A292" s="261"/>
      <c r="B292" s="172"/>
      <c r="C292" s="172"/>
      <c r="D292" s="173"/>
      <c r="E292" s="155"/>
      <c r="F292" s="155"/>
      <c r="G292" s="88"/>
      <c r="H292" s="255"/>
      <c r="I292" s="155"/>
      <c r="J292" s="155"/>
      <c r="K292" s="15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58"/>
      <c r="AA292" s="105"/>
      <c r="AB292" s="105"/>
      <c r="AC292" s="105"/>
      <c r="AD292" s="105"/>
      <c r="AE292" s="105"/>
      <c r="AF292" s="158"/>
      <c r="AG292" s="105"/>
      <c r="AH292" s="158"/>
      <c r="AI292" s="88"/>
      <c r="AJ292" s="88"/>
      <c r="AK292" s="131"/>
      <c r="AL292" s="131"/>
      <c r="AM292" s="131"/>
      <c r="AN292" s="131"/>
      <c r="AO292" s="131"/>
      <c r="AP292" s="88"/>
    </row>
    <row r="293">
      <c r="A293" s="261"/>
      <c r="B293" s="172"/>
      <c r="C293" s="172"/>
      <c r="D293" s="173"/>
      <c r="E293" s="155"/>
      <c r="F293" s="155"/>
      <c r="G293" s="88"/>
      <c r="H293" s="255"/>
      <c r="I293" s="155"/>
      <c r="J293" s="155"/>
      <c r="K293" s="15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58"/>
      <c r="AA293" s="105"/>
      <c r="AB293" s="105"/>
      <c r="AC293" s="105"/>
      <c r="AD293" s="105"/>
      <c r="AE293" s="105"/>
      <c r="AF293" s="158"/>
      <c r="AG293" s="105"/>
      <c r="AH293" s="158"/>
      <c r="AI293" s="88"/>
      <c r="AJ293" s="88"/>
      <c r="AK293" s="131"/>
      <c r="AL293" s="131"/>
      <c r="AM293" s="131"/>
      <c r="AN293" s="131"/>
      <c r="AO293" s="131"/>
      <c r="AP293" s="88"/>
    </row>
    <row r="294">
      <c r="A294" s="261"/>
      <c r="B294" s="172"/>
      <c r="C294" s="172"/>
      <c r="D294" s="173"/>
      <c r="E294" s="155"/>
      <c r="F294" s="155"/>
      <c r="G294" s="88"/>
      <c r="H294" s="255"/>
      <c r="I294" s="155"/>
      <c r="J294" s="155"/>
      <c r="K294" s="15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58"/>
      <c r="AA294" s="105"/>
      <c r="AB294" s="105"/>
      <c r="AC294" s="105"/>
      <c r="AD294" s="105"/>
      <c r="AE294" s="105"/>
      <c r="AF294" s="158"/>
      <c r="AG294" s="105"/>
      <c r="AH294" s="158"/>
      <c r="AI294" s="88"/>
      <c r="AJ294" s="88"/>
      <c r="AK294" s="131"/>
      <c r="AL294" s="131"/>
      <c r="AM294" s="131"/>
      <c r="AN294" s="131"/>
      <c r="AO294" s="131"/>
      <c r="AP294" s="88"/>
    </row>
    <row r="295">
      <c r="A295" s="261"/>
      <c r="B295" s="172"/>
      <c r="C295" s="172"/>
      <c r="D295" s="173"/>
      <c r="E295" s="155"/>
      <c r="F295" s="155"/>
      <c r="G295" s="88"/>
      <c r="H295" s="255"/>
      <c r="I295" s="155"/>
      <c r="J295" s="155"/>
      <c r="K295" s="15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58"/>
      <c r="AA295" s="105"/>
      <c r="AB295" s="105"/>
      <c r="AC295" s="105"/>
      <c r="AD295" s="105"/>
      <c r="AE295" s="105"/>
      <c r="AF295" s="158"/>
      <c r="AG295" s="105"/>
      <c r="AH295" s="158"/>
      <c r="AI295" s="88"/>
      <c r="AJ295" s="88"/>
      <c r="AK295" s="131"/>
      <c r="AL295" s="131"/>
      <c r="AM295" s="131"/>
      <c r="AN295" s="131"/>
      <c r="AO295" s="131"/>
      <c r="AP295" s="88"/>
    </row>
    <row r="296">
      <c r="A296" s="261"/>
      <c r="B296" s="172"/>
      <c r="C296" s="172"/>
      <c r="D296" s="173"/>
      <c r="E296" s="155"/>
      <c r="F296" s="155"/>
      <c r="G296" s="88"/>
      <c r="H296" s="255"/>
      <c r="I296" s="155"/>
      <c r="J296" s="155"/>
      <c r="K296" s="15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58"/>
      <c r="AA296" s="105"/>
      <c r="AB296" s="105"/>
      <c r="AC296" s="105"/>
      <c r="AD296" s="105"/>
      <c r="AE296" s="105"/>
      <c r="AF296" s="158"/>
      <c r="AG296" s="105"/>
      <c r="AH296" s="158"/>
      <c r="AI296" s="88"/>
      <c r="AJ296" s="88"/>
      <c r="AK296" s="131"/>
      <c r="AL296" s="131"/>
      <c r="AM296" s="131"/>
      <c r="AN296" s="131"/>
      <c r="AO296" s="131"/>
      <c r="AP296" s="88"/>
    </row>
    <row r="297">
      <c r="A297" s="261"/>
      <c r="B297" s="172"/>
      <c r="C297" s="172"/>
      <c r="D297" s="173"/>
      <c r="E297" s="155"/>
      <c r="F297" s="155"/>
      <c r="G297" s="88"/>
      <c r="H297" s="255"/>
      <c r="I297" s="155"/>
      <c r="J297" s="155"/>
      <c r="K297" s="15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58"/>
      <c r="AA297" s="105"/>
      <c r="AB297" s="105"/>
      <c r="AC297" s="105"/>
      <c r="AD297" s="105"/>
      <c r="AE297" s="105"/>
      <c r="AF297" s="158"/>
      <c r="AG297" s="105"/>
      <c r="AH297" s="158"/>
      <c r="AI297" s="88"/>
      <c r="AJ297" s="88"/>
      <c r="AK297" s="131"/>
      <c r="AL297" s="131"/>
      <c r="AM297" s="131"/>
      <c r="AN297" s="131"/>
      <c r="AO297" s="131"/>
      <c r="AP297" s="88"/>
    </row>
    <row r="298">
      <c r="A298" s="261"/>
      <c r="B298" s="172"/>
      <c r="C298" s="172"/>
      <c r="D298" s="173"/>
      <c r="E298" s="155"/>
      <c r="F298" s="155"/>
      <c r="G298" s="88"/>
      <c r="H298" s="255"/>
      <c r="I298" s="155"/>
      <c r="J298" s="155"/>
      <c r="K298" s="15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58"/>
      <c r="AA298" s="105"/>
      <c r="AB298" s="105"/>
      <c r="AC298" s="105"/>
      <c r="AD298" s="105"/>
      <c r="AE298" s="105"/>
      <c r="AF298" s="158"/>
      <c r="AG298" s="105"/>
      <c r="AH298" s="158"/>
      <c r="AI298" s="88"/>
      <c r="AJ298" s="88"/>
      <c r="AK298" s="131"/>
      <c r="AL298" s="131"/>
      <c r="AM298" s="131"/>
      <c r="AN298" s="131"/>
      <c r="AO298" s="131"/>
      <c r="AP298" s="88"/>
    </row>
    <row r="299">
      <c r="A299" s="261"/>
      <c r="B299" s="172"/>
      <c r="C299" s="172"/>
      <c r="D299" s="173"/>
      <c r="E299" s="155"/>
      <c r="F299" s="155"/>
      <c r="G299" s="88"/>
      <c r="H299" s="255"/>
      <c r="I299" s="155"/>
      <c r="J299" s="155"/>
      <c r="K299" s="15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58"/>
      <c r="AA299" s="105"/>
      <c r="AB299" s="105"/>
      <c r="AC299" s="105"/>
      <c r="AD299" s="105"/>
      <c r="AE299" s="105"/>
      <c r="AF299" s="158"/>
      <c r="AG299" s="105"/>
      <c r="AH299" s="158"/>
      <c r="AI299" s="88"/>
      <c r="AJ299" s="88"/>
      <c r="AK299" s="131"/>
      <c r="AL299" s="131"/>
      <c r="AM299" s="131"/>
      <c r="AN299" s="131"/>
      <c r="AO299" s="131"/>
      <c r="AP299" s="88"/>
    </row>
    <row r="300">
      <c r="A300" s="261"/>
      <c r="B300" s="172"/>
      <c r="C300" s="172"/>
      <c r="D300" s="173"/>
      <c r="E300" s="155"/>
      <c r="F300" s="155"/>
      <c r="G300" s="88"/>
      <c r="H300" s="255"/>
      <c r="I300" s="155"/>
      <c r="J300" s="155"/>
      <c r="K300" s="15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58"/>
      <c r="AA300" s="105"/>
      <c r="AB300" s="105"/>
      <c r="AC300" s="105"/>
      <c r="AD300" s="105"/>
      <c r="AE300" s="105"/>
      <c r="AF300" s="158"/>
      <c r="AG300" s="105"/>
      <c r="AH300" s="158"/>
      <c r="AI300" s="88"/>
      <c r="AJ300" s="88"/>
      <c r="AK300" s="131"/>
      <c r="AL300" s="131"/>
      <c r="AM300" s="131"/>
      <c r="AN300" s="131"/>
      <c r="AO300" s="131"/>
      <c r="AP300" s="88"/>
    </row>
    <row r="301">
      <c r="A301" s="261"/>
      <c r="B301" s="172"/>
      <c r="C301" s="172"/>
      <c r="D301" s="173"/>
      <c r="E301" s="155"/>
      <c r="F301" s="155"/>
      <c r="G301" s="88"/>
      <c r="H301" s="255"/>
      <c r="I301" s="155"/>
      <c r="J301" s="155"/>
      <c r="K301" s="15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58"/>
      <c r="AA301" s="105"/>
      <c r="AB301" s="105"/>
      <c r="AC301" s="105"/>
      <c r="AD301" s="105"/>
      <c r="AE301" s="105"/>
      <c r="AF301" s="158"/>
      <c r="AG301" s="105"/>
      <c r="AH301" s="158"/>
      <c r="AI301" s="88"/>
      <c r="AJ301" s="88"/>
      <c r="AK301" s="131"/>
      <c r="AL301" s="131"/>
      <c r="AM301" s="131"/>
      <c r="AN301" s="131"/>
      <c r="AO301" s="131"/>
      <c r="AP301" s="88"/>
    </row>
    <row r="302">
      <c r="A302" s="261"/>
      <c r="B302" s="172"/>
      <c r="C302" s="172"/>
      <c r="D302" s="173"/>
      <c r="E302" s="155"/>
      <c r="F302" s="155"/>
      <c r="G302" s="88"/>
      <c r="H302" s="255"/>
      <c r="I302" s="155"/>
      <c r="J302" s="155"/>
      <c r="K302" s="15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58"/>
      <c r="AA302" s="105"/>
      <c r="AB302" s="105"/>
      <c r="AC302" s="105"/>
      <c r="AD302" s="105"/>
      <c r="AE302" s="105"/>
      <c r="AF302" s="158"/>
      <c r="AG302" s="105"/>
      <c r="AH302" s="158"/>
      <c r="AI302" s="88"/>
      <c r="AJ302" s="88"/>
      <c r="AK302" s="131"/>
      <c r="AL302" s="131"/>
      <c r="AM302" s="131"/>
      <c r="AN302" s="131"/>
      <c r="AO302" s="131"/>
      <c r="AP302" s="88"/>
    </row>
    <row r="303">
      <c r="A303" s="261"/>
      <c r="B303" s="172"/>
      <c r="C303" s="172"/>
      <c r="D303" s="173"/>
      <c r="E303" s="155"/>
      <c r="F303" s="155"/>
      <c r="G303" s="88"/>
      <c r="H303" s="255"/>
      <c r="I303" s="155"/>
      <c r="J303" s="155"/>
      <c r="K303" s="15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58"/>
      <c r="AA303" s="105"/>
      <c r="AB303" s="105"/>
      <c r="AC303" s="105"/>
      <c r="AD303" s="105"/>
      <c r="AE303" s="105"/>
      <c r="AF303" s="158"/>
      <c r="AG303" s="105"/>
      <c r="AH303" s="158"/>
      <c r="AI303" s="88"/>
      <c r="AJ303" s="88"/>
      <c r="AK303" s="131"/>
      <c r="AL303" s="131"/>
      <c r="AM303" s="131"/>
      <c r="AN303" s="131"/>
      <c r="AO303" s="131"/>
      <c r="AP303" s="88"/>
    </row>
    <row r="304">
      <c r="A304" s="261"/>
      <c r="B304" s="172"/>
      <c r="C304" s="172"/>
      <c r="D304" s="173"/>
      <c r="E304" s="155"/>
      <c r="F304" s="155"/>
      <c r="G304" s="88"/>
      <c r="H304" s="255"/>
      <c r="I304" s="155"/>
      <c r="J304" s="155"/>
      <c r="K304" s="15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58"/>
      <c r="AA304" s="105"/>
      <c r="AB304" s="105"/>
      <c r="AC304" s="105"/>
      <c r="AD304" s="105"/>
      <c r="AE304" s="105"/>
      <c r="AF304" s="158"/>
      <c r="AG304" s="105"/>
      <c r="AH304" s="158"/>
      <c r="AI304" s="88"/>
      <c r="AJ304" s="88"/>
      <c r="AK304" s="131"/>
      <c r="AL304" s="131"/>
      <c r="AM304" s="131"/>
      <c r="AN304" s="131"/>
      <c r="AO304" s="131"/>
      <c r="AP304" s="88"/>
    </row>
    <row r="305">
      <c r="A305" s="261"/>
      <c r="B305" s="172"/>
      <c r="C305" s="172"/>
      <c r="D305" s="173"/>
      <c r="E305" s="155"/>
      <c r="F305" s="155"/>
      <c r="G305" s="88"/>
      <c r="H305" s="255"/>
      <c r="I305" s="155"/>
      <c r="J305" s="155"/>
      <c r="K305" s="15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58"/>
      <c r="AA305" s="105"/>
      <c r="AB305" s="105"/>
      <c r="AC305" s="105"/>
      <c r="AD305" s="105"/>
      <c r="AE305" s="105"/>
      <c r="AF305" s="158"/>
      <c r="AG305" s="105"/>
      <c r="AH305" s="158"/>
      <c r="AI305" s="88"/>
      <c r="AJ305" s="88"/>
      <c r="AK305" s="131"/>
      <c r="AL305" s="131"/>
      <c r="AM305" s="131"/>
      <c r="AN305" s="131"/>
      <c r="AO305" s="131"/>
      <c r="AP305" s="88"/>
    </row>
    <row r="306">
      <c r="A306" s="261"/>
      <c r="B306" s="172"/>
      <c r="C306" s="172"/>
      <c r="D306" s="173"/>
      <c r="E306" s="155"/>
      <c r="F306" s="155"/>
      <c r="G306" s="88"/>
      <c r="H306" s="255"/>
      <c r="I306" s="155"/>
      <c r="J306" s="155"/>
      <c r="K306" s="15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58"/>
      <c r="AA306" s="105"/>
      <c r="AB306" s="105"/>
      <c r="AC306" s="105"/>
      <c r="AD306" s="105"/>
      <c r="AE306" s="105"/>
      <c r="AF306" s="158"/>
      <c r="AG306" s="105"/>
      <c r="AH306" s="158"/>
      <c r="AI306" s="88"/>
      <c r="AJ306" s="88"/>
      <c r="AK306" s="131"/>
      <c r="AL306" s="131"/>
      <c r="AM306" s="131"/>
      <c r="AN306" s="131"/>
      <c r="AO306" s="131"/>
      <c r="AP306" s="88"/>
    </row>
    <row r="307">
      <c r="A307" s="261"/>
      <c r="B307" s="172"/>
      <c r="C307" s="172"/>
      <c r="D307" s="173"/>
      <c r="E307" s="155"/>
      <c r="F307" s="155"/>
      <c r="G307" s="88"/>
      <c r="H307" s="255"/>
      <c r="I307" s="155"/>
      <c r="J307" s="155"/>
      <c r="K307" s="15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58"/>
      <c r="AA307" s="105"/>
      <c r="AB307" s="105"/>
      <c r="AC307" s="105"/>
      <c r="AD307" s="105"/>
      <c r="AE307" s="105"/>
      <c r="AF307" s="158"/>
      <c r="AG307" s="105"/>
      <c r="AH307" s="158"/>
      <c r="AI307" s="88"/>
      <c r="AJ307" s="88"/>
      <c r="AK307" s="131"/>
      <c r="AL307" s="131"/>
      <c r="AM307" s="131"/>
      <c r="AN307" s="131"/>
      <c r="AO307" s="131"/>
      <c r="AP307" s="88"/>
    </row>
    <row r="308">
      <c r="A308" s="261"/>
      <c r="B308" s="172"/>
      <c r="C308" s="172"/>
      <c r="D308" s="173"/>
      <c r="E308" s="155"/>
      <c r="F308" s="155"/>
      <c r="G308" s="88"/>
      <c r="H308" s="255"/>
      <c r="I308" s="155"/>
      <c r="J308" s="155"/>
      <c r="K308" s="15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58"/>
      <c r="AA308" s="105"/>
      <c r="AB308" s="105"/>
      <c r="AC308" s="105"/>
      <c r="AD308" s="105"/>
      <c r="AE308" s="105"/>
      <c r="AF308" s="158"/>
      <c r="AG308" s="105"/>
      <c r="AH308" s="158"/>
      <c r="AI308" s="88"/>
      <c r="AJ308" s="88"/>
      <c r="AK308" s="131"/>
      <c r="AL308" s="131"/>
      <c r="AM308" s="131"/>
      <c r="AN308" s="131"/>
      <c r="AO308" s="131"/>
      <c r="AP308" s="88"/>
    </row>
    <row r="309">
      <c r="A309" s="261"/>
      <c r="B309" s="172"/>
      <c r="C309" s="172"/>
      <c r="D309" s="173"/>
      <c r="E309" s="155"/>
      <c r="F309" s="155"/>
      <c r="G309" s="88"/>
      <c r="H309" s="255"/>
      <c r="I309" s="155"/>
      <c r="J309" s="155"/>
      <c r="K309" s="15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58"/>
      <c r="AA309" s="105"/>
      <c r="AB309" s="105"/>
      <c r="AC309" s="105"/>
      <c r="AD309" s="105"/>
      <c r="AE309" s="105"/>
      <c r="AF309" s="158"/>
      <c r="AG309" s="105"/>
      <c r="AH309" s="158"/>
      <c r="AI309" s="88"/>
      <c r="AJ309" s="88"/>
      <c r="AK309" s="131"/>
      <c r="AL309" s="131"/>
      <c r="AM309" s="131"/>
      <c r="AN309" s="131"/>
      <c r="AO309" s="131"/>
      <c r="AP309" s="88"/>
    </row>
    <row r="310">
      <c r="A310" s="261"/>
      <c r="B310" s="172"/>
      <c r="C310" s="172"/>
      <c r="D310" s="173"/>
      <c r="E310" s="155"/>
      <c r="F310" s="155"/>
      <c r="G310" s="88"/>
      <c r="H310" s="255"/>
      <c r="I310" s="155"/>
      <c r="J310" s="155"/>
      <c r="K310" s="15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58"/>
      <c r="AA310" s="105"/>
      <c r="AB310" s="105"/>
      <c r="AC310" s="105"/>
      <c r="AD310" s="105"/>
      <c r="AE310" s="105"/>
      <c r="AF310" s="158"/>
      <c r="AG310" s="105"/>
      <c r="AH310" s="158"/>
      <c r="AI310" s="88"/>
      <c r="AJ310" s="88"/>
      <c r="AK310" s="131"/>
      <c r="AL310" s="131"/>
      <c r="AM310" s="131"/>
      <c r="AN310" s="131"/>
      <c r="AO310" s="131"/>
      <c r="AP310" s="88"/>
    </row>
    <row r="311">
      <c r="A311" s="261"/>
      <c r="B311" s="172"/>
      <c r="C311" s="172"/>
      <c r="D311" s="173"/>
      <c r="E311" s="155"/>
      <c r="F311" s="155"/>
      <c r="G311" s="88"/>
      <c r="H311" s="255"/>
      <c r="I311" s="155"/>
      <c r="J311" s="155"/>
      <c r="K311" s="15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58"/>
      <c r="AA311" s="105"/>
      <c r="AB311" s="105"/>
      <c r="AC311" s="105"/>
      <c r="AD311" s="105"/>
      <c r="AE311" s="105"/>
      <c r="AF311" s="158"/>
      <c r="AG311" s="105"/>
      <c r="AH311" s="158"/>
      <c r="AI311" s="88"/>
      <c r="AJ311" s="88"/>
      <c r="AK311" s="131"/>
      <c r="AL311" s="131"/>
      <c r="AM311" s="131"/>
      <c r="AN311" s="131"/>
      <c r="AO311" s="131"/>
      <c r="AP311" s="88"/>
    </row>
    <row r="312">
      <c r="A312" s="261"/>
      <c r="B312" s="172"/>
      <c r="C312" s="172"/>
      <c r="D312" s="173"/>
      <c r="E312" s="155"/>
      <c r="F312" s="155"/>
      <c r="G312" s="88"/>
      <c r="H312" s="255"/>
      <c r="I312" s="155"/>
      <c r="J312" s="155"/>
      <c r="K312" s="15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58"/>
      <c r="AA312" s="105"/>
      <c r="AB312" s="105"/>
      <c r="AC312" s="105"/>
      <c r="AD312" s="105"/>
      <c r="AE312" s="105"/>
      <c r="AF312" s="158"/>
      <c r="AG312" s="105"/>
      <c r="AH312" s="158"/>
      <c r="AI312" s="88"/>
      <c r="AJ312" s="88"/>
      <c r="AK312" s="131"/>
      <c r="AL312" s="131"/>
      <c r="AM312" s="131"/>
      <c r="AN312" s="131"/>
      <c r="AO312" s="131"/>
      <c r="AP312" s="88"/>
    </row>
    <row r="313">
      <c r="A313" s="261"/>
      <c r="B313" s="172"/>
      <c r="C313" s="172"/>
      <c r="D313" s="173"/>
      <c r="E313" s="155"/>
      <c r="F313" s="155"/>
      <c r="G313" s="88"/>
      <c r="H313" s="255"/>
      <c r="I313" s="155"/>
      <c r="J313" s="155"/>
      <c r="K313" s="15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58"/>
      <c r="AA313" s="105"/>
      <c r="AB313" s="105"/>
      <c r="AC313" s="105"/>
      <c r="AD313" s="105"/>
      <c r="AE313" s="105"/>
      <c r="AF313" s="158"/>
      <c r="AG313" s="105"/>
      <c r="AH313" s="158"/>
      <c r="AI313" s="88"/>
      <c r="AJ313" s="88"/>
      <c r="AK313" s="131"/>
      <c r="AL313" s="131"/>
      <c r="AM313" s="131"/>
      <c r="AN313" s="131"/>
      <c r="AO313" s="131"/>
      <c r="AP313" s="88"/>
    </row>
    <row r="314">
      <c r="A314" s="261"/>
      <c r="B314" s="172"/>
      <c r="C314" s="172"/>
      <c r="D314" s="173"/>
      <c r="E314" s="155"/>
      <c r="F314" s="155"/>
      <c r="G314" s="88"/>
      <c r="H314" s="255"/>
      <c r="I314" s="155"/>
      <c r="J314" s="155"/>
      <c r="K314" s="15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58"/>
      <c r="AA314" s="105"/>
      <c r="AB314" s="105"/>
      <c r="AC314" s="105"/>
      <c r="AD314" s="105"/>
      <c r="AE314" s="105"/>
      <c r="AF314" s="158"/>
      <c r="AG314" s="105"/>
      <c r="AH314" s="158"/>
      <c r="AI314" s="88"/>
      <c r="AJ314" s="88"/>
      <c r="AK314" s="131"/>
      <c r="AL314" s="131"/>
      <c r="AM314" s="131"/>
      <c r="AN314" s="131"/>
      <c r="AO314" s="131"/>
      <c r="AP314" s="88"/>
    </row>
    <row r="315">
      <c r="A315" s="261"/>
      <c r="B315" s="172"/>
      <c r="C315" s="172"/>
      <c r="D315" s="173"/>
      <c r="E315" s="155"/>
      <c r="F315" s="155"/>
      <c r="G315" s="88"/>
      <c r="H315" s="255"/>
      <c r="I315" s="155"/>
      <c r="J315" s="155"/>
      <c r="K315" s="15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58"/>
      <c r="AA315" s="105"/>
      <c r="AB315" s="105"/>
      <c r="AC315" s="105"/>
      <c r="AD315" s="105"/>
      <c r="AE315" s="105"/>
      <c r="AF315" s="158"/>
      <c r="AG315" s="105"/>
      <c r="AH315" s="158"/>
      <c r="AI315" s="88"/>
      <c r="AJ315" s="88"/>
      <c r="AK315" s="131"/>
      <c r="AL315" s="131"/>
      <c r="AM315" s="131"/>
      <c r="AN315" s="131"/>
      <c r="AO315" s="131"/>
      <c r="AP315" s="88"/>
    </row>
    <row r="316">
      <c r="A316" s="261"/>
      <c r="B316" s="172"/>
      <c r="C316" s="172"/>
      <c r="D316" s="173"/>
      <c r="E316" s="155"/>
      <c r="F316" s="155"/>
      <c r="G316" s="88"/>
      <c r="H316" s="255"/>
      <c r="I316" s="155"/>
      <c r="J316" s="155"/>
      <c r="K316" s="15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58"/>
      <c r="AA316" s="105"/>
      <c r="AB316" s="105"/>
      <c r="AC316" s="105"/>
      <c r="AD316" s="105"/>
      <c r="AE316" s="105"/>
      <c r="AF316" s="158"/>
      <c r="AG316" s="105"/>
      <c r="AH316" s="158"/>
      <c r="AI316" s="88"/>
      <c r="AJ316" s="88"/>
      <c r="AK316" s="131"/>
      <c r="AL316" s="131"/>
      <c r="AM316" s="131"/>
      <c r="AN316" s="131"/>
      <c r="AO316" s="131"/>
      <c r="AP316" s="88"/>
    </row>
    <row r="317">
      <c r="A317" s="261"/>
      <c r="B317" s="172"/>
      <c r="C317" s="172"/>
      <c r="D317" s="173"/>
      <c r="E317" s="155"/>
      <c r="F317" s="155"/>
      <c r="G317" s="88"/>
      <c r="H317" s="255"/>
      <c r="I317" s="155"/>
      <c r="J317" s="155"/>
      <c r="K317" s="15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58"/>
      <c r="AA317" s="105"/>
      <c r="AB317" s="105"/>
      <c r="AC317" s="105"/>
      <c r="AD317" s="105"/>
      <c r="AE317" s="105"/>
      <c r="AF317" s="158"/>
      <c r="AG317" s="105"/>
      <c r="AH317" s="158"/>
      <c r="AI317" s="88"/>
      <c r="AJ317" s="88"/>
      <c r="AK317" s="131"/>
      <c r="AL317" s="131"/>
      <c r="AM317" s="131"/>
      <c r="AN317" s="131"/>
      <c r="AO317" s="131"/>
      <c r="AP317" s="88"/>
    </row>
    <row r="318">
      <c r="A318" s="155"/>
      <c r="B318" s="173"/>
      <c r="C318" s="174"/>
      <c r="D318" s="173"/>
      <c r="E318" s="155"/>
      <c r="F318" s="155"/>
      <c r="G318" s="88"/>
      <c r="H318" s="255"/>
      <c r="I318" s="155"/>
      <c r="J318" s="155"/>
      <c r="K318" s="15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58"/>
      <c r="AA318" s="105"/>
      <c r="AB318" s="105"/>
      <c r="AC318" s="105"/>
      <c r="AD318" s="105"/>
      <c r="AE318" s="105"/>
      <c r="AF318" s="158"/>
      <c r="AG318" s="105"/>
      <c r="AH318" s="158"/>
      <c r="AI318" s="88"/>
      <c r="AJ318" s="88"/>
      <c r="AK318" s="131"/>
      <c r="AL318" s="131"/>
      <c r="AM318" s="131"/>
      <c r="AN318" s="131"/>
      <c r="AO318" s="131"/>
      <c r="AP318" s="88"/>
    </row>
    <row r="319">
      <c r="A319" s="155"/>
      <c r="B319" s="173"/>
      <c r="C319" s="174"/>
      <c r="D319" s="173"/>
      <c r="E319" s="155"/>
      <c r="F319" s="155"/>
      <c r="G319" s="88"/>
      <c r="H319" s="255"/>
      <c r="I319" s="155"/>
      <c r="J319" s="155"/>
      <c r="K319" s="15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58"/>
      <c r="AA319" s="105"/>
      <c r="AB319" s="105"/>
      <c r="AC319" s="105"/>
      <c r="AD319" s="105"/>
      <c r="AE319" s="105"/>
      <c r="AF319" s="158"/>
      <c r="AG319" s="105"/>
      <c r="AH319" s="158"/>
      <c r="AI319" s="88"/>
      <c r="AJ319" s="88"/>
      <c r="AK319" s="131"/>
      <c r="AL319" s="131"/>
      <c r="AM319" s="131"/>
      <c r="AN319" s="131"/>
      <c r="AO319" s="131"/>
      <c r="AP319" s="88"/>
    </row>
    <row r="320">
      <c r="A320" s="155"/>
      <c r="B320" s="173"/>
      <c r="C320" s="174"/>
      <c r="D320" s="173"/>
      <c r="E320" s="155"/>
      <c r="F320" s="155"/>
      <c r="G320" s="88"/>
      <c r="H320" s="255"/>
      <c r="I320" s="155"/>
      <c r="J320" s="155"/>
      <c r="K320" s="15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58"/>
      <c r="AA320" s="105"/>
      <c r="AB320" s="105"/>
      <c r="AC320" s="105"/>
      <c r="AD320" s="105"/>
      <c r="AE320" s="105"/>
      <c r="AF320" s="158"/>
      <c r="AG320" s="105"/>
      <c r="AH320" s="158"/>
      <c r="AI320" s="88"/>
      <c r="AJ320" s="88"/>
      <c r="AK320" s="131"/>
      <c r="AL320" s="131"/>
      <c r="AM320" s="131"/>
      <c r="AN320" s="131"/>
      <c r="AO320" s="131"/>
      <c r="AP320" s="88"/>
    </row>
    <row r="321">
      <c r="A321" s="155"/>
      <c r="B321" s="173"/>
      <c r="C321" s="174"/>
      <c r="D321" s="173"/>
      <c r="E321" s="155"/>
      <c r="F321" s="155"/>
      <c r="G321" s="88"/>
      <c r="H321" s="255"/>
      <c r="I321" s="155"/>
      <c r="J321" s="155"/>
      <c r="K321" s="15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58"/>
      <c r="AA321" s="105"/>
      <c r="AB321" s="105"/>
      <c r="AC321" s="105"/>
      <c r="AD321" s="105"/>
      <c r="AE321" s="105"/>
      <c r="AF321" s="158"/>
      <c r="AG321" s="105"/>
      <c r="AH321" s="158"/>
      <c r="AI321" s="88"/>
      <c r="AJ321" s="88"/>
      <c r="AK321" s="131"/>
      <c r="AL321" s="131"/>
      <c r="AM321" s="131"/>
      <c r="AN321" s="131"/>
      <c r="AO321" s="131"/>
      <c r="AP321" s="88"/>
    </row>
    <row r="322">
      <c r="A322" s="155"/>
      <c r="B322" s="173"/>
      <c r="C322" s="174"/>
      <c r="D322" s="173"/>
      <c r="E322" s="155"/>
      <c r="F322" s="155"/>
      <c r="G322" s="88"/>
      <c r="H322" s="255"/>
      <c r="I322" s="155"/>
      <c r="J322" s="155"/>
      <c r="K322" s="15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58"/>
      <c r="AA322" s="105"/>
      <c r="AB322" s="105"/>
      <c r="AC322" s="105"/>
      <c r="AD322" s="105"/>
      <c r="AE322" s="105"/>
      <c r="AF322" s="158"/>
      <c r="AG322" s="105"/>
      <c r="AH322" s="158"/>
      <c r="AI322" s="88"/>
      <c r="AJ322" s="88"/>
      <c r="AK322" s="131"/>
      <c r="AL322" s="131"/>
      <c r="AM322" s="131"/>
      <c r="AN322" s="131"/>
      <c r="AO322" s="131"/>
      <c r="AP322" s="88"/>
    </row>
    <row r="323">
      <c r="A323" s="155"/>
      <c r="B323" s="173"/>
      <c r="C323" s="174"/>
      <c r="D323" s="173"/>
      <c r="E323" s="155"/>
      <c r="F323" s="155"/>
      <c r="G323" s="88"/>
      <c r="H323" s="255"/>
      <c r="I323" s="155"/>
      <c r="J323" s="155"/>
      <c r="K323" s="15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58"/>
      <c r="AA323" s="105"/>
      <c r="AB323" s="105"/>
      <c r="AC323" s="105"/>
      <c r="AD323" s="105"/>
      <c r="AE323" s="105"/>
      <c r="AF323" s="158"/>
      <c r="AG323" s="105"/>
      <c r="AH323" s="158"/>
      <c r="AI323" s="88"/>
      <c r="AJ323" s="88"/>
      <c r="AK323" s="131"/>
      <c r="AL323" s="131"/>
      <c r="AM323" s="131"/>
      <c r="AN323" s="131"/>
      <c r="AO323" s="131"/>
      <c r="AP323" s="88"/>
    </row>
    <row r="324">
      <c r="A324" s="155"/>
      <c r="B324" s="173"/>
      <c r="C324" s="174"/>
      <c r="D324" s="173"/>
      <c r="E324" s="155"/>
      <c r="F324" s="155"/>
      <c r="G324" s="88"/>
      <c r="H324" s="255"/>
      <c r="I324" s="155"/>
      <c r="J324" s="155"/>
      <c r="K324" s="15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58"/>
      <c r="AA324" s="105"/>
      <c r="AB324" s="105"/>
      <c r="AC324" s="105"/>
      <c r="AD324" s="105"/>
      <c r="AE324" s="105"/>
      <c r="AF324" s="158"/>
      <c r="AG324" s="105"/>
      <c r="AH324" s="158"/>
      <c r="AI324" s="88"/>
      <c r="AJ324" s="88"/>
      <c r="AK324" s="131"/>
      <c r="AL324" s="131"/>
      <c r="AM324" s="131"/>
      <c r="AN324" s="131"/>
      <c r="AO324" s="131"/>
      <c r="AP324" s="88"/>
    </row>
    <row r="325">
      <c r="A325" s="155"/>
      <c r="B325" s="173"/>
      <c r="C325" s="174"/>
      <c r="D325" s="173"/>
      <c r="E325" s="155"/>
      <c r="F325" s="155"/>
      <c r="G325" s="88"/>
      <c r="H325" s="255"/>
      <c r="I325" s="155"/>
      <c r="J325" s="155"/>
      <c r="K325" s="15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58"/>
      <c r="AA325" s="105"/>
      <c r="AB325" s="105"/>
      <c r="AC325" s="105"/>
      <c r="AD325" s="105"/>
      <c r="AE325" s="105"/>
      <c r="AF325" s="158"/>
      <c r="AG325" s="105"/>
      <c r="AH325" s="158"/>
      <c r="AI325" s="88"/>
      <c r="AJ325" s="88"/>
      <c r="AK325" s="131"/>
      <c r="AL325" s="131"/>
      <c r="AM325" s="131"/>
      <c r="AN325" s="131"/>
      <c r="AO325" s="131"/>
      <c r="AP325" s="88"/>
    </row>
    <row r="326">
      <c r="A326" s="155"/>
      <c r="B326" s="173"/>
      <c r="C326" s="174"/>
      <c r="D326" s="173"/>
      <c r="E326" s="155"/>
      <c r="F326" s="155"/>
      <c r="G326" s="88"/>
      <c r="H326" s="255"/>
      <c r="I326" s="155"/>
      <c r="J326" s="155"/>
      <c r="K326" s="15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58"/>
      <c r="AA326" s="105"/>
      <c r="AB326" s="105"/>
      <c r="AC326" s="105"/>
      <c r="AD326" s="105"/>
      <c r="AE326" s="105"/>
      <c r="AF326" s="158"/>
      <c r="AG326" s="105"/>
      <c r="AH326" s="158"/>
      <c r="AI326" s="88"/>
      <c r="AJ326" s="88"/>
      <c r="AK326" s="131"/>
      <c r="AL326" s="131"/>
      <c r="AM326" s="131"/>
      <c r="AN326" s="131"/>
      <c r="AO326" s="131"/>
      <c r="AP326" s="88"/>
    </row>
    <row r="327">
      <c r="A327" s="155"/>
      <c r="B327" s="173"/>
      <c r="C327" s="174"/>
      <c r="D327" s="173"/>
      <c r="E327" s="155"/>
      <c r="F327" s="155"/>
      <c r="G327" s="88"/>
      <c r="H327" s="255"/>
      <c r="I327" s="155"/>
      <c r="J327" s="155"/>
      <c r="K327" s="15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58"/>
      <c r="AA327" s="105"/>
      <c r="AB327" s="105"/>
      <c r="AC327" s="105"/>
      <c r="AD327" s="105"/>
      <c r="AE327" s="105"/>
      <c r="AF327" s="158"/>
      <c r="AG327" s="105"/>
      <c r="AH327" s="158"/>
      <c r="AI327" s="88"/>
      <c r="AJ327" s="88"/>
      <c r="AK327" s="131"/>
      <c r="AL327" s="131"/>
      <c r="AM327" s="131"/>
      <c r="AN327" s="131"/>
      <c r="AO327" s="131"/>
      <c r="AP327" s="88"/>
    </row>
    <row r="328">
      <c r="A328" s="155"/>
      <c r="B328" s="173"/>
      <c r="C328" s="174"/>
      <c r="D328" s="173"/>
      <c r="E328" s="155"/>
      <c r="F328" s="155"/>
      <c r="G328" s="88"/>
      <c r="H328" s="255"/>
      <c r="I328" s="155"/>
      <c r="J328" s="155"/>
      <c r="K328" s="15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58"/>
      <c r="AA328" s="105"/>
      <c r="AB328" s="105"/>
      <c r="AC328" s="105"/>
      <c r="AD328" s="105"/>
      <c r="AE328" s="105"/>
      <c r="AF328" s="158"/>
      <c r="AG328" s="105"/>
      <c r="AH328" s="158"/>
      <c r="AI328" s="88"/>
      <c r="AJ328" s="88"/>
      <c r="AK328" s="131"/>
      <c r="AL328" s="131"/>
      <c r="AM328" s="131"/>
      <c r="AN328" s="131"/>
      <c r="AO328" s="131"/>
      <c r="AP328" s="88"/>
    </row>
    <row r="329">
      <c r="A329" s="155"/>
      <c r="B329" s="173"/>
      <c r="C329" s="174"/>
      <c r="D329" s="173"/>
      <c r="E329" s="155"/>
      <c r="F329" s="155"/>
      <c r="G329" s="88"/>
      <c r="H329" s="255"/>
      <c r="I329" s="155"/>
      <c r="J329" s="155"/>
      <c r="K329" s="15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58"/>
      <c r="AA329" s="105"/>
      <c r="AB329" s="105"/>
      <c r="AC329" s="105"/>
      <c r="AD329" s="105"/>
      <c r="AE329" s="105"/>
      <c r="AF329" s="158"/>
      <c r="AG329" s="105"/>
      <c r="AH329" s="158"/>
      <c r="AI329" s="88"/>
      <c r="AJ329" s="88"/>
      <c r="AK329" s="131"/>
      <c r="AL329" s="131"/>
      <c r="AM329" s="131"/>
      <c r="AN329" s="131"/>
      <c r="AO329" s="131"/>
      <c r="AP329" s="88"/>
    </row>
    <row r="330">
      <c r="A330" s="155"/>
      <c r="B330" s="173"/>
      <c r="C330" s="174"/>
      <c r="D330" s="173"/>
      <c r="E330" s="155"/>
      <c r="F330" s="155"/>
      <c r="G330" s="88"/>
      <c r="H330" s="255"/>
      <c r="I330" s="155"/>
      <c r="J330" s="155"/>
      <c r="K330" s="15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58"/>
      <c r="AA330" s="105"/>
      <c r="AB330" s="105"/>
      <c r="AC330" s="105"/>
      <c r="AD330" s="105"/>
      <c r="AE330" s="105"/>
      <c r="AF330" s="158"/>
      <c r="AG330" s="105"/>
      <c r="AH330" s="158"/>
      <c r="AI330" s="88"/>
      <c r="AJ330" s="88"/>
      <c r="AK330" s="131"/>
      <c r="AL330" s="131"/>
      <c r="AM330" s="131"/>
      <c r="AN330" s="131"/>
      <c r="AO330" s="131"/>
      <c r="AP330" s="88"/>
    </row>
    <row r="331">
      <c r="A331" s="155"/>
      <c r="B331" s="173"/>
      <c r="C331" s="174"/>
      <c r="D331" s="173"/>
      <c r="E331" s="155"/>
      <c r="F331" s="155"/>
      <c r="G331" s="88"/>
      <c r="H331" s="255"/>
      <c r="I331" s="155"/>
      <c r="J331" s="155"/>
      <c r="K331" s="15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58"/>
      <c r="AA331" s="105"/>
      <c r="AB331" s="105"/>
      <c r="AC331" s="105"/>
      <c r="AD331" s="105"/>
      <c r="AE331" s="105"/>
      <c r="AF331" s="158"/>
      <c r="AG331" s="105"/>
      <c r="AH331" s="158"/>
      <c r="AI331" s="88"/>
      <c r="AJ331" s="88"/>
      <c r="AK331" s="131"/>
      <c r="AL331" s="131"/>
      <c r="AM331" s="131"/>
      <c r="AN331" s="131"/>
      <c r="AO331" s="131"/>
      <c r="AP331" s="88"/>
    </row>
    <row r="332">
      <c r="A332" s="155"/>
      <c r="B332" s="173"/>
      <c r="C332" s="174"/>
      <c r="D332" s="173"/>
      <c r="E332" s="155"/>
      <c r="F332" s="155"/>
      <c r="G332" s="88"/>
      <c r="H332" s="255"/>
      <c r="I332" s="155"/>
      <c r="J332" s="155"/>
      <c r="K332" s="15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58"/>
      <c r="AA332" s="105"/>
      <c r="AB332" s="105"/>
      <c r="AC332" s="105"/>
      <c r="AD332" s="105"/>
      <c r="AE332" s="105"/>
      <c r="AF332" s="158"/>
      <c r="AG332" s="105"/>
      <c r="AH332" s="158"/>
      <c r="AI332" s="88"/>
      <c r="AJ332" s="88"/>
      <c r="AK332" s="131"/>
      <c r="AL332" s="131"/>
      <c r="AM332" s="131"/>
      <c r="AN332" s="131"/>
      <c r="AO332" s="131"/>
      <c r="AP332" s="88"/>
    </row>
    <row r="333">
      <c r="A333" s="155"/>
      <c r="B333" s="173"/>
      <c r="C333" s="174"/>
      <c r="D333" s="173"/>
      <c r="E333" s="155"/>
      <c r="F333" s="155"/>
      <c r="G333" s="88"/>
      <c r="H333" s="255"/>
      <c r="I333" s="155"/>
      <c r="J333" s="155"/>
      <c r="K333" s="15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58"/>
      <c r="AA333" s="105"/>
      <c r="AB333" s="105"/>
      <c r="AC333" s="105"/>
      <c r="AD333" s="105"/>
      <c r="AE333" s="105"/>
      <c r="AF333" s="158"/>
      <c r="AG333" s="105"/>
      <c r="AH333" s="158"/>
      <c r="AI333" s="88"/>
      <c r="AJ333" s="88"/>
      <c r="AK333" s="131"/>
      <c r="AL333" s="131"/>
      <c r="AM333" s="131"/>
      <c r="AN333" s="131"/>
      <c r="AO333" s="131"/>
      <c r="AP333" s="88"/>
    </row>
    <row r="334">
      <c r="A334" s="155"/>
      <c r="B334" s="173"/>
      <c r="C334" s="174"/>
      <c r="D334" s="173"/>
      <c r="E334" s="155"/>
      <c r="F334" s="155"/>
      <c r="G334" s="88"/>
      <c r="H334" s="255"/>
      <c r="I334" s="155"/>
      <c r="J334" s="155"/>
      <c r="K334" s="15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58"/>
      <c r="AA334" s="105"/>
      <c r="AB334" s="105"/>
      <c r="AC334" s="105"/>
      <c r="AD334" s="105"/>
      <c r="AE334" s="105"/>
      <c r="AF334" s="158"/>
      <c r="AG334" s="105"/>
      <c r="AH334" s="158"/>
      <c r="AI334" s="88"/>
      <c r="AJ334" s="88"/>
      <c r="AK334" s="131"/>
      <c r="AL334" s="131"/>
      <c r="AM334" s="131"/>
      <c r="AN334" s="131"/>
      <c r="AO334" s="131"/>
      <c r="AP334" s="88"/>
    </row>
    <row r="335">
      <c r="A335" s="155"/>
      <c r="B335" s="173"/>
      <c r="C335" s="174"/>
      <c r="D335" s="173"/>
      <c r="E335" s="155"/>
      <c r="F335" s="155"/>
      <c r="G335" s="88"/>
      <c r="H335" s="255"/>
      <c r="I335" s="155"/>
      <c r="J335" s="155"/>
      <c r="K335" s="15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58"/>
      <c r="AA335" s="105"/>
      <c r="AB335" s="105"/>
      <c r="AC335" s="105"/>
      <c r="AD335" s="105"/>
      <c r="AE335" s="105"/>
      <c r="AF335" s="158"/>
      <c r="AG335" s="105"/>
      <c r="AH335" s="158"/>
      <c r="AI335" s="88"/>
      <c r="AJ335" s="88"/>
      <c r="AK335" s="131"/>
      <c r="AL335" s="131"/>
      <c r="AM335" s="131"/>
      <c r="AN335" s="131"/>
      <c r="AO335" s="131"/>
      <c r="AP335" s="88"/>
    </row>
    <row r="336">
      <c r="A336" s="155"/>
      <c r="B336" s="173"/>
      <c r="C336" s="174"/>
      <c r="D336" s="173"/>
      <c r="E336" s="155"/>
      <c r="F336" s="155"/>
      <c r="G336" s="88"/>
      <c r="H336" s="255"/>
      <c r="I336" s="155"/>
      <c r="J336" s="155"/>
      <c r="K336" s="15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58"/>
      <c r="AA336" s="105"/>
      <c r="AB336" s="105"/>
      <c r="AC336" s="105"/>
      <c r="AD336" s="105"/>
      <c r="AE336" s="105"/>
      <c r="AF336" s="158"/>
      <c r="AG336" s="105"/>
      <c r="AH336" s="158"/>
      <c r="AI336" s="88"/>
      <c r="AJ336" s="88"/>
      <c r="AK336" s="131"/>
      <c r="AL336" s="131"/>
      <c r="AM336" s="131"/>
      <c r="AN336" s="131"/>
      <c r="AO336" s="131"/>
      <c r="AP336" s="88"/>
    </row>
    <row r="337">
      <c r="A337" s="155"/>
      <c r="B337" s="173"/>
      <c r="C337" s="174"/>
      <c r="D337" s="173"/>
      <c r="E337" s="155"/>
      <c r="F337" s="155"/>
      <c r="G337" s="88"/>
      <c r="H337" s="255"/>
      <c r="I337" s="155"/>
      <c r="J337" s="155"/>
      <c r="K337" s="15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58"/>
      <c r="AA337" s="105"/>
      <c r="AB337" s="105"/>
      <c r="AC337" s="105"/>
      <c r="AD337" s="105"/>
      <c r="AE337" s="105"/>
      <c r="AF337" s="158"/>
      <c r="AG337" s="105"/>
      <c r="AH337" s="158"/>
      <c r="AI337" s="88"/>
      <c r="AJ337" s="88"/>
      <c r="AK337" s="131"/>
      <c r="AL337" s="131"/>
      <c r="AM337" s="131"/>
      <c r="AN337" s="131"/>
      <c r="AO337" s="131"/>
      <c r="AP337" s="88"/>
    </row>
    <row r="338">
      <c r="A338" s="155"/>
      <c r="B338" s="173"/>
      <c r="C338" s="174"/>
      <c r="D338" s="173"/>
      <c r="E338" s="155"/>
      <c r="F338" s="155"/>
      <c r="G338" s="88"/>
      <c r="H338" s="255"/>
      <c r="I338" s="155"/>
      <c r="J338" s="155"/>
      <c r="K338" s="15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58"/>
      <c r="AA338" s="105"/>
      <c r="AB338" s="105"/>
      <c r="AC338" s="105"/>
      <c r="AD338" s="105"/>
      <c r="AE338" s="105"/>
      <c r="AF338" s="158"/>
      <c r="AG338" s="105"/>
      <c r="AH338" s="158"/>
      <c r="AI338" s="88"/>
      <c r="AJ338" s="88"/>
      <c r="AK338" s="131"/>
      <c r="AL338" s="131"/>
      <c r="AM338" s="131"/>
      <c r="AN338" s="131"/>
      <c r="AO338" s="131"/>
      <c r="AP338" s="88"/>
    </row>
    <row r="339">
      <c r="A339" s="155"/>
      <c r="B339" s="173"/>
      <c r="C339" s="174"/>
      <c r="D339" s="173"/>
      <c r="E339" s="155"/>
      <c r="F339" s="155"/>
      <c r="G339" s="88"/>
      <c r="H339" s="255"/>
      <c r="I339" s="155"/>
      <c r="J339" s="155"/>
      <c r="K339" s="15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58"/>
      <c r="AA339" s="105"/>
      <c r="AB339" s="105"/>
      <c r="AC339" s="105"/>
      <c r="AD339" s="105"/>
      <c r="AE339" s="105"/>
      <c r="AF339" s="158"/>
      <c r="AG339" s="105"/>
      <c r="AH339" s="158"/>
      <c r="AI339" s="88"/>
      <c r="AJ339" s="88"/>
      <c r="AK339" s="131"/>
      <c r="AL339" s="131"/>
      <c r="AM339" s="131"/>
      <c r="AN339" s="131"/>
      <c r="AO339" s="131"/>
      <c r="AP339" s="88"/>
    </row>
    <row r="340">
      <c r="A340" s="155"/>
      <c r="B340" s="173"/>
      <c r="C340" s="174"/>
      <c r="D340" s="173"/>
      <c r="E340" s="155"/>
      <c r="F340" s="155"/>
      <c r="G340" s="88"/>
      <c r="H340" s="255"/>
      <c r="I340" s="155"/>
      <c r="J340" s="155"/>
      <c r="K340" s="15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58"/>
      <c r="AA340" s="105"/>
      <c r="AB340" s="105"/>
      <c r="AC340" s="105"/>
      <c r="AD340" s="105"/>
      <c r="AE340" s="105"/>
      <c r="AF340" s="158"/>
      <c r="AG340" s="105"/>
      <c r="AH340" s="158"/>
      <c r="AI340" s="88"/>
      <c r="AJ340" s="88"/>
      <c r="AK340" s="131"/>
      <c r="AL340" s="131"/>
      <c r="AM340" s="131"/>
      <c r="AN340" s="131"/>
      <c r="AO340" s="131"/>
      <c r="AP340" s="88"/>
    </row>
    <row r="341">
      <c r="A341" s="155"/>
      <c r="B341" s="173"/>
      <c r="C341" s="174"/>
      <c r="D341" s="173"/>
      <c r="E341" s="155"/>
      <c r="F341" s="155"/>
      <c r="G341" s="88"/>
      <c r="H341" s="255"/>
      <c r="I341" s="155"/>
      <c r="J341" s="155"/>
      <c r="K341" s="15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58"/>
      <c r="AA341" s="105"/>
      <c r="AB341" s="105"/>
      <c r="AC341" s="105"/>
      <c r="AD341" s="105"/>
      <c r="AE341" s="105"/>
      <c r="AF341" s="158"/>
      <c r="AG341" s="105"/>
      <c r="AH341" s="158"/>
      <c r="AI341" s="88"/>
      <c r="AJ341" s="88"/>
      <c r="AK341" s="131"/>
      <c r="AL341" s="131"/>
      <c r="AM341" s="131"/>
      <c r="AN341" s="131"/>
      <c r="AO341" s="131"/>
      <c r="AP341" s="88"/>
    </row>
    <row r="342">
      <c r="A342" s="155"/>
      <c r="B342" s="173"/>
      <c r="C342" s="174"/>
      <c r="D342" s="173"/>
      <c r="E342" s="155"/>
      <c r="F342" s="155"/>
      <c r="G342" s="88"/>
      <c r="H342" s="255"/>
      <c r="I342" s="155"/>
      <c r="J342" s="155"/>
      <c r="K342" s="15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58"/>
      <c r="AA342" s="105"/>
      <c r="AB342" s="105"/>
      <c r="AC342" s="105"/>
      <c r="AD342" s="105"/>
      <c r="AE342" s="105"/>
      <c r="AF342" s="158"/>
      <c r="AG342" s="105"/>
      <c r="AH342" s="158"/>
      <c r="AI342" s="88"/>
      <c r="AJ342" s="88"/>
      <c r="AK342" s="131"/>
      <c r="AL342" s="131"/>
      <c r="AM342" s="131"/>
      <c r="AN342" s="131"/>
      <c r="AO342" s="131"/>
      <c r="AP342" s="88"/>
    </row>
    <row r="343">
      <c r="A343" s="155"/>
      <c r="B343" s="173"/>
      <c r="C343" s="174"/>
      <c r="D343" s="173"/>
      <c r="E343" s="155"/>
      <c r="F343" s="155"/>
      <c r="G343" s="88"/>
      <c r="H343" s="255"/>
      <c r="I343" s="155"/>
      <c r="J343" s="155"/>
      <c r="K343" s="15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58"/>
      <c r="AA343" s="105"/>
      <c r="AB343" s="105"/>
      <c r="AC343" s="105"/>
      <c r="AD343" s="105"/>
      <c r="AE343" s="105"/>
      <c r="AF343" s="158"/>
      <c r="AG343" s="105"/>
      <c r="AH343" s="158"/>
      <c r="AI343" s="88"/>
      <c r="AJ343" s="88"/>
      <c r="AK343" s="131"/>
      <c r="AL343" s="131"/>
      <c r="AM343" s="131"/>
      <c r="AN343" s="131"/>
      <c r="AO343" s="131"/>
      <c r="AP343" s="88"/>
    </row>
    <row r="344">
      <c r="A344" s="155"/>
      <c r="B344" s="173"/>
      <c r="C344" s="174"/>
      <c r="D344" s="173"/>
      <c r="E344" s="155"/>
      <c r="F344" s="155"/>
      <c r="G344" s="88"/>
      <c r="H344" s="255"/>
      <c r="I344" s="155"/>
      <c r="J344" s="155"/>
      <c r="K344" s="15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58"/>
      <c r="AA344" s="105"/>
      <c r="AB344" s="105"/>
      <c r="AC344" s="105"/>
      <c r="AD344" s="105"/>
      <c r="AE344" s="105"/>
      <c r="AF344" s="158"/>
      <c r="AG344" s="105"/>
      <c r="AH344" s="158"/>
      <c r="AI344" s="88"/>
      <c r="AJ344" s="88"/>
      <c r="AK344" s="131"/>
      <c r="AL344" s="131"/>
      <c r="AM344" s="131"/>
      <c r="AN344" s="131"/>
      <c r="AO344" s="131"/>
      <c r="AP344" s="88"/>
    </row>
    <row r="345">
      <c r="A345" s="155"/>
      <c r="B345" s="173"/>
      <c r="C345" s="174"/>
      <c r="D345" s="173"/>
      <c r="E345" s="155"/>
      <c r="F345" s="155"/>
      <c r="G345" s="88"/>
      <c r="H345" s="255"/>
      <c r="I345" s="155"/>
      <c r="J345" s="155"/>
      <c r="K345" s="15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58"/>
      <c r="AA345" s="105"/>
      <c r="AB345" s="105"/>
      <c r="AC345" s="105"/>
      <c r="AD345" s="105"/>
      <c r="AE345" s="105"/>
      <c r="AF345" s="158"/>
      <c r="AG345" s="105"/>
      <c r="AH345" s="158"/>
      <c r="AI345" s="88"/>
      <c r="AJ345" s="88"/>
      <c r="AK345" s="131"/>
      <c r="AL345" s="131"/>
      <c r="AM345" s="131"/>
      <c r="AN345" s="131"/>
      <c r="AO345" s="131"/>
      <c r="AP345" s="88"/>
    </row>
    <row r="346">
      <c r="A346" s="155"/>
      <c r="B346" s="173"/>
      <c r="C346" s="174"/>
      <c r="D346" s="173"/>
      <c r="E346" s="155"/>
      <c r="F346" s="155"/>
      <c r="G346" s="88"/>
      <c r="H346" s="255"/>
      <c r="I346" s="155"/>
      <c r="J346" s="155"/>
      <c r="K346" s="15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58"/>
      <c r="AA346" s="105"/>
      <c r="AB346" s="105"/>
      <c r="AC346" s="105"/>
      <c r="AD346" s="105"/>
      <c r="AE346" s="105"/>
      <c r="AF346" s="158"/>
      <c r="AG346" s="105"/>
      <c r="AH346" s="158"/>
      <c r="AI346" s="88"/>
      <c r="AJ346" s="88"/>
      <c r="AK346" s="131"/>
      <c r="AL346" s="131"/>
      <c r="AM346" s="131"/>
      <c r="AN346" s="131"/>
      <c r="AO346" s="131"/>
      <c r="AP346" s="88"/>
    </row>
    <row r="347">
      <c r="A347" s="155"/>
      <c r="B347" s="173"/>
      <c r="C347" s="174"/>
      <c r="D347" s="173"/>
      <c r="E347" s="155"/>
      <c r="F347" s="155"/>
      <c r="G347" s="88"/>
      <c r="H347" s="255"/>
      <c r="I347" s="155"/>
      <c r="J347" s="155"/>
      <c r="K347" s="15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58"/>
      <c r="AA347" s="105"/>
      <c r="AB347" s="105"/>
      <c r="AC347" s="105"/>
      <c r="AD347" s="105"/>
      <c r="AE347" s="105"/>
      <c r="AF347" s="158"/>
      <c r="AG347" s="105"/>
      <c r="AH347" s="158"/>
      <c r="AI347" s="88"/>
      <c r="AJ347" s="88"/>
      <c r="AK347" s="131"/>
      <c r="AL347" s="131"/>
      <c r="AM347" s="131"/>
      <c r="AN347" s="131"/>
      <c r="AO347" s="131"/>
      <c r="AP347" s="88"/>
    </row>
    <row r="348">
      <c r="A348" s="155"/>
      <c r="B348" s="173"/>
      <c r="C348" s="174"/>
      <c r="D348" s="173"/>
      <c r="E348" s="155"/>
      <c r="F348" s="155"/>
      <c r="G348" s="88"/>
      <c r="H348" s="255"/>
      <c r="I348" s="155"/>
      <c r="J348" s="155"/>
      <c r="K348" s="15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58"/>
      <c r="AA348" s="105"/>
      <c r="AB348" s="105"/>
      <c r="AC348" s="105"/>
      <c r="AD348" s="105"/>
      <c r="AE348" s="105"/>
      <c r="AF348" s="158"/>
      <c r="AG348" s="105"/>
      <c r="AH348" s="158"/>
      <c r="AI348" s="88"/>
      <c r="AJ348" s="88"/>
      <c r="AK348" s="131"/>
      <c r="AL348" s="131"/>
      <c r="AM348" s="131"/>
      <c r="AN348" s="131"/>
      <c r="AO348" s="131"/>
      <c r="AP348" s="88"/>
    </row>
    <row r="349">
      <c r="A349" s="155"/>
      <c r="B349" s="173"/>
      <c r="C349" s="174"/>
      <c r="D349" s="173"/>
      <c r="E349" s="155"/>
      <c r="F349" s="155"/>
      <c r="G349" s="88"/>
      <c r="H349" s="255"/>
      <c r="I349" s="155"/>
      <c r="J349" s="155"/>
      <c r="K349" s="15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58"/>
      <c r="AA349" s="105"/>
      <c r="AB349" s="105"/>
      <c r="AC349" s="105"/>
      <c r="AD349" s="105"/>
      <c r="AE349" s="105"/>
      <c r="AF349" s="158"/>
      <c r="AG349" s="105"/>
      <c r="AH349" s="158"/>
      <c r="AI349" s="88"/>
      <c r="AJ349" s="88"/>
      <c r="AK349" s="131"/>
      <c r="AL349" s="131"/>
      <c r="AM349" s="131"/>
      <c r="AN349" s="131"/>
      <c r="AO349" s="131"/>
      <c r="AP349" s="88"/>
    </row>
    <row r="350">
      <c r="A350" s="155"/>
      <c r="B350" s="173"/>
      <c r="C350" s="174"/>
      <c r="D350" s="173"/>
      <c r="E350" s="155"/>
      <c r="F350" s="155"/>
      <c r="G350" s="88"/>
      <c r="H350" s="255"/>
      <c r="I350" s="155"/>
      <c r="J350" s="155"/>
      <c r="K350" s="15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58"/>
      <c r="AA350" s="105"/>
      <c r="AB350" s="105"/>
      <c r="AC350" s="105"/>
      <c r="AD350" s="105"/>
      <c r="AE350" s="105"/>
      <c r="AF350" s="158"/>
      <c r="AG350" s="105"/>
      <c r="AH350" s="158"/>
      <c r="AI350" s="88"/>
      <c r="AJ350" s="88"/>
      <c r="AK350" s="131"/>
      <c r="AL350" s="131"/>
      <c r="AM350" s="131"/>
      <c r="AN350" s="131"/>
      <c r="AO350" s="131"/>
      <c r="AP350" s="88"/>
    </row>
    <row r="351">
      <c r="A351" s="155"/>
      <c r="B351" s="173"/>
      <c r="C351" s="174"/>
      <c r="D351" s="173"/>
      <c r="E351" s="155"/>
      <c r="F351" s="155"/>
      <c r="G351" s="88"/>
      <c r="H351" s="255"/>
      <c r="I351" s="155"/>
      <c r="J351" s="155"/>
      <c r="K351" s="15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58"/>
      <c r="AA351" s="105"/>
      <c r="AB351" s="105"/>
      <c r="AC351" s="105"/>
      <c r="AD351" s="105"/>
      <c r="AE351" s="105"/>
      <c r="AF351" s="158"/>
      <c r="AG351" s="105"/>
      <c r="AH351" s="158"/>
      <c r="AI351" s="88"/>
      <c r="AJ351" s="88"/>
      <c r="AK351" s="131"/>
      <c r="AL351" s="131"/>
      <c r="AM351" s="131"/>
      <c r="AN351" s="131"/>
      <c r="AO351" s="131"/>
      <c r="AP351" s="88"/>
    </row>
    <row r="352">
      <c r="A352" s="155"/>
      <c r="B352" s="173"/>
      <c r="C352" s="174"/>
      <c r="D352" s="173"/>
      <c r="E352" s="155"/>
      <c r="F352" s="155"/>
      <c r="G352" s="88"/>
      <c r="H352" s="255"/>
      <c r="I352" s="155"/>
      <c r="J352" s="155"/>
      <c r="K352" s="15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58"/>
      <c r="AA352" s="105"/>
      <c r="AB352" s="105"/>
      <c r="AC352" s="105"/>
      <c r="AD352" s="105"/>
      <c r="AE352" s="105"/>
      <c r="AF352" s="158"/>
      <c r="AG352" s="105"/>
      <c r="AH352" s="158"/>
      <c r="AI352" s="88"/>
      <c r="AJ352" s="88"/>
      <c r="AK352" s="131"/>
      <c r="AL352" s="131"/>
      <c r="AM352" s="131"/>
      <c r="AN352" s="131"/>
      <c r="AO352" s="131"/>
      <c r="AP352" s="88"/>
    </row>
    <row r="353">
      <c r="A353" s="155"/>
      <c r="B353" s="173"/>
      <c r="C353" s="174"/>
      <c r="D353" s="173"/>
      <c r="E353" s="155"/>
      <c r="F353" s="155"/>
      <c r="G353" s="88"/>
      <c r="H353" s="255"/>
      <c r="I353" s="155"/>
      <c r="J353" s="155"/>
      <c r="K353" s="15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58"/>
      <c r="AA353" s="105"/>
      <c r="AB353" s="105"/>
      <c r="AC353" s="105"/>
      <c r="AD353" s="105"/>
      <c r="AE353" s="105"/>
      <c r="AF353" s="158"/>
      <c r="AG353" s="105"/>
      <c r="AH353" s="158"/>
      <c r="AI353" s="88"/>
      <c r="AJ353" s="88"/>
      <c r="AK353" s="131"/>
      <c r="AL353" s="131"/>
      <c r="AM353" s="131"/>
      <c r="AN353" s="131"/>
      <c r="AO353" s="131"/>
      <c r="AP353" s="88"/>
    </row>
    <row r="354">
      <c r="A354" s="155"/>
      <c r="B354" s="173"/>
      <c r="C354" s="174"/>
      <c r="D354" s="173"/>
      <c r="E354" s="155"/>
      <c r="F354" s="155"/>
      <c r="G354" s="88"/>
      <c r="H354" s="255"/>
      <c r="I354" s="155"/>
      <c r="J354" s="155"/>
      <c r="K354" s="15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58"/>
      <c r="AA354" s="105"/>
      <c r="AB354" s="105"/>
      <c r="AC354" s="105"/>
      <c r="AD354" s="105"/>
      <c r="AE354" s="105"/>
      <c r="AF354" s="158"/>
      <c r="AG354" s="105"/>
      <c r="AH354" s="158"/>
      <c r="AI354" s="88"/>
      <c r="AJ354" s="88"/>
      <c r="AK354" s="131"/>
      <c r="AL354" s="131"/>
      <c r="AM354" s="131"/>
      <c r="AN354" s="131"/>
      <c r="AO354" s="131"/>
      <c r="AP354" s="88"/>
    </row>
    <row r="355">
      <c r="A355" s="155"/>
      <c r="B355" s="173"/>
      <c r="C355" s="174"/>
      <c r="D355" s="173"/>
      <c r="E355" s="155"/>
      <c r="F355" s="155"/>
      <c r="G355" s="88"/>
      <c r="H355" s="255"/>
      <c r="I355" s="155"/>
      <c r="J355" s="155"/>
      <c r="K355" s="15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58"/>
      <c r="AA355" s="105"/>
      <c r="AB355" s="105"/>
      <c r="AC355" s="105"/>
      <c r="AD355" s="105"/>
      <c r="AE355" s="105"/>
      <c r="AF355" s="158"/>
      <c r="AG355" s="105"/>
      <c r="AH355" s="158"/>
      <c r="AI355" s="88"/>
      <c r="AJ355" s="88"/>
      <c r="AK355" s="131"/>
      <c r="AL355" s="131"/>
      <c r="AM355" s="131"/>
      <c r="AN355" s="131"/>
      <c r="AO355" s="131"/>
      <c r="AP355" s="88"/>
    </row>
    <row r="356">
      <c r="A356" s="155"/>
      <c r="B356" s="173"/>
      <c r="C356" s="174"/>
      <c r="D356" s="173"/>
      <c r="E356" s="155"/>
      <c r="F356" s="155"/>
      <c r="G356" s="88"/>
      <c r="H356" s="255"/>
      <c r="I356" s="155"/>
      <c r="J356" s="155"/>
      <c r="K356" s="15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58"/>
      <c r="AA356" s="105"/>
      <c r="AB356" s="105"/>
      <c r="AC356" s="105"/>
      <c r="AD356" s="105"/>
      <c r="AE356" s="105"/>
      <c r="AF356" s="158"/>
      <c r="AG356" s="105"/>
      <c r="AH356" s="158"/>
      <c r="AI356" s="88"/>
      <c r="AJ356" s="88"/>
      <c r="AK356" s="131"/>
      <c r="AL356" s="131"/>
      <c r="AM356" s="131"/>
      <c r="AN356" s="131"/>
      <c r="AO356" s="131"/>
      <c r="AP356" s="88"/>
    </row>
    <row r="357">
      <c r="A357" s="155"/>
      <c r="B357" s="173"/>
      <c r="C357" s="174"/>
      <c r="D357" s="173"/>
      <c r="E357" s="155"/>
      <c r="F357" s="155"/>
      <c r="G357" s="88"/>
      <c r="H357" s="255"/>
      <c r="I357" s="155"/>
      <c r="J357" s="155"/>
      <c r="K357" s="15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58"/>
      <c r="AA357" s="105"/>
      <c r="AB357" s="105"/>
      <c r="AC357" s="105"/>
      <c r="AD357" s="105"/>
      <c r="AE357" s="105"/>
      <c r="AF357" s="158"/>
      <c r="AG357" s="105"/>
      <c r="AH357" s="158"/>
      <c r="AI357" s="88"/>
      <c r="AJ357" s="88"/>
      <c r="AK357" s="131"/>
      <c r="AL357" s="131"/>
      <c r="AM357" s="131"/>
      <c r="AN357" s="131"/>
      <c r="AO357" s="131"/>
      <c r="AP357" s="88"/>
    </row>
    <row r="358">
      <c r="A358" s="155"/>
      <c r="B358" s="173"/>
      <c r="C358" s="174"/>
      <c r="D358" s="173"/>
      <c r="E358" s="155"/>
      <c r="F358" s="155"/>
      <c r="G358" s="88"/>
      <c r="H358" s="255"/>
      <c r="I358" s="155"/>
      <c r="J358" s="155"/>
      <c r="K358" s="15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58"/>
      <c r="AA358" s="105"/>
      <c r="AB358" s="105"/>
      <c r="AC358" s="105"/>
      <c r="AD358" s="105"/>
      <c r="AE358" s="105"/>
      <c r="AF358" s="158"/>
      <c r="AG358" s="105"/>
      <c r="AH358" s="158"/>
      <c r="AI358" s="88"/>
      <c r="AJ358" s="88"/>
      <c r="AK358" s="131"/>
      <c r="AL358" s="131"/>
      <c r="AM358" s="131"/>
      <c r="AN358" s="131"/>
      <c r="AO358" s="131"/>
      <c r="AP358" s="88"/>
    </row>
    <row r="359">
      <c r="A359" s="155"/>
      <c r="B359" s="173"/>
      <c r="C359" s="174"/>
      <c r="D359" s="173"/>
      <c r="E359" s="155"/>
      <c r="F359" s="155"/>
      <c r="G359" s="88"/>
      <c r="H359" s="255"/>
      <c r="I359" s="155"/>
      <c r="J359" s="155"/>
      <c r="K359" s="15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58"/>
      <c r="AA359" s="105"/>
      <c r="AB359" s="105"/>
      <c r="AC359" s="105"/>
      <c r="AD359" s="105"/>
      <c r="AE359" s="105"/>
      <c r="AF359" s="158"/>
      <c r="AG359" s="105"/>
      <c r="AH359" s="158"/>
      <c r="AI359" s="88"/>
      <c r="AJ359" s="88"/>
      <c r="AK359" s="131"/>
      <c r="AL359" s="131"/>
      <c r="AM359" s="131"/>
      <c r="AN359" s="131"/>
      <c r="AO359" s="131"/>
      <c r="AP359" s="88"/>
    </row>
    <row r="360">
      <c r="A360" s="155"/>
      <c r="B360" s="173"/>
      <c r="C360" s="174"/>
      <c r="D360" s="173"/>
      <c r="E360" s="155"/>
      <c r="F360" s="155"/>
      <c r="G360" s="88"/>
      <c r="H360" s="255"/>
      <c r="I360" s="155"/>
      <c r="J360" s="155"/>
      <c r="K360" s="15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58"/>
      <c r="AA360" s="105"/>
      <c r="AB360" s="105"/>
      <c r="AC360" s="105"/>
      <c r="AD360" s="105"/>
      <c r="AE360" s="105"/>
      <c r="AF360" s="158"/>
      <c r="AG360" s="105"/>
      <c r="AH360" s="158"/>
      <c r="AI360" s="88"/>
      <c r="AJ360" s="88"/>
      <c r="AK360" s="131"/>
      <c r="AL360" s="131"/>
      <c r="AM360" s="131"/>
      <c r="AN360" s="131"/>
      <c r="AO360" s="131"/>
      <c r="AP360" s="88"/>
    </row>
    <row r="361">
      <c r="A361" s="155"/>
      <c r="B361" s="173"/>
      <c r="C361" s="174"/>
      <c r="D361" s="173"/>
      <c r="E361" s="155"/>
      <c r="F361" s="155"/>
      <c r="G361" s="88"/>
      <c r="H361" s="255"/>
      <c r="I361" s="155"/>
      <c r="J361" s="155"/>
      <c r="K361" s="15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58"/>
      <c r="AA361" s="105"/>
      <c r="AB361" s="105"/>
      <c r="AC361" s="105"/>
      <c r="AD361" s="105"/>
      <c r="AE361" s="105"/>
      <c r="AF361" s="158"/>
      <c r="AG361" s="105"/>
      <c r="AH361" s="158"/>
      <c r="AI361" s="88"/>
      <c r="AJ361" s="88"/>
      <c r="AK361" s="131"/>
      <c r="AL361" s="131"/>
      <c r="AM361" s="131"/>
      <c r="AN361" s="131"/>
      <c r="AO361" s="131"/>
      <c r="AP361" s="88"/>
    </row>
    <row r="362">
      <c r="A362" s="155"/>
      <c r="B362" s="173"/>
      <c r="C362" s="174"/>
      <c r="D362" s="173"/>
      <c r="E362" s="155"/>
      <c r="F362" s="155"/>
      <c r="G362" s="88"/>
      <c r="H362" s="255"/>
      <c r="I362" s="155"/>
      <c r="J362" s="155"/>
      <c r="K362" s="15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58"/>
      <c r="AA362" s="105"/>
      <c r="AB362" s="105"/>
      <c r="AC362" s="105"/>
      <c r="AD362" s="105"/>
      <c r="AE362" s="105"/>
      <c r="AF362" s="158"/>
      <c r="AG362" s="105"/>
      <c r="AH362" s="158"/>
      <c r="AI362" s="88"/>
      <c r="AJ362" s="88"/>
      <c r="AK362" s="131"/>
      <c r="AL362" s="131"/>
      <c r="AM362" s="131"/>
      <c r="AN362" s="131"/>
      <c r="AO362" s="131"/>
      <c r="AP362" s="88"/>
    </row>
    <row r="363">
      <c r="A363" s="155"/>
      <c r="B363" s="173"/>
      <c r="C363" s="174"/>
      <c r="D363" s="173"/>
      <c r="E363" s="155"/>
      <c r="F363" s="155"/>
      <c r="G363" s="88"/>
      <c r="H363" s="255"/>
      <c r="I363" s="155"/>
      <c r="J363" s="155"/>
      <c r="K363" s="15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58"/>
      <c r="AA363" s="105"/>
      <c r="AB363" s="105"/>
      <c r="AC363" s="105"/>
      <c r="AD363" s="105"/>
      <c r="AE363" s="105"/>
      <c r="AF363" s="158"/>
      <c r="AG363" s="105"/>
      <c r="AH363" s="158"/>
      <c r="AI363" s="88"/>
      <c r="AJ363" s="88"/>
      <c r="AK363" s="131"/>
      <c r="AL363" s="131"/>
      <c r="AM363" s="131"/>
      <c r="AN363" s="131"/>
      <c r="AO363" s="131"/>
      <c r="AP363" s="88"/>
    </row>
    <row r="364">
      <c r="A364" s="155"/>
      <c r="B364" s="173"/>
      <c r="C364" s="174"/>
      <c r="D364" s="173"/>
      <c r="E364" s="155"/>
      <c r="F364" s="155"/>
      <c r="G364" s="88"/>
      <c r="H364" s="255"/>
      <c r="I364" s="155"/>
      <c r="J364" s="155"/>
      <c r="K364" s="15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58"/>
      <c r="AA364" s="105"/>
      <c r="AB364" s="105"/>
      <c r="AC364" s="105"/>
      <c r="AD364" s="105"/>
      <c r="AE364" s="105"/>
      <c r="AF364" s="158"/>
      <c r="AG364" s="105"/>
      <c r="AH364" s="158"/>
      <c r="AI364" s="88"/>
      <c r="AJ364" s="88"/>
      <c r="AK364" s="131"/>
      <c r="AL364" s="131"/>
      <c r="AM364" s="131"/>
      <c r="AN364" s="131"/>
      <c r="AO364" s="131"/>
      <c r="AP364" s="88"/>
    </row>
    <row r="365">
      <c r="A365" s="155"/>
      <c r="B365" s="173"/>
      <c r="C365" s="174"/>
      <c r="D365" s="173"/>
      <c r="E365" s="155"/>
      <c r="F365" s="155"/>
      <c r="G365" s="88"/>
      <c r="H365" s="255"/>
      <c r="I365" s="155"/>
      <c r="J365" s="155"/>
      <c r="K365" s="15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58"/>
      <c r="AA365" s="105"/>
      <c r="AB365" s="105"/>
      <c r="AC365" s="105"/>
      <c r="AD365" s="105"/>
      <c r="AE365" s="105"/>
      <c r="AF365" s="158"/>
      <c r="AG365" s="105"/>
      <c r="AH365" s="158"/>
      <c r="AI365" s="88"/>
      <c r="AJ365" s="88"/>
      <c r="AK365" s="131"/>
      <c r="AL365" s="131"/>
      <c r="AM365" s="131"/>
      <c r="AN365" s="131"/>
      <c r="AO365" s="131"/>
      <c r="AP365" s="88"/>
    </row>
    <row r="366">
      <c r="A366" s="155"/>
      <c r="B366" s="173"/>
      <c r="C366" s="174"/>
      <c r="D366" s="173"/>
      <c r="E366" s="155"/>
      <c r="F366" s="155"/>
      <c r="G366" s="88"/>
      <c r="H366" s="255"/>
      <c r="I366" s="155"/>
      <c r="J366" s="155"/>
      <c r="K366" s="15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58"/>
      <c r="AA366" s="105"/>
      <c r="AB366" s="105"/>
      <c r="AC366" s="105"/>
      <c r="AD366" s="105"/>
      <c r="AE366" s="105"/>
      <c r="AF366" s="158"/>
      <c r="AG366" s="105"/>
      <c r="AH366" s="158"/>
      <c r="AI366" s="88"/>
      <c r="AJ366" s="88"/>
      <c r="AK366" s="131"/>
      <c r="AL366" s="131"/>
      <c r="AM366" s="131"/>
      <c r="AN366" s="131"/>
      <c r="AO366" s="131"/>
      <c r="AP366" s="88"/>
    </row>
    <row r="367">
      <c r="A367" s="155"/>
      <c r="B367" s="173"/>
      <c r="C367" s="174"/>
      <c r="D367" s="173"/>
      <c r="E367" s="155"/>
      <c r="F367" s="155"/>
      <c r="G367" s="88"/>
      <c r="H367" s="255"/>
      <c r="I367" s="155"/>
      <c r="J367" s="155"/>
      <c r="K367" s="15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58"/>
      <c r="AA367" s="105"/>
      <c r="AB367" s="105"/>
      <c r="AC367" s="105"/>
      <c r="AD367" s="105"/>
      <c r="AE367" s="105"/>
      <c r="AF367" s="158"/>
      <c r="AG367" s="105"/>
      <c r="AH367" s="158"/>
      <c r="AI367" s="88"/>
      <c r="AJ367" s="88"/>
      <c r="AK367" s="131"/>
      <c r="AL367" s="131"/>
      <c r="AM367" s="131"/>
      <c r="AN367" s="131"/>
      <c r="AO367" s="131"/>
      <c r="AP367" s="88"/>
    </row>
    <row r="368">
      <c r="A368" s="155"/>
      <c r="B368" s="173"/>
      <c r="C368" s="174"/>
      <c r="D368" s="173"/>
      <c r="E368" s="155"/>
      <c r="F368" s="155"/>
      <c r="G368" s="88"/>
      <c r="H368" s="255"/>
      <c r="I368" s="155"/>
      <c r="J368" s="155"/>
      <c r="K368" s="15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58"/>
      <c r="AA368" s="105"/>
      <c r="AB368" s="105"/>
      <c r="AC368" s="105"/>
      <c r="AD368" s="105"/>
      <c r="AE368" s="105"/>
      <c r="AF368" s="158"/>
      <c r="AG368" s="105"/>
      <c r="AH368" s="158"/>
      <c r="AI368" s="88"/>
      <c r="AJ368" s="88"/>
      <c r="AK368" s="131"/>
      <c r="AL368" s="131"/>
      <c r="AM368" s="131"/>
      <c r="AN368" s="131"/>
      <c r="AO368" s="131"/>
      <c r="AP368" s="88"/>
    </row>
    <row r="369">
      <c r="A369" s="155"/>
      <c r="B369" s="173"/>
      <c r="C369" s="174"/>
      <c r="D369" s="173"/>
      <c r="E369" s="155"/>
      <c r="F369" s="155"/>
      <c r="G369" s="88"/>
      <c r="H369" s="255"/>
      <c r="I369" s="155"/>
      <c r="J369" s="155"/>
      <c r="K369" s="15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58"/>
      <c r="AA369" s="105"/>
      <c r="AB369" s="105"/>
      <c r="AC369" s="105"/>
      <c r="AD369" s="105"/>
      <c r="AE369" s="105"/>
      <c r="AF369" s="158"/>
      <c r="AG369" s="105"/>
      <c r="AH369" s="158"/>
      <c r="AI369" s="88"/>
      <c r="AJ369" s="88"/>
      <c r="AK369" s="131"/>
      <c r="AL369" s="131"/>
      <c r="AM369" s="131"/>
      <c r="AN369" s="131"/>
      <c r="AO369" s="131"/>
      <c r="AP369" s="88"/>
    </row>
    <row r="370">
      <c r="A370" s="155"/>
      <c r="B370" s="173"/>
      <c r="C370" s="174"/>
      <c r="D370" s="173"/>
      <c r="E370" s="155"/>
      <c r="F370" s="155"/>
      <c r="G370" s="88"/>
      <c r="H370" s="255"/>
      <c r="I370" s="155"/>
      <c r="J370" s="155"/>
      <c r="K370" s="15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58"/>
      <c r="AA370" s="105"/>
      <c r="AB370" s="105"/>
      <c r="AC370" s="105"/>
      <c r="AD370" s="105"/>
      <c r="AE370" s="105"/>
      <c r="AF370" s="158"/>
      <c r="AG370" s="105"/>
      <c r="AH370" s="158"/>
      <c r="AI370" s="88"/>
      <c r="AJ370" s="88"/>
      <c r="AK370" s="131"/>
      <c r="AL370" s="131"/>
      <c r="AM370" s="131"/>
      <c r="AN370" s="131"/>
      <c r="AO370" s="131"/>
      <c r="AP370" s="88"/>
    </row>
    <row r="371">
      <c r="A371" s="155"/>
      <c r="B371" s="173"/>
      <c r="C371" s="174"/>
      <c r="D371" s="173"/>
      <c r="E371" s="155"/>
      <c r="F371" s="155"/>
      <c r="G371" s="88"/>
      <c r="H371" s="255"/>
      <c r="I371" s="155"/>
      <c r="J371" s="155"/>
      <c r="K371" s="15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58"/>
      <c r="AA371" s="105"/>
      <c r="AB371" s="105"/>
      <c r="AC371" s="105"/>
      <c r="AD371" s="105"/>
      <c r="AE371" s="105"/>
      <c r="AF371" s="158"/>
      <c r="AG371" s="105"/>
      <c r="AH371" s="158"/>
      <c r="AI371" s="88"/>
      <c r="AJ371" s="88"/>
      <c r="AK371" s="131"/>
      <c r="AL371" s="131"/>
      <c r="AM371" s="131"/>
      <c r="AN371" s="131"/>
      <c r="AO371" s="131"/>
      <c r="AP371" s="88"/>
    </row>
    <row r="372">
      <c r="A372" s="155"/>
      <c r="B372" s="173"/>
      <c r="C372" s="174"/>
      <c r="D372" s="173"/>
      <c r="E372" s="155"/>
      <c r="F372" s="155"/>
      <c r="G372" s="88"/>
      <c r="H372" s="255"/>
      <c r="I372" s="155"/>
      <c r="J372" s="155"/>
      <c r="K372" s="15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58"/>
      <c r="AA372" s="105"/>
      <c r="AB372" s="105"/>
      <c r="AC372" s="105"/>
      <c r="AD372" s="105"/>
      <c r="AE372" s="105"/>
      <c r="AF372" s="158"/>
      <c r="AG372" s="105"/>
      <c r="AH372" s="158"/>
      <c r="AI372" s="88"/>
      <c r="AJ372" s="88"/>
      <c r="AK372" s="131"/>
      <c r="AL372" s="131"/>
      <c r="AM372" s="131"/>
      <c r="AN372" s="131"/>
      <c r="AO372" s="131"/>
      <c r="AP372" s="88"/>
    </row>
    <row r="373">
      <c r="A373" s="155"/>
      <c r="B373" s="173"/>
      <c r="C373" s="174"/>
      <c r="D373" s="173"/>
      <c r="E373" s="155"/>
      <c r="F373" s="155"/>
      <c r="G373" s="88"/>
      <c r="H373" s="255"/>
      <c r="I373" s="155"/>
      <c r="J373" s="155"/>
      <c r="K373" s="15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58"/>
      <c r="AA373" s="105"/>
      <c r="AB373" s="105"/>
      <c r="AC373" s="105"/>
      <c r="AD373" s="105"/>
      <c r="AE373" s="105"/>
      <c r="AF373" s="158"/>
      <c r="AG373" s="105"/>
      <c r="AH373" s="158"/>
      <c r="AI373" s="88"/>
      <c r="AJ373" s="88"/>
      <c r="AK373" s="131"/>
      <c r="AL373" s="131"/>
      <c r="AM373" s="131"/>
      <c r="AN373" s="131"/>
      <c r="AO373" s="131"/>
      <c r="AP373" s="88"/>
    </row>
    <row r="374">
      <c r="A374" s="155"/>
      <c r="B374" s="173"/>
      <c r="C374" s="174"/>
      <c r="D374" s="173"/>
      <c r="E374" s="155"/>
      <c r="F374" s="155"/>
      <c r="G374" s="88"/>
      <c r="H374" s="255"/>
      <c r="I374" s="155"/>
      <c r="J374" s="155"/>
      <c r="K374" s="15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58"/>
      <c r="AA374" s="105"/>
      <c r="AB374" s="105"/>
      <c r="AC374" s="105"/>
      <c r="AD374" s="105"/>
      <c r="AE374" s="105"/>
      <c r="AF374" s="158"/>
      <c r="AG374" s="105"/>
      <c r="AH374" s="158"/>
      <c r="AI374" s="88"/>
      <c r="AJ374" s="88"/>
      <c r="AK374" s="131"/>
      <c r="AL374" s="131"/>
      <c r="AM374" s="131"/>
      <c r="AN374" s="131"/>
      <c r="AO374" s="131"/>
      <c r="AP374" s="88"/>
    </row>
    <row r="375">
      <c r="A375" s="155"/>
      <c r="B375" s="173"/>
      <c r="C375" s="174"/>
      <c r="D375" s="173"/>
      <c r="E375" s="155"/>
      <c r="F375" s="155"/>
      <c r="G375" s="88"/>
      <c r="H375" s="255"/>
      <c r="I375" s="155"/>
      <c r="J375" s="155"/>
      <c r="K375" s="15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58"/>
      <c r="AA375" s="105"/>
      <c r="AB375" s="105"/>
      <c r="AC375" s="105"/>
      <c r="AD375" s="105"/>
      <c r="AE375" s="105"/>
      <c r="AF375" s="158"/>
      <c r="AG375" s="105"/>
      <c r="AH375" s="158"/>
      <c r="AI375" s="88"/>
      <c r="AJ375" s="88"/>
      <c r="AK375" s="131"/>
      <c r="AL375" s="131"/>
      <c r="AM375" s="131"/>
      <c r="AN375" s="131"/>
      <c r="AO375" s="131"/>
      <c r="AP375" s="88"/>
    </row>
    <row r="376">
      <c r="A376" s="155"/>
      <c r="B376" s="173"/>
      <c r="C376" s="174"/>
      <c r="D376" s="173"/>
      <c r="E376" s="155"/>
      <c r="F376" s="155"/>
      <c r="G376" s="88"/>
      <c r="H376" s="255"/>
      <c r="I376" s="155"/>
      <c r="J376" s="155"/>
      <c r="K376" s="15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58"/>
      <c r="AA376" s="105"/>
      <c r="AB376" s="105"/>
      <c r="AC376" s="105"/>
      <c r="AD376" s="105"/>
      <c r="AE376" s="105"/>
      <c r="AF376" s="158"/>
      <c r="AG376" s="105"/>
      <c r="AH376" s="158"/>
      <c r="AI376" s="88"/>
      <c r="AJ376" s="88"/>
      <c r="AK376" s="131"/>
      <c r="AL376" s="131"/>
      <c r="AM376" s="131"/>
      <c r="AN376" s="131"/>
      <c r="AO376" s="131"/>
      <c r="AP376" s="88"/>
    </row>
    <row r="377">
      <c r="A377" s="155"/>
      <c r="B377" s="173"/>
      <c r="C377" s="174"/>
      <c r="D377" s="173"/>
      <c r="E377" s="155"/>
      <c r="F377" s="155"/>
      <c r="G377" s="88"/>
      <c r="H377" s="255"/>
      <c r="I377" s="155"/>
      <c r="J377" s="155"/>
      <c r="K377" s="15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58"/>
      <c r="AA377" s="105"/>
      <c r="AB377" s="105"/>
      <c r="AC377" s="105"/>
      <c r="AD377" s="105"/>
      <c r="AE377" s="105"/>
      <c r="AF377" s="158"/>
      <c r="AG377" s="105"/>
      <c r="AH377" s="158"/>
      <c r="AI377" s="88"/>
      <c r="AJ377" s="88"/>
      <c r="AK377" s="131"/>
      <c r="AL377" s="131"/>
      <c r="AM377" s="131"/>
      <c r="AN377" s="131"/>
      <c r="AO377" s="131"/>
      <c r="AP377" s="88"/>
    </row>
    <row r="378">
      <c r="A378" s="155"/>
      <c r="B378" s="173"/>
      <c r="C378" s="174"/>
      <c r="D378" s="173"/>
      <c r="E378" s="155"/>
      <c r="F378" s="155"/>
      <c r="G378" s="88"/>
      <c r="H378" s="255"/>
      <c r="I378" s="155"/>
      <c r="J378" s="155"/>
      <c r="K378" s="15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58"/>
      <c r="AA378" s="105"/>
      <c r="AB378" s="105"/>
      <c r="AC378" s="105"/>
      <c r="AD378" s="105"/>
      <c r="AE378" s="105"/>
      <c r="AF378" s="158"/>
      <c r="AG378" s="105"/>
      <c r="AH378" s="158"/>
      <c r="AI378" s="88"/>
      <c r="AJ378" s="88"/>
      <c r="AK378" s="131"/>
      <c r="AL378" s="131"/>
      <c r="AM378" s="131"/>
      <c r="AN378" s="131"/>
      <c r="AO378" s="131"/>
      <c r="AP378" s="88"/>
    </row>
    <row r="379">
      <c r="A379" s="155"/>
      <c r="B379" s="173"/>
      <c r="C379" s="174"/>
      <c r="D379" s="173"/>
      <c r="E379" s="155"/>
      <c r="F379" s="155"/>
      <c r="G379" s="88"/>
      <c r="H379" s="255"/>
      <c r="I379" s="155"/>
      <c r="J379" s="155"/>
      <c r="K379" s="15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58"/>
      <c r="AA379" s="105"/>
      <c r="AB379" s="105"/>
      <c r="AC379" s="105"/>
      <c r="AD379" s="105"/>
      <c r="AE379" s="105"/>
      <c r="AF379" s="158"/>
      <c r="AG379" s="105"/>
      <c r="AH379" s="158"/>
      <c r="AI379" s="88"/>
      <c r="AJ379" s="88"/>
      <c r="AK379" s="131"/>
      <c r="AL379" s="131"/>
      <c r="AM379" s="131"/>
      <c r="AN379" s="131"/>
      <c r="AO379" s="131"/>
      <c r="AP379" s="88"/>
    </row>
    <row r="380">
      <c r="A380" s="155"/>
      <c r="B380" s="173"/>
      <c r="C380" s="174"/>
      <c r="D380" s="173"/>
      <c r="E380" s="155"/>
      <c r="F380" s="155"/>
      <c r="G380" s="88"/>
      <c r="H380" s="255"/>
      <c r="I380" s="155"/>
      <c r="J380" s="155"/>
      <c r="K380" s="15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58"/>
      <c r="AA380" s="105"/>
      <c r="AB380" s="105"/>
      <c r="AC380" s="105"/>
      <c r="AD380" s="105"/>
      <c r="AE380" s="105"/>
      <c r="AF380" s="158"/>
      <c r="AG380" s="105"/>
      <c r="AH380" s="158"/>
      <c r="AI380" s="88"/>
      <c r="AJ380" s="88"/>
      <c r="AK380" s="131"/>
      <c r="AL380" s="131"/>
      <c r="AM380" s="131"/>
      <c r="AN380" s="131"/>
      <c r="AO380" s="131"/>
      <c r="AP380" s="88"/>
    </row>
    <row r="381">
      <c r="A381" s="155"/>
      <c r="B381" s="173"/>
      <c r="C381" s="174"/>
      <c r="D381" s="173"/>
      <c r="E381" s="155"/>
      <c r="F381" s="155"/>
      <c r="G381" s="88"/>
      <c r="H381" s="255"/>
      <c r="I381" s="155"/>
      <c r="J381" s="155"/>
      <c r="K381" s="15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58"/>
      <c r="AA381" s="105"/>
      <c r="AB381" s="105"/>
      <c r="AC381" s="105"/>
      <c r="AD381" s="105"/>
      <c r="AE381" s="105"/>
      <c r="AF381" s="158"/>
      <c r="AG381" s="105"/>
      <c r="AH381" s="158"/>
      <c r="AI381" s="88"/>
      <c r="AJ381" s="88"/>
      <c r="AK381" s="131"/>
      <c r="AL381" s="131"/>
      <c r="AM381" s="131"/>
      <c r="AN381" s="131"/>
      <c r="AO381" s="131"/>
      <c r="AP381" s="88"/>
    </row>
    <row r="382">
      <c r="A382" s="155"/>
      <c r="B382" s="173"/>
      <c r="C382" s="174"/>
      <c r="D382" s="173"/>
      <c r="E382" s="155"/>
      <c r="F382" s="155"/>
      <c r="G382" s="88"/>
      <c r="H382" s="255"/>
      <c r="I382" s="155"/>
      <c r="J382" s="155"/>
      <c r="K382" s="15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58"/>
      <c r="AA382" s="105"/>
      <c r="AB382" s="105"/>
      <c r="AC382" s="105"/>
      <c r="AD382" s="105"/>
      <c r="AE382" s="105"/>
      <c r="AF382" s="158"/>
      <c r="AG382" s="105"/>
      <c r="AH382" s="158"/>
      <c r="AI382" s="88"/>
      <c r="AJ382" s="88"/>
      <c r="AK382" s="131"/>
      <c r="AL382" s="131"/>
      <c r="AM382" s="131"/>
      <c r="AN382" s="131"/>
      <c r="AO382" s="131"/>
      <c r="AP382" s="88"/>
    </row>
    <row r="383">
      <c r="A383" s="155"/>
      <c r="B383" s="173"/>
      <c r="C383" s="174"/>
      <c r="D383" s="173"/>
      <c r="E383" s="155"/>
      <c r="F383" s="155"/>
      <c r="G383" s="88"/>
      <c r="H383" s="255"/>
      <c r="I383" s="155"/>
      <c r="J383" s="155"/>
      <c r="K383" s="15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58"/>
      <c r="AA383" s="105"/>
      <c r="AB383" s="105"/>
      <c r="AC383" s="105"/>
      <c r="AD383" s="105"/>
      <c r="AE383" s="105"/>
      <c r="AF383" s="158"/>
      <c r="AG383" s="105"/>
      <c r="AH383" s="158"/>
      <c r="AI383" s="88"/>
      <c r="AJ383" s="88"/>
      <c r="AK383" s="131"/>
      <c r="AL383" s="131"/>
      <c r="AM383" s="131"/>
      <c r="AN383" s="131"/>
      <c r="AO383" s="131"/>
      <c r="AP383" s="88"/>
    </row>
    <row r="384">
      <c r="A384" s="155"/>
      <c r="B384" s="173"/>
      <c r="C384" s="174"/>
      <c r="D384" s="173"/>
      <c r="E384" s="155"/>
      <c r="F384" s="155"/>
      <c r="G384" s="88"/>
      <c r="H384" s="255"/>
      <c r="I384" s="155"/>
      <c r="J384" s="155"/>
      <c r="K384" s="15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58"/>
      <c r="AA384" s="105"/>
      <c r="AB384" s="105"/>
      <c r="AC384" s="105"/>
      <c r="AD384" s="105"/>
      <c r="AE384" s="105"/>
      <c r="AF384" s="158"/>
      <c r="AG384" s="105"/>
      <c r="AH384" s="158"/>
      <c r="AI384" s="88"/>
      <c r="AJ384" s="88"/>
      <c r="AK384" s="131"/>
      <c r="AL384" s="131"/>
      <c r="AM384" s="131"/>
      <c r="AN384" s="131"/>
      <c r="AO384" s="131"/>
      <c r="AP384" s="88"/>
    </row>
    <row r="385">
      <c r="A385" s="155"/>
      <c r="B385" s="173"/>
      <c r="C385" s="174"/>
      <c r="D385" s="173"/>
      <c r="E385" s="155"/>
      <c r="F385" s="155"/>
      <c r="G385" s="88"/>
      <c r="H385" s="255"/>
      <c r="I385" s="155"/>
      <c r="J385" s="155"/>
      <c r="K385" s="15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58"/>
      <c r="AA385" s="105"/>
      <c r="AB385" s="105"/>
      <c r="AC385" s="105"/>
      <c r="AD385" s="105"/>
      <c r="AE385" s="105"/>
      <c r="AF385" s="158"/>
      <c r="AG385" s="105"/>
      <c r="AH385" s="158"/>
      <c r="AI385" s="88"/>
      <c r="AJ385" s="88"/>
      <c r="AK385" s="131"/>
      <c r="AL385" s="131"/>
      <c r="AM385" s="131"/>
      <c r="AN385" s="131"/>
      <c r="AO385" s="131"/>
      <c r="AP385" s="88"/>
    </row>
    <row r="386">
      <c r="A386" s="155"/>
      <c r="B386" s="173"/>
      <c r="C386" s="174"/>
      <c r="D386" s="173"/>
      <c r="E386" s="155"/>
      <c r="F386" s="155"/>
      <c r="G386" s="88"/>
      <c r="H386" s="255"/>
      <c r="I386" s="155"/>
      <c r="J386" s="155"/>
      <c r="K386" s="15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58"/>
      <c r="AA386" s="105"/>
      <c r="AB386" s="105"/>
      <c r="AC386" s="105"/>
      <c r="AD386" s="105"/>
      <c r="AE386" s="105"/>
      <c r="AF386" s="158"/>
      <c r="AG386" s="105"/>
      <c r="AH386" s="158"/>
      <c r="AI386" s="88"/>
      <c r="AJ386" s="88"/>
      <c r="AK386" s="131"/>
      <c r="AL386" s="131"/>
      <c r="AM386" s="131"/>
      <c r="AN386" s="131"/>
      <c r="AO386" s="131"/>
      <c r="AP386" s="88"/>
    </row>
    <row r="387">
      <c r="A387" s="155"/>
      <c r="B387" s="173"/>
      <c r="C387" s="174"/>
      <c r="D387" s="173"/>
      <c r="E387" s="155"/>
      <c r="F387" s="155"/>
      <c r="G387" s="88"/>
      <c r="H387" s="255"/>
      <c r="I387" s="155"/>
      <c r="J387" s="155"/>
      <c r="K387" s="15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58"/>
      <c r="AA387" s="105"/>
      <c r="AB387" s="105"/>
      <c r="AC387" s="105"/>
      <c r="AD387" s="105"/>
      <c r="AE387" s="105"/>
      <c r="AF387" s="158"/>
      <c r="AG387" s="105"/>
      <c r="AH387" s="158"/>
      <c r="AI387" s="88"/>
      <c r="AJ387" s="88"/>
      <c r="AK387" s="131"/>
      <c r="AL387" s="131"/>
      <c r="AM387" s="131"/>
      <c r="AN387" s="131"/>
      <c r="AO387" s="131"/>
      <c r="AP387" s="88"/>
    </row>
    <row r="388">
      <c r="A388" s="155"/>
      <c r="B388" s="173"/>
      <c r="C388" s="174"/>
      <c r="D388" s="173"/>
      <c r="E388" s="155"/>
      <c r="F388" s="155"/>
      <c r="G388" s="88"/>
      <c r="H388" s="255"/>
      <c r="I388" s="155"/>
      <c r="J388" s="155"/>
      <c r="K388" s="15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58"/>
      <c r="AA388" s="105"/>
      <c r="AB388" s="105"/>
      <c r="AC388" s="105"/>
      <c r="AD388" s="105"/>
      <c r="AE388" s="105"/>
      <c r="AF388" s="158"/>
      <c r="AG388" s="105"/>
      <c r="AH388" s="158"/>
      <c r="AI388" s="88"/>
      <c r="AJ388" s="88"/>
      <c r="AK388" s="131"/>
      <c r="AL388" s="131"/>
      <c r="AM388" s="131"/>
      <c r="AN388" s="131"/>
      <c r="AO388" s="131"/>
      <c r="AP388" s="88"/>
    </row>
    <row r="389">
      <c r="A389" s="155"/>
      <c r="B389" s="173"/>
      <c r="C389" s="174"/>
      <c r="D389" s="173"/>
      <c r="E389" s="155"/>
      <c r="F389" s="155"/>
      <c r="G389" s="88"/>
      <c r="H389" s="255"/>
      <c r="I389" s="155"/>
      <c r="J389" s="155"/>
      <c r="K389" s="15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58"/>
      <c r="AA389" s="105"/>
      <c r="AB389" s="105"/>
      <c r="AC389" s="105"/>
      <c r="AD389" s="105"/>
      <c r="AE389" s="105"/>
      <c r="AF389" s="158"/>
      <c r="AG389" s="105"/>
      <c r="AH389" s="158"/>
      <c r="AI389" s="88"/>
      <c r="AJ389" s="88"/>
      <c r="AK389" s="131"/>
      <c r="AL389" s="131"/>
      <c r="AM389" s="131"/>
      <c r="AN389" s="131"/>
      <c r="AO389" s="131"/>
      <c r="AP389" s="88"/>
    </row>
    <row r="390">
      <c r="A390" s="155"/>
      <c r="B390" s="173"/>
      <c r="C390" s="174"/>
      <c r="D390" s="173"/>
      <c r="E390" s="155"/>
      <c r="F390" s="155"/>
      <c r="G390" s="88"/>
      <c r="H390" s="255"/>
      <c r="I390" s="155"/>
      <c r="J390" s="155"/>
      <c r="K390" s="15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58"/>
      <c r="AA390" s="105"/>
      <c r="AB390" s="105"/>
      <c r="AC390" s="105"/>
      <c r="AD390" s="105"/>
      <c r="AE390" s="105"/>
      <c r="AF390" s="158"/>
      <c r="AG390" s="105"/>
      <c r="AH390" s="158"/>
      <c r="AI390" s="88"/>
      <c r="AJ390" s="88"/>
      <c r="AK390" s="131"/>
      <c r="AL390" s="131"/>
      <c r="AM390" s="131"/>
      <c r="AN390" s="131"/>
      <c r="AO390" s="131"/>
      <c r="AP390" s="88"/>
    </row>
    <row r="391">
      <c r="A391" s="155"/>
      <c r="B391" s="173"/>
      <c r="C391" s="174"/>
      <c r="D391" s="173"/>
      <c r="E391" s="155"/>
      <c r="F391" s="155"/>
      <c r="G391" s="88"/>
      <c r="H391" s="255"/>
      <c r="I391" s="155"/>
      <c r="J391" s="155"/>
      <c r="K391" s="15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58"/>
      <c r="AA391" s="105"/>
      <c r="AB391" s="105"/>
      <c r="AC391" s="105"/>
      <c r="AD391" s="105"/>
      <c r="AE391" s="105"/>
      <c r="AF391" s="158"/>
      <c r="AG391" s="105"/>
      <c r="AH391" s="158"/>
      <c r="AI391" s="88"/>
      <c r="AJ391" s="88"/>
      <c r="AK391" s="131"/>
      <c r="AL391" s="131"/>
      <c r="AM391" s="131"/>
      <c r="AN391" s="131"/>
      <c r="AO391" s="131"/>
      <c r="AP391" s="88"/>
    </row>
    <row r="392">
      <c r="A392" s="155"/>
      <c r="B392" s="173"/>
      <c r="C392" s="174"/>
      <c r="D392" s="173"/>
      <c r="E392" s="155"/>
      <c r="F392" s="155"/>
      <c r="G392" s="88"/>
      <c r="H392" s="255"/>
      <c r="I392" s="155"/>
      <c r="J392" s="155"/>
      <c r="K392" s="15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58"/>
      <c r="AA392" s="105"/>
      <c r="AB392" s="105"/>
      <c r="AC392" s="105"/>
      <c r="AD392" s="105"/>
      <c r="AE392" s="105"/>
      <c r="AF392" s="158"/>
      <c r="AG392" s="105"/>
      <c r="AH392" s="158"/>
      <c r="AI392" s="88"/>
      <c r="AJ392" s="88"/>
      <c r="AK392" s="131"/>
      <c r="AL392" s="131"/>
      <c r="AM392" s="131"/>
      <c r="AN392" s="131"/>
      <c r="AO392" s="131"/>
      <c r="AP392" s="88"/>
    </row>
    <row r="393">
      <c r="A393" s="155"/>
      <c r="B393" s="173"/>
      <c r="C393" s="174"/>
      <c r="D393" s="173"/>
      <c r="E393" s="155"/>
      <c r="F393" s="155"/>
      <c r="G393" s="88"/>
      <c r="H393" s="255"/>
      <c r="I393" s="155"/>
      <c r="J393" s="155"/>
      <c r="K393" s="15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58"/>
      <c r="AA393" s="105"/>
      <c r="AB393" s="105"/>
      <c r="AC393" s="105"/>
      <c r="AD393" s="105"/>
      <c r="AE393" s="105"/>
      <c r="AF393" s="158"/>
      <c r="AG393" s="105"/>
      <c r="AH393" s="158"/>
      <c r="AI393" s="88"/>
      <c r="AJ393" s="88"/>
      <c r="AK393" s="131"/>
      <c r="AL393" s="131"/>
      <c r="AM393" s="131"/>
      <c r="AN393" s="131"/>
      <c r="AO393" s="131"/>
      <c r="AP393" s="88"/>
    </row>
    <row r="394">
      <c r="A394" s="155"/>
      <c r="B394" s="173"/>
      <c r="C394" s="174"/>
      <c r="D394" s="173"/>
      <c r="E394" s="155"/>
      <c r="F394" s="155"/>
      <c r="G394" s="88"/>
      <c r="H394" s="255"/>
      <c r="I394" s="155"/>
      <c r="J394" s="155"/>
      <c r="K394" s="15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58"/>
      <c r="AA394" s="105"/>
      <c r="AB394" s="105"/>
      <c r="AC394" s="105"/>
      <c r="AD394" s="105"/>
      <c r="AE394" s="105"/>
      <c r="AF394" s="158"/>
      <c r="AG394" s="105"/>
      <c r="AH394" s="158"/>
      <c r="AI394" s="88"/>
      <c r="AJ394" s="88"/>
      <c r="AK394" s="131"/>
      <c r="AL394" s="131"/>
      <c r="AM394" s="131"/>
      <c r="AN394" s="131"/>
      <c r="AO394" s="131"/>
      <c r="AP394" s="88"/>
    </row>
    <row r="395">
      <c r="A395" s="155"/>
      <c r="B395" s="173"/>
      <c r="C395" s="174"/>
      <c r="D395" s="173"/>
      <c r="E395" s="155"/>
      <c r="F395" s="155"/>
      <c r="G395" s="88"/>
      <c r="H395" s="255"/>
      <c r="I395" s="155"/>
      <c r="J395" s="155"/>
      <c r="K395" s="15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58"/>
      <c r="AA395" s="105"/>
      <c r="AB395" s="105"/>
      <c r="AC395" s="105"/>
      <c r="AD395" s="105"/>
      <c r="AE395" s="105"/>
      <c r="AF395" s="158"/>
      <c r="AG395" s="105"/>
      <c r="AH395" s="158"/>
      <c r="AI395" s="88"/>
      <c r="AJ395" s="88"/>
      <c r="AK395" s="131"/>
      <c r="AL395" s="131"/>
      <c r="AM395" s="131"/>
      <c r="AN395" s="131"/>
      <c r="AO395" s="131"/>
      <c r="AP395" s="88"/>
    </row>
    <row r="396">
      <c r="A396" s="155"/>
      <c r="B396" s="173"/>
      <c r="C396" s="174"/>
      <c r="D396" s="173"/>
      <c r="E396" s="155"/>
      <c r="F396" s="155"/>
      <c r="G396" s="88"/>
      <c r="H396" s="255"/>
      <c r="I396" s="155"/>
      <c r="J396" s="155"/>
      <c r="K396" s="15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58"/>
      <c r="AA396" s="105"/>
      <c r="AB396" s="105"/>
      <c r="AC396" s="105"/>
      <c r="AD396" s="105"/>
      <c r="AE396" s="105"/>
      <c r="AF396" s="158"/>
      <c r="AG396" s="105"/>
      <c r="AH396" s="158"/>
      <c r="AI396" s="88"/>
      <c r="AJ396" s="88"/>
      <c r="AK396" s="131"/>
      <c r="AL396" s="131"/>
      <c r="AM396" s="131"/>
      <c r="AN396" s="131"/>
      <c r="AO396" s="131"/>
      <c r="AP396" s="88"/>
    </row>
    <row r="397">
      <c r="A397" s="155"/>
      <c r="B397" s="173"/>
      <c r="C397" s="174"/>
      <c r="D397" s="173"/>
      <c r="E397" s="155"/>
      <c r="F397" s="155"/>
      <c r="G397" s="88"/>
      <c r="H397" s="255"/>
      <c r="I397" s="155"/>
      <c r="J397" s="155"/>
      <c r="K397" s="15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58"/>
      <c r="AA397" s="105"/>
      <c r="AB397" s="105"/>
      <c r="AC397" s="105"/>
      <c r="AD397" s="105"/>
      <c r="AE397" s="105"/>
      <c r="AF397" s="158"/>
      <c r="AG397" s="105"/>
      <c r="AH397" s="158"/>
      <c r="AI397" s="88"/>
      <c r="AJ397" s="88"/>
      <c r="AK397" s="131"/>
      <c r="AL397" s="131"/>
      <c r="AM397" s="131"/>
      <c r="AN397" s="131"/>
      <c r="AO397" s="131"/>
      <c r="AP397" s="88"/>
    </row>
    <row r="398">
      <c r="A398" s="155"/>
      <c r="B398" s="173"/>
      <c r="C398" s="174"/>
      <c r="D398" s="173"/>
      <c r="E398" s="155"/>
      <c r="F398" s="155"/>
      <c r="G398" s="88"/>
      <c r="H398" s="255"/>
      <c r="I398" s="155"/>
      <c r="J398" s="155"/>
      <c r="K398" s="15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58"/>
      <c r="AA398" s="105"/>
      <c r="AB398" s="105"/>
      <c r="AC398" s="105"/>
      <c r="AD398" s="105"/>
      <c r="AE398" s="105"/>
      <c r="AF398" s="158"/>
      <c r="AG398" s="105"/>
      <c r="AH398" s="158"/>
      <c r="AI398" s="88"/>
      <c r="AJ398" s="88"/>
      <c r="AK398" s="131"/>
      <c r="AL398" s="131"/>
      <c r="AM398" s="131"/>
      <c r="AN398" s="131"/>
      <c r="AO398" s="131"/>
      <c r="AP398" s="88"/>
    </row>
    <row r="399">
      <c r="A399" s="155"/>
      <c r="B399" s="173"/>
      <c r="C399" s="174"/>
      <c r="D399" s="173"/>
      <c r="E399" s="155"/>
      <c r="F399" s="155"/>
      <c r="G399" s="88"/>
      <c r="H399" s="255"/>
      <c r="I399" s="155"/>
      <c r="J399" s="155"/>
      <c r="K399" s="15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58"/>
      <c r="AA399" s="105"/>
      <c r="AB399" s="105"/>
      <c r="AC399" s="105"/>
      <c r="AD399" s="105"/>
      <c r="AE399" s="105"/>
      <c r="AF399" s="158"/>
      <c r="AG399" s="105"/>
      <c r="AH399" s="158"/>
      <c r="AI399" s="88"/>
      <c r="AJ399" s="88"/>
      <c r="AK399" s="131"/>
      <c r="AL399" s="131"/>
      <c r="AM399" s="131"/>
      <c r="AN399" s="131"/>
      <c r="AO399" s="131"/>
      <c r="AP399" s="88"/>
    </row>
    <row r="400">
      <c r="A400" s="155"/>
      <c r="B400" s="173"/>
      <c r="C400" s="174"/>
      <c r="D400" s="173"/>
      <c r="E400" s="155"/>
      <c r="F400" s="155"/>
      <c r="G400" s="88"/>
      <c r="H400" s="255"/>
      <c r="I400" s="155"/>
      <c r="J400" s="155"/>
      <c r="K400" s="15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58"/>
      <c r="AA400" s="105"/>
      <c r="AB400" s="105"/>
      <c r="AC400" s="105"/>
      <c r="AD400" s="105"/>
      <c r="AE400" s="105"/>
      <c r="AF400" s="158"/>
      <c r="AG400" s="105"/>
      <c r="AH400" s="158"/>
      <c r="AI400" s="88"/>
      <c r="AJ400" s="88"/>
      <c r="AK400" s="131"/>
      <c r="AL400" s="131"/>
      <c r="AM400" s="131"/>
      <c r="AN400" s="131"/>
      <c r="AO400" s="131"/>
      <c r="AP400" s="88"/>
    </row>
    <row r="401">
      <c r="A401" s="155"/>
      <c r="B401" s="173"/>
      <c r="C401" s="174"/>
      <c r="D401" s="173"/>
      <c r="E401" s="155"/>
      <c r="F401" s="155"/>
      <c r="G401" s="88"/>
      <c r="H401" s="255"/>
      <c r="I401" s="155"/>
      <c r="J401" s="155"/>
      <c r="K401" s="15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58"/>
      <c r="AA401" s="105"/>
      <c r="AB401" s="105"/>
      <c r="AC401" s="105"/>
      <c r="AD401" s="105"/>
      <c r="AE401" s="105"/>
      <c r="AF401" s="158"/>
      <c r="AG401" s="105"/>
      <c r="AH401" s="158"/>
      <c r="AI401" s="88"/>
      <c r="AJ401" s="88"/>
      <c r="AK401" s="131"/>
      <c r="AL401" s="131"/>
      <c r="AM401" s="131"/>
      <c r="AN401" s="131"/>
      <c r="AO401" s="131"/>
      <c r="AP401" s="88"/>
    </row>
    <row r="402">
      <c r="A402" s="155"/>
      <c r="B402" s="173"/>
      <c r="C402" s="174"/>
      <c r="D402" s="173"/>
      <c r="E402" s="155"/>
      <c r="F402" s="155"/>
      <c r="G402" s="88"/>
      <c r="H402" s="255"/>
      <c r="I402" s="155"/>
      <c r="J402" s="155"/>
      <c r="K402" s="15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58"/>
      <c r="AA402" s="105"/>
      <c r="AB402" s="105"/>
      <c r="AC402" s="105"/>
      <c r="AD402" s="105"/>
      <c r="AE402" s="105"/>
      <c r="AF402" s="158"/>
      <c r="AG402" s="105"/>
      <c r="AH402" s="158"/>
      <c r="AI402" s="88"/>
      <c r="AJ402" s="88"/>
      <c r="AK402" s="131"/>
      <c r="AL402" s="131"/>
      <c r="AM402" s="131"/>
      <c r="AN402" s="131"/>
      <c r="AO402" s="131"/>
      <c r="AP402" s="88"/>
    </row>
    <row r="403">
      <c r="A403" s="155"/>
      <c r="B403" s="173"/>
      <c r="C403" s="174"/>
      <c r="D403" s="173"/>
      <c r="E403" s="155"/>
      <c r="F403" s="155"/>
      <c r="G403" s="88"/>
      <c r="H403" s="255"/>
      <c r="I403" s="155"/>
      <c r="J403" s="155"/>
      <c r="K403" s="15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58"/>
      <c r="AA403" s="105"/>
      <c r="AB403" s="105"/>
      <c r="AC403" s="105"/>
      <c r="AD403" s="105"/>
      <c r="AE403" s="105"/>
      <c r="AF403" s="158"/>
      <c r="AG403" s="105"/>
      <c r="AH403" s="158"/>
      <c r="AI403" s="88"/>
      <c r="AJ403" s="88"/>
      <c r="AK403" s="131"/>
      <c r="AL403" s="131"/>
      <c r="AM403" s="131"/>
      <c r="AN403" s="131"/>
      <c r="AO403" s="131"/>
      <c r="AP403" s="88"/>
    </row>
    <row r="404">
      <c r="A404" s="155"/>
      <c r="B404" s="173"/>
      <c r="C404" s="174"/>
      <c r="D404" s="173"/>
      <c r="E404" s="155"/>
      <c r="F404" s="155"/>
      <c r="G404" s="88"/>
      <c r="H404" s="255"/>
      <c r="I404" s="155"/>
      <c r="J404" s="155"/>
      <c r="K404" s="15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58"/>
      <c r="AA404" s="105"/>
      <c r="AB404" s="105"/>
      <c r="AC404" s="105"/>
      <c r="AD404" s="105"/>
      <c r="AE404" s="105"/>
      <c r="AF404" s="158"/>
      <c r="AG404" s="105"/>
      <c r="AH404" s="158"/>
      <c r="AI404" s="88"/>
      <c r="AJ404" s="88"/>
      <c r="AK404" s="131"/>
      <c r="AL404" s="131"/>
      <c r="AM404" s="131"/>
      <c r="AN404" s="131"/>
      <c r="AO404" s="131"/>
      <c r="AP404" s="88"/>
    </row>
    <row r="405">
      <c r="A405" s="155"/>
      <c r="B405" s="173"/>
      <c r="C405" s="174"/>
      <c r="D405" s="173"/>
      <c r="E405" s="155"/>
      <c r="F405" s="155"/>
      <c r="G405" s="88"/>
      <c r="H405" s="255"/>
      <c r="I405" s="155"/>
      <c r="J405" s="155"/>
      <c r="K405" s="15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58"/>
      <c r="AA405" s="105"/>
      <c r="AB405" s="105"/>
      <c r="AC405" s="105"/>
      <c r="AD405" s="105"/>
      <c r="AE405" s="105"/>
      <c r="AF405" s="158"/>
      <c r="AG405" s="105"/>
      <c r="AH405" s="158"/>
      <c r="AI405" s="88"/>
      <c r="AJ405" s="88"/>
      <c r="AK405" s="131"/>
      <c r="AL405" s="131"/>
      <c r="AM405" s="131"/>
      <c r="AN405" s="131"/>
      <c r="AO405" s="131"/>
      <c r="AP405" s="88"/>
    </row>
    <row r="406">
      <c r="A406" s="155"/>
      <c r="B406" s="173"/>
      <c r="C406" s="174"/>
      <c r="D406" s="173"/>
      <c r="E406" s="155"/>
      <c r="F406" s="155"/>
      <c r="G406" s="88"/>
      <c r="H406" s="255"/>
      <c r="I406" s="155"/>
      <c r="J406" s="155"/>
      <c r="K406" s="15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58"/>
      <c r="AA406" s="105"/>
      <c r="AB406" s="105"/>
      <c r="AC406" s="105"/>
      <c r="AD406" s="105"/>
      <c r="AE406" s="105"/>
      <c r="AF406" s="158"/>
      <c r="AG406" s="105"/>
      <c r="AH406" s="158"/>
      <c r="AI406" s="88"/>
      <c r="AJ406" s="88"/>
      <c r="AK406" s="131"/>
      <c r="AL406" s="131"/>
      <c r="AM406" s="131"/>
      <c r="AN406" s="131"/>
      <c r="AO406" s="131"/>
      <c r="AP406" s="88"/>
    </row>
    <row r="407">
      <c r="A407" s="155"/>
      <c r="B407" s="173"/>
      <c r="C407" s="174"/>
      <c r="D407" s="173"/>
      <c r="E407" s="155"/>
      <c r="F407" s="155"/>
      <c r="G407" s="88"/>
      <c r="H407" s="255"/>
      <c r="I407" s="155"/>
      <c r="J407" s="155"/>
      <c r="K407" s="15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58"/>
      <c r="AA407" s="105"/>
      <c r="AB407" s="105"/>
      <c r="AC407" s="105"/>
      <c r="AD407" s="105"/>
      <c r="AE407" s="105"/>
      <c r="AF407" s="158"/>
      <c r="AG407" s="105"/>
      <c r="AH407" s="158"/>
      <c r="AI407" s="88"/>
      <c r="AJ407" s="88"/>
      <c r="AK407" s="131"/>
      <c r="AL407" s="131"/>
      <c r="AM407" s="131"/>
      <c r="AN407" s="131"/>
      <c r="AO407" s="131"/>
      <c r="AP407" s="88"/>
    </row>
    <row r="408">
      <c r="A408" s="155"/>
      <c r="B408" s="173"/>
      <c r="C408" s="174"/>
      <c r="D408" s="173"/>
      <c r="E408" s="155"/>
      <c r="F408" s="155"/>
      <c r="G408" s="88"/>
      <c r="H408" s="255"/>
      <c r="I408" s="155"/>
      <c r="J408" s="155"/>
      <c r="K408" s="15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58"/>
      <c r="AA408" s="105"/>
      <c r="AB408" s="105"/>
      <c r="AC408" s="105"/>
      <c r="AD408" s="105"/>
      <c r="AE408" s="105"/>
      <c r="AF408" s="158"/>
      <c r="AG408" s="105"/>
      <c r="AH408" s="158"/>
      <c r="AI408" s="88"/>
      <c r="AJ408" s="88"/>
      <c r="AK408" s="131"/>
      <c r="AL408" s="131"/>
      <c r="AM408" s="131"/>
      <c r="AN408" s="131"/>
      <c r="AO408" s="131"/>
      <c r="AP408" s="88"/>
    </row>
    <row r="409">
      <c r="A409" s="155"/>
      <c r="B409" s="173"/>
      <c r="C409" s="174"/>
      <c r="D409" s="173"/>
      <c r="E409" s="155"/>
      <c r="F409" s="155"/>
      <c r="G409" s="88"/>
      <c r="H409" s="255"/>
      <c r="I409" s="155"/>
      <c r="J409" s="155"/>
      <c r="K409" s="15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58"/>
      <c r="AA409" s="105"/>
      <c r="AB409" s="105"/>
      <c r="AC409" s="105"/>
      <c r="AD409" s="105"/>
      <c r="AE409" s="105"/>
      <c r="AF409" s="158"/>
      <c r="AG409" s="105"/>
      <c r="AH409" s="158"/>
      <c r="AI409" s="88"/>
      <c r="AJ409" s="88"/>
      <c r="AK409" s="131"/>
      <c r="AL409" s="131"/>
      <c r="AM409" s="131"/>
      <c r="AN409" s="131"/>
      <c r="AO409" s="131"/>
      <c r="AP409" s="88"/>
    </row>
    <row r="410">
      <c r="A410" s="155"/>
      <c r="B410" s="173"/>
      <c r="C410" s="174"/>
      <c r="D410" s="173"/>
      <c r="E410" s="155"/>
      <c r="F410" s="155"/>
      <c r="G410" s="88"/>
      <c r="H410" s="255"/>
      <c r="I410" s="155"/>
      <c r="J410" s="155"/>
      <c r="K410" s="15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58"/>
      <c r="AA410" s="105"/>
      <c r="AB410" s="105"/>
      <c r="AC410" s="105"/>
      <c r="AD410" s="105"/>
      <c r="AE410" s="105"/>
      <c r="AF410" s="158"/>
      <c r="AG410" s="105"/>
      <c r="AH410" s="158"/>
      <c r="AI410" s="88"/>
      <c r="AJ410" s="88"/>
      <c r="AK410" s="131"/>
      <c r="AL410" s="131"/>
      <c r="AM410" s="131"/>
      <c r="AN410" s="131"/>
      <c r="AO410" s="131"/>
      <c r="AP410" s="88"/>
    </row>
    <row r="411">
      <c r="A411" s="155"/>
      <c r="B411" s="173"/>
      <c r="C411" s="174"/>
      <c r="D411" s="173"/>
      <c r="E411" s="155"/>
      <c r="F411" s="155"/>
      <c r="G411" s="88"/>
      <c r="H411" s="255"/>
      <c r="I411" s="155"/>
      <c r="J411" s="155"/>
      <c r="K411" s="15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58"/>
      <c r="AA411" s="105"/>
      <c r="AB411" s="105"/>
      <c r="AC411" s="105"/>
      <c r="AD411" s="105"/>
      <c r="AE411" s="105"/>
      <c r="AF411" s="158"/>
      <c r="AG411" s="105"/>
      <c r="AH411" s="158"/>
      <c r="AI411" s="88"/>
      <c r="AJ411" s="88"/>
      <c r="AK411" s="131"/>
      <c r="AL411" s="131"/>
      <c r="AM411" s="131"/>
      <c r="AN411" s="131"/>
      <c r="AO411" s="131"/>
      <c r="AP411" s="88"/>
    </row>
    <row r="412">
      <c r="A412" s="155"/>
      <c r="B412" s="173"/>
      <c r="C412" s="174"/>
      <c r="D412" s="173"/>
      <c r="E412" s="155"/>
      <c r="F412" s="155"/>
      <c r="G412" s="88"/>
      <c r="H412" s="255"/>
      <c r="I412" s="155"/>
      <c r="J412" s="155"/>
      <c r="K412" s="15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58"/>
      <c r="AA412" s="105"/>
      <c r="AB412" s="105"/>
      <c r="AC412" s="105"/>
      <c r="AD412" s="105"/>
      <c r="AE412" s="105"/>
      <c r="AF412" s="158"/>
      <c r="AG412" s="105"/>
      <c r="AH412" s="158"/>
      <c r="AI412" s="88"/>
      <c r="AJ412" s="88"/>
      <c r="AK412" s="131"/>
      <c r="AL412" s="131"/>
      <c r="AM412" s="131"/>
      <c r="AN412" s="131"/>
      <c r="AO412" s="131"/>
      <c r="AP412" s="88"/>
    </row>
    <row r="413">
      <c r="A413" s="155"/>
      <c r="B413" s="173"/>
      <c r="C413" s="174"/>
      <c r="D413" s="173"/>
      <c r="E413" s="155"/>
      <c r="F413" s="155"/>
      <c r="G413" s="88"/>
      <c r="H413" s="255"/>
      <c r="I413" s="155"/>
      <c r="J413" s="155"/>
      <c r="K413" s="15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58"/>
      <c r="AA413" s="105"/>
      <c r="AB413" s="105"/>
      <c r="AC413" s="105"/>
      <c r="AD413" s="105"/>
      <c r="AE413" s="105"/>
      <c r="AF413" s="158"/>
      <c r="AG413" s="105"/>
      <c r="AH413" s="158"/>
      <c r="AI413" s="88"/>
      <c r="AJ413" s="88"/>
      <c r="AK413" s="131"/>
      <c r="AL413" s="131"/>
      <c r="AM413" s="131"/>
      <c r="AN413" s="131"/>
      <c r="AO413" s="131"/>
      <c r="AP413" s="88"/>
    </row>
    <row r="414">
      <c r="A414" s="155"/>
      <c r="B414" s="173"/>
      <c r="C414" s="174"/>
      <c r="D414" s="173"/>
      <c r="E414" s="155"/>
      <c r="F414" s="155"/>
      <c r="G414" s="88"/>
      <c r="H414" s="255"/>
      <c r="I414" s="155"/>
      <c r="J414" s="155"/>
      <c r="K414" s="15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58"/>
      <c r="AA414" s="105"/>
      <c r="AB414" s="105"/>
      <c r="AC414" s="105"/>
      <c r="AD414" s="105"/>
      <c r="AE414" s="105"/>
      <c r="AF414" s="158"/>
      <c r="AG414" s="105"/>
      <c r="AH414" s="158"/>
      <c r="AI414" s="88"/>
      <c r="AJ414" s="88"/>
      <c r="AK414" s="131"/>
      <c r="AL414" s="131"/>
      <c r="AM414" s="131"/>
      <c r="AN414" s="131"/>
      <c r="AO414" s="131"/>
      <c r="AP414" s="88"/>
    </row>
    <row r="415">
      <c r="A415" s="155"/>
      <c r="B415" s="173"/>
      <c r="C415" s="174"/>
      <c r="D415" s="173"/>
      <c r="E415" s="155"/>
      <c r="F415" s="155"/>
      <c r="G415" s="88"/>
      <c r="H415" s="255"/>
      <c r="I415" s="155"/>
      <c r="J415" s="155"/>
      <c r="K415" s="15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58"/>
      <c r="AA415" s="105"/>
      <c r="AB415" s="105"/>
      <c r="AC415" s="105"/>
      <c r="AD415" s="105"/>
      <c r="AE415" s="105"/>
      <c r="AF415" s="158"/>
      <c r="AG415" s="105"/>
      <c r="AH415" s="158"/>
      <c r="AI415" s="88"/>
      <c r="AJ415" s="88"/>
      <c r="AK415" s="131"/>
      <c r="AL415" s="131"/>
      <c r="AM415" s="131"/>
      <c r="AN415" s="131"/>
      <c r="AO415" s="131"/>
      <c r="AP415" s="88"/>
    </row>
    <row r="416">
      <c r="A416" s="155"/>
      <c r="B416" s="173"/>
      <c r="C416" s="174"/>
      <c r="D416" s="173"/>
      <c r="E416" s="155"/>
      <c r="F416" s="155"/>
      <c r="G416" s="88"/>
      <c r="H416" s="255"/>
      <c r="I416" s="155"/>
      <c r="J416" s="155"/>
      <c r="K416" s="15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58"/>
      <c r="AA416" s="105"/>
      <c r="AB416" s="105"/>
      <c r="AC416" s="105"/>
      <c r="AD416" s="105"/>
      <c r="AE416" s="105"/>
      <c r="AF416" s="158"/>
      <c r="AG416" s="105"/>
      <c r="AH416" s="158"/>
      <c r="AI416" s="88"/>
      <c r="AJ416" s="88"/>
      <c r="AK416" s="131"/>
      <c r="AL416" s="131"/>
      <c r="AM416" s="131"/>
      <c r="AN416" s="131"/>
      <c r="AO416" s="131"/>
      <c r="AP416" s="88"/>
    </row>
    <row r="417">
      <c r="A417" s="155"/>
      <c r="B417" s="173"/>
      <c r="C417" s="174"/>
      <c r="D417" s="173"/>
      <c r="E417" s="155"/>
      <c r="F417" s="155"/>
      <c r="G417" s="88"/>
      <c r="H417" s="255"/>
      <c r="I417" s="155"/>
      <c r="J417" s="155"/>
      <c r="K417" s="15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58"/>
      <c r="AA417" s="105"/>
      <c r="AB417" s="105"/>
      <c r="AC417" s="105"/>
      <c r="AD417" s="105"/>
      <c r="AE417" s="105"/>
      <c r="AF417" s="158"/>
      <c r="AG417" s="105"/>
      <c r="AH417" s="158"/>
      <c r="AI417" s="88"/>
      <c r="AJ417" s="88"/>
      <c r="AK417" s="131"/>
      <c r="AL417" s="131"/>
      <c r="AM417" s="131"/>
      <c r="AN417" s="131"/>
      <c r="AO417" s="131"/>
      <c r="AP417" s="88"/>
    </row>
    <row r="418">
      <c r="A418" s="155"/>
      <c r="B418" s="173"/>
      <c r="C418" s="174"/>
      <c r="D418" s="173"/>
      <c r="E418" s="155"/>
      <c r="F418" s="155"/>
      <c r="G418" s="88"/>
      <c r="H418" s="255"/>
      <c r="I418" s="155"/>
      <c r="J418" s="155"/>
      <c r="K418" s="15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58"/>
      <c r="AA418" s="105"/>
      <c r="AB418" s="105"/>
      <c r="AC418" s="105"/>
      <c r="AD418" s="105"/>
      <c r="AE418" s="105"/>
      <c r="AF418" s="158"/>
      <c r="AG418" s="105"/>
      <c r="AH418" s="158"/>
      <c r="AI418" s="88"/>
      <c r="AJ418" s="88"/>
      <c r="AK418" s="131"/>
      <c r="AL418" s="131"/>
      <c r="AM418" s="131"/>
      <c r="AN418" s="131"/>
      <c r="AO418" s="131"/>
      <c r="AP418" s="88"/>
    </row>
    <row r="419">
      <c r="A419" s="155"/>
      <c r="B419" s="173"/>
      <c r="C419" s="174"/>
      <c r="D419" s="173"/>
      <c r="E419" s="155"/>
      <c r="F419" s="155"/>
      <c r="G419" s="88"/>
      <c r="H419" s="255"/>
      <c r="I419" s="155"/>
      <c r="J419" s="155"/>
      <c r="K419" s="15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58"/>
      <c r="AA419" s="105"/>
      <c r="AB419" s="105"/>
      <c r="AC419" s="105"/>
      <c r="AD419" s="105"/>
      <c r="AE419" s="105"/>
      <c r="AF419" s="158"/>
      <c r="AG419" s="105"/>
      <c r="AH419" s="158"/>
      <c r="AI419" s="88"/>
      <c r="AJ419" s="88"/>
      <c r="AK419" s="131"/>
      <c r="AL419" s="131"/>
      <c r="AM419" s="131"/>
      <c r="AN419" s="131"/>
      <c r="AO419" s="131"/>
      <c r="AP419" s="88"/>
    </row>
    <row r="420">
      <c r="A420" s="155"/>
      <c r="B420" s="173"/>
      <c r="C420" s="174"/>
      <c r="D420" s="173"/>
      <c r="E420" s="155"/>
      <c r="F420" s="155"/>
      <c r="G420" s="88"/>
      <c r="H420" s="255"/>
      <c r="I420" s="155"/>
      <c r="J420" s="155"/>
      <c r="K420" s="15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58"/>
      <c r="AA420" s="105"/>
      <c r="AB420" s="105"/>
      <c r="AC420" s="105"/>
      <c r="AD420" s="105"/>
      <c r="AE420" s="105"/>
      <c r="AF420" s="158"/>
      <c r="AG420" s="105"/>
      <c r="AH420" s="158"/>
      <c r="AI420" s="88"/>
      <c r="AJ420" s="88"/>
      <c r="AK420" s="131"/>
      <c r="AL420" s="131"/>
      <c r="AM420" s="131"/>
      <c r="AN420" s="131"/>
      <c r="AO420" s="131"/>
      <c r="AP420" s="88"/>
    </row>
    <row r="421">
      <c r="A421" s="155"/>
      <c r="B421" s="173"/>
      <c r="C421" s="174"/>
      <c r="D421" s="173"/>
      <c r="E421" s="155"/>
      <c r="F421" s="155"/>
      <c r="G421" s="88"/>
      <c r="H421" s="255"/>
      <c r="I421" s="155"/>
      <c r="J421" s="155"/>
      <c r="K421" s="15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58"/>
      <c r="AA421" s="105"/>
      <c r="AB421" s="105"/>
      <c r="AC421" s="105"/>
      <c r="AD421" s="105"/>
      <c r="AE421" s="105"/>
      <c r="AF421" s="158"/>
      <c r="AG421" s="105"/>
      <c r="AH421" s="158"/>
      <c r="AI421" s="88"/>
      <c r="AJ421" s="88"/>
      <c r="AK421" s="131"/>
      <c r="AL421" s="131"/>
      <c r="AM421" s="131"/>
      <c r="AN421" s="131"/>
      <c r="AO421" s="131"/>
      <c r="AP421" s="88"/>
    </row>
    <row r="422">
      <c r="A422" s="155"/>
      <c r="B422" s="173"/>
      <c r="C422" s="174"/>
      <c r="D422" s="173"/>
      <c r="E422" s="155"/>
      <c r="F422" s="155"/>
      <c r="G422" s="88"/>
      <c r="H422" s="255"/>
      <c r="I422" s="155"/>
      <c r="J422" s="155"/>
      <c r="K422" s="15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58"/>
      <c r="AA422" s="105"/>
      <c r="AB422" s="105"/>
      <c r="AC422" s="105"/>
      <c r="AD422" s="105"/>
      <c r="AE422" s="105"/>
      <c r="AF422" s="158"/>
      <c r="AG422" s="105"/>
      <c r="AH422" s="158"/>
      <c r="AI422" s="88"/>
      <c r="AJ422" s="88"/>
      <c r="AK422" s="131"/>
      <c r="AL422" s="131"/>
      <c r="AM422" s="131"/>
      <c r="AN422" s="131"/>
      <c r="AO422" s="131"/>
      <c r="AP422" s="88"/>
    </row>
    <row r="423">
      <c r="A423" s="155"/>
      <c r="B423" s="173"/>
      <c r="C423" s="174"/>
      <c r="D423" s="173"/>
      <c r="E423" s="155"/>
      <c r="F423" s="155"/>
      <c r="G423" s="88"/>
      <c r="H423" s="255"/>
      <c r="I423" s="155"/>
      <c r="J423" s="155"/>
      <c r="K423" s="15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58"/>
      <c r="AA423" s="105"/>
      <c r="AB423" s="105"/>
      <c r="AC423" s="105"/>
      <c r="AD423" s="105"/>
      <c r="AE423" s="105"/>
      <c r="AF423" s="158"/>
      <c r="AG423" s="105"/>
      <c r="AH423" s="158"/>
      <c r="AI423" s="88"/>
      <c r="AJ423" s="88"/>
      <c r="AK423" s="131"/>
      <c r="AL423" s="131"/>
      <c r="AM423" s="131"/>
      <c r="AN423" s="131"/>
      <c r="AO423" s="131"/>
      <c r="AP423" s="88"/>
    </row>
    <row r="424">
      <c r="A424" s="155"/>
      <c r="B424" s="173"/>
      <c r="C424" s="174"/>
      <c r="D424" s="173"/>
      <c r="E424" s="155"/>
      <c r="F424" s="155"/>
      <c r="G424" s="88"/>
      <c r="H424" s="255"/>
      <c r="I424" s="155"/>
      <c r="J424" s="155"/>
      <c r="K424" s="15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58"/>
      <c r="AA424" s="105"/>
      <c r="AB424" s="105"/>
      <c r="AC424" s="105"/>
      <c r="AD424" s="105"/>
      <c r="AE424" s="105"/>
      <c r="AF424" s="158"/>
      <c r="AG424" s="105"/>
      <c r="AH424" s="158"/>
      <c r="AI424" s="88"/>
      <c r="AJ424" s="88"/>
      <c r="AK424" s="131"/>
      <c r="AL424" s="131"/>
      <c r="AM424" s="131"/>
      <c r="AN424" s="131"/>
      <c r="AO424" s="131"/>
      <c r="AP424" s="88"/>
    </row>
    <row r="425">
      <c r="A425" s="155"/>
      <c r="B425" s="173"/>
      <c r="C425" s="174"/>
      <c r="D425" s="173"/>
      <c r="E425" s="155"/>
      <c r="F425" s="155"/>
      <c r="G425" s="88"/>
      <c r="H425" s="255"/>
      <c r="I425" s="155"/>
      <c r="J425" s="155"/>
      <c r="K425" s="15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58"/>
      <c r="AA425" s="105"/>
      <c r="AB425" s="105"/>
      <c r="AC425" s="105"/>
      <c r="AD425" s="105"/>
      <c r="AE425" s="105"/>
      <c r="AF425" s="158"/>
      <c r="AG425" s="105"/>
      <c r="AH425" s="158"/>
      <c r="AI425" s="88"/>
      <c r="AJ425" s="88"/>
      <c r="AK425" s="131"/>
      <c r="AL425" s="131"/>
      <c r="AM425" s="131"/>
      <c r="AN425" s="131"/>
      <c r="AO425" s="131"/>
      <c r="AP425" s="88"/>
    </row>
    <row r="426">
      <c r="A426" s="155"/>
      <c r="B426" s="173"/>
      <c r="C426" s="174"/>
      <c r="D426" s="173"/>
      <c r="E426" s="155"/>
      <c r="F426" s="155"/>
      <c r="G426" s="88"/>
      <c r="H426" s="255"/>
      <c r="I426" s="155"/>
      <c r="J426" s="155"/>
      <c r="K426" s="15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58"/>
      <c r="AA426" s="105"/>
      <c r="AB426" s="105"/>
      <c r="AC426" s="105"/>
      <c r="AD426" s="105"/>
      <c r="AE426" s="105"/>
      <c r="AF426" s="158"/>
      <c r="AG426" s="105"/>
      <c r="AH426" s="158"/>
      <c r="AI426" s="88"/>
      <c r="AJ426" s="88"/>
      <c r="AK426" s="131"/>
      <c r="AL426" s="131"/>
      <c r="AM426" s="131"/>
      <c r="AN426" s="131"/>
      <c r="AO426" s="131"/>
      <c r="AP426" s="88"/>
    </row>
    <row r="427">
      <c r="A427" s="155"/>
      <c r="B427" s="173"/>
      <c r="C427" s="174"/>
      <c r="D427" s="173"/>
      <c r="E427" s="155"/>
      <c r="F427" s="155"/>
      <c r="G427" s="88"/>
      <c r="H427" s="255"/>
      <c r="I427" s="155"/>
      <c r="J427" s="155"/>
      <c r="K427" s="15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58"/>
      <c r="AA427" s="105"/>
      <c r="AB427" s="105"/>
      <c r="AC427" s="105"/>
      <c r="AD427" s="105"/>
      <c r="AE427" s="105"/>
      <c r="AF427" s="158"/>
      <c r="AG427" s="105"/>
      <c r="AH427" s="158"/>
      <c r="AI427" s="88"/>
      <c r="AJ427" s="88"/>
      <c r="AK427" s="131"/>
      <c r="AL427" s="131"/>
      <c r="AM427" s="131"/>
      <c r="AN427" s="131"/>
      <c r="AO427" s="131"/>
      <c r="AP427" s="88"/>
    </row>
    <row r="428">
      <c r="A428" s="155"/>
      <c r="B428" s="173"/>
      <c r="C428" s="174"/>
      <c r="D428" s="173"/>
      <c r="E428" s="155"/>
      <c r="F428" s="155"/>
      <c r="G428" s="88"/>
      <c r="H428" s="255"/>
      <c r="I428" s="155"/>
      <c r="J428" s="155"/>
      <c r="K428" s="15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58"/>
      <c r="AA428" s="105"/>
      <c r="AB428" s="105"/>
      <c r="AC428" s="105"/>
      <c r="AD428" s="105"/>
      <c r="AE428" s="105"/>
      <c r="AF428" s="158"/>
      <c r="AG428" s="105"/>
      <c r="AH428" s="158"/>
      <c r="AI428" s="88"/>
      <c r="AJ428" s="88"/>
      <c r="AK428" s="131"/>
      <c r="AL428" s="131"/>
      <c r="AM428" s="131"/>
      <c r="AN428" s="131"/>
      <c r="AO428" s="131"/>
      <c r="AP428" s="88"/>
    </row>
    <row r="429">
      <c r="A429" s="155"/>
      <c r="B429" s="173"/>
      <c r="C429" s="174"/>
      <c r="D429" s="173"/>
      <c r="E429" s="155"/>
      <c r="F429" s="155"/>
      <c r="G429" s="88"/>
      <c r="H429" s="255"/>
      <c r="I429" s="155"/>
      <c r="J429" s="155"/>
      <c r="K429" s="15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58"/>
      <c r="AA429" s="105"/>
      <c r="AB429" s="105"/>
      <c r="AC429" s="105"/>
      <c r="AD429" s="105"/>
      <c r="AE429" s="105"/>
      <c r="AF429" s="158"/>
      <c r="AG429" s="105"/>
      <c r="AH429" s="158"/>
      <c r="AI429" s="88"/>
      <c r="AJ429" s="88"/>
      <c r="AK429" s="131"/>
      <c r="AL429" s="131"/>
      <c r="AM429" s="131"/>
      <c r="AN429" s="131"/>
      <c r="AO429" s="131"/>
      <c r="AP429" s="88"/>
    </row>
    <row r="430">
      <c r="A430" s="155"/>
      <c r="B430" s="173"/>
      <c r="C430" s="174"/>
      <c r="D430" s="173"/>
      <c r="E430" s="155"/>
      <c r="F430" s="155"/>
      <c r="G430" s="88"/>
      <c r="H430" s="255"/>
      <c r="I430" s="155"/>
      <c r="J430" s="155"/>
      <c r="K430" s="15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58"/>
      <c r="AA430" s="105"/>
      <c r="AB430" s="105"/>
      <c r="AC430" s="105"/>
      <c r="AD430" s="105"/>
      <c r="AE430" s="105"/>
      <c r="AF430" s="158"/>
      <c r="AG430" s="105"/>
      <c r="AH430" s="158"/>
      <c r="AI430" s="88"/>
      <c r="AJ430" s="88"/>
      <c r="AK430" s="131"/>
      <c r="AL430" s="131"/>
      <c r="AM430" s="131"/>
      <c r="AN430" s="131"/>
      <c r="AO430" s="131"/>
      <c r="AP430" s="88"/>
    </row>
    <row r="431">
      <c r="A431" s="155"/>
      <c r="B431" s="173"/>
      <c r="C431" s="174"/>
      <c r="D431" s="173"/>
      <c r="E431" s="155"/>
      <c r="F431" s="155"/>
      <c r="G431" s="88"/>
      <c r="H431" s="255"/>
      <c r="I431" s="155"/>
      <c r="J431" s="155"/>
      <c r="K431" s="15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58"/>
      <c r="AA431" s="105"/>
      <c r="AB431" s="105"/>
      <c r="AC431" s="105"/>
      <c r="AD431" s="105"/>
      <c r="AE431" s="105"/>
      <c r="AF431" s="158"/>
      <c r="AG431" s="105"/>
      <c r="AH431" s="158"/>
      <c r="AI431" s="88"/>
      <c r="AJ431" s="88"/>
      <c r="AK431" s="131"/>
      <c r="AL431" s="131"/>
      <c r="AM431" s="131"/>
      <c r="AN431" s="131"/>
      <c r="AO431" s="131"/>
      <c r="AP431" s="88"/>
    </row>
    <row r="432">
      <c r="A432" s="155"/>
      <c r="B432" s="173"/>
      <c r="C432" s="174"/>
      <c r="D432" s="173"/>
      <c r="E432" s="155"/>
      <c r="F432" s="155"/>
      <c r="G432" s="88"/>
      <c r="H432" s="255"/>
      <c r="I432" s="155"/>
      <c r="J432" s="155"/>
      <c r="K432" s="15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58"/>
      <c r="AA432" s="105"/>
      <c r="AB432" s="105"/>
      <c r="AC432" s="105"/>
      <c r="AD432" s="105"/>
      <c r="AE432" s="105"/>
      <c r="AF432" s="158"/>
      <c r="AG432" s="105"/>
      <c r="AH432" s="158"/>
      <c r="AI432" s="88"/>
      <c r="AJ432" s="88"/>
      <c r="AK432" s="131"/>
      <c r="AL432" s="131"/>
      <c r="AM432" s="131"/>
      <c r="AN432" s="131"/>
      <c r="AO432" s="131"/>
      <c r="AP432" s="88"/>
    </row>
    <row r="433">
      <c r="A433" s="155"/>
      <c r="B433" s="173"/>
      <c r="C433" s="174"/>
      <c r="D433" s="173"/>
      <c r="E433" s="155"/>
      <c r="F433" s="155"/>
      <c r="G433" s="88"/>
      <c r="H433" s="255"/>
      <c r="I433" s="155"/>
      <c r="J433" s="155"/>
      <c r="K433" s="15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58"/>
      <c r="AA433" s="105"/>
      <c r="AB433" s="105"/>
      <c r="AC433" s="105"/>
      <c r="AD433" s="105"/>
      <c r="AE433" s="105"/>
      <c r="AF433" s="158"/>
      <c r="AG433" s="105"/>
      <c r="AH433" s="158"/>
      <c r="AI433" s="88"/>
      <c r="AJ433" s="88"/>
      <c r="AK433" s="131"/>
      <c r="AL433" s="131"/>
      <c r="AM433" s="131"/>
      <c r="AN433" s="131"/>
      <c r="AO433" s="131"/>
      <c r="AP433" s="88"/>
    </row>
    <row r="434">
      <c r="A434" s="155"/>
      <c r="B434" s="173"/>
      <c r="C434" s="174"/>
      <c r="D434" s="173"/>
      <c r="E434" s="155"/>
      <c r="F434" s="155"/>
      <c r="G434" s="88"/>
      <c r="H434" s="255"/>
      <c r="I434" s="155"/>
      <c r="J434" s="155"/>
      <c r="K434" s="15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58"/>
      <c r="AA434" s="105"/>
      <c r="AB434" s="105"/>
      <c r="AC434" s="105"/>
      <c r="AD434" s="105"/>
      <c r="AE434" s="105"/>
      <c r="AF434" s="158"/>
      <c r="AG434" s="105"/>
      <c r="AH434" s="158"/>
      <c r="AI434" s="88"/>
      <c r="AJ434" s="88"/>
      <c r="AK434" s="131"/>
      <c r="AL434" s="131"/>
      <c r="AM434" s="131"/>
      <c r="AN434" s="131"/>
      <c r="AO434" s="131"/>
      <c r="AP434" s="88"/>
    </row>
    <row r="435">
      <c r="A435" s="155"/>
      <c r="B435" s="173"/>
      <c r="C435" s="174"/>
      <c r="D435" s="173"/>
      <c r="E435" s="155"/>
      <c r="F435" s="155"/>
      <c r="G435" s="88"/>
      <c r="H435" s="255"/>
      <c r="I435" s="155"/>
      <c r="J435" s="155"/>
      <c r="K435" s="15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58"/>
      <c r="AA435" s="105"/>
      <c r="AB435" s="105"/>
      <c r="AC435" s="105"/>
      <c r="AD435" s="105"/>
      <c r="AE435" s="105"/>
      <c r="AF435" s="158"/>
      <c r="AG435" s="105"/>
      <c r="AH435" s="158"/>
      <c r="AI435" s="88"/>
      <c r="AJ435" s="88"/>
      <c r="AK435" s="131"/>
      <c r="AL435" s="131"/>
      <c r="AM435" s="131"/>
      <c r="AN435" s="131"/>
      <c r="AO435" s="131"/>
      <c r="AP435" s="88"/>
    </row>
    <row r="436">
      <c r="A436" s="155"/>
      <c r="B436" s="173"/>
      <c r="C436" s="174"/>
      <c r="D436" s="173"/>
      <c r="E436" s="155"/>
      <c r="F436" s="155"/>
      <c r="G436" s="88"/>
      <c r="H436" s="255"/>
      <c r="I436" s="155"/>
      <c r="J436" s="155"/>
      <c r="K436" s="15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58"/>
      <c r="AA436" s="105"/>
      <c r="AB436" s="105"/>
      <c r="AC436" s="105"/>
      <c r="AD436" s="105"/>
      <c r="AE436" s="105"/>
      <c r="AF436" s="158"/>
      <c r="AG436" s="105"/>
      <c r="AH436" s="158"/>
      <c r="AI436" s="88"/>
      <c r="AJ436" s="88"/>
      <c r="AK436" s="131"/>
      <c r="AL436" s="131"/>
      <c r="AM436" s="131"/>
      <c r="AN436" s="131"/>
      <c r="AO436" s="131"/>
      <c r="AP436" s="88"/>
    </row>
    <row r="437">
      <c r="A437" s="155"/>
      <c r="B437" s="173"/>
      <c r="C437" s="174"/>
      <c r="D437" s="173"/>
      <c r="E437" s="155"/>
      <c r="F437" s="155"/>
      <c r="G437" s="88"/>
      <c r="H437" s="255"/>
      <c r="I437" s="155"/>
      <c r="J437" s="155"/>
      <c r="K437" s="15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58"/>
      <c r="AA437" s="105"/>
      <c r="AB437" s="105"/>
      <c r="AC437" s="105"/>
      <c r="AD437" s="105"/>
      <c r="AE437" s="105"/>
      <c r="AF437" s="158"/>
      <c r="AG437" s="105"/>
      <c r="AH437" s="158"/>
      <c r="AI437" s="88"/>
      <c r="AJ437" s="88"/>
      <c r="AK437" s="131"/>
      <c r="AL437" s="131"/>
      <c r="AM437" s="131"/>
      <c r="AN437" s="131"/>
      <c r="AO437" s="131"/>
      <c r="AP437" s="88"/>
    </row>
    <row r="438">
      <c r="A438" s="155"/>
      <c r="B438" s="173"/>
      <c r="C438" s="174"/>
      <c r="D438" s="173"/>
      <c r="E438" s="155"/>
      <c r="F438" s="155"/>
      <c r="G438" s="88"/>
      <c r="H438" s="255"/>
      <c r="I438" s="155"/>
      <c r="J438" s="155"/>
      <c r="K438" s="15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58"/>
      <c r="AA438" s="105"/>
      <c r="AB438" s="105"/>
      <c r="AC438" s="105"/>
      <c r="AD438" s="105"/>
      <c r="AE438" s="105"/>
      <c r="AF438" s="158"/>
      <c r="AG438" s="105"/>
      <c r="AH438" s="158"/>
      <c r="AI438" s="88"/>
      <c r="AJ438" s="88"/>
      <c r="AK438" s="131"/>
      <c r="AL438" s="131"/>
      <c r="AM438" s="131"/>
      <c r="AN438" s="131"/>
      <c r="AO438" s="131"/>
      <c r="AP438" s="88"/>
    </row>
    <row r="439">
      <c r="A439" s="155"/>
      <c r="B439" s="173"/>
      <c r="C439" s="174"/>
      <c r="D439" s="173"/>
      <c r="E439" s="155"/>
      <c r="F439" s="155"/>
      <c r="G439" s="88"/>
      <c r="H439" s="255"/>
      <c r="I439" s="155"/>
      <c r="J439" s="155"/>
      <c r="K439" s="15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58"/>
      <c r="AA439" s="105"/>
      <c r="AB439" s="105"/>
      <c r="AC439" s="105"/>
      <c r="AD439" s="105"/>
      <c r="AE439" s="105"/>
      <c r="AF439" s="158"/>
      <c r="AG439" s="105"/>
      <c r="AH439" s="158"/>
      <c r="AI439" s="88"/>
      <c r="AJ439" s="88"/>
      <c r="AK439" s="131"/>
      <c r="AL439" s="131"/>
      <c r="AM439" s="131"/>
      <c r="AN439" s="131"/>
      <c r="AO439" s="131"/>
      <c r="AP439" s="88"/>
    </row>
    <row r="440">
      <c r="A440" s="155"/>
      <c r="B440" s="173"/>
      <c r="C440" s="174"/>
      <c r="D440" s="173"/>
      <c r="E440" s="155"/>
      <c r="F440" s="155"/>
      <c r="G440" s="88"/>
      <c r="H440" s="255"/>
      <c r="I440" s="155"/>
      <c r="J440" s="155"/>
      <c r="K440" s="15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58"/>
      <c r="AA440" s="105"/>
      <c r="AB440" s="105"/>
      <c r="AC440" s="105"/>
      <c r="AD440" s="105"/>
      <c r="AE440" s="105"/>
      <c r="AF440" s="158"/>
      <c r="AG440" s="105"/>
      <c r="AH440" s="158"/>
      <c r="AI440" s="88"/>
      <c r="AJ440" s="88"/>
      <c r="AK440" s="131"/>
      <c r="AL440" s="131"/>
      <c r="AM440" s="131"/>
      <c r="AN440" s="131"/>
      <c r="AO440" s="131"/>
      <c r="AP440" s="88"/>
    </row>
    <row r="441">
      <c r="A441" s="155"/>
      <c r="B441" s="173"/>
      <c r="C441" s="174"/>
      <c r="D441" s="173"/>
      <c r="E441" s="155"/>
      <c r="F441" s="155"/>
      <c r="G441" s="88"/>
      <c r="H441" s="255"/>
      <c r="I441" s="155"/>
      <c r="J441" s="155"/>
      <c r="K441" s="15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58"/>
      <c r="AA441" s="105"/>
      <c r="AB441" s="105"/>
      <c r="AC441" s="105"/>
      <c r="AD441" s="105"/>
      <c r="AE441" s="105"/>
      <c r="AF441" s="158"/>
      <c r="AG441" s="105"/>
      <c r="AH441" s="158"/>
      <c r="AI441" s="88"/>
      <c r="AJ441" s="88"/>
      <c r="AK441" s="131"/>
      <c r="AL441" s="131"/>
      <c r="AM441" s="131"/>
      <c r="AN441" s="131"/>
      <c r="AO441" s="131"/>
      <c r="AP441" s="88"/>
    </row>
    <row r="442">
      <c r="A442" s="155"/>
      <c r="B442" s="173"/>
      <c r="C442" s="174"/>
      <c r="D442" s="173"/>
      <c r="E442" s="155"/>
      <c r="F442" s="155"/>
      <c r="G442" s="88"/>
      <c r="H442" s="255"/>
      <c r="I442" s="155"/>
      <c r="J442" s="155"/>
      <c r="K442" s="15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58"/>
      <c r="AA442" s="105"/>
      <c r="AB442" s="105"/>
      <c r="AC442" s="105"/>
      <c r="AD442" s="105"/>
      <c r="AE442" s="105"/>
      <c r="AF442" s="158"/>
      <c r="AG442" s="105"/>
      <c r="AH442" s="158"/>
      <c r="AI442" s="88"/>
      <c r="AJ442" s="88"/>
      <c r="AK442" s="131"/>
      <c r="AL442" s="131"/>
      <c r="AM442" s="131"/>
      <c r="AN442" s="131"/>
      <c r="AO442" s="131"/>
      <c r="AP442" s="88"/>
    </row>
    <row r="443">
      <c r="A443" s="155"/>
      <c r="B443" s="173"/>
      <c r="C443" s="174"/>
      <c r="D443" s="173"/>
      <c r="E443" s="155"/>
      <c r="F443" s="155"/>
      <c r="G443" s="88"/>
      <c r="H443" s="255"/>
      <c r="I443" s="155"/>
      <c r="J443" s="155"/>
      <c r="K443" s="15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58"/>
      <c r="AA443" s="105"/>
      <c r="AB443" s="105"/>
      <c r="AC443" s="105"/>
      <c r="AD443" s="105"/>
      <c r="AE443" s="105"/>
      <c r="AF443" s="158"/>
      <c r="AG443" s="105"/>
      <c r="AH443" s="158"/>
      <c r="AI443" s="88"/>
      <c r="AJ443" s="88"/>
      <c r="AK443" s="131"/>
      <c r="AL443" s="131"/>
      <c r="AM443" s="131"/>
      <c r="AN443" s="131"/>
      <c r="AO443" s="131"/>
      <c r="AP443" s="88"/>
    </row>
    <row r="444">
      <c r="A444" s="155"/>
      <c r="B444" s="173"/>
      <c r="C444" s="174"/>
      <c r="D444" s="173"/>
      <c r="E444" s="155"/>
      <c r="F444" s="155"/>
      <c r="G444" s="88"/>
      <c r="H444" s="255"/>
      <c r="I444" s="155"/>
      <c r="J444" s="155"/>
      <c r="K444" s="15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58"/>
      <c r="AA444" s="105"/>
      <c r="AB444" s="105"/>
      <c r="AC444" s="105"/>
      <c r="AD444" s="105"/>
      <c r="AE444" s="105"/>
      <c r="AF444" s="158"/>
      <c r="AG444" s="105"/>
      <c r="AH444" s="158"/>
      <c r="AI444" s="88"/>
      <c r="AJ444" s="88"/>
      <c r="AK444" s="131"/>
      <c r="AL444" s="131"/>
      <c r="AM444" s="131"/>
      <c r="AN444" s="131"/>
      <c r="AO444" s="131"/>
      <c r="AP444" s="88"/>
    </row>
    <row r="445">
      <c r="A445" s="155"/>
      <c r="B445" s="173"/>
      <c r="C445" s="174"/>
      <c r="D445" s="173"/>
      <c r="E445" s="155"/>
      <c r="F445" s="155"/>
      <c r="G445" s="88"/>
      <c r="H445" s="255"/>
      <c r="I445" s="155"/>
      <c r="J445" s="155"/>
      <c r="K445" s="15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58"/>
      <c r="AA445" s="105"/>
      <c r="AB445" s="105"/>
      <c r="AC445" s="105"/>
      <c r="AD445" s="105"/>
      <c r="AE445" s="105"/>
      <c r="AF445" s="158"/>
      <c r="AG445" s="105"/>
      <c r="AH445" s="158"/>
      <c r="AI445" s="88"/>
      <c r="AJ445" s="88"/>
      <c r="AK445" s="131"/>
      <c r="AL445" s="131"/>
      <c r="AM445" s="131"/>
      <c r="AN445" s="131"/>
      <c r="AO445" s="131"/>
      <c r="AP445" s="88"/>
    </row>
    <row r="446">
      <c r="A446" s="155"/>
      <c r="B446" s="173"/>
      <c r="C446" s="174"/>
      <c r="D446" s="173"/>
      <c r="E446" s="155"/>
      <c r="F446" s="155"/>
      <c r="G446" s="88"/>
      <c r="H446" s="255"/>
      <c r="I446" s="155"/>
      <c r="J446" s="155"/>
      <c r="K446" s="15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58"/>
      <c r="AA446" s="105"/>
      <c r="AB446" s="105"/>
      <c r="AC446" s="105"/>
      <c r="AD446" s="105"/>
      <c r="AE446" s="105"/>
      <c r="AF446" s="158"/>
      <c r="AG446" s="105"/>
      <c r="AH446" s="158"/>
      <c r="AI446" s="88"/>
      <c r="AJ446" s="88"/>
      <c r="AK446" s="131"/>
      <c r="AL446" s="131"/>
      <c r="AM446" s="131"/>
      <c r="AN446" s="131"/>
      <c r="AO446" s="131"/>
      <c r="AP446" s="88"/>
    </row>
    <row r="447">
      <c r="A447" s="155"/>
      <c r="B447" s="173"/>
      <c r="C447" s="174"/>
      <c r="D447" s="173"/>
      <c r="E447" s="155"/>
      <c r="F447" s="155"/>
      <c r="G447" s="88"/>
      <c r="H447" s="255"/>
      <c r="I447" s="155"/>
      <c r="J447" s="155"/>
      <c r="K447" s="15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58"/>
      <c r="AA447" s="105"/>
      <c r="AB447" s="105"/>
      <c r="AC447" s="105"/>
      <c r="AD447" s="105"/>
      <c r="AE447" s="105"/>
      <c r="AF447" s="158"/>
      <c r="AG447" s="105"/>
      <c r="AH447" s="158"/>
      <c r="AI447" s="88"/>
      <c r="AJ447" s="88"/>
      <c r="AK447" s="131"/>
      <c r="AL447" s="131"/>
      <c r="AM447" s="131"/>
      <c r="AN447" s="131"/>
      <c r="AO447" s="131"/>
      <c r="AP447" s="88"/>
    </row>
    <row r="448">
      <c r="A448" s="155"/>
      <c r="B448" s="173"/>
      <c r="C448" s="174"/>
      <c r="D448" s="173"/>
      <c r="E448" s="155"/>
      <c r="F448" s="155"/>
      <c r="G448" s="88"/>
      <c r="H448" s="255"/>
      <c r="I448" s="155"/>
      <c r="J448" s="155"/>
      <c r="K448" s="15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58"/>
      <c r="AA448" s="105"/>
      <c r="AB448" s="105"/>
      <c r="AC448" s="105"/>
      <c r="AD448" s="105"/>
      <c r="AE448" s="105"/>
      <c r="AF448" s="158"/>
      <c r="AG448" s="105"/>
      <c r="AH448" s="158"/>
      <c r="AI448" s="88"/>
      <c r="AJ448" s="88"/>
      <c r="AK448" s="131"/>
      <c r="AL448" s="131"/>
      <c r="AM448" s="131"/>
      <c r="AN448" s="131"/>
      <c r="AO448" s="131"/>
      <c r="AP448" s="88"/>
    </row>
    <row r="449">
      <c r="A449" s="155"/>
      <c r="B449" s="173"/>
      <c r="C449" s="174"/>
      <c r="D449" s="173"/>
      <c r="E449" s="155"/>
      <c r="F449" s="155"/>
      <c r="G449" s="88"/>
      <c r="H449" s="255"/>
      <c r="I449" s="155"/>
      <c r="J449" s="155"/>
      <c r="K449" s="15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58"/>
      <c r="AA449" s="105"/>
      <c r="AB449" s="105"/>
      <c r="AC449" s="105"/>
      <c r="AD449" s="105"/>
      <c r="AE449" s="105"/>
      <c r="AF449" s="158"/>
      <c r="AG449" s="105"/>
      <c r="AH449" s="158"/>
      <c r="AI449" s="88"/>
      <c r="AJ449" s="88"/>
      <c r="AK449" s="131"/>
      <c r="AL449" s="131"/>
      <c r="AM449" s="131"/>
      <c r="AN449" s="131"/>
      <c r="AO449" s="131"/>
      <c r="AP449" s="88"/>
    </row>
    <row r="450">
      <c r="A450" s="155"/>
      <c r="B450" s="173"/>
      <c r="C450" s="174"/>
      <c r="D450" s="173"/>
      <c r="E450" s="155"/>
      <c r="F450" s="155"/>
      <c r="G450" s="88"/>
      <c r="H450" s="255"/>
      <c r="I450" s="155"/>
      <c r="J450" s="155"/>
      <c r="K450" s="15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58"/>
      <c r="AA450" s="105"/>
      <c r="AB450" s="105"/>
      <c r="AC450" s="105"/>
      <c r="AD450" s="105"/>
      <c r="AE450" s="105"/>
      <c r="AF450" s="158"/>
      <c r="AG450" s="105"/>
      <c r="AH450" s="158"/>
      <c r="AI450" s="88"/>
      <c r="AJ450" s="88"/>
      <c r="AK450" s="131"/>
      <c r="AL450" s="131"/>
      <c r="AM450" s="131"/>
      <c r="AN450" s="131"/>
      <c r="AO450" s="131"/>
      <c r="AP450" s="88"/>
    </row>
    <row r="451">
      <c r="A451" s="155"/>
      <c r="B451" s="173"/>
      <c r="C451" s="174"/>
      <c r="D451" s="173"/>
      <c r="E451" s="155"/>
      <c r="F451" s="155"/>
      <c r="G451" s="88"/>
      <c r="H451" s="255"/>
      <c r="I451" s="155"/>
      <c r="J451" s="155"/>
      <c r="K451" s="15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58"/>
      <c r="AA451" s="105"/>
      <c r="AB451" s="105"/>
      <c r="AC451" s="105"/>
      <c r="AD451" s="105"/>
      <c r="AE451" s="105"/>
      <c r="AF451" s="158"/>
      <c r="AG451" s="105"/>
      <c r="AH451" s="158"/>
      <c r="AI451" s="88"/>
      <c r="AJ451" s="88"/>
      <c r="AK451" s="131"/>
      <c r="AL451" s="131"/>
      <c r="AM451" s="131"/>
      <c r="AN451" s="131"/>
      <c r="AO451" s="131"/>
      <c r="AP451" s="88"/>
    </row>
    <row r="452">
      <c r="A452" s="155"/>
      <c r="B452" s="173"/>
      <c r="C452" s="174"/>
      <c r="D452" s="173"/>
      <c r="E452" s="155"/>
      <c r="F452" s="155"/>
      <c r="G452" s="88"/>
      <c r="H452" s="255"/>
      <c r="I452" s="155"/>
      <c r="J452" s="155"/>
      <c r="K452" s="15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58"/>
      <c r="AA452" s="105"/>
      <c r="AB452" s="105"/>
      <c r="AC452" s="105"/>
      <c r="AD452" s="105"/>
      <c r="AE452" s="105"/>
      <c r="AF452" s="158"/>
      <c r="AG452" s="105"/>
      <c r="AH452" s="158"/>
      <c r="AI452" s="88"/>
      <c r="AJ452" s="88"/>
      <c r="AK452" s="131"/>
      <c r="AL452" s="131"/>
      <c r="AM452" s="131"/>
      <c r="AN452" s="131"/>
      <c r="AO452" s="131"/>
      <c r="AP452" s="88"/>
    </row>
    <row r="453">
      <c r="A453" s="155"/>
      <c r="B453" s="173"/>
      <c r="C453" s="174"/>
      <c r="D453" s="173"/>
      <c r="E453" s="155"/>
      <c r="F453" s="155"/>
      <c r="G453" s="88"/>
      <c r="H453" s="255"/>
      <c r="I453" s="155"/>
      <c r="J453" s="155"/>
      <c r="K453" s="15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58"/>
      <c r="AA453" s="105"/>
      <c r="AB453" s="105"/>
      <c r="AC453" s="105"/>
      <c r="AD453" s="105"/>
      <c r="AE453" s="105"/>
      <c r="AF453" s="158"/>
      <c r="AG453" s="105"/>
      <c r="AH453" s="158"/>
      <c r="AI453" s="88"/>
      <c r="AJ453" s="88"/>
      <c r="AK453" s="131"/>
      <c r="AL453" s="131"/>
      <c r="AM453" s="131"/>
      <c r="AN453" s="131"/>
      <c r="AO453" s="131"/>
      <c r="AP453" s="88"/>
    </row>
    <row r="454">
      <c r="A454" s="155"/>
      <c r="B454" s="173"/>
      <c r="C454" s="174"/>
      <c r="D454" s="173"/>
      <c r="E454" s="155"/>
      <c r="F454" s="155"/>
      <c r="G454" s="88"/>
      <c r="H454" s="255"/>
      <c r="I454" s="155"/>
      <c r="J454" s="155"/>
      <c r="K454" s="15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58"/>
      <c r="AA454" s="105"/>
      <c r="AB454" s="105"/>
      <c r="AC454" s="105"/>
      <c r="AD454" s="105"/>
      <c r="AE454" s="105"/>
      <c r="AF454" s="158"/>
      <c r="AG454" s="105"/>
      <c r="AH454" s="158"/>
      <c r="AI454" s="88"/>
      <c r="AJ454" s="88"/>
      <c r="AK454" s="131"/>
      <c r="AL454" s="131"/>
      <c r="AM454" s="131"/>
      <c r="AN454" s="131"/>
      <c r="AO454" s="131"/>
      <c r="AP454" s="88"/>
    </row>
    <row r="455">
      <c r="A455" s="155"/>
      <c r="B455" s="173"/>
      <c r="C455" s="174"/>
      <c r="D455" s="173"/>
      <c r="E455" s="155"/>
      <c r="F455" s="155"/>
      <c r="G455" s="88"/>
      <c r="H455" s="255"/>
      <c r="I455" s="155"/>
      <c r="J455" s="155"/>
      <c r="K455" s="15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58"/>
      <c r="AA455" s="105"/>
      <c r="AB455" s="105"/>
      <c r="AC455" s="105"/>
      <c r="AD455" s="105"/>
      <c r="AE455" s="105"/>
      <c r="AF455" s="158"/>
      <c r="AG455" s="105"/>
      <c r="AH455" s="158"/>
      <c r="AI455" s="88"/>
      <c r="AJ455" s="88"/>
      <c r="AK455" s="131"/>
      <c r="AL455" s="131"/>
      <c r="AM455" s="131"/>
      <c r="AN455" s="131"/>
      <c r="AO455" s="131"/>
      <c r="AP455" s="88"/>
    </row>
    <row r="456">
      <c r="A456" s="155"/>
      <c r="B456" s="173"/>
      <c r="C456" s="174"/>
      <c r="D456" s="173"/>
      <c r="E456" s="155"/>
      <c r="F456" s="155"/>
      <c r="G456" s="88"/>
      <c r="H456" s="255"/>
      <c r="I456" s="155"/>
      <c r="J456" s="155"/>
      <c r="K456" s="15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58"/>
      <c r="AA456" s="105"/>
      <c r="AB456" s="105"/>
      <c r="AC456" s="105"/>
      <c r="AD456" s="105"/>
      <c r="AE456" s="105"/>
      <c r="AF456" s="158"/>
      <c r="AG456" s="105"/>
      <c r="AH456" s="158"/>
      <c r="AI456" s="88"/>
      <c r="AJ456" s="88"/>
      <c r="AK456" s="131"/>
      <c r="AL456" s="131"/>
      <c r="AM456" s="131"/>
      <c r="AN456" s="131"/>
      <c r="AO456" s="131"/>
      <c r="AP456" s="88"/>
    </row>
    <row r="457">
      <c r="A457" s="155"/>
      <c r="B457" s="173"/>
      <c r="C457" s="174"/>
      <c r="D457" s="173"/>
      <c r="E457" s="155"/>
      <c r="F457" s="155"/>
      <c r="G457" s="88"/>
      <c r="H457" s="255"/>
      <c r="I457" s="155"/>
      <c r="J457" s="155"/>
      <c r="K457" s="15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58"/>
      <c r="AA457" s="105"/>
      <c r="AB457" s="105"/>
      <c r="AC457" s="105"/>
      <c r="AD457" s="105"/>
      <c r="AE457" s="105"/>
      <c r="AF457" s="158"/>
      <c r="AG457" s="105"/>
      <c r="AH457" s="158"/>
      <c r="AI457" s="88"/>
      <c r="AJ457" s="88"/>
      <c r="AK457" s="131"/>
      <c r="AL457" s="131"/>
      <c r="AM457" s="131"/>
      <c r="AN457" s="131"/>
      <c r="AO457" s="131"/>
      <c r="AP457" s="88"/>
    </row>
    <row r="458">
      <c r="A458" s="155"/>
      <c r="B458" s="173"/>
      <c r="C458" s="174"/>
      <c r="D458" s="173"/>
      <c r="E458" s="155"/>
      <c r="F458" s="155"/>
      <c r="G458" s="88"/>
      <c r="H458" s="255"/>
      <c r="I458" s="155"/>
      <c r="J458" s="155"/>
      <c r="K458" s="15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58"/>
      <c r="AA458" s="105"/>
      <c r="AB458" s="105"/>
      <c r="AC458" s="105"/>
      <c r="AD458" s="105"/>
      <c r="AE458" s="105"/>
      <c r="AF458" s="158"/>
      <c r="AG458" s="105"/>
      <c r="AH458" s="158"/>
      <c r="AI458" s="88"/>
      <c r="AJ458" s="88"/>
      <c r="AK458" s="131"/>
      <c r="AL458" s="131"/>
      <c r="AM458" s="131"/>
      <c r="AN458" s="131"/>
      <c r="AO458" s="131"/>
      <c r="AP458" s="88"/>
    </row>
    <row r="459">
      <c r="A459" s="155"/>
      <c r="B459" s="173"/>
      <c r="C459" s="174"/>
      <c r="D459" s="173"/>
      <c r="E459" s="155"/>
      <c r="F459" s="155"/>
      <c r="G459" s="88"/>
      <c r="H459" s="255"/>
      <c r="I459" s="155"/>
      <c r="J459" s="155"/>
      <c r="K459" s="15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58"/>
      <c r="AA459" s="105"/>
      <c r="AB459" s="105"/>
      <c r="AC459" s="105"/>
      <c r="AD459" s="105"/>
      <c r="AE459" s="105"/>
      <c r="AF459" s="158"/>
      <c r="AG459" s="105"/>
      <c r="AH459" s="158"/>
      <c r="AI459" s="88"/>
      <c r="AJ459" s="88"/>
      <c r="AK459" s="131"/>
      <c r="AL459" s="131"/>
      <c r="AM459" s="131"/>
      <c r="AN459" s="131"/>
      <c r="AO459" s="131"/>
      <c r="AP459" s="88"/>
    </row>
    <row r="460">
      <c r="A460" s="155"/>
      <c r="B460" s="173"/>
      <c r="C460" s="174"/>
      <c r="D460" s="173"/>
      <c r="E460" s="155"/>
      <c r="F460" s="155"/>
      <c r="G460" s="88"/>
      <c r="H460" s="255"/>
      <c r="I460" s="155"/>
      <c r="J460" s="155"/>
      <c r="K460" s="15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58"/>
      <c r="AA460" s="105"/>
      <c r="AB460" s="105"/>
      <c r="AC460" s="105"/>
      <c r="AD460" s="105"/>
      <c r="AE460" s="105"/>
      <c r="AF460" s="158"/>
      <c r="AG460" s="105"/>
      <c r="AH460" s="158"/>
      <c r="AI460" s="88"/>
      <c r="AJ460" s="88"/>
      <c r="AK460" s="131"/>
      <c r="AL460" s="131"/>
      <c r="AM460" s="131"/>
      <c r="AN460" s="131"/>
      <c r="AO460" s="131"/>
      <c r="AP460" s="88"/>
    </row>
    <row r="461">
      <c r="A461" s="155"/>
      <c r="B461" s="173"/>
      <c r="C461" s="174"/>
      <c r="D461" s="173"/>
      <c r="E461" s="155"/>
      <c r="F461" s="155"/>
      <c r="G461" s="88"/>
      <c r="H461" s="255"/>
      <c r="I461" s="155"/>
      <c r="J461" s="155"/>
      <c r="K461" s="15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58"/>
      <c r="AA461" s="105"/>
      <c r="AB461" s="105"/>
      <c r="AC461" s="105"/>
      <c r="AD461" s="105"/>
      <c r="AE461" s="105"/>
      <c r="AF461" s="158"/>
      <c r="AG461" s="105"/>
      <c r="AH461" s="158"/>
      <c r="AI461" s="88"/>
      <c r="AJ461" s="88"/>
      <c r="AK461" s="131"/>
      <c r="AL461" s="131"/>
      <c r="AM461" s="131"/>
      <c r="AN461" s="131"/>
      <c r="AO461" s="131"/>
      <c r="AP461" s="88"/>
    </row>
    <row r="462">
      <c r="A462" s="155"/>
      <c r="B462" s="173"/>
      <c r="C462" s="174"/>
      <c r="D462" s="173"/>
      <c r="E462" s="155"/>
      <c r="F462" s="155"/>
      <c r="G462" s="88"/>
      <c r="H462" s="255"/>
      <c r="I462" s="155"/>
      <c r="J462" s="155"/>
      <c r="K462" s="15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58"/>
      <c r="AA462" s="105"/>
      <c r="AB462" s="105"/>
      <c r="AC462" s="105"/>
      <c r="AD462" s="105"/>
      <c r="AE462" s="105"/>
      <c r="AF462" s="158"/>
      <c r="AG462" s="105"/>
      <c r="AH462" s="158"/>
      <c r="AI462" s="88"/>
      <c r="AJ462" s="88"/>
      <c r="AK462" s="131"/>
      <c r="AL462" s="131"/>
      <c r="AM462" s="131"/>
      <c r="AN462" s="131"/>
      <c r="AO462" s="131"/>
      <c r="AP462" s="88"/>
    </row>
    <row r="463">
      <c r="A463" s="155"/>
      <c r="B463" s="173"/>
      <c r="C463" s="174"/>
      <c r="D463" s="173"/>
      <c r="E463" s="155"/>
      <c r="F463" s="155"/>
      <c r="G463" s="88"/>
      <c r="H463" s="255"/>
      <c r="I463" s="155"/>
      <c r="J463" s="155"/>
      <c r="K463" s="15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58"/>
      <c r="AA463" s="105"/>
      <c r="AB463" s="105"/>
      <c r="AC463" s="105"/>
      <c r="AD463" s="105"/>
      <c r="AE463" s="105"/>
      <c r="AF463" s="158"/>
      <c r="AG463" s="105"/>
      <c r="AH463" s="158"/>
      <c r="AI463" s="88"/>
      <c r="AJ463" s="88"/>
      <c r="AK463" s="131"/>
      <c r="AL463" s="131"/>
      <c r="AM463" s="131"/>
      <c r="AN463" s="131"/>
      <c r="AO463" s="131"/>
      <c r="AP463" s="88"/>
    </row>
    <row r="464">
      <c r="A464" s="155"/>
      <c r="B464" s="173"/>
      <c r="C464" s="174"/>
      <c r="D464" s="173"/>
      <c r="E464" s="155"/>
      <c r="F464" s="155"/>
      <c r="G464" s="88"/>
      <c r="H464" s="255"/>
      <c r="I464" s="155"/>
      <c r="J464" s="155"/>
      <c r="K464" s="15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58"/>
      <c r="AA464" s="105"/>
      <c r="AB464" s="105"/>
      <c r="AC464" s="105"/>
      <c r="AD464" s="105"/>
      <c r="AE464" s="105"/>
      <c r="AF464" s="158"/>
      <c r="AG464" s="105"/>
      <c r="AH464" s="158"/>
      <c r="AI464" s="88"/>
      <c r="AJ464" s="88"/>
      <c r="AK464" s="131"/>
      <c r="AL464" s="131"/>
      <c r="AM464" s="131"/>
      <c r="AN464" s="131"/>
      <c r="AO464" s="131"/>
      <c r="AP464" s="88"/>
    </row>
    <row r="465">
      <c r="A465" s="155"/>
      <c r="B465" s="173"/>
      <c r="C465" s="174"/>
      <c r="D465" s="173"/>
      <c r="E465" s="155"/>
      <c r="F465" s="155"/>
      <c r="G465" s="88"/>
      <c r="H465" s="255"/>
      <c r="I465" s="155"/>
      <c r="J465" s="155"/>
      <c r="K465" s="15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58"/>
      <c r="AA465" s="105"/>
      <c r="AB465" s="105"/>
      <c r="AC465" s="105"/>
      <c r="AD465" s="105"/>
      <c r="AE465" s="105"/>
      <c r="AF465" s="158"/>
      <c r="AG465" s="105"/>
      <c r="AH465" s="158"/>
      <c r="AI465" s="88"/>
      <c r="AJ465" s="88"/>
      <c r="AK465" s="131"/>
      <c r="AL465" s="131"/>
      <c r="AM465" s="131"/>
      <c r="AN465" s="131"/>
      <c r="AO465" s="131"/>
      <c r="AP465" s="88"/>
    </row>
    <row r="466">
      <c r="A466" s="155"/>
      <c r="B466" s="173"/>
      <c r="C466" s="174"/>
      <c r="D466" s="173"/>
      <c r="E466" s="155"/>
      <c r="F466" s="155"/>
      <c r="G466" s="88"/>
      <c r="H466" s="255"/>
      <c r="I466" s="155"/>
      <c r="J466" s="155"/>
      <c r="K466" s="15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58"/>
      <c r="AA466" s="105"/>
      <c r="AB466" s="105"/>
      <c r="AC466" s="105"/>
      <c r="AD466" s="105"/>
      <c r="AE466" s="105"/>
      <c r="AF466" s="158"/>
      <c r="AG466" s="105"/>
      <c r="AH466" s="158"/>
      <c r="AI466" s="88"/>
      <c r="AJ466" s="88"/>
      <c r="AK466" s="131"/>
      <c r="AL466" s="131"/>
      <c r="AM466" s="131"/>
      <c r="AN466" s="131"/>
      <c r="AO466" s="131"/>
      <c r="AP466" s="88"/>
    </row>
    <row r="467">
      <c r="A467" s="155"/>
      <c r="B467" s="173"/>
      <c r="C467" s="174"/>
      <c r="D467" s="173"/>
      <c r="E467" s="155"/>
      <c r="F467" s="155"/>
      <c r="G467" s="88"/>
      <c r="H467" s="255"/>
      <c r="I467" s="155"/>
      <c r="J467" s="155"/>
      <c r="K467" s="15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58"/>
      <c r="AA467" s="105"/>
      <c r="AB467" s="105"/>
      <c r="AC467" s="105"/>
      <c r="AD467" s="105"/>
      <c r="AE467" s="105"/>
      <c r="AF467" s="158"/>
      <c r="AG467" s="105"/>
      <c r="AH467" s="158"/>
      <c r="AI467" s="88"/>
      <c r="AJ467" s="88"/>
      <c r="AK467" s="131"/>
      <c r="AL467" s="131"/>
      <c r="AM467" s="131"/>
      <c r="AN467" s="131"/>
      <c r="AO467" s="131"/>
      <c r="AP467" s="88"/>
    </row>
    <row r="468">
      <c r="A468" s="155"/>
      <c r="B468" s="173"/>
      <c r="C468" s="174"/>
      <c r="D468" s="173"/>
      <c r="E468" s="155"/>
      <c r="F468" s="155"/>
      <c r="G468" s="88"/>
      <c r="H468" s="255"/>
      <c r="I468" s="155"/>
      <c r="J468" s="155"/>
      <c r="K468" s="15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58"/>
      <c r="AA468" s="105"/>
      <c r="AB468" s="105"/>
      <c r="AC468" s="105"/>
      <c r="AD468" s="105"/>
      <c r="AE468" s="105"/>
      <c r="AF468" s="158"/>
      <c r="AG468" s="105"/>
      <c r="AH468" s="158"/>
      <c r="AI468" s="88"/>
      <c r="AJ468" s="88"/>
      <c r="AK468" s="131"/>
      <c r="AL468" s="131"/>
      <c r="AM468" s="131"/>
      <c r="AN468" s="131"/>
      <c r="AO468" s="131"/>
      <c r="AP468" s="88"/>
    </row>
    <row r="469">
      <c r="A469" s="155"/>
      <c r="B469" s="173"/>
      <c r="C469" s="174"/>
      <c r="D469" s="173"/>
      <c r="E469" s="155"/>
      <c r="F469" s="155"/>
      <c r="G469" s="88"/>
      <c r="H469" s="255"/>
      <c r="I469" s="155"/>
      <c r="J469" s="155"/>
      <c r="K469" s="15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58"/>
      <c r="AA469" s="105"/>
      <c r="AB469" s="105"/>
      <c r="AC469" s="105"/>
      <c r="AD469" s="105"/>
      <c r="AE469" s="105"/>
      <c r="AF469" s="158"/>
      <c r="AG469" s="105"/>
      <c r="AH469" s="158"/>
      <c r="AI469" s="88"/>
      <c r="AJ469" s="88"/>
      <c r="AK469" s="131"/>
      <c r="AL469" s="131"/>
      <c r="AM469" s="131"/>
      <c r="AN469" s="131"/>
      <c r="AO469" s="131"/>
      <c r="AP469" s="88"/>
    </row>
    <row r="470">
      <c r="A470" s="155"/>
      <c r="B470" s="173"/>
      <c r="C470" s="174"/>
      <c r="D470" s="173"/>
      <c r="E470" s="155"/>
      <c r="F470" s="155"/>
      <c r="G470" s="88"/>
      <c r="H470" s="255"/>
      <c r="I470" s="155"/>
      <c r="J470" s="155"/>
      <c r="K470" s="15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58"/>
      <c r="AA470" s="105"/>
      <c r="AB470" s="105"/>
      <c r="AC470" s="105"/>
      <c r="AD470" s="105"/>
      <c r="AE470" s="105"/>
      <c r="AF470" s="158"/>
      <c r="AG470" s="105"/>
      <c r="AH470" s="158"/>
      <c r="AI470" s="88"/>
      <c r="AJ470" s="88"/>
      <c r="AK470" s="131"/>
      <c r="AL470" s="131"/>
      <c r="AM470" s="131"/>
      <c r="AN470" s="131"/>
      <c r="AO470" s="131"/>
      <c r="AP470" s="88"/>
    </row>
    <row r="471">
      <c r="A471" s="155"/>
      <c r="B471" s="173"/>
      <c r="C471" s="174"/>
      <c r="D471" s="173"/>
      <c r="E471" s="155"/>
      <c r="F471" s="155"/>
      <c r="G471" s="88"/>
      <c r="H471" s="255"/>
      <c r="I471" s="155"/>
      <c r="J471" s="155"/>
      <c r="K471" s="15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58"/>
      <c r="AA471" s="105"/>
      <c r="AB471" s="105"/>
      <c r="AC471" s="105"/>
      <c r="AD471" s="105"/>
      <c r="AE471" s="105"/>
      <c r="AF471" s="158"/>
      <c r="AG471" s="105"/>
      <c r="AH471" s="158"/>
      <c r="AI471" s="88"/>
      <c r="AJ471" s="88"/>
      <c r="AK471" s="131"/>
      <c r="AL471" s="131"/>
      <c r="AM471" s="131"/>
      <c r="AN471" s="131"/>
      <c r="AO471" s="131"/>
      <c r="AP471" s="88"/>
    </row>
    <row r="472">
      <c r="A472" s="155"/>
      <c r="B472" s="173"/>
      <c r="C472" s="174"/>
      <c r="D472" s="173"/>
      <c r="E472" s="155"/>
      <c r="F472" s="155"/>
      <c r="G472" s="88"/>
      <c r="H472" s="255"/>
      <c r="I472" s="155"/>
      <c r="J472" s="155"/>
      <c r="K472" s="15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58"/>
      <c r="AA472" s="105"/>
      <c r="AB472" s="105"/>
      <c r="AC472" s="105"/>
      <c r="AD472" s="105"/>
      <c r="AE472" s="105"/>
      <c r="AF472" s="158"/>
      <c r="AG472" s="105"/>
      <c r="AH472" s="158"/>
      <c r="AI472" s="88"/>
      <c r="AJ472" s="88"/>
      <c r="AK472" s="131"/>
      <c r="AL472" s="131"/>
      <c r="AM472" s="131"/>
      <c r="AN472" s="131"/>
      <c r="AO472" s="131"/>
      <c r="AP472" s="88"/>
    </row>
    <row r="473">
      <c r="A473" s="155"/>
      <c r="B473" s="173"/>
      <c r="C473" s="174"/>
      <c r="D473" s="173"/>
      <c r="E473" s="155"/>
      <c r="F473" s="155"/>
      <c r="G473" s="88"/>
      <c r="H473" s="255"/>
      <c r="I473" s="155"/>
      <c r="J473" s="155"/>
      <c r="K473" s="15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58"/>
      <c r="AA473" s="105"/>
      <c r="AB473" s="105"/>
      <c r="AC473" s="105"/>
      <c r="AD473" s="105"/>
      <c r="AE473" s="105"/>
      <c r="AF473" s="158"/>
      <c r="AG473" s="105"/>
      <c r="AH473" s="158"/>
      <c r="AI473" s="88"/>
      <c r="AJ473" s="88"/>
      <c r="AK473" s="131"/>
      <c r="AL473" s="131"/>
      <c r="AM473" s="131"/>
      <c r="AN473" s="131"/>
      <c r="AO473" s="131"/>
      <c r="AP473" s="88"/>
    </row>
    <row r="474">
      <c r="A474" s="155"/>
      <c r="B474" s="173"/>
      <c r="C474" s="174"/>
      <c r="D474" s="173"/>
      <c r="E474" s="155"/>
      <c r="F474" s="155"/>
      <c r="G474" s="88"/>
      <c r="H474" s="255"/>
      <c r="I474" s="155"/>
      <c r="J474" s="155"/>
      <c r="K474" s="15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58"/>
      <c r="AA474" s="105"/>
      <c r="AB474" s="105"/>
      <c r="AC474" s="105"/>
      <c r="AD474" s="105"/>
      <c r="AE474" s="105"/>
      <c r="AF474" s="158"/>
      <c r="AG474" s="105"/>
      <c r="AH474" s="158"/>
      <c r="AI474" s="88"/>
      <c r="AJ474" s="88"/>
      <c r="AK474" s="131"/>
      <c r="AL474" s="131"/>
      <c r="AM474" s="131"/>
      <c r="AN474" s="131"/>
      <c r="AO474" s="131"/>
      <c r="AP474" s="88"/>
    </row>
    <row r="475">
      <c r="A475" s="155"/>
      <c r="B475" s="173"/>
      <c r="C475" s="174"/>
      <c r="D475" s="173"/>
      <c r="E475" s="155"/>
      <c r="F475" s="155"/>
      <c r="G475" s="88"/>
      <c r="H475" s="255"/>
      <c r="I475" s="155"/>
      <c r="J475" s="155"/>
      <c r="K475" s="15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58"/>
      <c r="AA475" s="105"/>
      <c r="AB475" s="105"/>
      <c r="AC475" s="105"/>
      <c r="AD475" s="105"/>
      <c r="AE475" s="105"/>
      <c r="AF475" s="158"/>
      <c r="AG475" s="105"/>
      <c r="AH475" s="158"/>
      <c r="AI475" s="88"/>
      <c r="AJ475" s="88"/>
      <c r="AK475" s="131"/>
      <c r="AL475" s="131"/>
      <c r="AM475" s="131"/>
      <c r="AN475" s="131"/>
      <c r="AO475" s="131"/>
      <c r="AP475" s="88"/>
    </row>
    <row r="476">
      <c r="A476" s="155"/>
      <c r="B476" s="173"/>
      <c r="C476" s="174"/>
      <c r="D476" s="173"/>
      <c r="E476" s="155"/>
      <c r="F476" s="155"/>
      <c r="G476" s="88"/>
      <c r="H476" s="255"/>
      <c r="I476" s="155"/>
      <c r="J476" s="155"/>
      <c r="K476" s="15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58"/>
      <c r="AA476" s="105"/>
      <c r="AB476" s="105"/>
      <c r="AC476" s="105"/>
      <c r="AD476" s="105"/>
      <c r="AE476" s="105"/>
      <c r="AF476" s="158"/>
      <c r="AG476" s="105"/>
      <c r="AH476" s="158"/>
      <c r="AI476" s="88"/>
      <c r="AJ476" s="88"/>
      <c r="AK476" s="131"/>
      <c r="AL476" s="131"/>
      <c r="AM476" s="131"/>
      <c r="AN476" s="131"/>
      <c r="AO476" s="131"/>
      <c r="AP476" s="88"/>
    </row>
    <row r="477">
      <c r="A477" s="155"/>
      <c r="B477" s="173"/>
      <c r="C477" s="174"/>
      <c r="D477" s="173"/>
      <c r="E477" s="155"/>
      <c r="F477" s="155"/>
      <c r="G477" s="88"/>
      <c r="H477" s="255"/>
      <c r="I477" s="155"/>
      <c r="J477" s="155"/>
      <c r="K477" s="15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58"/>
      <c r="AA477" s="105"/>
      <c r="AB477" s="105"/>
      <c r="AC477" s="105"/>
      <c r="AD477" s="105"/>
      <c r="AE477" s="105"/>
      <c r="AF477" s="158"/>
      <c r="AG477" s="105"/>
      <c r="AH477" s="158"/>
      <c r="AI477" s="88"/>
      <c r="AJ477" s="88"/>
      <c r="AK477" s="131"/>
      <c r="AL477" s="131"/>
      <c r="AM477" s="131"/>
      <c r="AN477" s="131"/>
      <c r="AO477" s="131"/>
      <c r="AP477" s="88"/>
    </row>
    <row r="478">
      <c r="A478" s="155"/>
      <c r="B478" s="173"/>
      <c r="C478" s="174"/>
      <c r="D478" s="173"/>
      <c r="E478" s="155"/>
      <c r="F478" s="155"/>
      <c r="G478" s="88"/>
      <c r="H478" s="255"/>
      <c r="I478" s="155"/>
      <c r="J478" s="155"/>
      <c r="K478" s="15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58"/>
      <c r="AA478" s="105"/>
      <c r="AB478" s="105"/>
      <c r="AC478" s="105"/>
      <c r="AD478" s="105"/>
      <c r="AE478" s="105"/>
      <c r="AF478" s="158"/>
      <c r="AG478" s="105"/>
      <c r="AH478" s="158"/>
      <c r="AI478" s="88"/>
      <c r="AJ478" s="88"/>
      <c r="AK478" s="131"/>
      <c r="AL478" s="131"/>
      <c r="AM478" s="131"/>
      <c r="AN478" s="131"/>
      <c r="AO478" s="131"/>
      <c r="AP478" s="88"/>
    </row>
    <row r="479">
      <c r="A479" s="155"/>
      <c r="B479" s="173"/>
      <c r="C479" s="174"/>
      <c r="D479" s="173"/>
      <c r="E479" s="155"/>
      <c r="F479" s="155"/>
      <c r="G479" s="88"/>
      <c r="H479" s="255"/>
      <c r="I479" s="155"/>
      <c r="J479" s="155"/>
      <c r="K479" s="15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58"/>
      <c r="AA479" s="105"/>
      <c r="AB479" s="105"/>
      <c r="AC479" s="105"/>
      <c r="AD479" s="105"/>
      <c r="AE479" s="105"/>
      <c r="AF479" s="158"/>
      <c r="AG479" s="105"/>
      <c r="AH479" s="158"/>
      <c r="AI479" s="88"/>
      <c r="AJ479" s="88"/>
      <c r="AK479" s="131"/>
      <c r="AL479" s="131"/>
      <c r="AM479" s="131"/>
      <c r="AN479" s="131"/>
      <c r="AO479" s="131"/>
      <c r="AP479" s="88"/>
    </row>
    <row r="480">
      <c r="A480" s="155"/>
      <c r="B480" s="173"/>
      <c r="C480" s="174"/>
      <c r="D480" s="173"/>
      <c r="E480" s="155"/>
      <c r="F480" s="155"/>
      <c r="G480" s="88"/>
      <c r="H480" s="255"/>
      <c r="I480" s="155"/>
      <c r="J480" s="155"/>
      <c r="K480" s="15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58"/>
      <c r="AA480" s="105"/>
      <c r="AB480" s="105"/>
      <c r="AC480" s="105"/>
      <c r="AD480" s="105"/>
      <c r="AE480" s="105"/>
      <c r="AF480" s="158"/>
      <c r="AG480" s="105"/>
      <c r="AH480" s="158"/>
      <c r="AI480" s="88"/>
      <c r="AJ480" s="88"/>
      <c r="AK480" s="131"/>
      <c r="AL480" s="131"/>
      <c r="AM480" s="131"/>
      <c r="AN480" s="131"/>
      <c r="AO480" s="131"/>
      <c r="AP480" s="88"/>
    </row>
    <row r="481">
      <c r="A481" s="155"/>
      <c r="B481" s="173"/>
      <c r="C481" s="174"/>
      <c r="D481" s="173"/>
      <c r="E481" s="155"/>
      <c r="F481" s="155"/>
      <c r="G481" s="88"/>
      <c r="H481" s="255"/>
      <c r="I481" s="155"/>
      <c r="J481" s="155"/>
      <c r="K481" s="15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58"/>
      <c r="AA481" s="105"/>
      <c r="AB481" s="105"/>
      <c r="AC481" s="105"/>
      <c r="AD481" s="105"/>
      <c r="AE481" s="105"/>
      <c r="AF481" s="158"/>
      <c r="AG481" s="105"/>
      <c r="AH481" s="158"/>
      <c r="AI481" s="88"/>
      <c r="AJ481" s="88"/>
      <c r="AK481" s="131"/>
      <c r="AL481" s="131"/>
      <c r="AM481" s="131"/>
      <c r="AN481" s="131"/>
      <c r="AO481" s="131"/>
      <c r="AP481" s="88"/>
    </row>
    <row r="482">
      <c r="A482" s="155"/>
      <c r="B482" s="173"/>
      <c r="C482" s="174"/>
      <c r="D482" s="173"/>
      <c r="E482" s="155"/>
      <c r="F482" s="155"/>
      <c r="G482" s="88"/>
      <c r="H482" s="255"/>
      <c r="I482" s="155"/>
      <c r="J482" s="155"/>
      <c r="K482" s="15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58"/>
      <c r="AA482" s="105"/>
      <c r="AB482" s="105"/>
      <c r="AC482" s="105"/>
      <c r="AD482" s="105"/>
      <c r="AE482" s="105"/>
      <c r="AF482" s="158"/>
      <c r="AG482" s="105"/>
      <c r="AH482" s="158"/>
      <c r="AI482" s="88"/>
      <c r="AJ482" s="88"/>
      <c r="AK482" s="131"/>
      <c r="AL482" s="131"/>
      <c r="AM482" s="131"/>
      <c r="AN482" s="131"/>
      <c r="AO482" s="131"/>
      <c r="AP482" s="88"/>
    </row>
    <row r="483">
      <c r="A483" s="155"/>
      <c r="B483" s="173"/>
      <c r="C483" s="174"/>
      <c r="D483" s="173"/>
      <c r="E483" s="155"/>
      <c r="F483" s="155"/>
      <c r="G483" s="88"/>
      <c r="H483" s="255"/>
      <c r="I483" s="155"/>
      <c r="J483" s="155"/>
      <c r="K483" s="15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58"/>
      <c r="AA483" s="105"/>
      <c r="AB483" s="105"/>
      <c r="AC483" s="105"/>
      <c r="AD483" s="105"/>
      <c r="AE483" s="105"/>
      <c r="AF483" s="158"/>
      <c r="AG483" s="105"/>
      <c r="AH483" s="158"/>
      <c r="AI483" s="88"/>
      <c r="AJ483" s="88"/>
      <c r="AK483" s="131"/>
      <c r="AL483" s="131"/>
      <c r="AM483" s="131"/>
      <c r="AN483" s="131"/>
      <c r="AO483" s="131"/>
      <c r="AP483" s="88"/>
    </row>
    <row r="484">
      <c r="A484" s="155"/>
      <c r="B484" s="173"/>
      <c r="C484" s="174"/>
      <c r="D484" s="173"/>
      <c r="E484" s="155"/>
      <c r="F484" s="155"/>
      <c r="G484" s="88"/>
      <c r="H484" s="255"/>
      <c r="I484" s="155"/>
      <c r="J484" s="155"/>
      <c r="K484" s="15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58"/>
      <c r="AA484" s="105"/>
      <c r="AB484" s="105"/>
      <c r="AC484" s="105"/>
      <c r="AD484" s="105"/>
      <c r="AE484" s="105"/>
      <c r="AF484" s="158"/>
      <c r="AG484" s="105"/>
      <c r="AH484" s="158"/>
      <c r="AI484" s="88"/>
      <c r="AJ484" s="88"/>
      <c r="AK484" s="131"/>
      <c r="AL484" s="131"/>
      <c r="AM484" s="131"/>
      <c r="AN484" s="131"/>
      <c r="AO484" s="131"/>
      <c r="AP484" s="88"/>
    </row>
    <row r="485">
      <c r="A485" s="155"/>
      <c r="B485" s="173"/>
      <c r="C485" s="174"/>
      <c r="D485" s="173"/>
      <c r="E485" s="155"/>
      <c r="F485" s="155"/>
      <c r="G485" s="88"/>
      <c r="H485" s="255"/>
      <c r="I485" s="155"/>
      <c r="J485" s="155"/>
      <c r="K485" s="15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58"/>
      <c r="AA485" s="105"/>
      <c r="AB485" s="105"/>
      <c r="AC485" s="105"/>
      <c r="AD485" s="105"/>
      <c r="AE485" s="105"/>
      <c r="AF485" s="158"/>
      <c r="AG485" s="105"/>
      <c r="AH485" s="158"/>
      <c r="AI485" s="88"/>
      <c r="AJ485" s="88"/>
      <c r="AK485" s="131"/>
      <c r="AL485" s="131"/>
      <c r="AM485" s="131"/>
      <c r="AN485" s="131"/>
      <c r="AO485" s="131"/>
      <c r="AP485" s="88"/>
    </row>
    <row r="486">
      <c r="A486" s="155"/>
      <c r="B486" s="173"/>
      <c r="C486" s="174"/>
      <c r="D486" s="173"/>
      <c r="E486" s="155"/>
      <c r="F486" s="155"/>
      <c r="G486" s="88"/>
      <c r="H486" s="255"/>
      <c r="I486" s="155"/>
      <c r="J486" s="155"/>
      <c r="K486" s="15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58"/>
      <c r="AA486" s="105"/>
      <c r="AB486" s="105"/>
      <c r="AC486" s="105"/>
      <c r="AD486" s="105"/>
      <c r="AE486" s="105"/>
      <c r="AF486" s="158"/>
      <c r="AG486" s="105"/>
      <c r="AH486" s="158"/>
      <c r="AI486" s="88"/>
      <c r="AJ486" s="88"/>
      <c r="AK486" s="131"/>
      <c r="AL486" s="131"/>
      <c r="AM486" s="131"/>
      <c r="AN486" s="131"/>
      <c r="AO486" s="131"/>
      <c r="AP486" s="88"/>
    </row>
    <row r="487">
      <c r="A487" s="155"/>
      <c r="B487" s="173"/>
      <c r="C487" s="174"/>
      <c r="D487" s="173"/>
      <c r="E487" s="155"/>
      <c r="F487" s="155"/>
      <c r="G487" s="88"/>
      <c r="H487" s="255"/>
      <c r="I487" s="155"/>
      <c r="J487" s="155"/>
      <c r="K487" s="15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58"/>
      <c r="AA487" s="105"/>
      <c r="AB487" s="105"/>
      <c r="AC487" s="105"/>
      <c r="AD487" s="105"/>
      <c r="AE487" s="105"/>
      <c r="AF487" s="158"/>
      <c r="AG487" s="105"/>
      <c r="AH487" s="158"/>
      <c r="AI487" s="88"/>
      <c r="AJ487" s="88"/>
      <c r="AK487" s="131"/>
      <c r="AL487" s="131"/>
      <c r="AM487" s="131"/>
      <c r="AN487" s="131"/>
      <c r="AO487" s="131"/>
      <c r="AP487" s="88"/>
    </row>
    <row r="488">
      <c r="A488" s="155"/>
      <c r="B488" s="173"/>
      <c r="C488" s="174"/>
      <c r="D488" s="173"/>
      <c r="E488" s="155"/>
      <c r="F488" s="155"/>
      <c r="G488" s="88"/>
      <c r="H488" s="255"/>
      <c r="I488" s="155"/>
      <c r="J488" s="155"/>
      <c r="K488" s="15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58"/>
      <c r="AA488" s="105"/>
      <c r="AB488" s="105"/>
      <c r="AC488" s="105"/>
      <c r="AD488" s="105"/>
      <c r="AE488" s="105"/>
      <c r="AF488" s="158"/>
      <c r="AG488" s="105"/>
      <c r="AH488" s="158"/>
      <c r="AI488" s="88"/>
      <c r="AJ488" s="88"/>
      <c r="AK488" s="131"/>
      <c r="AL488" s="131"/>
      <c r="AM488" s="131"/>
      <c r="AN488" s="131"/>
      <c r="AO488" s="131"/>
      <c r="AP488" s="88"/>
    </row>
    <row r="489">
      <c r="A489" s="155"/>
      <c r="B489" s="173"/>
      <c r="C489" s="174"/>
      <c r="D489" s="173"/>
      <c r="E489" s="155"/>
      <c r="F489" s="155"/>
      <c r="G489" s="88"/>
      <c r="H489" s="255"/>
      <c r="I489" s="155"/>
      <c r="J489" s="155"/>
      <c r="K489" s="15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58"/>
      <c r="AA489" s="105"/>
      <c r="AB489" s="105"/>
      <c r="AC489" s="105"/>
      <c r="AD489" s="105"/>
      <c r="AE489" s="105"/>
      <c r="AF489" s="158"/>
      <c r="AG489" s="105"/>
      <c r="AH489" s="158"/>
      <c r="AI489" s="88"/>
      <c r="AJ489" s="88"/>
      <c r="AK489" s="131"/>
      <c r="AL489" s="131"/>
      <c r="AM489" s="131"/>
      <c r="AN489" s="131"/>
      <c r="AO489" s="131"/>
      <c r="AP489" s="88"/>
    </row>
    <row r="490">
      <c r="A490" s="155"/>
      <c r="B490" s="173"/>
      <c r="C490" s="174"/>
      <c r="D490" s="173"/>
      <c r="E490" s="155"/>
      <c r="F490" s="155"/>
      <c r="G490" s="88"/>
      <c r="H490" s="255"/>
      <c r="I490" s="155"/>
      <c r="J490" s="155"/>
      <c r="K490" s="15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58"/>
      <c r="AA490" s="105"/>
      <c r="AB490" s="105"/>
      <c r="AC490" s="105"/>
      <c r="AD490" s="105"/>
      <c r="AE490" s="105"/>
      <c r="AF490" s="158"/>
      <c r="AG490" s="105"/>
      <c r="AH490" s="158"/>
      <c r="AI490" s="88"/>
      <c r="AJ490" s="88"/>
      <c r="AK490" s="131"/>
      <c r="AL490" s="131"/>
      <c r="AM490" s="131"/>
      <c r="AN490" s="131"/>
      <c r="AO490" s="131"/>
      <c r="AP490" s="88"/>
    </row>
    <row r="491">
      <c r="A491" s="155"/>
      <c r="B491" s="173"/>
      <c r="C491" s="174"/>
      <c r="D491" s="173"/>
      <c r="E491" s="155"/>
      <c r="F491" s="155"/>
      <c r="G491" s="88"/>
      <c r="H491" s="255"/>
      <c r="I491" s="155"/>
      <c r="J491" s="155"/>
      <c r="K491" s="15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58"/>
      <c r="AA491" s="105"/>
      <c r="AB491" s="105"/>
      <c r="AC491" s="105"/>
      <c r="AD491" s="105"/>
      <c r="AE491" s="105"/>
      <c r="AF491" s="158"/>
      <c r="AG491" s="105"/>
      <c r="AH491" s="158"/>
      <c r="AI491" s="88"/>
      <c r="AJ491" s="88"/>
      <c r="AK491" s="131"/>
      <c r="AL491" s="131"/>
      <c r="AM491" s="131"/>
      <c r="AN491" s="131"/>
      <c r="AO491" s="131"/>
      <c r="AP491" s="88"/>
    </row>
    <row r="492">
      <c r="A492" s="155"/>
      <c r="B492" s="173"/>
      <c r="C492" s="174"/>
      <c r="D492" s="173"/>
      <c r="E492" s="155"/>
      <c r="F492" s="155"/>
      <c r="G492" s="88"/>
      <c r="H492" s="255"/>
      <c r="I492" s="155"/>
      <c r="J492" s="155"/>
      <c r="K492" s="15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58"/>
      <c r="AA492" s="105"/>
      <c r="AB492" s="105"/>
      <c r="AC492" s="105"/>
      <c r="AD492" s="105"/>
      <c r="AE492" s="105"/>
      <c r="AF492" s="158"/>
      <c r="AG492" s="105"/>
      <c r="AH492" s="158"/>
      <c r="AI492" s="88"/>
      <c r="AJ492" s="88"/>
      <c r="AK492" s="131"/>
      <c r="AL492" s="131"/>
      <c r="AM492" s="131"/>
      <c r="AN492" s="131"/>
      <c r="AO492" s="131"/>
      <c r="AP492" s="88"/>
    </row>
    <row r="493">
      <c r="A493" s="155"/>
      <c r="B493" s="173"/>
      <c r="C493" s="174"/>
      <c r="D493" s="173"/>
      <c r="E493" s="155"/>
      <c r="F493" s="155"/>
      <c r="G493" s="88"/>
      <c r="H493" s="255"/>
      <c r="I493" s="155"/>
      <c r="J493" s="155"/>
      <c r="K493" s="15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58"/>
      <c r="AA493" s="105"/>
      <c r="AB493" s="105"/>
      <c r="AC493" s="105"/>
      <c r="AD493" s="105"/>
      <c r="AE493" s="105"/>
      <c r="AF493" s="158"/>
      <c r="AG493" s="105"/>
      <c r="AH493" s="158"/>
      <c r="AI493" s="88"/>
      <c r="AJ493" s="88"/>
      <c r="AK493" s="131"/>
      <c r="AL493" s="131"/>
      <c r="AM493" s="131"/>
      <c r="AN493" s="131"/>
      <c r="AO493" s="131"/>
      <c r="AP493" s="88"/>
    </row>
    <row r="494">
      <c r="A494" s="155"/>
      <c r="B494" s="173"/>
      <c r="C494" s="174"/>
      <c r="D494" s="173"/>
      <c r="E494" s="155"/>
      <c r="F494" s="155"/>
      <c r="G494" s="88"/>
      <c r="H494" s="255"/>
      <c r="I494" s="155"/>
      <c r="J494" s="155"/>
      <c r="K494" s="15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58"/>
      <c r="AA494" s="105"/>
      <c r="AB494" s="105"/>
      <c r="AC494" s="105"/>
      <c r="AD494" s="105"/>
      <c r="AE494" s="105"/>
      <c r="AF494" s="158"/>
      <c r="AG494" s="105"/>
      <c r="AH494" s="158"/>
      <c r="AI494" s="88"/>
      <c r="AJ494" s="88"/>
      <c r="AK494" s="131"/>
      <c r="AL494" s="131"/>
      <c r="AM494" s="131"/>
      <c r="AN494" s="131"/>
      <c r="AO494" s="131"/>
      <c r="AP494" s="88"/>
    </row>
    <row r="495">
      <c r="A495" s="155"/>
      <c r="B495" s="173"/>
      <c r="C495" s="174"/>
      <c r="D495" s="173"/>
      <c r="E495" s="155"/>
      <c r="F495" s="155"/>
      <c r="G495" s="88"/>
      <c r="H495" s="255"/>
      <c r="I495" s="155"/>
      <c r="J495" s="155"/>
      <c r="K495" s="15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58"/>
      <c r="AA495" s="105"/>
      <c r="AB495" s="105"/>
      <c r="AC495" s="105"/>
      <c r="AD495" s="105"/>
      <c r="AE495" s="105"/>
      <c r="AF495" s="158"/>
      <c r="AG495" s="105"/>
      <c r="AH495" s="158"/>
      <c r="AI495" s="88"/>
      <c r="AJ495" s="88"/>
      <c r="AK495" s="131"/>
      <c r="AL495" s="131"/>
      <c r="AM495" s="131"/>
      <c r="AN495" s="131"/>
      <c r="AO495" s="131"/>
      <c r="AP495" s="88"/>
    </row>
    <row r="496">
      <c r="A496" s="155"/>
      <c r="B496" s="173"/>
      <c r="C496" s="174"/>
      <c r="D496" s="173"/>
      <c r="E496" s="155"/>
      <c r="F496" s="155"/>
      <c r="G496" s="88"/>
      <c r="H496" s="255"/>
      <c r="I496" s="155"/>
      <c r="J496" s="155"/>
      <c r="K496" s="15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58"/>
      <c r="AA496" s="105"/>
      <c r="AB496" s="105"/>
      <c r="AC496" s="105"/>
      <c r="AD496" s="105"/>
      <c r="AE496" s="105"/>
      <c r="AF496" s="158"/>
      <c r="AG496" s="105"/>
      <c r="AH496" s="158"/>
      <c r="AI496" s="88"/>
      <c r="AJ496" s="88"/>
      <c r="AK496" s="131"/>
      <c r="AL496" s="131"/>
      <c r="AM496" s="131"/>
      <c r="AN496" s="131"/>
      <c r="AO496" s="131"/>
      <c r="AP496" s="88"/>
    </row>
    <row r="497">
      <c r="A497" s="155"/>
      <c r="B497" s="173"/>
      <c r="C497" s="174"/>
      <c r="D497" s="173"/>
      <c r="E497" s="155"/>
      <c r="F497" s="155"/>
      <c r="G497" s="88"/>
      <c r="H497" s="255"/>
      <c r="I497" s="155"/>
      <c r="J497" s="155"/>
      <c r="K497" s="15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58"/>
      <c r="AA497" s="105"/>
      <c r="AB497" s="105"/>
      <c r="AC497" s="105"/>
      <c r="AD497" s="105"/>
      <c r="AE497" s="105"/>
      <c r="AF497" s="158"/>
      <c r="AG497" s="105"/>
      <c r="AH497" s="158"/>
      <c r="AI497" s="88"/>
      <c r="AJ497" s="88"/>
      <c r="AK497" s="131"/>
      <c r="AL497" s="131"/>
      <c r="AM497" s="131"/>
      <c r="AN497" s="131"/>
      <c r="AO497" s="131"/>
      <c r="AP497" s="88"/>
    </row>
    <row r="498">
      <c r="A498" s="155"/>
      <c r="B498" s="173"/>
      <c r="C498" s="174"/>
      <c r="D498" s="173"/>
      <c r="E498" s="155"/>
      <c r="F498" s="155"/>
      <c r="G498" s="88"/>
      <c r="H498" s="255"/>
      <c r="I498" s="155"/>
      <c r="J498" s="155"/>
      <c r="K498" s="15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58"/>
      <c r="AA498" s="105"/>
      <c r="AB498" s="105"/>
      <c r="AC498" s="105"/>
      <c r="AD498" s="105"/>
      <c r="AE498" s="105"/>
      <c r="AF498" s="158"/>
      <c r="AG498" s="105"/>
      <c r="AH498" s="158"/>
      <c r="AI498" s="88"/>
      <c r="AJ498" s="88"/>
      <c r="AK498" s="131"/>
      <c r="AL498" s="131"/>
      <c r="AM498" s="131"/>
      <c r="AN498" s="131"/>
      <c r="AO498" s="131"/>
      <c r="AP498" s="88"/>
    </row>
    <row r="499">
      <c r="A499" s="155"/>
      <c r="B499" s="173"/>
      <c r="C499" s="174"/>
      <c r="D499" s="173"/>
      <c r="E499" s="155"/>
      <c r="F499" s="155"/>
      <c r="G499" s="88"/>
      <c r="H499" s="255"/>
      <c r="I499" s="155"/>
      <c r="J499" s="155"/>
      <c r="K499" s="15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58"/>
      <c r="AA499" s="105"/>
      <c r="AB499" s="105"/>
      <c r="AC499" s="105"/>
      <c r="AD499" s="105"/>
      <c r="AE499" s="105"/>
      <c r="AF499" s="158"/>
      <c r="AG499" s="105"/>
      <c r="AH499" s="158"/>
      <c r="AI499" s="88"/>
      <c r="AJ499" s="88"/>
      <c r="AK499" s="131"/>
      <c r="AL499" s="131"/>
      <c r="AM499" s="131"/>
      <c r="AN499" s="131"/>
      <c r="AO499" s="131"/>
      <c r="AP499" s="88"/>
    </row>
    <row r="500">
      <c r="A500" s="155"/>
      <c r="B500" s="173"/>
      <c r="C500" s="174"/>
      <c r="D500" s="173"/>
      <c r="E500" s="155"/>
      <c r="F500" s="155"/>
      <c r="G500" s="88"/>
      <c r="H500" s="255"/>
      <c r="I500" s="155"/>
      <c r="J500" s="155"/>
      <c r="K500" s="15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58"/>
      <c r="AA500" s="105"/>
      <c r="AB500" s="105"/>
      <c r="AC500" s="105"/>
      <c r="AD500" s="105"/>
      <c r="AE500" s="105"/>
      <c r="AF500" s="158"/>
      <c r="AG500" s="105"/>
      <c r="AH500" s="158"/>
      <c r="AI500" s="88"/>
      <c r="AJ500" s="88"/>
      <c r="AK500" s="131"/>
      <c r="AL500" s="131"/>
      <c r="AM500" s="131"/>
      <c r="AN500" s="131"/>
      <c r="AO500" s="131"/>
      <c r="AP500" s="88"/>
    </row>
    <row r="501">
      <c r="A501" s="155"/>
      <c r="B501" s="173"/>
      <c r="C501" s="174"/>
      <c r="D501" s="173"/>
      <c r="E501" s="155"/>
      <c r="F501" s="155"/>
      <c r="G501" s="88"/>
      <c r="H501" s="255"/>
      <c r="I501" s="155"/>
      <c r="J501" s="155"/>
      <c r="K501" s="15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58"/>
      <c r="AA501" s="105"/>
      <c r="AB501" s="105"/>
      <c r="AC501" s="105"/>
      <c r="AD501" s="105"/>
      <c r="AE501" s="105"/>
      <c r="AF501" s="158"/>
      <c r="AG501" s="105"/>
      <c r="AH501" s="158"/>
      <c r="AI501" s="88"/>
      <c r="AJ501" s="88"/>
      <c r="AK501" s="131"/>
      <c r="AL501" s="131"/>
      <c r="AM501" s="131"/>
      <c r="AN501" s="131"/>
      <c r="AO501" s="131"/>
      <c r="AP501" s="88"/>
    </row>
    <row r="502">
      <c r="A502" s="155"/>
      <c r="B502" s="173"/>
      <c r="C502" s="174"/>
      <c r="D502" s="173"/>
      <c r="E502" s="155"/>
      <c r="F502" s="155"/>
      <c r="G502" s="88"/>
      <c r="H502" s="255"/>
      <c r="I502" s="155"/>
      <c r="J502" s="155"/>
      <c r="K502" s="15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58"/>
      <c r="AA502" s="105"/>
      <c r="AB502" s="105"/>
      <c r="AC502" s="105"/>
      <c r="AD502" s="105"/>
      <c r="AE502" s="105"/>
      <c r="AF502" s="158"/>
      <c r="AG502" s="105"/>
      <c r="AH502" s="158"/>
      <c r="AI502" s="88"/>
      <c r="AJ502" s="88"/>
      <c r="AK502" s="131"/>
      <c r="AL502" s="131"/>
      <c r="AM502" s="131"/>
      <c r="AN502" s="131"/>
      <c r="AO502" s="131"/>
      <c r="AP502" s="88"/>
    </row>
    <row r="503">
      <c r="A503" s="155"/>
      <c r="B503" s="173"/>
      <c r="C503" s="174"/>
      <c r="D503" s="173"/>
      <c r="E503" s="155"/>
      <c r="F503" s="155"/>
      <c r="G503" s="88"/>
      <c r="H503" s="255"/>
      <c r="I503" s="155"/>
      <c r="J503" s="155"/>
      <c r="K503" s="15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58"/>
      <c r="AA503" s="105"/>
      <c r="AB503" s="105"/>
      <c r="AC503" s="105"/>
      <c r="AD503" s="105"/>
      <c r="AE503" s="105"/>
      <c r="AF503" s="158"/>
      <c r="AG503" s="105"/>
      <c r="AH503" s="158"/>
      <c r="AI503" s="88"/>
      <c r="AJ503" s="88"/>
      <c r="AK503" s="131"/>
      <c r="AL503" s="131"/>
      <c r="AM503" s="131"/>
      <c r="AN503" s="131"/>
      <c r="AO503" s="131"/>
      <c r="AP503" s="88"/>
    </row>
    <row r="504">
      <c r="A504" s="155"/>
      <c r="B504" s="173"/>
      <c r="C504" s="174"/>
      <c r="D504" s="173"/>
      <c r="E504" s="155"/>
      <c r="F504" s="155"/>
      <c r="G504" s="88"/>
      <c r="H504" s="255"/>
      <c r="I504" s="155"/>
      <c r="J504" s="155"/>
      <c r="K504" s="15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58"/>
      <c r="AA504" s="105"/>
      <c r="AB504" s="105"/>
      <c r="AC504" s="105"/>
      <c r="AD504" s="105"/>
      <c r="AE504" s="105"/>
      <c r="AF504" s="158"/>
      <c r="AG504" s="105"/>
      <c r="AH504" s="158"/>
      <c r="AI504" s="88"/>
      <c r="AJ504" s="88"/>
      <c r="AK504" s="131"/>
      <c r="AL504" s="131"/>
      <c r="AM504" s="131"/>
      <c r="AN504" s="131"/>
      <c r="AO504" s="131"/>
      <c r="AP504" s="88"/>
    </row>
    <row r="505">
      <c r="A505" s="155"/>
      <c r="B505" s="173"/>
      <c r="C505" s="174"/>
      <c r="D505" s="173"/>
      <c r="E505" s="155"/>
      <c r="F505" s="155"/>
      <c r="G505" s="88"/>
      <c r="H505" s="255"/>
      <c r="I505" s="155"/>
      <c r="J505" s="155"/>
      <c r="K505" s="15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58"/>
      <c r="AA505" s="105"/>
      <c r="AB505" s="105"/>
      <c r="AC505" s="105"/>
      <c r="AD505" s="105"/>
      <c r="AE505" s="105"/>
      <c r="AF505" s="158"/>
      <c r="AG505" s="105"/>
      <c r="AH505" s="158"/>
      <c r="AI505" s="88"/>
      <c r="AJ505" s="88"/>
      <c r="AK505" s="131"/>
      <c r="AL505" s="131"/>
      <c r="AM505" s="131"/>
      <c r="AN505" s="131"/>
      <c r="AO505" s="131"/>
      <c r="AP505" s="88"/>
    </row>
    <row r="506">
      <c r="A506" s="155"/>
      <c r="B506" s="173"/>
      <c r="C506" s="174"/>
      <c r="D506" s="173"/>
      <c r="E506" s="155"/>
      <c r="F506" s="155"/>
      <c r="G506" s="88"/>
      <c r="H506" s="255"/>
      <c r="I506" s="155"/>
      <c r="J506" s="155"/>
      <c r="K506" s="15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58"/>
      <c r="AA506" s="105"/>
      <c r="AB506" s="105"/>
      <c r="AC506" s="105"/>
      <c r="AD506" s="105"/>
      <c r="AE506" s="105"/>
      <c r="AF506" s="158"/>
      <c r="AG506" s="105"/>
      <c r="AH506" s="158"/>
      <c r="AI506" s="88"/>
      <c r="AJ506" s="88"/>
      <c r="AK506" s="131"/>
      <c r="AL506" s="131"/>
      <c r="AM506" s="131"/>
      <c r="AN506" s="131"/>
      <c r="AO506" s="131"/>
      <c r="AP506" s="88"/>
    </row>
    <row r="507">
      <c r="A507" s="155"/>
      <c r="B507" s="173"/>
      <c r="C507" s="174"/>
      <c r="D507" s="173"/>
      <c r="E507" s="155"/>
      <c r="F507" s="155"/>
      <c r="G507" s="88"/>
      <c r="H507" s="255"/>
      <c r="I507" s="155"/>
      <c r="J507" s="155"/>
      <c r="K507" s="15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58"/>
      <c r="AA507" s="105"/>
      <c r="AB507" s="105"/>
      <c r="AC507" s="105"/>
      <c r="AD507" s="105"/>
      <c r="AE507" s="105"/>
      <c r="AF507" s="158"/>
      <c r="AG507" s="105"/>
      <c r="AH507" s="158"/>
      <c r="AI507" s="88"/>
      <c r="AJ507" s="88"/>
      <c r="AK507" s="131"/>
      <c r="AL507" s="131"/>
      <c r="AM507" s="131"/>
      <c r="AN507" s="131"/>
      <c r="AO507" s="131"/>
      <c r="AP507" s="88"/>
    </row>
    <row r="508">
      <c r="A508" s="155"/>
      <c r="B508" s="173"/>
      <c r="C508" s="174"/>
      <c r="D508" s="173"/>
      <c r="E508" s="155"/>
      <c r="F508" s="155"/>
      <c r="G508" s="88"/>
      <c r="H508" s="255"/>
      <c r="I508" s="155"/>
      <c r="J508" s="155"/>
      <c r="K508" s="15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58"/>
      <c r="AA508" s="105"/>
      <c r="AB508" s="105"/>
      <c r="AC508" s="105"/>
      <c r="AD508" s="105"/>
      <c r="AE508" s="105"/>
      <c r="AF508" s="158"/>
      <c r="AG508" s="105"/>
      <c r="AH508" s="158"/>
      <c r="AI508" s="88"/>
      <c r="AJ508" s="88"/>
      <c r="AK508" s="131"/>
      <c r="AL508" s="131"/>
      <c r="AM508" s="131"/>
      <c r="AN508" s="131"/>
      <c r="AO508" s="131"/>
      <c r="AP508" s="88"/>
    </row>
    <row r="509">
      <c r="A509" s="155"/>
      <c r="B509" s="173"/>
      <c r="C509" s="174"/>
      <c r="D509" s="173"/>
      <c r="E509" s="155"/>
      <c r="F509" s="155"/>
      <c r="G509" s="88"/>
      <c r="H509" s="255"/>
      <c r="I509" s="155"/>
      <c r="J509" s="155"/>
      <c r="K509" s="15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58"/>
      <c r="AA509" s="105"/>
      <c r="AB509" s="105"/>
      <c r="AC509" s="105"/>
      <c r="AD509" s="105"/>
      <c r="AE509" s="105"/>
      <c r="AF509" s="158"/>
      <c r="AG509" s="105"/>
      <c r="AH509" s="158"/>
      <c r="AI509" s="88"/>
      <c r="AJ509" s="88"/>
      <c r="AK509" s="131"/>
      <c r="AL509" s="131"/>
      <c r="AM509" s="131"/>
      <c r="AN509" s="131"/>
      <c r="AO509" s="131"/>
      <c r="AP509" s="88"/>
    </row>
    <row r="510">
      <c r="A510" s="155"/>
      <c r="B510" s="173"/>
      <c r="C510" s="174"/>
      <c r="D510" s="173"/>
      <c r="E510" s="155"/>
      <c r="F510" s="155"/>
      <c r="G510" s="88"/>
      <c r="H510" s="255"/>
      <c r="I510" s="155"/>
      <c r="J510" s="155"/>
      <c r="K510" s="15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58"/>
      <c r="AA510" s="105"/>
      <c r="AB510" s="105"/>
      <c r="AC510" s="105"/>
      <c r="AD510" s="105"/>
      <c r="AE510" s="105"/>
      <c r="AF510" s="158"/>
      <c r="AG510" s="105"/>
      <c r="AH510" s="158"/>
      <c r="AI510" s="88"/>
      <c r="AJ510" s="88"/>
      <c r="AK510" s="131"/>
      <c r="AL510" s="131"/>
      <c r="AM510" s="131"/>
      <c r="AN510" s="131"/>
      <c r="AO510" s="131"/>
      <c r="AP510" s="88"/>
    </row>
    <row r="511">
      <c r="A511" s="155"/>
      <c r="B511" s="173"/>
      <c r="C511" s="174"/>
      <c r="D511" s="173"/>
      <c r="E511" s="155"/>
      <c r="F511" s="155"/>
      <c r="G511" s="88"/>
      <c r="H511" s="255"/>
      <c r="I511" s="155"/>
      <c r="J511" s="155"/>
      <c r="K511" s="15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58"/>
      <c r="AA511" s="105"/>
      <c r="AB511" s="105"/>
      <c r="AC511" s="105"/>
      <c r="AD511" s="105"/>
      <c r="AE511" s="105"/>
      <c r="AF511" s="158"/>
      <c r="AG511" s="105"/>
      <c r="AH511" s="158"/>
      <c r="AI511" s="88"/>
      <c r="AJ511" s="88"/>
      <c r="AK511" s="131"/>
      <c r="AL511" s="131"/>
      <c r="AM511" s="131"/>
      <c r="AN511" s="131"/>
      <c r="AO511" s="131"/>
      <c r="AP511" s="88"/>
    </row>
    <row r="512">
      <c r="A512" s="155"/>
      <c r="B512" s="173"/>
      <c r="C512" s="174"/>
      <c r="D512" s="173"/>
      <c r="E512" s="155"/>
      <c r="F512" s="155"/>
      <c r="G512" s="88"/>
      <c r="H512" s="255"/>
      <c r="I512" s="155"/>
      <c r="J512" s="155"/>
      <c r="K512" s="15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58"/>
      <c r="AA512" s="105"/>
      <c r="AB512" s="105"/>
      <c r="AC512" s="105"/>
      <c r="AD512" s="105"/>
      <c r="AE512" s="105"/>
      <c r="AF512" s="158"/>
      <c r="AG512" s="105"/>
      <c r="AH512" s="158"/>
      <c r="AI512" s="88"/>
      <c r="AJ512" s="88"/>
      <c r="AK512" s="131"/>
      <c r="AL512" s="131"/>
      <c r="AM512" s="131"/>
      <c r="AN512" s="131"/>
      <c r="AO512" s="131"/>
      <c r="AP512" s="88"/>
    </row>
    <row r="513">
      <c r="A513" s="155"/>
      <c r="B513" s="173"/>
      <c r="C513" s="174"/>
      <c r="D513" s="173"/>
      <c r="E513" s="155"/>
      <c r="F513" s="155"/>
      <c r="G513" s="88"/>
      <c r="H513" s="255"/>
      <c r="I513" s="155"/>
      <c r="J513" s="155"/>
      <c r="K513" s="15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58"/>
      <c r="AA513" s="105"/>
      <c r="AB513" s="105"/>
      <c r="AC513" s="105"/>
      <c r="AD513" s="105"/>
      <c r="AE513" s="105"/>
      <c r="AF513" s="158"/>
      <c r="AG513" s="105"/>
      <c r="AH513" s="158"/>
      <c r="AI513" s="88"/>
      <c r="AJ513" s="88"/>
      <c r="AK513" s="131"/>
      <c r="AL513" s="131"/>
      <c r="AM513" s="131"/>
      <c r="AN513" s="131"/>
      <c r="AO513" s="131"/>
      <c r="AP513" s="88"/>
    </row>
    <row r="514">
      <c r="A514" s="155"/>
      <c r="B514" s="173"/>
      <c r="C514" s="174"/>
      <c r="D514" s="173"/>
      <c r="E514" s="155"/>
      <c r="F514" s="155"/>
      <c r="G514" s="88"/>
      <c r="H514" s="255"/>
      <c r="I514" s="155"/>
      <c r="J514" s="155"/>
      <c r="K514" s="15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58"/>
      <c r="AA514" s="105"/>
      <c r="AB514" s="105"/>
      <c r="AC514" s="105"/>
      <c r="AD514" s="105"/>
      <c r="AE514" s="105"/>
      <c r="AF514" s="158"/>
      <c r="AG514" s="105"/>
      <c r="AH514" s="158"/>
      <c r="AI514" s="88"/>
      <c r="AJ514" s="88"/>
      <c r="AK514" s="131"/>
      <c r="AL514" s="131"/>
      <c r="AM514" s="131"/>
      <c r="AN514" s="131"/>
      <c r="AO514" s="131"/>
      <c r="AP514" s="88"/>
    </row>
    <row r="515">
      <c r="A515" s="155"/>
      <c r="B515" s="173"/>
      <c r="C515" s="174"/>
      <c r="D515" s="173"/>
      <c r="E515" s="155"/>
      <c r="F515" s="155"/>
      <c r="G515" s="88"/>
      <c r="H515" s="255"/>
      <c r="I515" s="155"/>
      <c r="J515" s="155"/>
      <c r="K515" s="15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58"/>
      <c r="AA515" s="105"/>
      <c r="AB515" s="105"/>
      <c r="AC515" s="105"/>
      <c r="AD515" s="105"/>
      <c r="AE515" s="105"/>
      <c r="AF515" s="158"/>
      <c r="AG515" s="105"/>
      <c r="AH515" s="158"/>
      <c r="AI515" s="88"/>
      <c r="AJ515" s="88"/>
      <c r="AK515" s="131"/>
      <c r="AL515" s="131"/>
      <c r="AM515" s="131"/>
      <c r="AN515" s="131"/>
      <c r="AO515" s="131"/>
      <c r="AP515" s="88"/>
    </row>
    <row r="516">
      <c r="A516" s="155"/>
      <c r="B516" s="173"/>
      <c r="C516" s="174"/>
      <c r="D516" s="173"/>
      <c r="E516" s="155"/>
      <c r="F516" s="155"/>
      <c r="G516" s="88"/>
      <c r="H516" s="255"/>
      <c r="I516" s="155"/>
      <c r="J516" s="155"/>
      <c r="K516" s="15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58"/>
      <c r="AA516" s="105"/>
      <c r="AB516" s="105"/>
      <c r="AC516" s="105"/>
      <c r="AD516" s="105"/>
      <c r="AE516" s="105"/>
      <c r="AF516" s="158"/>
      <c r="AG516" s="105"/>
      <c r="AH516" s="158"/>
      <c r="AI516" s="88"/>
      <c r="AJ516" s="88"/>
      <c r="AK516" s="131"/>
      <c r="AL516" s="131"/>
      <c r="AM516" s="131"/>
      <c r="AN516" s="131"/>
      <c r="AO516" s="131"/>
      <c r="AP516" s="88"/>
    </row>
    <row r="517">
      <c r="A517" s="155"/>
      <c r="B517" s="173"/>
      <c r="C517" s="174"/>
      <c r="D517" s="173"/>
      <c r="E517" s="155"/>
      <c r="F517" s="155"/>
      <c r="G517" s="88"/>
      <c r="H517" s="255"/>
      <c r="I517" s="155"/>
      <c r="J517" s="155"/>
      <c r="K517" s="15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58"/>
      <c r="AA517" s="105"/>
      <c r="AB517" s="105"/>
      <c r="AC517" s="105"/>
      <c r="AD517" s="105"/>
      <c r="AE517" s="105"/>
      <c r="AF517" s="158"/>
      <c r="AG517" s="105"/>
      <c r="AH517" s="158"/>
      <c r="AI517" s="88"/>
      <c r="AJ517" s="88"/>
      <c r="AK517" s="131"/>
      <c r="AL517" s="131"/>
      <c r="AM517" s="131"/>
      <c r="AN517" s="131"/>
      <c r="AO517" s="131"/>
      <c r="AP517" s="88"/>
    </row>
    <row r="518">
      <c r="A518" s="155"/>
      <c r="B518" s="173"/>
      <c r="C518" s="174"/>
      <c r="D518" s="173"/>
      <c r="E518" s="155"/>
      <c r="F518" s="155"/>
      <c r="G518" s="88"/>
      <c r="H518" s="255"/>
      <c r="I518" s="155"/>
      <c r="J518" s="155"/>
      <c r="K518" s="15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58"/>
      <c r="AA518" s="105"/>
      <c r="AB518" s="105"/>
      <c r="AC518" s="105"/>
      <c r="AD518" s="105"/>
      <c r="AE518" s="105"/>
      <c r="AF518" s="158"/>
      <c r="AG518" s="105"/>
      <c r="AH518" s="158"/>
      <c r="AI518" s="88"/>
      <c r="AJ518" s="88"/>
      <c r="AK518" s="131"/>
      <c r="AL518" s="131"/>
      <c r="AM518" s="131"/>
      <c r="AN518" s="131"/>
      <c r="AO518" s="131"/>
      <c r="AP518" s="88"/>
    </row>
    <row r="519">
      <c r="A519" s="155"/>
      <c r="B519" s="173"/>
      <c r="C519" s="174"/>
      <c r="D519" s="173"/>
      <c r="E519" s="155"/>
      <c r="F519" s="155"/>
      <c r="G519" s="88"/>
      <c r="H519" s="255"/>
      <c r="I519" s="155"/>
      <c r="J519" s="155"/>
      <c r="K519" s="15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58"/>
      <c r="AA519" s="105"/>
      <c r="AB519" s="105"/>
      <c r="AC519" s="105"/>
      <c r="AD519" s="105"/>
      <c r="AE519" s="105"/>
      <c r="AF519" s="158"/>
      <c r="AG519" s="105"/>
      <c r="AH519" s="158"/>
      <c r="AI519" s="88"/>
      <c r="AJ519" s="88"/>
      <c r="AK519" s="131"/>
      <c r="AL519" s="131"/>
      <c r="AM519" s="131"/>
      <c r="AN519" s="131"/>
      <c r="AO519" s="131"/>
      <c r="AP519" s="88"/>
    </row>
    <row r="520">
      <c r="A520" s="155"/>
      <c r="B520" s="173"/>
      <c r="C520" s="174"/>
      <c r="D520" s="173"/>
      <c r="E520" s="155"/>
      <c r="F520" s="155"/>
      <c r="G520" s="88"/>
      <c r="H520" s="255"/>
      <c r="I520" s="155"/>
      <c r="J520" s="155"/>
      <c r="K520" s="15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58"/>
      <c r="AA520" s="105"/>
      <c r="AB520" s="105"/>
      <c r="AC520" s="105"/>
      <c r="AD520" s="105"/>
      <c r="AE520" s="105"/>
      <c r="AF520" s="158"/>
      <c r="AG520" s="105"/>
      <c r="AH520" s="158"/>
      <c r="AI520" s="88"/>
      <c r="AJ520" s="88"/>
      <c r="AK520" s="131"/>
      <c r="AL520" s="131"/>
      <c r="AM520" s="131"/>
      <c r="AN520" s="131"/>
      <c r="AO520" s="131"/>
      <c r="AP520" s="88"/>
    </row>
    <row r="521">
      <c r="A521" s="155"/>
      <c r="B521" s="173"/>
      <c r="C521" s="174"/>
      <c r="D521" s="173"/>
      <c r="E521" s="155"/>
      <c r="F521" s="155"/>
      <c r="G521" s="88"/>
      <c r="H521" s="255"/>
      <c r="I521" s="155"/>
      <c r="J521" s="155"/>
      <c r="K521" s="15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58"/>
      <c r="AA521" s="105"/>
      <c r="AB521" s="105"/>
      <c r="AC521" s="105"/>
      <c r="AD521" s="105"/>
      <c r="AE521" s="105"/>
      <c r="AF521" s="158"/>
      <c r="AG521" s="105"/>
      <c r="AH521" s="158"/>
      <c r="AI521" s="88"/>
      <c r="AJ521" s="88"/>
      <c r="AK521" s="131"/>
      <c r="AL521" s="131"/>
      <c r="AM521" s="131"/>
      <c r="AN521" s="131"/>
      <c r="AO521" s="131"/>
      <c r="AP521" s="88"/>
    </row>
    <row r="522">
      <c r="A522" s="155"/>
      <c r="B522" s="173"/>
      <c r="C522" s="174"/>
      <c r="D522" s="173"/>
      <c r="E522" s="155"/>
      <c r="F522" s="155"/>
      <c r="G522" s="88"/>
      <c r="H522" s="255"/>
      <c r="I522" s="155"/>
      <c r="J522" s="155"/>
      <c r="K522" s="15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58"/>
      <c r="AA522" s="105"/>
      <c r="AB522" s="105"/>
      <c r="AC522" s="105"/>
      <c r="AD522" s="105"/>
      <c r="AE522" s="105"/>
      <c r="AF522" s="158"/>
      <c r="AG522" s="105"/>
      <c r="AH522" s="158"/>
      <c r="AI522" s="88"/>
      <c r="AJ522" s="88"/>
      <c r="AK522" s="131"/>
      <c r="AL522" s="131"/>
      <c r="AM522" s="131"/>
      <c r="AN522" s="131"/>
      <c r="AO522" s="131"/>
      <c r="AP522" s="88"/>
    </row>
    <row r="523">
      <c r="A523" s="155"/>
      <c r="B523" s="173"/>
      <c r="C523" s="174"/>
      <c r="D523" s="173"/>
      <c r="E523" s="155"/>
      <c r="F523" s="155"/>
      <c r="G523" s="88"/>
      <c r="H523" s="255"/>
      <c r="I523" s="155"/>
      <c r="J523" s="155"/>
      <c r="K523" s="15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58"/>
      <c r="AA523" s="105"/>
      <c r="AB523" s="105"/>
      <c r="AC523" s="105"/>
      <c r="AD523" s="105"/>
      <c r="AE523" s="105"/>
      <c r="AF523" s="158"/>
      <c r="AG523" s="105"/>
      <c r="AH523" s="158"/>
      <c r="AI523" s="88"/>
      <c r="AJ523" s="88"/>
      <c r="AK523" s="131"/>
      <c r="AL523" s="131"/>
      <c r="AM523" s="131"/>
      <c r="AN523" s="131"/>
      <c r="AO523" s="131"/>
      <c r="AP523" s="88"/>
    </row>
    <row r="524">
      <c r="A524" s="155"/>
      <c r="B524" s="173"/>
      <c r="C524" s="174"/>
      <c r="D524" s="173"/>
      <c r="E524" s="155"/>
      <c r="F524" s="155"/>
      <c r="G524" s="88"/>
      <c r="H524" s="255"/>
      <c r="I524" s="155"/>
      <c r="J524" s="155"/>
      <c r="K524" s="15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58"/>
      <c r="AA524" s="105"/>
      <c r="AB524" s="105"/>
      <c r="AC524" s="105"/>
      <c r="AD524" s="105"/>
      <c r="AE524" s="105"/>
      <c r="AF524" s="158"/>
      <c r="AG524" s="105"/>
      <c r="AH524" s="158"/>
      <c r="AI524" s="88"/>
      <c r="AJ524" s="88"/>
      <c r="AK524" s="131"/>
      <c r="AL524" s="131"/>
      <c r="AM524" s="131"/>
      <c r="AN524" s="131"/>
      <c r="AO524" s="131"/>
      <c r="AP524" s="88"/>
    </row>
    <row r="525">
      <c r="A525" s="155"/>
      <c r="B525" s="173"/>
      <c r="C525" s="174"/>
      <c r="D525" s="173"/>
      <c r="E525" s="155"/>
      <c r="F525" s="155"/>
      <c r="G525" s="88"/>
      <c r="H525" s="255"/>
      <c r="I525" s="155"/>
      <c r="J525" s="155"/>
      <c r="K525" s="15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58"/>
      <c r="AA525" s="105"/>
      <c r="AB525" s="105"/>
      <c r="AC525" s="105"/>
      <c r="AD525" s="105"/>
      <c r="AE525" s="105"/>
      <c r="AF525" s="158"/>
      <c r="AG525" s="105"/>
      <c r="AH525" s="158"/>
      <c r="AI525" s="88"/>
      <c r="AJ525" s="88"/>
      <c r="AK525" s="131"/>
      <c r="AL525" s="131"/>
      <c r="AM525" s="131"/>
      <c r="AN525" s="131"/>
      <c r="AO525" s="131"/>
      <c r="AP525" s="88"/>
    </row>
    <row r="526">
      <c r="A526" s="155"/>
      <c r="B526" s="173"/>
      <c r="C526" s="174"/>
      <c r="D526" s="173"/>
      <c r="E526" s="155"/>
      <c r="F526" s="155"/>
      <c r="G526" s="88"/>
      <c r="H526" s="255"/>
      <c r="I526" s="155"/>
      <c r="J526" s="155"/>
      <c r="K526" s="15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58"/>
      <c r="AA526" s="105"/>
      <c r="AB526" s="105"/>
      <c r="AC526" s="105"/>
      <c r="AD526" s="105"/>
      <c r="AE526" s="105"/>
      <c r="AF526" s="158"/>
      <c r="AG526" s="105"/>
      <c r="AH526" s="158"/>
      <c r="AI526" s="88"/>
      <c r="AJ526" s="88"/>
      <c r="AK526" s="131"/>
      <c r="AL526" s="131"/>
      <c r="AM526" s="131"/>
      <c r="AN526" s="131"/>
      <c r="AO526" s="131"/>
      <c r="AP526" s="88"/>
    </row>
    <row r="527">
      <c r="A527" s="155"/>
      <c r="B527" s="173"/>
      <c r="C527" s="174"/>
      <c r="D527" s="173"/>
      <c r="E527" s="155"/>
      <c r="F527" s="155"/>
      <c r="G527" s="88"/>
      <c r="H527" s="255"/>
      <c r="I527" s="155"/>
      <c r="J527" s="155"/>
      <c r="K527" s="15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58"/>
      <c r="AA527" s="105"/>
      <c r="AB527" s="105"/>
      <c r="AC527" s="105"/>
      <c r="AD527" s="105"/>
      <c r="AE527" s="105"/>
      <c r="AF527" s="158"/>
      <c r="AG527" s="105"/>
      <c r="AH527" s="158"/>
      <c r="AI527" s="88"/>
      <c r="AJ527" s="88"/>
      <c r="AK527" s="131"/>
      <c r="AL527" s="131"/>
      <c r="AM527" s="131"/>
      <c r="AN527" s="131"/>
      <c r="AO527" s="131"/>
      <c r="AP527" s="88"/>
    </row>
    <row r="528">
      <c r="A528" s="155"/>
      <c r="B528" s="173"/>
      <c r="C528" s="174"/>
      <c r="D528" s="173"/>
      <c r="E528" s="155"/>
      <c r="F528" s="155"/>
      <c r="G528" s="88"/>
      <c r="H528" s="255"/>
      <c r="I528" s="155"/>
      <c r="J528" s="155"/>
      <c r="K528" s="15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58"/>
      <c r="AA528" s="105"/>
      <c r="AB528" s="105"/>
      <c r="AC528" s="105"/>
      <c r="AD528" s="105"/>
      <c r="AE528" s="105"/>
      <c r="AF528" s="158"/>
      <c r="AG528" s="105"/>
      <c r="AH528" s="158"/>
      <c r="AI528" s="88"/>
      <c r="AJ528" s="88"/>
      <c r="AK528" s="131"/>
      <c r="AL528" s="131"/>
      <c r="AM528" s="131"/>
      <c r="AN528" s="131"/>
      <c r="AO528" s="131"/>
      <c r="AP528" s="88"/>
    </row>
    <row r="529">
      <c r="A529" s="155"/>
      <c r="B529" s="173"/>
      <c r="C529" s="174"/>
      <c r="D529" s="173"/>
      <c r="E529" s="155"/>
      <c r="F529" s="155"/>
      <c r="G529" s="88"/>
      <c r="H529" s="255"/>
      <c r="I529" s="155"/>
      <c r="J529" s="155"/>
      <c r="K529" s="15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58"/>
      <c r="AA529" s="105"/>
      <c r="AB529" s="105"/>
      <c r="AC529" s="105"/>
      <c r="AD529" s="105"/>
      <c r="AE529" s="105"/>
      <c r="AF529" s="158"/>
      <c r="AG529" s="105"/>
      <c r="AH529" s="158"/>
      <c r="AI529" s="88"/>
      <c r="AJ529" s="88"/>
      <c r="AK529" s="131"/>
      <c r="AL529" s="131"/>
      <c r="AM529" s="131"/>
      <c r="AN529" s="131"/>
      <c r="AO529" s="131"/>
      <c r="AP529" s="88"/>
    </row>
    <row r="530">
      <c r="A530" s="155"/>
      <c r="B530" s="173"/>
      <c r="C530" s="174"/>
      <c r="D530" s="173"/>
      <c r="E530" s="155"/>
      <c r="F530" s="155"/>
      <c r="G530" s="88"/>
      <c r="H530" s="255"/>
      <c r="I530" s="155"/>
      <c r="J530" s="155"/>
      <c r="K530" s="15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58"/>
      <c r="AA530" s="105"/>
      <c r="AB530" s="105"/>
      <c r="AC530" s="105"/>
      <c r="AD530" s="105"/>
      <c r="AE530" s="105"/>
      <c r="AF530" s="158"/>
      <c r="AG530" s="105"/>
      <c r="AH530" s="158"/>
      <c r="AI530" s="88"/>
      <c r="AJ530" s="88"/>
      <c r="AK530" s="131"/>
      <c r="AL530" s="131"/>
      <c r="AM530" s="131"/>
      <c r="AN530" s="131"/>
      <c r="AO530" s="131"/>
      <c r="AP530" s="88"/>
    </row>
    <row r="531">
      <c r="A531" s="155"/>
      <c r="B531" s="173"/>
      <c r="C531" s="174"/>
      <c r="D531" s="173"/>
      <c r="E531" s="155"/>
      <c r="F531" s="155"/>
      <c r="G531" s="88"/>
      <c r="H531" s="255"/>
      <c r="I531" s="155"/>
      <c r="J531" s="155"/>
      <c r="K531" s="15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58"/>
      <c r="AA531" s="105"/>
      <c r="AB531" s="105"/>
      <c r="AC531" s="105"/>
      <c r="AD531" s="105"/>
      <c r="AE531" s="105"/>
      <c r="AF531" s="158"/>
      <c r="AG531" s="105"/>
      <c r="AH531" s="158"/>
      <c r="AI531" s="88"/>
      <c r="AJ531" s="88"/>
      <c r="AK531" s="131"/>
      <c r="AL531" s="131"/>
      <c r="AM531" s="131"/>
      <c r="AN531" s="131"/>
      <c r="AO531" s="131"/>
      <c r="AP531" s="88"/>
    </row>
    <row r="532">
      <c r="A532" s="155"/>
      <c r="B532" s="173"/>
      <c r="C532" s="174"/>
      <c r="D532" s="173"/>
      <c r="E532" s="155"/>
      <c r="F532" s="155"/>
      <c r="G532" s="88"/>
      <c r="H532" s="255"/>
      <c r="I532" s="155"/>
      <c r="J532" s="155"/>
      <c r="K532" s="15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58"/>
      <c r="AA532" s="105"/>
      <c r="AB532" s="105"/>
      <c r="AC532" s="105"/>
      <c r="AD532" s="105"/>
      <c r="AE532" s="105"/>
      <c r="AF532" s="158"/>
      <c r="AG532" s="105"/>
      <c r="AH532" s="158"/>
      <c r="AI532" s="88"/>
      <c r="AJ532" s="88"/>
      <c r="AK532" s="131"/>
      <c r="AL532" s="131"/>
      <c r="AM532" s="131"/>
      <c r="AN532" s="131"/>
      <c r="AO532" s="131"/>
      <c r="AP532" s="88"/>
    </row>
    <row r="533">
      <c r="A533" s="155"/>
      <c r="B533" s="173"/>
      <c r="C533" s="174"/>
      <c r="D533" s="173"/>
      <c r="E533" s="155"/>
      <c r="F533" s="155"/>
      <c r="G533" s="88"/>
      <c r="H533" s="255"/>
      <c r="I533" s="155"/>
      <c r="J533" s="155"/>
      <c r="K533" s="15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58"/>
      <c r="AA533" s="105"/>
      <c r="AB533" s="105"/>
      <c r="AC533" s="105"/>
      <c r="AD533" s="105"/>
      <c r="AE533" s="105"/>
      <c r="AF533" s="158"/>
      <c r="AG533" s="105"/>
      <c r="AH533" s="158"/>
      <c r="AI533" s="88"/>
      <c r="AJ533" s="88"/>
      <c r="AK533" s="131"/>
      <c r="AL533" s="131"/>
      <c r="AM533" s="131"/>
      <c r="AN533" s="131"/>
      <c r="AO533" s="131"/>
      <c r="AP533" s="88"/>
    </row>
    <row r="534">
      <c r="A534" s="155"/>
      <c r="B534" s="173"/>
      <c r="C534" s="174"/>
      <c r="D534" s="173"/>
      <c r="E534" s="155"/>
      <c r="F534" s="155"/>
      <c r="G534" s="88"/>
      <c r="H534" s="255"/>
      <c r="I534" s="155"/>
      <c r="J534" s="155"/>
      <c r="K534" s="15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58"/>
      <c r="AA534" s="105"/>
      <c r="AB534" s="105"/>
      <c r="AC534" s="105"/>
      <c r="AD534" s="105"/>
      <c r="AE534" s="105"/>
      <c r="AF534" s="158"/>
      <c r="AG534" s="105"/>
      <c r="AH534" s="158"/>
      <c r="AI534" s="88"/>
      <c r="AJ534" s="88"/>
      <c r="AK534" s="131"/>
      <c r="AL534" s="131"/>
      <c r="AM534" s="131"/>
      <c r="AN534" s="131"/>
      <c r="AO534" s="131"/>
      <c r="AP534" s="88"/>
    </row>
    <row r="535">
      <c r="A535" s="155"/>
      <c r="B535" s="173"/>
      <c r="C535" s="174"/>
      <c r="D535" s="173"/>
      <c r="E535" s="155"/>
      <c r="F535" s="155"/>
      <c r="G535" s="88"/>
      <c r="H535" s="255"/>
      <c r="I535" s="155"/>
      <c r="J535" s="155"/>
      <c r="K535" s="15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58"/>
      <c r="AA535" s="105"/>
      <c r="AB535" s="105"/>
      <c r="AC535" s="105"/>
      <c r="AD535" s="105"/>
      <c r="AE535" s="105"/>
      <c r="AF535" s="158"/>
      <c r="AG535" s="105"/>
      <c r="AH535" s="158"/>
      <c r="AI535" s="88"/>
      <c r="AJ535" s="88"/>
      <c r="AK535" s="131"/>
      <c r="AL535" s="131"/>
      <c r="AM535" s="131"/>
      <c r="AN535" s="131"/>
      <c r="AO535" s="131"/>
      <c r="AP535" s="88"/>
    </row>
    <row r="536">
      <c r="A536" s="155"/>
      <c r="B536" s="173"/>
      <c r="C536" s="174"/>
      <c r="D536" s="173"/>
      <c r="E536" s="155"/>
      <c r="F536" s="155"/>
      <c r="G536" s="88"/>
      <c r="H536" s="255"/>
      <c r="I536" s="155"/>
      <c r="J536" s="155"/>
      <c r="K536" s="15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58"/>
      <c r="AA536" s="105"/>
      <c r="AB536" s="105"/>
      <c r="AC536" s="105"/>
      <c r="AD536" s="105"/>
      <c r="AE536" s="105"/>
      <c r="AF536" s="158"/>
      <c r="AG536" s="105"/>
      <c r="AH536" s="158"/>
      <c r="AI536" s="88"/>
      <c r="AJ536" s="88"/>
      <c r="AK536" s="131"/>
      <c r="AL536" s="131"/>
      <c r="AM536" s="131"/>
      <c r="AN536" s="131"/>
      <c r="AO536" s="131"/>
      <c r="AP536" s="88"/>
    </row>
    <row r="537">
      <c r="A537" s="155"/>
      <c r="B537" s="173"/>
      <c r="C537" s="174"/>
      <c r="D537" s="173"/>
      <c r="E537" s="155"/>
      <c r="F537" s="155"/>
      <c r="G537" s="88"/>
      <c r="H537" s="255"/>
      <c r="I537" s="155"/>
      <c r="J537" s="155"/>
      <c r="K537" s="15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58"/>
      <c r="AA537" s="105"/>
      <c r="AB537" s="105"/>
      <c r="AC537" s="105"/>
      <c r="AD537" s="105"/>
      <c r="AE537" s="105"/>
      <c r="AF537" s="158"/>
      <c r="AG537" s="105"/>
      <c r="AH537" s="158"/>
      <c r="AI537" s="88"/>
      <c r="AJ537" s="88"/>
      <c r="AK537" s="131"/>
      <c r="AL537" s="131"/>
      <c r="AM537" s="131"/>
      <c r="AN537" s="131"/>
      <c r="AO537" s="131"/>
      <c r="AP537" s="88"/>
    </row>
    <row r="538">
      <c r="A538" s="155"/>
      <c r="B538" s="173"/>
      <c r="C538" s="174"/>
      <c r="D538" s="173"/>
      <c r="E538" s="155"/>
      <c r="F538" s="155"/>
      <c r="G538" s="88"/>
      <c r="H538" s="255"/>
      <c r="I538" s="155"/>
      <c r="J538" s="155"/>
      <c r="K538" s="15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58"/>
      <c r="AA538" s="105"/>
      <c r="AB538" s="105"/>
      <c r="AC538" s="105"/>
      <c r="AD538" s="105"/>
      <c r="AE538" s="105"/>
      <c r="AF538" s="158"/>
      <c r="AG538" s="105"/>
      <c r="AH538" s="158"/>
      <c r="AI538" s="88"/>
      <c r="AJ538" s="88"/>
      <c r="AK538" s="131"/>
      <c r="AL538" s="131"/>
      <c r="AM538" s="131"/>
      <c r="AN538" s="131"/>
      <c r="AO538" s="131"/>
      <c r="AP538" s="88"/>
    </row>
    <row r="539">
      <c r="A539" s="155"/>
      <c r="B539" s="173"/>
      <c r="C539" s="174"/>
      <c r="D539" s="173"/>
      <c r="E539" s="155"/>
      <c r="F539" s="155"/>
      <c r="G539" s="88"/>
      <c r="H539" s="255"/>
      <c r="I539" s="155"/>
      <c r="J539" s="155"/>
      <c r="K539" s="15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58"/>
      <c r="AA539" s="105"/>
      <c r="AB539" s="105"/>
      <c r="AC539" s="105"/>
      <c r="AD539" s="105"/>
      <c r="AE539" s="105"/>
      <c r="AF539" s="158"/>
      <c r="AG539" s="105"/>
      <c r="AH539" s="158"/>
      <c r="AI539" s="88"/>
      <c r="AJ539" s="88"/>
      <c r="AK539" s="131"/>
      <c r="AL539" s="131"/>
      <c r="AM539" s="131"/>
      <c r="AN539" s="131"/>
      <c r="AO539" s="131"/>
      <c r="AP539" s="88"/>
    </row>
    <row r="540">
      <c r="A540" s="155"/>
      <c r="B540" s="173"/>
      <c r="C540" s="174"/>
      <c r="D540" s="173"/>
      <c r="E540" s="155"/>
      <c r="F540" s="155"/>
      <c r="G540" s="88"/>
      <c r="H540" s="255"/>
      <c r="I540" s="155"/>
      <c r="J540" s="155"/>
      <c r="K540" s="15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58"/>
      <c r="AA540" s="105"/>
      <c r="AB540" s="105"/>
      <c r="AC540" s="105"/>
      <c r="AD540" s="105"/>
      <c r="AE540" s="105"/>
      <c r="AF540" s="158"/>
      <c r="AG540" s="105"/>
      <c r="AH540" s="158"/>
      <c r="AI540" s="88"/>
      <c r="AJ540" s="88"/>
      <c r="AK540" s="131"/>
      <c r="AL540" s="131"/>
      <c r="AM540" s="131"/>
      <c r="AN540" s="131"/>
      <c r="AO540" s="131"/>
      <c r="AP540" s="88"/>
    </row>
    <row r="541">
      <c r="A541" s="155"/>
      <c r="B541" s="173"/>
      <c r="C541" s="174"/>
      <c r="D541" s="173"/>
      <c r="E541" s="155"/>
      <c r="F541" s="155"/>
      <c r="G541" s="88"/>
      <c r="H541" s="255"/>
      <c r="I541" s="155"/>
      <c r="J541" s="155"/>
      <c r="K541" s="15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58"/>
      <c r="AA541" s="105"/>
      <c r="AB541" s="105"/>
      <c r="AC541" s="105"/>
      <c r="AD541" s="105"/>
      <c r="AE541" s="105"/>
      <c r="AF541" s="158"/>
      <c r="AG541" s="105"/>
      <c r="AH541" s="158"/>
      <c r="AI541" s="88"/>
      <c r="AJ541" s="88"/>
      <c r="AK541" s="131"/>
      <c r="AL541" s="131"/>
      <c r="AM541" s="131"/>
      <c r="AN541" s="131"/>
      <c r="AO541" s="131"/>
      <c r="AP541" s="88"/>
    </row>
    <row r="542">
      <c r="A542" s="155"/>
      <c r="B542" s="173"/>
      <c r="C542" s="174"/>
      <c r="D542" s="173"/>
      <c r="E542" s="155"/>
      <c r="F542" s="155"/>
      <c r="G542" s="88"/>
      <c r="H542" s="255"/>
      <c r="I542" s="155"/>
      <c r="J542" s="155"/>
      <c r="K542" s="15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58"/>
      <c r="AA542" s="105"/>
      <c r="AB542" s="105"/>
      <c r="AC542" s="105"/>
      <c r="AD542" s="105"/>
      <c r="AE542" s="105"/>
      <c r="AF542" s="158"/>
      <c r="AG542" s="105"/>
      <c r="AH542" s="158"/>
      <c r="AI542" s="88"/>
      <c r="AJ542" s="88"/>
      <c r="AK542" s="131"/>
      <c r="AL542" s="131"/>
      <c r="AM542" s="131"/>
      <c r="AN542" s="131"/>
      <c r="AO542" s="131"/>
      <c r="AP542" s="88"/>
    </row>
    <row r="543">
      <c r="A543" s="155"/>
      <c r="B543" s="173"/>
      <c r="C543" s="174"/>
      <c r="D543" s="173"/>
      <c r="E543" s="155"/>
      <c r="F543" s="155"/>
      <c r="G543" s="88"/>
      <c r="H543" s="255"/>
      <c r="I543" s="155"/>
      <c r="J543" s="155"/>
      <c r="K543" s="15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58"/>
      <c r="AA543" s="105"/>
      <c r="AB543" s="105"/>
      <c r="AC543" s="105"/>
      <c r="AD543" s="105"/>
      <c r="AE543" s="105"/>
      <c r="AF543" s="158"/>
      <c r="AG543" s="105"/>
      <c r="AH543" s="158"/>
      <c r="AI543" s="88"/>
      <c r="AJ543" s="88"/>
      <c r="AK543" s="131"/>
      <c r="AL543" s="131"/>
      <c r="AM543" s="131"/>
      <c r="AN543" s="131"/>
      <c r="AO543" s="131"/>
      <c r="AP543" s="88"/>
    </row>
    <row r="544">
      <c r="A544" s="155"/>
      <c r="B544" s="173"/>
      <c r="C544" s="174"/>
      <c r="D544" s="173"/>
      <c r="E544" s="155"/>
      <c r="F544" s="155"/>
      <c r="G544" s="88"/>
      <c r="H544" s="255"/>
      <c r="I544" s="155"/>
      <c r="J544" s="155"/>
      <c r="K544" s="15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58"/>
      <c r="AA544" s="105"/>
      <c r="AB544" s="105"/>
      <c r="AC544" s="105"/>
      <c r="AD544" s="105"/>
      <c r="AE544" s="105"/>
      <c r="AF544" s="158"/>
      <c r="AG544" s="105"/>
      <c r="AH544" s="158"/>
      <c r="AI544" s="88"/>
      <c r="AJ544" s="88"/>
      <c r="AK544" s="131"/>
      <c r="AL544" s="131"/>
      <c r="AM544" s="131"/>
      <c r="AN544" s="131"/>
      <c r="AO544" s="131"/>
      <c r="AP544" s="88"/>
    </row>
    <row r="545">
      <c r="A545" s="155"/>
      <c r="B545" s="173"/>
      <c r="C545" s="174"/>
      <c r="D545" s="173"/>
      <c r="E545" s="155"/>
      <c r="F545" s="155"/>
      <c r="G545" s="88"/>
      <c r="H545" s="255"/>
      <c r="I545" s="155"/>
      <c r="J545" s="155"/>
      <c r="K545" s="15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58"/>
      <c r="AA545" s="105"/>
      <c r="AB545" s="105"/>
      <c r="AC545" s="105"/>
      <c r="AD545" s="105"/>
      <c r="AE545" s="105"/>
      <c r="AF545" s="158"/>
      <c r="AG545" s="105"/>
      <c r="AH545" s="158"/>
      <c r="AI545" s="88"/>
      <c r="AJ545" s="88"/>
      <c r="AK545" s="131"/>
      <c r="AL545" s="131"/>
      <c r="AM545" s="131"/>
      <c r="AN545" s="131"/>
      <c r="AO545" s="131"/>
      <c r="AP545" s="88"/>
    </row>
    <row r="546">
      <c r="A546" s="155"/>
      <c r="B546" s="173"/>
      <c r="C546" s="174"/>
      <c r="D546" s="173"/>
      <c r="E546" s="155"/>
      <c r="F546" s="155"/>
      <c r="G546" s="88"/>
      <c r="H546" s="255"/>
      <c r="I546" s="155"/>
      <c r="J546" s="155"/>
      <c r="K546" s="15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58"/>
      <c r="AA546" s="105"/>
      <c r="AB546" s="105"/>
      <c r="AC546" s="105"/>
      <c r="AD546" s="105"/>
      <c r="AE546" s="105"/>
      <c r="AF546" s="158"/>
      <c r="AG546" s="105"/>
      <c r="AH546" s="158"/>
      <c r="AI546" s="88"/>
      <c r="AJ546" s="88"/>
      <c r="AK546" s="131"/>
      <c r="AL546" s="131"/>
      <c r="AM546" s="131"/>
      <c r="AN546" s="131"/>
      <c r="AO546" s="131"/>
      <c r="AP546" s="88"/>
    </row>
    <row r="547">
      <c r="A547" s="155"/>
      <c r="B547" s="173"/>
      <c r="C547" s="174"/>
      <c r="D547" s="173"/>
      <c r="E547" s="155"/>
      <c r="F547" s="155"/>
      <c r="G547" s="88"/>
      <c r="H547" s="255"/>
      <c r="I547" s="155"/>
      <c r="J547" s="155"/>
      <c r="K547" s="15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58"/>
      <c r="AA547" s="105"/>
      <c r="AB547" s="105"/>
      <c r="AC547" s="105"/>
      <c r="AD547" s="105"/>
      <c r="AE547" s="105"/>
      <c r="AF547" s="158"/>
      <c r="AG547" s="105"/>
      <c r="AH547" s="158"/>
      <c r="AI547" s="88"/>
      <c r="AJ547" s="88"/>
      <c r="AK547" s="131"/>
      <c r="AL547" s="131"/>
      <c r="AM547" s="131"/>
      <c r="AN547" s="131"/>
      <c r="AO547" s="131"/>
      <c r="AP547" s="88"/>
    </row>
    <row r="548">
      <c r="A548" s="155"/>
      <c r="B548" s="173"/>
      <c r="C548" s="174"/>
      <c r="D548" s="173"/>
      <c r="E548" s="155"/>
      <c r="F548" s="155"/>
      <c r="G548" s="88"/>
      <c r="H548" s="255"/>
      <c r="I548" s="155"/>
      <c r="J548" s="155"/>
      <c r="K548" s="15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58"/>
      <c r="AA548" s="105"/>
      <c r="AB548" s="105"/>
      <c r="AC548" s="105"/>
      <c r="AD548" s="105"/>
      <c r="AE548" s="105"/>
      <c r="AF548" s="158"/>
      <c r="AG548" s="105"/>
      <c r="AH548" s="158"/>
      <c r="AI548" s="88"/>
      <c r="AJ548" s="88"/>
      <c r="AK548" s="131"/>
      <c r="AL548" s="131"/>
      <c r="AM548" s="131"/>
      <c r="AN548" s="131"/>
      <c r="AO548" s="131"/>
      <c r="AP548" s="88"/>
    </row>
    <row r="549">
      <c r="A549" s="155"/>
      <c r="B549" s="173"/>
      <c r="C549" s="174"/>
      <c r="D549" s="173"/>
      <c r="E549" s="155"/>
      <c r="F549" s="155"/>
      <c r="G549" s="88"/>
      <c r="H549" s="255"/>
      <c r="I549" s="155"/>
      <c r="J549" s="155"/>
      <c r="K549" s="15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58"/>
      <c r="AA549" s="105"/>
      <c r="AB549" s="105"/>
      <c r="AC549" s="105"/>
      <c r="AD549" s="105"/>
      <c r="AE549" s="105"/>
      <c r="AF549" s="158"/>
      <c r="AG549" s="105"/>
      <c r="AH549" s="158"/>
      <c r="AI549" s="88"/>
      <c r="AJ549" s="88"/>
      <c r="AK549" s="131"/>
      <c r="AL549" s="131"/>
      <c r="AM549" s="131"/>
      <c r="AN549" s="131"/>
      <c r="AO549" s="131"/>
      <c r="AP549" s="88"/>
    </row>
    <row r="550">
      <c r="A550" s="155"/>
      <c r="B550" s="173"/>
      <c r="C550" s="174"/>
      <c r="D550" s="173"/>
      <c r="E550" s="155"/>
      <c r="F550" s="155"/>
      <c r="G550" s="88"/>
      <c r="H550" s="255"/>
      <c r="I550" s="155"/>
      <c r="J550" s="155"/>
      <c r="K550" s="15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58"/>
      <c r="AA550" s="105"/>
      <c r="AB550" s="105"/>
      <c r="AC550" s="105"/>
      <c r="AD550" s="105"/>
      <c r="AE550" s="105"/>
      <c r="AF550" s="158"/>
      <c r="AG550" s="105"/>
      <c r="AH550" s="158"/>
      <c r="AI550" s="88"/>
      <c r="AJ550" s="88"/>
      <c r="AK550" s="131"/>
      <c r="AL550" s="131"/>
      <c r="AM550" s="131"/>
      <c r="AN550" s="131"/>
      <c r="AO550" s="131"/>
      <c r="AP550" s="88"/>
    </row>
    <row r="551">
      <c r="A551" s="155"/>
      <c r="B551" s="173"/>
      <c r="C551" s="174"/>
      <c r="D551" s="173"/>
      <c r="E551" s="155"/>
      <c r="F551" s="155"/>
      <c r="G551" s="88"/>
      <c r="H551" s="255"/>
      <c r="I551" s="155"/>
      <c r="J551" s="155"/>
      <c r="K551" s="15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58"/>
      <c r="AA551" s="105"/>
      <c r="AB551" s="105"/>
      <c r="AC551" s="105"/>
      <c r="AD551" s="105"/>
      <c r="AE551" s="105"/>
      <c r="AF551" s="158"/>
      <c r="AG551" s="105"/>
      <c r="AH551" s="158"/>
      <c r="AI551" s="88"/>
      <c r="AJ551" s="88"/>
      <c r="AK551" s="131"/>
      <c r="AL551" s="131"/>
      <c r="AM551" s="131"/>
      <c r="AN551" s="131"/>
      <c r="AO551" s="131"/>
      <c r="AP551" s="88"/>
    </row>
    <row r="552">
      <c r="A552" s="155"/>
      <c r="B552" s="173"/>
      <c r="C552" s="174"/>
      <c r="D552" s="173"/>
      <c r="E552" s="155"/>
      <c r="F552" s="155"/>
      <c r="G552" s="88"/>
      <c r="H552" s="255"/>
      <c r="I552" s="155"/>
      <c r="J552" s="155"/>
      <c r="K552" s="15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58"/>
      <c r="AA552" s="105"/>
      <c r="AB552" s="105"/>
      <c r="AC552" s="105"/>
      <c r="AD552" s="105"/>
      <c r="AE552" s="105"/>
      <c r="AF552" s="158"/>
      <c r="AG552" s="105"/>
      <c r="AH552" s="158"/>
      <c r="AI552" s="88"/>
      <c r="AJ552" s="88"/>
      <c r="AK552" s="131"/>
      <c r="AL552" s="131"/>
      <c r="AM552" s="131"/>
      <c r="AN552" s="131"/>
      <c r="AO552" s="131"/>
      <c r="AP552" s="88"/>
    </row>
    <row r="553">
      <c r="A553" s="155"/>
      <c r="B553" s="173"/>
      <c r="C553" s="174"/>
      <c r="D553" s="173"/>
      <c r="E553" s="155"/>
      <c r="F553" s="155"/>
      <c r="G553" s="88"/>
      <c r="H553" s="255"/>
      <c r="I553" s="155"/>
      <c r="J553" s="155"/>
      <c r="K553" s="15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58"/>
      <c r="AA553" s="105"/>
      <c r="AB553" s="105"/>
      <c r="AC553" s="105"/>
      <c r="AD553" s="105"/>
      <c r="AE553" s="105"/>
      <c r="AF553" s="158"/>
      <c r="AG553" s="105"/>
      <c r="AH553" s="158"/>
      <c r="AI553" s="88"/>
      <c r="AJ553" s="88"/>
      <c r="AK553" s="131"/>
      <c r="AL553" s="131"/>
      <c r="AM553" s="131"/>
      <c r="AN553" s="131"/>
      <c r="AO553" s="131"/>
      <c r="AP553" s="88"/>
    </row>
    <row r="554">
      <c r="A554" s="155"/>
      <c r="B554" s="173"/>
      <c r="C554" s="174"/>
      <c r="D554" s="173"/>
      <c r="E554" s="155"/>
      <c r="F554" s="155"/>
      <c r="G554" s="88"/>
      <c r="H554" s="255"/>
      <c r="I554" s="155"/>
      <c r="J554" s="155"/>
      <c r="K554" s="15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58"/>
      <c r="AA554" s="105"/>
      <c r="AB554" s="105"/>
      <c r="AC554" s="105"/>
      <c r="AD554" s="105"/>
      <c r="AE554" s="105"/>
      <c r="AF554" s="158"/>
      <c r="AG554" s="105"/>
      <c r="AH554" s="158"/>
      <c r="AI554" s="88"/>
      <c r="AJ554" s="88"/>
      <c r="AK554" s="131"/>
      <c r="AL554" s="131"/>
      <c r="AM554" s="131"/>
      <c r="AN554" s="131"/>
      <c r="AO554" s="131"/>
      <c r="AP554" s="88"/>
    </row>
    <row r="555">
      <c r="A555" s="155"/>
      <c r="B555" s="173"/>
      <c r="C555" s="174"/>
      <c r="D555" s="173"/>
      <c r="E555" s="155"/>
      <c r="F555" s="155"/>
      <c r="G555" s="88"/>
      <c r="H555" s="255"/>
      <c r="I555" s="155"/>
      <c r="J555" s="155"/>
      <c r="K555" s="15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58"/>
      <c r="AA555" s="105"/>
      <c r="AB555" s="105"/>
      <c r="AC555" s="105"/>
      <c r="AD555" s="105"/>
      <c r="AE555" s="105"/>
      <c r="AF555" s="158"/>
      <c r="AG555" s="105"/>
      <c r="AH555" s="158"/>
      <c r="AI555" s="88"/>
      <c r="AJ555" s="88"/>
      <c r="AK555" s="131"/>
      <c r="AL555" s="131"/>
      <c r="AM555" s="131"/>
      <c r="AN555" s="131"/>
      <c r="AO555" s="131"/>
      <c r="AP555" s="88"/>
    </row>
    <row r="556">
      <c r="A556" s="155"/>
      <c r="B556" s="173"/>
      <c r="C556" s="174"/>
      <c r="D556" s="173"/>
      <c r="E556" s="155"/>
      <c r="F556" s="155"/>
      <c r="G556" s="88"/>
      <c r="H556" s="255"/>
      <c r="I556" s="155"/>
      <c r="J556" s="155"/>
      <c r="K556" s="15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58"/>
      <c r="AA556" s="105"/>
      <c r="AB556" s="105"/>
      <c r="AC556" s="105"/>
      <c r="AD556" s="105"/>
      <c r="AE556" s="105"/>
      <c r="AF556" s="158"/>
      <c r="AG556" s="105"/>
      <c r="AH556" s="158"/>
      <c r="AI556" s="88"/>
      <c r="AJ556" s="88"/>
      <c r="AK556" s="131"/>
      <c r="AL556" s="131"/>
      <c r="AM556" s="131"/>
      <c r="AN556" s="131"/>
      <c r="AO556" s="131"/>
      <c r="AP556" s="88"/>
    </row>
    <row r="557">
      <c r="A557" s="155"/>
      <c r="B557" s="173"/>
      <c r="C557" s="174"/>
      <c r="D557" s="173"/>
      <c r="E557" s="155"/>
      <c r="F557" s="155"/>
      <c r="G557" s="88"/>
      <c r="H557" s="255"/>
      <c r="I557" s="155"/>
      <c r="J557" s="155"/>
      <c r="K557" s="15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58"/>
      <c r="AA557" s="105"/>
      <c r="AB557" s="105"/>
      <c r="AC557" s="105"/>
      <c r="AD557" s="105"/>
      <c r="AE557" s="105"/>
      <c r="AF557" s="158"/>
      <c r="AG557" s="105"/>
      <c r="AH557" s="158"/>
      <c r="AI557" s="88"/>
      <c r="AJ557" s="88"/>
      <c r="AK557" s="131"/>
      <c r="AL557" s="131"/>
      <c r="AM557" s="131"/>
      <c r="AN557" s="131"/>
      <c r="AO557" s="131"/>
      <c r="AP557" s="88"/>
    </row>
    <row r="558">
      <c r="A558" s="155"/>
      <c r="B558" s="173"/>
      <c r="C558" s="174"/>
      <c r="D558" s="173"/>
      <c r="E558" s="155"/>
      <c r="F558" s="155"/>
      <c r="G558" s="88"/>
      <c r="H558" s="255"/>
      <c r="I558" s="155"/>
      <c r="J558" s="155"/>
      <c r="K558" s="15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58"/>
      <c r="AA558" s="105"/>
      <c r="AB558" s="105"/>
      <c r="AC558" s="105"/>
      <c r="AD558" s="105"/>
      <c r="AE558" s="105"/>
      <c r="AF558" s="158"/>
      <c r="AG558" s="105"/>
      <c r="AH558" s="158"/>
      <c r="AI558" s="88"/>
      <c r="AJ558" s="88"/>
      <c r="AK558" s="131"/>
      <c r="AL558" s="131"/>
      <c r="AM558" s="131"/>
      <c r="AN558" s="131"/>
      <c r="AO558" s="131"/>
      <c r="AP558" s="88"/>
    </row>
    <row r="559">
      <c r="A559" s="155"/>
      <c r="B559" s="173"/>
      <c r="C559" s="174"/>
      <c r="D559" s="173"/>
      <c r="E559" s="155"/>
      <c r="F559" s="155"/>
      <c r="G559" s="88"/>
      <c r="H559" s="255"/>
      <c r="I559" s="155"/>
      <c r="J559" s="155"/>
      <c r="K559" s="15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58"/>
      <c r="AA559" s="105"/>
      <c r="AB559" s="105"/>
      <c r="AC559" s="105"/>
      <c r="AD559" s="105"/>
      <c r="AE559" s="105"/>
      <c r="AF559" s="158"/>
      <c r="AG559" s="105"/>
      <c r="AH559" s="158"/>
      <c r="AI559" s="88"/>
      <c r="AJ559" s="88"/>
      <c r="AK559" s="131"/>
      <c r="AL559" s="131"/>
      <c r="AM559" s="131"/>
      <c r="AN559" s="131"/>
      <c r="AO559" s="131"/>
      <c r="AP559" s="88"/>
    </row>
    <row r="560">
      <c r="A560" s="155"/>
      <c r="B560" s="173"/>
      <c r="C560" s="174"/>
      <c r="D560" s="173"/>
      <c r="E560" s="155"/>
      <c r="F560" s="155"/>
      <c r="G560" s="88"/>
      <c r="H560" s="255"/>
      <c r="I560" s="155"/>
      <c r="J560" s="155"/>
      <c r="K560" s="15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58"/>
      <c r="AA560" s="105"/>
      <c r="AB560" s="105"/>
      <c r="AC560" s="105"/>
      <c r="AD560" s="105"/>
      <c r="AE560" s="105"/>
      <c r="AF560" s="158"/>
      <c r="AG560" s="105"/>
      <c r="AH560" s="158"/>
      <c r="AI560" s="88"/>
      <c r="AJ560" s="88"/>
      <c r="AK560" s="131"/>
      <c r="AL560" s="131"/>
      <c r="AM560" s="131"/>
      <c r="AN560" s="131"/>
      <c r="AO560" s="131"/>
      <c r="AP560" s="88"/>
    </row>
    <row r="561">
      <c r="A561" s="155"/>
      <c r="B561" s="173"/>
      <c r="C561" s="174"/>
      <c r="D561" s="173"/>
      <c r="E561" s="155"/>
      <c r="F561" s="155"/>
      <c r="G561" s="88"/>
      <c r="H561" s="255"/>
      <c r="I561" s="155"/>
      <c r="J561" s="155"/>
      <c r="K561" s="15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58"/>
      <c r="AA561" s="105"/>
      <c r="AB561" s="105"/>
      <c r="AC561" s="105"/>
      <c r="AD561" s="105"/>
      <c r="AE561" s="105"/>
      <c r="AF561" s="158"/>
      <c r="AG561" s="105"/>
      <c r="AH561" s="158"/>
      <c r="AI561" s="88"/>
      <c r="AJ561" s="88"/>
      <c r="AK561" s="131"/>
      <c r="AL561" s="131"/>
      <c r="AM561" s="131"/>
      <c r="AN561" s="131"/>
      <c r="AO561" s="131"/>
      <c r="AP561" s="88"/>
    </row>
    <row r="562">
      <c r="A562" s="155"/>
      <c r="B562" s="173"/>
      <c r="C562" s="174"/>
      <c r="D562" s="173"/>
      <c r="E562" s="155"/>
      <c r="F562" s="155"/>
      <c r="G562" s="88"/>
      <c r="H562" s="255"/>
      <c r="I562" s="155"/>
      <c r="J562" s="155"/>
      <c r="K562" s="15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58"/>
      <c r="AA562" s="105"/>
      <c r="AB562" s="105"/>
      <c r="AC562" s="105"/>
      <c r="AD562" s="105"/>
      <c r="AE562" s="105"/>
      <c r="AF562" s="158"/>
      <c r="AG562" s="105"/>
      <c r="AH562" s="158"/>
      <c r="AI562" s="88"/>
      <c r="AJ562" s="88"/>
      <c r="AK562" s="131"/>
      <c r="AL562" s="131"/>
      <c r="AM562" s="131"/>
      <c r="AN562" s="131"/>
      <c r="AO562" s="131"/>
      <c r="AP562" s="88"/>
    </row>
    <row r="563">
      <c r="A563" s="155"/>
      <c r="B563" s="173"/>
      <c r="C563" s="174"/>
      <c r="D563" s="173"/>
      <c r="E563" s="155"/>
      <c r="F563" s="155"/>
      <c r="G563" s="88"/>
      <c r="H563" s="255"/>
      <c r="I563" s="155"/>
      <c r="J563" s="155"/>
      <c r="K563" s="15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58"/>
      <c r="AA563" s="105"/>
      <c r="AB563" s="105"/>
      <c r="AC563" s="105"/>
      <c r="AD563" s="105"/>
      <c r="AE563" s="105"/>
      <c r="AF563" s="158"/>
      <c r="AG563" s="105"/>
      <c r="AH563" s="158"/>
      <c r="AI563" s="88"/>
      <c r="AJ563" s="88"/>
      <c r="AK563" s="131"/>
      <c r="AL563" s="131"/>
      <c r="AM563" s="131"/>
      <c r="AN563" s="131"/>
      <c r="AO563" s="131"/>
      <c r="AP563" s="88"/>
    </row>
    <row r="564">
      <c r="A564" s="155"/>
      <c r="B564" s="173"/>
      <c r="C564" s="174"/>
      <c r="D564" s="173"/>
      <c r="E564" s="155"/>
      <c r="F564" s="155"/>
      <c r="G564" s="88"/>
      <c r="H564" s="255"/>
      <c r="I564" s="155"/>
      <c r="J564" s="155"/>
      <c r="K564" s="15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58"/>
      <c r="AA564" s="105"/>
      <c r="AB564" s="105"/>
      <c r="AC564" s="105"/>
      <c r="AD564" s="105"/>
      <c r="AE564" s="105"/>
      <c r="AF564" s="158"/>
      <c r="AG564" s="105"/>
      <c r="AH564" s="158"/>
      <c r="AI564" s="88"/>
      <c r="AJ564" s="88"/>
      <c r="AK564" s="131"/>
      <c r="AL564" s="131"/>
      <c r="AM564" s="131"/>
      <c r="AN564" s="131"/>
      <c r="AO564" s="131"/>
      <c r="AP564" s="88"/>
    </row>
    <row r="565">
      <c r="A565" s="155"/>
      <c r="B565" s="173"/>
      <c r="C565" s="174"/>
      <c r="D565" s="173"/>
      <c r="E565" s="155"/>
      <c r="F565" s="155"/>
      <c r="G565" s="88"/>
      <c r="H565" s="255"/>
      <c r="I565" s="155"/>
      <c r="J565" s="155"/>
      <c r="K565" s="15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58"/>
      <c r="AA565" s="105"/>
      <c r="AB565" s="105"/>
      <c r="AC565" s="105"/>
      <c r="AD565" s="105"/>
      <c r="AE565" s="105"/>
      <c r="AF565" s="158"/>
      <c r="AG565" s="105"/>
      <c r="AH565" s="158"/>
      <c r="AI565" s="88"/>
      <c r="AJ565" s="88"/>
      <c r="AK565" s="131"/>
      <c r="AL565" s="131"/>
      <c r="AM565" s="131"/>
      <c r="AN565" s="131"/>
      <c r="AO565" s="131"/>
      <c r="AP565" s="88"/>
    </row>
    <row r="566">
      <c r="A566" s="155"/>
      <c r="B566" s="173"/>
      <c r="C566" s="174"/>
      <c r="D566" s="173"/>
      <c r="E566" s="155"/>
      <c r="F566" s="155"/>
      <c r="G566" s="88"/>
      <c r="H566" s="255"/>
      <c r="I566" s="155"/>
      <c r="J566" s="155"/>
      <c r="K566" s="15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58"/>
      <c r="AA566" s="105"/>
      <c r="AB566" s="105"/>
      <c r="AC566" s="105"/>
      <c r="AD566" s="105"/>
      <c r="AE566" s="105"/>
      <c r="AF566" s="158"/>
      <c r="AG566" s="105"/>
      <c r="AH566" s="158"/>
      <c r="AI566" s="88"/>
      <c r="AJ566" s="88"/>
      <c r="AK566" s="131"/>
      <c r="AL566" s="131"/>
      <c r="AM566" s="131"/>
      <c r="AN566" s="131"/>
      <c r="AO566" s="131"/>
      <c r="AP566" s="88"/>
    </row>
    <row r="567">
      <c r="A567" s="155"/>
      <c r="B567" s="173"/>
      <c r="C567" s="174"/>
      <c r="D567" s="173"/>
      <c r="E567" s="155"/>
      <c r="F567" s="155"/>
      <c r="G567" s="88"/>
      <c r="H567" s="255"/>
      <c r="I567" s="155"/>
      <c r="J567" s="155"/>
      <c r="K567" s="15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58"/>
      <c r="AA567" s="105"/>
      <c r="AB567" s="105"/>
      <c r="AC567" s="105"/>
      <c r="AD567" s="105"/>
      <c r="AE567" s="105"/>
      <c r="AF567" s="158"/>
      <c r="AG567" s="105"/>
      <c r="AH567" s="158"/>
      <c r="AI567" s="88"/>
      <c r="AJ567" s="88"/>
      <c r="AK567" s="131"/>
      <c r="AL567" s="131"/>
      <c r="AM567" s="131"/>
      <c r="AN567" s="131"/>
      <c r="AO567" s="131"/>
      <c r="AP567" s="88"/>
    </row>
    <row r="568">
      <c r="A568" s="155"/>
      <c r="B568" s="173"/>
      <c r="C568" s="174"/>
      <c r="D568" s="173"/>
      <c r="E568" s="155"/>
      <c r="F568" s="155"/>
      <c r="G568" s="88"/>
      <c r="H568" s="255"/>
      <c r="I568" s="155"/>
      <c r="J568" s="155"/>
      <c r="K568" s="15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58"/>
      <c r="AA568" s="105"/>
      <c r="AB568" s="105"/>
      <c r="AC568" s="105"/>
      <c r="AD568" s="105"/>
      <c r="AE568" s="105"/>
      <c r="AF568" s="158"/>
      <c r="AG568" s="105"/>
      <c r="AH568" s="158"/>
      <c r="AI568" s="88"/>
      <c r="AJ568" s="88"/>
      <c r="AK568" s="131"/>
      <c r="AL568" s="131"/>
      <c r="AM568" s="131"/>
      <c r="AN568" s="131"/>
      <c r="AO568" s="131"/>
      <c r="AP568" s="88"/>
    </row>
    <row r="569">
      <c r="A569" s="155"/>
      <c r="B569" s="173"/>
      <c r="C569" s="174"/>
      <c r="D569" s="173"/>
      <c r="E569" s="155"/>
      <c r="F569" s="155"/>
      <c r="G569" s="88"/>
      <c r="H569" s="255"/>
      <c r="I569" s="155"/>
      <c r="J569" s="155"/>
      <c r="K569" s="15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58"/>
      <c r="AA569" s="105"/>
      <c r="AB569" s="105"/>
      <c r="AC569" s="105"/>
      <c r="AD569" s="105"/>
      <c r="AE569" s="105"/>
      <c r="AF569" s="158"/>
      <c r="AG569" s="105"/>
      <c r="AH569" s="158"/>
      <c r="AI569" s="88"/>
      <c r="AJ569" s="88"/>
      <c r="AK569" s="131"/>
      <c r="AL569" s="131"/>
      <c r="AM569" s="131"/>
      <c r="AN569" s="131"/>
      <c r="AO569" s="131"/>
      <c r="AP569" s="88"/>
    </row>
    <row r="570">
      <c r="A570" s="155"/>
      <c r="B570" s="173"/>
      <c r="C570" s="174"/>
      <c r="D570" s="173"/>
      <c r="E570" s="155"/>
      <c r="F570" s="155"/>
      <c r="G570" s="88"/>
      <c r="H570" s="255"/>
      <c r="I570" s="155"/>
      <c r="J570" s="155"/>
      <c r="K570" s="15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58"/>
      <c r="AA570" s="105"/>
      <c r="AB570" s="105"/>
      <c r="AC570" s="105"/>
      <c r="AD570" s="105"/>
      <c r="AE570" s="105"/>
      <c r="AF570" s="158"/>
      <c r="AG570" s="105"/>
      <c r="AH570" s="158"/>
      <c r="AI570" s="88"/>
      <c r="AJ570" s="88"/>
      <c r="AK570" s="131"/>
      <c r="AL570" s="131"/>
      <c r="AM570" s="131"/>
      <c r="AN570" s="131"/>
      <c r="AO570" s="131"/>
      <c r="AP570" s="88"/>
    </row>
    <row r="571">
      <c r="A571" s="155"/>
      <c r="B571" s="173"/>
      <c r="C571" s="174"/>
      <c r="D571" s="173"/>
      <c r="E571" s="155"/>
      <c r="F571" s="155"/>
      <c r="G571" s="88"/>
      <c r="H571" s="255"/>
      <c r="I571" s="155"/>
      <c r="J571" s="155"/>
      <c r="K571" s="15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58"/>
      <c r="AA571" s="105"/>
      <c r="AB571" s="105"/>
      <c r="AC571" s="105"/>
      <c r="AD571" s="105"/>
      <c r="AE571" s="105"/>
      <c r="AF571" s="158"/>
      <c r="AG571" s="105"/>
      <c r="AH571" s="158"/>
      <c r="AI571" s="88"/>
      <c r="AJ571" s="88"/>
      <c r="AK571" s="131"/>
      <c r="AL571" s="131"/>
      <c r="AM571" s="131"/>
      <c r="AN571" s="131"/>
      <c r="AO571" s="131"/>
      <c r="AP571" s="88"/>
    </row>
    <row r="572">
      <c r="A572" s="155"/>
      <c r="B572" s="173"/>
      <c r="C572" s="174"/>
      <c r="D572" s="173"/>
      <c r="E572" s="155"/>
      <c r="F572" s="155"/>
      <c r="G572" s="88"/>
      <c r="H572" s="255"/>
      <c r="I572" s="155"/>
      <c r="J572" s="155"/>
      <c r="K572" s="15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58"/>
      <c r="AA572" s="105"/>
      <c r="AB572" s="105"/>
      <c r="AC572" s="105"/>
      <c r="AD572" s="105"/>
      <c r="AE572" s="105"/>
      <c r="AF572" s="158"/>
      <c r="AG572" s="105"/>
      <c r="AH572" s="158"/>
      <c r="AI572" s="88"/>
      <c r="AJ572" s="88"/>
      <c r="AK572" s="131"/>
      <c r="AL572" s="131"/>
      <c r="AM572" s="131"/>
      <c r="AN572" s="131"/>
      <c r="AO572" s="131"/>
      <c r="AP572" s="88"/>
    </row>
    <row r="573">
      <c r="A573" s="155"/>
      <c r="B573" s="173"/>
      <c r="C573" s="174"/>
      <c r="D573" s="173"/>
      <c r="E573" s="155"/>
      <c r="F573" s="155"/>
      <c r="G573" s="88"/>
      <c r="H573" s="255"/>
      <c r="I573" s="155"/>
      <c r="J573" s="155"/>
      <c r="K573" s="15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58"/>
      <c r="AA573" s="105"/>
      <c r="AB573" s="105"/>
      <c r="AC573" s="105"/>
      <c r="AD573" s="105"/>
      <c r="AE573" s="105"/>
      <c r="AF573" s="158"/>
      <c r="AG573" s="105"/>
      <c r="AH573" s="158"/>
      <c r="AI573" s="88"/>
      <c r="AJ573" s="88"/>
      <c r="AK573" s="131"/>
      <c r="AL573" s="131"/>
      <c r="AM573" s="131"/>
      <c r="AN573" s="131"/>
      <c r="AO573" s="131"/>
      <c r="AP573" s="88"/>
    </row>
    <row r="574">
      <c r="A574" s="155"/>
      <c r="B574" s="173"/>
      <c r="C574" s="174"/>
      <c r="D574" s="173"/>
      <c r="E574" s="155"/>
      <c r="F574" s="155"/>
      <c r="G574" s="88"/>
      <c r="H574" s="255"/>
      <c r="I574" s="155"/>
      <c r="J574" s="155"/>
      <c r="K574" s="15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58"/>
      <c r="AA574" s="105"/>
      <c r="AB574" s="105"/>
      <c r="AC574" s="105"/>
      <c r="AD574" s="105"/>
      <c r="AE574" s="105"/>
      <c r="AF574" s="158"/>
      <c r="AG574" s="105"/>
      <c r="AH574" s="158"/>
      <c r="AI574" s="88"/>
      <c r="AJ574" s="88"/>
      <c r="AK574" s="131"/>
      <c r="AL574" s="131"/>
      <c r="AM574" s="131"/>
      <c r="AN574" s="131"/>
      <c r="AO574" s="131"/>
      <c r="AP574" s="88"/>
    </row>
    <row r="575">
      <c r="A575" s="155"/>
      <c r="B575" s="173"/>
      <c r="C575" s="174"/>
      <c r="D575" s="173"/>
      <c r="E575" s="155"/>
      <c r="F575" s="155"/>
      <c r="G575" s="88"/>
      <c r="H575" s="255"/>
      <c r="I575" s="155"/>
      <c r="J575" s="155"/>
      <c r="K575" s="15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58"/>
      <c r="AA575" s="105"/>
      <c r="AB575" s="105"/>
      <c r="AC575" s="105"/>
      <c r="AD575" s="105"/>
      <c r="AE575" s="105"/>
      <c r="AF575" s="158"/>
      <c r="AG575" s="105"/>
      <c r="AH575" s="158"/>
      <c r="AI575" s="88"/>
      <c r="AJ575" s="88"/>
      <c r="AK575" s="131"/>
      <c r="AL575" s="131"/>
      <c r="AM575" s="131"/>
      <c r="AN575" s="131"/>
      <c r="AO575" s="131"/>
      <c r="AP575" s="88"/>
    </row>
    <row r="576">
      <c r="A576" s="155"/>
      <c r="B576" s="173"/>
      <c r="C576" s="174"/>
      <c r="D576" s="173"/>
      <c r="E576" s="155"/>
      <c r="F576" s="155"/>
      <c r="G576" s="88"/>
      <c r="H576" s="255"/>
      <c r="I576" s="155"/>
      <c r="J576" s="155"/>
      <c r="K576" s="15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58"/>
      <c r="AA576" s="105"/>
      <c r="AB576" s="105"/>
      <c r="AC576" s="105"/>
      <c r="AD576" s="105"/>
      <c r="AE576" s="105"/>
      <c r="AF576" s="158"/>
      <c r="AG576" s="105"/>
      <c r="AH576" s="158"/>
      <c r="AI576" s="88"/>
      <c r="AJ576" s="88"/>
      <c r="AK576" s="131"/>
      <c r="AL576" s="131"/>
      <c r="AM576" s="131"/>
      <c r="AN576" s="131"/>
      <c r="AO576" s="131"/>
      <c r="AP576" s="88"/>
    </row>
    <row r="577">
      <c r="A577" s="155"/>
      <c r="B577" s="173"/>
      <c r="C577" s="174"/>
      <c r="D577" s="173"/>
      <c r="E577" s="155"/>
      <c r="F577" s="155"/>
      <c r="G577" s="88"/>
      <c r="H577" s="255"/>
      <c r="I577" s="155"/>
      <c r="J577" s="155"/>
      <c r="K577" s="15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58"/>
      <c r="AA577" s="105"/>
      <c r="AB577" s="105"/>
      <c r="AC577" s="105"/>
      <c r="AD577" s="105"/>
      <c r="AE577" s="105"/>
      <c r="AF577" s="158"/>
      <c r="AG577" s="105"/>
      <c r="AH577" s="158"/>
      <c r="AI577" s="88"/>
      <c r="AJ577" s="88"/>
      <c r="AK577" s="131"/>
      <c r="AL577" s="131"/>
      <c r="AM577" s="131"/>
      <c r="AN577" s="131"/>
      <c r="AO577" s="131"/>
      <c r="AP577" s="88"/>
    </row>
    <row r="578">
      <c r="A578" s="155"/>
      <c r="B578" s="173"/>
      <c r="C578" s="174"/>
      <c r="D578" s="173"/>
      <c r="E578" s="155"/>
      <c r="F578" s="155"/>
      <c r="G578" s="88"/>
      <c r="H578" s="255"/>
      <c r="I578" s="155"/>
      <c r="J578" s="155"/>
      <c r="K578" s="15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58"/>
      <c r="AA578" s="105"/>
      <c r="AB578" s="105"/>
      <c r="AC578" s="105"/>
      <c r="AD578" s="105"/>
      <c r="AE578" s="105"/>
      <c r="AF578" s="158"/>
      <c r="AG578" s="105"/>
      <c r="AH578" s="158"/>
      <c r="AI578" s="88"/>
      <c r="AJ578" s="88"/>
      <c r="AK578" s="131"/>
      <c r="AL578" s="131"/>
      <c r="AM578" s="131"/>
      <c r="AN578" s="131"/>
      <c r="AO578" s="131"/>
      <c r="AP578" s="88"/>
    </row>
    <row r="579">
      <c r="A579" s="155"/>
      <c r="B579" s="173"/>
      <c r="C579" s="174"/>
      <c r="D579" s="173"/>
      <c r="E579" s="155"/>
      <c r="F579" s="155"/>
      <c r="G579" s="88"/>
      <c r="H579" s="255"/>
      <c r="I579" s="155"/>
      <c r="J579" s="155"/>
      <c r="K579" s="15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58"/>
      <c r="AA579" s="105"/>
      <c r="AB579" s="105"/>
      <c r="AC579" s="105"/>
      <c r="AD579" s="105"/>
      <c r="AE579" s="105"/>
      <c r="AF579" s="158"/>
      <c r="AG579" s="105"/>
      <c r="AH579" s="158"/>
      <c r="AI579" s="88"/>
      <c r="AJ579" s="88"/>
      <c r="AK579" s="131"/>
      <c r="AL579" s="131"/>
      <c r="AM579" s="131"/>
      <c r="AN579" s="131"/>
      <c r="AO579" s="131"/>
      <c r="AP579" s="88"/>
    </row>
    <row r="580">
      <c r="A580" s="155"/>
      <c r="B580" s="173"/>
      <c r="C580" s="174"/>
      <c r="D580" s="173"/>
      <c r="E580" s="155"/>
      <c r="F580" s="155"/>
      <c r="G580" s="88"/>
      <c r="H580" s="255"/>
      <c r="I580" s="155"/>
      <c r="J580" s="155"/>
      <c r="K580" s="15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58"/>
      <c r="AA580" s="105"/>
      <c r="AB580" s="105"/>
      <c r="AC580" s="105"/>
      <c r="AD580" s="105"/>
      <c r="AE580" s="105"/>
      <c r="AF580" s="158"/>
      <c r="AG580" s="105"/>
      <c r="AH580" s="158"/>
      <c r="AI580" s="88"/>
      <c r="AJ580" s="88"/>
      <c r="AK580" s="131"/>
      <c r="AL580" s="131"/>
      <c r="AM580" s="131"/>
      <c r="AN580" s="131"/>
      <c r="AO580" s="131"/>
      <c r="AP580" s="88"/>
    </row>
    <row r="581">
      <c r="A581" s="155"/>
      <c r="B581" s="173"/>
      <c r="C581" s="174"/>
      <c r="D581" s="173"/>
      <c r="E581" s="155"/>
      <c r="F581" s="155"/>
      <c r="G581" s="88"/>
      <c r="H581" s="255"/>
      <c r="I581" s="155"/>
      <c r="J581" s="155"/>
      <c r="K581" s="15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58"/>
      <c r="AA581" s="105"/>
      <c r="AB581" s="105"/>
      <c r="AC581" s="105"/>
      <c r="AD581" s="105"/>
      <c r="AE581" s="105"/>
      <c r="AF581" s="158"/>
      <c r="AG581" s="105"/>
      <c r="AH581" s="158"/>
      <c r="AI581" s="88"/>
      <c r="AJ581" s="88"/>
      <c r="AK581" s="131"/>
      <c r="AL581" s="131"/>
      <c r="AM581" s="131"/>
      <c r="AN581" s="131"/>
      <c r="AO581" s="131"/>
      <c r="AP581" s="88"/>
    </row>
    <row r="582">
      <c r="A582" s="155"/>
      <c r="B582" s="173"/>
      <c r="C582" s="174"/>
      <c r="D582" s="173"/>
      <c r="E582" s="155"/>
      <c r="F582" s="155"/>
      <c r="G582" s="88"/>
      <c r="H582" s="255"/>
      <c r="I582" s="155"/>
      <c r="J582" s="155"/>
      <c r="K582" s="15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58"/>
      <c r="AA582" s="105"/>
      <c r="AB582" s="105"/>
      <c r="AC582" s="105"/>
      <c r="AD582" s="105"/>
      <c r="AE582" s="105"/>
      <c r="AF582" s="158"/>
      <c r="AG582" s="105"/>
      <c r="AH582" s="158"/>
      <c r="AI582" s="88"/>
      <c r="AJ582" s="88"/>
      <c r="AK582" s="131"/>
      <c r="AL582" s="131"/>
      <c r="AM582" s="131"/>
      <c r="AN582" s="131"/>
      <c r="AO582" s="131"/>
      <c r="AP582" s="88"/>
    </row>
    <row r="583">
      <c r="A583" s="155"/>
      <c r="B583" s="173"/>
      <c r="C583" s="174"/>
      <c r="D583" s="173"/>
      <c r="E583" s="155"/>
      <c r="F583" s="155"/>
      <c r="G583" s="88"/>
      <c r="H583" s="255"/>
      <c r="I583" s="155"/>
      <c r="J583" s="155"/>
      <c r="K583" s="15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58"/>
      <c r="AA583" s="105"/>
      <c r="AB583" s="105"/>
      <c r="AC583" s="105"/>
      <c r="AD583" s="105"/>
      <c r="AE583" s="105"/>
      <c r="AF583" s="158"/>
      <c r="AG583" s="105"/>
      <c r="AH583" s="158"/>
      <c r="AI583" s="88"/>
      <c r="AJ583" s="88"/>
      <c r="AK583" s="131"/>
      <c r="AL583" s="131"/>
      <c r="AM583" s="131"/>
      <c r="AN583" s="131"/>
      <c r="AO583" s="131"/>
      <c r="AP583" s="88"/>
    </row>
    <row r="584">
      <c r="A584" s="155"/>
      <c r="B584" s="173"/>
      <c r="C584" s="174"/>
      <c r="D584" s="173"/>
      <c r="E584" s="155"/>
      <c r="F584" s="155"/>
      <c r="G584" s="88"/>
      <c r="H584" s="255"/>
      <c r="I584" s="155"/>
      <c r="J584" s="155"/>
      <c r="K584" s="15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58"/>
      <c r="AA584" s="105"/>
      <c r="AB584" s="105"/>
      <c r="AC584" s="105"/>
      <c r="AD584" s="105"/>
      <c r="AE584" s="105"/>
      <c r="AF584" s="158"/>
      <c r="AG584" s="105"/>
      <c r="AH584" s="158"/>
      <c r="AI584" s="88"/>
      <c r="AJ584" s="88"/>
      <c r="AK584" s="131"/>
      <c r="AL584" s="131"/>
      <c r="AM584" s="131"/>
      <c r="AN584" s="131"/>
      <c r="AO584" s="131"/>
      <c r="AP584" s="88"/>
    </row>
    <row r="585">
      <c r="A585" s="155"/>
      <c r="B585" s="173"/>
      <c r="C585" s="174"/>
      <c r="D585" s="173"/>
      <c r="E585" s="155"/>
      <c r="F585" s="155"/>
      <c r="G585" s="88"/>
      <c r="H585" s="255"/>
      <c r="I585" s="155"/>
      <c r="J585" s="155"/>
      <c r="K585" s="15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58"/>
      <c r="AA585" s="105"/>
      <c r="AB585" s="105"/>
      <c r="AC585" s="105"/>
      <c r="AD585" s="105"/>
      <c r="AE585" s="105"/>
      <c r="AF585" s="158"/>
      <c r="AG585" s="105"/>
      <c r="AH585" s="158"/>
      <c r="AI585" s="88"/>
      <c r="AJ585" s="88"/>
      <c r="AK585" s="131"/>
      <c r="AL585" s="131"/>
      <c r="AM585" s="131"/>
      <c r="AN585" s="131"/>
      <c r="AO585" s="131"/>
      <c r="AP585" s="88"/>
    </row>
    <row r="586">
      <c r="A586" s="155"/>
      <c r="B586" s="173"/>
      <c r="C586" s="174"/>
      <c r="D586" s="173"/>
      <c r="E586" s="155"/>
      <c r="F586" s="155"/>
      <c r="G586" s="88"/>
      <c r="H586" s="255"/>
      <c r="I586" s="155"/>
      <c r="J586" s="155"/>
      <c r="K586" s="15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58"/>
      <c r="AA586" s="105"/>
      <c r="AB586" s="105"/>
      <c r="AC586" s="105"/>
      <c r="AD586" s="105"/>
      <c r="AE586" s="105"/>
      <c r="AF586" s="158"/>
      <c r="AG586" s="105"/>
      <c r="AH586" s="158"/>
      <c r="AI586" s="88"/>
      <c r="AJ586" s="88"/>
      <c r="AK586" s="131"/>
      <c r="AL586" s="131"/>
      <c r="AM586" s="131"/>
      <c r="AN586" s="131"/>
      <c r="AO586" s="131"/>
      <c r="AP586" s="88"/>
    </row>
    <row r="587">
      <c r="A587" s="155"/>
      <c r="B587" s="173"/>
      <c r="C587" s="174"/>
      <c r="D587" s="173"/>
      <c r="E587" s="155"/>
      <c r="F587" s="155"/>
      <c r="G587" s="88"/>
      <c r="H587" s="255"/>
      <c r="I587" s="155"/>
      <c r="J587" s="155"/>
      <c r="K587" s="15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58"/>
      <c r="AA587" s="105"/>
      <c r="AB587" s="105"/>
      <c r="AC587" s="105"/>
      <c r="AD587" s="105"/>
      <c r="AE587" s="105"/>
      <c r="AF587" s="158"/>
      <c r="AG587" s="105"/>
      <c r="AH587" s="158"/>
      <c r="AI587" s="88"/>
      <c r="AJ587" s="88"/>
      <c r="AK587" s="131"/>
      <c r="AL587" s="131"/>
      <c r="AM587" s="131"/>
      <c r="AN587" s="131"/>
      <c r="AO587" s="131"/>
      <c r="AP587" s="88"/>
    </row>
    <row r="588">
      <c r="A588" s="155"/>
      <c r="B588" s="173"/>
      <c r="C588" s="174"/>
      <c r="D588" s="173"/>
      <c r="E588" s="155"/>
      <c r="F588" s="155"/>
      <c r="G588" s="88"/>
      <c r="H588" s="255"/>
      <c r="I588" s="155"/>
      <c r="J588" s="155"/>
      <c r="K588" s="15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58"/>
      <c r="AA588" s="105"/>
      <c r="AB588" s="105"/>
      <c r="AC588" s="105"/>
      <c r="AD588" s="105"/>
      <c r="AE588" s="105"/>
      <c r="AF588" s="158"/>
      <c r="AG588" s="105"/>
      <c r="AH588" s="158"/>
      <c r="AI588" s="88"/>
      <c r="AJ588" s="88"/>
      <c r="AK588" s="131"/>
      <c r="AL588" s="131"/>
      <c r="AM588" s="131"/>
      <c r="AN588" s="131"/>
      <c r="AO588" s="131"/>
      <c r="AP588" s="88"/>
    </row>
    <row r="589">
      <c r="A589" s="155"/>
      <c r="B589" s="173"/>
      <c r="C589" s="174"/>
      <c r="D589" s="173"/>
      <c r="E589" s="155"/>
      <c r="F589" s="155"/>
      <c r="G589" s="88"/>
      <c r="H589" s="255"/>
      <c r="I589" s="155"/>
      <c r="J589" s="155"/>
      <c r="K589" s="15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58"/>
      <c r="AA589" s="105"/>
      <c r="AB589" s="105"/>
      <c r="AC589" s="105"/>
      <c r="AD589" s="105"/>
      <c r="AE589" s="105"/>
      <c r="AF589" s="158"/>
      <c r="AG589" s="105"/>
      <c r="AH589" s="158"/>
      <c r="AI589" s="88"/>
      <c r="AJ589" s="88"/>
      <c r="AK589" s="131"/>
      <c r="AL589" s="131"/>
      <c r="AM589" s="131"/>
      <c r="AN589" s="131"/>
      <c r="AO589" s="131"/>
      <c r="AP589" s="88"/>
    </row>
    <row r="590">
      <c r="A590" s="155"/>
      <c r="B590" s="173"/>
      <c r="C590" s="174"/>
      <c r="D590" s="173"/>
      <c r="E590" s="155"/>
      <c r="F590" s="155"/>
      <c r="G590" s="88"/>
      <c r="H590" s="255"/>
      <c r="I590" s="155"/>
      <c r="J590" s="155"/>
      <c r="K590" s="15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58"/>
      <c r="AA590" s="105"/>
      <c r="AB590" s="105"/>
      <c r="AC590" s="105"/>
      <c r="AD590" s="105"/>
      <c r="AE590" s="105"/>
      <c r="AF590" s="158"/>
      <c r="AG590" s="105"/>
      <c r="AH590" s="158"/>
      <c r="AI590" s="88"/>
      <c r="AJ590" s="88"/>
      <c r="AK590" s="131"/>
      <c r="AL590" s="131"/>
      <c r="AM590" s="131"/>
      <c r="AN590" s="131"/>
      <c r="AO590" s="131"/>
      <c r="AP590" s="88"/>
    </row>
    <row r="591">
      <c r="A591" s="155"/>
      <c r="B591" s="173"/>
      <c r="C591" s="174"/>
      <c r="D591" s="173"/>
      <c r="E591" s="155"/>
      <c r="F591" s="155"/>
      <c r="G591" s="88"/>
      <c r="H591" s="255"/>
      <c r="I591" s="155"/>
      <c r="J591" s="155"/>
      <c r="K591" s="15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58"/>
      <c r="AA591" s="105"/>
      <c r="AB591" s="105"/>
      <c r="AC591" s="105"/>
      <c r="AD591" s="105"/>
      <c r="AE591" s="105"/>
      <c r="AF591" s="158"/>
      <c r="AG591" s="105"/>
      <c r="AH591" s="158"/>
      <c r="AI591" s="88"/>
      <c r="AJ591" s="88"/>
      <c r="AK591" s="131"/>
      <c r="AL591" s="131"/>
      <c r="AM591" s="131"/>
      <c r="AN591" s="131"/>
      <c r="AO591" s="131"/>
      <c r="AP591" s="88"/>
    </row>
    <row r="592">
      <c r="A592" s="155"/>
      <c r="B592" s="173"/>
      <c r="C592" s="174"/>
      <c r="D592" s="173"/>
      <c r="E592" s="155"/>
      <c r="F592" s="155"/>
      <c r="G592" s="88"/>
      <c r="H592" s="255"/>
      <c r="I592" s="155"/>
      <c r="J592" s="155"/>
      <c r="K592" s="15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58"/>
      <c r="AA592" s="105"/>
      <c r="AB592" s="105"/>
      <c r="AC592" s="105"/>
      <c r="AD592" s="105"/>
      <c r="AE592" s="105"/>
      <c r="AF592" s="158"/>
      <c r="AG592" s="105"/>
      <c r="AH592" s="158"/>
      <c r="AI592" s="88"/>
      <c r="AJ592" s="88"/>
      <c r="AK592" s="131"/>
      <c r="AL592" s="131"/>
      <c r="AM592" s="131"/>
      <c r="AN592" s="131"/>
      <c r="AO592" s="131"/>
      <c r="AP592" s="88"/>
    </row>
    <row r="593">
      <c r="A593" s="155"/>
      <c r="B593" s="173"/>
      <c r="C593" s="174"/>
      <c r="D593" s="173"/>
      <c r="E593" s="155"/>
      <c r="F593" s="155"/>
      <c r="G593" s="88"/>
      <c r="H593" s="255"/>
      <c r="I593" s="155"/>
      <c r="J593" s="155"/>
      <c r="K593" s="15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58"/>
      <c r="AA593" s="105"/>
      <c r="AB593" s="105"/>
      <c r="AC593" s="105"/>
      <c r="AD593" s="105"/>
      <c r="AE593" s="105"/>
      <c r="AF593" s="158"/>
      <c r="AG593" s="105"/>
      <c r="AH593" s="158"/>
      <c r="AI593" s="88"/>
      <c r="AJ593" s="88"/>
      <c r="AK593" s="131"/>
      <c r="AL593" s="131"/>
      <c r="AM593" s="131"/>
      <c r="AN593" s="131"/>
      <c r="AO593" s="131"/>
      <c r="AP593" s="88"/>
    </row>
    <row r="594">
      <c r="A594" s="155"/>
      <c r="B594" s="173"/>
      <c r="C594" s="174"/>
      <c r="D594" s="173"/>
      <c r="E594" s="155"/>
      <c r="F594" s="155"/>
      <c r="G594" s="88"/>
      <c r="H594" s="255"/>
      <c r="I594" s="155"/>
      <c r="J594" s="155"/>
      <c r="K594" s="15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58"/>
      <c r="AA594" s="105"/>
      <c r="AB594" s="105"/>
      <c r="AC594" s="105"/>
      <c r="AD594" s="105"/>
      <c r="AE594" s="105"/>
      <c r="AF594" s="158"/>
      <c r="AG594" s="105"/>
      <c r="AH594" s="158"/>
      <c r="AI594" s="88"/>
      <c r="AJ594" s="88"/>
      <c r="AK594" s="131"/>
      <c r="AL594" s="131"/>
      <c r="AM594" s="131"/>
      <c r="AN594" s="131"/>
      <c r="AO594" s="131"/>
      <c r="AP594" s="88"/>
    </row>
    <row r="595">
      <c r="A595" s="155"/>
      <c r="B595" s="173"/>
      <c r="C595" s="174"/>
      <c r="D595" s="173"/>
      <c r="E595" s="155"/>
      <c r="F595" s="155"/>
      <c r="G595" s="88"/>
      <c r="H595" s="255"/>
      <c r="I595" s="155"/>
      <c r="J595" s="155"/>
      <c r="K595" s="15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58"/>
      <c r="AA595" s="105"/>
      <c r="AB595" s="105"/>
      <c r="AC595" s="105"/>
      <c r="AD595" s="105"/>
      <c r="AE595" s="105"/>
      <c r="AF595" s="158"/>
      <c r="AG595" s="105"/>
      <c r="AH595" s="158"/>
      <c r="AI595" s="88"/>
      <c r="AJ595" s="88"/>
      <c r="AK595" s="131"/>
      <c r="AL595" s="131"/>
      <c r="AM595" s="131"/>
      <c r="AN595" s="131"/>
      <c r="AO595" s="131"/>
      <c r="AP595" s="88"/>
    </row>
    <row r="596">
      <c r="A596" s="155"/>
      <c r="B596" s="173"/>
      <c r="C596" s="174"/>
      <c r="D596" s="173"/>
      <c r="E596" s="155"/>
      <c r="F596" s="155"/>
      <c r="G596" s="88"/>
      <c r="H596" s="255"/>
      <c r="I596" s="155"/>
      <c r="J596" s="155"/>
      <c r="K596" s="15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58"/>
      <c r="AA596" s="105"/>
      <c r="AB596" s="105"/>
      <c r="AC596" s="105"/>
      <c r="AD596" s="105"/>
      <c r="AE596" s="105"/>
      <c r="AF596" s="158"/>
      <c r="AG596" s="105"/>
      <c r="AH596" s="158"/>
      <c r="AI596" s="88"/>
      <c r="AJ596" s="88"/>
      <c r="AK596" s="131"/>
      <c r="AL596" s="131"/>
      <c r="AM596" s="131"/>
      <c r="AN596" s="131"/>
      <c r="AO596" s="131"/>
      <c r="AP596" s="88"/>
    </row>
    <row r="597">
      <c r="A597" s="155"/>
      <c r="B597" s="173"/>
      <c r="C597" s="174"/>
      <c r="D597" s="173"/>
      <c r="E597" s="155"/>
      <c r="F597" s="155"/>
      <c r="G597" s="88"/>
      <c r="H597" s="255"/>
      <c r="I597" s="155"/>
      <c r="J597" s="155"/>
      <c r="K597" s="15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58"/>
      <c r="AA597" s="105"/>
      <c r="AB597" s="105"/>
      <c r="AC597" s="105"/>
      <c r="AD597" s="105"/>
      <c r="AE597" s="105"/>
      <c r="AF597" s="158"/>
      <c r="AG597" s="105"/>
      <c r="AH597" s="158"/>
      <c r="AI597" s="88"/>
      <c r="AJ597" s="88"/>
      <c r="AK597" s="131"/>
      <c r="AL597" s="131"/>
      <c r="AM597" s="131"/>
      <c r="AN597" s="131"/>
      <c r="AO597" s="131"/>
      <c r="AP597" s="88"/>
    </row>
    <row r="598">
      <c r="A598" s="155"/>
      <c r="B598" s="173"/>
      <c r="C598" s="174"/>
      <c r="D598" s="173"/>
      <c r="E598" s="155"/>
      <c r="F598" s="155"/>
      <c r="G598" s="88"/>
      <c r="H598" s="255"/>
      <c r="I598" s="155"/>
      <c r="J598" s="155"/>
      <c r="K598" s="15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58"/>
      <c r="AA598" s="105"/>
      <c r="AB598" s="105"/>
      <c r="AC598" s="105"/>
      <c r="AD598" s="105"/>
      <c r="AE598" s="105"/>
      <c r="AF598" s="158"/>
      <c r="AG598" s="105"/>
      <c r="AH598" s="158"/>
      <c r="AI598" s="88"/>
      <c r="AJ598" s="88"/>
      <c r="AK598" s="131"/>
      <c r="AL598" s="131"/>
      <c r="AM598" s="131"/>
      <c r="AN598" s="131"/>
      <c r="AO598" s="131"/>
      <c r="AP598" s="88"/>
    </row>
    <row r="599">
      <c r="A599" s="155"/>
      <c r="B599" s="173"/>
      <c r="C599" s="174"/>
      <c r="D599" s="173"/>
      <c r="E599" s="155"/>
      <c r="F599" s="155"/>
      <c r="G599" s="88"/>
      <c r="H599" s="255"/>
      <c r="I599" s="155"/>
      <c r="J599" s="155"/>
      <c r="K599" s="15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58"/>
      <c r="AA599" s="105"/>
      <c r="AB599" s="105"/>
      <c r="AC599" s="105"/>
      <c r="AD599" s="105"/>
      <c r="AE599" s="105"/>
      <c r="AF599" s="158"/>
      <c r="AG599" s="105"/>
      <c r="AH599" s="158"/>
      <c r="AI599" s="88"/>
      <c r="AJ599" s="88"/>
      <c r="AK599" s="131"/>
      <c r="AL599" s="131"/>
      <c r="AM599" s="131"/>
      <c r="AN599" s="131"/>
      <c r="AO599" s="131"/>
      <c r="AP599" s="88"/>
    </row>
    <row r="600">
      <c r="A600" s="155"/>
      <c r="B600" s="173"/>
      <c r="C600" s="174"/>
      <c r="D600" s="173"/>
      <c r="E600" s="155"/>
      <c r="F600" s="155"/>
      <c r="G600" s="88"/>
      <c r="H600" s="255"/>
      <c r="I600" s="155"/>
      <c r="J600" s="155"/>
      <c r="K600" s="15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58"/>
      <c r="AA600" s="105"/>
      <c r="AB600" s="105"/>
      <c r="AC600" s="105"/>
      <c r="AD600" s="105"/>
      <c r="AE600" s="105"/>
      <c r="AF600" s="158"/>
      <c r="AG600" s="105"/>
      <c r="AH600" s="158"/>
      <c r="AI600" s="88"/>
      <c r="AJ600" s="88"/>
      <c r="AK600" s="131"/>
      <c r="AL600" s="131"/>
      <c r="AM600" s="131"/>
      <c r="AN600" s="131"/>
      <c r="AO600" s="131"/>
      <c r="AP600" s="88"/>
    </row>
    <row r="601">
      <c r="A601" s="155"/>
      <c r="B601" s="173"/>
      <c r="C601" s="174"/>
      <c r="D601" s="173"/>
      <c r="E601" s="155"/>
      <c r="F601" s="155"/>
      <c r="G601" s="88"/>
      <c r="H601" s="255"/>
      <c r="I601" s="155"/>
      <c r="J601" s="155"/>
      <c r="K601" s="15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58"/>
      <c r="AA601" s="105"/>
      <c r="AB601" s="105"/>
      <c r="AC601" s="105"/>
      <c r="AD601" s="105"/>
      <c r="AE601" s="105"/>
      <c r="AF601" s="158"/>
      <c r="AG601" s="105"/>
      <c r="AH601" s="158"/>
      <c r="AI601" s="88"/>
      <c r="AJ601" s="88"/>
      <c r="AK601" s="131"/>
      <c r="AL601" s="131"/>
      <c r="AM601" s="131"/>
      <c r="AN601" s="131"/>
      <c r="AO601" s="131"/>
      <c r="AP601" s="88"/>
    </row>
    <row r="602">
      <c r="A602" s="155"/>
      <c r="B602" s="173"/>
      <c r="C602" s="174"/>
      <c r="D602" s="173"/>
      <c r="E602" s="155"/>
      <c r="F602" s="155"/>
      <c r="G602" s="88"/>
      <c r="H602" s="255"/>
      <c r="I602" s="155"/>
      <c r="J602" s="155"/>
      <c r="K602" s="15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58"/>
      <c r="AA602" s="105"/>
      <c r="AB602" s="105"/>
      <c r="AC602" s="105"/>
      <c r="AD602" s="105"/>
      <c r="AE602" s="105"/>
      <c r="AF602" s="158"/>
      <c r="AG602" s="105"/>
      <c r="AH602" s="158"/>
      <c r="AI602" s="88"/>
      <c r="AJ602" s="88"/>
      <c r="AK602" s="131"/>
      <c r="AL602" s="131"/>
      <c r="AM602" s="131"/>
      <c r="AN602" s="131"/>
      <c r="AO602" s="131"/>
      <c r="AP602" s="88"/>
    </row>
    <row r="603">
      <c r="A603" s="155"/>
      <c r="B603" s="173"/>
      <c r="C603" s="174"/>
      <c r="D603" s="173"/>
      <c r="E603" s="155"/>
      <c r="F603" s="155"/>
      <c r="G603" s="88"/>
      <c r="H603" s="255"/>
      <c r="I603" s="155"/>
      <c r="J603" s="155"/>
      <c r="K603" s="15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58"/>
      <c r="AA603" s="105"/>
      <c r="AB603" s="105"/>
      <c r="AC603" s="105"/>
      <c r="AD603" s="105"/>
      <c r="AE603" s="105"/>
      <c r="AF603" s="158"/>
      <c r="AG603" s="105"/>
      <c r="AH603" s="158"/>
      <c r="AI603" s="88"/>
      <c r="AJ603" s="88"/>
      <c r="AK603" s="131"/>
      <c r="AL603" s="131"/>
      <c r="AM603" s="131"/>
      <c r="AN603" s="131"/>
      <c r="AO603" s="131"/>
      <c r="AP603" s="88"/>
    </row>
    <row r="604">
      <c r="A604" s="155"/>
      <c r="B604" s="173"/>
      <c r="C604" s="174"/>
      <c r="D604" s="173"/>
      <c r="E604" s="155"/>
      <c r="F604" s="155"/>
      <c r="G604" s="88"/>
      <c r="H604" s="255"/>
      <c r="I604" s="155"/>
      <c r="J604" s="155"/>
      <c r="K604" s="15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58"/>
      <c r="AA604" s="105"/>
      <c r="AB604" s="105"/>
      <c r="AC604" s="105"/>
      <c r="AD604" s="105"/>
      <c r="AE604" s="105"/>
      <c r="AF604" s="158"/>
      <c r="AG604" s="105"/>
      <c r="AH604" s="158"/>
      <c r="AI604" s="88"/>
      <c r="AJ604" s="88"/>
      <c r="AK604" s="131"/>
      <c r="AL604" s="131"/>
      <c r="AM604" s="131"/>
      <c r="AN604" s="131"/>
      <c r="AO604" s="131"/>
      <c r="AP604" s="88"/>
    </row>
    <row r="605">
      <c r="A605" s="155"/>
      <c r="B605" s="173"/>
      <c r="C605" s="174"/>
      <c r="D605" s="173"/>
      <c r="E605" s="155"/>
      <c r="F605" s="155"/>
      <c r="G605" s="88"/>
      <c r="H605" s="255"/>
      <c r="I605" s="155"/>
      <c r="J605" s="155"/>
      <c r="K605" s="15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58"/>
      <c r="AA605" s="105"/>
      <c r="AB605" s="105"/>
      <c r="AC605" s="105"/>
      <c r="AD605" s="105"/>
      <c r="AE605" s="105"/>
      <c r="AF605" s="158"/>
      <c r="AG605" s="105"/>
      <c r="AH605" s="158"/>
      <c r="AI605" s="88"/>
      <c r="AJ605" s="88"/>
      <c r="AK605" s="131"/>
      <c r="AL605" s="131"/>
      <c r="AM605" s="131"/>
      <c r="AN605" s="131"/>
      <c r="AO605" s="131"/>
      <c r="AP605" s="88"/>
    </row>
    <row r="606">
      <c r="A606" s="155"/>
      <c r="B606" s="173"/>
      <c r="C606" s="174"/>
      <c r="D606" s="173"/>
      <c r="E606" s="155"/>
      <c r="F606" s="155"/>
      <c r="G606" s="88"/>
      <c r="H606" s="255"/>
      <c r="I606" s="155"/>
      <c r="J606" s="155"/>
      <c r="K606" s="15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58"/>
      <c r="AA606" s="105"/>
      <c r="AB606" s="105"/>
      <c r="AC606" s="105"/>
      <c r="AD606" s="105"/>
      <c r="AE606" s="105"/>
      <c r="AF606" s="158"/>
      <c r="AG606" s="105"/>
      <c r="AH606" s="158"/>
      <c r="AI606" s="88"/>
      <c r="AJ606" s="88"/>
      <c r="AK606" s="131"/>
      <c r="AL606" s="131"/>
      <c r="AM606" s="131"/>
      <c r="AN606" s="131"/>
      <c r="AO606" s="131"/>
      <c r="AP606" s="88"/>
    </row>
    <row r="607">
      <c r="A607" s="155"/>
      <c r="B607" s="173"/>
      <c r="C607" s="174"/>
      <c r="D607" s="173"/>
      <c r="E607" s="155"/>
      <c r="F607" s="155"/>
      <c r="G607" s="88"/>
      <c r="H607" s="255"/>
      <c r="I607" s="155"/>
      <c r="J607" s="155"/>
      <c r="K607" s="15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58"/>
      <c r="AA607" s="105"/>
      <c r="AB607" s="105"/>
      <c r="AC607" s="105"/>
      <c r="AD607" s="105"/>
      <c r="AE607" s="105"/>
      <c r="AF607" s="158"/>
      <c r="AG607" s="105"/>
      <c r="AH607" s="158"/>
      <c r="AI607" s="88"/>
      <c r="AJ607" s="88"/>
      <c r="AK607" s="131"/>
      <c r="AL607" s="131"/>
      <c r="AM607" s="131"/>
      <c r="AN607" s="131"/>
      <c r="AO607" s="131"/>
      <c r="AP607" s="88"/>
    </row>
    <row r="608">
      <c r="A608" s="155"/>
      <c r="B608" s="173"/>
      <c r="C608" s="174"/>
      <c r="D608" s="173"/>
      <c r="E608" s="155"/>
      <c r="F608" s="155"/>
      <c r="G608" s="88"/>
      <c r="H608" s="255"/>
      <c r="I608" s="155"/>
      <c r="J608" s="155"/>
      <c r="K608" s="15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58"/>
      <c r="AA608" s="105"/>
      <c r="AB608" s="105"/>
      <c r="AC608" s="105"/>
      <c r="AD608" s="105"/>
      <c r="AE608" s="105"/>
      <c r="AF608" s="158"/>
      <c r="AG608" s="105"/>
      <c r="AH608" s="158"/>
      <c r="AI608" s="88"/>
      <c r="AJ608" s="88"/>
      <c r="AK608" s="131"/>
      <c r="AL608" s="131"/>
      <c r="AM608" s="131"/>
      <c r="AN608" s="131"/>
      <c r="AO608" s="131"/>
      <c r="AP608" s="88"/>
    </row>
    <row r="609">
      <c r="A609" s="155"/>
      <c r="B609" s="173"/>
      <c r="C609" s="174"/>
      <c r="D609" s="173"/>
      <c r="E609" s="155"/>
      <c r="F609" s="155"/>
      <c r="G609" s="88"/>
      <c r="H609" s="255"/>
      <c r="I609" s="155"/>
      <c r="J609" s="155"/>
      <c r="K609" s="15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58"/>
      <c r="AA609" s="105"/>
      <c r="AB609" s="105"/>
      <c r="AC609" s="105"/>
      <c r="AD609" s="105"/>
      <c r="AE609" s="105"/>
      <c r="AF609" s="158"/>
      <c r="AG609" s="105"/>
      <c r="AH609" s="158"/>
      <c r="AI609" s="88"/>
      <c r="AJ609" s="88"/>
      <c r="AK609" s="131"/>
      <c r="AL609" s="131"/>
      <c r="AM609" s="131"/>
      <c r="AN609" s="131"/>
      <c r="AO609" s="131"/>
      <c r="AP609" s="88"/>
    </row>
    <row r="610">
      <c r="A610" s="155"/>
      <c r="B610" s="173"/>
      <c r="C610" s="174"/>
      <c r="D610" s="173"/>
      <c r="E610" s="155"/>
      <c r="F610" s="155"/>
      <c r="G610" s="88"/>
      <c r="H610" s="255"/>
      <c r="I610" s="155"/>
      <c r="J610" s="155"/>
      <c r="K610" s="15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58"/>
      <c r="AA610" s="105"/>
      <c r="AB610" s="105"/>
      <c r="AC610" s="105"/>
      <c r="AD610" s="105"/>
      <c r="AE610" s="105"/>
      <c r="AF610" s="158"/>
      <c r="AG610" s="105"/>
      <c r="AH610" s="158"/>
      <c r="AI610" s="88"/>
      <c r="AJ610" s="88"/>
      <c r="AK610" s="131"/>
      <c r="AL610" s="131"/>
      <c r="AM610" s="131"/>
      <c r="AN610" s="131"/>
      <c r="AO610" s="131"/>
      <c r="AP610" s="88"/>
    </row>
    <row r="611">
      <c r="A611" s="155"/>
      <c r="B611" s="173"/>
      <c r="C611" s="174"/>
      <c r="D611" s="173"/>
      <c r="E611" s="155"/>
      <c r="F611" s="155"/>
      <c r="G611" s="88"/>
      <c r="H611" s="255"/>
      <c r="I611" s="155"/>
      <c r="J611" s="155"/>
      <c r="K611" s="15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58"/>
      <c r="AA611" s="105"/>
      <c r="AB611" s="105"/>
      <c r="AC611" s="105"/>
      <c r="AD611" s="105"/>
      <c r="AE611" s="105"/>
      <c r="AF611" s="158"/>
      <c r="AG611" s="105"/>
      <c r="AH611" s="158"/>
      <c r="AI611" s="88"/>
      <c r="AJ611" s="88"/>
      <c r="AK611" s="131"/>
      <c r="AL611" s="131"/>
      <c r="AM611" s="131"/>
      <c r="AN611" s="131"/>
      <c r="AO611" s="131"/>
      <c r="AP611" s="88"/>
    </row>
    <row r="612">
      <c r="A612" s="155"/>
      <c r="B612" s="173"/>
      <c r="C612" s="174"/>
      <c r="D612" s="173"/>
      <c r="E612" s="155"/>
      <c r="F612" s="155"/>
      <c r="G612" s="88"/>
      <c r="H612" s="255"/>
      <c r="I612" s="155"/>
      <c r="J612" s="155"/>
      <c r="K612" s="15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58"/>
      <c r="AA612" s="105"/>
      <c r="AB612" s="105"/>
      <c r="AC612" s="105"/>
      <c r="AD612" s="105"/>
      <c r="AE612" s="105"/>
      <c r="AF612" s="158"/>
      <c r="AG612" s="105"/>
      <c r="AH612" s="158"/>
      <c r="AI612" s="88"/>
      <c r="AJ612" s="88"/>
      <c r="AK612" s="131"/>
      <c r="AL612" s="131"/>
      <c r="AM612" s="131"/>
      <c r="AN612" s="131"/>
      <c r="AO612" s="131"/>
      <c r="AP612" s="88"/>
    </row>
    <row r="613">
      <c r="A613" s="155"/>
      <c r="B613" s="173"/>
      <c r="C613" s="174"/>
      <c r="D613" s="173"/>
      <c r="E613" s="155"/>
      <c r="F613" s="155"/>
      <c r="G613" s="88"/>
      <c r="H613" s="255"/>
      <c r="I613" s="155"/>
      <c r="J613" s="155"/>
      <c r="K613" s="15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58"/>
      <c r="AA613" s="105"/>
      <c r="AB613" s="105"/>
      <c r="AC613" s="105"/>
      <c r="AD613" s="105"/>
      <c r="AE613" s="105"/>
      <c r="AF613" s="158"/>
      <c r="AG613" s="105"/>
      <c r="AH613" s="158"/>
      <c r="AI613" s="88"/>
      <c r="AJ613" s="88"/>
      <c r="AK613" s="131"/>
      <c r="AL613" s="131"/>
      <c r="AM613" s="131"/>
      <c r="AN613" s="131"/>
      <c r="AO613" s="131"/>
      <c r="AP613" s="88"/>
    </row>
    <row r="614">
      <c r="A614" s="155"/>
      <c r="B614" s="173"/>
      <c r="C614" s="174"/>
      <c r="D614" s="173"/>
      <c r="E614" s="155"/>
      <c r="F614" s="155"/>
      <c r="G614" s="88"/>
      <c r="H614" s="255"/>
      <c r="I614" s="155"/>
      <c r="J614" s="155"/>
      <c r="K614" s="15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58"/>
      <c r="AA614" s="105"/>
      <c r="AB614" s="105"/>
      <c r="AC614" s="105"/>
      <c r="AD614" s="105"/>
      <c r="AE614" s="105"/>
      <c r="AF614" s="158"/>
      <c r="AG614" s="105"/>
      <c r="AH614" s="158"/>
      <c r="AI614" s="88"/>
      <c r="AJ614" s="88"/>
      <c r="AK614" s="131"/>
      <c r="AL614" s="131"/>
      <c r="AM614" s="131"/>
      <c r="AN614" s="131"/>
      <c r="AO614" s="131"/>
      <c r="AP614" s="88"/>
    </row>
    <row r="615">
      <c r="A615" s="155"/>
      <c r="B615" s="173"/>
      <c r="C615" s="174"/>
      <c r="D615" s="173"/>
      <c r="E615" s="155"/>
      <c r="F615" s="155"/>
      <c r="G615" s="88"/>
      <c r="H615" s="255"/>
      <c r="I615" s="155"/>
      <c r="J615" s="155"/>
      <c r="K615" s="15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58"/>
      <c r="AA615" s="105"/>
      <c r="AB615" s="105"/>
      <c r="AC615" s="105"/>
      <c r="AD615" s="105"/>
      <c r="AE615" s="105"/>
      <c r="AF615" s="158"/>
      <c r="AG615" s="105"/>
      <c r="AH615" s="158"/>
      <c r="AI615" s="88"/>
      <c r="AJ615" s="88"/>
      <c r="AK615" s="131"/>
      <c r="AL615" s="131"/>
      <c r="AM615" s="131"/>
      <c r="AN615" s="131"/>
      <c r="AO615" s="131"/>
      <c r="AP615" s="88"/>
    </row>
    <row r="616">
      <c r="A616" s="155"/>
      <c r="B616" s="173"/>
      <c r="C616" s="174"/>
      <c r="D616" s="173"/>
      <c r="E616" s="155"/>
      <c r="F616" s="155"/>
      <c r="G616" s="88"/>
      <c r="H616" s="255"/>
      <c r="I616" s="155"/>
      <c r="J616" s="155"/>
      <c r="K616" s="15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58"/>
      <c r="AA616" s="105"/>
      <c r="AB616" s="105"/>
      <c r="AC616" s="105"/>
      <c r="AD616" s="105"/>
      <c r="AE616" s="105"/>
      <c r="AF616" s="158"/>
      <c r="AG616" s="105"/>
      <c r="AH616" s="158"/>
      <c r="AI616" s="88"/>
      <c r="AJ616" s="88"/>
      <c r="AK616" s="131"/>
      <c r="AL616" s="131"/>
      <c r="AM616" s="131"/>
      <c r="AN616" s="131"/>
      <c r="AO616" s="131"/>
      <c r="AP616" s="88"/>
    </row>
    <row r="617">
      <c r="A617" s="155"/>
      <c r="B617" s="173"/>
      <c r="C617" s="174"/>
      <c r="D617" s="173"/>
      <c r="E617" s="155"/>
      <c r="F617" s="155"/>
      <c r="G617" s="88"/>
      <c r="H617" s="255"/>
      <c r="I617" s="155"/>
      <c r="J617" s="155"/>
      <c r="K617" s="15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58"/>
      <c r="AA617" s="105"/>
      <c r="AB617" s="105"/>
      <c r="AC617" s="105"/>
      <c r="AD617" s="105"/>
      <c r="AE617" s="105"/>
      <c r="AF617" s="158"/>
      <c r="AG617" s="105"/>
      <c r="AH617" s="158"/>
      <c r="AI617" s="88"/>
      <c r="AJ617" s="88"/>
      <c r="AK617" s="131"/>
      <c r="AL617" s="131"/>
      <c r="AM617" s="131"/>
      <c r="AN617" s="131"/>
      <c r="AO617" s="131"/>
      <c r="AP617" s="88"/>
    </row>
    <row r="618">
      <c r="A618" s="155"/>
      <c r="B618" s="173"/>
      <c r="C618" s="174"/>
      <c r="D618" s="173"/>
      <c r="E618" s="155"/>
      <c r="F618" s="155"/>
      <c r="G618" s="88"/>
      <c r="H618" s="255"/>
      <c r="I618" s="155"/>
      <c r="J618" s="155"/>
      <c r="K618" s="15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58"/>
      <c r="AA618" s="105"/>
      <c r="AB618" s="105"/>
      <c r="AC618" s="105"/>
      <c r="AD618" s="105"/>
      <c r="AE618" s="105"/>
      <c r="AF618" s="158"/>
      <c r="AG618" s="105"/>
      <c r="AH618" s="158"/>
      <c r="AI618" s="88"/>
      <c r="AJ618" s="88"/>
      <c r="AK618" s="131"/>
      <c r="AL618" s="131"/>
      <c r="AM618" s="131"/>
      <c r="AN618" s="131"/>
      <c r="AO618" s="131"/>
      <c r="AP618" s="88"/>
    </row>
    <row r="619">
      <c r="A619" s="155"/>
      <c r="B619" s="173"/>
      <c r="C619" s="174"/>
      <c r="D619" s="173"/>
      <c r="E619" s="155"/>
      <c r="F619" s="155"/>
      <c r="G619" s="88"/>
      <c r="H619" s="255"/>
      <c r="I619" s="155"/>
      <c r="J619" s="155"/>
      <c r="K619" s="15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58"/>
      <c r="AA619" s="105"/>
      <c r="AB619" s="105"/>
      <c r="AC619" s="105"/>
      <c r="AD619" s="105"/>
      <c r="AE619" s="105"/>
      <c r="AF619" s="158"/>
      <c r="AG619" s="105"/>
      <c r="AH619" s="158"/>
      <c r="AI619" s="88"/>
      <c r="AJ619" s="88"/>
      <c r="AK619" s="131"/>
      <c r="AL619" s="131"/>
      <c r="AM619" s="131"/>
      <c r="AN619" s="131"/>
      <c r="AO619" s="131"/>
      <c r="AP619" s="88"/>
    </row>
    <row r="620">
      <c r="A620" s="155"/>
      <c r="B620" s="173"/>
      <c r="C620" s="174"/>
      <c r="D620" s="173"/>
      <c r="E620" s="155"/>
      <c r="F620" s="155"/>
      <c r="G620" s="88"/>
      <c r="H620" s="255"/>
      <c r="I620" s="155"/>
      <c r="J620" s="155"/>
      <c r="K620" s="15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58"/>
      <c r="AA620" s="105"/>
      <c r="AB620" s="105"/>
      <c r="AC620" s="105"/>
      <c r="AD620" s="105"/>
      <c r="AE620" s="105"/>
      <c r="AF620" s="158"/>
      <c r="AG620" s="105"/>
      <c r="AH620" s="158"/>
      <c r="AI620" s="88"/>
      <c r="AJ620" s="88"/>
      <c r="AK620" s="131"/>
      <c r="AL620" s="131"/>
      <c r="AM620" s="131"/>
      <c r="AN620" s="131"/>
      <c r="AO620" s="131"/>
      <c r="AP620" s="88"/>
    </row>
    <row r="621">
      <c r="A621" s="155"/>
      <c r="B621" s="173"/>
      <c r="C621" s="174"/>
      <c r="D621" s="173"/>
      <c r="E621" s="155"/>
      <c r="F621" s="155"/>
      <c r="G621" s="88"/>
      <c r="H621" s="255"/>
      <c r="I621" s="155"/>
      <c r="J621" s="155"/>
      <c r="K621" s="15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58"/>
      <c r="AA621" s="105"/>
      <c r="AB621" s="105"/>
      <c r="AC621" s="105"/>
      <c r="AD621" s="105"/>
      <c r="AE621" s="105"/>
      <c r="AF621" s="158"/>
      <c r="AG621" s="105"/>
      <c r="AH621" s="158"/>
      <c r="AI621" s="88"/>
      <c r="AJ621" s="88"/>
      <c r="AK621" s="131"/>
      <c r="AL621" s="131"/>
      <c r="AM621" s="131"/>
      <c r="AN621" s="131"/>
      <c r="AO621" s="131"/>
      <c r="AP621" s="88"/>
    </row>
    <row r="622">
      <c r="A622" s="155"/>
      <c r="B622" s="173"/>
      <c r="C622" s="174"/>
      <c r="D622" s="173"/>
      <c r="E622" s="155"/>
      <c r="F622" s="155"/>
      <c r="G622" s="88"/>
      <c r="H622" s="255"/>
      <c r="I622" s="155"/>
      <c r="J622" s="155"/>
      <c r="K622" s="15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58"/>
      <c r="AA622" s="105"/>
      <c r="AB622" s="105"/>
      <c r="AC622" s="105"/>
      <c r="AD622" s="105"/>
      <c r="AE622" s="105"/>
      <c r="AF622" s="158"/>
      <c r="AG622" s="105"/>
      <c r="AH622" s="158"/>
      <c r="AI622" s="88"/>
      <c r="AJ622" s="88"/>
      <c r="AK622" s="131"/>
      <c r="AL622" s="131"/>
      <c r="AM622" s="131"/>
      <c r="AN622" s="131"/>
      <c r="AO622" s="131"/>
      <c r="AP622" s="88"/>
    </row>
    <row r="623">
      <c r="A623" s="155"/>
      <c r="B623" s="173"/>
      <c r="C623" s="174"/>
      <c r="D623" s="173"/>
      <c r="E623" s="155"/>
      <c r="F623" s="155"/>
      <c r="G623" s="88"/>
      <c r="H623" s="255"/>
      <c r="I623" s="155"/>
      <c r="J623" s="155"/>
      <c r="K623" s="15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58"/>
      <c r="AA623" s="105"/>
      <c r="AB623" s="105"/>
      <c r="AC623" s="105"/>
      <c r="AD623" s="105"/>
      <c r="AE623" s="105"/>
      <c r="AF623" s="158"/>
      <c r="AG623" s="105"/>
      <c r="AH623" s="158"/>
      <c r="AI623" s="88"/>
      <c r="AJ623" s="88"/>
      <c r="AK623" s="131"/>
      <c r="AL623" s="131"/>
      <c r="AM623" s="131"/>
      <c r="AN623" s="131"/>
      <c r="AO623" s="131"/>
      <c r="AP623" s="88"/>
    </row>
    <row r="624">
      <c r="A624" s="155"/>
      <c r="B624" s="173"/>
      <c r="C624" s="174"/>
      <c r="D624" s="173"/>
      <c r="E624" s="155"/>
      <c r="F624" s="155"/>
      <c r="G624" s="88"/>
      <c r="H624" s="255"/>
      <c r="I624" s="155"/>
      <c r="J624" s="155"/>
      <c r="K624" s="15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58"/>
      <c r="AA624" s="105"/>
      <c r="AB624" s="105"/>
      <c r="AC624" s="105"/>
      <c r="AD624" s="105"/>
      <c r="AE624" s="105"/>
      <c r="AF624" s="158"/>
      <c r="AG624" s="105"/>
      <c r="AH624" s="158"/>
      <c r="AI624" s="88"/>
      <c r="AJ624" s="88"/>
      <c r="AK624" s="131"/>
      <c r="AL624" s="131"/>
      <c r="AM624" s="131"/>
      <c r="AN624" s="131"/>
      <c r="AO624" s="131"/>
      <c r="AP624" s="88"/>
    </row>
    <row r="625">
      <c r="A625" s="155"/>
      <c r="B625" s="173"/>
      <c r="C625" s="174"/>
      <c r="D625" s="173"/>
      <c r="E625" s="155"/>
      <c r="F625" s="155"/>
      <c r="G625" s="88"/>
      <c r="H625" s="255"/>
      <c r="I625" s="155"/>
      <c r="J625" s="155"/>
      <c r="K625" s="15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58"/>
      <c r="AA625" s="105"/>
      <c r="AB625" s="105"/>
      <c r="AC625" s="105"/>
      <c r="AD625" s="105"/>
      <c r="AE625" s="105"/>
      <c r="AF625" s="158"/>
      <c r="AG625" s="105"/>
      <c r="AH625" s="158"/>
      <c r="AI625" s="88"/>
      <c r="AJ625" s="88"/>
      <c r="AK625" s="131"/>
      <c r="AL625" s="131"/>
      <c r="AM625" s="131"/>
      <c r="AN625" s="131"/>
      <c r="AO625" s="131"/>
      <c r="AP625" s="88"/>
    </row>
    <row r="626">
      <c r="A626" s="155"/>
      <c r="B626" s="173"/>
      <c r="C626" s="174"/>
      <c r="D626" s="173"/>
      <c r="E626" s="155"/>
      <c r="F626" s="155"/>
      <c r="G626" s="88"/>
      <c r="H626" s="255"/>
      <c r="I626" s="155"/>
      <c r="J626" s="155"/>
      <c r="K626" s="15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58"/>
      <c r="AA626" s="105"/>
      <c r="AB626" s="105"/>
      <c r="AC626" s="105"/>
      <c r="AD626" s="105"/>
      <c r="AE626" s="105"/>
      <c r="AF626" s="158"/>
      <c r="AG626" s="105"/>
      <c r="AH626" s="158"/>
      <c r="AI626" s="88"/>
      <c r="AJ626" s="88"/>
      <c r="AK626" s="131"/>
      <c r="AL626" s="131"/>
      <c r="AM626" s="131"/>
      <c r="AN626" s="131"/>
      <c r="AO626" s="131"/>
      <c r="AP626" s="88"/>
    </row>
    <row r="627">
      <c r="A627" s="155"/>
      <c r="B627" s="173"/>
      <c r="C627" s="174"/>
      <c r="D627" s="173"/>
      <c r="E627" s="155"/>
      <c r="F627" s="155"/>
      <c r="G627" s="88"/>
      <c r="H627" s="255"/>
      <c r="I627" s="155"/>
      <c r="J627" s="155"/>
      <c r="K627" s="15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58"/>
      <c r="AA627" s="105"/>
      <c r="AB627" s="105"/>
      <c r="AC627" s="105"/>
      <c r="AD627" s="105"/>
      <c r="AE627" s="105"/>
      <c r="AF627" s="158"/>
      <c r="AG627" s="105"/>
      <c r="AH627" s="158"/>
      <c r="AI627" s="88"/>
      <c r="AJ627" s="88"/>
      <c r="AK627" s="131"/>
      <c r="AL627" s="131"/>
      <c r="AM627" s="131"/>
      <c r="AN627" s="131"/>
      <c r="AO627" s="131"/>
      <c r="AP627" s="88"/>
    </row>
    <row r="628">
      <c r="A628" s="155"/>
      <c r="B628" s="173"/>
      <c r="C628" s="174"/>
      <c r="D628" s="173"/>
      <c r="E628" s="155"/>
      <c r="F628" s="155"/>
      <c r="G628" s="88"/>
      <c r="H628" s="255"/>
      <c r="I628" s="155"/>
      <c r="J628" s="155"/>
      <c r="K628" s="15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58"/>
      <c r="AA628" s="105"/>
      <c r="AB628" s="105"/>
      <c r="AC628" s="105"/>
      <c r="AD628" s="105"/>
      <c r="AE628" s="105"/>
      <c r="AF628" s="158"/>
      <c r="AG628" s="105"/>
      <c r="AH628" s="158"/>
      <c r="AI628" s="88"/>
      <c r="AJ628" s="88"/>
      <c r="AK628" s="131"/>
      <c r="AL628" s="131"/>
      <c r="AM628" s="131"/>
      <c r="AN628" s="131"/>
      <c r="AO628" s="131"/>
      <c r="AP628" s="88"/>
    </row>
    <row r="629">
      <c r="A629" s="155"/>
      <c r="B629" s="173"/>
      <c r="C629" s="174"/>
      <c r="D629" s="173"/>
      <c r="E629" s="155"/>
      <c r="F629" s="155"/>
      <c r="G629" s="88"/>
      <c r="H629" s="255"/>
      <c r="I629" s="155"/>
      <c r="J629" s="155"/>
      <c r="K629" s="15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58"/>
      <c r="AA629" s="105"/>
      <c r="AB629" s="105"/>
      <c r="AC629" s="105"/>
      <c r="AD629" s="105"/>
      <c r="AE629" s="105"/>
      <c r="AF629" s="158"/>
      <c r="AG629" s="105"/>
      <c r="AH629" s="158"/>
      <c r="AI629" s="88"/>
      <c r="AJ629" s="88"/>
      <c r="AK629" s="131"/>
      <c r="AL629" s="131"/>
      <c r="AM629" s="131"/>
      <c r="AN629" s="131"/>
      <c r="AO629" s="131"/>
      <c r="AP629" s="88"/>
    </row>
    <row r="630">
      <c r="A630" s="155"/>
      <c r="B630" s="173"/>
      <c r="C630" s="174"/>
      <c r="D630" s="173"/>
      <c r="E630" s="155"/>
      <c r="F630" s="155"/>
      <c r="G630" s="88"/>
      <c r="H630" s="255"/>
      <c r="I630" s="155"/>
      <c r="J630" s="155"/>
      <c r="K630" s="15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58"/>
      <c r="AA630" s="105"/>
      <c r="AB630" s="105"/>
      <c r="AC630" s="105"/>
      <c r="AD630" s="105"/>
      <c r="AE630" s="105"/>
      <c r="AF630" s="158"/>
      <c r="AG630" s="105"/>
      <c r="AH630" s="158"/>
      <c r="AI630" s="88"/>
      <c r="AJ630" s="88"/>
      <c r="AK630" s="131"/>
      <c r="AL630" s="131"/>
      <c r="AM630" s="131"/>
      <c r="AN630" s="131"/>
      <c r="AO630" s="131"/>
      <c r="AP630" s="88"/>
    </row>
    <row r="631">
      <c r="A631" s="155"/>
      <c r="B631" s="173"/>
      <c r="C631" s="174"/>
      <c r="D631" s="173"/>
      <c r="E631" s="155"/>
      <c r="F631" s="155"/>
      <c r="G631" s="88"/>
      <c r="H631" s="255"/>
      <c r="I631" s="155"/>
      <c r="J631" s="155"/>
      <c r="K631" s="15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58"/>
      <c r="AA631" s="105"/>
      <c r="AB631" s="105"/>
      <c r="AC631" s="105"/>
      <c r="AD631" s="105"/>
      <c r="AE631" s="105"/>
      <c r="AF631" s="158"/>
      <c r="AG631" s="105"/>
      <c r="AH631" s="158"/>
      <c r="AI631" s="88"/>
      <c r="AJ631" s="88"/>
      <c r="AK631" s="131"/>
      <c r="AL631" s="131"/>
      <c r="AM631" s="131"/>
      <c r="AN631" s="131"/>
      <c r="AO631" s="131"/>
      <c r="AP631" s="88"/>
    </row>
    <row r="632">
      <c r="A632" s="155"/>
      <c r="B632" s="173"/>
      <c r="C632" s="174"/>
      <c r="D632" s="173"/>
      <c r="E632" s="155"/>
      <c r="F632" s="155"/>
      <c r="G632" s="88"/>
      <c r="H632" s="255"/>
      <c r="I632" s="155"/>
      <c r="J632" s="155"/>
      <c r="K632" s="15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58"/>
      <c r="AA632" s="105"/>
      <c r="AB632" s="105"/>
      <c r="AC632" s="105"/>
      <c r="AD632" s="105"/>
      <c r="AE632" s="105"/>
      <c r="AF632" s="158"/>
      <c r="AG632" s="105"/>
      <c r="AH632" s="158"/>
      <c r="AI632" s="88"/>
      <c r="AJ632" s="88"/>
      <c r="AK632" s="131"/>
      <c r="AL632" s="131"/>
      <c r="AM632" s="131"/>
      <c r="AN632" s="131"/>
      <c r="AO632" s="131"/>
      <c r="AP632" s="88"/>
    </row>
    <row r="633">
      <c r="A633" s="155"/>
      <c r="B633" s="173"/>
      <c r="C633" s="174"/>
      <c r="D633" s="173"/>
      <c r="E633" s="155"/>
      <c r="F633" s="155"/>
      <c r="G633" s="88"/>
      <c r="H633" s="255"/>
      <c r="I633" s="155"/>
      <c r="J633" s="155"/>
      <c r="K633" s="15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58"/>
      <c r="AA633" s="105"/>
      <c r="AB633" s="105"/>
      <c r="AC633" s="105"/>
      <c r="AD633" s="105"/>
      <c r="AE633" s="105"/>
      <c r="AF633" s="158"/>
      <c r="AG633" s="105"/>
      <c r="AH633" s="158"/>
      <c r="AI633" s="88"/>
      <c r="AJ633" s="88"/>
      <c r="AK633" s="131"/>
      <c r="AL633" s="131"/>
      <c r="AM633" s="131"/>
      <c r="AN633" s="131"/>
      <c r="AO633" s="131"/>
      <c r="AP633" s="88"/>
    </row>
    <row r="634">
      <c r="A634" s="155"/>
      <c r="B634" s="173"/>
      <c r="C634" s="174"/>
      <c r="D634" s="173"/>
      <c r="E634" s="155"/>
      <c r="F634" s="155"/>
      <c r="G634" s="88"/>
      <c r="H634" s="255"/>
      <c r="I634" s="155"/>
      <c r="J634" s="155"/>
      <c r="K634" s="15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58"/>
      <c r="AA634" s="105"/>
      <c r="AB634" s="105"/>
      <c r="AC634" s="105"/>
      <c r="AD634" s="105"/>
      <c r="AE634" s="105"/>
      <c r="AF634" s="158"/>
      <c r="AG634" s="105"/>
      <c r="AH634" s="158"/>
      <c r="AI634" s="88"/>
      <c r="AJ634" s="88"/>
      <c r="AK634" s="131"/>
      <c r="AL634" s="131"/>
      <c r="AM634" s="131"/>
      <c r="AN634" s="131"/>
      <c r="AO634" s="131"/>
      <c r="AP634" s="88"/>
    </row>
    <row r="635">
      <c r="A635" s="155"/>
      <c r="B635" s="173"/>
      <c r="C635" s="174"/>
      <c r="D635" s="173"/>
      <c r="E635" s="155"/>
      <c r="F635" s="155"/>
      <c r="G635" s="88"/>
      <c r="H635" s="255"/>
      <c r="I635" s="155"/>
      <c r="J635" s="155"/>
      <c r="K635" s="15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58"/>
      <c r="AA635" s="105"/>
      <c r="AB635" s="105"/>
      <c r="AC635" s="105"/>
      <c r="AD635" s="105"/>
      <c r="AE635" s="105"/>
      <c r="AF635" s="158"/>
      <c r="AG635" s="105"/>
      <c r="AH635" s="158"/>
      <c r="AI635" s="88"/>
      <c r="AJ635" s="88"/>
      <c r="AK635" s="131"/>
      <c r="AL635" s="131"/>
      <c r="AM635" s="131"/>
      <c r="AN635" s="131"/>
      <c r="AO635" s="131"/>
      <c r="AP635" s="88"/>
    </row>
    <row r="636">
      <c r="A636" s="155"/>
      <c r="B636" s="173"/>
      <c r="C636" s="174"/>
      <c r="D636" s="173"/>
      <c r="E636" s="155"/>
      <c r="F636" s="155"/>
      <c r="G636" s="88"/>
      <c r="H636" s="255"/>
      <c r="I636" s="155"/>
      <c r="J636" s="155"/>
      <c r="K636" s="15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58"/>
      <c r="AA636" s="105"/>
      <c r="AB636" s="105"/>
      <c r="AC636" s="105"/>
      <c r="AD636" s="105"/>
      <c r="AE636" s="105"/>
      <c r="AF636" s="158"/>
      <c r="AG636" s="105"/>
      <c r="AH636" s="158"/>
      <c r="AI636" s="88"/>
      <c r="AJ636" s="88"/>
      <c r="AK636" s="131"/>
      <c r="AL636" s="131"/>
      <c r="AM636" s="131"/>
      <c r="AN636" s="131"/>
      <c r="AO636" s="131"/>
      <c r="AP636" s="88"/>
    </row>
    <row r="637">
      <c r="A637" s="155"/>
      <c r="B637" s="173"/>
      <c r="C637" s="174"/>
      <c r="D637" s="173"/>
      <c r="E637" s="155"/>
      <c r="F637" s="155"/>
      <c r="G637" s="88"/>
      <c r="H637" s="255"/>
      <c r="I637" s="155"/>
      <c r="J637" s="155"/>
      <c r="K637" s="15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58"/>
      <c r="AA637" s="105"/>
      <c r="AB637" s="105"/>
      <c r="AC637" s="105"/>
      <c r="AD637" s="105"/>
      <c r="AE637" s="105"/>
      <c r="AF637" s="158"/>
      <c r="AG637" s="105"/>
      <c r="AH637" s="158"/>
      <c r="AI637" s="88"/>
      <c r="AJ637" s="88"/>
      <c r="AK637" s="131"/>
      <c r="AL637" s="131"/>
      <c r="AM637" s="131"/>
      <c r="AN637" s="131"/>
      <c r="AO637" s="131"/>
      <c r="AP637" s="88"/>
    </row>
    <row r="638">
      <c r="A638" s="155"/>
      <c r="B638" s="173"/>
      <c r="C638" s="174"/>
      <c r="D638" s="173"/>
      <c r="E638" s="155"/>
      <c r="F638" s="155"/>
      <c r="G638" s="88"/>
      <c r="H638" s="255"/>
      <c r="I638" s="155"/>
      <c r="J638" s="155"/>
      <c r="K638" s="15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58"/>
      <c r="AA638" s="105"/>
      <c r="AB638" s="105"/>
      <c r="AC638" s="105"/>
      <c r="AD638" s="105"/>
      <c r="AE638" s="105"/>
      <c r="AF638" s="158"/>
      <c r="AG638" s="105"/>
      <c r="AH638" s="158"/>
      <c r="AI638" s="88"/>
      <c r="AJ638" s="88"/>
      <c r="AK638" s="131"/>
      <c r="AL638" s="131"/>
      <c r="AM638" s="131"/>
      <c r="AN638" s="131"/>
      <c r="AO638" s="131"/>
      <c r="AP638" s="88"/>
    </row>
    <row r="639">
      <c r="A639" s="155"/>
      <c r="B639" s="173"/>
      <c r="C639" s="174"/>
      <c r="D639" s="173"/>
      <c r="E639" s="155"/>
      <c r="F639" s="155"/>
      <c r="G639" s="88"/>
      <c r="H639" s="255"/>
      <c r="I639" s="155"/>
      <c r="J639" s="155"/>
      <c r="K639" s="15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58"/>
      <c r="AA639" s="105"/>
      <c r="AB639" s="105"/>
      <c r="AC639" s="105"/>
      <c r="AD639" s="105"/>
      <c r="AE639" s="105"/>
      <c r="AF639" s="158"/>
      <c r="AG639" s="105"/>
      <c r="AH639" s="158"/>
      <c r="AI639" s="88"/>
      <c r="AJ639" s="88"/>
      <c r="AK639" s="131"/>
      <c r="AL639" s="131"/>
      <c r="AM639" s="131"/>
      <c r="AN639" s="131"/>
      <c r="AO639" s="131"/>
      <c r="AP639" s="88"/>
    </row>
    <row r="640">
      <c r="A640" s="155"/>
      <c r="B640" s="173"/>
      <c r="C640" s="174"/>
      <c r="D640" s="173"/>
      <c r="E640" s="155"/>
      <c r="F640" s="155"/>
      <c r="G640" s="88"/>
      <c r="H640" s="255"/>
      <c r="I640" s="155"/>
      <c r="J640" s="155"/>
      <c r="K640" s="15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58"/>
      <c r="AA640" s="105"/>
      <c r="AB640" s="105"/>
      <c r="AC640" s="105"/>
      <c r="AD640" s="105"/>
      <c r="AE640" s="105"/>
      <c r="AF640" s="158"/>
      <c r="AG640" s="105"/>
      <c r="AH640" s="158"/>
      <c r="AI640" s="88"/>
      <c r="AJ640" s="88"/>
      <c r="AK640" s="131"/>
      <c r="AL640" s="131"/>
      <c r="AM640" s="131"/>
      <c r="AN640" s="131"/>
      <c r="AO640" s="131"/>
      <c r="AP640" s="88"/>
    </row>
    <row r="641">
      <c r="A641" s="155"/>
      <c r="B641" s="173"/>
      <c r="C641" s="174"/>
      <c r="D641" s="173"/>
      <c r="E641" s="155"/>
      <c r="F641" s="155"/>
      <c r="G641" s="88"/>
      <c r="H641" s="255"/>
      <c r="I641" s="155"/>
      <c r="J641" s="155"/>
      <c r="K641" s="15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58"/>
      <c r="AA641" s="105"/>
      <c r="AB641" s="105"/>
      <c r="AC641" s="105"/>
      <c r="AD641" s="105"/>
      <c r="AE641" s="105"/>
      <c r="AF641" s="158"/>
      <c r="AG641" s="105"/>
      <c r="AH641" s="158"/>
      <c r="AI641" s="88"/>
      <c r="AJ641" s="88"/>
      <c r="AK641" s="131"/>
      <c r="AL641" s="131"/>
      <c r="AM641" s="131"/>
      <c r="AN641" s="131"/>
      <c r="AO641" s="131"/>
      <c r="AP641" s="88"/>
    </row>
    <row r="642">
      <c r="A642" s="155"/>
      <c r="B642" s="173"/>
      <c r="C642" s="174"/>
      <c r="D642" s="173"/>
      <c r="E642" s="155"/>
      <c r="F642" s="155"/>
      <c r="G642" s="88"/>
      <c r="H642" s="255"/>
      <c r="I642" s="155"/>
      <c r="J642" s="155"/>
      <c r="K642" s="15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58"/>
      <c r="AA642" s="105"/>
      <c r="AB642" s="105"/>
      <c r="AC642" s="105"/>
      <c r="AD642" s="105"/>
      <c r="AE642" s="105"/>
      <c r="AF642" s="158"/>
      <c r="AG642" s="105"/>
      <c r="AH642" s="158"/>
      <c r="AI642" s="88"/>
      <c r="AJ642" s="88"/>
      <c r="AK642" s="131"/>
      <c r="AL642" s="131"/>
      <c r="AM642" s="131"/>
      <c r="AN642" s="131"/>
      <c r="AO642" s="131"/>
      <c r="AP642" s="88"/>
    </row>
    <row r="643">
      <c r="A643" s="155"/>
      <c r="B643" s="173"/>
      <c r="C643" s="174"/>
      <c r="D643" s="173"/>
      <c r="E643" s="155"/>
      <c r="F643" s="155"/>
      <c r="G643" s="88"/>
      <c r="H643" s="255"/>
      <c r="I643" s="155"/>
      <c r="J643" s="155"/>
      <c r="K643" s="15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58"/>
      <c r="AA643" s="105"/>
      <c r="AB643" s="105"/>
      <c r="AC643" s="105"/>
      <c r="AD643" s="105"/>
      <c r="AE643" s="105"/>
      <c r="AF643" s="158"/>
      <c r="AG643" s="105"/>
      <c r="AH643" s="158"/>
      <c r="AI643" s="88"/>
      <c r="AJ643" s="88"/>
      <c r="AK643" s="131"/>
      <c r="AL643" s="131"/>
      <c r="AM643" s="131"/>
      <c r="AN643" s="131"/>
      <c r="AO643" s="131"/>
      <c r="AP643" s="88"/>
    </row>
    <row r="644">
      <c r="A644" s="155"/>
      <c r="B644" s="173"/>
      <c r="C644" s="174"/>
      <c r="D644" s="173"/>
      <c r="E644" s="155"/>
      <c r="F644" s="155"/>
      <c r="G644" s="88"/>
      <c r="H644" s="255"/>
      <c r="I644" s="155"/>
      <c r="J644" s="155"/>
      <c r="K644" s="15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58"/>
      <c r="AA644" s="105"/>
      <c r="AB644" s="105"/>
      <c r="AC644" s="105"/>
      <c r="AD644" s="105"/>
      <c r="AE644" s="105"/>
      <c r="AF644" s="158"/>
      <c r="AG644" s="105"/>
      <c r="AH644" s="158"/>
      <c r="AI644" s="88"/>
      <c r="AJ644" s="88"/>
      <c r="AK644" s="131"/>
      <c r="AL644" s="131"/>
      <c r="AM644" s="131"/>
      <c r="AN644" s="131"/>
      <c r="AO644" s="131"/>
      <c r="AP644" s="88"/>
    </row>
    <row r="645">
      <c r="A645" s="155"/>
      <c r="B645" s="173"/>
      <c r="C645" s="174"/>
      <c r="D645" s="173"/>
      <c r="E645" s="155"/>
      <c r="F645" s="155"/>
      <c r="G645" s="88"/>
      <c r="H645" s="255"/>
      <c r="I645" s="155"/>
      <c r="J645" s="155"/>
      <c r="K645" s="15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58"/>
      <c r="AA645" s="105"/>
      <c r="AB645" s="105"/>
      <c r="AC645" s="105"/>
      <c r="AD645" s="105"/>
      <c r="AE645" s="105"/>
      <c r="AF645" s="158"/>
      <c r="AG645" s="105"/>
      <c r="AH645" s="158"/>
      <c r="AI645" s="88"/>
      <c r="AJ645" s="88"/>
      <c r="AK645" s="131"/>
      <c r="AL645" s="131"/>
      <c r="AM645" s="131"/>
      <c r="AN645" s="131"/>
      <c r="AO645" s="131"/>
      <c r="AP645" s="88"/>
    </row>
    <row r="646">
      <c r="A646" s="155"/>
      <c r="B646" s="173"/>
      <c r="C646" s="174"/>
      <c r="D646" s="173"/>
      <c r="E646" s="155"/>
      <c r="F646" s="155"/>
      <c r="G646" s="88"/>
      <c r="H646" s="255"/>
      <c r="I646" s="155"/>
      <c r="J646" s="155"/>
      <c r="K646" s="15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58"/>
      <c r="AA646" s="105"/>
      <c r="AB646" s="105"/>
      <c r="AC646" s="105"/>
      <c r="AD646" s="105"/>
      <c r="AE646" s="105"/>
      <c r="AF646" s="158"/>
      <c r="AG646" s="105"/>
      <c r="AH646" s="158"/>
      <c r="AI646" s="88"/>
      <c r="AJ646" s="88"/>
      <c r="AK646" s="131"/>
      <c r="AL646" s="131"/>
      <c r="AM646" s="131"/>
      <c r="AN646" s="131"/>
      <c r="AO646" s="131"/>
      <c r="AP646" s="88"/>
    </row>
    <row r="647">
      <c r="A647" s="155"/>
      <c r="B647" s="173"/>
      <c r="C647" s="174"/>
      <c r="D647" s="173"/>
      <c r="E647" s="155"/>
      <c r="F647" s="155"/>
      <c r="G647" s="88"/>
      <c r="H647" s="255"/>
      <c r="I647" s="155"/>
      <c r="J647" s="155"/>
      <c r="K647" s="15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58"/>
      <c r="AA647" s="105"/>
      <c r="AB647" s="105"/>
      <c r="AC647" s="105"/>
      <c r="AD647" s="105"/>
      <c r="AE647" s="105"/>
      <c r="AF647" s="158"/>
      <c r="AG647" s="105"/>
      <c r="AH647" s="158"/>
      <c r="AI647" s="88"/>
      <c r="AJ647" s="88"/>
      <c r="AK647" s="131"/>
      <c r="AL647" s="131"/>
      <c r="AM647" s="131"/>
      <c r="AN647" s="131"/>
      <c r="AO647" s="131"/>
      <c r="AP647" s="88"/>
    </row>
    <row r="648">
      <c r="A648" s="155"/>
      <c r="B648" s="173"/>
      <c r="C648" s="174"/>
      <c r="D648" s="173"/>
      <c r="E648" s="155"/>
      <c r="F648" s="155"/>
      <c r="G648" s="88"/>
      <c r="H648" s="255"/>
      <c r="I648" s="155"/>
      <c r="J648" s="155"/>
      <c r="K648" s="15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58"/>
      <c r="AA648" s="105"/>
      <c r="AB648" s="105"/>
      <c r="AC648" s="105"/>
      <c r="AD648" s="105"/>
      <c r="AE648" s="105"/>
      <c r="AF648" s="158"/>
      <c r="AG648" s="105"/>
      <c r="AH648" s="158"/>
      <c r="AI648" s="88"/>
      <c r="AJ648" s="88"/>
      <c r="AK648" s="131"/>
      <c r="AL648" s="131"/>
      <c r="AM648" s="131"/>
      <c r="AN648" s="131"/>
      <c r="AO648" s="131"/>
      <c r="AP648" s="88"/>
    </row>
    <row r="649">
      <c r="A649" s="155"/>
      <c r="B649" s="173"/>
      <c r="C649" s="174"/>
      <c r="D649" s="173"/>
      <c r="E649" s="155"/>
      <c r="F649" s="155"/>
      <c r="G649" s="88"/>
      <c r="H649" s="255"/>
      <c r="I649" s="155"/>
      <c r="J649" s="155"/>
      <c r="K649" s="15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58"/>
      <c r="AA649" s="105"/>
      <c r="AB649" s="105"/>
      <c r="AC649" s="105"/>
      <c r="AD649" s="105"/>
      <c r="AE649" s="105"/>
      <c r="AF649" s="158"/>
      <c r="AG649" s="105"/>
      <c r="AH649" s="158"/>
      <c r="AI649" s="88"/>
      <c r="AJ649" s="88"/>
      <c r="AK649" s="131"/>
      <c r="AL649" s="131"/>
      <c r="AM649" s="131"/>
      <c r="AN649" s="131"/>
      <c r="AO649" s="131"/>
      <c r="AP649" s="88"/>
    </row>
    <row r="650">
      <c r="A650" s="155"/>
      <c r="B650" s="173"/>
      <c r="C650" s="174"/>
      <c r="D650" s="173"/>
      <c r="E650" s="155"/>
      <c r="F650" s="155"/>
      <c r="G650" s="88"/>
      <c r="H650" s="255"/>
      <c r="I650" s="155"/>
      <c r="J650" s="155"/>
      <c r="K650" s="15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58"/>
      <c r="AA650" s="105"/>
      <c r="AB650" s="105"/>
      <c r="AC650" s="105"/>
      <c r="AD650" s="105"/>
      <c r="AE650" s="105"/>
      <c r="AF650" s="158"/>
      <c r="AG650" s="105"/>
      <c r="AH650" s="158"/>
      <c r="AI650" s="88"/>
      <c r="AJ650" s="88"/>
      <c r="AK650" s="131"/>
      <c r="AL650" s="131"/>
      <c r="AM650" s="131"/>
      <c r="AN650" s="131"/>
      <c r="AO650" s="131"/>
      <c r="AP650" s="88"/>
    </row>
    <row r="651">
      <c r="A651" s="155"/>
      <c r="B651" s="173"/>
      <c r="C651" s="174"/>
      <c r="D651" s="173"/>
      <c r="E651" s="155"/>
      <c r="F651" s="155"/>
      <c r="G651" s="88"/>
      <c r="H651" s="255"/>
      <c r="I651" s="155"/>
      <c r="J651" s="155"/>
      <c r="K651" s="15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58"/>
      <c r="AA651" s="105"/>
      <c r="AB651" s="105"/>
      <c r="AC651" s="105"/>
      <c r="AD651" s="105"/>
      <c r="AE651" s="105"/>
      <c r="AF651" s="158"/>
      <c r="AG651" s="105"/>
      <c r="AH651" s="158"/>
      <c r="AI651" s="88"/>
      <c r="AJ651" s="88"/>
      <c r="AK651" s="131"/>
      <c r="AL651" s="131"/>
      <c r="AM651" s="131"/>
      <c r="AN651" s="131"/>
      <c r="AO651" s="131"/>
      <c r="AP651" s="88"/>
    </row>
    <row r="652">
      <c r="A652" s="155"/>
      <c r="B652" s="173"/>
      <c r="C652" s="174"/>
      <c r="D652" s="173"/>
      <c r="E652" s="155"/>
      <c r="F652" s="155"/>
      <c r="G652" s="88"/>
      <c r="H652" s="255"/>
      <c r="I652" s="155"/>
      <c r="J652" s="155"/>
      <c r="K652" s="15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58"/>
      <c r="AA652" s="105"/>
      <c r="AB652" s="105"/>
      <c r="AC652" s="105"/>
      <c r="AD652" s="105"/>
      <c r="AE652" s="105"/>
      <c r="AF652" s="158"/>
      <c r="AG652" s="105"/>
      <c r="AH652" s="158"/>
      <c r="AI652" s="88"/>
      <c r="AJ652" s="88"/>
      <c r="AK652" s="131"/>
      <c r="AL652" s="131"/>
      <c r="AM652" s="131"/>
      <c r="AN652" s="131"/>
      <c r="AO652" s="131"/>
      <c r="AP652" s="88"/>
    </row>
    <row r="653">
      <c r="A653" s="155"/>
      <c r="B653" s="173"/>
      <c r="C653" s="174"/>
      <c r="D653" s="173"/>
      <c r="E653" s="155"/>
      <c r="F653" s="155"/>
      <c r="G653" s="88"/>
      <c r="H653" s="255"/>
      <c r="I653" s="155"/>
      <c r="J653" s="155"/>
      <c r="K653" s="15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58"/>
      <c r="AA653" s="105"/>
      <c r="AB653" s="105"/>
      <c r="AC653" s="105"/>
      <c r="AD653" s="105"/>
      <c r="AE653" s="105"/>
      <c r="AF653" s="158"/>
      <c r="AG653" s="105"/>
      <c r="AH653" s="158"/>
      <c r="AI653" s="88"/>
      <c r="AJ653" s="88"/>
      <c r="AK653" s="131"/>
      <c r="AL653" s="131"/>
      <c r="AM653" s="131"/>
      <c r="AN653" s="131"/>
      <c r="AO653" s="131"/>
      <c r="AP653" s="88"/>
    </row>
    <row r="654">
      <c r="A654" s="155"/>
      <c r="B654" s="173"/>
      <c r="C654" s="174"/>
      <c r="D654" s="173"/>
      <c r="E654" s="155"/>
      <c r="F654" s="155"/>
      <c r="G654" s="88"/>
      <c r="H654" s="255"/>
      <c r="I654" s="155"/>
      <c r="J654" s="155"/>
      <c r="K654" s="15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58"/>
      <c r="AA654" s="105"/>
      <c r="AB654" s="105"/>
      <c r="AC654" s="105"/>
      <c r="AD654" s="105"/>
      <c r="AE654" s="105"/>
      <c r="AF654" s="158"/>
      <c r="AG654" s="105"/>
      <c r="AH654" s="158"/>
      <c r="AI654" s="88"/>
      <c r="AJ654" s="88"/>
      <c r="AK654" s="131"/>
      <c r="AL654" s="131"/>
      <c r="AM654" s="131"/>
      <c r="AN654" s="131"/>
      <c r="AO654" s="131"/>
      <c r="AP654" s="88"/>
    </row>
    <row r="655">
      <c r="A655" s="155"/>
      <c r="B655" s="173"/>
      <c r="C655" s="174"/>
      <c r="D655" s="173"/>
      <c r="E655" s="155"/>
      <c r="F655" s="155"/>
      <c r="G655" s="88"/>
      <c r="H655" s="255"/>
      <c r="I655" s="155"/>
      <c r="J655" s="155"/>
      <c r="K655" s="15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58"/>
      <c r="AA655" s="105"/>
      <c r="AB655" s="105"/>
      <c r="AC655" s="105"/>
      <c r="AD655" s="105"/>
      <c r="AE655" s="105"/>
      <c r="AF655" s="158"/>
      <c r="AG655" s="105"/>
      <c r="AH655" s="158"/>
      <c r="AI655" s="88"/>
      <c r="AJ655" s="88"/>
      <c r="AK655" s="131"/>
      <c r="AL655" s="131"/>
      <c r="AM655" s="131"/>
      <c r="AN655" s="131"/>
      <c r="AO655" s="131"/>
      <c r="AP655" s="88"/>
    </row>
    <row r="656">
      <c r="A656" s="155"/>
      <c r="B656" s="173"/>
      <c r="C656" s="174"/>
      <c r="D656" s="173"/>
      <c r="E656" s="155"/>
      <c r="F656" s="155"/>
      <c r="G656" s="88"/>
      <c r="H656" s="255"/>
      <c r="I656" s="155"/>
      <c r="J656" s="155"/>
      <c r="K656" s="15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58"/>
      <c r="AA656" s="105"/>
      <c r="AB656" s="105"/>
      <c r="AC656" s="105"/>
      <c r="AD656" s="105"/>
      <c r="AE656" s="105"/>
      <c r="AF656" s="158"/>
      <c r="AG656" s="105"/>
      <c r="AH656" s="158"/>
      <c r="AI656" s="88"/>
      <c r="AJ656" s="88"/>
      <c r="AK656" s="131"/>
      <c r="AL656" s="131"/>
      <c r="AM656" s="131"/>
      <c r="AN656" s="131"/>
      <c r="AO656" s="131"/>
      <c r="AP656" s="88"/>
    </row>
    <row r="657">
      <c r="A657" s="155"/>
      <c r="B657" s="173"/>
      <c r="C657" s="174"/>
      <c r="D657" s="173"/>
      <c r="E657" s="155"/>
      <c r="F657" s="155"/>
      <c r="G657" s="88"/>
      <c r="H657" s="255"/>
      <c r="I657" s="155"/>
      <c r="J657" s="155"/>
      <c r="K657" s="15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58"/>
      <c r="AA657" s="105"/>
      <c r="AB657" s="105"/>
      <c r="AC657" s="105"/>
      <c r="AD657" s="105"/>
      <c r="AE657" s="105"/>
      <c r="AF657" s="158"/>
      <c r="AG657" s="105"/>
      <c r="AH657" s="158"/>
      <c r="AI657" s="88"/>
      <c r="AJ657" s="88"/>
      <c r="AK657" s="131"/>
      <c r="AL657" s="131"/>
      <c r="AM657" s="131"/>
      <c r="AN657" s="131"/>
      <c r="AO657" s="131"/>
      <c r="AP657" s="88"/>
    </row>
    <row r="658">
      <c r="A658" s="155"/>
      <c r="B658" s="173"/>
      <c r="C658" s="174"/>
      <c r="D658" s="173"/>
      <c r="E658" s="155"/>
      <c r="F658" s="155"/>
      <c r="G658" s="88"/>
      <c r="H658" s="255"/>
      <c r="I658" s="155"/>
      <c r="J658" s="155"/>
      <c r="K658" s="15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58"/>
      <c r="AA658" s="105"/>
      <c r="AB658" s="105"/>
      <c r="AC658" s="105"/>
      <c r="AD658" s="105"/>
      <c r="AE658" s="105"/>
      <c r="AF658" s="158"/>
      <c r="AG658" s="105"/>
      <c r="AH658" s="158"/>
      <c r="AI658" s="88"/>
      <c r="AJ658" s="88"/>
      <c r="AK658" s="131"/>
      <c r="AL658" s="131"/>
      <c r="AM658" s="131"/>
      <c r="AN658" s="131"/>
      <c r="AO658" s="131"/>
      <c r="AP658" s="88"/>
    </row>
    <row r="659">
      <c r="A659" s="155"/>
      <c r="B659" s="173"/>
      <c r="C659" s="174"/>
      <c r="D659" s="173"/>
      <c r="E659" s="155"/>
      <c r="F659" s="155"/>
      <c r="G659" s="88"/>
      <c r="H659" s="255"/>
      <c r="I659" s="155"/>
      <c r="J659" s="155"/>
      <c r="K659" s="15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58"/>
      <c r="AA659" s="105"/>
      <c r="AB659" s="105"/>
      <c r="AC659" s="105"/>
      <c r="AD659" s="105"/>
      <c r="AE659" s="105"/>
      <c r="AF659" s="158"/>
      <c r="AG659" s="105"/>
      <c r="AH659" s="158"/>
      <c r="AI659" s="88"/>
      <c r="AJ659" s="88"/>
      <c r="AK659" s="131"/>
      <c r="AL659" s="131"/>
      <c r="AM659" s="131"/>
      <c r="AN659" s="131"/>
      <c r="AO659" s="131"/>
      <c r="AP659" s="88"/>
    </row>
    <row r="660">
      <c r="A660" s="155"/>
      <c r="B660" s="173"/>
      <c r="C660" s="174"/>
      <c r="D660" s="173"/>
      <c r="E660" s="155"/>
      <c r="F660" s="155"/>
      <c r="G660" s="88"/>
      <c r="H660" s="255"/>
      <c r="I660" s="155"/>
      <c r="J660" s="155"/>
      <c r="K660" s="15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58"/>
      <c r="AA660" s="105"/>
      <c r="AB660" s="105"/>
      <c r="AC660" s="105"/>
      <c r="AD660" s="105"/>
      <c r="AE660" s="105"/>
      <c r="AF660" s="158"/>
      <c r="AG660" s="105"/>
      <c r="AH660" s="158"/>
      <c r="AI660" s="88"/>
      <c r="AJ660" s="88"/>
      <c r="AK660" s="131"/>
      <c r="AL660" s="131"/>
      <c r="AM660" s="131"/>
      <c r="AN660" s="131"/>
      <c r="AO660" s="131"/>
      <c r="AP660" s="88"/>
    </row>
    <row r="661">
      <c r="A661" s="155"/>
      <c r="B661" s="173"/>
      <c r="C661" s="174"/>
      <c r="D661" s="173"/>
      <c r="E661" s="155"/>
      <c r="F661" s="155"/>
      <c r="G661" s="88"/>
      <c r="H661" s="255"/>
      <c r="I661" s="155"/>
      <c r="J661" s="155"/>
      <c r="K661" s="15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58"/>
      <c r="AA661" s="105"/>
      <c r="AB661" s="105"/>
      <c r="AC661" s="105"/>
      <c r="AD661" s="105"/>
      <c r="AE661" s="105"/>
      <c r="AF661" s="158"/>
      <c r="AG661" s="105"/>
      <c r="AH661" s="158"/>
      <c r="AI661" s="88"/>
      <c r="AJ661" s="88"/>
      <c r="AK661" s="131"/>
      <c r="AL661" s="131"/>
      <c r="AM661" s="131"/>
      <c r="AN661" s="131"/>
      <c r="AO661" s="131"/>
      <c r="AP661" s="88"/>
    </row>
    <row r="662">
      <c r="A662" s="155"/>
      <c r="B662" s="173"/>
      <c r="C662" s="174"/>
      <c r="D662" s="173"/>
      <c r="E662" s="155"/>
      <c r="F662" s="155"/>
      <c r="G662" s="88"/>
      <c r="H662" s="255"/>
      <c r="I662" s="155"/>
      <c r="J662" s="155"/>
      <c r="K662" s="15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58"/>
      <c r="AA662" s="105"/>
      <c r="AB662" s="105"/>
      <c r="AC662" s="105"/>
      <c r="AD662" s="105"/>
      <c r="AE662" s="105"/>
      <c r="AF662" s="158"/>
      <c r="AG662" s="105"/>
      <c r="AH662" s="158"/>
      <c r="AI662" s="88"/>
      <c r="AJ662" s="88"/>
      <c r="AK662" s="131"/>
      <c r="AL662" s="131"/>
      <c r="AM662" s="131"/>
      <c r="AN662" s="131"/>
      <c r="AO662" s="131"/>
      <c r="AP662" s="88"/>
    </row>
    <row r="663">
      <c r="A663" s="155"/>
      <c r="B663" s="173"/>
      <c r="C663" s="174"/>
      <c r="D663" s="173"/>
      <c r="E663" s="155"/>
      <c r="F663" s="155"/>
      <c r="G663" s="88"/>
      <c r="H663" s="255"/>
      <c r="I663" s="155"/>
      <c r="J663" s="155"/>
      <c r="K663" s="15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58"/>
      <c r="AA663" s="105"/>
      <c r="AB663" s="105"/>
      <c r="AC663" s="105"/>
      <c r="AD663" s="105"/>
      <c r="AE663" s="105"/>
      <c r="AF663" s="158"/>
      <c r="AG663" s="105"/>
      <c r="AH663" s="158"/>
      <c r="AI663" s="88"/>
      <c r="AJ663" s="88"/>
      <c r="AK663" s="131"/>
      <c r="AL663" s="131"/>
      <c r="AM663" s="131"/>
      <c r="AN663" s="131"/>
      <c r="AO663" s="131"/>
      <c r="AP663" s="88"/>
    </row>
    <row r="664">
      <c r="A664" s="155"/>
      <c r="B664" s="173"/>
      <c r="C664" s="174"/>
      <c r="D664" s="173"/>
      <c r="E664" s="155"/>
      <c r="F664" s="155"/>
      <c r="G664" s="88"/>
      <c r="H664" s="255"/>
      <c r="I664" s="155"/>
      <c r="J664" s="155"/>
      <c r="K664" s="15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58"/>
      <c r="AA664" s="105"/>
      <c r="AB664" s="105"/>
      <c r="AC664" s="105"/>
      <c r="AD664" s="105"/>
      <c r="AE664" s="105"/>
      <c r="AF664" s="158"/>
      <c r="AG664" s="105"/>
      <c r="AH664" s="158"/>
      <c r="AI664" s="88"/>
      <c r="AJ664" s="88"/>
      <c r="AK664" s="131"/>
      <c r="AL664" s="131"/>
      <c r="AM664" s="131"/>
      <c r="AN664" s="131"/>
      <c r="AO664" s="131"/>
      <c r="AP664" s="88"/>
    </row>
    <row r="665">
      <c r="A665" s="155"/>
      <c r="B665" s="173"/>
      <c r="C665" s="174"/>
      <c r="D665" s="173"/>
      <c r="E665" s="155"/>
      <c r="F665" s="155"/>
      <c r="G665" s="88"/>
      <c r="H665" s="255"/>
      <c r="I665" s="155"/>
      <c r="J665" s="155"/>
      <c r="K665" s="15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58"/>
      <c r="AA665" s="105"/>
      <c r="AB665" s="105"/>
      <c r="AC665" s="105"/>
      <c r="AD665" s="105"/>
      <c r="AE665" s="105"/>
      <c r="AF665" s="158"/>
      <c r="AG665" s="105"/>
      <c r="AH665" s="158"/>
      <c r="AI665" s="88"/>
      <c r="AJ665" s="88"/>
      <c r="AK665" s="131"/>
      <c r="AL665" s="131"/>
      <c r="AM665" s="131"/>
      <c r="AN665" s="131"/>
      <c r="AO665" s="131"/>
      <c r="AP665" s="88"/>
    </row>
    <row r="666">
      <c r="A666" s="155"/>
      <c r="B666" s="173"/>
      <c r="C666" s="174"/>
      <c r="D666" s="173"/>
      <c r="E666" s="155"/>
      <c r="F666" s="155"/>
      <c r="G666" s="88"/>
      <c r="H666" s="255"/>
      <c r="I666" s="155"/>
      <c r="J666" s="155"/>
      <c r="K666" s="15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58"/>
      <c r="AA666" s="105"/>
      <c r="AB666" s="105"/>
      <c r="AC666" s="105"/>
      <c r="AD666" s="105"/>
      <c r="AE666" s="105"/>
      <c r="AF666" s="158"/>
      <c r="AG666" s="105"/>
      <c r="AH666" s="158"/>
      <c r="AI666" s="88"/>
      <c r="AJ666" s="88"/>
      <c r="AK666" s="131"/>
      <c r="AL666" s="131"/>
      <c r="AM666" s="131"/>
      <c r="AN666" s="131"/>
      <c r="AO666" s="131"/>
      <c r="AP666" s="88"/>
    </row>
    <row r="667">
      <c r="A667" s="155"/>
      <c r="B667" s="173"/>
      <c r="C667" s="174"/>
      <c r="D667" s="173"/>
      <c r="E667" s="155"/>
      <c r="F667" s="155"/>
      <c r="G667" s="88"/>
      <c r="H667" s="255"/>
      <c r="I667" s="155"/>
      <c r="J667" s="155"/>
      <c r="K667" s="15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58"/>
      <c r="AA667" s="105"/>
      <c r="AB667" s="105"/>
      <c r="AC667" s="105"/>
      <c r="AD667" s="105"/>
      <c r="AE667" s="105"/>
      <c r="AF667" s="158"/>
      <c r="AG667" s="105"/>
      <c r="AH667" s="158"/>
      <c r="AI667" s="88"/>
      <c r="AJ667" s="88"/>
      <c r="AK667" s="131"/>
      <c r="AL667" s="131"/>
      <c r="AM667" s="131"/>
      <c r="AN667" s="131"/>
      <c r="AO667" s="131"/>
      <c r="AP667" s="88"/>
    </row>
    <row r="668">
      <c r="A668" s="155"/>
      <c r="B668" s="173"/>
      <c r="C668" s="174"/>
      <c r="D668" s="173"/>
      <c r="E668" s="155"/>
      <c r="F668" s="155"/>
      <c r="G668" s="88"/>
      <c r="H668" s="255"/>
      <c r="I668" s="155"/>
      <c r="J668" s="155"/>
      <c r="K668" s="15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58"/>
      <c r="AA668" s="105"/>
      <c r="AB668" s="105"/>
      <c r="AC668" s="105"/>
      <c r="AD668" s="105"/>
      <c r="AE668" s="105"/>
      <c r="AF668" s="158"/>
      <c r="AG668" s="105"/>
      <c r="AH668" s="158"/>
      <c r="AI668" s="88"/>
      <c r="AJ668" s="88"/>
      <c r="AK668" s="131"/>
      <c r="AL668" s="131"/>
      <c r="AM668" s="131"/>
      <c r="AN668" s="131"/>
      <c r="AO668" s="131"/>
      <c r="AP668" s="88"/>
    </row>
    <row r="669">
      <c r="A669" s="155"/>
      <c r="B669" s="173"/>
      <c r="C669" s="174"/>
      <c r="D669" s="173"/>
      <c r="E669" s="155"/>
      <c r="F669" s="155"/>
      <c r="G669" s="88"/>
      <c r="H669" s="255"/>
      <c r="I669" s="155"/>
      <c r="J669" s="155"/>
      <c r="K669" s="15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58"/>
      <c r="AA669" s="105"/>
      <c r="AB669" s="105"/>
      <c r="AC669" s="105"/>
      <c r="AD669" s="105"/>
      <c r="AE669" s="105"/>
      <c r="AF669" s="158"/>
      <c r="AG669" s="105"/>
      <c r="AH669" s="158"/>
      <c r="AI669" s="88"/>
      <c r="AJ669" s="88"/>
      <c r="AK669" s="131"/>
      <c r="AL669" s="131"/>
      <c r="AM669" s="131"/>
      <c r="AN669" s="131"/>
      <c r="AO669" s="131"/>
      <c r="AP669" s="88"/>
    </row>
    <row r="670">
      <c r="A670" s="155"/>
      <c r="B670" s="173"/>
      <c r="C670" s="174"/>
      <c r="D670" s="173"/>
      <c r="E670" s="155"/>
      <c r="F670" s="155"/>
      <c r="G670" s="88"/>
      <c r="H670" s="255"/>
      <c r="I670" s="155"/>
      <c r="J670" s="155"/>
      <c r="K670" s="15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58"/>
      <c r="AA670" s="105"/>
      <c r="AB670" s="105"/>
      <c r="AC670" s="105"/>
      <c r="AD670" s="105"/>
      <c r="AE670" s="105"/>
      <c r="AF670" s="158"/>
      <c r="AG670" s="105"/>
      <c r="AH670" s="158"/>
      <c r="AI670" s="88"/>
      <c r="AJ670" s="88"/>
      <c r="AK670" s="131"/>
      <c r="AL670" s="131"/>
      <c r="AM670" s="131"/>
      <c r="AN670" s="131"/>
      <c r="AO670" s="131"/>
      <c r="AP670" s="88"/>
    </row>
    <row r="671">
      <c r="A671" s="155"/>
      <c r="B671" s="173"/>
      <c r="C671" s="174"/>
      <c r="D671" s="173"/>
      <c r="E671" s="155"/>
      <c r="F671" s="155"/>
      <c r="G671" s="88"/>
      <c r="H671" s="255"/>
      <c r="I671" s="155"/>
      <c r="J671" s="155"/>
      <c r="K671" s="15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58"/>
      <c r="AA671" s="105"/>
      <c r="AB671" s="105"/>
      <c r="AC671" s="105"/>
      <c r="AD671" s="105"/>
      <c r="AE671" s="105"/>
      <c r="AF671" s="158"/>
      <c r="AG671" s="105"/>
      <c r="AH671" s="158"/>
      <c r="AI671" s="88"/>
      <c r="AJ671" s="88"/>
      <c r="AK671" s="131"/>
      <c r="AL671" s="131"/>
      <c r="AM671" s="131"/>
      <c r="AN671" s="131"/>
      <c r="AO671" s="131"/>
      <c r="AP671" s="88"/>
    </row>
    <row r="672">
      <c r="A672" s="155"/>
      <c r="B672" s="173"/>
      <c r="C672" s="174"/>
      <c r="D672" s="173"/>
      <c r="E672" s="155"/>
      <c r="F672" s="155"/>
      <c r="G672" s="88"/>
      <c r="H672" s="255"/>
      <c r="I672" s="155"/>
      <c r="J672" s="155"/>
      <c r="K672" s="15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58"/>
      <c r="AA672" s="105"/>
      <c r="AB672" s="105"/>
      <c r="AC672" s="105"/>
      <c r="AD672" s="105"/>
      <c r="AE672" s="105"/>
      <c r="AF672" s="158"/>
      <c r="AG672" s="105"/>
      <c r="AH672" s="158"/>
      <c r="AI672" s="88"/>
      <c r="AJ672" s="88"/>
      <c r="AK672" s="131"/>
      <c r="AL672" s="131"/>
      <c r="AM672" s="131"/>
      <c r="AN672" s="131"/>
      <c r="AO672" s="131"/>
      <c r="AP672" s="88"/>
    </row>
    <row r="673">
      <c r="A673" s="155"/>
      <c r="B673" s="173"/>
      <c r="C673" s="174"/>
      <c r="D673" s="173"/>
      <c r="E673" s="155"/>
      <c r="F673" s="155"/>
      <c r="G673" s="88"/>
      <c r="H673" s="255"/>
      <c r="I673" s="155"/>
      <c r="J673" s="155"/>
      <c r="K673" s="15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58"/>
      <c r="AA673" s="105"/>
      <c r="AB673" s="105"/>
      <c r="AC673" s="105"/>
      <c r="AD673" s="105"/>
      <c r="AE673" s="105"/>
      <c r="AF673" s="158"/>
      <c r="AG673" s="105"/>
      <c r="AH673" s="158"/>
      <c r="AI673" s="88"/>
      <c r="AJ673" s="88"/>
      <c r="AK673" s="131"/>
      <c r="AL673" s="131"/>
      <c r="AM673" s="131"/>
      <c r="AN673" s="131"/>
      <c r="AO673" s="131"/>
      <c r="AP673" s="88"/>
    </row>
    <row r="674">
      <c r="A674" s="155"/>
      <c r="B674" s="173"/>
      <c r="C674" s="174"/>
      <c r="D674" s="173"/>
      <c r="E674" s="155"/>
      <c r="F674" s="155"/>
      <c r="G674" s="88"/>
      <c r="H674" s="255"/>
      <c r="I674" s="155"/>
      <c r="J674" s="155"/>
      <c r="K674" s="15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58"/>
      <c r="AA674" s="105"/>
      <c r="AB674" s="105"/>
      <c r="AC674" s="105"/>
      <c r="AD674" s="105"/>
      <c r="AE674" s="105"/>
      <c r="AF674" s="158"/>
      <c r="AG674" s="105"/>
      <c r="AH674" s="158"/>
      <c r="AI674" s="88"/>
      <c r="AJ674" s="88"/>
      <c r="AK674" s="131"/>
      <c r="AL674" s="131"/>
      <c r="AM674" s="131"/>
      <c r="AN674" s="131"/>
      <c r="AO674" s="131"/>
      <c r="AP674" s="88"/>
    </row>
    <row r="675">
      <c r="A675" s="155"/>
      <c r="B675" s="173"/>
      <c r="C675" s="174"/>
      <c r="D675" s="173"/>
      <c r="E675" s="155"/>
      <c r="F675" s="155"/>
      <c r="G675" s="88"/>
      <c r="H675" s="255"/>
      <c r="I675" s="155"/>
      <c r="J675" s="155"/>
      <c r="K675" s="15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58"/>
      <c r="AA675" s="105"/>
      <c r="AB675" s="105"/>
      <c r="AC675" s="105"/>
      <c r="AD675" s="105"/>
      <c r="AE675" s="105"/>
      <c r="AF675" s="158"/>
      <c r="AG675" s="105"/>
      <c r="AH675" s="158"/>
      <c r="AI675" s="88"/>
      <c r="AJ675" s="88"/>
      <c r="AK675" s="131"/>
      <c r="AL675" s="131"/>
      <c r="AM675" s="131"/>
      <c r="AN675" s="131"/>
      <c r="AO675" s="131"/>
      <c r="AP675" s="88"/>
    </row>
    <row r="676">
      <c r="A676" s="155"/>
      <c r="B676" s="173"/>
      <c r="C676" s="174"/>
      <c r="D676" s="173"/>
      <c r="E676" s="155"/>
      <c r="F676" s="155"/>
      <c r="G676" s="88"/>
      <c r="H676" s="255"/>
      <c r="I676" s="155"/>
      <c r="J676" s="155"/>
      <c r="K676" s="15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58"/>
      <c r="AA676" s="105"/>
      <c r="AB676" s="105"/>
      <c r="AC676" s="105"/>
      <c r="AD676" s="105"/>
      <c r="AE676" s="105"/>
      <c r="AF676" s="158"/>
      <c r="AG676" s="105"/>
      <c r="AH676" s="158"/>
      <c r="AI676" s="88"/>
      <c r="AJ676" s="88"/>
      <c r="AK676" s="131"/>
      <c r="AL676" s="131"/>
      <c r="AM676" s="131"/>
      <c r="AN676" s="131"/>
      <c r="AO676" s="131"/>
      <c r="AP676" s="88"/>
    </row>
    <row r="677">
      <c r="A677" s="155"/>
      <c r="B677" s="173"/>
      <c r="C677" s="174"/>
      <c r="D677" s="173"/>
      <c r="E677" s="155"/>
      <c r="F677" s="155"/>
      <c r="G677" s="88"/>
      <c r="H677" s="255"/>
      <c r="I677" s="155"/>
      <c r="J677" s="155"/>
      <c r="K677" s="15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58"/>
      <c r="AA677" s="105"/>
      <c r="AB677" s="105"/>
      <c r="AC677" s="105"/>
      <c r="AD677" s="105"/>
      <c r="AE677" s="105"/>
      <c r="AF677" s="158"/>
      <c r="AG677" s="105"/>
      <c r="AH677" s="158"/>
      <c r="AI677" s="88"/>
      <c r="AJ677" s="88"/>
      <c r="AK677" s="131"/>
      <c r="AL677" s="131"/>
      <c r="AM677" s="131"/>
      <c r="AN677" s="131"/>
      <c r="AO677" s="131"/>
      <c r="AP677" s="88"/>
    </row>
    <row r="678">
      <c r="A678" s="155"/>
      <c r="B678" s="173"/>
      <c r="C678" s="174"/>
      <c r="D678" s="173"/>
      <c r="E678" s="155"/>
      <c r="F678" s="155"/>
      <c r="G678" s="88"/>
      <c r="H678" s="255"/>
      <c r="I678" s="155"/>
      <c r="J678" s="155"/>
      <c r="K678" s="15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58"/>
      <c r="AA678" s="105"/>
      <c r="AB678" s="105"/>
      <c r="AC678" s="105"/>
      <c r="AD678" s="105"/>
      <c r="AE678" s="105"/>
      <c r="AF678" s="158"/>
      <c r="AG678" s="105"/>
      <c r="AH678" s="158"/>
      <c r="AI678" s="88"/>
      <c r="AJ678" s="88"/>
      <c r="AK678" s="131"/>
      <c r="AL678" s="131"/>
      <c r="AM678" s="131"/>
      <c r="AN678" s="131"/>
      <c r="AO678" s="131"/>
      <c r="AP678" s="88"/>
    </row>
    <row r="679">
      <c r="A679" s="155"/>
      <c r="B679" s="173"/>
      <c r="C679" s="174"/>
      <c r="D679" s="173"/>
      <c r="E679" s="155"/>
      <c r="F679" s="155"/>
      <c r="G679" s="88"/>
      <c r="H679" s="255"/>
      <c r="I679" s="155"/>
      <c r="J679" s="155"/>
      <c r="K679" s="15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58"/>
      <c r="AA679" s="105"/>
      <c r="AB679" s="105"/>
      <c r="AC679" s="105"/>
      <c r="AD679" s="105"/>
      <c r="AE679" s="105"/>
      <c r="AF679" s="158"/>
      <c r="AG679" s="105"/>
      <c r="AH679" s="158"/>
      <c r="AI679" s="88"/>
      <c r="AJ679" s="88"/>
      <c r="AK679" s="131"/>
      <c r="AL679" s="131"/>
      <c r="AM679" s="131"/>
      <c r="AN679" s="131"/>
      <c r="AO679" s="131"/>
      <c r="AP679" s="88"/>
    </row>
    <row r="680">
      <c r="A680" s="155"/>
      <c r="B680" s="173"/>
      <c r="C680" s="174"/>
      <c r="D680" s="173"/>
      <c r="E680" s="155"/>
      <c r="F680" s="155"/>
      <c r="G680" s="88"/>
      <c r="H680" s="255"/>
      <c r="I680" s="155"/>
      <c r="J680" s="155"/>
      <c r="K680" s="15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58"/>
      <c r="AA680" s="105"/>
      <c r="AB680" s="105"/>
      <c r="AC680" s="105"/>
      <c r="AD680" s="105"/>
      <c r="AE680" s="105"/>
      <c r="AF680" s="158"/>
      <c r="AG680" s="105"/>
      <c r="AH680" s="158"/>
      <c r="AI680" s="88"/>
      <c r="AJ680" s="88"/>
      <c r="AK680" s="131"/>
      <c r="AL680" s="131"/>
      <c r="AM680" s="131"/>
      <c r="AN680" s="131"/>
      <c r="AO680" s="131"/>
      <c r="AP680" s="88"/>
    </row>
    <row r="681">
      <c r="A681" s="155"/>
      <c r="B681" s="173"/>
      <c r="C681" s="174"/>
      <c r="D681" s="173"/>
      <c r="E681" s="155"/>
      <c r="F681" s="155"/>
      <c r="G681" s="88"/>
      <c r="H681" s="255"/>
      <c r="I681" s="155"/>
      <c r="J681" s="155"/>
      <c r="K681" s="15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58"/>
      <c r="AA681" s="105"/>
      <c r="AB681" s="105"/>
      <c r="AC681" s="105"/>
      <c r="AD681" s="105"/>
      <c r="AE681" s="105"/>
      <c r="AF681" s="158"/>
      <c r="AG681" s="105"/>
      <c r="AH681" s="158"/>
      <c r="AI681" s="88"/>
      <c r="AJ681" s="88"/>
      <c r="AK681" s="131"/>
      <c r="AL681" s="131"/>
      <c r="AM681" s="131"/>
      <c r="AN681" s="131"/>
      <c r="AO681" s="131"/>
      <c r="AP681" s="88"/>
    </row>
    <row r="682">
      <c r="A682" s="155"/>
      <c r="B682" s="173"/>
      <c r="C682" s="174"/>
      <c r="D682" s="173"/>
      <c r="E682" s="155"/>
      <c r="F682" s="155"/>
      <c r="G682" s="88"/>
      <c r="H682" s="255"/>
      <c r="I682" s="155"/>
      <c r="J682" s="155"/>
      <c r="K682" s="15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58"/>
      <c r="AA682" s="105"/>
      <c r="AB682" s="105"/>
      <c r="AC682" s="105"/>
      <c r="AD682" s="105"/>
      <c r="AE682" s="105"/>
      <c r="AF682" s="158"/>
      <c r="AG682" s="105"/>
      <c r="AH682" s="158"/>
      <c r="AI682" s="88"/>
      <c r="AJ682" s="88"/>
      <c r="AK682" s="131"/>
      <c r="AL682" s="131"/>
      <c r="AM682" s="131"/>
      <c r="AN682" s="131"/>
      <c r="AO682" s="131"/>
      <c r="AP682" s="88"/>
    </row>
    <row r="683">
      <c r="A683" s="155"/>
      <c r="B683" s="173"/>
      <c r="C683" s="174"/>
      <c r="D683" s="173"/>
      <c r="E683" s="155"/>
      <c r="F683" s="155"/>
      <c r="G683" s="88"/>
      <c r="H683" s="255"/>
      <c r="I683" s="155"/>
      <c r="J683" s="155"/>
      <c r="K683" s="15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58"/>
      <c r="AA683" s="105"/>
      <c r="AB683" s="105"/>
      <c r="AC683" s="105"/>
      <c r="AD683" s="105"/>
      <c r="AE683" s="105"/>
      <c r="AF683" s="158"/>
      <c r="AG683" s="105"/>
      <c r="AH683" s="158"/>
      <c r="AI683" s="88"/>
      <c r="AJ683" s="88"/>
      <c r="AK683" s="131"/>
      <c r="AL683" s="131"/>
      <c r="AM683" s="131"/>
      <c r="AN683" s="131"/>
      <c r="AO683" s="131"/>
      <c r="AP683" s="88"/>
    </row>
    <row r="684">
      <c r="A684" s="155"/>
      <c r="B684" s="173"/>
      <c r="C684" s="174"/>
      <c r="D684" s="173"/>
      <c r="E684" s="155"/>
      <c r="F684" s="155"/>
      <c r="G684" s="88"/>
      <c r="H684" s="255"/>
      <c r="I684" s="155"/>
      <c r="J684" s="155"/>
      <c r="K684" s="15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58"/>
      <c r="AA684" s="105"/>
      <c r="AB684" s="105"/>
      <c r="AC684" s="105"/>
      <c r="AD684" s="105"/>
      <c r="AE684" s="105"/>
      <c r="AF684" s="158"/>
      <c r="AG684" s="105"/>
      <c r="AH684" s="158"/>
      <c r="AI684" s="88"/>
      <c r="AJ684" s="88"/>
      <c r="AK684" s="131"/>
      <c r="AL684" s="131"/>
      <c r="AM684" s="131"/>
      <c r="AN684" s="131"/>
      <c r="AO684" s="131"/>
      <c r="AP684" s="88"/>
    </row>
    <row r="685">
      <c r="A685" s="155"/>
      <c r="B685" s="173"/>
      <c r="C685" s="174"/>
      <c r="D685" s="173"/>
      <c r="E685" s="155"/>
      <c r="F685" s="155"/>
      <c r="G685" s="88"/>
      <c r="H685" s="255"/>
      <c r="I685" s="155"/>
      <c r="J685" s="155"/>
      <c r="K685" s="15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58"/>
      <c r="AA685" s="105"/>
      <c r="AB685" s="105"/>
      <c r="AC685" s="105"/>
      <c r="AD685" s="105"/>
      <c r="AE685" s="105"/>
      <c r="AF685" s="158"/>
      <c r="AG685" s="105"/>
      <c r="AH685" s="158"/>
      <c r="AI685" s="88"/>
      <c r="AJ685" s="88"/>
      <c r="AK685" s="131"/>
      <c r="AL685" s="131"/>
      <c r="AM685" s="131"/>
      <c r="AN685" s="131"/>
      <c r="AO685" s="131"/>
      <c r="AP685" s="88"/>
    </row>
    <row r="686">
      <c r="A686" s="155"/>
      <c r="B686" s="173"/>
      <c r="C686" s="174"/>
      <c r="D686" s="173"/>
      <c r="E686" s="155"/>
      <c r="F686" s="155"/>
      <c r="G686" s="88"/>
      <c r="H686" s="255"/>
      <c r="I686" s="155"/>
      <c r="J686" s="155"/>
      <c r="K686" s="15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58"/>
      <c r="AA686" s="105"/>
      <c r="AB686" s="105"/>
      <c r="AC686" s="105"/>
      <c r="AD686" s="105"/>
      <c r="AE686" s="105"/>
      <c r="AF686" s="158"/>
      <c r="AG686" s="105"/>
      <c r="AH686" s="158"/>
      <c r="AI686" s="88"/>
      <c r="AJ686" s="88"/>
      <c r="AK686" s="131"/>
      <c r="AL686" s="131"/>
      <c r="AM686" s="131"/>
      <c r="AN686" s="131"/>
      <c r="AO686" s="131"/>
      <c r="AP686" s="88"/>
    </row>
    <row r="687">
      <c r="A687" s="155"/>
      <c r="B687" s="173"/>
      <c r="C687" s="174"/>
      <c r="D687" s="173"/>
      <c r="E687" s="155"/>
      <c r="F687" s="155"/>
      <c r="G687" s="88"/>
      <c r="H687" s="255"/>
      <c r="I687" s="155"/>
      <c r="J687" s="155"/>
      <c r="K687" s="15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58"/>
      <c r="AA687" s="105"/>
      <c r="AB687" s="105"/>
      <c r="AC687" s="105"/>
      <c r="AD687" s="105"/>
      <c r="AE687" s="105"/>
      <c r="AF687" s="158"/>
      <c r="AG687" s="105"/>
      <c r="AH687" s="158"/>
      <c r="AI687" s="88"/>
      <c r="AJ687" s="88"/>
      <c r="AK687" s="131"/>
      <c r="AL687" s="131"/>
      <c r="AM687" s="131"/>
      <c r="AN687" s="131"/>
      <c r="AO687" s="131"/>
      <c r="AP687" s="88"/>
    </row>
    <row r="688">
      <c r="A688" s="155"/>
      <c r="B688" s="173"/>
      <c r="C688" s="174"/>
      <c r="D688" s="173"/>
      <c r="E688" s="155"/>
      <c r="F688" s="155"/>
      <c r="G688" s="88"/>
      <c r="H688" s="255"/>
      <c r="I688" s="155"/>
      <c r="J688" s="155"/>
      <c r="K688" s="15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58"/>
      <c r="AA688" s="105"/>
      <c r="AB688" s="105"/>
      <c r="AC688" s="105"/>
      <c r="AD688" s="105"/>
      <c r="AE688" s="105"/>
      <c r="AF688" s="158"/>
      <c r="AG688" s="105"/>
      <c r="AH688" s="158"/>
      <c r="AI688" s="88"/>
      <c r="AJ688" s="88"/>
      <c r="AK688" s="131"/>
      <c r="AL688" s="131"/>
      <c r="AM688" s="131"/>
      <c r="AN688" s="131"/>
      <c r="AO688" s="131"/>
      <c r="AP688" s="88"/>
    </row>
    <row r="689">
      <c r="A689" s="155"/>
      <c r="B689" s="173"/>
      <c r="C689" s="174"/>
      <c r="D689" s="173"/>
      <c r="E689" s="155"/>
      <c r="F689" s="155"/>
      <c r="G689" s="88"/>
      <c r="H689" s="255"/>
      <c r="I689" s="155"/>
      <c r="J689" s="155"/>
      <c r="K689" s="15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58"/>
      <c r="AA689" s="105"/>
      <c r="AB689" s="105"/>
      <c r="AC689" s="105"/>
      <c r="AD689" s="105"/>
      <c r="AE689" s="105"/>
      <c r="AF689" s="158"/>
      <c r="AG689" s="105"/>
      <c r="AH689" s="158"/>
      <c r="AI689" s="88"/>
      <c r="AJ689" s="88"/>
      <c r="AK689" s="131"/>
      <c r="AL689" s="131"/>
      <c r="AM689" s="131"/>
      <c r="AN689" s="131"/>
      <c r="AO689" s="131"/>
      <c r="AP689" s="88"/>
    </row>
    <row r="690">
      <c r="A690" s="155"/>
      <c r="B690" s="173"/>
      <c r="C690" s="174"/>
      <c r="D690" s="173"/>
      <c r="E690" s="155"/>
      <c r="F690" s="155"/>
      <c r="G690" s="88"/>
      <c r="H690" s="255"/>
      <c r="I690" s="155"/>
      <c r="J690" s="155"/>
      <c r="K690" s="15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58"/>
      <c r="AA690" s="105"/>
      <c r="AB690" s="105"/>
      <c r="AC690" s="105"/>
      <c r="AD690" s="105"/>
      <c r="AE690" s="105"/>
      <c r="AF690" s="158"/>
      <c r="AG690" s="105"/>
      <c r="AH690" s="158"/>
      <c r="AI690" s="88"/>
      <c r="AJ690" s="88"/>
      <c r="AK690" s="131"/>
      <c r="AL690" s="131"/>
      <c r="AM690" s="131"/>
      <c r="AN690" s="131"/>
      <c r="AO690" s="131"/>
      <c r="AP690" s="88"/>
    </row>
    <row r="691">
      <c r="A691" s="155"/>
      <c r="B691" s="173"/>
      <c r="C691" s="174"/>
      <c r="D691" s="173"/>
      <c r="E691" s="155"/>
      <c r="F691" s="155"/>
      <c r="G691" s="88"/>
      <c r="H691" s="255"/>
      <c r="I691" s="155"/>
      <c r="J691" s="155"/>
      <c r="K691" s="15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58"/>
      <c r="AA691" s="105"/>
      <c r="AB691" s="105"/>
      <c r="AC691" s="105"/>
      <c r="AD691" s="105"/>
      <c r="AE691" s="105"/>
      <c r="AF691" s="158"/>
      <c r="AG691" s="105"/>
      <c r="AH691" s="158"/>
      <c r="AI691" s="88"/>
      <c r="AJ691" s="88"/>
      <c r="AK691" s="131"/>
      <c r="AL691" s="131"/>
      <c r="AM691" s="131"/>
      <c r="AN691" s="131"/>
      <c r="AO691" s="131"/>
      <c r="AP691" s="88"/>
    </row>
    <row r="692">
      <c r="A692" s="155"/>
      <c r="B692" s="173"/>
      <c r="C692" s="174"/>
      <c r="D692" s="173"/>
      <c r="E692" s="155"/>
      <c r="F692" s="155"/>
      <c r="G692" s="88"/>
      <c r="H692" s="255"/>
      <c r="I692" s="155"/>
      <c r="J692" s="155"/>
      <c r="K692" s="15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58"/>
      <c r="AA692" s="105"/>
      <c r="AB692" s="105"/>
      <c r="AC692" s="105"/>
      <c r="AD692" s="105"/>
      <c r="AE692" s="105"/>
      <c r="AF692" s="158"/>
      <c r="AG692" s="105"/>
      <c r="AH692" s="158"/>
      <c r="AI692" s="88"/>
      <c r="AJ692" s="88"/>
      <c r="AK692" s="131"/>
      <c r="AL692" s="131"/>
      <c r="AM692" s="131"/>
      <c r="AN692" s="131"/>
      <c r="AO692" s="131"/>
      <c r="AP692" s="88"/>
    </row>
    <row r="693">
      <c r="A693" s="155"/>
      <c r="B693" s="173"/>
      <c r="C693" s="174"/>
      <c r="D693" s="173"/>
      <c r="E693" s="155"/>
      <c r="F693" s="155"/>
      <c r="G693" s="88"/>
      <c r="H693" s="255"/>
      <c r="I693" s="155"/>
      <c r="J693" s="155"/>
      <c r="K693" s="15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58"/>
      <c r="AA693" s="105"/>
      <c r="AB693" s="105"/>
      <c r="AC693" s="105"/>
      <c r="AD693" s="105"/>
      <c r="AE693" s="105"/>
      <c r="AF693" s="158"/>
      <c r="AG693" s="105"/>
      <c r="AH693" s="158"/>
      <c r="AI693" s="88"/>
      <c r="AJ693" s="88"/>
      <c r="AK693" s="131"/>
      <c r="AL693" s="131"/>
      <c r="AM693" s="131"/>
      <c r="AN693" s="131"/>
      <c r="AO693" s="131"/>
      <c r="AP693" s="88"/>
    </row>
    <row r="694">
      <c r="A694" s="155"/>
      <c r="B694" s="173"/>
      <c r="C694" s="174"/>
      <c r="D694" s="173"/>
      <c r="E694" s="155"/>
      <c r="F694" s="155"/>
      <c r="G694" s="88"/>
      <c r="H694" s="255"/>
      <c r="I694" s="155"/>
      <c r="J694" s="155"/>
      <c r="K694" s="15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58"/>
      <c r="AA694" s="105"/>
      <c r="AB694" s="105"/>
      <c r="AC694" s="105"/>
      <c r="AD694" s="105"/>
      <c r="AE694" s="105"/>
      <c r="AF694" s="158"/>
      <c r="AG694" s="105"/>
      <c r="AH694" s="158"/>
      <c r="AI694" s="88"/>
      <c r="AJ694" s="88"/>
      <c r="AK694" s="131"/>
      <c r="AL694" s="131"/>
      <c r="AM694" s="131"/>
      <c r="AN694" s="131"/>
      <c r="AO694" s="131"/>
      <c r="AP694" s="88"/>
    </row>
    <row r="695">
      <c r="A695" s="155"/>
      <c r="B695" s="173"/>
      <c r="C695" s="174"/>
      <c r="D695" s="173"/>
      <c r="E695" s="155"/>
      <c r="F695" s="155"/>
      <c r="G695" s="88"/>
      <c r="H695" s="255"/>
      <c r="I695" s="155"/>
      <c r="J695" s="155"/>
      <c r="K695" s="15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58"/>
      <c r="AA695" s="105"/>
      <c r="AB695" s="105"/>
      <c r="AC695" s="105"/>
      <c r="AD695" s="105"/>
      <c r="AE695" s="105"/>
      <c r="AF695" s="158"/>
      <c r="AG695" s="105"/>
      <c r="AH695" s="158"/>
      <c r="AI695" s="88"/>
      <c r="AJ695" s="88"/>
      <c r="AK695" s="131"/>
      <c r="AL695" s="131"/>
      <c r="AM695" s="131"/>
      <c r="AN695" s="131"/>
      <c r="AO695" s="131"/>
      <c r="AP695" s="88"/>
    </row>
    <row r="696">
      <c r="A696" s="155"/>
      <c r="B696" s="173"/>
      <c r="C696" s="174"/>
      <c r="D696" s="173"/>
      <c r="E696" s="155"/>
      <c r="F696" s="155"/>
      <c r="G696" s="88"/>
      <c r="H696" s="255"/>
      <c r="I696" s="155"/>
      <c r="J696" s="155"/>
      <c r="K696" s="15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58"/>
      <c r="AA696" s="105"/>
      <c r="AB696" s="105"/>
      <c r="AC696" s="105"/>
      <c r="AD696" s="105"/>
      <c r="AE696" s="105"/>
      <c r="AF696" s="158"/>
      <c r="AG696" s="105"/>
      <c r="AH696" s="158"/>
      <c r="AI696" s="88"/>
      <c r="AJ696" s="88"/>
      <c r="AK696" s="131"/>
      <c r="AL696" s="131"/>
      <c r="AM696" s="131"/>
      <c r="AN696" s="131"/>
      <c r="AO696" s="131"/>
      <c r="AP696" s="88"/>
    </row>
    <row r="697">
      <c r="A697" s="155"/>
      <c r="B697" s="173"/>
      <c r="C697" s="174"/>
      <c r="D697" s="173"/>
      <c r="E697" s="155"/>
      <c r="F697" s="155"/>
      <c r="G697" s="88"/>
      <c r="H697" s="255"/>
      <c r="I697" s="155"/>
      <c r="J697" s="155"/>
      <c r="K697" s="15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58"/>
      <c r="AA697" s="105"/>
      <c r="AB697" s="105"/>
      <c r="AC697" s="105"/>
      <c r="AD697" s="105"/>
      <c r="AE697" s="105"/>
      <c r="AF697" s="158"/>
      <c r="AG697" s="105"/>
      <c r="AH697" s="158"/>
      <c r="AI697" s="88"/>
      <c r="AJ697" s="88"/>
      <c r="AK697" s="131"/>
      <c r="AL697" s="131"/>
      <c r="AM697" s="131"/>
      <c r="AN697" s="131"/>
      <c r="AO697" s="131"/>
      <c r="AP697" s="88"/>
    </row>
    <row r="698">
      <c r="A698" s="155"/>
      <c r="B698" s="173"/>
      <c r="C698" s="174"/>
      <c r="D698" s="173"/>
      <c r="E698" s="155"/>
      <c r="F698" s="155"/>
      <c r="G698" s="88"/>
      <c r="H698" s="255"/>
      <c r="I698" s="155"/>
      <c r="J698" s="155"/>
      <c r="K698" s="15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58"/>
      <c r="AA698" s="105"/>
      <c r="AB698" s="105"/>
      <c r="AC698" s="105"/>
      <c r="AD698" s="105"/>
      <c r="AE698" s="105"/>
      <c r="AF698" s="158"/>
      <c r="AG698" s="105"/>
      <c r="AH698" s="158"/>
      <c r="AI698" s="88"/>
      <c r="AJ698" s="88"/>
      <c r="AK698" s="131"/>
      <c r="AL698" s="131"/>
      <c r="AM698" s="131"/>
      <c r="AN698" s="131"/>
      <c r="AO698" s="131"/>
      <c r="AP698" s="88"/>
    </row>
    <row r="699">
      <c r="A699" s="155"/>
      <c r="B699" s="173"/>
      <c r="C699" s="174"/>
      <c r="D699" s="173"/>
      <c r="E699" s="155"/>
      <c r="F699" s="155"/>
      <c r="G699" s="88"/>
      <c r="H699" s="255"/>
      <c r="I699" s="155"/>
      <c r="J699" s="155"/>
      <c r="K699" s="15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58"/>
      <c r="AA699" s="105"/>
      <c r="AB699" s="105"/>
      <c r="AC699" s="105"/>
      <c r="AD699" s="105"/>
      <c r="AE699" s="105"/>
      <c r="AF699" s="158"/>
      <c r="AG699" s="105"/>
      <c r="AH699" s="158"/>
      <c r="AI699" s="88"/>
      <c r="AJ699" s="88"/>
      <c r="AK699" s="131"/>
      <c r="AL699" s="131"/>
      <c r="AM699" s="131"/>
      <c r="AN699" s="131"/>
      <c r="AO699" s="131"/>
      <c r="AP699" s="88"/>
    </row>
    <row r="700">
      <c r="A700" s="155"/>
      <c r="B700" s="173"/>
      <c r="C700" s="174"/>
      <c r="D700" s="173"/>
      <c r="E700" s="155"/>
      <c r="F700" s="155"/>
      <c r="G700" s="88"/>
      <c r="H700" s="255"/>
      <c r="I700" s="155"/>
      <c r="J700" s="155"/>
      <c r="K700" s="15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58"/>
      <c r="AA700" s="105"/>
      <c r="AB700" s="105"/>
      <c r="AC700" s="105"/>
      <c r="AD700" s="105"/>
      <c r="AE700" s="105"/>
      <c r="AF700" s="158"/>
      <c r="AG700" s="105"/>
      <c r="AH700" s="158"/>
      <c r="AI700" s="88"/>
      <c r="AJ700" s="88"/>
      <c r="AK700" s="131"/>
      <c r="AL700" s="131"/>
      <c r="AM700" s="131"/>
      <c r="AN700" s="131"/>
      <c r="AO700" s="131"/>
      <c r="AP700" s="88"/>
    </row>
    <row r="701">
      <c r="A701" s="155"/>
      <c r="B701" s="173"/>
      <c r="C701" s="174"/>
      <c r="D701" s="173"/>
      <c r="E701" s="155"/>
      <c r="F701" s="155"/>
      <c r="G701" s="88"/>
      <c r="H701" s="255"/>
      <c r="I701" s="155"/>
      <c r="J701" s="155"/>
      <c r="K701" s="15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58"/>
      <c r="AA701" s="105"/>
      <c r="AB701" s="105"/>
      <c r="AC701" s="105"/>
      <c r="AD701" s="105"/>
      <c r="AE701" s="105"/>
      <c r="AF701" s="158"/>
      <c r="AG701" s="105"/>
      <c r="AH701" s="158"/>
      <c r="AI701" s="88"/>
      <c r="AJ701" s="88"/>
      <c r="AK701" s="131"/>
      <c r="AL701" s="131"/>
      <c r="AM701" s="131"/>
      <c r="AN701" s="131"/>
      <c r="AO701" s="131"/>
      <c r="AP701" s="88"/>
    </row>
    <row r="702">
      <c r="A702" s="155"/>
      <c r="B702" s="173"/>
      <c r="C702" s="174"/>
      <c r="D702" s="173"/>
      <c r="E702" s="155"/>
      <c r="F702" s="155"/>
      <c r="G702" s="88"/>
      <c r="H702" s="255"/>
      <c r="I702" s="155"/>
      <c r="J702" s="155"/>
      <c r="K702" s="15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58"/>
      <c r="AA702" s="105"/>
      <c r="AB702" s="105"/>
      <c r="AC702" s="105"/>
      <c r="AD702" s="105"/>
      <c r="AE702" s="105"/>
      <c r="AF702" s="158"/>
      <c r="AG702" s="105"/>
      <c r="AH702" s="158"/>
      <c r="AI702" s="88"/>
      <c r="AJ702" s="88"/>
      <c r="AK702" s="131"/>
      <c r="AL702" s="131"/>
      <c r="AM702" s="131"/>
      <c r="AN702" s="131"/>
      <c r="AO702" s="131"/>
      <c r="AP702" s="88"/>
    </row>
    <row r="703">
      <c r="A703" s="155"/>
      <c r="B703" s="173"/>
      <c r="C703" s="174"/>
      <c r="D703" s="173"/>
      <c r="E703" s="155"/>
      <c r="F703" s="155"/>
      <c r="G703" s="88"/>
      <c r="H703" s="255"/>
      <c r="I703" s="155"/>
      <c r="J703" s="155"/>
      <c r="K703" s="15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58"/>
      <c r="AA703" s="105"/>
      <c r="AB703" s="105"/>
      <c r="AC703" s="105"/>
      <c r="AD703" s="105"/>
      <c r="AE703" s="105"/>
      <c r="AF703" s="158"/>
      <c r="AG703" s="105"/>
      <c r="AH703" s="158"/>
      <c r="AI703" s="88"/>
      <c r="AJ703" s="88"/>
      <c r="AK703" s="131"/>
      <c r="AL703" s="131"/>
      <c r="AM703" s="131"/>
      <c r="AN703" s="131"/>
      <c r="AO703" s="131"/>
      <c r="AP703" s="88"/>
    </row>
    <row r="704">
      <c r="A704" s="155"/>
      <c r="B704" s="173"/>
      <c r="C704" s="174"/>
      <c r="D704" s="173"/>
      <c r="E704" s="155"/>
      <c r="F704" s="155"/>
      <c r="G704" s="88"/>
      <c r="H704" s="255"/>
      <c r="I704" s="155"/>
      <c r="J704" s="155"/>
      <c r="K704" s="15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58"/>
      <c r="AA704" s="105"/>
      <c r="AB704" s="105"/>
      <c r="AC704" s="105"/>
      <c r="AD704" s="105"/>
      <c r="AE704" s="105"/>
      <c r="AF704" s="158"/>
      <c r="AG704" s="105"/>
      <c r="AH704" s="158"/>
      <c r="AI704" s="88"/>
      <c r="AJ704" s="88"/>
      <c r="AK704" s="131"/>
      <c r="AL704" s="131"/>
      <c r="AM704" s="131"/>
      <c r="AN704" s="131"/>
      <c r="AO704" s="131"/>
      <c r="AP704" s="88"/>
    </row>
    <row r="705">
      <c r="A705" s="155"/>
      <c r="B705" s="173"/>
      <c r="C705" s="174"/>
      <c r="D705" s="173"/>
      <c r="E705" s="155"/>
      <c r="F705" s="155"/>
      <c r="G705" s="88"/>
      <c r="H705" s="255"/>
      <c r="I705" s="155"/>
      <c r="J705" s="155"/>
      <c r="K705" s="15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58"/>
      <c r="AA705" s="105"/>
      <c r="AB705" s="105"/>
      <c r="AC705" s="105"/>
      <c r="AD705" s="105"/>
      <c r="AE705" s="105"/>
      <c r="AF705" s="158"/>
      <c r="AG705" s="105"/>
      <c r="AH705" s="158"/>
      <c r="AI705" s="88"/>
      <c r="AJ705" s="88"/>
      <c r="AK705" s="131"/>
      <c r="AL705" s="131"/>
      <c r="AM705" s="131"/>
      <c r="AN705" s="131"/>
      <c r="AO705" s="131"/>
      <c r="AP705" s="88"/>
    </row>
    <row r="706">
      <c r="A706" s="155"/>
      <c r="B706" s="173"/>
      <c r="C706" s="174"/>
      <c r="D706" s="173"/>
      <c r="E706" s="155"/>
      <c r="F706" s="155"/>
      <c r="G706" s="88"/>
      <c r="H706" s="255"/>
      <c r="I706" s="155"/>
      <c r="J706" s="155"/>
      <c r="K706" s="15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58"/>
      <c r="AA706" s="105"/>
      <c r="AB706" s="105"/>
      <c r="AC706" s="105"/>
      <c r="AD706" s="105"/>
      <c r="AE706" s="105"/>
      <c r="AF706" s="158"/>
      <c r="AG706" s="105"/>
      <c r="AH706" s="158"/>
      <c r="AI706" s="88"/>
      <c r="AJ706" s="88"/>
      <c r="AK706" s="131"/>
      <c r="AL706" s="131"/>
      <c r="AM706" s="131"/>
      <c r="AN706" s="131"/>
      <c r="AO706" s="131"/>
      <c r="AP706" s="88"/>
    </row>
    <row r="707">
      <c r="A707" s="155"/>
      <c r="B707" s="173"/>
      <c r="C707" s="174"/>
      <c r="D707" s="173"/>
      <c r="E707" s="155"/>
      <c r="F707" s="155"/>
      <c r="G707" s="88"/>
      <c r="H707" s="255"/>
      <c r="I707" s="155"/>
      <c r="J707" s="155"/>
      <c r="K707" s="15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58"/>
      <c r="AA707" s="105"/>
      <c r="AB707" s="105"/>
      <c r="AC707" s="105"/>
      <c r="AD707" s="105"/>
      <c r="AE707" s="105"/>
      <c r="AF707" s="158"/>
      <c r="AG707" s="105"/>
      <c r="AH707" s="158"/>
      <c r="AI707" s="88"/>
      <c r="AJ707" s="88"/>
      <c r="AK707" s="131"/>
      <c r="AL707" s="131"/>
      <c r="AM707" s="131"/>
      <c r="AN707" s="131"/>
      <c r="AO707" s="131"/>
      <c r="AP707" s="88"/>
    </row>
    <row r="708">
      <c r="A708" s="155"/>
      <c r="B708" s="173"/>
      <c r="C708" s="174"/>
      <c r="D708" s="173"/>
      <c r="E708" s="155"/>
      <c r="F708" s="155"/>
      <c r="G708" s="88"/>
      <c r="H708" s="255"/>
      <c r="I708" s="155"/>
      <c r="J708" s="155"/>
      <c r="K708" s="15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58"/>
      <c r="AA708" s="105"/>
      <c r="AB708" s="105"/>
      <c r="AC708" s="105"/>
      <c r="AD708" s="105"/>
      <c r="AE708" s="105"/>
      <c r="AF708" s="158"/>
      <c r="AG708" s="105"/>
      <c r="AH708" s="158"/>
      <c r="AI708" s="88"/>
      <c r="AJ708" s="88"/>
      <c r="AK708" s="131"/>
      <c r="AL708" s="131"/>
      <c r="AM708" s="131"/>
      <c r="AN708" s="131"/>
      <c r="AO708" s="131"/>
      <c r="AP708" s="88"/>
    </row>
    <row r="709">
      <c r="A709" s="155"/>
      <c r="B709" s="173"/>
      <c r="C709" s="174"/>
      <c r="D709" s="173"/>
      <c r="E709" s="155"/>
      <c r="F709" s="155"/>
      <c r="G709" s="88"/>
      <c r="H709" s="255"/>
      <c r="I709" s="155"/>
      <c r="J709" s="155"/>
      <c r="K709" s="15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58"/>
      <c r="AA709" s="105"/>
      <c r="AB709" s="105"/>
      <c r="AC709" s="105"/>
      <c r="AD709" s="105"/>
      <c r="AE709" s="105"/>
      <c r="AF709" s="158"/>
      <c r="AG709" s="105"/>
      <c r="AH709" s="158"/>
      <c r="AI709" s="88"/>
      <c r="AJ709" s="88"/>
      <c r="AK709" s="131"/>
      <c r="AL709" s="131"/>
      <c r="AM709" s="131"/>
      <c r="AN709" s="131"/>
      <c r="AO709" s="131"/>
      <c r="AP709" s="88"/>
    </row>
    <row r="710">
      <c r="A710" s="155"/>
      <c r="B710" s="173"/>
      <c r="C710" s="174"/>
      <c r="D710" s="173"/>
      <c r="E710" s="155"/>
      <c r="F710" s="155"/>
      <c r="G710" s="88"/>
      <c r="H710" s="255"/>
      <c r="I710" s="155"/>
      <c r="J710" s="155"/>
      <c r="K710" s="15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58"/>
      <c r="AA710" s="105"/>
      <c r="AB710" s="105"/>
      <c r="AC710" s="105"/>
      <c r="AD710" s="105"/>
      <c r="AE710" s="105"/>
      <c r="AF710" s="158"/>
      <c r="AG710" s="105"/>
      <c r="AH710" s="158"/>
      <c r="AI710" s="88"/>
      <c r="AJ710" s="88"/>
      <c r="AK710" s="131"/>
      <c r="AL710" s="131"/>
      <c r="AM710" s="131"/>
      <c r="AN710" s="131"/>
      <c r="AO710" s="131"/>
      <c r="AP710" s="88"/>
    </row>
    <row r="711">
      <c r="A711" s="155"/>
      <c r="B711" s="173"/>
      <c r="C711" s="174"/>
      <c r="D711" s="173"/>
      <c r="E711" s="155"/>
      <c r="F711" s="155"/>
      <c r="G711" s="88"/>
      <c r="H711" s="255"/>
      <c r="I711" s="155"/>
      <c r="J711" s="155"/>
      <c r="K711" s="15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58"/>
      <c r="AA711" s="105"/>
      <c r="AB711" s="105"/>
      <c r="AC711" s="105"/>
      <c r="AD711" s="105"/>
      <c r="AE711" s="105"/>
      <c r="AF711" s="158"/>
      <c r="AG711" s="105"/>
      <c r="AH711" s="158"/>
      <c r="AI711" s="88"/>
      <c r="AJ711" s="88"/>
      <c r="AK711" s="131"/>
      <c r="AL711" s="131"/>
      <c r="AM711" s="131"/>
      <c r="AN711" s="131"/>
      <c r="AO711" s="131"/>
      <c r="AP711" s="88"/>
    </row>
    <row r="712">
      <c r="A712" s="155"/>
      <c r="B712" s="173"/>
      <c r="C712" s="174"/>
      <c r="D712" s="173"/>
      <c r="E712" s="155"/>
      <c r="F712" s="155"/>
      <c r="G712" s="88"/>
      <c r="H712" s="255"/>
      <c r="I712" s="155"/>
      <c r="J712" s="155"/>
      <c r="K712" s="15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58"/>
      <c r="AA712" s="105"/>
      <c r="AB712" s="105"/>
      <c r="AC712" s="105"/>
      <c r="AD712" s="105"/>
      <c r="AE712" s="105"/>
      <c r="AF712" s="158"/>
      <c r="AG712" s="105"/>
      <c r="AH712" s="158"/>
      <c r="AI712" s="88"/>
      <c r="AJ712" s="88"/>
      <c r="AK712" s="131"/>
      <c r="AL712" s="131"/>
      <c r="AM712" s="131"/>
      <c r="AN712" s="131"/>
      <c r="AO712" s="131"/>
      <c r="AP712" s="88"/>
    </row>
    <row r="713">
      <c r="A713" s="155"/>
      <c r="B713" s="173"/>
      <c r="C713" s="174"/>
      <c r="D713" s="173"/>
      <c r="E713" s="155"/>
      <c r="F713" s="155"/>
      <c r="G713" s="88"/>
      <c r="H713" s="255"/>
      <c r="I713" s="155"/>
      <c r="J713" s="155"/>
      <c r="K713" s="15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58"/>
      <c r="AA713" s="105"/>
      <c r="AB713" s="105"/>
      <c r="AC713" s="105"/>
      <c r="AD713" s="105"/>
      <c r="AE713" s="105"/>
      <c r="AF713" s="158"/>
      <c r="AG713" s="105"/>
      <c r="AH713" s="158"/>
      <c r="AI713" s="88"/>
      <c r="AJ713" s="88"/>
      <c r="AK713" s="131"/>
      <c r="AL713" s="131"/>
      <c r="AM713" s="131"/>
      <c r="AN713" s="131"/>
      <c r="AO713" s="131"/>
      <c r="AP713" s="88"/>
    </row>
    <row r="714">
      <c r="A714" s="155"/>
      <c r="B714" s="173"/>
      <c r="C714" s="174"/>
      <c r="D714" s="173"/>
      <c r="E714" s="155"/>
      <c r="F714" s="155"/>
      <c r="G714" s="88"/>
      <c r="H714" s="255"/>
      <c r="I714" s="155"/>
      <c r="J714" s="155"/>
      <c r="K714" s="15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58"/>
      <c r="AA714" s="105"/>
      <c r="AB714" s="105"/>
      <c r="AC714" s="105"/>
      <c r="AD714" s="105"/>
      <c r="AE714" s="105"/>
      <c r="AF714" s="158"/>
      <c r="AG714" s="105"/>
      <c r="AH714" s="158"/>
      <c r="AI714" s="88"/>
      <c r="AJ714" s="88"/>
      <c r="AK714" s="131"/>
      <c r="AL714" s="131"/>
      <c r="AM714" s="131"/>
      <c r="AN714" s="131"/>
      <c r="AO714" s="131"/>
      <c r="AP714" s="88"/>
    </row>
    <row r="715">
      <c r="A715" s="155"/>
      <c r="B715" s="173"/>
      <c r="C715" s="174"/>
      <c r="D715" s="173"/>
      <c r="E715" s="155"/>
      <c r="F715" s="155"/>
      <c r="G715" s="88"/>
      <c r="H715" s="255"/>
      <c r="I715" s="155"/>
      <c r="J715" s="155"/>
      <c r="K715" s="15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58"/>
      <c r="AA715" s="105"/>
      <c r="AB715" s="105"/>
      <c r="AC715" s="105"/>
      <c r="AD715" s="105"/>
      <c r="AE715" s="105"/>
      <c r="AF715" s="158"/>
      <c r="AG715" s="105"/>
      <c r="AH715" s="158"/>
      <c r="AI715" s="88"/>
      <c r="AJ715" s="88"/>
      <c r="AK715" s="131"/>
      <c r="AL715" s="131"/>
      <c r="AM715" s="131"/>
      <c r="AN715" s="131"/>
      <c r="AO715" s="131"/>
      <c r="AP715" s="88"/>
    </row>
    <row r="716">
      <c r="A716" s="155"/>
      <c r="B716" s="173"/>
      <c r="C716" s="174"/>
      <c r="D716" s="173"/>
      <c r="E716" s="155"/>
      <c r="F716" s="155"/>
      <c r="G716" s="88"/>
      <c r="H716" s="255"/>
      <c r="I716" s="155"/>
      <c r="J716" s="155"/>
      <c r="K716" s="15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58"/>
      <c r="AA716" s="105"/>
      <c r="AB716" s="105"/>
      <c r="AC716" s="105"/>
      <c r="AD716" s="105"/>
      <c r="AE716" s="105"/>
      <c r="AF716" s="158"/>
      <c r="AG716" s="105"/>
      <c r="AH716" s="158"/>
      <c r="AI716" s="88"/>
      <c r="AJ716" s="88"/>
      <c r="AK716" s="131"/>
      <c r="AL716" s="131"/>
      <c r="AM716" s="131"/>
      <c r="AN716" s="131"/>
      <c r="AO716" s="131"/>
      <c r="AP716" s="88"/>
    </row>
    <row r="717">
      <c r="A717" s="155"/>
      <c r="B717" s="173"/>
      <c r="C717" s="174"/>
      <c r="D717" s="173"/>
      <c r="E717" s="155"/>
      <c r="F717" s="155"/>
      <c r="G717" s="88"/>
      <c r="H717" s="255"/>
      <c r="I717" s="155"/>
      <c r="J717" s="155"/>
      <c r="K717" s="15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58"/>
      <c r="AA717" s="105"/>
      <c r="AB717" s="105"/>
      <c r="AC717" s="105"/>
      <c r="AD717" s="105"/>
      <c r="AE717" s="105"/>
      <c r="AF717" s="158"/>
      <c r="AG717" s="105"/>
      <c r="AH717" s="158"/>
      <c r="AI717" s="88"/>
      <c r="AJ717" s="88"/>
      <c r="AK717" s="131"/>
      <c r="AL717" s="131"/>
      <c r="AM717" s="131"/>
      <c r="AN717" s="131"/>
      <c r="AO717" s="131"/>
      <c r="AP717" s="88"/>
    </row>
    <row r="718">
      <c r="A718" s="155"/>
      <c r="B718" s="173"/>
      <c r="C718" s="174"/>
      <c r="D718" s="173"/>
      <c r="E718" s="155"/>
      <c r="F718" s="155"/>
      <c r="G718" s="88"/>
      <c r="H718" s="255"/>
      <c r="I718" s="155"/>
      <c r="J718" s="155"/>
      <c r="K718" s="15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58"/>
      <c r="AA718" s="105"/>
      <c r="AB718" s="105"/>
      <c r="AC718" s="105"/>
      <c r="AD718" s="105"/>
      <c r="AE718" s="105"/>
      <c r="AF718" s="158"/>
      <c r="AG718" s="105"/>
      <c r="AH718" s="158"/>
      <c r="AI718" s="88"/>
      <c r="AJ718" s="88"/>
      <c r="AK718" s="131"/>
      <c r="AL718" s="131"/>
      <c r="AM718" s="131"/>
      <c r="AN718" s="131"/>
      <c r="AO718" s="131"/>
      <c r="AP718" s="88"/>
    </row>
    <row r="719">
      <c r="A719" s="155"/>
      <c r="B719" s="173"/>
      <c r="C719" s="174"/>
      <c r="D719" s="173"/>
      <c r="E719" s="155"/>
      <c r="F719" s="155"/>
      <c r="G719" s="88"/>
      <c r="H719" s="255"/>
      <c r="I719" s="155"/>
      <c r="J719" s="155"/>
      <c r="K719" s="15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58"/>
      <c r="AA719" s="105"/>
      <c r="AB719" s="105"/>
      <c r="AC719" s="105"/>
      <c r="AD719" s="105"/>
      <c r="AE719" s="105"/>
      <c r="AF719" s="158"/>
      <c r="AG719" s="105"/>
      <c r="AH719" s="158"/>
      <c r="AI719" s="88"/>
      <c r="AJ719" s="88"/>
      <c r="AK719" s="131"/>
      <c r="AL719" s="131"/>
      <c r="AM719" s="131"/>
      <c r="AN719" s="131"/>
      <c r="AO719" s="131"/>
      <c r="AP719" s="88"/>
    </row>
    <row r="720">
      <c r="A720" s="155"/>
      <c r="B720" s="173"/>
      <c r="C720" s="174"/>
      <c r="D720" s="173"/>
      <c r="E720" s="155"/>
      <c r="F720" s="155"/>
      <c r="G720" s="88"/>
      <c r="H720" s="255"/>
      <c r="I720" s="155"/>
      <c r="J720" s="155"/>
      <c r="K720" s="15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58"/>
      <c r="AA720" s="105"/>
      <c r="AB720" s="105"/>
      <c r="AC720" s="105"/>
      <c r="AD720" s="105"/>
      <c r="AE720" s="105"/>
      <c r="AF720" s="158"/>
      <c r="AG720" s="105"/>
      <c r="AH720" s="158"/>
      <c r="AI720" s="88"/>
      <c r="AJ720" s="88"/>
      <c r="AK720" s="131"/>
      <c r="AL720" s="131"/>
      <c r="AM720" s="131"/>
      <c r="AN720" s="131"/>
      <c r="AO720" s="131"/>
      <c r="AP720" s="88"/>
    </row>
    <row r="721">
      <c r="A721" s="155"/>
      <c r="B721" s="173"/>
      <c r="C721" s="174"/>
      <c r="D721" s="173"/>
      <c r="E721" s="155"/>
      <c r="F721" s="155"/>
      <c r="G721" s="88"/>
      <c r="H721" s="255"/>
      <c r="I721" s="155"/>
      <c r="J721" s="155"/>
      <c r="K721" s="15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58"/>
      <c r="AA721" s="105"/>
      <c r="AB721" s="105"/>
      <c r="AC721" s="105"/>
      <c r="AD721" s="105"/>
      <c r="AE721" s="105"/>
      <c r="AF721" s="158"/>
      <c r="AG721" s="105"/>
      <c r="AH721" s="158"/>
      <c r="AI721" s="88"/>
      <c r="AJ721" s="88"/>
      <c r="AK721" s="131"/>
      <c r="AL721" s="131"/>
      <c r="AM721" s="131"/>
      <c r="AN721" s="131"/>
      <c r="AO721" s="131"/>
      <c r="AP721" s="88"/>
    </row>
    <row r="722">
      <c r="A722" s="155"/>
      <c r="B722" s="173"/>
      <c r="C722" s="174"/>
      <c r="D722" s="173"/>
      <c r="E722" s="155"/>
      <c r="F722" s="155"/>
      <c r="G722" s="88"/>
      <c r="H722" s="255"/>
      <c r="I722" s="155"/>
      <c r="J722" s="155"/>
      <c r="K722" s="15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58"/>
      <c r="AA722" s="105"/>
      <c r="AB722" s="105"/>
      <c r="AC722" s="105"/>
      <c r="AD722" s="105"/>
      <c r="AE722" s="105"/>
      <c r="AF722" s="158"/>
      <c r="AG722" s="105"/>
      <c r="AH722" s="158"/>
      <c r="AI722" s="88"/>
      <c r="AJ722" s="88"/>
      <c r="AK722" s="131"/>
      <c r="AL722" s="131"/>
      <c r="AM722" s="131"/>
      <c r="AN722" s="131"/>
      <c r="AO722" s="131"/>
      <c r="AP722" s="88"/>
    </row>
    <row r="723">
      <c r="A723" s="155"/>
      <c r="B723" s="173"/>
      <c r="C723" s="174"/>
      <c r="D723" s="173"/>
      <c r="E723" s="155"/>
      <c r="F723" s="155"/>
      <c r="G723" s="88"/>
      <c r="H723" s="255"/>
      <c r="I723" s="155"/>
      <c r="J723" s="155"/>
      <c r="K723" s="15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58"/>
      <c r="AA723" s="105"/>
      <c r="AB723" s="105"/>
      <c r="AC723" s="105"/>
      <c r="AD723" s="105"/>
      <c r="AE723" s="105"/>
      <c r="AF723" s="158"/>
      <c r="AG723" s="105"/>
      <c r="AH723" s="158"/>
      <c r="AI723" s="88"/>
      <c r="AJ723" s="88"/>
      <c r="AK723" s="131"/>
      <c r="AL723" s="131"/>
      <c r="AM723" s="131"/>
      <c r="AN723" s="131"/>
      <c r="AO723" s="131"/>
      <c r="AP723" s="88"/>
    </row>
    <row r="724">
      <c r="A724" s="155"/>
      <c r="B724" s="173"/>
      <c r="C724" s="174"/>
      <c r="D724" s="173"/>
      <c r="E724" s="155"/>
      <c r="F724" s="155"/>
      <c r="G724" s="88"/>
      <c r="H724" s="255"/>
      <c r="I724" s="155"/>
      <c r="J724" s="155"/>
      <c r="K724" s="15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58"/>
      <c r="AA724" s="105"/>
      <c r="AB724" s="105"/>
      <c r="AC724" s="105"/>
      <c r="AD724" s="105"/>
      <c r="AE724" s="105"/>
      <c r="AF724" s="158"/>
      <c r="AG724" s="105"/>
      <c r="AH724" s="158"/>
      <c r="AI724" s="88"/>
      <c r="AJ724" s="88"/>
      <c r="AK724" s="131"/>
      <c r="AL724" s="131"/>
      <c r="AM724" s="131"/>
      <c r="AN724" s="131"/>
      <c r="AO724" s="131"/>
      <c r="AP724" s="88"/>
    </row>
    <row r="725">
      <c r="A725" s="155"/>
      <c r="B725" s="173"/>
      <c r="C725" s="174"/>
      <c r="D725" s="173"/>
      <c r="E725" s="155"/>
      <c r="F725" s="155"/>
      <c r="G725" s="88"/>
      <c r="H725" s="255"/>
      <c r="I725" s="155"/>
      <c r="J725" s="155"/>
      <c r="K725" s="15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58"/>
      <c r="AA725" s="105"/>
      <c r="AB725" s="105"/>
      <c r="AC725" s="105"/>
      <c r="AD725" s="105"/>
      <c r="AE725" s="105"/>
      <c r="AF725" s="158"/>
      <c r="AG725" s="105"/>
      <c r="AH725" s="158"/>
      <c r="AI725" s="88"/>
      <c r="AJ725" s="88"/>
      <c r="AK725" s="131"/>
      <c r="AL725" s="131"/>
      <c r="AM725" s="131"/>
      <c r="AN725" s="131"/>
      <c r="AO725" s="131"/>
      <c r="AP725" s="88"/>
    </row>
    <row r="726">
      <c r="A726" s="155"/>
      <c r="B726" s="173"/>
      <c r="C726" s="174"/>
      <c r="D726" s="173"/>
      <c r="E726" s="155"/>
      <c r="F726" s="155"/>
      <c r="G726" s="88"/>
      <c r="H726" s="255"/>
      <c r="I726" s="155"/>
      <c r="J726" s="155"/>
      <c r="K726" s="15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58"/>
      <c r="AA726" s="105"/>
      <c r="AB726" s="105"/>
      <c r="AC726" s="105"/>
      <c r="AD726" s="105"/>
      <c r="AE726" s="105"/>
      <c r="AF726" s="158"/>
      <c r="AG726" s="105"/>
      <c r="AH726" s="158"/>
      <c r="AI726" s="88"/>
      <c r="AJ726" s="88"/>
      <c r="AK726" s="131"/>
      <c r="AL726" s="131"/>
      <c r="AM726" s="131"/>
      <c r="AN726" s="131"/>
      <c r="AO726" s="131"/>
      <c r="AP726" s="88"/>
    </row>
    <row r="727">
      <c r="A727" s="155"/>
      <c r="B727" s="173"/>
      <c r="C727" s="174"/>
      <c r="D727" s="173"/>
      <c r="E727" s="155"/>
      <c r="F727" s="155"/>
      <c r="G727" s="88"/>
      <c r="H727" s="255"/>
      <c r="I727" s="155"/>
      <c r="J727" s="155"/>
      <c r="K727" s="15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58"/>
      <c r="AA727" s="105"/>
      <c r="AB727" s="105"/>
      <c r="AC727" s="105"/>
      <c r="AD727" s="105"/>
      <c r="AE727" s="105"/>
      <c r="AF727" s="158"/>
      <c r="AG727" s="105"/>
      <c r="AH727" s="158"/>
      <c r="AI727" s="88"/>
      <c r="AJ727" s="88"/>
      <c r="AK727" s="131"/>
      <c r="AL727" s="131"/>
      <c r="AM727" s="131"/>
      <c r="AN727" s="131"/>
      <c r="AO727" s="131"/>
      <c r="AP727" s="88"/>
    </row>
    <row r="728">
      <c r="A728" s="155"/>
      <c r="B728" s="173"/>
      <c r="C728" s="174"/>
      <c r="D728" s="173"/>
      <c r="E728" s="155"/>
      <c r="F728" s="155"/>
      <c r="G728" s="88"/>
      <c r="H728" s="255"/>
      <c r="I728" s="155"/>
      <c r="J728" s="155"/>
      <c r="K728" s="15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58"/>
      <c r="AA728" s="105"/>
      <c r="AB728" s="105"/>
      <c r="AC728" s="105"/>
      <c r="AD728" s="105"/>
      <c r="AE728" s="105"/>
      <c r="AF728" s="158"/>
      <c r="AG728" s="105"/>
      <c r="AH728" s="158"/>
      <c r="AI728" s="88"/>
      <c r="AJ728" s="88"/>
      <c r="AK728" s="131"/>
      <c r="AL728" s="131"/>
      <c r="AM728" s="131"/>
      <c r="AN728" s="131"/>
      <c r="AO728" s="131"/>
      <c r="AP728" s="88"/>
    </row>
    <row r="729">
      <c r="A729" s="155"/>
      <c r="B729" s="173"/>
      <c r="C729" s="174"/>
      <c r="D729" s="173"/>
      <c r="E729" s="155"/>
      <c r="F729" s="155"/>
      <c r="G729" s="88"/>
      <c r="H729" s="255"/>
      <c r="I729" s="155"/>
      <c r="J729" s="155"/>
      <c r="K729" s="15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58"/>
      <c r="AA729" s="105"/>
      <c r="AB729" s="105"/>
      <c r="AC729" s="105"/>
      <c r="AD729" s="105"/>
      <c r="AE729" s="105"/>
      <c r="AF729" s="158"/>
      <c r="AG729" s="105"/>
      <c r="AH729" s="158"/>
      <c r="AI729" s="88"/>
      <c r="AJ729" s="88"/>
      <c r="AK729" s="131"/>
      <c r="AL729" s="131"/>
      <c r="AM729" s="131"/>
      <c r="AN729" s="131"/>
      <c r="AO729" s="131"/>
      <c r="AP729" s="88"/>
    </row>
    <row r="730">
      <c r="A730" s="155"/>
      <c r="B730" s="173"/>
      <c r="C730" s="174"/>
      <c r="D730" s="173"/>
      <c r="E730" s="155"/>
      <c r="F730" s="155"/>
      <c r="G730" s="88"/>
      <c r="H730" s="255"/>
      <c r="I730" s="155"/>
      <c r="J730" s="155"/>
      <c r="K730" s="15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58"/>
      <c r="AA730" s="105"/>
      <c r="AB730" s="105"/>
      <c r="AC730" s="105"/>
      <c r="AD730" s="105"/>
      <c r="AE730" s="105"/>
      <c r="AF730" s="158"/>
      <c r="AG730" s="105"/>
      <c r="AH730" s="158"/>
      <c r="AI730" s="88"/>
      <c r="AJ730" s="88"/>
      <c r="AK730" s="131"/>
      <c r="AL730" s="131"/>
      <c r="AM730" s="131"/>
      <c r="AN730" s="131"/>
      <c r="AO730" s="131"/>
      <c r="AP730" s="88"/>
    </row>
    <row r="731">
      <c r="A731" s="155"/>
      <c r="B731" s="173"/>
      <c r="C731" s="174"/>
      <c r="D731" s="173"/>
      <c r="E731" s="155"/>
      <c r="F731" s="155"/>
      <c r="G731" s="88"/>
      <c r="H731" s="255"/>
      <c r="I731" s="155"/>
      <c r="J731" s="155"/>
      <c r="K731" s="15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58"/>
      <c r="AA731" s="105"/>
      <c r="AB731" s="105"/>
      <c r="AC731" s="105"/>
      <c r="AD731" s="105"/>
      <c r="AE731" s="105"/>
      <c r="AF731" s="158"/>
      <c r="AG731" s="105"/>
      <c r="AH731" s="158"/>
      <c r="AI731" s="88"/>
      <c r="AJ731" s="88"/>
      <c r="AK731" s="131"/>
      <c r="AL731" s="131"/>
      <c r="AM731" s="131"/>
      <c r="AN731" s="131"/>
      <c r="AO731" s="131"/>
      <c r="AP731" s="88"/>
    </row>
    <row r="732">
      <c r="A732" s="155"/>
      <c r="B732" s="173"/>
      <c r="C732" s="174"/>
      <c r="D732" s="173"/>
      <c r="E732" s="155"/>
      <c r="F732" s="155"/>
      <c r="G732" s="88"/>
      <c r="H732" s="255"/>
      <c r="I732" s="155"/>
      <c r="J732" s="155"/>
      <c r="K732" s="15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58"/>
      <c r="AA732" s="105"/>
      <c r="AB732" s="105"/>
      <c r="AC732" s="105"/>
      <c r="AD732" s="105"/>
      <c r="AE732" s="105"/>
      <c r="AF732" s="158"/>
      <c r="AG732" s="105"/>
      <c r="AH732" s="158"/>
      <c r="AI732" s="88"/>
      <c r="AJ732" s="88"/>
      <c r="AK732" s="131"/>
      <c r="AL732" s="131"/>
      <c r="AM732" s="131"/>
      <c r="AN732" s="131"/>
      <c r="AO732" s="131"/>
      <c r="AP732" s="88"/>
    </row>
    <row r="733">
      <c r="A733" s="155"/>
      <c r="B733" s="173"/>
      <c r="C733" s="174"/>
      <c r="D733" s="173"/>
      <c r="E733" s="155"/>
      <c r="F733" s="155"/>
      <c r="G733" s="88"/>
      <c r="H733" s="255"/>
      <c r="I733" s="155"/>
      <c r="J733" s="155"/>
      <c r="K733" s="15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58"/>
      <c r="AA733" s="105"/>
      <c r="AB733" s="105"/>
      <c r="AC733" s="105"/>
      <c r="AD733" s="105"/>
      <c r="AE733" s="105"/>
      <c r="AF733" s="158"/>
      <c r="AG733" s="105"/>
      <c r="AH733" s="158"/>
      <c r="AI733" s="88"/>
      <c r="AJ733" s="88"/>
      <c r="AK733" s="131"/>
      <c r="AL733" s="131"/>
      <c r="AM733" s="131"/>
      <c r="AN733" s="131"/>
      <c r="AO733" s="131"/>
      <c r="AP733" s="88"/>
    </row>
    <row r="734">
      <c r="A734" s="155"/>
      <c r="B734" s="173"/>
      <c r="C734" s="174"/>
      <c r="D734" s="173"/>
      <c r="E734" s="155"/>
      <c r="F734" s="155"/>
      <c r="G734" s="88"/>
      <c r="H734" s="255"/>
      <c r="I734" s="155"/>
      <c r="J734" s="155"/>
      <c r="K734" s="15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58"/>
      <c r="AA734" s="105"/>
      <c r="AB734" s="105"/>
      <c r="AC734" s="105"/>
      <c r="AD734" s="105"/>
      <c r="AE734" s="105"/>
      <c r="AF734" s="158"/>
      <c r="AG734" s="105"/>
      <c r="AH734" s="158"/>
      <c r="AI734" s="88"/>
      <c r="AJ734" s="88"/>
      <c r="AK734" s="131"/>
      <c r="AL734" s="131"/>
      <c r="AM734" s="131"/>
      <c r="AN734" s="131"/>
      <c r="AO734" s="131"/>
      <c r="AP734" s="88"/>
    </row>
    <row r="735">
      <c r="A735" s="155"/>
      <c r="B735" s="173"/>
      <c r="C735" s="174"/>
      <c r="D735" s="173"/>
      <c r="E735" s="155"/>
      <c r="F735" s="155"/>
      <c r="G735" s="88"/>
      <c r="H735" s="255"/>
      <c r="I735" s="155"/>
      <c r="J735" s="155"/>
      <c r="K735" s="15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58"/>
      <c r="AA735" s="105"/>
      <c r="AB735" s="105"/>
      <c r="AC735" s="105"/>
      <c r="AD735" s="105"/>
      <c r="AE735" s="105"/>
      <c r="AF735" s="158"/>
      <c r="AG735" s="105"/>
      <c r="AH735" s="158"/>
      <c r="AI735" s="88"/>
      <c r="AJ735" s="88"/>
      <c r="AK735" s="131"/>
      <c r="AL735" s="131"/>
      <c r="AM735" s="131"/>
      <c r="AN735" s="131"/>
      <c r="AO735" s="131"/>
      <c r="AP735" s="88"/>
    </row>
    <row r="736">
      <c r="A736" s="155"/>
      <c r="B736" s="173"/>
      <c r="C736" s="174"/>
      <c r="D736" s="173"/>
      <c r="E736" s="155"/>
      <c r="F736" s="155"/>
      <c r="G736" s="88"/>
      <c r="H736" s="255"/>
      <c r="I736" s="155"/>
      <c r="J736" s="155"/>
      <c r="K736" s="15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58"/>
      <c r="AA736" s="105"/>
      <c r="AB736" s="105"/>
      <c r="AC736" s="105"/>
      <c r="AD736" s="105"/>
      <c r="AE736" s="105"/>
      <c r="AF736" s="158"/>
      <c r="AG736" s="105"/>
      <c r="AH736" s="158"/>
      <c r="AI736" s="88"/>
      <c r="AJ736" s="88"/>
      <c r="AK736" s="131"/>
      <c r="AL736" s="131"/>
      <c r="AM736" s="131"/>
      <c r="AN736" s="131"/>
      <c r="AO736" s="131"/>
      <c r="AP736" s="88"/>
    </row>
    <row r="737">
      <c r="A737" s="155"/>
      <c r="B737" s="173"/>
      <c r="C737" s="174"/>
      <c r="D737" s="173"/>
      <c r="E737" s="155"/>
      <c r="F737" s="155"/>
      <c r="G737" s="88"/>
      <c r="H737" s="255"/>
      <c r="I737" s="155"/>
      <c r="J737" s="155"/>
      <c r="K737" s="15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58"/>
      <c r="AA737" s="105"/>
      <c r="AB737" s="105"/>
      <c r="AC737" s="105"/>
      <c r="AD737" s="105"/>
      <c r="AE737" s="105"/>
      <c r="AF737" s="158"/>
      <c r="AG737" s="105"/>
      <c r="AH737" s="158"/>
      <c r="AI737" s="88"/>
      <c r="AJ737" s="88"/>
      <c r="AK737" s="131"/>
      <c r="AL737" s="131"/>
      <c r="AM737" s="131"/>
      <c r="AN737" s="131"/>
      <c r="AO737" s="131"/>
      <c r="AP737" s="88"/>
    </row>
    <row r="738">
      <c r="A738" s="155"/>
      <c r="B738" s="173"/>
      <c r="C738" s="174"/>
      <c r="D738" s="173"/>
      <c r="E738" s="155"/>
      <c r="F738" s="155"/>
      <c r="G738" s="88"/>
      <c r="H738" s="255"/>
      <c r="I738" s="155"/>
      <c r="J738" s="155"/>
      <c r="K738" s="15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58"/>
      <c r="AA738" s="105"/>
      <c r="AB738" s="105"/>
      <c r="AC738" s="105"/>
      <c r="AD738" s="105"/>
      <c r="AE738" s="105"/>
      <c r="AF738" s="158"/>
      <c r="AG738" s="105"/>
      <c r="AH738" s="158"/>
      <c r="AI738" s="88"/>
      <c r="AJ738" s="88"/>
      <c r="AK738" s="131"/>
      <c r="AL738" s="131"/>
      <c r="AM738" s="131"/>
      <c r="AN738" s="131"/>
      <c r="AO738" s="131"/>
      <c r="AP738" s="88"/>
    </row>
    <row r="739">
      <c r="A739" s="155"/>
      <c r="B739" s="173"/>
      <c r="C739" s="174"/>
      <c r="D739" s="173"/>
      <c r="E739" s="155"/>
      <c r="F739" s="155"/>
      <c r="G739" s="88"/>
      <c r="H739" s="255"/>
      <c r="I739" s="155"/>
      <c r="J739" s="155"/>
      <c r="K739" s="15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58"/>
      <c r="AA739" s="105"/>
      <c r="AB739" s="105"/>
      <c r="AC739" s="105"/>
      <c r="AD739" s="105"/>
      <c r="AE739" s="105"/>
      <c r="AF739" s="158"/>
      <c r="AG739" s="105"/>
      <c r="AH739" s="158"/>
      <c r="AI739" s="88"/>
      <c r="AJ739" s="88"/>
      <c r="AK739" s="131"/>
      <c r="AL739" s="131"/>
      <c r="AM739" s="131"/>
      <c r="AN739" s="131"/>
      <c r="AO739" s="131"/>
      <c r="AP739" s="88"/>
    </row>
    <row r="740">
      <c r="A740" s="155"/>
      <c r="B740" s="173"/>
      <c r="C740" s="174"/>
      <c r="D740" s="173"/>
      <c r="E740" s="155"/>
      <c r="F740" s="155"/>
      <c r="G740" s="88"/>
      <c r="H740" s="255"/>
      <c r="I740" s="155"/>
      <c r="J740" s="155"/>
      <c r="K740" s="15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58"/>
      <c r="AA740" s="105"/>
      <c r="AB740" s="105"/>
      <c r="AC740" s="105"/>
      <c r="AD740" s="105"/>
      <c r="AE740" s="105"/>
      <c r="AF740" s="158"/>
      <c r="AG740" s="105"/>
      <c r="AH740" s="158"/>
      <c r="AI740" s="88"/>
      <c r="AJ740" s="88"/>
      <c r="AK740" s="131"/>
      <c r="AL740" s="131"/>
      <c r="AM740" s="131"/>
      <c r="AN740" s="131"/>
      <c r="AO740" s="131"/>
      <c r="AP740" s="88"/>
    </row>
    <row r="741">
      <c r="A741" s="155"/>
      <c r="B741" s="173"/>
      <c r="C741" s="174"/>
      <c r="D741" s="173"/>
      <c r="E741" s="155"/>
      <c r="F741" s="155"/>
      <c r="G741" s="88"/>
      <c r="H741" s="255"/>
      <c r="I741" s="155"/>
      <c r="J741" s="155"/>
      <c r="K741" s="15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58"/>
      <c r="AA741" s="105"/>
      <c r="AB741" s="105"/>
      <c r="AC741" s="105"/>
      <c r="AD741" s="105"/>
      <c r="AE741" s="105"/>
      <c r="AF741" s="158"/>
      <c r="AG741" s="105"/>
      <c r="AH741" s="158"/>
      <c r="AI741" s="88"/>
      <c r="AJ741" s="88"/>
      <c r="AK741" s="131"/>
      <c r="AL741" s="131"/>
      <c r="AM741" s="131"/>
      <c r="AN741" s="131"/>
      <c r="AO741" s="131"/>
      <c r="AP741" s="88"/>
    </row>
    <row r="742">
      <c r="A742" s="155"/>
      <c r="B742" s="173"/>
      <c r="C742" s="174"/>
      <c r="D742" s="173"/>
      <c r="E742" s="155"/>
      <c r="F742" s="155"/>
      <c r="G742" s="88"/>
      <c r="H742" s="255"/>
      <c r="I742" s="155"/>
      <c r="J742" s="155"/>
      <c r="K742" s="15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58"/>
      <c r="AA742" s="105"/>
      <c r="AB742" s="105"/>
      <c r="AC742" s="105"/>
      <c r="AD742" s="105"/>
      <c r="AE742" s="105"/>
      <c r="AF742" s="158"/>
      <c r="AG742" s="105"/>
      <c r="AH742" s="158"/>
      <c r="AI742" s="88"/>
      <c r="AJ742" s="88"/>
      <c r="AK742" s="131"/>
      <c r="AL742" s="131"/>
      <c r="AM742" s="131"/>
      <c r="AN742" s="131"/>
      <c r="AO742" s="131"/>
      <c r="AP742" s="88"/>
    </row>
    <row r="743">
      <c r="A743" s="155"/>
      <c r="B743" s="173"/>
      <c r="C743" s="174"/>
      <c r="D743" s="173"/>
      <c r="E743" s="155"/>
      <c r="F743" s="155"/>
      <c r="G743" s="88"/>
      <c r="H743" s="255"/>
      <c r="I743" s="155"/>
      <c r="J743" s="155"/>
      <c r="K743" s="15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58"/>
      <c r="AA743" s="105"/>
      <c r="AB743" s="105"/>
      <c r="AC743" s="105"/>
      <c r="AD743" s="105"/>
      <c r="AE743" s="105"/>
      <c r="AF743" s="158"/>
      <c r="AG743" s="105"/>
      <c r="AH743" s="158"/>
      <c r="AI743" s="88"/>
      <c r="AJ743" s="88"/>
      <c r="AK743" s="131"/>
      <c r="AL743" s="131"/>
      <c r="AM743" s="131"/>
      <c r="AN743" s="131"/>
      <c r="AO743" s="131"/>
      <c r="AP743" s="88"/>
    </row>
    <row r="744">
      <c r="A744" s="155"/>
      <c r="B744" s="173"/>
      <c r="C744" s="174"/>
      <c r="D744" s="173"/>
      <c r="E744" s="155"/>
      <c r="F744" s="155"/>
      <c r="G744" s="88"/>
      <c r="H744" s="255"/>
      <c r="I744" s="155"/>
      <c r="J744" s="155"/>
      <c r="K744" s="15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58"/>
      <c r="AA744" s="105"/>
      <c r="AB744" s="105"/>
      <c r="AC744" s="105"/>
      <c r="AD744" s="105"/>
      <c r="AE744" s="105"/>
      <c r="AF744" s="158"/>
      <c r="AG744" s="105"/>
      <c r="AH744" s="158"/>
      <c r="AI744" s="88"/>
      <c r="AJ744" s="88"/>
      <c r="AK744" s="131"/>
      <c r="AL744" s="131"/>
      <c r="AM744" s="131"/>
      <c r="AN744" s="131"/>
      <c r="AO744" s="131"/>
      <c r="AP744" s="88"/>
    </row>
    <row r="745">
      <c r="A745" s="155"/>
      <c r="B745" s="173"/>
      <c r="C745" s="174"/>
      <c r="D745" s="173"/>
      <c r="E745" s="155"/>
      <c r="F745" s="155"/>
      <c r="G745" s="88"/>
      <c r="H745" s="255"/>
      <c r="I745" s="155"/>
      <c r="J745" s="155"/>
      <c r="K745" s="15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58"/>
      <c r="AA745" s="105"/>
      <c r="AB745" s="105"/>
      <c r="AC745" s="105"/>
      <c r="AD745" s="105"/>
      <c r="AE745" s="105"/>
      <c r="AF745" s="158"/>
      <c r="AG745" s="105"/>
      <c r="AH745" s="158"/>
      <c r="AI745" s="88"/>
      <c r="AJ745" s="88"/>
      <c r="AK745" s="131"/>
      <c r="AL745" s="131"/>
      <c r="AM745" s="131"/>
      <c r="AN745" s="131"/>
      <c r="AO745" s="131"/>
      <c r="AP745" s="88"/>
    </row>
    <row r="746">
      <c r="A746" s="155"/>
      <c r="B746" s="173"/>
      <c r="C746" s="174"/>
      <c r="D746" s="173"/>
      <c r="E746" s="155"/>
      <c r="F746" s="155"/>
      <c r="G746" s="88"/>
      <c r="H746" s="255"/>
      <c r="I746" s="155"/>
      <c r="J746" s="155"/>
      <c r="K746" s="15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58"/>
      <c r="AA746" s="105"/>
      <c r="AB746" s="105"/>
      <c r="AC746" s="105"/>
      <c r="AD746" s="105"/>
      <c r="AE746" s="105"/>
      <c r="AF746" s="158"/>
      <c r="AG746" s="105"/>
      <c r="AH746" s="158"/>
      <c r="AI746" s="88"/>
      <c r="AJ746" s="88"/>
      <c r="AK746" s="131"/>
      <c r="AL746" s="131"/>
      <c r="AM746" s="131"/>
      <c r="AN746" s="131"/>
      <c r="AO746" s="131"/>
      <c r="AP746" s="88"/>
    </row>
    <row r="747">
      <c r="A747" s="155"/>
      <c r="B747" s="173"/>
      <c r="C747" s="174"/>
      <c r="D747" s="173"/>
      <c r="E747" s="155"/>
      <c r="F747" s="155"/>
      <c r="G747" s="88"/>
      <c r="H747" s="255"/>
      <c r="I747" s="155"/>
      <c r="J747" s="155"/>
      <c r="K747" s="15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58"/>
      <c r="AA747" s="105"/>
      <c r="AB747" s="105"/>
      <c r="AC747" s="105"/>
      <c r="AD747" s="105"/>
      <c r="AE747" s="105"/>
      <c r="AF747" s="158"/>
      <c r="AG747" s="105"/>
      <c r="AH747" s="158"/>
      <c r="AI747" s="88"/>
      <c r="AJ747" s="88"/>
      <c r="AK747" s="131"/>
      <c r="AL747" s="131"/>
      <c r="AM747" s="131"/>
      <c r="AN747" s="131"/>
      <c r="AO747" s="131"/>
      <c r="AP747" s="88"/>
    </row>
    <row r="748">
      <c r="A748" s="155"/>
      <c r="B748" s="173"/>
      <c r="C748" s="174"/>
      <c r="D748" s="173"/>
      <c r="E748" s="155"/>
      <c r="F748" s="155"/>
      <c r="G748" s="88"/>
      <c r="H748" s="255"/>
      <c r="I748" s="155"/>
      <c r="J748" s="155"/>
      <c r="K748" s="15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58"/>
      <c r="AA748" s="105"/>
      <c r="AB748" s="105"/>
      <c r="AC748" s="105"/>
      <c r="AD748" s="105"/>
      <c r="AE748" s="105"/>
      <c r="AF748" s="158"/>
      <c r="AG748" s="105"/>
      <c r="AH748" s="158"/>
      <c r="AI748" s="88"/>
      <c r="AJ748" s="88"/>
      <c r="AK748" s="131"/>
      <c r="AL748" s="131"/>
      <c r="AM748" s="131"/>
      <c r="AN748" s="131"/>
      <c r="AO748" s="131"/>
      <c r="AP748" s="88"/>
    </row>
    <row r="749">
      <c r="A749" s="155"/>
      <c r="B749" s="173"/>
      <c r="C749" s="174"/>
      <c r="D749" s="173"/>
      <c r="E749" s="155"/>
      <c r="F749" s="155"/>
      <c r="G749" s="88"/>
      <c r="H749" s="255"/>
      <c r="I749" s="155"/>
      <c r="J749" s="155"/>
      <c r="K749" s="15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58"/>
      <c r="AA749" s="105"/>
      <c r="AB749" s="105"/>
      <c r="AC749" s="105"/>
      <c r="AD749" s="105"/>
      <c r="AE749" s="105"/>
      <c r="AF749" s="158"/>
      <c r="AG749" s="105"/>
      <c r="AH749" s="158"/>
      <c r="AI749" s="88"/>
      <c r="AJ749" s="88"/>
      <c r="AK749" s="131"/>
      <c r="AL749" s="131"/>
      <c r="AM749" s="131"/>
      <c r="AN749" s="131"/>
      <c r="AO749" s="131"/>
      <c r="AP749" s="88"/>
    </row>
    <row r="750">
      <c r="A750" s="155"/>
      <c r="B750" s="173"/>
      <c r="C750" s="174"/>
      <c r="D750" s="173"/>
      <c r="E750" s="155"/>
      <c r="F750" s="155"/>
      <c r="G750" s="88"/>
      <c r="H750" s="255"/>
      <c r="I750" s="155"/>
      <c r="J750" s="155"/>
      <c r="K750" s="15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58"/>
      <c r="AA750" s="105"/>
      <c r="AB750" s="105"/>
      <c r="AC750" s="105"/>
      <c r="AD750" s="105"/>
      <c r="AE750" s="105"/>
      <c r="AF750" s="158"/>
      <c r="AG750" s="105"/>
      <c r="AH750" s="158"/>
      <c r="AI750" s="88"/>
      <c r="AJ750" s="88"/>
      <c r="AK750" s="131"/>
      <c r="AL750" s="131"/>
      <c r="AM750" s="131"/>
      <c r="AN750" s="131"/>
      <c r="AO750" s="131"/>
      <c r="AP750" s="88"/>
    </row>
    <row r="751">
      <c r="A751" s="155"/>
      <c r="B751" s="173"/>
      <c r="C751" s="174"/>
      <c r="D751" s="173"/>
      <c r="E751" s="155"/>
      <c r="F751" s="155"/>
      <c r="G751" s="88"/>
      <c r="H751" s="255"/>
      <c r="I751" s="155"/>
      <c r="J751" s="155"/>
      <c r="K751" s="15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58"/>
      <c r="AA751" s="105"/>
      <c r="AB751" s="105"/>
      <c r="AC751" s="105"/>
      <c r="AD751" s="105"/>
      <c r="AE751" s="105"/>
      <c r="AF751" s="158"/>
      <c r="AG751" s="105"/>
      <c r="AH751" s="158"/>
      <c r="AI751" s="88"/>
      <c r="AJ751" s="88"/>
      <c r="AK751" s="131"/>
      <c r="AL751" s="131"/>
      <c r="AM751" s="131"/>
      <c r="AN751" s="131"/>
      <c r="AO751" s="131"/>
      <c r="AP751" s="88"/>
    </row>
    <row r="752">
      <c r="A752" s="155"/>
      <c r="B752" s="173"/>
      <c r="C752" s="174"/>
      <c r="D752" s="173"/>
      <c r="E752" s="155"/>
      <c r="F752" s="155"/>
      <c r="G752" s="88"/>
      <c r="H752" s="255"/>
      <c r="I752" s="155"/>
      <c r="J752" s="155"/>
      <c r="K752" s="15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58"/>
      <c r="AA752" s="105"/>
      <c r="AB752" s="105"/>
      <c r="AC752" s="105"/>
      <c r="AD752" s="105"/>
      <c r="AE752" s="105"/>
      <c r="AF752" s="158"/>
      <c r="AG752" s="105"/>
      <c r="AH752" s="158"/>
      <c r="AI752" s="88"/>
      <c r="AJ752" s="88"/>
      <c r="AK752" s="131"/>
      <c r="AL752" s="131"/>
      <c r="AM752" s="131"/>
      <c r="AN752" s="131"/>
      <c r="AO752" s="131"/>
      <c r="AP752" s="88"/>
    </row>
    <row r="753">
      <c r="A753" s="155"/>
      <c r="B753" s="173"/>
      <c r="C753" s="174"/>
      <c r="D753" s="173"/>
      <c r="E753" s="155"/>
      <c r="F753" s="155"/>
      <c r="G753" s="88"/>
      <c r="H753" s="255"/>
      <c r="I753" s="155"/>
      <c r="J753" s="155"/>
      <c r="K753" s="15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58"/>
      <c r="AA753" s="105"/>
      <c r="AB753" s="105"/>
      <c r="AC753" s="105"/>
      <c r="AD753" s="105"/>
      <c r="AE753" s="105"/>
      <c r="AF753" s="158"/>
      <c r="AG753" s="105"/>
      <c r="AH753" s="158"/>
      <c r="AI753" s="88"/>
      <c r="AJ753" s="88"/>
      <c r="AK753" s="131"/>
      <c r="AL753" s="131"/>
      <c r="AM753" s="131"/>
      <c r="AN753" s="131"/>
      <c r="AO753" s="131"/>
      <c r="AP753" s="88"/>
    </row>
    <row r="754">
      <c r="A754" s="155"/>
      <c r="B754" s="173"/>
      <c r="C754" s="174"/>
      <c r="D754" s="173"/>
      <c r="E754" s="155"/>
      <c r="F754" s="155"/>
      <c r="G754" s="88"/>
      <c r="H754" s="255"/>
      <c r="I754" s="155"/>
      <c r="J754" s="155"/>
      <c r="K754" s="15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58"/>
      <c r="AA754" s="105"/>
      <c r="AB754" s="105"/>
      <c r="AC754" s="105"/>
      <c r="AD754" s="105"/>
      <c r="AE754" s="105"/>
      <c r="AF754" s="158"/>
      <c r="AG754" s="105"/>
      <c r="AH754" s="158"/>
      <c r="AI754" s="88"/>
      <c r="AJ754" s="88"/>
      <c r="AK754" s="131"/>
      <c r="AL754" s="131"/>
      <c r="AM754" s="131"/>
      <c r="AN754" s="131"/>
      <c r="AO754" s="131"/>
      <c r="AP754" s="88"/>
    </row>
    <row r="755">
      <c r="A755" s="155"/>
      <c r="B755" s="173"/>
      <c r="C755" s="174"/>
      <c r="D755" s="173"/>
      <c r="E755" s="155"/>
      <c r="F755" s="155"/>
      <c r="G755" s="88"/>
      <c r="H755" s="255"/>
      <c r="I755" s="155"/>
      <c r="J755" s="155"/>
      <c r="K755" s="15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58"/>
      <c r="AA755" s="105"/>
      <c r="AB755" s="105"/>
      <c r="AC755" s="105"/>
      <c r="AD755" s="105"/>
      <c r="AE755" s="105"/>
      <c r="AF755" s="158"/>
      <c r="AG755" s="105"/>
      <c r="AH755" s="158"/>
      <c r="AI755" s="88"/>
      <c r="AJ755" s="88"/>
      <c r="AK755" s="131"/>
      <c r="AL755" s="131"/>
      <c r="AM755" s="131"/>
      <c r="AN755" s="131"/>
      <c r="AO755" s="131"/>
      <c r="AP755" s="88"/>
    </row>
    <row r="756">
      <c r="A756" s="155"/>
      <c r="B756" s="173"/>
      <c r="C756" s="174"/>
      <c r="D756" s="173"/>
      <c r="E756" s="155"/>
      <c r="F756" s="155"/>
      <c r="G756" s="88"/>
      <c r="H756" s="255"/>
      <c r="I756" s="155"/>
      <c r="J756" s="155"/>
      <c r="K756" s="15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58"/>
      <c r="AA756" s="105"/>
      <c r="AB756" s="105"/>
      <c r="AC756" s="105"/>
      <c r="AD756" s="105"/>
      <c r="AE756" s="105"/>
      <c r="AF756" s="158"/>
      <c r="AG756" s="105"/>
      <c r="AH756" s="158"/>
      <c r="AI756" s="88"/>
      <c r="AJ756" s="88"/>
      <c r="AK756" s="131"/>
      <c r="AL756" s="131"/>
      <c r="AM756" s="131"/>
      <c r="AN756" s="131"/>
      <c r="AO756" s="131"/>
      <c r="AP756" s="88"/>
    </row>
    <row r="757">
      <c r="A757" s="155"/>
      <c r="B757" s="173"/>
      <c r="C757" s="174"/>
      <c r="D757" s="173"/>
      <c r="E757" s="155"/>
      <c r="F757" s="155"/>
      <c r="G757" s="88"/>
      <c r="H757" s="255"/>
      <c r="I757" s="155"/>
      <c r="J757" s="155"/>
      <c r="K757" s="15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58"/>
      <c r="AA757" s="105"/>
      <c r="AB757" s="105"/>
      <c r="AC757" s="105"/>
      <c r="AD757" s="105"/>
      <c r="AE757" s="105"/>
      <c r="AF757" s="158"/>
      <c r="AG757" s="105"/>
      <c r="AH757" s="158"/>
      <c r="AI757" s="88"/>
      <c r="AJ757" s="88"/>
      <c r="AK757" s="131"/>
      <c r="AL757" s="131"/>
      <c r="AM757" s="131"/>
      <c r="AN757" s="131"/>
      <c r="AO757" s="131"/>
      <c r="AP757" s="88"/>
    </row>
    <row r="758">
      <c r="A758" s="155"/>
      <c r="B758" s="173"/>
      <c r="C758" s="174"/>
      <c r="D758" s="173"/>
      <c r="E758" s="155"/>
      <c r="F758" s="155"/>
      <c r="G758" s="88"/>
      <c r="H758" s="255"/>
      <c r="I758" s="155"/>
      <c r="J758" s="155"/>
      <c r="K758" s="15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58"/>
      <c r="AA758" s="105"/>
      <c r="AB758" s="105"/>
      <c r="AC758" s="105"/>
      <c r="AD758" s="105"/>
      <c r="AE758" s="105"/>
      <c r="AF758" s="158"/>
      <c r="AG758" s="105"/>
      <c r="AH758" s="158"/>
      <c r="AI758" s="88"/>
      <c r="AJ758" s="88"/>
      <c r="AK758" s="131"/>
      <c r="AL758" s="131"/>
      <c r="AM758" s="131"/>
      <c r="AN758" s="131"/>
      <c r="AO758" s="131"/>
      <c r="AP758" s="88"/>
    </row>
    <row r="759">
      <c r="A759" s="155"/>
      <c r="B759" s="173"/>
      <c r="C759" s="174"/>
      <c r="D759" s="173"/>
      <c r="E759" s="155"/>
      <c r="F759" s="155"/>
      <c r="G759" s="88"/>
      <c r="H759" s="255"/>
      <c r="I759" s="155"/>
      <c r="J759" s="155"/>
      <c r="K759" s="15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58"/>
      <c r="AA759" s="105"/>
      <c r="AB759" s="105"/>
      <c r="AC759" s="105"/>
      <c r="AD759" s="105"/>
      <c r="AE759" s="105"/>
      <c r="AF759" s="158"/>
      <c r="AG759" s="105"/>
      <c r="AH759" s="158"/>
      <c r="AI759" s="88"/>
      <c r="AJ759" s="88"/>
      <c r="AK759" s="131"/>
      <c r="AL759" s="131"/>
      <c r="AM759" s="131"/>
      <c r="AN759" s="131"/>
      <c r="AO759" s="131"/>
      <c r="AP759" s="88"/>
    </row>
    <row r="760">
      <c r="A760" s="155"/>
      <c r="B760" s="173"/>
      <c r="C760" s="174"/>
      <c r="D760" s="173"/>
      <c r="E760" s="155"/>
      <c r="F760" s="155"/>
      <c r="G760" s="88"/>
      <c r="H760" s="255"/>
      <c r="I760" s="155"/>
      <c r="J760" s="155"/>
      <c r="K760" s="15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58"/>
      <c r="AA760" s="105"/>
      <c r="AB760" s="105"/>
      <c r="AC760" s="105"/>
      <c r="AD760" s="105"/>
      <c r="AE760" s="105"/>
      <c r="AF760" s="158"/>
      <c r="AG760" s="105"/>
      <c r="AH760" s="158"/>
      <c r="AI760" s="88"/>
      <c r="AJ760" s="88"/>
      <c r="AK760" s="131"/>
      <c r="AL760" s="131"/>
      <c r="AM760" s="131"/>
      <c r="AN760" s="131"/>
      <c r="AO760" s="131"/>
      <c r="AP760" s="88"/>
    </row>
    <row r="761">
      <c r="A761" s="155"/>
      <c r="B761" s="173"/>
      <c r="C761" s="174"/>
      <c r="D761" s="173"/>
      <c r="E761" s="155"/>
      <c r="F761" s="155"/>
      <c r="G761" s="88"/>
      <c r="H761" s="255"/>
      <c r="I761" s="155"/>
      <c r="J761" s="155"/>
      <c r="K761" s="15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58"/>
      <c r="AA761" s="105"/>
      <c r="AB761" s="105"/>
      <c r="AC761" s="105"/>
      <c r="AD761" s="105"/>
      <c r="AE761" s="105"/>
      <c r="AF761" s="158"/>
      <c r="AG761" s="105"/>
      <c r="AH761" s="158"/>
      <c r="AI761" s="88"/>
      <c r="AJ761" s="88"/>
      <c r="AK761" s="131"/>
      <c r="AL761" s="131"/>
      <c r="AM761" s="131"/>
      <c r="AN761" s="131"/>
      <c r="AO761" s="131"/>
      <c r="AP761" s="88"/>
    </row>
    <row r="762">
      <c r="A762" s="155"/>
      <c r="B762" s="173"/>
      <c r="C762" s="174"/>
      <c r="D762" s="173"/>
      <c r="E762" s="155"/>
      <c r="F762" s="155"/>
      <c r="G762" s="88"/>
      <c r="H762" s="255"/>
      <c r="I762" s="155"/>
      <c r="J762" s="155"/>
      <c r="K762" s="15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58"/>
      <c r="AA762" s="105"/>
      <c r="AB762" s="105"/>
      <c r="AC762" s="105"/>
      <c r="AD762" s="105"/>
      <c r="AE762" s="105"/>
      <c r="AF762" s="158"/>
      <c r="AG762" s="105"/>
      <c r="AH762" s="158"/>
      <c r="AI762" s="88"/>
      <c r="AJ762" s="88"/>
      <c r="AK762" s="131"/>
      <c r="AL762" s="131"/>
      <c r="AM762" s="131"/>
      <c r="AN762" s="131"/>
      <c r="AO762" s="131"/>
      <c r="AP762" s="88"/>
    </row>
    <row r="763">
      <c r="A763" s="155"/>
      <c r="B763" s="173"/>
      <c r="C763" s="174"/>
      <c r="D763" s="173"/>
      <c r="E763" s="155"/>
      <c r="F763" s="155"/>
      <c r="G763" s="88"/>
      <c r="H763" s="255"/>
      <c r="I763" s="155"/>
      <c r="J763" s="155"/>
      <c r="K763" s="15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58"/>
      <c r="AA763" s="105"/>
      <c r="AB763" s="105"/>
      <c r="AC763" s="105"/>
      <c r="AD763" s="105"/>
      <c r="AE763" s="105"/>
      <c r="AF763" s="158"/>
      <c r="AG763" s="105"/>
      <c r="AH763" s="158"/>
      <c r="AI763" s="88"/>
      <c r="AJ763" s="88"/>
      <c r="AK763" s="131"/>
      <c r="AL763" s="131"/>
      <c r="AM763" s="131"/>
      <c r="AN763" s="131"/>
      <c r="AO763" s="131"/>
      <c r="AP763" s="88"/>
    </row>
    <row r="764">
      <c r="A764" s="155"/>
      <c r="B764" s="173"/>
      <c r="C764" s="174"/>
      <c r="D764" s="173"/>
      <c r="E764" s="155"/>
      <c r="F764" s="155"/>
      <c r="G764" s="88"/>
      <c r="H764" s="255"/>
      <c r="I764" s="155"/>
      <c r="J764" s="155"/>
      <c r="K764" s="15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58"/>
      <c r="AA764" s="105"/>
      <c r="AB764" s="105"/>
      <c r="AC764" s="105"/>
      <c r="AD764" s="105"/>
      <c r="AE764" s="105"/>
      <c r="AF764" s="158"/>
      <c r="AG764" s="105"/>
      <c r="AH764" s="158"/>
      <c r="AI764" s="88"/>
      <c r="AJ764" s="88"/>
      <c r="AK764" s="131"/>
      <c r="AL764" s="131"/>
      <c r="AM764" s="131"/>
      <c r="AN764" s="131"/>
      <c r="AO764" s="131"/>
      <c r="AP764" s="88"/>
    </row>
    <row r="765">
      <c r="A765" s="155"/>
      <c r="B765" s="173"/>
      <c r="C765" s="174"/>
      <c r="D765" s="173"/>
      <c r="E765" s="155"/>
      <c r="F765" s="155"/>
      <c r="G765" s="88"/>
      <c r="H765" s="255"/>
      <c r="I765" s="155"/>
      <c r="J765" s="155"/>
      <c r="K765" s="15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58"/>
      <c r="AA765" s="105"/>
      <c r="AB765" s="105"/>
      <c r="AC765" s="105"/>
      <c r="AD765" s="105"/>
      <c r="AE765" s="105"/>
      <c r="AF765" s="158"/>
      <c r="AG765" s="105"/>
      <c r="AH765" s="158"/>
      <c r="AI765" s="88"/>
      <c r="AJ765" s="88"/>
      <c r="AK765" s="131"/>
      <c r="AL765" s="131"/>
      <c r="AM765" s="131"/>
      <c r="AN765" s="131"/>
      <c r="AO765" s="131"/>
      <c r="AP765" s="88"/>
    </row>
    <row r="766">
      <c r="A766" s="155"/>
      <c r="B766" s="173"/>
      <c r="C766" s="174"/>
      <c r="D766" s="173"/>
      <c r="E766" s="155"/>
      <c r="F766" s="155"/>
      <c r="G766" s="88"/>
      <c r="H766" s="255"/>
      <c r="I766" s="155"/>
      <c r="J766" s="155"/>
      <c r="K766" s="15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58"/>
      <c r="AA766" s="105"/>
      <c r="AB766" s="105"/>
      <c r="AC766" s="105"/>
      <c r="AD766" s="105"/>
      <c r="AE766" s="105"/>
      <c r="AF766" s="158"/>
      <c r="AG766" s="105"/>
      <c r="AH766" s="158"/>
      <c r="AI766" s="88"/>
      <c r="AJ766" s="88"/>
      <c r="AK766" s="131"/>
      <c r="AL766" s="131"/>
      <c r="AM766" s="131"/>
      <c r="AN766" s="131"/>
      <c r="AO766" s="131"/>
      <c r="AP766" s="88"/>
    </row>
    <row r="767">
      <c r="A767" s="155"/>
      <c r="B767" s="173"/>
      <c r="C767" s="174"/>
      <c r="D767" s="173"/>
      <c r="E767" s="155"/>
      <c r="F767" s="155"/>
      <c r="G767" s="88"/>
      <c r="H767" s="255"/>
      <c r="I767" s="155"/>
      <c r="J767" s="155"/>
      <c r="K767" s="15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58"/>
      <c r="AA767" s="105"/>
      <c r="AB767" s="105"/>
      <c r="AC767" s="105"/>
      <c r="AD767" s="105"/>
      <c r="AE767" s="105"/>
      <c r="AF767" s="158"/>
      <c r="AG767" s="105"/>
      <c r="AH767" s="158"/>
      <c r="AI767" s="88"/>
      <c r="AJ767" s="88"/>
      <c r="AK767" s="131"/>
      <c r="AL767" s="131"/>
      <c r="AM767" s="131"/>
      <c r="AN767" s="131"/>
      <c r="AO767" s="131"/>
      <c r="AP767" s="88"/>
    </row>
    <row r="768">
      <c r="A768" s="155"/>
      <c r="B768" s="173"/>
      <c r="C768" s="174"/>
      <c r="D768" s="173"/>
      <c r="E768" s="155"/>
      <c r="F768" s="155"/>
      <c r="G768" s="88"/>
      <c r="H768" s="255"/>
      <c r="I768" s="155"/>
      <c r="J768" s="155"/>
      <c r="K768" s="15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58"/>
      <c r="AA768" s="105"/>
      <c r="AB768" s="105"/>
      <c r="AC768" s="105"/>
      <c r="AD768" s="105"/>
      <c r="AE768" s="105"/>
      <c r="AF768" s="158"/>
      <c r="AG768" s="105"/>
      <c r="AH768" s="158"/>
      <c r="AI768" s="88"/>
      <c r="AJ768" s="88"/>
      <c r="AK768" s="131"/>
      <c r="AL768" s="131"/>
      <c r="AM768" s="131"/>
      <c r="AN768" s="131"/>
      <c r="AO768" s="131"/>
      <c r="AP768" s="88"/>
    </row>
    <row r="769">
      <c r="A769" s="155"/>
      <c r="B769" s="173"/>
      <c r="C769" s="174"/>
      <c r="D769" s="173"/>
      <c r="E769" s="155"/>
      <c r="F769" s="155"/>
      <c r="G769" s="88"/>
      <c r="H769" s="255"/>
      <c r="I769" s="155"/>
      <c r="J769" s="155"/>
      <c r="K769" s="15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58"/>
      <c r="AA769" s="105"/>
      <c r="AB769" s="105"/>
      <c r="AC769" s="105"/>
      <c r="AD769" s="105"/>
      <c r="AE769" s="105"/>
      <c r="AF769" s="158"/>
      <c r="AG769" s="105"/>
      <c r="AH769" s="158"/>
      <c r="AI769" s="88"/>
      <c r="AJ769" s="88"/>
      <c r="AK769" s="131"/>
      <c r="AL769" s="131"/>
      <c r="AM769" s="131"/>
      <c r="AN769" s="131"/>
      <c r="AO769" s="131"/>
      <c r="AP769" s="88"/>
    </row>
    <row r="770">
      <c r="A770" s="155"/>
      <c r="B770" s="173"/>
      <c r="C770" s="174"/>
      <c r="D770" s="173"/>
      <c r="E770" s="155"/>
      <c r="F770" s="155"/>
      <c r="G770" s="88"/>
      <c r="H770" s="255"/>
      <c r="I770" s="155"/>
      <c r="J770" s="155"/>
      <c r="K770" s="15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58"/>
      <c r="AA770" s="105"/>
      <c r="AB770" s="105"/>
      <c r="AC770" s="105"/>
      <c r="AD770" s="105"/>
      <c r="AE770" s="105"/>
      <c r="AF770" s="158"/>
      <c r="AG770" s="105"/>
      <c r="AH770" s="158"/>
      <c r="AI770" s="88"/>
      <c r="AJ770" s="88"/>
      <c r="AK770" s="131"/>
      <c r="AL770" s="131"/>
      <c r="AM770" s="131"/>
      <c r="AN770" s="131"/>
      <c r="AO770" s="131"/>
      <c r="AP770" s="88"/>
    </row>
    <row r="771">
      <c r="A771" s="155"/>
      <c r="B771" s="173"/>
      <c r="C771" s="174"/>
      <c r="D771" s="173"/>
      <c r="E771" s="155"/>
      <c r="F771" s="155"/>
      <c r="G771" s="88"/>
      <c r="H771" s="255"/>
      <c r="I771" s="155"/>
      <c r="J771" s="155"/>
      <c r="K771" s="15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58"/>
      <c r="AA771" s="105"/>
      <c r="AB771" s="105"/>
      <c r="AC771" s="105"/>
      <c r="AD771" s="105"/>
      <c r="AE771" s="105"/>
      <c r="AF771" s="158"/>
      <c r="AG771" s="105"/>
      <c r="AH771" s="158"/>
      <c r="AI771" s="88"/>
      <c r="AJ771" s="88"/>
      <c r="AK771" s="131"/>
      <c r="AL771" s="131"/>
      <c r="AM771" s="131"/>
      <c r="AN771" s="131"/>
      <c r="AO771" s="131"/>
      <c r="AP771" s="88"/>
    </row>
    <row r="772">
      <c r="A772" s="155"/>
      <c r="B772" s="173"/>
      <c r="C772" s="174"/>
      <c r="D772" s="173"/>
      <c r="E772" s="155"/>
      <c r="F772" s="155"/>
      <c r="G772" s="88"/>
      <c r="H772" s="255"/>
      <c r="I772" s="155"/>
      <c r="J772" s="155"/>
      <c r="K772" s="15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58"/>
      <c r="AA772" s="105"/>
      <c r="AB772" s="105"/>
      <c r="AC772" s="105"/>
      <c r="AD772" s="105"/>
      <c r="AE772" s="105"/>
      <c r="AF772" s="158"/>
      <c r="AG772" s="105"/>
      <c r="AH772" s="158"/>
      <c r="AI772" s="88"/>
      <c r="AJ772" s="88"/>
      <c r="AK772" s="131"/>
      <c r="AL772" s="131"/>
      <c r="AM772" s="131"/>
      <c r="AN772" s="131"/>
      <c r="AO772" s="131"/>
      <c r="AP772" s="88"/>
    </row>
    <row r="773">
      <c r="A773" s="155"/>
      <c r="B773" s="173"/>
      <c r="C773" s="174"/>
      <c r="D773" s="173"/>
      <c r="E773" s="155"/>
      <c r="F773" s="155"/>
      <c r="G773" s="88"/>
      <c r="H773" s="255"/>
      <c r="I773" s="155"/>
      <c r="J773" s="155"/>
      <c r="K773" s="15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58"/>
      <c r="AA773" s="105"/>
      <c r="AB773" s="105"/>
      <c r="AC773" s="105"/>
      <c r="AD773" s="105"/>
      <c r="AE773" s="105"/>
      <c r="AF773" s="158"/>
      <c r="AG773" s="105"/>
      <c r="AH773" s="158"/>
      <c r="AI773" s="88"/>
      <c r="AJ773" s="88"/>
      <c r="AK773" s="131"/>
      <c r="AL773" s="131"/>
      <c r="AM773" s="131"/>
      <c r="AN773" s="131"/>
      <c r="AO773" s="131"/>
      <c r="AP773" s="88"/>
    </row>
    <row r="774">
      <c r="A774" s="155"/>
      <c r="B774" s="173"/>
      <c r="C774" s="174"/>
      <c r="D774" s="173"/>
      <c r="E774" s="155"/>
      <c r="F774" s="155"/>
      <c r="G774" s="88"/>
      <c r="H774" s="255"/>
      <c r="I774" s="155"/>
      <c r="J774" s="155"/>
      <c r="K774" s="15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58"/>
      <c r="AA774" s="105"/>
      <c r="AB774" s="105"/>
      <c r="AC774" s="105"/>
      <c r="AD774" s="105"/>
      <c r="AE774" s="105"/>
      <c r="AF774" s="158"/>
      <c r="AG774" s="105"/>
      <c r="AH774" s="158"/>
      <c r="AI774" s="88"/>
      <c r="AJ774" s="88"/>
      <c r="AK774" s="131"/>
      <c r="AL774" s="131"/>
      <c r="AM774" s="131"/>
      <c r="AN774" s="131"/>
      <c r="AO774" s="131"/>
      <c r="AP774" s="88"/>
    </row>
    <row r="775">
      <c r="A775" s="155"/>
      <c r="B775" s="173"/>
      <c r="C775" s="174"/>
      <c r="D775" s="173"/>
      <c r="E775" s="155"/>
      <c r="F775" s="155"/>
      <c r="G775" s="88"/>
      <c r="H775" s="255"/>
      <c r="I775" s="155"/>
      <c r="J775" s="155"/>
      <c r="K775" s="15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58"/>
      <c r="AA775" s="105"/>
      <c r="AB775" s="105"/>
      <c r="AC775" s="105"/>
      <c r="AD775" s="105"/>
      <c r="AE775" s="105"/>
      <c r="AF775" s="158"/>
      <c r="AG775" s="105"/>
      <c r="AH775" s="158"/>
      <c r="AI775" s="88"/>
      <c r="AJ775" s="88"/>
      <c r="AK775" s="131"/>
      <c r="AL775" s="131"/>
      <c r="AM775" s="131"/>
      <c r="AN775" s="131"/>
      <c r="AO775" s="131"/>
      <c r="AP775" s="88"/>
    </row>
    <row r="776">
      <c r="A776" s="155"/>
      <c r="B776" s="173"/>
      <c r="C776" s="174"/>
      <c r="D776" s="173"/>
      <c r="E776" s="155"/>
      <c r="F776" s="155"/>
      <c r="G776" s="88"/>
      <c r="H776" s="255"/>
      <c r="I776" s="155"/>
      <c r="J776" s="155"/>
      <c r="K776" s="15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58"/>
      <c r="AA776" s="105"/>
      <c r="AB776" s="105"/>
      <c r="AC776" s="105"/>
      <c r="AD776" s="105"/>
      <c r="AE776" s="105"/>
      <c r="AF776" s="158"/>
      <c r="AG776" s="105"/>
      <c r="AH776" s="158"/>
      <c r="AI776" s="88"/>
      <c r="AJ776" s="88"/>
      <c r="AK776" s="131"/>
      <c r="AL776" s="131"/>
      <c r="AM776" s="131"/>
      <c r="AN776" s="131"/>
      <c r="AO776" s="131"/>
      <c r="AP776" s="88"/>
    </row>
    <row r="777">
      <c r="A777" s="155"/>
      <c r="B777" s="173"/>
      <c r="C777" s="174"/>
      <c r="D777" s="173"/>
      <c r="E777" s="155"/>
      <c r="F777" s="155"/>
      <c r="G777" s="88"/>
      <c r="H777" s="255"/>
      <c r="I777" s="155"/>
      <c r="J777" s="155"/>
      <c r="K777" s="15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58"/>
      <c r="AA777" s="105"/>
      <c r="AB777" s="105"/>
      <c r="AC777" s="105"/>
      <c r="AD777" s="105"/>
      <c r="AE777" s="105"/>
      <c r="AF777" s="158"/>
      <c r="AG777" s="105"/>
      <c r="AH777" s="158"/>
      <c r="AI777" s="88"/>
      <c r="AJ777" s="88"/>
      <c r="AK777" s="131"/>
      <c r="AL777" s="131"/>
      <c r="AM777" s="131"/>
      <c r="AN777" s="131"/>
      <c r="AO777" s="131"/>
      <c r="AP777" s="88"/>
    </row>
    <row r="778">
      <c r="A778" s="155"/>
      <c r="B778" s="173"/>
      <c r="C778" s="174"/>
      <c r="D778" s="173"/>
      <c r="E778" s="155"/>
      <c r="F778" s="155"/>
      <c r="G778" s="88"/>
      <c r="H778" s="255"/>
      <c r="I778" s="155"/>
      <c r="J778" s="155"/>
      <c r="K778" s="15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58"/>
      <c r="AA778" s="105"/>
      <c r="AB778" s="105"/>
      <c r="AC778" s="105"/>
      <c r="AD778" s="105"/>
      <c r="AE778" s="105"/>
      <c r="AF778" s="158"/>
      <c r="AG778" s="105"/>
      <c r="AH778" s="158"/>
      <c r="AI778" s="88"/>
      <c r="AJ778" s="88"/>
      <c r="AK778" s="131"/>
      <c r="AL778" s="131"/>
      <c r="AM778" s="131"/>
      <c r="AN778" s="131"/>
      <c r="AO778" s="131"/>
      <c r="AP778" s="88"/>
    </row>
    <row r="779">
      <c r="A779" s="155"/>
      <c r="B779" s="173"/>
      <c r="C779" s="174"/>
      <c r="D779" s="173"/>
      <c r="E779" s="155"/>
      <c r="F779" s="155"/>
      <c r="G779" s="88"/>
      <c r="H779" s="255"/>
      <c r="I779" s="155"/>
      <c r="J779" s="155"/>
      <c r="K779" s="15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58"/>
      <c r="AA779" s="105"/>
      <c r="AB779" s="105"/>
      <c r="AC779" s="105"/>
      <c r="AD779" s="105"/>
      <c r="AE779" s="105"/>
      <c r="AF779" s="158"/>
      <c r="AG779" s="105"/>
      <c r="AH779" s="158"/>
      <c r="AI779" s="88"/>
      <c r="AJ779" s="88"/>
      <c r="AK779" s="131"/>
      <c r="AL779" s="131"/>
      <c r="AM779" s="131"/>
      <c r="AN779" s="131"/>
      <c r="AO779" s="131"/>
      <c r="AP779" s="88"/>
    </row>
    <row r="780">
      <c r="A780" s="155"/>
      <c r="B780" s="173"/>
      <c r="C780" s="174"/>
      <c r="D780" s="173"/>
      <c r="E780" s="155"/>
      <c r="F780" s="155"/>
      <c r="G780" s="88"/>
      <c r="H780" s="255"/>
      <c r="I780" s="155"/>
      <c r="J780" s="155"/>
      <c r="K780" s="15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58"/>
      <c r="AA780" s="105"/>
      <c r="AB780" s="105"/>
      <c r="AC780" s="105"/>
      <c r="AD780" s="105"/>
      <c r="AE780" s="105"/>
      <c r="AF780" s="158"/>
      <c r="AG780" s="105"/>
      <c r="AH780" s="158"/>
      <c r="AI780" s="88"/>
      <c r="AJ780" s="88"/>
      <c r="AK780" s="131"/>
      <c r="AL780" s="131"/>
      <c r="AM780" s="131"/>
      <c r="AN780" s="131"/>
      <c r="AO780" s="131"/>
      <c r="AP780" s="88"/>
    </row>
    <row r="781">
      <c r="A781" s="155"/>
      <c r="B781" s="173"/>
      <c r="C781" s="174"/>
      <c r="D781" s="173"/>
      <c r="E781" s="155"/>
      <c r="F781" s="155"/>
      <c r="G781" s="88"/>
      <c r="H781" s="255"/>
      <c r="I781" s="155"/>
      <c r="J781" s="155"/>
      <c r="K781" s="15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58"/>
      <c r="AA781" s="105"/>
      <c r="AB781" s="105"/>
      <c r="AC781" s="105"/>
      <c r="AD781" s="105"/>
      <c r="AE781" s="105"/>
      <c r="AF781" s="158"/>
      <c r="AG781" s="105"/>
      <c r="AH781" s="158"/>
      <c r="AI781" s="88"/>
      <c r="AJ781" s="88"/>
      <c r="AK781" s="131"/>
      <c r="AL781" s="131"/>
      <c r="AM781" s="131"/>
      <c r="AN781" s="131"/>
      <c r="AO781" s="131"/>
      <c r="AP781" s="88"/>
    </row>
    <row r="782">
      <c r="A782" s="155"/>
      <c r="B782" s="173"/>
      <c r="C782" s="174"/>
      <c r="D782" s="173"/>
      <c r="E782" s="155"/>
      <c r="F782" s="155"/>
      <c r="G782" s="88"/>
      <c r="H782" s="255"/>
      <c r="I782" s="155"/>
      <c r="J782" s="155"/>
      <c r="K782" s="15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58"/>
      <c r="AA782" s="105"/>
      <c r="AB782" s="105"/>
      <c r="AC782" s="105"/>
      <c r="AD782" s="105"/>
      <c r="AE782" s="105"/>
      <c r="AF782" s="158"/>
      <c r="AG782" s="105"/>
      <c r="AH782" s="158"/>
      <c r="AI782" s="88"/>
      <c r="AJ782" s="88"/>
      <c r="AK782" s="131"/>
      <c r="AL782" s="131"/>
      <c r="AM782" s="131"/>
      <c r="AN782" s="131"/>
      <c r="AO782" s="131"/>
      <c r="AP782" s="88"/>
    </row>
    <row r="783">
      <c r="A783" s="155"/>
      <c r="B783" s="173"/>
      <c r="C783" s="174"/>
      <c r="D783" s="173"/>
      <c r="E783" s="155"/>
      <c r="F783" s="155"/>
      <c r="G783" s="88"/>
      <c r="H783" s="255"/>
      <c r="I783" s="155"/>
      <c r="J783" s="155"/>
      <c r="K783" s="15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58"/>
      <c r="AA783" s="105"/>
      <c r="AB783" s="105"/>
      <c r="AC783" s="105"/>
      <c r="AD783" s="105"/>
      <c r="AE783" s="105"/>
      <c r="AF783" s="158"/>
      <c r="AG783" s="105"/>
      <c r="AH783" s="158"/>
      <c r="AI783" s="88"/>
      <c r="AJ783" s="88"/>
      <c r="AK783" s="131"/>
      <c r="AL783" s="131"/>
      <c r="AM783" s="131"/>
      <c r="AN783" s="131"/>
      <c r="AO783" s="131"/>
      <c r="AP783" s="88"/>
    </row>
    <row r="784">
      <c r="A784" s="155"/>
      <c r="B784" s="173"/>
      <c r="C784" s="174"/>
      <c r="D784" s="173"/>
      <c r="E784" s="155"/>
      <c r="F784" s="155"/>
      <c r="G784" s="88"/>
      <c r="H784" s="255"/>
      <c r="I784" s="155"/>
      <c r="J784" s="155"/>
      <c r="K784" s="15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58"/>
      <c r="AA784" s="105"/>
      <c r="AB784" s="105"/>
      <c r="AC784" s="105"/>
      <c r="AD784" s="105"/>
      <c r="AE784" s="105"/>
      <c r="AF784" s="158"/>
      <c r="AG784" s="105"/>
      <c r="AH784" s="158"/>
      <c r="AI784" s="88"/>
      <c r="AJ784" s="88"/>
      <c r="AK784" s="131"/>
      <c r="AL784" s="131"/>
      <c r="AM784" s="131"/>
      <c r="AN784" s="131"/>
      <c r="AO784" s="131"/>
      <c r="AP784" s="88"/>
    </row>
    <row r="785">
      <c r="A785" s="155"/>
      <c r="B785" s="173"/>
      <c r="C785" s="174"/>
      <c r="D785" s="173"/>
      <c r="E785" s="155"/>
      <c r="F785" s="155"/>
      <c r="G785" s="88"/>
      <c r="H785" s="255"/>
      <c r="I785" s="155"/>
      <c r="J785" s="155"/>
      <c r="K785" s="15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58"/>
      <c r="AA785" s="105"/>
      <c r="AB785" s="105"/>
      <c r="AC785" s="105"/>
      <c r="AD785" s="105"/>
      <c r="AE785" s="105"/>
      <c r="AF785" s="158"/>
      <c r="AG785" s="105"/>
      <c r="AH785" s="158"/>
      <c r="AI785" s="88"/>
      <c r="AJ785" s="88"/>
      <c r="AK785" s="131"/>
      <c r="AL785" s="131"/>
      <c r="AM785" s="131"/>
      <c r="AN785" s="131"/>
      <c r="AO785" s="131"/>
      <c r="AP785" s="88"/>
    </row>
    <row r="786">
      <c r="A786" s="155"/>
      <c r="B786" s="173"/>
      <c r="C786" s="174"/>
      <c r="D786" s="173"/>
      <c r="E786" s="155"/>
      <c r="F786" s="155"/>
      <c r="G786" s="88"/>
      <c r="H786" s="255"/>
      <c r="I786" s="155"/>
      <c r="J786" s="155"/>
      <c r="K786" s="15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58"/>
      <c r="AA786" s="105"/>
      <c r="AB786" s="105"/>
      <c r="AC786" s="105"/>
      <c r="AD786" s="105"/>
      <c r="AE786" s="105"/>
      <c r="AF786" s="158"/>
      <c r="AG786" s="105"/>
      <c r="AH786" s="158"/>
      <c r="AI786" s="88"/>
      <c r="AJ786" s="88"/>
      <c r="AK786" s="131"/>
      <c r="AL786" s="131"/>
      <c r="AM786" s="131"/>
      <c r="AN786" s="131"/>
      <c r="AO786" s="131"/>
      <c r="AP786" s="88"/>
    </row>
    <row r="787">
      <c r="A787" s="155"/>
      <c r="B787" s="173"/>
      <c r="C787" s="174"/>
      <c r="D787" s="173"/>
      <c r="E787" s="155"/>
      <c r="F787" s="155"/>
      <c r="G787" s="88"/>
      <c r="H787" s="255"/>
      <c r="I787" s="155"/>
      <c r="J787" s="155"/>
      <c r="K787" s="15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58"/>
      <c r="AA787" s="105"/>
      <c r="AB787" s="105"/>
      <c r="AC787" s="105"/>
      <c r="AD787" s="105"/>
      <c r="AE787" s="105"/>
      <c r="AF787" s="158"/>
      <c r="AG787" s="105"/>
      <c r="AH787" s="158"/>
      <c r="AI787" s="88"/>
      <c r="AJ787" s="88"/>
      <c r="AK787" s="131"/>
      <c r="AL787" s="131"/>
      <c r="AM787" s="131"/>
      <c r="AN787" s="131"/>
      <c r="AO787" s="131"/>
      <c r="AP787" s="88"/>
    </row>
    <row r="788">
      <c r="A788" s="155"/>
      <c r="B788" s="173"/>
      <c r="C788" s="174"/>
      <c r="D788" s="173"/>
      <c r="E788" s="155"/>
      <c r="F788" s="155"/>
      <c r="G788" s="88"/>
      <c r="H788" s="255"/>
      <c r="I788" s="155"/>
      <c r="J788" s="155"/>
      <c r="K788" s="15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58"/>
      <c r="AA788" s="105"/>
      <c r="AB788" s="105"/>
      <c r="AC788" s="105"/>
      <c r="AD788" s="105"/>
      <c r="AE788" s="105"/>
      <c r="AF788" s="158"/>
      <c r="AG788" s="105"/>
      <c r="AH788" s="158"/>
      <c r="AI788" s="88"/>
      <c r="AJ788" s="88"/>
      <c r="AK788" s="131"/>
      <c r="AL788" s="131"/>
      <c r="AM788" s="131"/>
      <c r="AN788" s="131"/>
      <c r="AO788" s="131"/>
      <c r="AP788" s="88"/>
    </row>
  </sheetData>
  <mergeCells count="12">
    <mergeCell ref="D1:D2"/>
    <mergeCell ref="B3:D3"/>
    <mergeCell ref="E3:G3"/>
    <mergeCell ref="B4:D4"/>
    <mergeCell ref="E4:G4"/>
    <mergeCell ref="F1:F2"/>
    <mergeCell ref="G1:G2"/>
    <mergeCell ref="H1:K1"/>
    <mergeCell ref="L1:O1"/>
    <mergeCell ref="P1:R1"/>
    <mergeCell ref="T1:Z1"/>
    <mergeCell ref="AA1:AH1"/>
  </mergeCells>
  <hyperlinks>
    <hyperlink r:id="rId1" ref="A1"/>
    <hyperlink r:id="rId2" ref="B77"/>
    <hyperlink r:id="rId3" ref="B138"/>
  </hyperlinks>
  <drawing r:id="rId4"/>
  <tableParts count="32"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4.0" topLeftCell="H5" activePane="bottomRight" state="frozen"/>
      <selection activeCell="H1" sqref="H1" pane="topRight"/>
      <selection activeCell="A5" sqref="A5" pane="bottomLeft"/>
      <selection activeCell="H5" sqref="H5" pane="bottomRight"/>
    </sheetView>
  </sheetViews>
  <sheetFormatPr customHeight="1" defaultColWidth="12.63" defaultRowHeight="15.75"/>
  <cols>
    <col customWidth="1" min="1" max="1" width="5.63"/>
    <col customWidth="1" min="2" max="2" width="23.0"/>
    <col customWidth="1" min="3" max="3" width="32.13"/>
    <col customWidth="1" min="4" max="5" width="13.88"/>
    <col customWidth="1" min="6" max="6" width="8.88"/>
    <col customWidth="1" min="7" max="7" width="9.38"/>
    <col customWidth="1" min="8" max="11" width="9.75"/>
    <col customWidth="1" min="12" max="34" width="12.63"/>
    <col customWidth="1" min="35" max="36" width="15.13"/>
  </cols>
  <sheetData>
    <row r="1">
      <c r="A1" s="183" t="s">
        <v>3705</v>
      </c>
      <c r="B1" s="262" t="s">
        <v>2409</v>
      </c>
      <c r="C1" s="262" t="s">
        <v>2410</v>
      </c>
      <c r="D1" s="263" t="s">
        <v>2411</v>
      </c>
      <c r="E1" s="264" t="s">
        <v>2412</v>
      </c>
      <c r="F1" s="265" t="s">
        <v>2413</v>
      </c>
      <c r="G1" s="263" t="s">
        <v>2414</v>
      </c>
      <c r="H1" s="77" t="s">
        <v>2415</v>
      </c>
      <c r="I1" s="78"/>
      <c r="J1" s="78"/>
      <c r="K1" s="79"/>
      <c r="L1" s="80" t="s">
        <v>2416</v>
      </c>
      <c r="M1" s="78"/>
      <c r="N1" s="78"/>
      <c r="O1" s="79"/>
      <c r="P1" s="81" t="str">
        <f>'UG-CSE'!P1</f>
        <v>Softskill Sx</v>
      </c>
      <c r="Q1" s="78"/>
      <c r="R1" s="79"/>
      <c r="S1" s="82"/>
      <c r="T1" s="83" t="str">
        <f>'UG-CSE'!T1</f>
        <v>Core Cx</v>
      </c>
      <c r="U1" s="78"/>
      <c r="V1" s="78"/>
      <c r="W1" s="78"/>
      <c r="X1" s="78"/>
      <c r="Y1" s="78"/>
      <c r="Z1" s="79"/>
      <c r="AA1" s="84" t="str">
        <f>'UG-CSE'!AA1</f>
        <v>Programming Px</v>
      </c>
      <c r="AB1" s="78"/>
      <c r="AC1" s="78"/>
      <c r="AD1" s="78"/>
      <c r="AE1" s="78"/>
      <c r="AF1" s="78"/>
      <c r="AG1" s="78"/>
      <c r="AH1" s="79"/>
      <c r="AI1" s="75"/>
      <c r="AJ1" s="85"/>
      <c r="AK1" s="86" t="s">
        <v>2420</v>
      </c>
      <c r="AL1" s="86" t="s">
        <v>2421</v>
      </c>
      <c r="AM1" s="86" t="s">
        <v>2422</v>
      </c>
      <c r="AN1" s="86" t="s">
        <v>2423</v>
      </c>
      <c r="AO1" s="87" t="s">
        <v>2424</v>
      </c>
      <c r="AP1" s="186"/>
    </row>
    <row r="2" ht="42.0" customHeight="1">
      <c r="A2" s="187"/>
      <c r="B2" s="262" t="s">
        <v>2425</v>
      </c>
      <c r="C2" s="262" t="s">
        <v>2426</v>
      </c>
      <c r="D2" s="89"/>
      <c r="E2" s="264" t="s">
        <v>2427</v>
      </c>
      <c r="F2" s="89"/>
      <c r="G2" s="89"/>
      <c r="H2" s="189" t="s">
        <v>2428</v>
      </c>
      <c r="I2" s="189" t="s">
        <v>2429</v>
      </c>
      <c r="J2" s="189" t="s">
        <v>2430</v>
      </c>
      <c r="K2" s="189" t="s">
        <v>2431</v>
      </c>
      <c r="L2" s="190" t="s">
        <v>2432</v>
      </c>
      <c r="M2" s="190" t="s">
        <v>2433</v>
      </c>
      <c r="N2" s="190" t="s">
        <v>2434</v>
      </c>
      <c r="O2" s="190" t="s">
        <v>2435</v>
      </c>
      <c r="P2" s="191" t="str">
        <f>'UG-CSE'!P2</f>
        <v>S1</v>
      </c>
      <c r="Q2" s="191" t="str">
        <f>'UG-CSE'!Q2</f>
        <v>S2</v>
      </c>
      <c r="R2" s="191" t="str">
        <f>'UG-CSE'!R2</f>
        <v>S3</v>
      </c>
      <c r="S2" s="191" t="s">
        <v>2439</v>
      </c>
      <c r="T2" s="192" t="str">
        <f>'UG-CSE'!T2</f>
        <v>C2 Odd</v>
      </c>
      <c r="U2" s="192" t="str">
        <f>'UG-CSE'!U2</f>
        <v>C2 Full</v>
      </c>
      <c r="V2" s="192" t="str">
        <f>'UG-CSE'!V2</f>
        <v>C3 Odd</v>
      </c>
      <c r="W2" s="192" t="str">
        <f>'UG-CSE'!W2</f>
        <v>C3 Full</v>
      </c>
      <c r="X2" s="192" t="str">
        <f>'UG-CSE'!X2</f>
        <v>C4 Odd</v>
      </c>
      <c r="Y2" s="192" t="str">
        <f>'UG-CSE'!Y2</f>
        <v>C4 Full</v>
      </c>
      <c r="Z2" s="192" t="str">
        <f>'UG-CSE'!Z2</f>
        <v>C5 Full</v>
      </c>
      <c r="AA2" s="94" t="str">
        <f>'UG-CSE'!AA2</f>
        <v>P1-C</v>
      </c>
      <c r="AB2" s="94" t="str">
        <f>'UG-CSE'!AB2</f>
        <v>P2-Python</v>
      </c>
      <c r="AC2" s="94" t="str">
        <f>'UG-CSE'!AC2</f>
        <v>P3-Python</v>
      </c>
      <c r="AD2" s="94" t="str">
        <f>'UG-CSE'!AD2</f>
        <v>P3-Java </v>
      </c>
      <c r="AE2" s="94" t="str">
        <f>'UG-CSE'!AE2</f>
        <v>P4-Programming part 1</v>
      </c>
      <c r="AF2" s="94" t="str">
        <f>'UG-CSE'!AF2</f>
        <v>P4-Programming part 2</v>
      </c>
      <c r="AG2" s="94" t="str">
        <f>'UG-CSE'!AG2</f>
        <v>P4-MAD/FSD</v>
      </c>
      <c r="AH2" s="193" t="str">
        <f>'UG-CSE'!AH2</f>
        <v>P4-DS</v>
      </c>
      <c r="AI2" s="94" t="s">
        <v>2455</v>
      </c>
      <c r="AJ2" s="95" t="s">
        <v>2456</v>
      </c>
      <c r="AK2" s="96" t="s">
        <v>2457</v>
      </c>
      <c r="AL2" s="96" t="s">
        <v>2457</v>
      </c>
      <c r="AM2" s="96" t="s">
        <v>2457</v>
      </c>
      <c r="AN2" s="96" t="s">
        <v>2457</v>
      </c>
      <c r="AO2" s="96" t="s">
        <v>2457</v>
      </c>
      <c r="AP2" s="88"/>
    </row>
    <row r="3">
      <c r="A3" s="194"/>
      <c r="B3" s="266" t="s">
        <v>2458</v>
      </c>
      <c r="C3" s="267"/>
      <c r="D3" s="268"/>
      <c r="E3" s="269"/>
      <c r="F3" s="270"/>
      <c r="G3" s="271"/>
      <c r="H3" s="272">
        <v>100.0</v>
      </c>
      <c r="I3" s="272">
        <v>100.0</v>
      </c>
      <c r="J3" s="272">
        <v>100.0</v>
      </c>
      <c r="K3" s="272">
        <v>100.0</v>
      </c>
      <c r="L3" s="272">
        <v>100.0</v>
      </c>
      <c r="M3" s="272">
        <v>100.0</v>
      </c>
      <c r="N3" s="272">
        <v>100.0</v>
      </c>
      <c r="O3" s="272">
        <v>100.0</v>
      </c>
      <c r="P3" s="272">
        <v>100.0</v>
      </c>
      <c r="Q3" s="272">
        <v>100.0</v>
      </c>
      <c r="R3" s="272">
        <v>100.0</v>
      </c>
      <c r="S3" s="272">
        <v>100.0</v>
      </c>
      <c r="T3" s="102">
        <v>25.0</v>
      </c>
      <c r="U3" s="102">
        <v>25.0</v>
      </c>
      <c r="V3" s="273">
        <v>100.0</v>
      </c>
      <c r="W3" s="272">
        <v>100.0</v>
      </c>
      <c r="X3" s="272">
        <v>100.0</v>
      </c>
      <c r="Y3" s="272">
        <v>100.0</v>
      </c>
      <c r="Z3" s="272">
        <v>100.0</v>
      </c>
      <c r="AA3" s="272">
        <v>100.0</v>
      </c>
      <c r="AB3" s="272">
        <v>100.0</v>
      </c>
      <c r="AC3" s="102">
        <v>100.0</v>
      </c>
      <c r="AD3" s="102">
        <v>100.0</v>
      </c>
      <c r="AE3" s="102">
        <v>100.0</v>
      </c>
      <c r="AF3" s="102">
        <v>100.0</v>
      </c>
      <c r="AG3" s="102">
        <v>100.0</v>
      </c>
      <c r="AH3" s="274">
        <v>100.0</v>
      </c>
      <c r="AI3" s="131"/>
      <c r="AJ3" s="131"/>
      <c r="AK3" s="275"/>
      <c r="AL3" s="275"/>
      <c r="AM3" s="275"/>
      <c r="AN3" s="275"/>
      <c r="AO3" s="275"/>
      <c r="AP3" s="88"/>
    </row>
    <row r="4">
      <c r="A4" s="276"/>
      <c r="B4" s="277" t="s">
        <v>2459</v>
      </c>
      <c r="C4" s="78"/>
      <c r="D4" s="79"/>
      <c r="E4" s="278"/>
      <c r="F4" s="78"/>
      <c r="G4" s="79"/>
      <c r="H4" s="100">
        <v>65.0</v>
      </c>
      <c r="I4" s="100">
        <v>65.0</v>
      </c>
      <c r="J4" s="100">
        <v>70.0</v>
      </c>
      <c r="K4" s="100">
        <v>70.0</v>
      </c>
      <c r="L4" s="107">
        <v>50.0</v>
      </c>
      <c r="M4" s="107">
        <v>50.0</v>
      </c>
      <c r="N4" s="107">
        <v>50.0</v>
      </c>
      <c r="O4" s="279">
        <v>65.0</v>
      </c>
      <c r="P4" s="107">
        <v>50.0</v>
      </c>
      <c r="Q4" s="107">
        <v>50.0</v>
      </c>
      <c r="R4" s="107">
        <v>50.0</v>
      </c>
      <c r="S4" s="109">
        <v>50.0</v>
      </c>
      <c r="T4" s="280">
        <v>10.0</v>
      </c>
      <c r="U4" s="280">
        <v>10.0</v>
      </c>
      <c r="V4" s="281">
        <v>50.0</v>
      </c>
      <c r="W4" s="108">
        <v>50.0</v>
      </c>
      <c r="X4" s="107">
        <v>50.0</v>
      </c>
      <c r="Y4" s="107">
        <v>50.0</v>
      </c>
      <c r="Z4" s="111">
        <v>50.0</v>
      </c>
      <c r="AA4" s="107">
        <v>50.0</v>
      </c>
      <c r="AB4" s="107">
        <v>50.0</v>
      </c>
      <c r="AC4" s="282">
        <v>60.0</v>
      </c>
      <c r="AD4" s="282">
        <v>60.0</v>
      </c>
      <c r="AE4" s="280">
        <v>70.0</v>
      </c>
      <c r="AF4" s="280">
        <v>70.0</v>
      </c>
      <c r="AG4" s="280">
        <v>70.0</v>
      </c>
      <c r="AH4" s="283">
        <v>70.0</v>
      </c>
      <c r="AI4" s="131"/>
      <c r="AJ4" s="131"/>
      <c r="AK4" s="275"/>
      <c r="AL4" s="275"/>
      <c r="AM4" s="275"/>
      <c r="AN4" s="275"/>
      <c r="AO4" s="275"/>
      <c r="AP4" s="88"/>
    </row>
    <row r="5">
      <c r="A5" s="284">
        <v>1.0</v>
      </c>
      <c r="B5" s="285" t="s">
        <v>1754</v>
      </c>
      <c r="C5" s="285" t="s">
        <v>3714</v>
      </c>
      <c r="D5" s="286" t="str">
        <f>VLOOKUP(B5,USN!$1:$1088,2,False)</f>
        <v>1CR23AD001</v>
      </c>
      <c r="E5" s="285">
        <v>9.902211991E9</v>
      </c>
      <c r="F5" s="287" t="s">
        <v>3715</v>
      </c>
      <c r="G5" s="288"/>
      <c r="H5" s="289">
        <v>81.0</v>
      </c>
      <c r="I5" s="120">
        <v>91.0</v>
      </c>
      <c r="J5" s="120">
        <f>VLOOKUP(D5,'L3'!$1:$2060,2,False)</f>
        <v>70</v>
      </c>
      <c r="K5" s="120">
        <f>VLOOKUP(D5,'L4'!$1:$2059,2,False)</f>
        <v>70</v>
      </c>
      <c r="L5" s="121">
        <f>VLOOKUP(D5,'A1 RETEST 5 DEC'!$1:$2096,2,False)</f>
        <v>50</v>
      </c>
      <c r="M5" s="122">
        <f>VLOOKUP(D5,'A2 RETEST 4 DEC'!$1:$2096,2,False)</f>
        <v>50</v>
      </c>
      <c r="N5" s="122">
        <v>55.0</v>
      </c>
      <c r="O5" s="121"/>
      <c r="P5" s="123">
        <f>IFNA(VLOOKUP(D5,'S1'!$1:$1500,2,False),0)</f>
        <v>81</v>
      </c>
      <c r="Q5" s="123">
        <f>vlookup(D5,'S2'!A1:B1203,2,0)</f>
        <v>50</v>
      </c>
      <c r="R5" s="123">
        <f>ifna(vlookup(D5,'S3'!$1:$1311,2,False),0)</f>
        <v>80</v>
      </c>
      <c r="S5" s="123"/>
      <c r="T5" s="125">
        <v>13.0</v>
      </c>
      <c r="U5" s="125">
        <v>25.0</v>
      </c>
      <c r="V5" s="125">
        <v>92.0</v>
      </c>
      <c r="W5" s="290">
        <v>80.0</v>
      </c>
      <c r="X5" s="291">
        <v>80.0</v>
      </c>
      <c r="Y5" s="125"/>
      <c r="Z5" s="292"/>
      <c r="AA5" s="293">
        <v>8.0</v>
      </c>
      <c r="AB5" s="294">
        <v>69.0</v>
      </c>
      <c r="AC5" s="295">
        <v>80.0</v>
      </c>
      <c r="AD5" s="296">
        <v>0.0</v>
      </c>
      <c r="AE5" s="297">
        <v>79.0</v>
      </c>
      <c r="AF5" s="298"/>
      <c r="AG5" s="298">
        <v>78.0</v>
      </c>
      <c r="AH5" s="298"/>
      <c r="AI5" s="299"/>
      <c r="AJ5" s="299"/>
      <c r="AK5" s="300">
        <f t="shared" ref="AK5:AK159" si="1">IF(H5&gt;=$H$4, 
    IF(I5&gt;=$I$4, 
        IF(J5&gt;=$J$4, 
            IF(K5&gt;=$K$4, 4, 3), 
            2), 
        1), 
    0)
</f>
        <v>4</v>
      </c>
      <c r="AL5" s="300">
        <f t="shared" ref="AL5:AL159" si="2">IF(L5&gt;=$L$4, 
    IF(M5&gt;=$M$4, 
        IF(N5&gt;=$N$4, 
            IF(O5&gt;=$O$4, 4, 3), 
            2), 
        1), 
    0)
</f>
        <v>3</v>
      </c>
      <c r="AM5" s="301">
        <f t="shared" ref="AM5:AM159" si="3">IF(AND(U5&gt;=$U$4, W5&gt;=$W$4, Y5&gt;=$Y$4, Z5&lt;&gt;"", Z5&gt;=$Z$4), 5,
 IF(AND(U5&gt;=$U$4, W5&gt;=$W$4, Y5&gt;=$Y$4), 4,
  IF(AND(U5&gt;=$U$4, W5&gt;=$W$4), 3,
   IF(AND(T5&gt;=$T$4, U5&gt;=$U$4), 2,
    0
   )
  )
 )
)
</f>
        <v>3</v>
      </c>
      <c r="AN5" s="300" t="str">
        <f t="shared" ref="AN5:AN159" si="4">IF(AB5&gt;=$AB$4, 
    IF(OR(AC5&gt;=$AC$4, AD5&gt;=$AD$4), 
        IF(AND(AE5&gt;=$AE$4, AF5&gt;=$AF$4, OR(AG5&gt;=$AG$4, AH5&gt;=$AH$4)), "4", 
            IF(OR(AE5&gt;=$AE$4, AF5&gt;=$AF$4), "3.5", 
                "3")), 
        "2"), 
    "0")</f>
        <v>3.5</v>
      </c>
      <c r="AO5" s="300">
        <f t="shared" ref="AO5:AO159" si="5">IF(P5&gt;=$P$4, 
    IF(Q5&gt;=$Q$4, 
        IF(R5&gt;=$R$4, 
            IF(S5&gt;=$S$4, 4, 3), 
            2), 
        1), 
    0)
</f>
        <v>3</v>
      </c>
      <c r="AP5" s="88"/>
    </row>
    <row r="6">
      <c r="A6" s="284">
        <v>2.0</v>
      </c>
      <c r="B6" s="285" t="s">
        <v>1802</v>
      </c>
      <c r="C6" s="285" t="s">
        <v>2724</v>
      </c>
      <c r="D6" s="286" t="str">
        <f>VLOOKUP(B6,USN!$1:$1088,2,False)</f>
        <v>1CR23AD002</v>
      </c>
      <c r="E6" s="285">
        <v>9.65191038E9</v>
      </c>
      <c r="F6" s="287" t="s">
        <v>3715</v>
      </c>
      <c r="G6" s="288"/>
      <c r="H6" s="289">
        <v>79.0</v>
      </c>
      <c r="I6" s="120">
        <v>92.0</v>
      </c>
      <c r="J6" s="120">
        <f>VLOOKUP(D6,'L3'!$1:$2060,2,False)</f>
        <v>81</v>
      </c>
      <c r="K6" s="120">
        <f>VLOOKUP(D6,'L4'!$1:$2059,2,False)</f>
        <v>70</v>
      </c>
      <c r="L6" s="121">
        <f>VLOOKUP(D6,'A1 RETEST 5 DEC'!$1:$2096,2,False)</f>
        <v>59</v>
      </c>
      <c r="M6" s="122">
        <f>VLOOKUP(D6,'A2 RETEST 4 DEC'!$1:$2096,2,False)</f>
        <v>45</v>
      </c>
      <c r="N6" s="122">
        <v>55.0</v>
      </c>
      <c r="O6" s="121"/>
      <c r="P6" s="123">
        <f>IFNA(VLOOKUP(D6,'S1'!$1:$1500,2,False),0)</f>
        <v>85</v>
      </c>
      <c r="Q6" s="123">
        <f>vlookup(D6,'S2'!A2:B1204,2,0)</f>
        <v>60</v>
      </c>
      <c r="R6" s="123">
        <f>ifna(vlookup(D6,'S3'!$1:$1311,2,False),0)</f>
        <v>93</v>
      </c>
      <c r="S6" s="123"/>
      <c r="T6" s="125">
        <v>13.0</v>
      </c>
      <c r="U6" s="125">
        <v>22.0</v>
      </c>
      <c r="V6" s="125">
        <v>92.0</v>
      </c>
      <c r="W6" s="290">
        <v>74.0</v>
      </c>
      <c r="X6" s="291">
        <v>82.0</v>
      </c>
      <c r="Y6" s="125"/>
      <c r="Z6" s="292"/>
      <c r="AA6" s="293">
        <v>80.0</v>
      </c>
      <c r="AB6" s="294">
        <v>75.0</v>
      </c>
      <c r="AC6" s="295">
        <v>69.0</v>
      </c>
      <c r="AD6" s="296">
        <v>26.0</v>
      </c>
      <c r="AE6" s="295">
        <v>80.0</v>
      </c>
      <c r="AF6" s="298"/>
      <c r="AG6" s="298">
        <v>81.0</v>
      </c>
      <c r="AH6" s="298"/>
      <c r="AI6" s="299"/>
      <c r="AJ6" s="299"/>
      <c r="AK6" s="300">
        <f t="shared" si="1"/>
        <v>4</v>
      </c>
      <c r="AL6" s="300">
        <f t="shared" si="2"/>
        <v>1</v>
      </c>
      <c r="AM6" s="301">
        <f t="shared" si="3"/>
        <v>3</v>
      </c>
      <c r="AN6" s="300" t="str">
        <f t="shared" si="4"/>
        <v>3.5</v>
      </c>
      <c r="AO6" s="300">
        <f t="shared" si="5"/>
        <v>3</v>
      </c>
      <c r="AP6" s="88"/>
    </row>
    <row r="7">
      <c r="A7" s="284">
        <v>3.0</v>
      </c>
      <c r="B7" s="285" t="s">
        <v>1816</v>
      </c>
      <c r="C7" s="285" t="s">
        <v>2725</v>
      </c>
      <c r="D7" s="286" t="str">
        <f>VLOOKUP(B7,USN!$1:$1088,2,False)</f>
        <v>1CR23AD003</v>
      </c>
      <c r="E7" s="285">
        <v>8.310366069E9</v>
      </c>
      <c r="F7" s="287" t="s">
        <v>3715</v>
      </c>
      <c r="G7" s="288"/>
      <c r="H7" s="289">
        <v>72.0</v>
      </c>
      <c r="I7" s="120">
        <v>83.0</v>
      </c>
      <c r="J7" s="120">
        <f>VLOOKUP(D7,'L3'!$1:$2060,2,False)</f>
        <v>70</v>
      </c>
      <c r="K7" s="120">
        <f>VLOOKUP(D7,'L4'!$1:$2059,2,False)</f>
        <v>70</v>
      </c>
      <c r="L7" s="121">
        <f>VLOOKUP(D7,'A1 RETEST 5 DEC'!$1:$2096,2,False)</f>
        <v>50</v>
      </c>
      <c r="M7" s="122">
        <f>VLOOKUP(D7,'A2 RETEST 4 DEC'!$1:$2096,2,False)</f>
        <v>22</v>
      </c>
      <c r="N7" s="122">
        <v>54.0</v>
      </c>
      <c r="O7" s="121"/>
      <c r="P7" s="123">
        <f>IFNA(VLOOKUP(D7,'S1'!$1:$1500,2,False),0)</f>
        <v>82</v>
      </c>
      <c r="Q7" s="123">
        <f>vlookup(D7,'S2'!A3:B1205,2,0)</f>
        <v>50</v>
      </c>
      <c r="R7" s="123">
        <f>ifna(vlookup(D7,'S3'!$1:$1311,2,False),0)</f>
        <v>50</v>
      </c>
      <c r="S7" s="123"/>
      <c r="T7" s="125">
        <v>11.0</v>
      </c>
      <c r="U7" s="125">
        <v>23.0</v>
      </c>
      <c r="V7" s="125">
        <v>92.0</v>
      </c>
      <c r="W7" s="290">
        <v>86.0</v>
      </c>
      <c r="X7" s="291">
        <v>78.0</v>
      </c>
      <c r="Y7" s="125"/>
      <c r="Z7" s="292"/>
      <c r="AA7" s="293">
        <v>26.0</v>
      </c>
      <c r="AB7" s="294">
        <v>58.0</v>
      </c>
      <c r="AC7" s="295">
        <v>0.0</v>
      </c>
      <c r="AD7" s="302">
        <v>60.0</v>
      </c>
      <c r="AE7" s="297">
        <v>70.0</v>
      </c>
      <c r="AF7" s="298"/>
      <c r="AG7" s="298">
        <v>82.0</v>
      </c>
      <c r="AH7" s="298"/>
      <c r="AI7" s="299"/>
      <c r="AJ7" s="299"/>
      <c r="AK7" s="300">
        <f t="shared" si="1"/>
        <v>4</v>
      </c>
      <c r="AL7" s="300">
        <f t="shared" si="2"/>
        <v>1</v>
      </c>
      <c r="AM7" s="301">
        <f t="shared" si="3"/>
        <v>3</v>
      </c>
      <c r="AN7" s="300" t="str">
        <f t="shared" si="4"/>
        <v>3.5</v>
      </c>
      <c r="AO7" s="300">
        <f t="shared" si="5"/>
        <v>3</v>
      </c>
      <c r="AP7" s="88"/>
    </row>
    <row r="8">
      <c r="A8" s="284">
        <v>4.0</v>
      </c>
      <c r="B8" s="285" t="s">
        <v>1755</v>
      </c>
      <c r="C8" s="285" t="s">
        <v>2726</v>
      </c>
      <c r="D8" s="286" t="str">
        <f>VLOOKUP(B8,USN!$1:$1088,2,False)</f>
        <v>1CR23AD004</v>
      </c>
      <c r="E8" s="285">
        <v>6.200107266E9</v>
      </c>
      <c r="F8" s="287" t="s">
        <v>3715</v>
      </c>
      <c r="G8" s="288"/>
      <c r="H8" s="289">
        <v>71.0</v>
      </c>
      <c r="I8" s="120">
        <v>80.0</v>
      </c>
      <c r="J8" s="120">
        <f>VLOOKUP(D8,'L3'!$1:$2060,2,False)</f>
        <v>53</v>
      </c>
      <c r="K8" s="120">
        <f>VLOOKUP(D8,'L4'!$1:$2059,2,False)</f>
        <v>70</v>
      </c>
      <c r="L8" s="121">
        <f>VLOOKUP(D8,'A1 RETEST 5 DEC'!$1:$2096,2,False)</f>
        <v>50</v>
      </c>
      <c r="M8" s="122">
        <f>VLOOKUP(D8,'A2 RETEST 4 DEC'!$1:$2096,2,False)</f>
        <v>50</v>
      </c>
      <c r="N8" s="122">
        <v>65.0</v>
      </c>
      <c r="O8" s="121"/>
      <c r="P8" s="123">
        <f>IFNA(VLOOKUP(D8,'S1'!$1:$1500,2,False),0)</f>
        <v>83</v>
      </c>
      <c r="Q8" s="123">
        <f>vlookup(D8,'S2'!A4:B1206,2,0)</f>
        <v>50</v>
      </c>
      <c r="R8" s="123">
        <f>ifna(vlookup(D8,'S3'!$1:$1311,2,False),0)</f>
        <v>50</v>
      </c>
      <c r="S8" s="123"/>
      <c r="T8" s="125">
        <v>20.0</v>
      </c>
      <c r="U8" s="125">
        <v>19.0</v>
      </c>
      <c r="V8" s="125" t="s">
        <v>3716</v>
      </c>
      <c r="W8" s="290">
        <v>80.0</v>
      </c>
      <c r="X8" s="291">
        <v>86.0</v>
      </c>
      <c r="Y8" s="125"/>
      <c r="Z8" s="292"/>
      <c r="AA8" s="293">
        <v>72.0</v>
      </c>
      <c r="AB8" s="294">
        <v>60.0</v>
      </c>
      <c r="AC8" s="295">
        <v>66.0</v>
      </c>
      <c r="AD8" s="302">
        <v>90.0</v>
      </c>
      <c r="AE8" s="297">
        <v>94.0</v>
      </c>
      <c r="AF8" s="298"/>
      <c r="AG8" s="298">
        <v>72.0</v>
      </c>
      <c r="AH8" s="298"/>
      <c r="AI8" s="299"/>
      <c r="AJ8" s="299"/>
      <c r="AK8" s="300">
        <f t="shared" si="1"/>
        <v>2</v>
      </c>
      <c r="AL8" s="300">
        <f t="shared" si="2"/>
        <v>3</v>
      </c>
      <c r="AM8" s="301">
        <f t="shared" si="3"/>
        <v>3</v>
      </c>
      <c r="AN8" s="300" t="str">
        <f t="shared" si="4"/>
        <v>3.5</v>
      </c>
      <c r="AO8" s="300">
        <f t="shared" si="5"/>
        <v>3</v>
      </c>
      <c r="AP8" s="88"/>
    </row>
    <row r="9">
      <c r="A9" s="284">
        <v>5.0</v>
      </c>
      <c r="B9" s="285" t="s">
        <v>1756</v>
      </c>
      <c r="C9" s="285" t="s">
        <v>2727</v>
      </c>
      <c r="D9" s="286" t="str">
        <f>VLOOKUP(B9,USN!$1:$1088,2,False)</f>
        <v>1CR23AD005</v>
      </c>
      <c r="E9" s="285">
        <v>9.868657401E9</v>
      </c>
      <c r="F9" s="287" t="s">
        <v>3715</v>
      </c>
      <c r="G9" s="288"/>
      <c r="H9" s="289">
        <v>79.0</v>
      </c>
      <c r="I9" s="120">
        <v>94.0</v>
      </c>
      <c r="J9" s="120">
        <f>VLOOKUP(D9,'L3'!$1:$2060,2,False)</f>
        <v>70</v>
      </c>
      <c r="K9" s="120">
        <f>VLOOKUP(D9,'L4'!$1:$2059,2,False)</f>
        <v>70</v>
      </c>
      <c r="L9" s="121">
        <f>VLOOKUP(D9,'A1 RETEST 5 DEC'!$1:$2096,2,False)</f>
        <v>54</v>
      </c>
      <c r="M9" s="122">
        <f>VLOOKUP(D9,'A2 RETEST 4 DEC'!$1:$2096,2,False)</f>
        <v>50</v>
      </c>
      <c r="N9" s="122">
        <v>53.0</v>
      </c>
      <c r="O9" s="121"/>
      <c r="P9" s="123">
        <f>IFNA(VLOOKUP(D9,'S1'!$1:$1500,2,False),0)</f>
        <v>81</v>
      </c>
      <c r="Q9" s="123">
        <f>vlookup(D9,'S2'!A5:B1207,2,0)</f>
        <v>50</v>
      </c>
      <c r="R9" s="123">
        <f>ifna(vlookup(D9,'S3'!$1:$1311,2,False),0)</f>
        <v>92</v>
      </c>
      <c r="S9" s="123"/>
      <c r="T9" s="125">
        <v>12.0</v>
      </c>
      <c r="U9" s="125">
        <v>21.0</v>
      </c>
      <c r="V9" s="125">
        <v>88.0</v>
      </c>
      <c r="W9" s="290">
        <v>64.0</v>
      </c>
      <c r="X9" s="291">
        <v>78.0</v>
      </c>
      <c r="Y9" s="125"/>
      <c r="Z9" s="292"/>
      <c r="AA9" s="293">
        <v>90.0</v>
      </c>
      <c r="AB9" s="294">
        <v>75.0</v>
      </c>
      <c r="AC9" s="295">
        <v>45.0</v>
      </c>
      <c r="AD9" s="302">
        <v>60.0</v>
      </c>
      <c r="AE9" s="297">
        <v>45.0</v>
      </c>
      <c r="AF9" s="298"/>
      <c r="AG9" s="298">
        <v>88.0</v>
      </c>
      <c r="AH9" s="298"/>
      <c r="AI9" s="299"/>
      <c r="AJ9" s="299"/>
      <c r="AK9" s="300">
        <f t="shared" si="1"/>
        <v>4</v>
      </c>
      <c r="AL9" s="300">
        <f t="shared" si="2"/>
        <v>3</v>
      </c>
      <c r="AM9" s="301">
        <f t="shared" si="3"/>
        <v>3</v>
      </c>
      <c r="AN9" s="300" t="str">
        <f t="shared" si="4"/>
        <v>3</v>
      </c>
      <c r="AO9" s="300">
        <f t="shared" si="5"/>
        <v>3</v>
      </c>
      <c r="AP9" s="88"/>
    </row>
    <row r="10">
      <c r="A10" s="284">
        <v>6.0</v>
      </c>
      <c r="B10" s="285" t="s">
        <v>1806</v>
      </c>
      <c r="C10" s="285" t="s">
        <v>2728</v>
      </c>
      <c r="D10" s="286" t="str">
        <f>VLOOKUP(B10,USN!$1:$1088,2,False)</f>
        <v>1CR23AD006</v>
      </c>
      <c r="E10" s="285">
        <v>9.840670178E9</v>
      </c>
      <c r="F10" s="287" t="s">
        <v>3715</v>
      </c>
      <c r="G10" s="288"/>
      <c r="H10" s="289">
        <v>84.0</v>
      </c>
      <c r="I10" s="120">
        <v>83.0</v>
      </c>
      <c r="J10" s="120">
        <f>VLOOKUP(D10,'L3'!$1:$2060,2,False)</f>
        <v>70</v>
      </c>
      <c r="K10" s="120">
        <f>VLOOKUP(D10,'L4'!$1:$2059,2,False)</f>
        <v>70</v>
      </c>
      <c r="L10" s="121">
        <f>VLOOKUP(D10,'A1 RETEST 5 DEC'!$1:$2096,2,False)</f>
        <v>14</v>
      </c>
      <c r="M10" s="122">
        <f>VLOOKUP(D10,'A2 RETEST 4 DEC'!$1:$2096,2,False)</f>
        <v>29</v>
      </c>
      <c r="N10" s="122">
        <v>23.0</v>
      </c>
      <c r="O10" s="121"/>
      <c r="P10" s="123">
        <f>IFNA(VLOOKUP(D10,'S1'!$1:$1500,2,False),0)</f>
        <v>90</v>
      </c>
      <c r="Q10" s="123">
        <f>vlookup(D10,'S2'!A6:B1208,2,0)</f>
        <v>0</v>
      </c>
      <c r="R10" s="123">
        <f>ifna(vlookup(D10,'S3'!$1:$1311,2,False),0)</f>
        <v>0</v>
      </c>
      <c r="S10" s="123"/>
      <c r="T10" s="125">
        <v>13.0</v>
      </c>
      <c r="U10" s="125">
        <v>23.0</v>
      </c>
      <c r="V10" s="125">
        <v>90.0</v>
      </c>
      <c r="W10" s="290">
        <v>74.0</v>
      </c>
      <c r="X10" s="291">
        <v>78.0</v>
      </c>
      <c r="Y10" s="125"/>
      <c r="Z10" s="292"/>
      <c r="AA10" s="293">
        <v>30.0</v>
      </c>
      <c r="AB10" s="294">
        <v>72.0</v>
      </c>
      <c r="AC10" s="295">
        <v>0.0</v>
      </c>
      <c r="AD10" s="296">
        <v>0.0</v>
      </c>
      <c r="AE10" s="297">
        <v>10.0</v>
      </c>
      <c r="AF10" s="298"/>
      <c r="AG10" s="298">
        <v>0.0</v>
      </c>
      <c r="AH10" s="298"/>
      <c r="AI10" s="299"/>
      <c r="AJ10" s="299"/>
      <c r="AK10" s="300">
        <f t="shared" si="1"/>
        <v>4</v>
      </c>
      <c r="AL10" s="300">
        <f t="shared" si="2"/>
        <v>0</v>
      </c>
      <c r="AM10" s="301">
        <f t="shared" si="3"/>
        <v>3</v>
      </c>
      <c r="AN10" s="300" t="str">
        <f t="shared" si="4"/>
        <v>2</v>
      </c>
      <c r="AO10" s="300">
        <f t="shared" si="5"/>
        <v>1</v>
      </c>
      <c r="AP10" s="88"/>
    </row>
    <row r="11">
      <c r="A11" s="284">
        <v>7.0</v>
      </c>
      <c r="B11" s="285" t="s">
        <v>65</v>
      </c>
      <c r="C11" s="285" t="s">
        <v>2729</v>
      </c>
      <c r="D11" s="286" t="str">
        <f>VLOOKUP(B11,USN!$1:$1088,2,False)</f>
        <v>1CR23AD007</v>
      </c>
      <c r="E11" s="285">
        <v>8.217609259E9</v>
      </c>
      <c r="F11" s="287" t="s">
        <v>3715</v>
      </c>
      <c r="G11" s="288"/>
      <c r="H11" s="120">
        <v>65.0</v>
      </c>
      <c r="I11" s="120">
        <v>69.0</v>
      </c>
      <c r="J11" s="120">
        <f>VLOOKUP(D11,'L3'!$1:$2060,2,False)</f>
        <v>48</v>
      </c>
      <c r="K11" s="120">
        <f>VLOOKUP(D11,'L4'!$1:$2059,2,False)</f>
        <v>34</v>
      </c>
      <c r="L11" s="121">
        <f>VLOOKUP(D11,'A1 RETEST 5 DEC'!$1:$2096,2,False)</f>
        <v>17</v>
      </c>
      <c r="M11" s="122">
        <f>VLOOKUP(D11,'A2 RETEST 4 DEC'!$1:$2096,2,False)</f>
        <v>50</v>
      </c>
      <c r="N11" s="122">
        <v>0.0</v>
      </c>
      <c r="O11" s="121"/>
      <c r="P11" s="123">
        <f>IFNA(VLOOKUP(D11,'S1'!$1:$1500,2,False),0)</f>
        <v>0</v>
      </c>
      <c r="Q11" s="123">
        <f>vlookup(D11,'S2'!A7:B1209,2,0)</f>
        <v>0</v>
      </c>
      <c r="R11" s="123">
        <f>ifna(vlookup(D11,'S3'!$1:$1311,2,False),0)</f>
        <v>0</v>
      </c>
      <c r="S11" s="123"/>
      <c r="T11" s="125">
        <v>21.0</v>
      </c>
      <c r="U11" s="125">
        <v>24.0</v>
      </c>
      <c r="V11" s="125">
        <v>88.0</v>
      </c>
      <c r="W11" s="290">
        <v>70.0</v>
      </c>
      <c r="X11" s="303" t="s">
        <v>3717</v>
      </c>
      <c r="Y11" s="125"/>
      <c r="Z11" s="292"/>
      <c r="AA11" s="293">
        <v>0.0</v>
      </c>
      <c r="AB11" s="294">
        <v>63.0</v>
      </c>
      <c r="AC11" s="295">
        <v>0.0</v>
      </c>
      <c r="AD11" s="296">
        <v>0.0</v>
      </c>
      <c r="AE11" s="297">
        <v>10.0</v>
      </c>
      <c r="AF11" s="298"/>
      <c r="AG11" s="298">
        <v>0.0</v>
      </c>
      <c r="AH11" s="298"/>
      <c r="AI11" s="299"/>
      <c r="AJ11" s="299"/>
      <c r="AK11" s="300">
        <f t="shared" si="1"/>
        <v>2</v>
      </c>
      <c r="AL11" s="300">
        <f t="shared" si="2"/>
        <v>0</v>
      </c>
      <c r="AM11" s="301">
        <f t="shared" si="3"/>
        <v>3</v>
      </c>
      <c r="AN11" s="300" t="str">
        <f t="shared" si="4"/>
        <v>2</v>
      </c>
      <c r="AO11" s="300">
        <f t="shared" si="5"/>
        <v>0</v>
      </c>
      <c r="AP11" s="88"/>
    </row>
    <row r="12">
      <c r="A12" s="284">
        <v>8.0</v>
      </c>
      <c r="B12" s="285" t="s">
        <v>1815</v>
      </c>
      <c r="C12" s="285" t="s">
        <v>2730</v>
      </c>
      <c r="D12" s="286" t="str">
        <f>VLOOKUP(B12,USN!$1:$1088,2,False)</f>
        <v>1CR23AD008</v>
      </c>
      <c r="E12" s="285">
        <v>7.204584223E9</v>
      </c>
      <c r="F12" s="287" t="s">
        <v>3715</v>
      </c>
      <c r="G12" s="288"/>
      <c r="H12" s="120">
        <v>70.0</v>
      </c>
      <c r="I12" s="120">
        <v>78.0</v>
      </c>
      <c r="J12" s="120">
        <f>VLOOKUP(D12,'L3'!$1:$2060,2,False)</f>
        <v>70</v>
      </c>
      <c r="K12" s="120">
        <f>VLOOKUP(D12,'L4'!$1:$2059,2,False)</f>
        <v>70</v>
      </c>
      <c r="L12" s="121">
        <f>VLOOKUP(D12,'A1 RETEST 5 DEC'!$1:$2096,2,False)</f>
        <v>36</v>
      </c>
      <c r="M12" s="122">
        <f>VLOOKUP(D12,'A2 RETEST 4 DEC'!$1:$2096,2,False)</f>
        <v>19</v>
      </c>
      <c r="N12" s="122">
        <v>73.0</v>
      </c>
      <c r="O12" s="121"/>
      <c r="P12" s="123">
        <f>IFNA(VLOOKUP(D12,'S1'!$1:$1500,2,False),0)</f>
        <v>90</v>
      </c>
      <c r="Q12" s="123">
        <f>vlookup(D12,'S2'!A8:B1210,2,0)</f>
        <v>65</v>
      </c>
      <c r="R12" s="123">
        <f>ifna(vlookup(D12,'S3'!$1:$1311,2,False),0)</f>
        <v>85</v>
      </c>
      <c r="S12" s="123"/>
      <c r="T12" s="125">
        <v>12.0</v>
      </c>
      <c r="U12" s="125">
        <v>24.0</v>
      </c>
      <c r="V12" s="125">
        <v>90.0</v>
      </c>
      <c r="W12" s="290">
        <v>84.0</v>
      </c>
      <c r="X12" s="291">
        <v>80.0</v>
      </c>
      <c r="Y12" s="125"/>
      <c r="Z12" s="292"/>
      <c r="AA12" s="293">
        <v>0.0</v>
      </c>
      <c r="AB12" s="294">
        <v>68.0</v>
      </c>
      <c r="AC12" s="295">
        <v>0.0</v>
      </c>
      <c r="AD12" s="296">
        <v>1.0</v>
      </c>
      <c r="AE12" s="297">
        <v>70.0</v>
      </c>
      <c r="AF12" s="298"/>
      <c r="AG12" s="298">
        <v>82.0</v>
      </c>
      <c r="AH12" s="298"/>
      <c r="AI12" s="299"/>
      <c r="AJ12" s="299"/>
      <c r="AK12" s="300">
        <f t="shared" si="1"/>
        <v>4</v>
      </c>
      <c r="AL12" s="300">
        <f t="shared" si="2"/>
        <v>0</v>
      </c>
      <c r="AM12" s="301">
        <f t="shared" si="3"/>
        <v>3</v>
      </c>
      <c r="AN12" s="300" t="str">
        <f t="shared" si="4"/>
        <v>2</v>
      </c>
      <c r="AO12" s="300">
        <f t="shared" si="5"/>
        <v>3</v>
      </c>
      <c r="AP12" s="88"/>
    </row>
    <row r="13">
      <c r="A13" s="284">
        <v>9.0</v>
      </c>
      <c r="B13" s="304" t="s">
        <v>1882</v>
      </c>
      <c r="C13" s="304" t="s">
        <v>2731</v>
      </c>
      <c r="D13" s="286" t="str">
        <f>VLOOKUP(B13,USN!$1:$1088,2,False)</f>
        <v>1CR23AD009</v>
      </c>
      <c r="E13" s="304">
        <v>9.663837544E9</v>
      </c>
      <c r="F13" s="287" t="s">
        <v>3715</v>
      </c>
      <c r="G13" s="288"/>
      <c r="H13" s="120">
        <v>70.0</v>
      </c>
      <c r="I13" s="120">
        <v>87.0</v>
      </c>
      <c r="J13" s="120">
        <f>VLOOKUP(D13,'L3'!$1:$2060,2,False)</f>
        <v>70</v>
      </c>
      <c r="K13" s="120">
        <f>VLOOKUP(D13,'L4'!$1:$2059,2,False)</f>
        <v>70</v>
      </c>
      <c r="L13" s="121">
        <f>VLOOKUP(D13,'A1 RETEST 5 DEC'!$1:$2096,2,False)</f>
        <v>50</v>
      </c>
      <c r="M13" s="122">
        <f>VLOOKUP(D13,'A2 RETEST 4 DEC'!$1:$2096,2,False)</f>
        <v>25</v>
      </c>
      <c r="N13" s="122">
        <v>65.0</v>
      </c>
      <c r="O13" s="121"/>
      <c r="P13" s="123">
        <f>IFNA(VLOOKUP(D13,'S1'!$1:$1500,2,False),0)</f>
        <v>80</v>
      </c>
      <c r="Q13" s="123">
        <f>vlookup(D13,'S2'!A9:B1211,2,0)</f>
        <v>81</v>
      </c>
      <c r="R13" s="123">
        <f>ifna(vlookup(D13,'S3'!$1:$1311,2,False),0)</f>
        <v>90</v>
      </c>
      <c r="S13" s="123"/>
      <c r="T13" s="125">
        <v>15.0</v>
      </c>
      <c r="U13" s="125">
        <v>11.0</v>
      </c>
      <c r="V13" s="125">
        <v>86.0</v>
      </c>
      <c r="W13" s="290">
        <v>90.0</v>
      </c>
      <c r="X13" s="291">
        <v>90.0</v>
      </c>
      <c r="Y13" s="125"/>
      <c r="Z13" s="292"/>
      <c r="AA13" s="293">
        <v>0.0</v>
      </c>
      <c r="AB13" s="294">
        <v>98.0</v>
      </c>
      <c r="AC13" s="295">
        <v>0.0</v>
      </c>
      <c r="AD13" s="302">
        <v>100.0</v>
      </c>
      <c r="AE13" s="297">
        <v>70.0</v>
      </c>
      <c r="AF13" s="298"/>
      <c r="AG13" s="298">
        <v>77.0</v>
      </c>
      <c r="AH13" s="298"/>
      <c r="AI13" s="299"/>
      <c r="AJ13" s="299"/>
      <c r="AK13" s="300">
        <f t="shared" si="1"/>
        <v>4</v>
      </c>
      <c r="AL13" s="300">
        <f t="shared" si="2"/>
        <v>1</v>
      </c>
      <c r="AM13" s="301">
        <f t="shared" si="3"/>
        <v>3</v>
      </c>
      <c r="AN13" s="300" t="str">
        <f t="shared" si="4"/>
        <v>3.5</v>
      </c>
      <c r="AO13" s="300">
        <f t="shared" si="5"/>
        <v>3</v>
      </c>
      <c r="AP13" s="88"/>
    </row>
    <row r="14">
      <c r="A14" s="284">
        <v>10.0</v>
      </c>
      <c r="B14" s="285" t="s">
        <v>1817</v>
      </c>
      <c r="C14" s="285" t="s">
        <v>2732</v>
      </c>
      <c r="D14" s="286" t="str">
        <f>VLOOKUP(B14,USN!$1:$1088,2,False)</f>
        <v>1CR23AD010</v>
      </c>
      <c r="E14" s="285">
        <v>6.364312689E9</v>
      </c>
      <c r="F14" s="287" t="s">
        <v>3715</v>
      </c>
      <c r="G14" s="288"/>
      <c r="H14" s="289">
        <v>65.0</v>
      </c>
      <c r="I14" s="120">
        <v>77.0</v>
      </c>
      <c r="J14" s="120">
        <f>VLOOKUP(D14,'L3'!$1:$2060,2,False)</f>
        <v>17</v>
      </c>
      <c r="K14" s="120">
        <f>VLOOKUP(D14,'L4'!$1:$2059,2,False)</f>
        <v>14</v>
      </c>
      <c r="L14" s="121">
        <f>VLOOKUP(D14,'A1 RETEST 5 DEC'!$1:$2096,2,False)</f>
        <v>27</v>
      </c>
      <c r="M14" s="122">
        <f>VLOOKUP(D14,'A2 RETEST 4 DEC'!$1:$2096,2,False)</f>
        <v>50</v>
      </c>
      <c r="N14" s="122">
        <v>0.0</v>
      </c>
      <c r="O14" s="121"/>
      <c r="P14" s="123">
        <f>IFNA(VLOOKUP(D14,'S1'!$1:$1500,2,False),0)</f>
        <v>0</v>
      </c>
      <c r="Q14" s="123">
        <f>vlookup(D14,'S2'!A10:B1212,2,0)</f>
        <v>0</v>
      </c>
      <c r="R14" s="123">
        <f>ifna(vlookup(D14,'S3'!$1:$1311,2,False),0)</f>
        <v>0</v>
      </c>
      <c r="S14" s="123"/>
      <c r="T14" s="125">
        <v>12.0</v>
      </c>
      <c r="U14" s="125">
        <v>2.0</v>
      </c>
      <c r="V14" s="125">
        <v>82.0</v>
      </c>
      <c r="W14" s="290">
        <v>84.0</v>
      </c>
      <c r="X14" s="303" t="s">
        <v>3717</v>
      </c>
      <c r="Y14" s="125"/>
      <c r="Z14" s="292"/>
      <c r="AA14" s="293">
        <v>20.0</v>
      </c>
      <c r="AB14" s="294">
        <v>33.0</v>
      </c>
      <c r="AC14" s="295">
        <v>0.0</v>
      </c>
      <c r="AD14" s="296">
        <v>0.0</v>
      </c>
      <c r="AE14" s="297">
        <v>10.0</v>
      </c>
      <c r="AF14" s="298"/>
      <c r="AG14" s="298">
        <v>0.0</v>
      </c>
      <c r="AH14" s="298"/>
      <c r="AI14" s="299"/>
      <c r="AJ14" s="299"/>
      <c r="AK14" s="300">
        <f t="shared" si="1"/>
        <v>2</v>
      </c>
      <c r="AL14" s="300">
        <f t="shared" si="2"/>
        <v>0</v>
      </c>
      <c r="AM14" s="301">
        <f t="shared" si="3"/>
        <v>0</v>
      </c>
      <c r="AN14" s="300" t="str">
        <f t="shared" si="4"/>
        <v>0</v>
      </c>
      <c r="AO14" s="300">
        <f t="shared" si="5"/>
        <v>0</v>
      </c>
      <c r="AP14" s="88"/>
    </row>
    <row r="15">
      <c r="A15" s="284">
        <v>11.0</v>
      </c>
      <c r="B15" s="285" t="s">
        <v>1757</v>
      </c>
      <c r="C15" s="285" t="s">
        <v>3718</v>
      </c>
      <c r="D15" s="286" t="str">
        <f>VLOOKUP(B15,USN!$1:$1088,2,False)</f>
        <v>1CR23AD011</v>
      </c>
      <c r="E15" s="285">
        <v>8.874555035E9</v>
      </c>
      <c r="F15" s="287" t="s">
        <v>3715</v>
      </c>
      <c r="G15" s="288"/>
      <c r="H15" s="289">
        <v>75.0</v>
      </c>
      <c r="I15" s="120">
        <v>81.0</v>
      </c>
      <c r="J15" s="120">
        <f>VLOOKUP(D15,'L3'!$1:$2060,2,False)</f>
        <v>54</v>
      </c>
      <c r="K15" s="120">
        <f>VLOOKUP(D15,'L4'!$1:$2059,2,False)</f>
        <v>70</v>
      </c>
      <c r="L15" s="121">
        <f>VLOOKUP(D15,'A1 RETEST 5 DEC'!$1:$2096,2,False)</f>
        <v>50</v>
      </c>
      <c r="M15" s="122">
        <f>VLOOKUP(D15,'A2 RETEST 4 DEC'!$1:$2096,2,False)</f>
        <v>50</v>
      </c>
      <c r="N15" s="122">
        <v>50.0</v>
      </c>
      <c r="O15" s="121"/>
      <c r="P15" s="123">
        <f>IFNA(VLOOKUP(D15,'S1'!$1:$1500,2,False),0)</f>
        <v>87</v>
      </c>
      <c r="Q15" s="123">
        <f>vlookup(D15,'S2'!A11:B1213,2,0)</f>
        <v>0</v>
      </c>
      <c r="R15" s="123">
        <f>ifna(vlookup(D15,'S3'!$1:$1311,2,False),0)</f>
        <v>0</v>
      </c>
      <c r="S15" s="123"/>
      <c r="T15" s="125">
        <v>19.0</v>
      </c>
      <c r="U15" s="125">
        <v>19.0</v>
      </c>
      <c r="V15" s="125" t="s">
        <v>3716</v>
      </c>
      <c r="W15" s="290">
        <v>80.0</v>
      </c>
      <c r="X15" s="291">
        <v>92.0</v>
      </c>
      <c r="Y15" s="125"/>
      <c r="Z15" s="292"/>
      <c r="AA15" s="293">
        <v>100.0</v>
      </c>
      <c r="AB15" s="294">
        <v>65.0</v>
      </c>
      <c r="AC15" s="295">
        <v>100.0</v>
      </c>
      <c r="AD15" s="302">
        <v>90.0</v>
      </c>
      <c r="AE15" s="295">
        <v>96.0</v>
      </c>
      <c r="AF15" s="298"/>
      <c r="AG15" s="298">
        <v>71.0</v>
      </c>
      <c r="AH15" s="298"/>
      <c r="AI15" s="299"/>
      <c r="AJ15" s="299"/>
      <c r="AK15" s="300">
        <f t="shared" si="1"/>
        <v>2</v>
      </c>
      <c r="AL15" s="300">
        <f t="shared" si="2"/>
        <v>3</v>
      </c>
      <c r="AM15" s="301">
        <f t="shared" si="3"/>
        <v>3</v>
      </c>
      <c r="AN15" s="300" t="str">
        <f t="shared" si="4"/>
        <v>3.5</v>
      </c>
      <c r="AO15" s="300">
        <f t="shared" si="5"/>
        <v>1</v>
      </c>
      <c r="AP15" s="88"/>
    </row>
    <row r="16">
      <c r="A16" s="284">
        <v>12.0</v>
      </c>
      <c r="B16" s="285" t="s">
        <v>1758</v>
      </c>
      <c r="C16" s="285" t="s">
        <v>2734</v>
      </c>
      <c r="D16" s="286" t="str">
        <f>VLOOKUP(B16,USN!$1:$1088,2,False)</f>
        <v>1CR23AD012</v>
      </c>
      <c r="E16" s="285">
        <v>8.123560954E9</v>
      </c>
      <c r="F16" s="287" t="s">
        <v>3715</v>
      </c>
      <c r="G16" s="288"/>
      <c r="H16" s="289">
        <v>74.0</v>
      </c>
      <c r="I16" s="120">
        <v>83.0</v>
      </c>
      <c r="J16" s="120">
        <f>VLOOKUP(D16,'L3'!$1:$2060,2,False)</f>
        <v>78</v>
      </c>
      <c r="K16" s="120">
        <f>VLOOKUP(D16,'L4'!$1:$2059,2,False)</f>
        <v>70</v>
      </c>
      <c r="L16" s="121">
        <f>VLOOKUP(D16,'A1 RETEST 5 DEC'!$1:$2096,2,False)</f>
        <v>50</v>
      </c>
      <c r="M16" s="122">
        <f>VLOOKUP(D16,'A2 RETEST 4 DEC'!$1:$2096,2,False)</f>
        <v>50</v>
      </c>
      <c r="N16" s="122">
        <v>58.0</v>
      </c>
      <c r="O16" s="121"/>
      <c r="P16" s="123">
        <f>IFNA(VLOOKUP(D16,'S1'!$1:$1500,2,False),0)</f>
        <v>80</v>
      </c>
      <c r="Q16" s="123">
        <f>vlookup(D16,'S2'!A12:B1214,2,0)</f>
        <v>55</v>
      </c>
      <c r="R16" s="123">
        <f>ifna(vlookup(D16,'S3'!$1:$1311,2,False),0)</f>
        <v>82</v>
      </c>
      <c r="S16" s="123"/>
      <c r="T16" s="125">
        <v>11.0</v>
      </c>
      <c r="U16" s="125">
        <v>25.0</v>
      </c>
      <c r="V16" s="125">
        <v>92.0</v>
      </c>
      <c r="W16" s="290">
        <v>86.0</v>
      </c>
      <c r="X16" s="291">
        <v>88.0</v>
      </c>
      <c r="Y16" s="125"/>
      <c r="Z16" s="292"/>
      <c r="AA16" s="293">
        <v>68.0</v>
      </c>
      <c r="AB16" s="294">
        <v>74.0</v>
      </c>
      <c r="AC16" s="295">
        <v>80.0</v>
      </c>
      <c r="AD16" s="296">
        <v>1.0</v>
      </c>
      <c r="AE16" s="297">
        <v>82.0</v>
      </c>
      <c r="AF16" s="298"/>
      <c r="AG16" s="298">
        <v>78.0</v>
      </c>
      <c r="AH16" s="298"/>
      <c r="AI16" s="299"/>
      <c r="AJ16" s="299"/>
      <c r="AK16" s="300">
        <f t="shared" si="1"/>
        <v>4</v>
      </c>
      <c r="AL16" s="300">
        <f t="shared" si="2"/>
        <v>3</v>
      </c>
      <c r="AM16" s="301">
        <f t="shared" si="3"/>
        <v>3</v>
      </c>
      <c r="AN16" s="300" t="str">
        <f t="shared" si="4"/>
        <v>3.5</v>
      </c>
      <c r="AO16" s="300">
        <f t="shared" si="5"/>
        <v>3</v>
      </c>
      <c r="AP16" s="88"/>
    </row>
    <row r="17">
      <c r="A17" s="284">
        <v>13.0</v>
      </c>
      <c r="B17" s="285" t="s">
        <v>1759</v>
      </c>
      <c r="C17" s="285" t="s">
        <v>2735</v>
      </c>
      <c r="D17" s="286" t="str">
        <f>VLOOKUP(B17,USN!$1:$1088,2,False)</f>
        <v>1CR23AD013</v>
      </c>
      <c r="E17" s="285">
        <v>9.12324822E9</v>
      </c>
      <c r="F17" s="287" t="s">
        <v>3715</v>
      </c>
      <c r="G17" s="288"/>
      <c r="H17" s="289">
        <v>83.0</v>
      </c>
      <c r="I17" s="120">
        <v>87.0</v>
      </c>
      <c r="J17" s="120">
        <f>VLOOKUP(D17,'L3'!$1:$2060,2,False)</f>
        <v>70</v>
      </c>
      <c r="K17" s="120">
        <f>VLOOKUP(D17,'L4'!$1:$2059,2,False)</f>
        <v>70</v>
      </c>
      <c r="L17" s="121">
        <f>VLOOKUP(D17,'A1 RETEST 5 DEC'!$1:$2096,2,False)</f>
        <v>50</v>
      </c>
      <c r="M17" s="122">
        <f>VLOOKUP(D17,'A2 RETEST 4 DEC'!$1:$2096,2,False)</f>
        <v>51</v>
      </c>
      <c r="N17" s="122">
        <v>50.0</v>
      </c>
      <c r="O17" s="121"/>
      <c r="P17" s="123">
        <f>IFNA(VLOOKUP(D17,'S1'!$1:$1500,2,False),0)</f>
        <v>83</v>
      </c>
      <c r="Q17" s="123">
        <f>vlookup(D17,'S2'!A13:B1215,2,0)</f>
        <v>72</v>
      </c>
      <c r="R17" s="123">
        <f>ifna(vlookup(D17,'S3'!$1:$1311,2,False),0)</f>
        <v>50</v>
      </c>
      <c r="S17" s="123"/>
      <c r="T17" s="125">
        <v>21.0</v>
      </c>
      <c r="U17" s="125">
        <v>20.0</v>
      </c>
      <c r="V17" s="125">
        <v>90.0</v>
      </c>
      <c r="W17" s="290">
        <v>70.0</v>
      </c>
      <c r="X17" s="291">
        <v>86.0</v>
      </c>
      <c r="Y17" s="125"/>
      <c r="Z17" s="292"/>
      <c r="AA17" s="293">
        <v>68.0</v>
      </c>
      <c r="AB17" s="294">
        <v>72.0</v>
      </c>
      <c r="AC17" s="295">
        <v>63.0</v>
      </c>
      <c r="AD17" s="296">
        <v>1.0</v>
      </c>
      <c r="AE17" s="295">
        <v>70.0</v>
      </c>
      <c r="AF17" s="298"/>
      <c r="AG17" s="298">
        <v>73.0</v>
      </c>
      <c r="AH17" s="298"/>
      <c r="AI17" s="299"/>
      <c r="AJ17" s="299"/>
      <c r="AK17" s="300">
        <f t="shared" si="1"/>
        <v>4</v>
      </c>
      <c r="AL17" s="300">
        <f t="shared" si="2"/>
        <v>3</v>
      </c>
      <c r="AM17" s="301">
        <f t="shared" si="3"/>
        <v>3</v>
      </c>
      <c r="AN17" s="300" t="str">
        <f t="shared" si="4"/>
        <v>3.5</v>
      </c>
      <c r="AO17" s="300">
        <f t="shared" si="5"/>
        <v>3</v>
      </c>
      <c r="AP17" s="88"/>
    </row>
    <row r="18">
      <c r="A18" s="284">
        <v>14.0</v>
      </c>
      <c r="B18" s="285" t="s">
        <v>1789</v>
      </c>
      <c r="C18" s="285" t="s">
        <v>2736</v>
      </c>
      <c r="D18" s="286" t="str">
        <f>VLOOKUP(B18,USN!$1:$1088,2,False)</f>
        <v>1CR23AD014</v>
      </c>
      <c r="E18" s="285">
        <v>7.204729757E9</v>
      </c>
      <c r="F18" s="287" t="s">
        <v>3715</v>
      </c>
      <c r="G18" s="288"/>
      <c r="H18" s="289">
        <v>71.0</v>
      </c>
      <c r="I18" s="120">
        <v>84.0</v>
      </c>
      <c r="J18" s="120">
        <f>VLOOKUP(D18,'L3'!$1:$2060,2,False)</f>
        <v>9</v>
      </c>
      <c r="K18" s="120">
        <f>VLOOKUP(D18,'L4'!$1:$2059,2,False)</f>
        <v>6</v>
      </c>
      <c r="L18" s="121">
        <f>VLOOKUP(D18,'A1 RETEST 5 DEC'!$1:$2096,2,False)</f>
        <v>28</v>
      </c>
      <c r="M18" s="122">
        <f>VLOOKUP(D18,'A2 RETEST 4 DEC'!$1:$2096,2,False)</f>
        <v>0</v>
      </c>
      <c r="N18" s="122">
        <v>0.0</v>
      </c>
      <c r="O18" s="121"/>
      <c r="P18" s="123">
        <f>IFNA(VLOOKUP(D18,'S1'!$1:$1500,2,False),0)</f>
        <v>0</v>
      </c>
      <c r="Q18" s="123">
        <f>vlookup(D18,'S2'!A14:B1216,2,0)</f>
        <v>0</v>
      </c>
      <c r="R18" s="123">
        <f>ifna(vlookup(D18,'S3'!$1:$1311,2,False),0)</f>
        <v>0</v>
      </c>
      <c r="S18" s="123"/>
      <c r="T18" s="125">
        <v>14.0</v>
      </c>
      <c r="U18" s="125">
        <v>20.0</v>
      </c>
      <c r="V18" s="125">
        <v>72.0</v>
      </c>
      <c r="W18" s="290">
        <v>74.0</v>
      </c>
      <c r="X18" s="291">
        <v>82.0</v>
      </c>
      <c r="Y18" s="125"/>
      <c r="Z18" s="292"/>
      <c r="AA18" s="293">
        <v>13.6</v>
      </c>
      <c r="AB18" s="294">
        <v>57.0</v>
      </c>
      <c r="AC18" s="295">
        <v>0.0</v>
      </c>
      <c r="AD18" s="296">
        <v>0.0</v>
      </c>
      <c r="AE18" s="297">
        <v>10.0</v>
      </c>
      <c r="AF18" s="298"/>
      <c r="AG18" s="298">
        <v>0.0</v>
      </c>
      <c r="AH18" s="298"/>
      <c r="AI18" s="299"/>
      <c r="AJ18" s="299"/>
      <c r="AK18" s="300">
        <f t="shared" si="1"/>
        <v>2</v>
      </c>
      <c r="AL18" s="300">
        <f t="shared" si="2"/>
        <v>0</v>
      </c>
      <c r="AM18" s="301">
        <f t="shared" si="3"/>
        <v>3</v>
      </c>
      <c r="AN18" s="300" t="str">
        <f t="shared" si="4"/>
        <v>2</v>
      </c>
      <c r="AO18" s="300">
        <f t="shared" si="5"/>
        <v>0</v>
      </c>
      <c r="AP18" s="88"/>
    </row>
    <row r="19">
      <c r="A19" s="284">
        <v>15.0</v>
      </c>
      <c r="B19" s="304" t="s">
        <v>1883</v>
      </c>
      <c r="C19" s="286" t="s">
        <v>2737</v>
      </c>
      <c r="D19" s="286" t="str">
        <f>VLOOKUP(B19,USN!$1:$1088,2,False)</f>
        <v>1CR23AD015</v>
      </c>
      <c r="E19" s="304">
        <v>6.204268095E9</v>
      </c>
      <c r="F19" s="287" t="s">
        <v>3715</v>
      </c>
      <c r="G19" s="288"/>
      <c r="H19" s="305">
        <v>70.0</v>
      </c>
      <c r="I19" s="305">
        <v>79.0</v>
      </c>
      <c r="J19" s="305">
        <f>VLOOKUP(D19,'L3'!$1:$2060,2,False)</f>
        <v>35</v>
      </c>
      <c r="K19" s="120">
        <f>VLOOKUP(D19,'L4'!$1:$2059,2,False)</f>
        <v>70</v>
      </c>
      <c r="L19" s="121">
        <f>VLOOKUP(D19,'A1 RETEST 5 DEC'!$1:$2096,2,False)</f>
        <v>19</v>
      </c>
      <c r="M19" s="122">
        <f>VLOOKUP(D19,'A2 RETEST 4 DEC'!$1:$2096,2,False)</f>
        <v>0</v>
      </c>
      <c r="N19" s="122">
        <v>57.0</v>
      </c>
      <c r="O19" s="306"/>
      <c r="P19" s="123">
        <f>IFNA(VLOOKUP(D19,'S1'!$1:$1500,2,False),0)</f>
        <v>0</v>
      </c>
      <c r="Q19" s="123">
        <f>vlookup(D19,'S2'!A15:B1217,2,0)</f>
        <v>0</v>
      </c>
      <c r="R19" s="123">
        <f>ifna(vlookup(D19,'S3'!$1:$1311,2,False),0)</f>
        <v>0</v>
      </c>
      <c r="S19" s="306"/>
      <c r="T19" s="125">
        <v>10.0</v>
      </c>
      <c r="U19" s="306">
        <v>24.0</v>
      </c>
      <c r="V19" s="125">
        <v>90.0</v>
      </c>
      <c r="W19" s="290">
        <v>80.0</v>
      </c>
      <c r="X19" s="291">
        <v>74.0</v>
      </c>
      <c r="Y19" s="306"/>
      <c r="Z19" s="307"/>
      <c r="AA19" s="295"/>
      <c r="AB19" s="295">
        <v>100.0</v>
      </c>
      <c r="AC19" s="295">
        <v>70.0</v>
      </c>
      <c r="AD19" s="296">
        <v>1.0</v>
      </c>
      <c r="AE19" s="297">
        <v>10.0</v>
      </c>
      <c r="AF19" s="298"/>
      <c r="AG19" s="298">
        <v>79.0</v>
      </c>
      <c r="AH19" s="298"/>
      <c r="AI19" s="299"/>
      <c r="AJ19" s="299"/>
      <c r="AK19" s="300">
        <f t="shared" si="1"/>
        <v>2</v>
      </c>
      <c r="AL19" s="300">
        <f t="shared" si="2"/>
        <v>0</v>
      </c>
      <c r="AM19" s="301">
        <f t="shared" si="3"/>
        <v>3</v>
      </c>
      <c r="AN19" s="300" t="str">
        <f t="shared" si="4"/>
        <v>3</v>
      </c>
      <c r="AO19" s="300">
        <f t="shared" si="5"/>
        <v>0</v>
      </c>
      <c r="AP19" s="88"/>
    </row>
    <row r="20">
      <c r="A20" s="284">
        <v>16.0</v>
      </c>
      <c r="B20" s="285" t="s">
        <v>1795</v>
      </c>
      <c r="C20" s="285" t="s">
        <v>2738</v>
      </c>
      <c r="D20" s="286" t="str">
        <f>VLOOKUP(B20,USN!$1:$1088,2,False)</f>
        <v>1CR23AD016</v>
      </c>
      <c r="E20" s="285" t="s">
        <v>3719</v>
      </c>
      <c r="F20" s="287" t="s">
        <v>3715</v>
      </c>
      <c r="G20" s="288"/>
      <c r="H20" s="289">
        <v>82.0</v>
      </c>
      <c r="I20" s="120">
        <v>90.0</v>
      </c>
      <c r="J20" s="120">
        <f>VLOOKUP(D20,'L3'!$1:$2060,2,False)</f>
        <v>40</v>
      </c>
      <c r="K20" s="120">
        <f>VLOOKUP(D20,'L4'!$1:$2059,2,False)</f>
        <v>39</v>
      </c>
      <c r="L20" s="121">
        <f>VLOOKUP(D20,'A1 RETEST 5 DEC'!$1:$2096,2,False)</f>
        <v>48</v>
      </c>
      <c r="M20" s="122">
        <f>VLOOKUP(D20,'A2 RETEST 4 DEC'!$1:$2096,2,False)</f>
        <v>43</v>
      </c>
      <c r="N20" s="122">
        <v>0.0</v>
      </c>
      <c r="O20" s="121"/>
      <c r="P20" s="123">
        <f>IFNA(VLOOKUP(D20,'S1'!$1:$1500,2,False),0)</f>
        <v>85</v>
      </c>
      <c r="Q20" s="123">
        <f>vlookup(D20,'S2'!A16:B1218,2,0)</f>
        <v>0</v>
      </c>
      <c r="R20" s="123">
        <f>ifna(vlookup(D20,'S3'!$1:$1311,2,False),0)</f>
        <v>0</v>
      </c>
      <c r="S20" s="123"/>
      <c r="T20" s="125">
        <v>17.0</v>
      </c>
      <c r="U20" s="125">
        <v>21.0</v>
      </c>
      <c r="V20" s="125">
        <v>92.0</v>
      </c>
      <c r="W20" s="290">
        <v>78.0</v>
      </c>
      <c r="X20" s="303" t="s">
        <v>3717</v>
      </c>
      <c r="Y20" s="125"/>
      <c r="Z20" s="292"/>
      <c r="AA20" s="293">
        <v>97.0</v>
      </c>
      <c r="AB20" s="294">
        <v>75.0</v>
      </c>
      <c r="AC20" s="295">
        <v>98.0</v>
      </c>
      <c r="AD20" s="296">
        <v>42.0</v>
      </c>
      <c r="AE20" s="297">
        <v>10.0</v>
      </c>
      <c r="AF20" s="298"/>
      <c r="AG20" s="298">
        <v>0.0</v>
      </c>
      <c r="AH20" s="298"/>
      <c r="AI20" s="299"/>
      <c r="AJ20" s="299"/>
      <c r="AK20" s="300">
        <f t="shared" si="1"/>
        <v>2</v>
      </c>
      <c r="AL20" s="300">
        <f t="shared" si="2"/>
        <v>0</v>
      </c>
      <c r="AM20" s="301">
        <f t="shared" si="3"/>
        <v>3</v>
      </c>
      <c r="AN20" s="300" t="str">
        <f t="shared" si="4"/>
        <v>3</v>
      </c>
      <c r="AO20" s="300">
        <f t="shared" si="5"/>
        <v>1</v>
      </c>
      <c r="AP20" s="88"/>
    </row>
    <row r="21">
      <c r="A21" s="284">
        <v>17.0</v>
      </c>
      <c r="B21" s="285" t="s">
        <v>1760</v>
      </c>
      <c r="C21" s="285" t="s">
        <v>2739</v>
      </c>
      <c r="D21" s="286" t="str">
        <f>VLOOKUP(B21,USN!$1:$1088,2,False)</f>
        <v>1CR23AD017</v>
      </c>
      <c r="E21" s="285">
        <v>9.606729194E9</v>
      </c>
      <c r="F21" s="287" t="s">
        <v>3715</v>
      </c>
      <c r="G21" s="288"/>
      <c r="H21" s="289">
        <v>73.0</v>
      </c>
      <c r="I21" s="120">
        <v>83.0</v>
      </c>
      <c r="J21" s="120">
        <f>VLOOKUP(D21,'L3'!$1:$2060,2,False)</f>
        <v>70</v>
      </c>
      <c r="K21" s="120">
        <f>VLOOKUP(D21,'L4'!$1:$2059,2,False)</f>
        <v>70</v>
      </c>
      <c r="L21" s="121">
        <f>VLOOKUP(D21,'A1 RETEST 5 DEC'!$1:$2096,2,False)</f>
        <v>50</v>
      </c>
      <c r="M21" s="122">
        <f>VLOOKUP(D21,'A2 RETEST 4 DEC'!$1:$2096,2,False)</f>
        <v>50</v>
      </c>
      <c r="N21" s="122">
        <v>59.0</v>
      </c>
      <c r="O21" s="121"/>
      <c r="P21" s="123">
        <f>IFNA(VLOOKUP(D21,'S1'!$1:$1500,2,False),0)</f>
        <v>84</v>
      </c>
      <c r="Q21" s="123">
        <f>vlookup(D21,'S2'!A17:B1219,2,0)</f>
        <v>65</v>
      </c>
      <c r="R21" s="123">
        <f>ifna(vlookup(D21,'S3'!$1:$1311,2,False),0)</f>
        <v>86</v>
      </c>
      <c r="S21" s="123"/>
      <c r="T21" s="125">
        <v>12.0</v>
      </c>
      <c r="U21" s="125">
        <v>23.0</v>
      </c>
      <c r="V21" s="125">
        <v>90.0</v>
      </c>
      <c r="W21" s="290">
        <v>76.0</v>
      </c>
      <c r="X21" s="291">
        <v>90.0</v>
      </c>
      <c r="Y21" s="125"/>
      <c r="Z21" s="292"/>
      <c r="AA21" s="293">
        <v>88.0</v>
      </c>
      <c r="AB21" s="294">
        <v>73.0</v>
      </c>
      <c r="AC21" s="295">
        <v>0.0</v>
      </c>
      <c r="AD21" s="296">
        <v>2.0</v>
      </c>
      <c r="AE21" s="297">
        <v>70.0</v>
      </c>
      <c r="AF21" s="298"/>
      <c r="AG21" s="298">
        <v>79.0</v>
      </c>
      <c r="AH21" s="298"/>
      <c r="AI21" s="299"/>
      <c r="AJ21" s="299"/>
      <c r="AK21" s="300">
        <f t="shared" si="1"/>
        <v>4</v>
      </c>
      <c r="AL21" s="300">
        <f t="shared" si="2"/>
        <v>3</v>
      </c>
      <c r="AM21" s="301">
        <f t="shared" si="3"/>
        <v>3</v>
      </c>
      <c r="AN21" s="300" t="str">
        <f t="shared" si="4"/>
        <v>2</v>
      </c>
      <c r="AO21" s="300">
        <f t="shared" si="5"/>
        <v>3</v>
      </c>
      <c r="AP21" s="88"/>
    </row>
    <row r="22">
      <c r="A22" s="284">
        <v>18.0</v>
      </c>
      <c r="B22" s="285" t="s">
        <v>123</v>
      </c>
      <c r="C22" s="285" t="s">
        <v>2740</v>
      </c>
      <c r="D22" s="286" t="str">
        <f>VLOOKUP(B22,USN!$1:$1088,2,False)</f>
        <v>1CR23AD018</v>
      </c>
      <c r="E22" s="285">
        <v>8.936027558E9</v>
      </c>
      <c r="F22" s="287" t="s">
        <v>3715</v>
      </c>
      <c r="G22" s="288"/>
      <c r="H22" s="289">
        <v>72.0</v>
      </c>
      <c r="I22" s="120">
        <v>92.0</v>
      </c>
      <c r="J22" s="120">
        <f>VLOOKUP(D22,'L3'!$1:$2060,2,False)</f>
        <v>64</v>
      </c>
      <c r="K22" s="120">
        <f>VLOOKUP(D22,'L4'!$1:$2059,2,False)</f>
        <v>70</v>
      </c>
      <c r="L22" s="121">
        <f>VLOOKUP(D22,'A1 RETEST 5 DEC'!$1:$2096,2,False)</f>
        <v>50</v>
      </c>
      <c r="M22" s="122">
        <f>VLOOKUP(D22,'A2 RETEST 4 DEC'!$1:$2096,2,False)</f>
        <v>50</v>
      </c>
      <c r="N22" s="122">
        <v>50.0</v>
      </c>
      <c r="O22" s="121"/>
      <c r="P22" s="123">
        <f>IFNA(VLOOKUP(D22,'S1'!$1:$1500,2,False),0)</f>
        <v>90</v>
      </c>
      <c r="Q22" s="123">
        <f>vlookup(D22,'S2'!A18:B1220,2,0)</f>
        <v>50</v>
      </c>
      <c r="R22" s="123">
        <f>ifna(vlookup(D22,'S3'!$1:$1311,2,False),0)</f>
        <v>50</v>
      </c>
      <c r="S22" s="123"/>
      <c r="T22" s="125">
        <v>21.0</v>
      </c>
      <c r="U22" s="125">
        <v>19.0</v>
      </c>
      <c r="V22" s="125" t="s">
        <v>3716</v>
      </c>
      <c r="W22" s="290">
        <v>86.0</v>
      </c>
      <c r="X22" s="291">
        <v>82.0</v>
      </c>
      <c r="Y22" s="125"/>
      <c r="Z22" s="292"/>
      <c r="AA22" s="293">
        <v>64.0</v>
      </c>
      <c r="AB22" s="294">
        <v>61.0</v>
      </c>
      <c r="AC22" s="295">
        <v>100.0</v>
      </c>
      <c r="AD22" s="296">
        <v>1.0</v>
      </c>
      <c r="AE22" s="297">
        <v>40.0</v>
      </c>
      <c r="AF22" s="298"/>
      <c r="AG22" s="298">
        <v>71.0</v>
      </c>
      <c r="AH22" s="298"/>
      <c r="AI22" s="299"/>
      <c r="AJ22" s="299"/>
      <c r="AK22" s="300">
        <f t="shared" si="1"/>
        <v>2</v>
      </c>
      <c r="AL22" s="300">
        <f t="shared" si="2"/>
        <v>3</v>
      </c>
      <c r="AM22" s="301">
        <f t="shared" si="3"/>
        <v>3</v>
      </c>
      <c r="AN22" s="300" t="str">
        <f t="shared" si="4"/>
        <v>3</v>
      </c>
      <c r="AO22" s="300">
        <f t="shared" si="5"/>
        <v>3</v>
      </c>
      <c r="AP22" s="88"/>
    </row>
    <row r="23">
      <c r="A23" s="284">
        <v>19.0</v>
      </c>
      <c r="B23" s="285" t="s">
        <v>1798</v>
      </c>
      <c r="C23" s="285" t="s">
        <v>3720</v>
      </c>
      <c r="D23" s="286" t="str">
        <f>VLOOKUP(B23,USN!$1:$1088,2,False)</f>
        <v>1CR23AD019</v>
      </c>
      <c r="E23" s="285">
        <v>6.362202547E9</v>
      </c>
      <c r="F23" s="287" t="s">
        <v>3715</v>
      </c>
      <c r="G23" s="288"/>
      <c r="H23" s="289">
        <v>72.0</v>
      </c>
      <c r="I23" s="120">
        <v>78.0</v>
      </c>
      <c r="J23" s="120">
        <f>VLOOKUP(D23,'L3'!$1:$2060,2,False)</f>
        <v>71</v>
      </c>
      <c r="K23" s="120">
        <f>VLOOKUP(D23,'L4'!$1:$2059,2,False)</f>
        <v>70</v>
      </c>
      <c r="L23" s="121">
        <f>VLOOKUP(D23,'A1 RETEST 5 DEC'!$1:$2096,2,False)</f>
        <v>50</v>
      </c>
      <c r="M23" s="122">
        <f>VLOOKUP(D23,'A2 RETEST 4 DEC'!$1:$2096,2,False)</f>
        <v>50</v>
      </c>
      <c r="N23" s="122">
        <v>50.0</v>
      </c>
      <c r="O23" s="121"/>
      <c r="P23" s="123">
        <f>IFNA(VLOOKUP(D23,'S1'!$1:$1500,2,False),0)</f>
        <v>77</v>
      </c>
      <c r="Q23" s="123">
        <f>vlookup(D23,'S2'!A19:B1221,2,0)</f>
        <v>72</v>
      </c>
      <c r="R23" s="123">
        <f>ifna(vlookup(D23,'S3'!$1:$1311,2,False),0)</f>
        <v>0</v>
      </c>
      <c r="S23" s="123"/>
      <c r="T23" s="125">
        <v>10.0</v>
      </c>
      <c r="U23" s="125">
        <v>10.0</v>
      </c>
      <c r="V23" s="125">
        <v>88.0</v>
      </c>
      <c r="W23" s="290">
        <v>76.0</v>
      </c>
      <c r="X23" s="291">
        <v>84.0</v>
      </c>
      <c r="Y23" s="125"/>
      <c r="Z23" s="292"/>
      <c r="AA23" s="293">
        <v>68.0</v>
      </c>
      <c r="AB23" s="294">
        <v>67.0</v>
      </c>
      <c r="AC23" s="295">
        <v>80.0</v>
      </c>
      <c r="AD23" s="296">
        <v>1.0</v>
      </c>
      <c r="AE23" s="297">
        <v>80.0</v>
      </c>
      <c r="AF23" s="298"/>
      <c r="AG23" s="298">
        <v>71.0</v>
      </c>
      <c r="AH23" s="298"/>
      <c r="AI23" s="299"/>
      <c r="AJ23" s="299"/>
      <c r="AK23" s="300">
        <f t="shared" si="1"/>
        <v>4</v>
      </c>
      <c r="AL23" s="300">
        <f t="shared" si="2"/>
        <v>3</v>
      </c>
      <c r="AM23" s="301">
        <f t="shared" si="3"/>
        <v>3</v>
      </c>
      <c r="AN23" s="300" t="str">
        <f t="shared" si="4"/>
        <v>3.5</v>
      </c>
      <c r="AO23" s="300">
        <f t="shared" si="5"/>
        <v>2</v>
      </c>
      <c r="AP23" s="88"/>
    </row>
    <row r="24">
      <c r="A24" s="284">
        <v>20.0</v>
      </c>
      <c r="B24" s="285" t="s">
        <v>1761</v>
      </c>
      <c r="C24" s="285" t="s">
        <v>2742</v>
      </c>
      <c r="D24" s="286" t="str">
        <f>VLOOKUP(B24,USN!$1:$1088,2,False)</f>
        <v>1CR23AD020</v>
      </c>
      <c r="E24" s="285">
        <v>7.02228645E9</v>
      </c>
      <c r="F24" s="287" t="s">
        <v>3715</v>
      </c>
      <c r="G24" s="288"/>
      <c r="H24" s="289">
        <v>82.0</v>
      </c>
      <c r="I24" s="120">
        <v>95.0</v>
      </c>
      <c r="J24" s="120">
        <f>VLOOKUP(D24,'L3'!$1:$2060,2,False)</f>
        <v>77</v>
      </c>
      <c r="K24" s="120">
        <f>VLOOKUP(D24,'L4'!$1:$2059,2,False)</f>
        <v>82</v>
      </c>
      <c r="L24" s="121">
        <f>VLOOKUP(D24,'A1 RETEST 5 DEC'!$1:$2096,2,False)</f>
        <v>50</v>
      </c>
      <c r="M24" s="122">
        <f>VLOOKUP(D24,'A2 RETEST 4 DEC'!$1:$2096,2,False)</f>
        <v>50</v>
      </c>
      <c r="N24" s="122">
        <v>50.0</v>
      </c>
      <c r="O24" s="121"/>
      <c r="P24" s="123">
        <f>IFNA(VLOOKUP(D24,'S1'!$1:$1500,2,False),0)</f>
        <v>77</v>
      </c>
      <c r="Q24" s="123">
        <f>vlookup(D24,'S2'!A20:B1222,2,0)</f>
        <v>72</v>
      </c>
      <c r="R24" s="123">
        <f>ifna(vlookup(D24,'S3'!$1:$1311,2,False),0)</f>
        <v>91</v>
      </c>
      <c r="S24" s="123"/>
      <c r="T24" s="125">
        <v>13.0</v>
      </c>
      <c r="U24" s="125">
        <v>18.0</v>
      </c>
      <c r="V24" s="125">
        <v>78.0</v>
      </c>
      <c r="W24" s="290">
        <v>78.0</v>
      </c>
      <c r="X24" s="291">
        <v>86.0</v>
      </c>
      <c r="Y24" s="125"/>
      <c r="Z24" s="292"/>
      <c r="AA24" s="293">
        <v>0.0</v>
      </c>
      <c r="AB24" s="294">
        <v>72.0</v>
      </c>
      <c r="AC24" s="295">
        <v>5.0</v>
      </c>
      <c r="AD24" s="302">
        <v>62.0</v>
      </c>
      <c r="AE24" s="297">
        <v>72.0</v>
      </c>
      <c r="AF24" s="298"/>
      <c r="AG24" s="298">
        <v>86.0</v>
      </c>
      <c r="AH24" s="298"/>
      <c r="AI24" s="299"/>
      <c r="AJ24" s="299"/>
      <c r="AK24" s="300">
        <f t="shared" si="1"/>
        <v>4</v>
      </c>
      <c r="AL24" s="300">
        <f t="shared" si="2"/>
        <v>3</v>
      </c>
      <c r="AM24" s="301">
        <f t="shared" si="3"/>
        <v>3</v>
      </c>
      <c r="AN24" s="300" t="str">
        <f t="shared" si="4"/>
        <v>3.5</v>
      </c>
      <c r="AO24" s="300">
        <f t="shared" si="5"/>
        <v>3</v>
      </c>
      <c r="AP24" s="88"/>
    </row>
    <row r="25">
      <c r="A25" s="284">
        <v>21.0</v>
      </c>
      <c r="B25" s="285" t="s">
        <v>1762</v>
      </c>
      <c r="C25" s="285" t="s">
        <v>2743</v>
      </c>
      <c r="D25" s="286" t="str">
        <f>VLOOKUP(B25,USN!$1:$1088,2,False)</f>
        <v>1CR23AD021</v>
      </c>
      <c r="E25" s="285">
        <v>7.708595207E9</v>
      </c>
      <c r="F25" s="287" t="s">
        <v>3715</v>
      </c>
      <c r="G25" s="288"/>
      <c r="H25" s="289">
        <v>74.0</v>
      </c>
      <c r="I25" s="120">
        <v>79.0</v>
      </c>
      <c r="J25" s="120">
        <f>VLOOKUP(D25,'L3'!$1:$2060,2,False)</f>
        <v>50</v>
      </c>
      <c r="K25" s="120">
        <f>VLOOKUP(D25,'L4'!$1:$2059,2,False)</f>
        <v>4</v>
      </c>
      <c r="L25" s="121">
        <f>VLOOKUP(D25,'A1 RETEST 5 DEC'!$1:$2096,2,False)</f>
        <v>39</v>
      </c>
      <c r="M25" s="122">
        <f>VLOOKUP(D25,'A2 RETEST 4 DEC'!$1:$2096,2,False)</f>
        <v>0</v>
      </c>
      <c r="N25" s="122">
        <v>0.0</v>
      </c>
      <c r="O25" s="121"/>
      <c r="P25" s="123">
        <f>IFNA(VLOOKUP(D25,'S1'!$1:$1500,2,False),0)</f>
        <v>80</v>
      </c>
      <c r="Q25" s="123">
        <f>vlookup(D25,'S2'!A21:B1223,2,0)</f>
        <v>0</v>
      </c>
      <c r="R25" s="123">
        <f>ifna(vlookup(D25,'S3'!$1:$1311,2,False),0)</f>
        <v>0</v>
      </c>
      <c r="S25" s="123"/>
      <c r="T25" s="125">
        <v>22.0</v>
      </c>
      <c r="U25" s="125" t="s">
        <v>2477</v>
      </c>
      <c r="V25" s="125">
        <v>92.0</v>
      </c>
      <c r="W25" s="308">
        <v>74.0</v>
      </c>
      <c r="X25" s="303" t="s">
        <v>3717</v>
      </c>
      <c r="Y25" s="125"/>
      <c r="Z25" s="292"/>
      <c r="AA25" s="293">
        <v>8.0</v>
      </c>
      <c r="AB25" s="294">
        <v>67.0</v>
      </c>
      <c r="AC25" s="295">
        <v>0.0</v>
      </c>
      <c r="AD25" s="296">
        <v>0.0</v>
      </c>
      <c r="AE25" s="297">
        <v>10.0</v>
      </c>
      <c r="AF25" s="298"/>
      <c r="AG25" s="298">
        <v>10.0</v>
      </c>
      <c r="AH25" s="298"/>
      <c r="AI25" s="299"/>
      <c r="AJ25" s="299"/>
      <c r="AK25" s="300">
        <f t="shared" si="1"/>
        <v>2</v>
      </c>
      <c r="AL25" s="300">
        <f t="shared" si="2"/>
        <v>0</v>
      </c>
      <c r="AM25" s="301">
        <f t="shared" si="3"/>
        <v>3</v>
      </c>
      <c r="AN25" s="300" t="str">
        <f t="shared" si="4"/>
        <v>2</v>
      </c>
      <c r="AO25" s="300">
        <f t="shared" si="5"/>
        <v>1</v>
      </c>
      <c r="AP25" s="88"/>
    </row>
    <row r="26">
      <c r="A26" s="284">
        <v>22.0</v>
      </c>
      <c r="B26" s="285" t="s">
        <v>1763</v>
      </c>
      <c r="C26" s="285" t="s">
        <v>2744</v>
      </c>
      <c r="D26" s="286" t="str">
        <f>VLOOKUP(B26,USN!$1:$1088,2,False)</f>
        <v>1CR23AD022</v>
      </c>
      <c r="E26" s="285">
        <v>7.019670381E9</v>
      </c>
      <c r="F26" s="287" t="s">
        <v>3715</v>
      </c>
      <c r="G26" s="288"/>
      <c r="H26" s="289">
        <v>76.0</v>
      </c>
      <c r="I26" s="120">
        <v>75.0</v>
      </c>
      <c r="J26" s="120">
        <f>VLOOKUP(D26,'L3'!$1:$2060,2,False)</f>
        <v>29</v>
      </c>
      <c r="K26" s="120">
        <f>VLOOKUP(D26,'L4'!$1:$2059,2,False)</f>
        <v>2</v>
      </c>
      <c r="L26" s="121">
        <f>VLOOKUP(D26,'A1 RETEST 5 DEC'!$1:$2096,2,False)</f>
        <v>33</v>
      </c>
      <c r="M26" s="122">
        <f>VLOOKUP(D26,'A2 RETEST 4 DEC'!$1:$2096,2,False)</f>
        <v>0</v>
      </c>
      <c r="N26" s="122">
        <v>0.0</v>
      </c>
      <c r="O26" s="121"/>
      <c r="P26" s="123">
        <f>IFNA(VLOOKUP(D26,'S1'!$1:$1500,2,False),0)</f>
        <v>77</v>
      </c>
      <c r="Q26" s="123">
        <f>vlookup(D26,'S2'!A22:B1224,2,0)</f>
        <v>65</v>
      </c>
      <c r="R26" s="123">
        <f>ifna(vlookup(D26,'S3'!$1:$1311,2,False),0)</f>
        <v>0</v>
      </c>
      <c r="S26" s="123"/>
      <c r="T26" s="125" t="s">
        <v>2477</v>
      </c>
      <c r="U26" s="125">
        <v>23.0</v>
      </c>
      <c r="V26" s="125">
        <v>0.0</v>
      </c>
      <c r="W26" s="308" t="s">
        <v>3716</v>
      </c>
      <c r="X26" s="291">
        <v>82.0</v>
      </c>
      <c r="Y26" s="125"/>
      <c r="Z26" s="292"/>
      <c r="AA26" s="293">
        <v>0.0</v>
      </c>
      <c r="AB26" s="294">
        <v>47.0</v>
      </c>
      <c r="AC26" s="295">
        <v>0.0</v>
      </c>
      <c r="AD26" s="296">
        <v>0.0</v>
      </c>
      <c r="AE26" s="297">
        <v>10.0</v>
      </c>
      <c r="AF26" s="298"/>
      <c r="AG26" s="298">
        <v>10.0</v>
      </c>
      <c r="AH26" s="298"/>
      <c r="AI26" s="299"/>
      <c r="AJ26" s="299"/>
      <c r="AK26" s="300">
        <f t="shared" si="1"/>
        <v>2</v>
      </c>
      <c r="AL26" s="300">
        <f t="shared" si="2"/>
        <v>0</v>
      </c>
      <c r="AM26" s="301">
        <f t="shared" si="3"/>
        <v>3</v>
      </c>
      <c r="AN26" s="300" t="str">
        <f t="shared" si="4"/>
        <v>0</v>
      </c>
      <c r="AO26" s="300">
        <f t="shared" si="5"/>
        <v>2</v>
      </c>
      <c r="AP26" s="88"/>
    </row>
    <row r="27">
      <c r="A27" s="284">
        <v>23.0</v>
      </c>
      <c r="B27" s="285" t="s">
        <v>1807</v>
      </c>
      <c r="C27" s="285" t="s">
        <v>2745</v>
      </c>
      <c r="D27" s="286" t="str">
        <f>VLOOKUP(B27,USN!$1:$1088,2,False)</f>
        <v>1CR23AD023</v>
      </c>
      <c r="E27" s="285">
        <v>8.453349626E9</v>
      </c>
      <c r="F27" s="287" t="s">
        <v>3715</v>
      </c>
      <c r="G27" s="288"/>
      <c r="H27" s="120">
        <v>70.0</v>
      </c>
      <c r="I27" s="120">
        <v>82.0</v>
      </c>
      <c r="J27" s="120">
        <f>VLOOKUP(D27,'L3'!$1:$2060,2,False)</f>
        <v>70</v>
      </c>
      <c r="K27" s="120">
        <f>VLOOKUP(D27,'L4'!$1:$2059,2,False)</f>
        <v>70</v>
      </c>
      <c r="L27" s="121">
        <f>VLOOKUP(D27,'A1 RETEST 5 DEC'!$1:$2096,2,False)</f>
        <v>50</v>
      </c>
      <c r="M27" s="122">
        <f>VLOOKUP(D27,'A2 RETEST 4 DEC'!$1:$2096,2,False)</f>
        <v>17</v>
      </c>
      <c r="N27" s="122">
        <v>57.0</v>
      </c>
      <c r="O27" s="121"/>
      <c r="P27" s="123">
        <f>IFNA(VLOOKUP(D27,'S1'!$1:$1500,2,False),0)</f>
        <v>50</v>
      </c>
      <c r="Q27" s="123">
        <f>vlookup(D27,'S2'!A23:B1225,2,0)</f>
        <v>81</v>
      </c>
      <c r="R27" s="123">
        <f>ifna(vlookup(D27,'S3'!$1:$1311,2,False),0)</f>
        <v>92</v>
      </c>
      <c r="S27" s="123"/>
      <c r="T27" s="125">
        <v>10.0</v>
      </c>
      <c r="U27" s="125">
        <v>24.0</v>
      </c>
      <c r="V27" s="125">
        <v>80.0</v>
      </c>
      <c r="W27" s="290">
        <v>86.0</v>
      </c>
      <c r="X27" s="291">
        <v>86.0</v>
      </c>
      <c r="Y27" s="125"/>
      <c r="Z27" s="292"/>
      <c r="AA27" s="293">
        <v>6.0</v>
      </c>
      <c r="AB27" s="294">
        <v>61.0</v>
      </c>
      <c r="AC27" s="295">
        <v>70.0</v>
      </c>
      <c r="AD27" s="296">
        <v>2.0</v>
      </c>
      <c r="AE27" s="297">
        <v>25.0</v>
      </c>
      <c r="AF27" s="298"/>
      <c r="AG27" s="298">
        <v>86.0</v>
      </c>
      <c r="AH27" s="298"/>
      <c r="AI27" s="299"/>
      <c r="AJ27" s="299"/>
      <c r="AK27" s="300">
        <f t="shared" si="1"/>
        <v>4</v>
      </c>
      <c r="AL27" s="300">
        <f t="shared" si="2"/>
        <v>1</v>
      </c>
      <c r="AM27" s="301">
        <f t="shared" si="3"/>
        <v>3</v>
      </c>
      <c r="AN27" s="300" t="str">
        <f t="shared" si="4"/>
        <v>3</v>
      </c>
      <c r="AO27" s="300">
        <f t="shared" si="5"/>
        <v>3</v>
      </c>
      <c r="AP27" s="88"/>
    </row>
    <row r="28">
      <c r="A28" s="284">
        <v>24.0</v>
      </c>
      <c r="B28" s="285" t="s">
        <v>1764</v>
      </c>
      <c r="C28" s="285" t="s">
        <v>2746</v>
      </c>
      <c r="D28" s="286" t="str">
        <f>VLOOKUP(B28,USN!$1:$1088,2,False)</f>
        <v>1CR23AD024</v>
      </c>
      <c r="E28" s="285">
        <v>6.230405607E9</v>
      </c>
      <c r="F28" s="287" t="s">
        <v>3715</v>
      </c>
      <c r="G28" s="288"/>
      <c r="H28" s="289">
        <v>76.0</v>
      </c>
      <c r="I28" s="120">
        <v>88.0</v>
      </c>
      <c r="J28" s="120">
        <f>VLOOKUP(D28,'L3'!$1:$2060,2,False)</f>
        <v>77</v>
      </c>
      <c r="K28" s="120">
        <f>VLOOKUP(D28,'L4'!$1:$2059,2,False)</f>
        <v>71</v>
      </c>
      <c r="L28" s="121">
        <f>VLOOKUP(D28,'A1 RETEST 5 DEC'!$1:$2096,2,False)</f>
        <v>50</v>
      </c>
      <c r="M28" s="122">
        <f>VLOOKUP(D28,'A2 RETEST 4 DEC'!$1:$2096,2,False)</f>
        <v>43</v>
      </c>
      <c r="N28" s="122">
        <v>51.0</v>
      </c>
      <c r="O28" s="121"/>
      <c r="P28" s="123">
        <f>IFNA(VLOOKUP(D28,'S1'!$1:$1500,2,False),0)</f>
        <v>87</v>
      </c>
      <c r="Q28" s="123">
        <f>vlookup(D28,'S2'!A24:B1226,2,0)</f>
        <v>60</v>
      </c>
      <c r="R28" s="123">
        <f>ifna(vlookup(D28,'S3'!$1:$1311,2,False),0)</f>
        <v>92</v>
      </c>
      <c r="S28" s="123"/>
      <c r="T28" s="125">
        <v>21.0</v>
      </c>
      <c r="U28" s="125">
        <v>21.0</v>
      </c>
      <c r="V28" s="125">
        <v>86.0</v>
      </c>
      <c r="W28" s="290">
        <v>70.0</v>
      </c>
      <c r="X28" s="291">
        <v>80.0</v>
      </c>
      <c r="Y28" s="125"/>
      <c r="Z28" s="292"/>
      <c r="AA28" s="293">
        <v>84.0</v>
      </c>
      <c r="AB28" s="294">
        <v>74.0</v>
      </c>
      <c r="AC28" s="295">
        <v>87.0</v>
      </c>
      <c r="AD28" s="302">
        <v>80.0</v>
      </c>
      <c r="AE28" s="297">
        <v>70.0</v>
      </c>
      <c r="AF28" s="298"/>
      <c r="AG28" s="298">
        <v>74.0</v>
      </c>
      <c r="AH28" s="298"/>
      <c r="AI28" s="299"/>
      <c r="AJ28" s="299"/>
      <c r="AK28" s="300">
        <f t="shared" si="1"/>
        <v>4</v>
      </c>
      <c r="AL28" s="300">
        <f t="shared" si="2"/>
        <v>1</v>
      </c>
      <c r="AM28" s="301">
        <f t="shared" si="3"/>
        <v>3</v>
      </c>
      <c r="AN28" s="300" t="str">
        <f t="shared" si="4"/>
        <v>3.5</v>
      </c>
      <c r="AO28" s="300">
        <f t="shared" si="5"/>
        <v>3</v>
      </c>
      <c r="AP28" s="88"/>
    </row>
    <row r="29">
      <c r="A29" s="284">
        <v>25.0</v>
      </c>
      <c r="B29" s="285" t="s">
        <v>1765</v>
      </c>
      <c r="C29" s="285" t="s">
        <v>3721</v>
      </c>
      <c r="D29" s="286" t="str">
        <f>VLOOKUP(B29,USN!$1:$1088,2,False)</f>
        <v>1CR23AD025</v>
      </c>
      <c r="E29" s="285">
        <v>7.829980933E9</v>
      </c>
      <c r="F29" s="287" t="s">
        <v>3715</v>
      </c>
      <c r="G29" s="288"/>
      <c r="H29" s="289">
        <v>78.0</v>
      </c>
      <c r="I29" s="120">
        <v>84.0</v>
      </c>
      <c r="J29" s="120">
        <f>VLOOKUP(D29,'L3'!$1:$2060,2,False)</f>
        <v>71</v>
      </c>
      <c r="K29" s="120">
        <f>VLOOKUP(D29,'L4'!$1:$2059,2,False)</f>
        <v>70</v>
      </c>
      <c r="L29" s="121">
        <f>VLOOKUP(D29,'A1 RETEST 5 DEC'!$1:$2096,2,False)</f>
        <v>50</v>
      </c>
      <c r="M29" s="122">
        <f>VLOOKUP(D29,'A2 RETEST 4 DEC'!$1:$2096,2,False)</f>
        <v>50</v>
      </c>
      <c r="N29" s="122">
        <v>53.0</v>
      </c>
      <c r="O29" s="121"/>
      <c r="P29" s="123">
        <f>IFNA(VLOOKUP(D29,'S1'!$1:$1500,2,False),0)</f>
        <v>87</v>
      </c>
      <c r="Q29" s="123">
        <f>vlookup(D29,'S2'!A25:B1227,2,0)</f>
        <v>50</v>
      </c>
      <c r="R29" s="123">
        <f>ifna(vlookup(D29,'S3'!$1:$1311,2,False),0)</f>
        <v>90</v>
      </c>
      <c r="S29" s="123"/>
      <c r="T29" s="125">
        <v>16.0</v>
      </c>
      <c r="U29" s="125">
        <v>21.0</v>
      </c>
      <c r="V29" s="125">
        <v>86.0</v>
      </c>
      <c r="W29" s="290">
        <v>82.0</v>
      </c>
      <c r="X29" s="291">
        <v>76.0</v>
      </c>
      <c r="Y29" s="125"/>
      <c r="Z29" s="292"/>
      <c r="AA29" s="293">
        <v>60.0</v>
      </c>
      <c r="AB29" s="294">
        <v>75.0</v>
      </c>
      <c r="AC29" s="295">
        <v>80.0</v>
      </c>
      <c r="AD29" s="296">
        <v>4.0</v>
      </c>
      <c r="AE29" s="297">
        <v>70.0</v>
      </c>
      <c r="AF29" s="298"/>
      <c r="AG29" s="298">
        <v>82.0</v>
      </c>
      <c r="AH29" s="298"/>
      <c r="AI29" s="299"/>
      <c r="AJ29" s="299"/>
      <c r="AK29" s="300">
        <f t="shared" si="1"/>
        <v>4</v>
      </c>
      <c r="AL29" s="300">
        <f t="shared" si="2"/>
        <v>3</v>
      </c>
      <c r="AM29" s="301">
        <f t="shared" si="3"/>
        <v>3</v>
      </c>
      <c r="AN29" s="300" t="str">
        <f t="shared" si="4"/>
        <v>3.5</v>
      </c>
      <c r="AO29" s="300">
        <f t="shared" si="5"/>
        <v>3</v>
      </c>
      <c r="AP29" s="88"/>
    </row>
    <row r="30">
      <c r="A30" s="284">
        <v>26.0</v>
      </c>
      <c r="B30" s="285" t="s">
        <v>1796</v>
      </c>
      <c r="C30" s="285" t="s">
        <v>2748</v>
      </c>
      <c r="D30" s="286" t="str">
        <f>VLOOKUP(B30,USN!$1:$1088,2,False)</f>
        <v>1CR23AD026</v>
      </c>
      <c r="E30" s="285">
        <v>9.748842426E9</v>
      </c>
      <c r="F30" s="287" t="s">
        <v>3715</v>
      </c>
      <c r="G30" s="288"/>
      <c r="H30" s="289">
        <v>72.0</v>
      </c>
      <c r="I30" s="120">
        <v>73.0</v>
      </c>
      <c r="J30" s="120">
        <f>VLOOKUP(D30,'L3'!$1:$2060,2,False)</f>
        <v>35</v>
      </c>
      <c r="K30" s="120">
        <f>VLOOKUP(D30,'L4'!$1:$2059,2,False)</f>
        <v>36</v>
      </c>
      <c r="L30" s="121">
        <f>VLOOKUP(D30,'A1 RETEST 5 DEC'!$1:$2096,2,False)</f>
        <v>28</v>
      </c>
      <c r="M30" s="122">
        <f>VLOOKUP(D30,'A2 RETEST 4 DEC'!$1:$2096,2,False)</f>
        <v>12</v>
      </c>
      <c r="N30" s="122">
        <v>0.0</v>
      </c>
      <c r="O30" s="121"/>
      <c r="P30" s="123">
        <f>IFNA(VLOOKUP(D30,'S1'!$1:$1500,2,False),0)</f>
        <v>0</v>
      </c>
      <c r="Q30" s="123">
        <f>vlookup(D30,'S2'!A26:B1228,2,0)</f>
        <v>0</v>
      </c>
      <c r="R30" s="123">
        <f>ifna(vlookup(D30,'S3'!$1:$1311,2,False),0)</f>
        <v>0</v>
      </c>
      <c r="S30" s="123"/>
      <c r="T30" s="125">
        <v>10.0</v>
      </c>
      <c r="U30" s="125">
        <v>20.0</v>
      </c>
      <c r="V30" s="125">
        <v>84.0</v>
      </c>
      <c r="W30" s="290">
        <v>58.0</v>
      </c>
      <c r="X30" s="291">
        <v>86.0</v>
      </c>
      <c r="Y30" s="125"/>
      <c r="Z30" s="292"/>
      <c r="AA30" s="293">
        <v>87.0</v>
      </c>
      <c r="AB30" s="294">
        <v>66.0</v>
      </c>
      <c r="AC30" s="295">
        <v>0.0</v>
      </c>
      <c r="AD30" s="296">
        <v>0.0</v>
      </c>
      <c r="AE30" s="297">
        <v>10.0</v>
      </c>
      <c r="AF30" s="298"/>
      <c r="AG30" s="298">
        <v>0.0</v>
      </c>
      <c r="AH30" s="298"/>
      <c r="AI30" s="299"/>
      <c r="AJ30" s="299"/>
      <c r="AK30" s="300">
        <f t="shared" si="1"/>
        <v>2</v>
      </c>
      <c r="AL30" s="300">
        <f t="shared" si="2"/>
        <v>0</v>
      </c>
      <c r="AM30" s="301">
        <f t="shared" si="3"/>
        <v>3</v>
      </c>
      <c r="AN30" s="300" t="str">
        <f t="shared" si="4"/>
        <v>2</v>
      </c>
      <c r="AO30" s="300">
        <f t="shared" si="5"/>
        <v>0</v>
      </c>
      <c r="AP30" s="88"/>
    </row>
    <row r="31">
      <c r="A31" s="284">
        <v>27.0</v>
      </c>
      <c r="B31" s="285" t="s">
        <v>1766</v>
      </c>
      <c r="C31" s="285" t="s">
        <v>2749</v>
      </c>
      <c r="D31" s="286" t="str">
        <f>VLOOKUP(B31,USN!$1:$1088,2,False)</f>
        <v>1CR23AD027</v>
      </c>
      <c r="E31" s="285">
        <v>9.590688364E9</v>
      </c>
      <c r="F31" s="287" t="s">
        <v>3715</v>
      </c>
      <c r="G31" s="288"/>
      <c r="H31" s="289">
        <v>79.0</v>
      </c>
      <c r="I31" s="120">
        <v>83.0</v>
      </c>
      <c r="J31" s="120">
        <f>VLOOKUP(D31,'L3'!$1:$2060,2,False)</f>
        <v>76</v>
      </c>
      <c r="K31" s="120">
        <f>VLOOKUP(D31,'L4'!$1:$2059,2,False)</f>
        <v>70</v>
      </c>
      <c r="L31" s="121">
        <f>VLOOKUP(D31,'A1 RETEST 5 DEC'!$1:$2096,2,False)</f>
        <v>50</v>
      </c>
      <c r="M31" s="122">
        <f>VLOOKUP(D31,'A2 RETEST 4 DEC'!$1:$2096,2,False)</f>
        <v>50</v>
      </c>
      <c r="N31" s="122">
        <v>38.0</v>
      </c>
      <c r="O31" s="121"/>
      <c r="P31" s="123">
        <f>IFNA(VLOOKUP(D31,'S1'!$1:$1500,2,False),0)</f>
        <v>87</v>
      </c>
      <c r="Q31" s="123">
        <f>vlookup(D31,'S2'!A27:B1229,2,0)</f>
        <v>50</v>
      </c>
      <c r="R31" s="123">
        <f>ifna(vlookup(D31,'S3'!$1:$1311,2,False),0)</f>
        <v>50</v>
      </c>
      <c r="S31" s="123"/>
      <c r="T31" s="125">
        <v>10.0</v>
      </c>
      <c r="U31" s="125">
        <v>23.0</v>
      </c>
      <c r="V31" s="125">
        <v>94.0</v>
      </c>
      <c r="W31" s="290">
        <v>74.0</v>
      </c>
      <c r="X31" s="291">
        <v>76.0</v>
      </c>
      <c r="Y31" s="125"/>
      <c r="Z31" s="292"/>
      <c r="AA31" s="293">
        <v>16.0</v>
      </c>
      <c r="AB31" s="294">
        <v>73.0</v>
      </c>
      <c r="AC31" s="295">
        <v>89.0</v>
      </c>
      <c r="AD31" s="302">
        <v>80.0</v>
      </c>
      <c r="AE31" s="297">
        <v>10.0</v>
      </c>
      <c r="AF31" s="298"/>
      <c r="AG31" s="298">
        <v>71.0</v>
      </c>
      <c r="AH31" s="298"/>
      <c r="AI31" s="299"/>
      <c r="AJ31" s="299"/>
      <c r="AK31" s="300">
        <f t="shared" si="1"/>
        <v>4</v>
      </c>
      <c r="AL31" s="300">
        <f t="shared" si="2"/>
        <v>2</v>
      </c>
      <c r="AM31" s="301">
        <f t="shared" si="3"/>
        <v>3</v>
      </c>
      <c r="AN31" s="300" t="str">
        <f t="shared" si="4"/>
        <v>3</v>
      </c>
      <c r="AO31" s="300">
        <f t="shared" si="5"/>
        <v>3</v>
      </c>
      <c r="AP31" s="88"/>
    </row>
    <row r="32">
      <c r="A32" s="284">
        <v>28.0</v>
      </c>
      <c r="B32" s="285" t="s">
        <v>31</v>
      </c>
      <c r="C32" s="285" t="s">
        <v>2750</v>
      </c>
      <c r="D32" s="286" t="str">
        <f>VLOOKUP(B32,USN!$1:$1088,2,False)</f>
        <v>1CR23AD028</v>
      </c>
      <c r="E32" s="285">
        <v>9.620027669E9</v>
      </c>
      <c r="F32" s="287" t="s">
        <v>3715</v>
      </c>
      <c r="G32" s="288"/>
      <c r="H32" s="120">
        <v>88.0</v>
      </c>
      <c r="I32" s="120">
        <v>73.0</v>
      </c>
      <c r="J32" s="120">
        <f>VLOOKUP(D32,'L3'!$1:$2060,2,False)</f>
        <v>70</v>
      </c>
      <c r="K32" s="120">
        <f>VLOOKUP(D32,'L4'!$1:$2059,2,False)</f>
        <v>70</v>
      </c>
      <c r="L32" s="121">
        <f>VLOOKUP(D32,'A1 RETEST 5 DEC'!$1:$2096,2,False)</f>
        <v>50</v>
      </c>
      <c r="M32" s="122">
        <f>VLOOKUP(D32,'A2 RETEST 4 DEC'!$1:$2096,2,False)</f>
        <v>30</v>
      </c>
      <c r="N32" s="122">
        <v>51.0</v>
      </c>
      <c r="O32" s="121"/>
      <c r="P32" s="123">
        <f>IFNA(VLOOKUP(D32,'S1'!$1:$1500,2,False),0)</f>
        <v>83</v>
      </c>
      <c r="Q32" s="123">
        <f>vlookup(D32,'S2'!A28:B1230,2,0)</f>
        <v>81</v>
      </c>
      <c r="R32" s="123">
        <f>ifna(vlookup(D32,'S3'!$1:$1311,2,False),0)</f>
        <v>0</v>
      </c>
      <c r="S32" s="123"/>
      <c r="T32" s="125">
        <v>12.0</v>
      </c>
      <c r="U32" s="125">
        <v>20.0</v>
      </c>
      <c r="V32" s="125">
        <v>90.0</v>
      </c>
      <c r="W32" s="290">
        <v>50.0</v>
      </c>
      <c r="X32" s="291">
        <v>84.0</v>
      </c>
      <c r="Y32" s="125"/>
      <c r="Z32" s="292"/>
      <c r="AA32" s="293">
        <v>0.0</v>
      </c>
      <c r="AB32" s="294">
        <v>100.0</v>
      </c>
      <c r="AC32" s="295">
        <v>62.0</v>
      </c>
      <c r="AD32" s="296">
        <v>1.0</v>
      </c>
      <c r="AE32" s="297">
        <v>38.0</v>
      </c>
      <c r="AF32" s="298"/>
      <c r="AG32" s="298">
        <v>70.0</v>
      </c>
      <c r="AH32" s="298"/>
      <c r="AI32" s="299"/>
      <c r="AJ32" s="299"/>
      <c r="AK32" s="300">
        <f t="shared" si="1"/>
        <v>4</v>
      </c>
      <c r="AL32" s="300">
        <f t="shared" si="2"/>
        <v>1</v>
      </c>
      <c r="AM32" s="301">
        <f t="shared" si="3"/>
        <v>3</v>
      </c>
      <c r="AN32" s="300" t="str">
        <f t="shared" si="4"/>
        <v>3</v>
      </c>
      <c r="AO32" s="300">
        <f t="shared" si="5"/>
        <v>2</v>
      </c>
      <c r="AP32" s="88"/>
    </row>
    <row r="33">
      <c r="A33" s="284">
        <v>29.0</v>
      </c>
      <c r="B33" s="285" t="s">
        <v>1767</v>
      </c>
      <c r="C33" s="285" t="s">
        <v>2751</v>
      </c>
      <c r="D33" s="286" t="str">
        <f>VLOOKUP(B33,USN!$1:$1088,2,False)</f>
        <v>1CR23AD029</v>
      </c>
      <c r="E33" s="285">
        <v>7.338251295E9</v>
      </c>
      <c r="F33" s="287" t="s">
        <v>3715</v>
      </c>
      <c r="G33" s="288"/>
      <c r="H33" s="289">
        <v>71.0</v>
      </c>
      <c r="I33" s="120">
        <v>75.0</v>
      </c>
      <c r="J33" s="120">
        <f>VLOOKUP(D33,'L3'!$1:$2060,2,False)</f>
        <v>70</v>
      </c>
      <c r="K33" s="120">
        <f>VLOOKUP(D33,'L4'!$1:$2059,2,False)</f>
        <v>51</v>
      </c>
      <c r="L33" s="121">
        <f>VLOOKUP(D33,'A1 RETEST 5 DEC'!$1:$2096,2,False)</f>
        <v>50</v>
      </c>
      <c r="M33" s="122">
        <f>VLOOKUP(D33,'A2 RETEST 4 DEC'!$1:$2096,2,False)</f>
        <v>50</v>
      </c>
      <c r="N33" s="122">
        <v>50.0</v>
      </c>
      <c r="O33" s="121"/>
      <c r="P33" s="123">
        <f>IFNA(VLOOKUP(D33,'S1'!$1:$1500,2,False),0)</f>
        <v>50</v>
      </c>
      <c r="Q33" s="123">
        <f>vlookup(D33,'S2'!A29:B1231,2,0)</f>
        <v>50</v>
      </c>
      <c r="R33" s="123">
        <f>ifna(vlookup(D33,'S3'!$1:$1311,2,False),0)</f>
        <v>84</v>
      </c>
      <c r="S33" s="123"/>
      <c r="T33" s="125">
        <v>10.0</v>
      </c>
      <c r="U33" s="125">
        <v>24.0</v>
      </c>
      <c r="V33" s="125">
        <v>90.0</v>
      </c>
      <c r="W33" s="308">
        <v>86.0</v>
      </c>
      <c r="X33" s="291">
        <v>78.0</v>
      </c>
      <c r="Y33" s="125"/>
      <c r="Z33" s="292"/>
      <c r="AA33" s="293">
        <v>0.0</v>
      </c>
      <c r="AB33" s="294">
        <v>51.0</v>
      </c>
      <c r="AC33" s="295">
        <v>80.0</v>
      </c>
      <c r="AD33" s="296">
        <v>4.0</v>
      </c>
      <c r="AE33" s="297">
        <v>17.0</v>
      </c>
      <c r="AF33" s="298"/>
      <c r="AG33" s="298">
        <v>71.0</v>
      </c>
      <c r="AH33" s="298"/>
      <c r="AI33" s="299"/>
      <c r="AJ33" s="299"/>
      <c r="AK33" s="300">
        <f t="shared" si="1"/>
        <v>3</v>
      </c>
      <c r="AL33" s="300">
        <f t="shared" si="2"/>
        <v>3</v>
      </c>
      <c r="AM33" s="301">
        <f t="shared" si="3"/>
        <v>3</v>
      </c>
      <c r="AN33" s="300" t="str">
        <f t="shared" si="4"/>
        <v>3</v>
      </c>
      <c r="AO33" s="300">
        <f t="shared" si="5"/>
        <v>3</v>
      </c>
      <c r="AP33" s="88"/>
    </row>
    <row r="34">
      <c r="A34" s="284">
        <v>30.0</v>
      </c>
      <c r="B34" s="304" t="s">
        <v>1872</v>
      </c>
      <c r="C34" s="304" t="s">
        <v>2752</v>
      </c>
      <c r="D34" s="286" t="str">
        <f>VLOOKUP(B34,USN!$1:$1088,2,False)</f>
        <v>1CR23AD030</v>
      </c>
      <c r="E34" s="304">
        <v>6.364001484E9</v>
      </c>
      <c r="F34" s="287" t="s">
        <v>3715</v>
      </c>
      <c r="G34" s="288"/>
      <c r="H34" s="289">
        <v>74.0</v>
      </c>
      <c r="I34" s="120">
        <v>75.0</v>
      </c>
      <c r="J34" s="120">
        <f>VLOOKUP(D34,'L3'!$1:$2060,2,False)</f>
        <v>70</v>
      </c>
      <c r="K34" s="120">
        <f>VLOOKUP(D34,'L4'!$1:$2059,2,False)</f>
        <v>70</v>
      </c>
      <c r="L34" s="121">
        <f>VLOOKUP(D34,'A1 RETEST 5 DEC'!$1:$2096,2,False)</f>
        <v>50</v>
      </c>
      <c r="M34" s="122">
        <f>VLOOKUP(D34,'A2 RETEST 4 DEC'!$1:$2096,2,False)</f>
        <v>29</v>
      </c>
      <c r="N34" s="122">
        <v>50.0</v>
      </c>
      <c r="O34" s="121"/>
      <c r="P34" s="123">
        <f>IFNA(VLOOKUP(D34,'S1'!$1:$1500,2,False),0)</f>
        <v>50</v>
      </c>
      <c r="Q34" s="123">
        <f>vlookup(D34,'S2'!A30:B1232,2,0)</f>
        <v>50</v>
      </c>
      <c r="R34" s="123">
        <f>ifna(vlookup(D34,'S3'!$1:$1311,2,False),0)</f>
        <v>0</v>
      </c>
      <c r="S34" s="123"/>
      <c r="T34" s="125">
        <v>21.0</v>
      </c>
      <c r="U34" s="125">
        <v>21.0</v>
      </c>
      <c r="V34" s="125">
        <v>90.0</v>
      </c>
      <c r="W34" s="290">
        <v>94.0</v>
      </c>
      <c r="X34" s="291">
        <v>94.0</v>
      </c>
      <c r="Y34" s="125"/>
      <c r="Z34" s="292"/>
      <c r="AA34" s="293">
        <v>6.0</v>
      </c>
      <c r="AB34" s="294">
        <v>100.0</v>
      </c>
      <c r="AC34" s="295">
        <v>37.0</v>
      </c>
      <c r="AD34" s="302">
        <v>70.0</v>
      </c>
      <c r="AE34" s="297">
        <v>40.0</v>
      </c>
      <c r="AF34" s="298"/>
      <c r="AG34" s="298">
        <v>71.0</v>
      </c>
      <c r="AH34" s="298"/>
      <c r="AI34" s="299"/>
      <c r="AJ34" s="299"/>
      <c r="AK34" s="300">
        <f t="shared" si="1"/>
        <v>4</v>
      </c>
      <c r="AL34" s="300">
        <f t="shared" si="2"/>
        <v>1</v>
      </c>
      <c r="AM34" s="301">
        <f t="shared" si="3"/>
        <v>3</v>
      </c>
      <c r="AN34" s="300" t="str">
        <f t="shared" si="4"/>
        <v>3</v>
      </c>
      <c r="AO34" s="300">
        <f t="shared" si="5"/>
        <v>2</v>
      </c>
      <c r="AP34" s="88"/>
    </row>
    <row r="35">
      <c r="A35" s="284">
        <v>31.0</v>
      </c>
      <c r="B35" s="285" t="s">
        <v>1810</v>
      </c>
      <c r="C35" s="285" t="s">
        <v>2753</v>
      </c>
      <c r="D35" s="286" t="str">
        <f>VLOOKUP(B35,USN!$1:$1088,2,False)</f>
        <v>1CR23AD031</v>
      </c>
      <c r="E35" s="285">
        <v>8.904754876E9</v>
      </c>
      <c r="F35" s="287" t="s">
        <v>3715</v>
      </c>
      <c r="G35" s="288"/>
      <c r="H35" s="289">
        <v>80.0</v>
      </c>
      <c r="I35" s="120">
        <v>76.0</v>
      </c>
      <c r="J35" s="120">
        <f>VLOOKUP(D35,'L3'!$1:$2060,2,False)</f>
        <v>56</v>
      </c>
      <c r="K35" s="120">
        <f>VLOOKUP(D35,'L4'!$1:$2059,2,False)</f>
        <v>44</v>
      </c>
      <c r="L35" s="121">
        <f>VLOOKUP(D35,'A1 RETEST 5 DEC'!$1:$2096,2,False)</f>
        <v>50</v>
      </c>
      <c r="M35" s="122">
        <f>VLOOKUP(D35,'A2 RETEST 4 DEC'!$1:$2096,2,False)</f>
        <v>7</v>
      </c>
      <c r="N35" s="122">
        <v>10.0</v>
      </c>
      <c r="O35" s="121"/>
      <c r="P35" s="123">
        <f>IFNA(VLOOKUP(D35,'S1'!$1:$1500,2,False),0)</f>
        <v>0</v>
      </c>
      <c r="Q35" s="123">
        <f>vlookup(D35,'S2'!A31:B1233,2,0)</f>
        <v>0</v>
      </c>
      <c r="R35" s="123">
        <f>ifna(vlookup(D35,'S3'!$1:$1311,2,False),0)</f>
        <v>0</v>
      </c>
      <c r="S35" s="123"/>
      <c r="T35" s="125">
        <v>10.0</v>
      </c>
      <c r="U35" s="125">
        <v>23.0</v>
      </c>
      <c r="V35" s="125">
        <v>90.0</v>
      </c>
      <c r="W35" s="290">
        <v>86.0</v>
      </c>
      <c r="X35" s="291">
        <v>74.0</v>
      </c>
      <c r="Y35" s="125"/>
      <c r="Z35" s="292"/>
      <c r="AA35" s="293">
        <v>4.0</v>
      </c>
      <c r="AB35" s="294">
        <v>70.0</v>
      </c>
      <c r="AC35" s="295">
        <v>52.0</v>
      </c>
      <c r="AD35" s="296">
        <v>0.0</v>
      </c>
      <c r="AE35" s="297">
        <v>45.0</v>
      </c>
      <c r="AF35" s="298"/>
      <c r="AG35" s="298">
        <v>0.0</v>
      </c>
      <c r="AH35" s="298"/>
      <c r="AI35" s="299"/>
      <c r="AJ35" s="299"/>
      <c r="AK35" s="300">
        <f t="shared" si="1"/>
        <v>2</v>
      </c>
      <c r="AL35" s="300">
        <f t="shared" si="2"/>
        <v>1</v>
      </c>
      <c r="AM35" s="301">
        <f t="shared" si="3"/>
        <v>3</v>
      </c>
      <c r="AN35" s="300" t="str">
        <f t="shared" si="4"/>
        <v>2</v>
      </c>
      <c r="AO35" s="300">
        <f t="shared" si="5"/>
        <v>0</v>
      </c>
      <c r="AP35" s="88"/>
    </row>
    <row r="36">
      <c r="A36" s="284">
        <v>32.0</v>
      </c>
      <c r="B36" s="285" t="s">
        <v>1768</v>
      </c>
      <c r="C36" s="285" t="s">
        <v>2754</v>
      </c>
      <c r="D36" s="286" t="str">
        <f>VLOOKUP(B36,USN!$1:$1088,2,False)</f>
        <v>1CR23AD032</v>
      </c>
      <c r="E36" s="285">
        <v>9.980050069E9</v>
      </c>
      <c r="F36" s="287" t="s">
        <v>3715</v>
      </c>
      <c r="G36" s="288"/>
      <c r="H36" s="289">
        <v>75.0</v>
      </c>
      <c r="I36" s="120">
        <v>81.0</v>
      </c>
      <c r="J36" s="120">
        <f>VLOOKUP(D36,'L3'!$1:$2060,2,False)</f>
        <v>70</v>
      </c>
      <c r="K36" s="120">
        <f>VLOOKUP(D36,'L4'!$1:$2059,2,False)</f>
        <v>70</v>
      </c>
      <c r="L36" s="121">
        <f>VLOOKUP(D36,'A1 RETEST 5 DEC'!$1:$2096,2,False)</f>
        <v>50</v>
      </c>
      <c r="M36" s="122">
        <f>VLOOKUP(D36,'A2 RETEST 4 DEC'!$1:$2096,2,False)</f>
        <v>25</v>
      </c>
      <c r="N36" s="122">
        <v>58.0</v>
      </c>
      <c r="O36" s="121"/>
      <c r="P36" s="123">
        <f>IFNA(VLOOKUP(D36,'S1'!$1:$1500,2,False),0)</f>
        <v>77</v>
      </c>
      <c r="Q36" s="123">
        <f>vlookup(D36,'S2'!A32:B1234,2,0)</f>
        <v>83</v>
      </c>
      <c r="R36" s="123">
        <f>ifna(vlookup(D36,'S3'!$1:$1311,2,False),0)</f>
        <v>92</v>
      </c>
      <c r="S36" s="123"/>
      <c r="T36" s="125">
        <v>11.0</v>
      </c>
      <c r="U36" s="125">
        <v>20.0</v>
      </c>
      <c r="V36" s="125">
        <v>56.0</v>
      </c>
      <c r="W36" s="290">
        <v>78.0</v>
      </c>
      <c r="X36" s="291">
        <v>84.0</v>
      </c>
      <c r="Y36" s="125"/>
      <c r="Z36" s="292"/>
      <c r="AA36" s="293">
        <v>0.0</v>
      </c>
      <c r="AB36" s="294">
        <v>67.0</v>
      </c>
      <c r="AC36" s="295">
        <v>74.0</v>
      </c>
      <c r="AD36" s="296">
        <v>12.0</v>
      </c>
      <c r="AE36" s="297">
        <v>31.0</v>
      </c>
      <c r="AF36" s="298"/>
      <c r="AG36" s="298">
        <v>80.0</v>
      </c>
      <c r="AH36" s="298"/>
      <c r="AI36" s="299"/>
      <c r="AJ36" s="299"/>
      <c r="AK36" s="300">
        <f t="shared" si="1"/>
        <v>4</v>
      </c>
      <c r="AL36" s="300">
        <f t="shared" si="2"/>
        <v>1</v>
      </c>
      <c r="AM36" s="301">
        <f t="shared" si="3"/>
        <v>3</v>
      </c>
      <c r="AN36" s="300" t="str">
        <f t="shared" si="4"/>
        <v>3</v>
      </c>
      <c r="AO36" s="300">
        <f t="shared" si="5"/>
        <v>3</v>
      </c>
      <c r="AP36" s="88"/>
    </row>
    <row r="37">
      <c r="A37" s="284">
        <v>33.0</v>
      </c>
      <c r="B37" s="285" t="s">
        <v>1769</v>
      </c>
      <c r="C37" s="285" t="s">
        <v>2755</v>
      </c>
      <c r="D37" s="286" t="str">
        <f>VLOOKUP(B37,USN!$1:$1088,2,False)</f>
        <v>1CR23AD033</v>
      </c>
      <c r="E37" s="285">
        <v>7.337610329E9</v>
      </c>
      <c r="F37" s="287" t="s">
        <v>3715</v>
      </c>
      <c r="G37" s="288"/>
      <c r="H37" s="289">
        <v>75.0</v>
      </c>
      <c r="I37" s="120">
        <v>90.0</v>
      </c>
      <c r="J37" s="120">
        <f>VLOOKUP(D37,'L3'!$1:$2060,2,False)</f>
        <v>70</v>
      </c>
      <c r="K37" s="120">
        <f>VLOOKUP(D37,'L4'!$1:$2059,2,False)</f>
        <v>72</v>
      </c>
      <c r="L37" s="121">
        <f>VLOOKUP(D37,'A1 RETEST 5 DEC'!$1:$2096,2,False)</f>
        <v>50</v>
      </c>
      <c r="M37" s="122">
        <f>VLOOKUP(D37,'A2 RETEST 4 DEC'!$1:$2096,2,False)</f>
        <v>55</v>
      </c>
      <c r="N37" s="122">
        <v>60.0</v>
      </c>
      <c r="O37" s="121"/>
      <c r="P37" s="123">
        <f>IFNA(VLOOKUP(D37,'S1'!$1:$1500,2,False),0)</f>
        <v>81</v>
      </c>
      <c r="Q37" s="123">
        <f>vlookup(D37,'S2'!A33:B1235,2,0)</f>
        <v>81</v>
      </c>
      <c r="R37" s="123">
        <f>ifna(vlookup(D37,'S3'!$1:$1311,2,False),0)</f>
        <v>91</v>
      </c>
      <c r="S37" s="123"/>
      <c r="T37" s="125">
        <v>10.0</v>
      </c>
      <c r="U37" s="125">
        <v>21.0</v>
      </c>
      <c r="V37" s="125">
        <v>92.0</v>
      </c>
      <c r="W37" s="290">
        <v>86.0</v>
      </c>
      <c r="X37" s="291">
        <v>82.0</v>
      </c>
      <c r="Y37" s="125"/>
      <c r="Z37" s="292"/>
      <c r="AA37" s="293">
        <v>60.2</v>
      </c>
      <c r="AB37" s="294">
        <v>75.0</v>
      </c>
      <c r="AC37" s="295">
        <v>60.0</v>
      </c>
      <c r="AD37" s="302">
        <v>62.0</v>
      </c>
      <c r="AE37" s="297">
        <v>79.0</v>
      </c>
      <c r="AF37" s="298"/>
      <c r="AG37" s="298">
        <v>87.0</v>
      </c>
      <c r="AH37" s="298"/>
      <c r="AI37" s="299"/>
      <c r="AJ37" s="299"/>
      <c r="AK37" s="300">
        <f t="shared" si="1"/>
        <v>4</v>
      </c>
      <c r="AL37" s="300">
        <f t="shared" si="2"/>
        <v>3</v>
      </c>
      <c r="AM37" s="301">
        <f t="shared" si="3"/>
        <v>3</v>
      </c>
      <c r="AN37" s="300" t="str">
        <f t="shared" si="4"/>
        <v>3.5</v>
      </c>
      <c r="AO37" s="300">
        <f t="shared" si="5"/>
        <v>3</v>
      </c>
      <c r="AP37" s="88"/>
    </row>
    <row r="38">
      <c r="A38" s="284">
        <v>34.0</v>
      </c>
      <c r="B38" s="285" t="s">
        <v>1770</v>
      </c>
      <c r="C38" s="285" t="s">
        <v>2756</v>
      </c>
      <c r="D38" s="286" t="str">
        <f>VLOOKUP(B38,USN!$1:$1088,2,False)</f>
        <v>1CR23AD034</v>
      </c>
      <c r="E38" s="285">
        <v>8.074795936E9</v>
      </c>
      <c r="F38" s="287" t="s">
        <v>3715</v>
      </c>
      <c r="G38" s="288"/>
      <c r="H38" s="289">
        <v>74.0</v>
      </c>
      <c r="I38" s="120">
        <v>72.0</v>
      </c>
      <c r="J38" s="120">
        <f>VLOOKUP(D38,'L3'!$1:$2060,2,False)</f>
        <v>70</v>
      </c>
      <c r="K38" s="120">
        <f>VLOOKUP(D38,'L4'!$1:$2059,2,False)</f>
        <v>70</v>
      </c>
      <c r="L38" s="121">
        <f>VLOOKUP(D38,'A1 RETEST 5 DEC'!$1:$2096,2,False)</f>
        <v>21</v>
      </c>
      <c r="M38" s="122">
        <f>VLOOKUP(D38,'A2 RETEST 4 DEC'!$1:$2096,2,False)</f>
        <v>50</v>
      </c>
      <c r="N38" s="122">
        <v>54.0</v>
      </c>
      <c r="O38" s="121"/>
      <c r="P38" s="123">
        <f>IFNA(VLOOKUP(D38,'S1'!$1:$1500,2,False),0)</f>
        <v>50</v>
      </c>
      <c r="Q38" s="123">
        <f>vlookup(D38,'S2'!A34:B1236,2,0)</f>
        <v>50</v>
      </c>
      <c r="R38" s="123">
        <f>ifna(vlookup(D38,'S3'!$1:$1311,2,False),0)</f>
        <v>85</v>
      </c>
      <c r="S38" s="123"/>
      <c r="T38" s="125">
        <v>22.0</v>
      </c>
      <c r="U38" s="125">
        <v>25.0</v>
      </c>
      <c r="V38" s="125">
        <v>98.0</v>
      </c>
      <c r="W38" s="290">
        <v>80.0</v>
      </c>
      <c r="X38" s="291">
        <v>90.0</v>
      </c>
      <c r="Y38" s="125"/>
      <c r="Z38" s="292"/>
      <c r="AA38" s="293">
        <v>4.0</v>
      </c>
      <c r="AB38" s="294">
        <v>69.0</v>
      </c>
      <c r="AC38" s="295">
        <v>0.0</v>
      </c>
      <c r="AD38" s="302">
        <v>60.0</v>
      </c>
      <c r="AE38" s="297">
        <v>70.0</v>
      </c>
      <c r="AF38" s="298"/>
      <c r="AG38" s="298">
        <v>85.0</v>
      </c>
      <c r="AH38" s="298"/>
      <c r="AI38" s="299"/>
      <c r="AJ38" s="299"/>
      <c r="AK38" s="300">
        <f t="shared" si="1"/>
        <v>4</v>
      </c>
      <c r="AL38" s="300">
        <f t="shared" si="2"/>
        <v>0</v>
      </c>
      <c r="AM38" s="301">
        <f t="shared" si="3"/>
        <v>3</v>
      </c>
      <c r="AN38" s="300" t="str">
        <f t="shared" si="4"/>
        <v>3.5</v>
      </c>
      <c r="AO38" s="300">
        <f t="shared" si="5"/>
        <v>3</v>
      </c>
      <c r="AP38" s="88"/>
    </row>
    <row r="39">
      <c r="A39" s="284">
        <v>35.0</v>
      </c>
      <c r="B39" s="285" t="s">
        <v>1797</v>
      </c>
      <c r="C39" s="285" t="s">
        <v>2757</v>
      </c>
      <c r="D39" s="286" t="str">
        <f>VLOOKUP(B39,USN!$1:$1088,2,False)</f>
        <v>1CR23AD035</v>
      </c>
      <c r="E39" s="285">
        <v>7.899674989E9</v>
      </c>
      <c r="F39" s="287" t="s">
        <v>3715</v>
      </c>
      <c r="G39" s="288"/>
      <c r="H39" s="289">
        <v>74.0</v>
      </c>
      <c r="I39" s="120">
        <v>78.0</v>
      </c>
      <c r="J39" s="120">
        <f>VLOOKUP(D39,'L3'!$1:$2060,2,False)</f>
        <v>26</v>
      </c>
      <c r="K39" s="120">
        <f>VLOOKUP(D39,'L4'!$1:$2059,2,False)</f>
        <v>70</v>
      </c>
      <c r="L39" s="121">
        <f>VLOOKUP(D39,'A1 RETEST 5 DEC'!$1:$2096,2,False)</f>
        <v>24</v>
      </c>
      <c r="M39" s="122">
        <f>VLOOKUP(D39,'A2 RETEST 4 DEC'!$1:$2096,2,False)</f>
        <v>18</v>
      </c>
      <c r="N39" s="122">
        <v>50.0</v>
      </c>
      <c r="O39" s="121"/>
      <c r="P39" s="123">
        <f>IFNA(VLOOKUP(D39,'S1'!$1:$1500,2,False),0)</f>
        <v>77</v>
      </c>
      <c r="Q39" s="123">
        <f>vlookup(D39,'S2'!A35:B1237,2,0)</f>
        <v>50</v>
      </c>
      <c r="R39" s="123">
        <f>ifna(vlookup(D39,'S3'!$1:$1311,2,False),0)</f>
        <v>50</v>
      </c>
      <c r="S39" s="123"/>
      <c r="T39" s="125">
        <v>11.0</v>
      </c>
      <c r="U39" s="125">
        <v>9.0</v>
      </c>
      <c r="V39" s="125">
        <v>84.0</v>
      </c>
      <c r="W39" s="290">
        <v>84.0</v>
      </c>
      <c r="X39" s="291">
        <v>68.0</v>
      </c>
      <c r="Y39" s="125"/>
      <c r="Z39" s="292"/>
      <c r="AA39" s="293">
        <v>15.0</v>
      </c>
      <c r="AB39" s="294">
        <v>54.0</v>
      </c>
      <c r="AC39" s="295">
        <v>0.0</v>
      </c>
      <c r="AD39" s="296">
        <v>2.0</v>
      </c>
      <c r="AE39" s="297">
        <v>60.0</v>
      </c>
      <c r="AF39" s="298"/>
      <c r="AG39" s="298">
        <v>32.0</v>
      </c>
      <c r="AH39" s="298"/>
      <c r="AI39" s="299"/>
      <c r="AJ39" s="299"/>
      <c r="AK39" s="300">
        <f t="shared" si="1"/>
        <v>2</v>
      </c>
      <c r="AL39" s="300">
        <f t="shared" si="2"/>
        <v>0</v>
      </c>
      <c r="AM39" s="301">
        <f t="shared" si="3"/>
        <v>0</v>
      </c>
      <c r="AN39" s="300" t="str">
        <f t="shared" si="4"/>
        <v>2</v>
      </c>
      <c r="AO39" s="300">
        <f t="shared" si="5"/>
        <v>3</v>
      </c>
      <c r="AP39" s="88"/>
    </row>
    <row r="40">
      <c r="A40" s="284">
        <v>36.0</v>
      </c>
      <c r="B40" s="285" t="s">
        <v>1771</v>
      </c>
      <c r="C40" s="285" t="s">
        <v>3722</v>
      </c>
      <c r="D40" s="286" t="str">
        <f>VLOOKUP(B40,USN!$1:$1088,2,False)</f>
        <v>1CR23AD036</v>
      </c>
      <c r="E40" s="285">
        <v>6.36601926E9</v>
      </c>
      <c r="F40" s="287" t="s">
        <v>3715</v>
      </c>
      <c r="G40" s="288"/>
      <c r="H40" s="289">
        <v>73.0</v>
      </c>
      <c r="I40" s="120">
        <v>86.0</v>
      </c>
      <c r="J40" s="120">
        <f>VLOOKUP(D40,'L3'!$1:$2060,2,False)</f>
        <v>70</v>
      </c>
      <c r="K40" s="120">
        <f>VLOOKUP(D40,'L4'!$1:$2059,2,False)</f>
        <v>70</v>
      </c>
      <c r="L40" s="121">
        <f>VLOOKUP(D40,'A1 RETEST 5 DEC'!$1:$2096,2,False)</f>
        <v>50</v>
      </c>
      <c r="M40" s="122">
        <f>VLOOKUP(D40,'A2 RETEST 4 DEC'!$1:$2096,2,False)</f>
        <v>23</v>
      </c>
      <c r="N40" s="122">
        <v>53.0</v>
      </c>
      <c r="O40" s="121"/>
      <c r="P40" s="123">
        <f>IFNA(VLOOKUP(D40,'S1'!$1:$1500,2,False),0)</f>
        <v>77</v>
      </c>
      <c r="Q40" s="123">
        <f>vlookup(D40,'S2'!A36:B1238,2,0)</f>
        <v>50</v>
      </c>
      <c r="R40" s="123">
        <f>ifna(vlookup(D40,'S3'!$1:$1311,2,False),0)</f>
        <v>92</v>
      </c>
      <c r="S40" s="123"/>
      <c r="T40" s="125">
        <v>19.0</v>
      </c>
      <c r="U40" s="125">
        <v>20.0</v>
      </c>
      <c r="V40" s="125">
        <v>74.0</v>
      </c>
      <c r="W40" s="308">
        <v>88.0</v>
      </c>
      <c r="X40" s="291">
        <v>84.0</v>
      </c>
      <c r="Y40" s="125"/>
      <c r="Z40" s="292"/>
      <c r="AA40" s="293">
        <v>0.0</v>
      </c>
      <c r="AB40" s="294">
        <v>69.0</v>
      </c>
      <c r="AC40" s="295">
        <v>0.0</v>
      </c>
      <c r="AD40" s="296">
        <v>1.0</v>
      </c>
      <c r="AE40" s="297">
        <v>20.0</v>
      </c>
      <c r="AF40" s="298"/>
      <c r="AG40" s="298">
        <v>82.0</v>
      </c>
      <c r="AH40" s="298"/>
      <c r="AI40" s="299"/>
      <c r="AJ40" s="299"/>
      <c r="AK40" s="300">
        <f t="shared" si="1"/>
        <v>4</v>
      </c>
      <c r="AL40" s="300">
        <f t="shared" si="2"/>
        <v>1</v>
      </c>
      <c r="AM40" s="301">
        <f t="shared" si="3"/>
        <v>3</v>
      </c>
      <c r="AN40" s="300" t="str">
        <f t="shared" si="4"/>
        <v>2</v>
      </c>
      <c r="AO40" s="300">
        <f t="shared" si="5"/>
        <v>3</v>
      </c>
      <c r="AP40" s="88"/>
    </row>
    <row r="41">
      <c r="A41" s="284">
        <v>37.0</v>
      </c>
      <c r="B41" s="285" t="s">
        <v>1772</v>
      </c>
      <c r="C41" s="285" t="s">
        <v>2759</v>
      </c>
      <c r="D41" s="286" t="str">
        <f>VLOOKUP(B41,USN!$1:$1088,2,False)</f>
        <v>1CR23AD037</v>
      </c>
      <c r="E41" s="285">
        <v>7.338378858E9</v>
      </c>
      <c r="F41" s="287" t="s">
        <v>3715</v>
      </c>
      <c r="G41" s="288"/>
      <c r="H41" s="289">
        <v>76.0</v>
      </c>
      <c r="I41" s="120">
        <v>84.0</v>
      </c>
      <c r="J41" s="120">
        <f>VLOOKUP(D41,'L3'!$1:$2060,2,False)</f>
        <v>70</v>
      </c>
      <c r="K41" s="120">
        <f>VLOOKUP(D41,'L4'!$1:$2059,2,False)</f>
        <v>74</v>
      </c>
      <c r="L41" s="121">
        <v>50.0</v>
      </c>
      <c r="M41" s="122">
        <f>VLOOKUP(D41,'A2 RETEST 4 DEC'!$1:$2096,2,False)</f>
        <v>50</v>
      </c>
      <c r="N41" s="122">
        <v>50.0</v>
      </c>
      <c r="O41" s="121"/>
      <c r="P41" s="123">
        <f>IFNA(VLOOKUP(D41,'S1'!$1:$1500,2,False),0)</f>
        <v>82</v>
      </c>
      <c r="Q41" s="123">
        <f>vlookup(D41,'S2'!A37:B1239,2,0)</f>
        <v>83</v>
      </c>
      <c r="R41" s="123">
        <f>ifna(vlookup(D41,'S3'!$1:$1311,2,False),0)</f>
        <v>92</v>
      </c>
      <c r="S41" s="123"/>
      <c r="T41" s="125">
        <v>22.0</v>
      </c>
      <c r="U41" s="125">
        <v>25.0</v>
      </c>
      <c r="V41" s="125">
        <v>88.0</v>
      </c>
      <c r="W41" s="290">
        <v>86.0</v>
      </c>
      <c r="X41" s="291">
        <v>88.0</v>
      </c>
      <c r="Y41" s="125"/>
      <c r="Z41" s="292"/>
      <c r="AA41" s="293">
        <v>92.0</v>
      </c>
      <c r="AB41" s="294">
        <v>72.0</v>
      </c>
      <c r="AC41" s="295">
        <v>100.0</v>
      </c>
      <c r="AD41" s="296">
        <v>13.0</v>
      </c>
      <c r="AE41" s="297">
        <v>97.0</v>
      </c>
      <c r="AF41" s="298"/>
      <c r="AG41" s="298">
        <v>82.0</v>
      </c>
      <c r="AH41" s="298"/>
      <c r="AI41" s="299"/>
      <c r="AJ41" s="299"/>
      <c r="AK41" s="300">
        <f t="shared" si="1"/>
        <v>4</v>
      </c>
      <c r="AL41" s="300">
        <f t="shared" si="2"/>
        <v>3</v>
      </c>
      <c r="AM41" s="301">
        <f t="shared" si="3"/>
        <v>3</v>
      </c>
      <c r="AN41" s="300" t="str">
        <f t="shared" si="4"/>
        <v>3.5</v>
      </c>
      <c r="AO41" s="300">
        <f t="shared" si="5"/>
        <v>3</v>
      </c>
      <c r="AP41" s="88"/>
    </row>
    <row r="42">
      <c r="A42" s="284">
        <v>38.0</v>
      </c>
      <c r="B42" s="285" t="s">
        <v>1773</v>
      </c>
      <c r="C42" s="285" t="s">
        <v>2760</v>
      </c>
      <c r="D42" s="286" t="str">
        <f>VLOOKUP(B42,USN!$1:$1088,2,False)</f>
        <v>1CR23AD038</v>
      </c>
      <c r="E42" s="285">
        <v>9.885731658E9</v>
      </c>
      <c r="F42" s="287" t="s">
        <v>3715</v>
      </c>
      <c r="G42" s="288"/>
      <c r="H42" s="289">
        <v>79.0</v>
      </c>
      <c r="I42" s="120">
        <v>86.0</v>
      </c>
      <c r="J42" s="120">
        <f>VLOOKUP(D42,'L3'!$1:$2060,2,False)</f>
        <v>80</v>
      </c>
      <c r="K42" s="120">
        <f>VLOOKUP(D42,'L4'!$1:$2059,2,False)</f>
        <v>75</v>
      </c>
      <c r="L42" s="121">
        <f>VLOOKUP(D42,'A1 RETEST 5 DEC'!$1:$2096,2,False)</f>
        <v>50</v>
      </c>
      <c r="M42" s="122">
        <f>VLOOKUP(D42,'A2 RETEST 4 DEC'!$1:$2096,2,False)</f>
        <v>50</v>
      </c>
      <c r="N42" s="122">
        <v>50.0</v>
      </c>
      <c r="O42" s="121"/>
      <c r="P42" s="123">
        <f>IFNA(VLOOKUP(D42,'S1'!$1:$1500,2,False),0)</f>
        <v>84</v>
      </c>
      <c r="Q42" s="123">
        <f>vlookup(D42,'S2'!A38:B1240,2,0)</f>
        <v>83</v>
      </c>
      <c r="R42" s="123">
        <f>ifna(vlookup(D42,'S3'!$1:$1311,2,False),0)</f>
        <v>93</v>
      </c>
      <c r="S42" s="123"/>
      <c r="T42" s="125">
        <v>16.0</v>
      </c>
      <c r="U42" s="125">
        <v>22.0</v>
      </c>
      <c r="V42" s="125">
        <v>92.0</v>
      </c>
      <c r="W42" s="290">
        <v>82.0</v>
      </c>
      <c r="X42" s="291">
        <v>80.0</v>
      </c>
      <c r="Y42" s="125"/>
      <c r="Z42" s="292"/>
      <c r="AA42" s="293">
        <v>4.0</v>
      </c>
      <c r="AB42" s="294">
        <v>50.0</v>
      </c>
      <c r="AC42" s="295">
        <v>90.0</v>
      </c>
      <c r="AD42" s="296">
        <v>17.0</v>
      </c>
      <c r="AE42" s="297">
        <v>75.0</v>
      </c>
      <c r="AF42" s="298"/>
      <c r="AG42" s="298">
        <v>83.0</v>
      </c>
      <c r="AH42" s="298"/>
      <c r="AI42" s="299"/>
      <c r="AJ42" s="299"/>
      <c r="AK42" s="300">
        <f t="shared" si="1"/>
        <v>4</v>
      </c>
      <c r="AL42" s="300">
        <f t="shared" si="2"/>
        <v>3</v>
      </c>
      <c r="AM42" s="301">
        <f t="shared" si="3"/>
        <v>3</v>
      </c>
      <c r="AN42" s="300" t="str">
        <f t="shared" si="4"/>
        <v>3.5</v>
      </c>
      <c r="AO42" s="300">
        <f t="shared" si="5"/>
        <v>3</v>
      </c>
      <c r="AP42" s="88"/>
    </row>
    <row r="43">
      <c r="A43" s="284">
        <v>39.0</v>
      </c>
      <c r="B43" s="285" t="s">
        <v>1774</v>
      </c>
      <c r="C43" s="285" t="s">
        <v>2761</v>
      </c>
      <c r="D43" s="286" t="str">
        <f>VLOOKUP(B43,USN!$1:$1088,2,False)</f>
        <v>1CR23AD039</v>
      </c>
      <c r="E43" s="285">
        <v>7.89296403E9</v>
      </c>
      <c r="F43" s="287" t="s">
        <v>3715</v>
      </c>
      <c r="G43" s="288"/>
      <c r="H43" s="289">
        <v>79.0</v>
      </c>
      <c r="I43" s="120">
        <v>83.0</v>
      </c>
      <c r="J43" s="120">
        <f>VLOOKUP(D43,'L3'!$1:$2060,2,False)</f>
        <v>79</v>
      </c>
      <c r="K43" s="120">
        <f>VLOOKUP(D43,'L4'!$1:$2059,2,False)</f>
        <v>70</v>
      </c>
      <c r="L43" s="121">
        <f>VLOOKUP(D43,'A1 RETEST 5 DEC'!$1:$2096,2,False)</f>
        <v>15</v>
      </c>
      <c r="M43" s="122">
        <f>VLOOKUP(D43,'A2 RETEST 4 DEC'!$1:$2096,2,False)</f>
        <v>50</v>
      </c>
      <c r="N43" s="122">
        <v>50.0</v>
      </c>
      <c r="O43" s="121"/>
      <c r="P43" s="123">
        <f>IFNA(VLOOKUP(D43,'S1'!$1:$1500,2,False),0)</f>
        <v>87</v>
      </c>
      <c r="Q43" s="123">
        <f>vlookup(D43,'S2'!A39:B1241,2,0)</f>
        <v>50</v>
      </c>
      <c r="R43" s="123">
        <f>ifna(vlookup(D43,'S3'!$1:$1311,2,False),0)</f>
        <v>92</v>
      </c>
      <c r="S43" s="123"/>
      <c r="T43" s="125">
        <v>16.0</v>
      </c>
      <c r="U43" s="125">
        <v>20.0</v>
      </c>
      <c r="V43" s="125">
        <v>92.0</v>
      </c>
      <c r="W43" s="290">
        <v>64.0</v>
      </c>
      <c r="X43" s="291">
        <v>88.0</v>
      </c>
      <c r="Y43" s="125"/>
      <c r="Z43" s="292"/>
      <c r="AA43" s="293">
        <v>64.0</v>
      </c>
      <c r="AB43" s="294">
        <v>68.0</v>
      </c>
      <c r="AC43" s="295">
        <v>0.0</v>
      </c>
      <c r="AD43" s="302">
        <v>60.0</v>
      </c>
      <c r="AE43" s="297">
        <v>70.0</v>
      </c>
      <c r="AF43" s="298"/>
      <c r="AG43" s="298">
        <v>79.0</v>
      </c>
      <c r="AH43" s="298"/>
      <c r="AI43" s="299"/>
      <c r="AJ43" s="299"/>
      <c r="AK43" s="300">
        <f t="shared" si="1"/>
        <v>4</v>
      </c>
      <c r="AL43" s="300">
        <f t="shared" si="2"/>
        <v>0</v>
      </c>
      <c r="AM43" s="301">
        <f t="shared" si="3"/>
        <v>3</v>
      </c>
      <c r="AN43" s="300" t="str">
        <f t="shared" si="4"/>
        <v>3.5</v>
      </c>
      <c r="AO43" s="300">
        <f t="shared" si="5"/>
        <v>3</v>
      </c>
      <c r="AP43" s="88"/>
    </row>
    <row r="44">
      <c r="A44" s="284">
        <v>40.0</v>
      </c>
      <c r="B44" s="285" t="s">
        <v>1775</v>
      </c>
      <c r="C44" s="285" t="s">
        <v>3723</v>
      </c>
      <c r="D44" s="286" t="str">
        <f>VLOOKUP(B44,USN!$1:$1088,2,False)</f>
        <v>1CR23AD040</v>
      </c>
      <c r="E44" s="285">
        <v>9.845544254E9</v>
      </c>
      <c r="F44" s="287" t="s">
        <v>3715</v>
      </c>
      <c r="G44" s="288"/>
      <c r="H44" s="289">
        <v>74.0</v>
      </c>
      <c r="I44" s="120">
        <v>75.0</v>
      </c>
      <c r="J44" s="120">
        <f>VLOOKUP(D44,'L3'!$1:$2060,2,False)</f>
        <v>70</v>
      </c>
      <c r="K44" s="120">
        <f>VLOOKUP(D44,'L4'!$1:$2059,2,False)</f>
        <v>70</v>
      </c>
      <c r="L44" s="121">
        <f>VLOOKUP(D44,'A1 RETEST 5 DEC'!$1:$2096,2,False)</f>
        <v>50</v>
      </c>
      <c r="M44" s="122">
        <f>VLOOKUP(D44,'A2 RETEST 4 DEC'!$1:$2096,2,False)</f>
        <v>50</v>
      </c>
      <c r="N44" s="122">
        <v>60.0</v>
      </c>
      <c r="O44" s="121"/>
      <c r="P44" s="123">
        <f>IFNA(VLOOKUP(D44,'S1'!$1:$1500,2,False),0)</f>
        <v>82</v>
      </c>
      <c r="Q44" s="123">
        <f>vlookup(D44,'S2'!A40:B1242,2,0)</f>
        <v>65</v>
      </c>
      <c r="R44" s="123">
        <f>ifna(vlookup(D44,'S3'!$1:$1311,2,False),0)</f>
        <v>82</v>
      </c>
      <c r="S44" s="123"/>
      <c r="T44" s="125">
        <v>11.0</v>
      </c>
      <c r="U44" s="125">
        <v>25.0</v>
      </c>
      <c r="V44" s="125">
        <v>98.0</v>
      </c>
      <c r="W44" s="290">
        <v>78.0</v>
      </c>
      <c r="X44" s="291">
        <v>82.0</v>
      </c>
      <c r="Y44" s="125"/>
      <c r="Z44" s="292"/>
      <c r="AA44" s="293">
        <v>11.0</v>
      </c>
      <c r="AB44" s="294">
        <v>54.0</v>
      </c>
      <c r="AC44" s="295">
        <v>0.0</v>
      </c>
      <c r="AD44" s="296">
        <v>0.0</v>
      </c>
      <c r="AE44" s="297">
        <v>20.0</v>
      </c>
      <c r="AF44" s="298"/>
      <c r="AG44" s="298">
        <v>70.0</v>
      </c>
      <c r="AH44" s="298"/>
      <c r="AI44" s="299"/>
      <c r="AJ44" s="299"/>
      <c r="AK44" s="300">
        <f t="shared" si="1"/>
        <v>4</v>
      </c>
      <c r="AL44" s="300">
        <f t="shared" si="2"/>
        <v>3</v>
      </c>
      <c r="AM44" s="301">
        <f t="shared" si="3"/>
        <v>3</v>
      </c>
      <c r="AN44" s="300" t="str">
        <f t="shared" si="4"/>
        <v>2</v>
      </c>
      <c r="AO44" s="300">
        <f t="shared" si="5"/>
        <v>3</v>
      </c>
      <c r="AP44" s="88"/>
    </row>
    <row r="45">
      <c r="A45" s="284">
        <v>41.0</v>
      </c>
      <c r="B45" s="285" t="s">
        <v>1800</v>
      </c>
      <c r="C45" s="285" t="s">
        <v>2763</v>
      </c>
      <c r="D45" s="286" t="str">
        <f>VLOOKUP(B45,USN!$1:$1088,2,False)</f>
        <v>1CR23AD041</v>
      </c>
      <c r="E45" s="285">
        <v>8.951257624E9</v>
      </c>
      <c r="F45" s="287" t="s">
        <v>3715</v>
      </c>
      <c r="G45" s="288"/>
      <c r="H45" s="289">
        <v>82.0</v>
      </c>
      <c r="I45" s="120">
        <v>92.0</v>
      </c>
      <c r="J45" s="120">
        <f>VLOOKUP(D45,'L3'!$1:$2060,2,False)</f>
        <v>79</v>
      </c>
      <c r="K45" s="120">
        <f>VLOOKUP(D45,'L4'!$1:$2059,2,False)</f>
        <v>70</v>
      </c>
      <c r="L45" s="121">
        <f>VLOOKUP(D45,'A1 RETEST 5 DEC'!$1:$2096,2,False)</f>
        <v>52</v>
      </c>
      <c r="M45" s="122">
        <f>VLOOKUP(D45,'A2 RETEST 4 DEC'!$1:$2096,2,False)</f>
        <v>61</v>
      </c>
      <c r="N45" s="122">
        <v>66.0</v>
      </c>
      <c r="O45" s="121"/>
      <c r="P45" s="123">
        <f>IFNA(VLOOKUP(D45,'S1'!$1:$1500,2,False),0)</f>
        <v>84</v>
      </c>
      <c r="Q45" s="123">
        <f>vlookup(D45,'S2'!A41:B1243,2,0)</f>
        <v>50</v>
      </c>
      <c r="R45" s="123">
        <f>ifna(vlookup(D45,'S3'!$1:$1311,2,False),0)</f>
        <v>87</v>
      </c>
      <c r="S45" s="123"/>
      <c r="T45" s="125">
        <v>13.0</v>
      </c>
      <c r="U45" s="125">
        <v>21.0</v>
      </c>
      <c r="V45" s="125">
        <v>74.0</v>
      </c>
      <c r="W45" s="290">
        <v>80.0</v>
      </c>
      <c r="X45" s="291">
        <v>86.0</v>
      </c>
      <c r="Y45" s="125"/>
      <c r="Z45" s="292"/>
      <c r="AA45" s="293">
        <v>90.0</v>
      </c>
      <c r="AB45" s="294">
        <v>75.0</v>
      </c>
      <c r="AC45" s="295">
        <v>70.0</v>
      </c>
      <c r="AD45" s="302">
        <v>90.0</v>
      </c>
      <c r="AE45" s="297">
        <v>70.0</v>
      </c>
      <c r="AF45" s="298"/>
      <c r="AG45" s="298">
        <v>87.0</v>
      </c>
      <c r="AH45" s="298"/>
      <c r="AI45" s="299"/>
      <c r="AJ45" s="299"/>
      <c r="AK45" s="300">
        <f t="shared" si="1"/>
        <v>4</v>
      </c>
      <c r="AL45" s="300">
        <f t="shared" si="2"/>
        <v>3</v>
      </c>
      <c r="AM45" s="301">
        <f t="shared" si="3"/>
        <v>3</v>
      </c>
      <c r="AN45" s="300" t="str">
        <f t="shared" si="4"/>
        <v>3.5</v>
      </c>
      <c r="AO45" s="300">
        <f t="shared" si="5"/>
        <v>3</v>
      </c>
      <c r="AP45" s="88"/>
    </row>
    <row r="46">
      <c r="A46" s="284">
        <v>42.0</v>
      </c>
      <c r="B46" s="285" t="s">
        <v>1790</v>
      </c>
      <c r="C46" s="285" t="s">
        <v>2764</v>
      </c>
      <c r="D46" s="286" t="str">
        <f>VLOOKUP(B46,USN!$1:$1088,2,False)</f>
        <v>1CR23AD042</v>
      </c>
      <c r="E46" s="285">
        <v>8.088038079E9</v>
      </c>
      <c r="F46" s="287" t="s">
        <v>3715</v>
      </c>
      <c r="G46" s="288"/>
      <c r="H46" s="120">
        <v>70.0</v>
      </c>
      <c r="I46" s="120">
        <v>81.0</v>
      </c>
      <c r="J46" s="120">
        <f>VLOOKUP(D46,'L3'!$1:$2060,2,False)</f>
        <v>70</v>
      </c>
      <c r="K46" s="120">
        <f>VLOOKUP(D46,'L4'!$1:$2059,2,False)</f>
        <v>70</v>
      </c>
      <c r="L46" s="121">
        <f>VLOOKUP(D46,'A1 RETEST 5 DEC'!$1:$2096,2,False)</f>
        <v>29</v>
      </c>
      <c r="M46" s="122">
        <f>VLOOKUP(D46,'A2 RETEST 4 DEC'!$1:$2096,2,False)</f>
        <v>12</v>
      </c>
      <c r="N46" s="122">
        <v>9.0</v>
      </c>
      <c r="O46" s="121"/>
      <c r="P46" s="123">
        <f>IFNA(VLOOKUP(D46,'S1'!$1:$1500,2,False),0)</f>
        <v>77</v>
      </c>
      <c r="Q46" s="123">
        <f>vlookup(D46,'S2'!A42:B1244,2,0)</f>
        <v>83</v>
      </c>
      <c r="R46" s="123">
        <f>ifna(vlookup(D46,'S3'!$1:$1311,2,False),0)</f>
        <v>0</v>
      </c>
      <c r="S46" s="123"/>
      <c r="T46" s="125">
        <v>14.0</v>
      </c>
      <c r="U46" s="125">
        <v>24.0</v>
      </c>
      <c r="V46" s="125">
        <v>88.0</v>
      </c>
      <c r="W46" s="290">
        <v>84.0</v>
      </c>
      <c r="X46" s="291">
        <v>78.0</v>
      </c>
      <c r="Y46" s="125"/>
      <c r="Z46" s="292"/>
      <c r="AA46" s="293">
        <v>10.2</v>
      </c>
      <c r="AB46" s="294">
        <v>64.0</v>
      </c>
      <c r="AC46" s="295">
        <v>74.0</v>
      </c>
      <c r="AD46" s="296">
        <v>1.0</v>
      </c>
      <c r="AE46" s="297">
        <v>20.0</v>
      </c>
      <c r="AF46" s="298"/>
      <c r="AG46" s="298">
        <v>24.0</v>
      </c>
      <c r="AH46" s="298"/>
      <c r="AI46" s="299"/>
      <c r="AJ46" s="299"/>
      <c r="AK46" s="300">
        <f t="shared" si="1"/>
        <v>4</v>
      </c>
      <c r="AL46" s="300">
        <f t="shared" si="2"/>
        <v>0</v>
      </c>
      <c r="AM46" s="301">
        <f t="shared" si="3"/>
        <v>3</v>
      </c>
      <c r="AN46" s="300" t="str">
        <f t="shared" si="4"/>
        <v>3</v>
      </c>
      <c r="AO46" s="300">
        <f t="shared" si="5"/>
        <v>2</v>
      </c>
      <c r="AP46" s="88"/>
    </row>
    <row r="47">
      <c r="A47" s="284">
        <v>43.0</v>
      </c>
      <c r="B47" s="285" t="s">
        <v>1776</v>
      </c>
      <c r="C47" s="285" t="s">
        <v>2765</v>
      </c>
      <c r="D47" s="286" t="str">
        <f>VLOOKUP(B47,USN!$1:$1088,2,False)</f>
        <v>1CR23AD043</v>
      </c>
      <c r="E47" s="285">
        <v>6.363444591E9</v>
      </c>
      <c r="F47" s="287" t="s">
        <v>3715</v>
      </c>
      <c r="G47" s="288"/>
      <c r="H47" s="289">
        <v>80.0</v>
      </c>
      <c r="I47" s="120">
        <v>87.0</v>
      </c>
      <c r="J47" s="120">
        <f>VLOOKUP(D47,'L3'!$1:$2060,2,False)</f>
        <v>70</v>
      </c>
      <c r="K47" s="120">
        <f>VLOOKUP(D47,'L4'!$1:$2059,2,False)</f>
        <v>74</v>
      </c>
      <c r="L47" s="121">
        <f>VLOOKUP(D47,'A1 RETEST 5 DEC'!$1:$2096,2,False)</f>
        <v>50</v>
      </c>
      <c r="M47" s="122">
        <f>VLOOKUP(D47,'A2 RETEST 4 DEC'!$1:$2096,2,False)</f>
        <v>19</v>
      </c>
      <c r="N47" s="122">
        <v>50.0</v>
      </c>
      <c r="O47" s="121"/>
      <c r="P47" s="123">
        <f>IFNA(VLOOKUP(D47,'S1'!$1:$1500,2,False),0)</f>
        <v>85</v>
      </c>
      <c r="Q47" s="123">
        <f>vlookup(D47,'S2'!A43:B1245,2,0)</f>
        <v>50</v>
      </c>
      <c r="R47" s="123">
        <f>ifna(vlookup(D47,'S3'!$1:$1311,2,False),0)</f>
        <v>82</v>
      </c>
      <c r="S47" s="123"/>
      <c r="T47" s="125">
        <v>20.0</v>
      </c>
      <c r="U47" s="125">
        <v>22.0</v>
      </c>
      <c r="V47" s="125">
        <v>82.0</v>
      </c>
      <c r="W47" s="290">
        <v>76.0</v>
      </c>
      <c r="X47" s="291">
        <v>80.0</v>
      </c>
      <c r="Y47" s="125"/>
      <c r="Z47" s="292"/>
      <c r="AA47" s="293">
        <v>21.4</v>
      </c>
      <c r="AB47" s="294">
        <v>57.0</v>
      </c>
      <c r="AC47" s="295">
        <v>0.0</v>
      </c>
      <c r="AD47" s="296">
        <v>0.0</v>
      </c>
      <c r="AE47" s="297">
        <v>20.0</v>
      </c>
      <c r="AF47" s="298"/>
      <c r="AG47" s="298">
        <v>77.0</v>
      </c>
      <c r="AH47" s="298"/>
      <c r="AI47" s="299"/>
      <c r="AJ47" s="299"/>
      <c r="AK47" s="300">
        <f t="shared" si="1"/>
        <v>4</v>
      </c>
      <c r="AL47" s="300">
        <f t="shared" si="2"/>
        <v>1</v>
      </c>
      <c r="AM47" s="301">
        <f t="shared" si="3"/>
        <v>3</v>
      </c>
      <c r="AN47" s="300" t="str">
        <f t="shared" si="4"/>
        <v>2</v>
      </c>
      <c r="AO47" s="300">
        <f t="shared" si="5"/>
        <v>3</v>
      </c>
      <c r="AP47" s="88"/>
    </row>
    <row r="48">
      <c r="A48" s="284">
        <v>44.0</v>
      </c>
      <c r="B48" s="285" t="s">
        <v>1818</v>
      </c>
      <c r="C48" s="285" t="s">
        <v>2766</v>
      </c>
      <c r="D48" s="286" t="str">
        <f>VLOOKUP(B48,USN!$1:$1088,2,False)</f>
        <v>1CR23AD044</v>
      </c>
      <c r="E48" s="285">
        <v>6.361513811E9</v>
      </c>
      <c r="F48" s="287" t="s">
        <v>3715</v>
      </c>
      <c r="G48" s="288"/>
      <c r="H48" s="289">
        <v>71.0</v>
      </c>
      <c r="I48" s="120">
        <v>81.0</v>
      </c>
      <c r="J48" s="120">
        <f>VLOOKUP(D48,'L3'!$1:$2060,2,False)</f>
        <v>70</v>
      </c>
      <c r="K48" s="120">
        <f>VLOOKUP(D48,'L4'!$1:$2059,2,False)</f>
        <v>70</v>
      </c>
      <c r="L48" s="121">
        <f>VLOOKUP(D48,'A1 RETEST 5 DEC'!$1:$2096,2,False)</f>
        <v>50</v>
      </c>
      <c r="M48" s="122">
        <f>VLOOKUP(D48,'A2 RETEST 4 DEC'!$1:$2096,2,False)</f>
        <v>10</v>
      </c>
      <c r="N48" s="122">
        <v>52.0</v>
      </c>
      <c r="O48" s="121"/>
      <c r="P48" s="123">
        <f>IFNA(VLOOKUP(D48,'S1'!$1:$1500,2,False),0)</f>
        <v>85</v>
      </c>
      <c r="Q48" s="123">
        <f>vlookup(D48,'S2'!A44:B1246,2,0)</f>
        <v>50</v>
      </c>
      <c r="R48" s="123">
        <f>ifna(vlookup(D48,'S3'!$1:$1311,2,False),0)</f>
        <v>83</v>
      </c>
      <c r="S48" s="123"/>
      <c r="T48" s="125">
        <v>16.0</v>
      </c>
      <c r="U48" s="125">
        <v>19.0</v>
      </c>
      <c r="V48" s="125">
        <v>90.0</v>
      </c>
      <c r="W48" s="290">
        <v>70.0</v>
      </c>
      <c r="X48" s="291">
        <v>76.0</v>
      </c>
      <c r="Y48" s="125"/>
      <c r="Z48" s="292"/>
      <c r="AA48" s="293">
        <v>0.0</v>
      </c>
      <c r="AB48" s="294">
        <v>27.0</v>
      </c>
      <c r="AC48" s="295">
        <v>79.0</v>
      </c>
      <c r="AD48" s="296">
        <v>20.0</v>
      </c>
      <c r="AE48" s="297">
        <v>84.0</v>
      </c>
      <c r="AF48" s="298"/>
      <c r="AG48" s="309">
        <v>70.0</v>
      </c>
      <c r="AH48" s="298"/>
      <c r="AI48" s="299"/>
      <c r="AJ48" s="299"/>
      <c r="AK48" s="300">
        <f t="shared" si="1"/>
        <v>4</v>
      </c>
      <c r="AL48" s="300">
        <f t="shared" si="2"/>
        <v>1</v>
      </c>
      <c r="AM48" s="301">
        <f t="shared" si="3"/>
        <v>3</v>
      </c>
      <c r="AN48" s="300" t="str">
        <f t="shared" si="4"/>
        <v>0</v>
      </c>
      <c r="AO48" s="300">
        <f t="shared" si="5"/>
        <v>3</v>
      </c>
      <c r="AP48" s="88"/>
    </row>
    <row r="49">
      <c r="A49" s="284">
        <v>45.0</v>
      </c>
      <c r="B49" s="285" t="s">
        <v>1791</v>
      </c>
      <c r="C49" s="285" t="s">
        <v>2767</v>
      </c>
      <c r="D49" s="286" t="str">
        <f>VLOOKUP(B49,USN!$1:$1088,2,False)</f>
        <v>1CR23AD045</v>
      </c>
      <c r="E49" s="285">
        <v>8.72266044E9</v>
      </c>
      <c r="F49" s="287" t="s">
        <v>3715</v>
      </c>
      <c r="G49" s="288"/>
      <c r="H49" s="289">
        <v>71.0</v>
      </c>
      <c r="I49" s="120">
        <v>82.0</v>
      </c>
      <c r="J49" s="120">
        <f>VLOOKUP(D49,'L3'!$1:$2060,2,False)</f>
        <v>72</v>
      </c>
      <c r="K49" s="120">
        <f>VLOOKUP(D49,'L4'!$1:$2059,2,False)</f>
        <v>70</v>
      </c>
      <c r="L49" s="121">
        <v>50.0</v>
      </c>
      <c r="M49" s="122">
        <f>VLOOKUP(D49,'A2 RETEST 4 DEC'!$1:$2096,2,False)</f>
        <v>24</v>
      </c>
      <c r="N49" s="122">
        <v>50.0</v>
      </c>
      <c r="O49" s="121"/>
      <c r="P49" s="123">
        <f>IFNA(VLOOKUP(D49,'S1'!$1:$1500,2,False),0)</f>
        <v>82</v>
      </c>
      <c r="Q49" s="123">
        <f>vlookup(D49,'S2'!A45:B1247,2,0)</f>
        <v>50</v>
      </c>
      <c r="R49" s="123">
        <f>ifna(vlookup(D49,'S3'!$1:$1311,2,False),0)</f>
        <v>91</v>
      </c>
      <c r="S49" s="123"/>
      <c r="T49" s="125">
        <v>20.0</v>
      </c>
      <c r="U49" s="125">
        <v>23.0</v>
      </c>
      <c r="V49" s="125">
        <v>92.0</v>
      </c>
      <c r="W49" s="290">
        <v>84.0</v>
      </c>
      <c r="X49" s="291">
        <v>80.0</v>
      </c>
      <c r="Y49" s="125"/>
      <c r="Z49" s="292"/>
      <c r="AA49" s="293">
        <v>99.0</v>
      </c>
      <c r="AB49" s="294">
        <v>71.0</v>
      </c>
      <c r="AC49" s="295">
        <v>45.0</v>
      </c>
      <c r="AD49" s="302">
        <v>80.0</v>
      </c>
      <c r="AE49" s="297">
        <v>73.0</v>
      </c>
      <c r="AF49" s="298"/>
      <c r="AG49" s="298">
        <v>75.0</v>
      </c>
      <c r="AH49" s="298"/>
      <c r="AI49" s="299"/>
      <c r="AJ49" s="299"/>
      <c r="AK49" s="300">
        <f t="shared" si="1"/>
        <v>4</v>
      </c>
      <c r="AL49" s="300">
        <f t="shared" si="2"/>
        <v>1</v>
      </c>
      <c r="AM49" s="301">
        <f t="shared" si="3"/>
        <v>3</v>
      </c>
      <c r="AN49" s="300" t="str">
        <f t="shared" si="4"/>
        <v>3.5</v>
      </c>
      <c r="AO49" s="300">
        <f t="shared" si="5"/>
        <v>3</v>
      </c>
      <c r="AP49" s="88"/>
    </row>
    <row r="50">
      <c r="A50" s="284">
        <v>46.0</v>
      </c>
      <c r="B50" s="304" t="s">
        <v>1878</v>
      </c>
      <c r="C50" s="310" t="s">
        <v>2768</v>
      </c>
      <c r="D50" s="286" t="str">
        <f>VLOOKUP(B50,USN!$1:$1088,2,False)</f>
        <v>1CR23AD046</v>
      </c>
      <c r="E50" s="304">
        <v>9.591137343E9</v>
      </c>
      <c r="F50" s="287" t="s">
        <v>3715</v>
      </c>
      <c r="G50" s="288"/>
      <c r="H50" s="289">
        <v>88.0</v>
      </c>
      <c r="I50" s="120">
        <v>87.0</v>
      </c>
      <c r="J50" s="120">
        <f>VLOOKUP(D50,'L3'!$1:$2060,2,False)</f>
        <v>70</v>
      </c>
      <c r="K50" s="120">
        <f>VLOOKUP(D50,'L4'!$1:$2059,2,False)</f>
        <v>70</v>
      </c>
      <c r="L50" s="121">
        <f>VLOOKUP(D50,'A1 RETEST 5 DEC'!$1:$2096,2,False)</f>
        <v>50</v>
      </c>
      <c r="M50" s="122">
        <f>VLOOKUP(D50,'A2 RETEST 4 DEC'!$1:$2096,2,False)</f>
        <v>50</v>
      </c>
      <c r="N50" s="122">
        <v>8.0</v>
      </c>
      <c r="O50" s="121"/>
      <c r="P50" s="123">
        <f>IFNA(VLOOKUP(D50,'S1'!$1:$1500,2,False),0)</f>
        <v>73</v>
      </c>
      <c r="Q50" s="123">
        <f>vlookup(D50,'S2'!A46:B1248,2,0)</f>
        <v>50</v>
      </c>
      <c r="R50" s="123">
        <f>ifna(vlookup(D50,'S3'!$1:$1311,2,False),0)</f>
        <v>83</v>
      </c>
      <c r="S50" s="123"/>
      <c r="T50" s="125">
        <v>13.0</v>
      </c>
      <c r="U50" s="125">
        <v>21.0</v>
      </c>
      <c r="V50" s="125">
        <v>92.0</v>
      </c>
      <c r="W50" s="290">
        <v>74.0</v>
      </c>
      <c r="X50" s="291">
        <v>78.0</v>
      </c>
      <c r="Y50" s="125"/>
      <c r="Z50" s="292"/>
      <c r="AA50" s="293">
        <v>84.0</v>
      </c>
      <c r="AB50" s="294">
        <v>50.0</v>
      </c>
      <c r="AC50" s="295">
        <v>9.0</v>
      </c>
      <c r="AD50" s="296">
        <v>41.0</v>
      </c>
      <c r="AE50" s="297">
        <v>60.0</v>
      </c>
      <c r="AF50" s="298"/>
      <c r="AG50" s="298">
        <v>23.0</v>
      </c>
      <c r="AH50" s="298"/>
      <c r="AI50" s="299"/>
      <c r="AJ50" s="299"/>
      <c r="AK50" s="300">
        <f t="shared" si="1"/>
        <v>4</v>
      </c>
      <c r="AL50" s="300">
        <f t="shared" si="2"/>
        <v>2</v>
      </c>
      <c r="AM50" s="301">
        <f t="shared" si="3"/>
        <v>3</v>
      </c>
      <c r="AN50" s="300" t="str">
        <f t="shared" si="4"/>
        <v>2</v>
      </c>
      <c r="AO50" s="300">
        <f t="shared" si="5"/>
        <v>3</v>
      </c>
      <c r="AP50" s="88"/>
    </row>
    <row r="51">
      <c r="A51" s="284">
        <v>47.0</v>
      </c>
      <c r="B51" s="285" t="s">
        <v>1813</v>
      </c>
      <c r="C51" s="285" t="s">
        <v>3724</v>
      </c>
      <c r="D51" s="286" t="str">
        <f>VLOOKUP(B51,USN!$1:$1088,2,False)</f>
        <v>1CR23AD047</v>
      </c>
      <c r="E51" s="285">
        <v>9.955211923E9</v>
      </c>
      <c r="F51" s="287" t="s">
        <v>3715</v>
      </c>
      <c r="G51" s="288"/>
      <c r="H51" s="120">
        <v>70.0</v>
      </c>
      <c r="I51" s="120">
        <v>70.0</v>
      </c>
      <c r="J51" s="120">
        <f>VLOOKUP(D51,'L3'!$1:$2060,2,False)</f>
        <v>50</v>
      </c>
      <c r="K51" s="120">
        <f>VLOOKUP(D51,'L4'!$1:$2059,2,False)</f>
        <v>70</v>
      </c>
      <c r="L51" s="121">
        <f>VLOOKUP(D51,'A1 RETEST 5 DEC'!$1:$2096,2,False)</f>
        <v>14</v>
      </c>
      <c r="M51" s="122">
        <f>VLOOKUP(D51,'A2 RETEST 4 DEC'!$1:$2096,2,False)</f>
        <v>0</v>
      </c>
      <c r="N51" s="122">
        <v>41.0</v>
      </c>
      <c r="O51" s="121"/>
      <c r="P51" s="123">
        <f>IFNA(VLOOKUP(D51,'S1'!$1:$1500,2,False),0)</f>
        <v>0</v>
      </c>
      <c r="Q51" s="123">
        <f>vlookup(D51,'S2'!A47:B1249,2,0)</f>
        <v>0</v>
      </c>
      <c r="R51" s="123">
        <f>ifna(vlookup(D51,'S3'!$1:$1311,2,False),0)</f>
        <v>0</v>
      </c>
      <c r="S51" s="123"/>
      <c r="T51" s="125">
        <v>17.0</v>
      </c>
      <c r="U51" s="125">
        <v>23.0</v>
      </c>
      <c r="V51" s="125">
        <v>92.0</v>
      </c>
      <c r="W51" s="290">
        <v>80.0</v>
      </c>
      <c r="X51" s="291">
        <v>88.0</v>
      </c>
      <c r="Y51" s="125"/>
      <c r="Z51" s="292"/>
      <c r="AA51" s="293">
        <v>2.0</v>
      </c>
      <c r="AB51" s="294">
        <v>60.0</v>
      </c>
      <c r="AC51" s="295">
        <v>70.0</v>
      </c>
      <c r="AD51" s="296">
        <v>0.0</v>
      </c>
      <c r="AE51" s="297">
        <v>10.0</v>
      </c>
      <c r="AF51" s="298"/>
      <c r="AG51" s="298">
        <v>71.0</v>
      </c>
      <c r="AH51" s="298"/>
      <c r="AI51" s="299"/>
      <c r="AJ51" s="299"/>
      <c r="AK51" s="300">
        <f t="shared" si="1"/>
        <v>2</v>
      </c>
      <c r="AL51" s="300">
        <f t="shared" si="2"/>
        <v>0</v>
      </c>
      <c r="AM51" s="301">
        <f t="shared" si="3"/>
        <v>3</v>
      </c>
      <c r="AN51" s="300" t="str">
        <f t="shared" si="4"/>
        <v>3</v>
      </c>
      <c r="AO51" s="300">
        <f t="shared" si="5"/>
        <v>0</v>
      </c>
      <c r="AP51" s="88"/>
    </row>
    <row r="52">
      <c r="A52" s="284">
        <v>48.0</v>
      </c>
      <c r="B52" s="285" t="s">
        <v>1777</v>
      </c>
      <c r="C52" s="285" t="s">
        <v>2770</v>
      </c>
      <c r="D52" s="286" t="str">
        <f>VLOOKUP(B52,USN!$1:$1088,2,False)</f>
        <v>1CR23AD048</v>
      </c>
      <c r="E52" s="285">
        <v>9.17349674169E11</v>
      </c>
      <c r="F52" s="287" t="s">
        <v>3715</v>
      </c>
      <c r="G52" s="288"/>
      <c r="H52" s="289">
        <v>79.0</v>
      </c>
      <c r="I52" s="120">
        <v>81.0</v>
      </c>
      <c r="J52" s="120">
        <f>VLOOKUP(D52,'L3'!$1:$2060,2,False)</f>
        <v>77</v>
      </c>
      <c r="K52" s="120">
        <f>VLOOKUP(D52,'L4'!$1:$2059,2,False)</f>
        <v>70</v>
      </c>
      <c r="L52" s="121">
        <f>VLOOKUP(D52,'A1 RETEST 5 DEC'!$1:$2096,2,False)</f>
        <v>50</v>
      </c>
      <c r="M52" s="122">
        <f>VLOOKUP(D52,'A2 RETEST 4 DEC'!$1:$2096,2,False)</f>
        <v>19</v>
      </c>
      <c r="N52" s="122">
        <v>9.0</v>
      </c>
      <c r="O52" s="121"/>
      <c r="P52" s="123">
        <f>IFNA(VLOOKUP(D52,'S1'!$1:$1500,2,False),0)</f>
        <v>77</v>
      </c>
      <c r="Q52" s="123">
        <f>vlookup(D52,'S2'!A48:B1250,2,0)</f>
        <v>50</v>
      </c>
      <c r="R52" s="123">
        <f>ifna(vlookup(D52,'S3'!$1:$1311,2,False),0)</f>
        <v>82</v>
      </c>
      <c r="S52" s="123"/>
      <c r="T52" s="125">
        <v>19.0</v>
      </c>
      <c r="U52" s="125">
        <v>17.0</v>
      </c>
      <c r="V52" s="125">
        <v>98.0</v>
      </c>
      <c r="W52" s="290">
        <v>82.0</v>
      </c>
      <c r="X52" s="291">
        <v>78.0</v>
      </c>
      <c r="Y52" s="125"/>
      <c r="Z52" s="292"/>
      <c r="AA52" s="293">
        <v>20.8</v>
      </c>
      <c r="AB52" s="294">
        <v>63.0</v>
      </c>
      <c r="AC52" s="295">
        <v>0.0</v>
      </c>
      <c r="AD52" s="296">
        <v>0.0</v>
      </c>
      <c r="AE52" s="297">
        <v>10.0</v>
      </c>
      <c r="AF52" s="298"/>
      <c r="AG52" s="298">
        <v>78.0</v>
      </c>
      <c r="AH52" s="298"/>
      <c r="AI52" s="299"/>
      <c r="AJ52" s="299"/>
      <c r="AK52" s="300">
        <f t="shared" si="1"/>
        <v>4</v>
      </c>
      <c r="AL52" s="300">
        <f t="shared" si="2"/>
        <v>1</v>
      </c>
      <c r="AM52" s="301">
        <f t="shared" si="3"/>
        <v>3</v>
      </c>
      <c r="AN52" s="300" t="str">
        <f t="shared" si="4"/>
        <v>2</v>
      </c>
      <c r="AO52" s="300">
        <f t="shared" si="5"/>
        <v>3</v>
      </c>
      <c r="AP52" s="88"/>
    </row>
    <row r="53">
      <c r="A53" s="284">
        <v>49.0</v>
      </c>
      <c r="B53" s="285" t="s">
        <v>1811</v>
      </c>
      <c r="C53" s="285" t="s">
        <v>2771</v>
      </c>
      <c r="D53" s="286" t="str">
        <f>VLOOKUP(B53,USN!$1:$1088,2,False)</f>
        <v>1CR23AD049</v>
      </c>
      <c r="E53" s="285">
        <v>7.483847129E9</v>
      </c>
      <c r="F53" s="287" t="s">
        <v>3715</v>
      </c>
      <c r="G53" s="288"/>
      <c r="H53" s="120">
        <v>70.0</v>
      </c>
      <c r="I53" s="120">
        <v>73.0</v>
      </c>
      <c r="J53" s="120">
        <f>VLOOKUP(D53,'L3'!$1:$2060,2,False)</f>
        <v>70</v>
      </c>
      <c r="K53" s="120">
        <f>VLOOKUP(D53,'L4'!$1:$2059,2,False)</f>
        <v>70</v>
      </c>
      <c r="L53" s="121">
        <f>VLOOKUP(D53,'A1 RETEST 5 DEC'!$1:$2096,2,False)</f>
        <v>50</v>
      </c>
      <c r="M53" s="122">
        <f>VLOOKUP(D53,'A2 RETEST 4 DEC'!$1:$2096,2,False)</f>
        <v>40</v>
      </c>
      <c r="N53" s="122">
        <v>63.0</v>
      </c>
      <c r="O53" s="121"/>
      <c r="P53" s="123">
        <f>IFNA(VLOOKUP(D53,'S1'!$1:$1500,2,False),0)</f>
        <v>87</v>
      </c>
      <c r="Q53" s="123">
        <f>vlookup(D53,'S2'!A49:B1251,2,0)</f>
        <v>81</v>
      </c>
      <c r="R53" s="123">
        <f>ifna(vlookup(D53,'S3'!$1:$1311,2,False),0)</f>
        <v>90</v>
      </c>
      <c r="S53" s="123"/>
      <c r="T53" s="125">
        <v>11.0</v>
      </c>
      <c r="U53" s="125">
        <v>23.0</v>
      </c>
      <c r="V53" s="125">
        <v>90.0</v>
      </c>
      <c r="W53" s="290">
        <v>86.0</v>
      </c>
      <c r="X53" s="291">
        <v>74.0</v>
      </c>
      <c r="Y53" s="125"/>
      <c r="Z53" s="292"/>
      <c r="AA53" s="293">
        <v>32.0</v>
      </c>
      <c r="AB53" s="294">
        <v>75.0</v>
      </c>
      <c r="AC53" s="295">
        <v>70.0</v>
      </c>
      <c r="AD53" s="302">
        <v>100.0</v>
      </c>
      <c r="AE53" s="297">
        <v>70.0</v>
      </c>
      <c r="AF53" s="298"/>
      <c r="AG53" s="298">
        <v>79.0</v>
      </c>
      <c r="AH53" s="298"/>
      <c r="AI53" s="299"/>
      <c r="AJ53" s="299"/>
      <c r="AK53" s="300">
        <f t="shared" si="1"/>
        <v>4</v>
      </c>
      <c r="AL53" s="300">
        <f t="shared" si="2"/>
        <v>1</v>
      </c>
      <c r="AM53" s="301">
        <f t="shared" si="3"/>
        <v>3</v>
      </c>
      <c r="AN53" s="300" t="str">
        <f t="shared" si="4"/>
        <v>3.5</v>
      </c>
      <c r="AO53" s="300">
        <f t="shared" si="5"/>
        <v>3</v>
      </c>
      <c r="AP53" s="88"/>
    </row>
    <row r="54">
      <c r="A54" s="284">
        <v>50.0</v>
      </c>
      <c r="B54" s="285" t="s">
        <v>1778</v>
      </c>
      <c r="C54" s="285" t="s">
        <v>2772</v>
      </c>
      <c r="D54" s="286" t="str">
        <f>VLOOKUP(B54,USN!$1:$1088,2,False)</f>
        <v>1CR23AD050</v>
      </c>
      <c r="E54" s="285">
        <v>9.94573606E9</v>
      </c>
      <c r="F54" s="287" t="s">
        <v>3715</v>
      </c>
      <c r="G54" s="288"/>
      <c r="H54" s="120">
        <v>70.0</v>
      </c>
      <c r="I54" s="120">
        <v>81.0</v>
      </c>
      <c r="J54" s="120">
        <f>VLOOKUP(D54,'L3'!$1:$2060,2,False)</f>
        <v>70</v>
      </c>
      <c r="K54" s="120">
        <f>VLOOKUP(D54,'L4'!$1:$2059,2,False)</f>
        <v>70</v>
      </c>
      <c r="L54" s="121">
        <f>VLOOKUP(D54,'A1 RETEST 5 DEC'!$1:$2096,2,False)</f>
        <v>11</v>
      </c>
      <c r="M54" s="122">
        <f>VLOOKUP(D54,'A2 RETEST 4 DEC'!$1:$2096,2,False)</f>
        <v>50</v>
      </c>
      <c r="N54" s="122">
        <v>50.0</v>
      </c>
      <c r="O54" s="121"/>
      <c r="P54" s="123">
        <f>IFNA(VLOOKUP(D54,'S1'!$1:$1500,2,False),0)</f>
        <v>50</v>
      </c>
      <c r="Q54" s="123">
        <f>vlookup(D54,'S2'!A50:B1252,2,0)</f>
        <v>55</v>
      </c>
      <c r="R54" s="123">
        <f>ifna(vlookup(D54,'S3'!$1:$1311,2,False),0)</f>
        <v>85</v>
      </c>
      <c r="S54" s="123"/>
      <c r="T54" s="125">
        <v>18.0</v>
      </c>
      <c r="U54" s="125">
        <v>24.0</v>
      </c>
      <c r="V54" s="125">
        <v>74.0</v>
      </c>
      <c r="W54" s="308">
        <v>66.0</v>
      </c>
      <c r="X54" s="291">
        <v>86.0</v>
      </c>
      <c r="Y54" s="125"/>
      <c r="Z54" s="292"/>
      <c r="AA54" s="293">
        <v>41.0</v>
      </c>
      <c r="AB54" s="294">
        <v>69.0</v>
      </c>
      <c r="AC54" s="295">
        <v>69.0</v>
      </c>
      <c r="AD54" s="302">
        <v>60.0</v>
      </c>
      <c r="AE54" s="297">
        <v>75.0</v>
      </c>
      <c r="AF54" s="298"/>
      <c r="AG54" s="298">
        <v>80.0</v>
      </c>
      <c r="AH54" s="298"/>
      <c r="AI54" s="299"/>
      <c r="AJ54" s="299"/>
      <c r="AK54" s="300">
        <f t="shared" si="1"/>
        <v>4</v>
      </c>
      <c r="AL54" s="300">
        <f t="shared" si="2"/>
        <v>0</v>
      </c>
      <c r="AM54" s="301">
        <f t="shared" si="3"/>
        <v>3</v>
      </c>
      <c r="AN54" s="300" t="str">
        <f t="shared" si="4"/>
        <v>3.5</v>
      </c>
      <c r="AO54" s="300">
        <f t="shared" si="5"/>
        <v>3</v>
      </c>
      <c r="AP54" s="88"/>
    </row>
    <row r="55">
      <c r="A55" s="284">
        <v>51.0</v>
      </c>
      <c r="B55" s="285" t="s">
        <v>1805</v>
      </c>
      <c r="C55" s="285" t="s">
        <v>2773</v>
      </c>
      <c r="D55" s="286" t="str">
        <f>VLOOKUP(B55,USN!$1:$1088,2,False)</f>
        <v>1CR23AD051</v>
      </c>
      <c r="E55" s="285">
        <v>7.33774283E9</v>
      </c>
      <c r="F55" s="287" t="s">
        <v>3715</v>
      </c>
      <c r="G55" s="288"/>
      <c r="H55" s="120">
        <v>70.0</v>
      </c>
      <c r="I55" s="120">
        <v>79.0</v>
      </c>
      <c r="J55" s="120">
        <f>VLOOKUP(D55,'L3'!$1:$2060,2,False)</f>
        <v>70</v>
      </c>
      <c r="K55" s="120">
        <f>VLOOKUP(D55,'L4'!$1:$2059,2,False)</f>
        <v>70</v>
      </c>
      <c r="L55" s="121">
        <f>VLOOKUP(D55,'A1 RETEST 5 DEC'!$1:$2096,2,False)</f>
        <v>50</v>
      </c>
      <c r="M55" s="122">
        <f>VLOOKUP(D55,'A2 RETEST 4 DEC'!$1:$2096,2,False)</f>
        <v>50</v>
      </c>
      <c r="N55" s="122">
        <v>50.0</v>
      </c>
      <c r="O55" s="121"/>
      <c r="P55" s="123">
        <f>IFNA(VLOOKUP(D55,'S1'!$1:$1500,2,False),0)</f>
        <v>81</v>
      </c>
      <c r="Q55" s="123">
        <f>vlookup(D55,'S2'!A51:B1253,2,0)</f>
        <v>50</v>
      </c>
      <c r="R55" s="123">
        <f>ifna(vlookup(D55,'S3'!$1:$1311,2,False),0)</f>
        <v>83</v>
      </c>
      <c r="S55" s="123"/>
      <c r="T55" s="125">
        <v>11.0</v>
      </c>
      <c r="U55" s="125">
        <v>24.0</v>
      </c>
      <c r="V55" s="125">
        <v>76.0</v>
      </c>
      <c r="W55" s="308">
        <v>72.0</v>
      </c>
      <c r="X55" s="291">
        <v>80.0</v>
      </c>
      <c r="Y55" s="125"/>
      <c r="Z55" s="292"/>
      <c r="AA55" s="293">
        <v>26.0</v>
      </c>
      <c r="AB55" s="294">
        <v>54.0</v>
      </c>
      <c r="AC55" s="295">
        <v>55.0</v>
      </c>
      <c r="AD55" s="302">
        <v>90.0</v>
      </c>
      <c r="AE55" s="297">
        <v>75.0</v>
      </c>
      <c r="AF55" s="298"/>
      <c r="AG55" s="298">
        <v>76.0</v>
      </c>
      <c r="AH55" s="298"/>
      <c r="AI55" s="299"/>
      <c r="AJ55" s="299"/>
      <c r="AK55" s="300">
        <f t="shared" si="1"/>
        <v>4</v>
      </c>
      <c r="AL55" s="300">
        <f t="shared" si="2"/>
        <v>3</v>
      </c>
      <c r="AM55" s="301">
        <f t="shared" si="3"/>
        <v>3</v>
      </c>
      <c r="AN55" s="300" t="str">
        <f t="shared" si="4"/>
        <v>3.5</v>
      </c>
      <c r="AO55" s="300">
        <f t="shared" si="5"/>
        <v>3</v>
      </c>
      <c r="AP55" s="88"/>
    </row>
    <row r="56">
      <c r="A56" s="284">
        <v>52.0</v>
      </c>
      <c r="B56" s="285" t="s">
        <v>1779</v>
      </c>
      <c r="C56" s="285" t="s">
        <v>2774</v>
      </c>
      <c r="D56" s="286" t="str">
        <f>VLOOKUP(B56,USN!$1:$1088,2,False)</f>
        <v>1CR23AD052</v>
      </c>
      <c r="E56" s="285">
        <v>9.392394045E9</v>
      </c>
      <c r="F56" s="287" t="s">
        <v>3715</v>
      </c>
      <c r="G56" s="288"/>
      <c r="H56" s="289">
        <v>71.0</v>
      </c>
      <c r="I56" s="120">
        <v>79.0</v>
      </c>
      <c r="J56" s="120">
        <f>VLOOKUP(D56,'L3'!$1:$2060,2,False)</f>
        <v>30</v>
      </c>
      <c r="K56" s="120">
        <f>VLOOKUP(D56,'L4'!$1:$2059,2,False)</f>
        <v>4</v>
      </c>
      <c r="L56" s="121">
        <f>VLOOKUP(D56,'A1 RETEST 5 DEC'!$1:$2096,2,False)</f>
        <v>14</v>
      </c>
      <c r="M56" s="122">
        <f>VLOOKUP(D56,'A2 RETEST 4 DEC'!$1:$2096,2,False)</f>
        <v>13</v>
      </c>
      <c r="N56" s="122">
        <v>0.0</v>
      </c>
      <c r="O56" s="121"/>
      <c r="P56" s="123">
        <f>IFNA(VLOOKUP(D56,'S1'!$1:$1500,2,False),0)</f>
        <v>0</v>
      </c>
      <c r="Q56" s="123">
        <f>vlookup(D56,'S2'!A52:B1254,2,0)</f>
        <v>0</v>
      </c>
      <c r="R56" s="123">
        <f>ifna(vlookup(D56,'S3'!$1:$1311,2,False),0)</f>
        <v>0</v>
      </c>
      <c r="S56" s="123"/>
      <c r="T56" s="125" t="s">
        <v>2477</v>
      </c>
      <c r="U56" s="125">
        <v>16.0</v>
      </c>
      <c r="V56" s="125" t="s">
        <v>3716</v>
      </c>
      <c r="W56" s="308">
        <v>84.0</v>
      </c>
      <c r="X56" s="303" t="s">
        <v>3717</v>
      </c>
      <c r="Y56" s="125"/>
      <c r="Z56" s="292"/>
      <c r="AA56" s="293">
        <v>13.0</v>
      </c>
      <c r="AB56" s="294">
        <v>27.0</v>
      </c>
      <c r="AC56" s="295">
        <v>0.0</v>
      </c>
      <c r="AD56" s="296">
        <v>0.0</v>
      </c>
      <c r="AE56" s="297">
        <v>10.0</v>
      </c>
      <c r="AF56" s="298"/>
      <c r="AG56" s="298">
        <v>0.0</v>
      </c>
      <c r="AH56" s="298"/>
      <c r="AI56" s="299"/>
      <c r="AJ56" s="299"/>
      <c r="AK56" s="300">
        <f t="shared" si="1"/>
        <v>2</v>
      </c>
      <c r="AL56" s="300">
        <f t="shared" si="2"/>
        <v>0</v>
      </c>
      <c r="AM56" s="301">
        <f t="shared" si="3"/>
        <v>3</v>
      </c>
      <c r="AN56" s="300" t="str">
        <f t="shared" si="4"/>
        <v>0</v>
      </c>
      <c r="AO56" s="300">
        <f t="shared" si="5"/>
        <v>0</v>
      </c>
      <c r="AP56" s="88"/>
    </row>
    <row r="57">
      <c r="A57" s="284">
        <v>53.0</v>
      </c>
      <c r="B57" s="285" t="s">
        <v>1804</v>
      </c>
      <c r="C57" s="304" t="s">
        <v>2775</v>
      </c>
      <c r="D57" s="286" t="str">
        <f>VLOOKUP(B57,USN!$1:$1088,2,False)</f>
        <v>1CR23AD053</v>
      </c>
      <c r="E57" s="285">
        <v>9.336301578E9</v>
      </c>
      <c r="F57" s="287" t="s">
        <v>3715</v>
      </c>
      <c r="G57" s="288"/>
      <c r="H57" s="289">
        <v>79.0</v>
      </c>
      <c r="I57" s="120">
        <v>92.0</v>
      </c>
      <c r="J57" s="120">
        <f>VLOOKUP(D57,'L3'!$1:$2060,2,False)</f>
        <v>5</v>
      </c>
      <c r="K57" s="120">
        <f>VLOOKUP(D57,'L4'!$1:$2059,2,False)</f>
        <v>16</v>
      </c>
      <c r="L57" s="121">
        <f>VLOOKUP(D57,'A1 RETEST 5 DEC'!$1:$2096,2,False)</f>
        <v>11</v>
      </c>
      <c r="M57" s="122">
        <f>VLOOKUP(D57,'A2 RETEST 4 DEC'!$1:$2096,2,False)</f>
        <v>0</v>
      </c>
      <c r="N57" s="122">
        <v>0.0</v>
      </c>
      <c r="O57" s="121"/>
      <c r="P57" s="123">
        <f>IFNA(VLOOKUP(D57,'S1'!$1:$1500,2,False),0)</f>
        <v>0</v>
      </c>
      <c r="Q57" s="123">
        <f>vlookup(D57,'S2'!A53:B1255,2,0)</f>
        <v>0</v>
      </c>
      <c r="R57" s="123">
        <f>ifna(vlookup(D57,'S3'!$1:$1311,2,False),0)</f>
        <v>0</v>
      </c>
      <c r="S57" s="123"/>
      <c r="T57" s="125">
        <v>11.0</v>
      </c>
      <c r="U57" s="125">
        <v>20.0</v>
      </c>
      <c r="V57" s="125">
        <v>82.0</v>
      </c>
      <c r="W57" s="290">
        <v>78.0</v>
      </c>
      <c r="X57" s="303" t="s">
        <v>3717</v>
      </c>
      <c r="Y57" s="125"/>
      <c r="Z57" s="292"/>
      <c r="AA57" s="293">
        <v>26.0</v>
      </c>
      <c r="AB57" s="294">
        <v>60.0</v>
      </c>
      <c r="AC57" s="295">
        <v>0.0</v>
      </c>
      <c r="AD57" s="296">
        <v>0.0</v>
      </c>
      <c r="AE57" s="297">
        <v>10.0</v>
      </c>
      <c r="AF57" s="298"/>
      <c r="AG57" s="298">
        <v>0.0</v>
      </c>
      <c r="AH57" s="298"/>
      <c r="AI57" s="299"/>
      <c r="AJ57" s="299"/>
      <c r="AK57" s="300">
        <f t="shared" si="1"/>
        <v>2</v>
      </c>
      <c r="AL57" s="300">
        <f t="shared" si="2"/>
        <v>0</v>
      </c>
      <c r="AM57" s="301">
        <f t="shared" si="3"/>
        <v>3</v>
      </c>
      <c r="AN57" s="300" t="str">
        <f t="shared" si="4"/>
        <v>2</v>
      </c>
      <c r="AO57" s="300">
        <f t="shared" si="5"/>
        <v>0</v>
      </c>
      <c r="AP57" s="88"/>
    </row>
    <row r="58">
      <c r="A58" s="284">
        <v>54.0</v>
      </c>
      <c r="B58" s="285" t="s">
        <v>1780</v>
      </c>
      <c r="C58" s="285" t="s">
        <v>2776</v>
      </c>
      <c r="D58" s="286" t="str">
        <f>VLOOKUP(B58,USN!$1:$1088,2,False)</f>
        <v>1CR23AD054</v>
      </c>
      <c r="E58" s="285">
        <v>6.302616117E9</v>
      </c>
      <c r="F58" s="287" t="s">
        <v>3715</v>
      </c>
      <c r="G58" s="288"/>
      <c r="H58" s="120">
        <v>70.0</v>
      </c>
      <c r="I58" s="120">
        <v>71.0</v>
      </c>
      <c r="J58" s="120">
        <f>VLOOKUP(D58,'L3'!$1:$2060,2,False)</f>
        <v>70</v>
      </c>
      <c r="K58" s="120">
        <f>VLOOKUP(D58,'L4'!$1:$2059,2,False)</f>
        <v>70</v>
      </c>
      <c r="L58" s="121">
        <f>VLOOKUP(D58,'A1 RETEST 5 DEC'!$1:$2096,2,False)</f>
        <v>50</v>
      </c>
      <c r="M58" s="122">
        <f>VLOOKUP(D58,'A2 RETEST 4 DEC'!$1:$2096,2,False)</f>
        <v>50</v>
      </c>
      <c r="N58" s="122">
        <v>41.0</v>
      </c>
      <c r="O58" s="121"/>
      <c r="P58" s="123">
        <f>IFNA(VLOOKUP(D58,'S1'!$1:$1500,2,False),0)</f>
        <v>77</v>
      </c>
      <c r="Q58" s="123">
        <f>vlookup(D58,'S2'!A54:B1256,2,0)</f>
        <v>55</v>
      </c>
      <c r="R58" s="123">
        <f>ifna(vlookup(D58,'S3'!$1:$1311,2,False),0)</f>
        <v>81</v>
      </c>
      <c r="S58" s="123"/>
      <c r="T58" s="125">
        <v>17.0</v>
      </c>
      <c r="U58" s="125">
        <v>24.0</v>
      </c>
      <c r="V58" s="125">
        <v>78.0</v>
      </c>
      <c r="W58" s="290">
        <v>78.0</v>
      </c>
      <c r="X58" s="303">
        <v>80.0</v>
      </c>
      <c r="Y58" s="125"/>
      <c r="Z58" s="292"/>
      <c r="AA58" s="293">
        <v>11.4</v>
      </c>
      <c r="AB58" s="294">
        <v>70.0</v>
      </c>
      <c r="AC58" s="295">
        <v>60.0</v>
      </c>
      <c r="AD58" s="302">
        <v>60.0</v>
      </c>
      <c r="AE58" s="297">
        <v>72.0</v>
      </c>
      <c r="AF58" s="298"/>
      <c r="AG58" s="298">
        <v>83.0</v>
      </c>
      <c r="AH58" s="298"/>
      <c r="AI58" s="299"/>
      <c r="AJ58" s="299"/>
      <c r="AK58" s="300">
        <f t="shared" si="1"/>
        <v>4</v>
      </c>
      <c r="AL58" s="300">
        <f t="shared" si="2"/>
        <v>2</v>
      </c>
      <c r="AM58" s="301">
        <f t="shared" si="3"/>
        <v>3</v>
      </c>
      <c r="AN58" s="300" t="str">
        <f t="shared" si="4"/>
        <v>3.5</v>
      </c>
      <c r="AO58" s="300">
        <f t="shared" si="5"/>
        <v>3</v>
      </c>
      <c r="AP58" s="88"/>
    </row>
    <row r="59">
      <c r="A59" s="284">
        <v>55.0</v>
      </c>
      <c r="B59" s="285" t="s">
        <v>1781</v>
      </c>
      <c r="C59" s="285" t="s">
        <v>2777</v>
      </c>
      <c r="D59" s="286" t="str">
        <f>VLOOKUP(B59,USN!$1:$1088,2,False)</f>
        <v>1CR23AD055</v>
      </c>
      <c r="E59" s="285">
        <v>9.448571339E9</v>
      </c>
      <c r="F59" s="287" t="s">
        <v>3715</v>
      </c>
      <c r="G59" s="288"/>
      <c r="H59" s="289">
        <v>79.0</v>
      </c>
      <c r="I59" s="120">
        <v>84.0</v>
      </c>
      <c r="J59" s="120">
        <f>VLOOKUP(D59,'L3'!$1:$2060,2,False)</f>
        <v>82</v>
      </c>
      <c r="K59" s="120">
        <f>VLOOKUP(D59,'L4'!$1:$2059,2,False)</f>
        <v>70</v>
      </c>
      <c r="L59" s="121">
        <f>VLOOKUP(D59,'A1 RETEST 5 DEC'!$1:$2096,2,False)</f>
        <v>50</v>
      </c>
      <c r="M59" s="122">
        <f>VLOOKUP(D59,'A2 RETEST 4 DEC'!$1:$2096,2,False)</f>
        <v>20</v>
      </c>
      <c r="N59" s="122">
        <v>6.0</v>
      </c>
      <c r="O59" s="121"/>
      <c r="P59" s="123">
        <f>IFNA(VLOOKUP(D59,'S1'!$1:$1500,2,False),0)</f>
        <v>90</v>
      </c>
      <c r="Q59" s="123">
        <f>vlookup(D59,'S2'!A55:B1257,2,0)</f>
        <v>83</v>
      </c>
      <c r="R59" s="123">
        <f>ifna(vlookup(D59,'S3'!$1:$1311,2,False),0)</f>
        <v>0</v>
      </c>
      <c r="S59" s="123"/>
      <c r="T59" s="125">
        <v>22.0</v>
      </c>
      <c r="U59" s="125">
        <v>24.0</v>
      </c>
      <c r="V59" s="125">
        <v>88.0</v>
      </c>
      <c r="W59" s="290">
        <v>84.0</v>
      </c>
      <c r="X59" s="291">
        <v>72.0</v>
      </c>
      <c r="Y59" s="125"/>
      <c r="Z59" s="292"/>
      <c r="AA59" s="293">
        <v>15.6</v>
      </c>
      <c r="AB59" s="294">
        <v>64.0</v>
      </c>
      <c r="AC59" s="295">
        <v>0.0</v>
      </c>
      <c r="AD59" s="296">
        <v>1.0</v>
      </c>
      <c r="AE59" s="297">
        <v>10.0</v>
      </c>
      <c r="AF59" s="298"/>
      <c r="AG59" s="298">
        <v>14.0</v>
      </c>
      <c r="AH59" s="298"/>
      <c r="AI59" s="299"/>
      <c r="AJ59" s="299"/>
      <c r="AK59" s="300">
        <f t="shared" si="1"/>
        <v>4</v>
      </c>
      <c r="AL59" s="300">
        <f t="shared" si="2"/>
        <v>1</v>
      </c>
      <c r="AM59" s="301">
        <f t="shared" si="3"/>
        <v>3</v>
      </c>
      <c r="AN59" s="300" t="str">
        <f t="shared" si="4"/>
        <v>2</v>
      </c>
      <c r="AO59" s="300">
        <f t="shared" si="5"/>
        <v>2</v>
      </c>
      <c r="AP59" s="88"/>
    </row>
    <row r="60">
      <c r="A60" s="284">
        <v>56.0</v>
      </c>
      <c r="B60" s="285" t="s">
        <v>1782</v>
      </c>
      <c r="C60" s="285" t="s">
        <v>2778</v>
      </c>
      <c r="D60" s="286" t="str">
        <f>VLOOKUP(B60,USN!$1:$1088,2,False)</f>
        <v>1CR23AD056</v>
      </c>
      <c r="E60" s="285">
        <v>6.360194317E9</v>
      </c>
      <c r="F60" s="287" t="s">
        <v>3715</v>
      </c>
      <c r="G60" s="288"/>
      <c r="H60" s="120">
        <v>70.0</v>
      </c>
      <c r="I60" s="120">
        <v>81.0</v>
      </c>
      <c r="J60" s="120">
        <f>VLOOKUP(D60,'L3'!$1:$2060,2,False)</f>
        <v>73</v>
      </c>
      <c r="K60" s="120">
        <f>VLOOKUP(D60,'L4'!$1:$2059,2,False)</f>
        <v>70</v>
      </c>
      <c r="L60" s="121">
        <f>VLOOKUP(D60,'A1 RETEST 5 DEC'!$1:$2096,2,False)</f>
        <v>50</v>
      </c>
      <c r="M60" s="122">
        <f>VLOOKUP(D60,'A2 RETEST 4 DEC'!$1:$2096,2,False)</f>
        <v>50</v>
      </c>
      <c r="N60" s="122">
        <v>50.0</v>
      </c>
      <c r="O60" s="121"/>
      <c r="P60" s="123">
        <f>IFNA(VLOOKUP(D60,'S1'!$1:$1500,2,False),0)</f>
        <v>81</v>
      </c>
      <c r="Q60" s="123">
        <f>vlookup(D60,'S2'!A56:B1258,2,0)</f>
        <v>50</v>
      </c>
      <c r="R60" s="123">
        <f>ifna(vlookup(D60,'S3'!$1:$1311,2,False),0)</f>
        <v>83</v>
      </c>
      <c r="S60" s="123"/>
      <c r="T60" s="125">
        <v>16.0</v>
      </c>
      <c r="U60" s="125">
        <v>18.0</v>
      </c>
      <c r="V60" s="125">
        <v>90.0</v>
      </c>
      <c r="W60" s="290">
        <v>80.0</v>
      </c>
      <c r="X60" s="291">
        <v>56.0</v>
      </c>
      <c r="Y60" s="125"/>
      <c r="Z60" s="292"/>
      <c r="AA60" s="293">
        <v>11.2</v>
      </c>
      <c r="AB60" s="294">
        <v>70.0</v>
      </c>
      <c r="AC60" s="295">
        <v>80.0</v>
      </c>
      <c r="AD60" s="296">
        <v>0.0</v>
      </c>
      <c r="AE60" s="297">
        <v>70.0</v>
      </c>
      <c r="AF60" s="298"/>
      <c r="AG60" s="298">
        <v>76.0</v>
      </c>
      <c r="AH60" s="298"/>
      <c r="AI60" s="299"/>
      <c r="AJ60" s="299"/>
      <c r="AK60" s="300">
        <f t="shared" si="1"/>
        <v>4</v>
      </c>
      <c r="AL60" s="300">
        <f t="shared" si="2"/>
        <v>3</v>
      </c>
      <c r="AM60" s="301">
        <f t="shared" si="3"/>
        <v>3</v>
      </c>
      <c r="AN60" s="300" t="str">
        <f t="shared" si="4"/>
        <v>3.5</v>
      </c>
      <c r="AO60" s="300">
        <f t="shared" si="5"/>
        <v>3</v>
      </c>
      <c r="AP60" s="88"/>
    </row>
    <row r="61">
      <c r="A61" s="284">
        <v>57.0</v>
      </c>
      <c r="B61" s="285" t="s">
        <v>1792</v>
      </c>
      <c r="C61" s="285" t="s">
        <v>2779</v>
      </c>
      <c r="D61" s="286" t="str">
        <f>VLOOKUP(B61,USN!$1:$1088,2,False)</f>
        <v>1CR23AD057</v>
      </c>
      <c r="E61" s="285">
        <v>8.708657992E9</v>
      </c>
      <c r="F61" s="287" t="s">
        <v>3715</v>
      </c>
      <c r="G61" s="288"/>
      <c r="H61" s="289">
        <v>77.0</v>
      </c>
      <c r="I61" s="120">
        <v>84.0</v>
      </c>
      <c r="J61" s="120">
        <f>VLOOKUP(D61,'L3'!$1:$2060,2,False)</f>
        <v>76</v>
      </c>
      <c r="K61" s="120">
        <f>VLOOKUP(D61,'L4'!$1:$2059,2,False)</f>
        <v>70</v>
      </c>
      <c r="L61" s="121">
        <v>50.0</v>
      </c>
      <c r="M61" s="122">
        <f>VLOOKUP(D61,'A2 RETEST 4 DEC'!$1:$2096,2,False)</f>
        <v>25</v>
      </c>
      <c r="N61" s="122">
        <v>50.0</v>
      </c>
      <c r="O61" s="121"/>
      <c r="P61" s="123">
        <f>IFNA(VLOOKUP(D61,'S1'!$1:$1500,2,False),0)</f>
        <v>79</v>
      </c>
      <c r="Q61" s="123">
        <f>vlookup(D61,'S2'!A57:B1259,2,0)</f>
        <v>50</v>
      </c>
      <c r="R61" s="123">
        <f>ifna(vlookup(D61,'S3'!$1:$1311,2,False),0)</f>
        <v>91</v>
      </c>
      <c r="S61" s="123"/>
      <c r="T61" s="125">
        <v>10.0</v>
      </c>
      <c r="U61" s="125">
        <v>19.0</v>
      </c>
      <c r="V61" s="125">
        <v>84.0</v>
      </c>
      <c r="W61" s="290">
        <v>84.0</v>
      </c>
      <c r="X61" s="291">
        <v>72.0</v>
      </c>
      <c r="Y61" s="125"/>
      <c r="Z61" s="292"/>
      <c r="AA61" s="293">
        <v>60.0</v>
      </c>
      <c r="AB61" s="294">
        <v>61.0</v>
      </c>
      <c r="AC61" s="295">
        <v>10.0</v>
      </c>
      <c r="AD61" s="302">
        <v>80.0</v>
      </c>
      <c r="AE61" s="297">
        <v>70.0</v>
      </c>
      <c r="AF61" s="298"/>
      <c r="AG61" s="298">
        <v>77.0</v>
      </c>
      <c r="AH61" s="298"/>
      <c r="AI61" s="299"/>
      <c r="AJ61" s="299"/>
      <c r="AK61" s="300">
        <f t="shared" si="1"/>
        <v>4</v>
      </c>
      <c r="AL61" s="300">
        <f t="shared" si="2"/>
        <v>1</v>
      </c>
      <c r="AM61" s="301">
        <f t="shared" si="3"/>
        <v>3</v>
      </c>
      <c r="AN61" s="300" t="str">
        <f t="shared" si="4"/>
        <v>3.5</v>
      </c>
      <c r="AO61" s="300">
        <f t="shared" si="5"/>
        <v>3</v>
      </c>
      <c r="AP61" s="88"/>
    </row>
    <row r="62">
      <c r="A62" s="284">
        <v>58.0</v>
      </c>
      <c r="B62" s="285" t="s">
        <v>1812</v>
      </c>
      <c r="C62" s="285" t="s">
        <v>3725</v>
      </c>
      <c r="D62" s="286" t="str">
        <f>VLOOKUP(B62,USN!$1:$1088,2,False)</f>
        <v>1CR23AD058</v>
      </c>
      <c r="E62" s="285">
        <v>9.019839212E9</v>
      </c>
      <c r="F62" s="287" t="s">
        <v>3715</v>
      </c>
      <c r="G62" s="288"/>
      <c r="H62" s="289">
        <v>72.0</v>
      </c>
      <c r="I62" s="120">
        <v>84.0</v>
      </c>
      <c r="J62" s="120">
        <f>VLOOKUP(D62,'L3'!$1:$2060,2,False)</f>
        <v>58</v>
      </c>
      <c r="K62" s="120">
        <f>VLOOKUP(D62,'L4'!$1:$2059,2,False)</f>
        <v>70</v>
      </c>
      <c r="L62" s="121">
        <f>VLOOKUP(D62,'A1 RETEST 5 DEC'!$1:$2096,2,False)</f>
        <v>42</v>
      </c>
      <c r="M62" s="122">
        <f>VLOOKUP(D62,'A2 RETEST 4 DEC'!$1:$2096,2,False)</f>
        <v>25</v>
      </c>
      <c r="N62" s="122">
        <v>50.0</v>
      </c>
      <c r="O62" s="121"/>
      <c r="P62" s="123">
        <f>IFNA(VLOOKUP(D62,'S1'!$1:$1500,2,False),0)</f>
        <v>87</v>
      </c>
      <c r="Q62" s="123">
        <f>vlookup(D62,'S2'!A58:B1260,2,0)</f>
        <v>50</v>
      </c>
      <c r="R62" s="123">
        <f>ifna(vlookup(D62,'S3'!$1:$1311,2,False),0)</f>
        <v>87</v>
      </c>
      <c r="S62" s="123"/>
      <c r="T62" s="125">
        <v>16.0</v>
      </c>
      <c r="U62" s="125">
        <v>12.0</v>
      </c>
      <c r="V62" s="125">
        <v>72.0</v>
      </c>
      <c r="W62" s="311"/>
      <c r="X62" s="291">
        <v>70.0</v>
      </c>
      <c r="Y62" s="125"/>
      <c r="Z62" s="292"/>
      <c r="AA62" s="293">
        <v>2.0</v>
      </c>
      <c r="AB62" s="294">
        <v>61.0</v>
      </c>
      <c r="AC62" s="295">
        <v>70.0</v>
      </c>
      <c r="AD62" s="296">
        <v>2.0</v>
      </c>
      <c r="AE62" s="297">
        <v>40.0</v>
      </c>
      <c r="AF62" s="298"/>
      <c r="AG62" s="298">
        <v>74.0</v>
      </c>
      <c r="AH62" s="298"/>
      <c r="AI62" s="299"/>
      <c r="AJ62" s="299"/>
      <c r="AK62" s="300">
        <f t="shared" si="1"/>
        <v>2</v>
      </c>
      <c r="AL62" s="300">
        <f t="shared" si="2"/>
        <v>0</v>
      </c>
      <c r="AM62" s="301">
        <f t="shared" si="3"/>
        <v>2</v>
      </c>
      <c r="AN62" s="300" t="str">
        <f t="shared" si="4"/>
        <v>3</v>
      </c>
      <c r="AO62" s="300">
        <f t="shared" si="5"/>
        <v>3</v>
      </c>
      <c r="AP62" s="88"/>
    </row>
    <row r="63">
      <c r="A63" s="284">
        <v>59.0</v>
      </c>
      <c r="B63" s="285" t="s">
        <v>1783</v>
      </c>
      <c r="C63" s="285" t="s">
        <v>2781</v>
      </c>
      <c r="D63" s="286" t="str">
        <f>VLOOKUP(B63,USN!$1:$1088,2,False)</f>
        <v>1CR23AD059</v>
      </c>
      <c r="E63" s="285">
        <v>8.217896072E9</v>
      </c>
      <c r="F63" s="287" t="s">
        <v>3715</v>
      </c>
      <c r="G63" s="288"/>
      <c r="H63" s="289">
        <v>79.0</v>
      </c>
      <c r="I63" s="120">
        <v>83.0</v>
      </c>
      <c r="J63" s="120">
        <f>VLOOKUP(D63,'L3'!$1:$2060,2,False)</f>
        <v>74</v>
      </c>
      <c r="K63" s="120">
        <f>VLOOKUP(D63,'L4'!$1:$2059,2,False)</f>
        <v>70</v>
      </c>
      <c r="L63" s="121">
        <f>VLOOKUP(D63,'A1 RETEST 5 DEC'!$1:$2096,2,False)</f>
        <v>50</v>
      </c>
      <c r="M63" s="122">
        <f>VLOOKUP(D63,'A2 RETEST 4 DEC'!$1:$2096,2,False)</f>
        <v>50</v>
      </c>
      <c r="N63" s="122">
        <v>59.0</v>
      </c>
      <c r="O63" s="121"/>
      <c r="P63" s="123">
        <f>IFNA(VLOOKUP(D63,'S1'!$1:$1500,2,False),0)</f>
        <v>80</v>
      </c>
      <c r="Q63" s="123">
        <f>vlookup(D63,'S2'!A59:B1261,2,0)</f>
        <v>55</v>
      </c>
      <c r="R63" s="123">
        <f>ifna(vlookup(D63,'S3'!$1:$1311,2,False),0)</f>
        <v>84</v>
      </c>
      <c r="S63" s="123"/>
      <c r="T63" s="125">
        <v>14.0</v>
      </c>
      <c r="U63" s="125">
        <v>25.0</v>
      </c>
      <c r="V63" s="125">
        <v>92.0</v>
      </c>
      <c r="W63" s="290">
        <v>66.0</v>
      </c>
      <c r="X63" s="291">
        <v>80.0</v>
      </c>
      <c r="Y63" s="125"/>
      <c r="Z63" s="292"/>
      <c r="AA63" s="293">
        <v>15.6</v>
      </c>
      <c r="AB63" s="294">
        <v>62.0</v>
      </c>
      <c r="AC63" s="295">
        <v>0.0</v>
      </c>
      <c r="AD63" s="302">
        <v>60.0</v>
      </c>
      <c r="AE63" s="297">
        <v>71.0</v>
      </c>
      <c r="AF63" s="298"/>
      <c r="AG63" s="298">
        <v>82.0</v>
      </c>
      <c r="AH63" s="298"/>
      <c r="AI63" s="299"/>
      <c r="AJ63" s="299"/>
      <c r="AK63" s="300">
        <f t="shared" si="1"/>
        <v>4</v>
      </c>
      <c r="AL63" s="300">
        <f t="shared" si="2"/>
        <v>3</v>
      </c>
      <c r="AM63" s="301">
        <f t="shared" si="3"/>
        <v>3</v>
      </c>
      <c r="AN63" s="300" t="str">
        <f t="shared" si="4"/>
        <v>3.5</v>
      </c>
      <c r="AO63" s="300">
        <f t="shared" si="5"/>
        <v>3</v>
      </c>
      <c r="AP63" s="88"/>
    </row>
    <row r="64">
      <c r="A64" s="284">
        <v>60.0</v>
      </c>
      <c r="B64" s="285" t="s">
        <v>1784</v>
      </c>
      <c r="C64" s="285" t="s">
        <v>2782</v>
      </c>
      <c r="D64" s="286" t="str">
        <f>VLOOKUP(B64,USN!$1:$1088,2,False)</f>
        <v>1CR23AD060</v>
      </c>
      <c r="E64" s="285">
        <v>7.483579122E9</v>
      </c>
      <c r="F64" s="287" t="s">
        <v>3715</v>
      </c>
      <c r="G64" s="288"/>
      <c r="H64" s="289">
        <v>72.0</v>
      </c>
      <c r="I64" s="120">
        <v>84.0</v>
      </c>
      <c r="J64" s="120">
        <f>VLOOKUP(D64,'L3'!$1:$2060,2,False)</f>
        <v>76</v>
      </c>
      <c r="K64" s="120">
        <f>VLOOKUP(D64,'L4'!$1:$2059,2,False)</f>
        <v>70</v>
      </c>
      <c r="L64" s="121">
        <f>VLOOKUP(D64,'A1 RETEST 5 DEC'!$1:$2096,2,False)</f>
        <v>48</v>
      </c>
      <c r="M64" s="122">
        <f>VLOOKUP(D64,'A2 RETEST 4 DEC'!$1:$2096,2,False)</f>
        <v>16</v>
      </c>
      <c r="N64" s="122">
        <v>28.0</v>
      </c>
      <c r="O64" s="121"/>
      <c r="P64" s="123">
        <f>IFNA(VLOOKUP(D64,'S1'!$1:$1500,2,False),0)</f>
        <v>81</v>
      </c>
      <c r="Q64" s="123">
        <f>vlookup(D64,'S2'!A60:B1262,2,0)</f>
        <v>50</v>
      </c>
      <c r="R64" s="123">
        <f>ifna(vlookup(D64,'S3'!$1:$1311,2,False),0)</f>
        <v>74</v>
      </c>
      <c r="S64" s="123"/>
      <c r="T64" s="125">
        <v>10.0</v>
      </c>
      <c r="U64" s="125">
        <v>8.0</v>
      </c>
      <c r="V64" s="125">
        <v>76.0</v>
      </c>
      <c r="W64" s="290">
        <v>64.0</v>
      </c>
      <c r="X64" s="291">
        <v>86.0</v>
      </c>
      <c r="Y64" s="125"/>
      <c r="Z64" s="292"/>
      <c r="AA64" s="293">
        <v>15.6</v>
      </c>
      <c r="AB64" s="294">
        <v>55.0</v>
      </c>
      <c r="AC64" s="295">
        <v>0.0</v>
      </c>
      <c r="AD64" s="296">
        <v>1.0</v>
      </c>
      <c r="AE64" s="297">
        <v>35.0</v>
      </c>
      <c r="AF64" s="298"/>
      <c r="AG64" s="298">
        <v>76.0</v>
      </c>
      <c r="AH64" s="298"/>
      <c r="AI64" s="299"/>
      <c r="AJ64" s="299"/>
      <c r="AK64" s="300">
        <f t="shared" si="1"/>
        <v>4</v>
      </c>
      <c r="AL64" s="300">
        <f t="shared" si="2"/>
        <v>0</v>
      </c>
      <c r="AM64" s="301">
        <f t="shared" si="3"/>
        <v>0</v>
      </c>
      <c r="AN64" s="300" t="str">
        <f t="shared" si="4"/>
        <v>2</v>
      </c>
      <c r="AO64" s="300">
        <f t="shared" si="5"/>
        <v>3</v>
      </c>
      <c r="AP64" s="88"/>
    </row>
    <row r="65">
      <c r="A65" s="284">
        <v>61.0</v>
      </c>
      <c r="B65" s="304" t="s">
        <v>1867</v>
      </c>
      <c r="C65" s="304" t="s">
        <v>2783</v>
      </c>
      <c r="D65" s="286" t="str">
        <f>VLOOKUP(B65,USN!$1:$1088,2,False)</f>
        <v>1CR23AD061</v>
      </c>
      <c r="E65" s="304">
        <v>9.035683966E9</v>
      </c>
      <c r="F65" s="287" t="s">
        <v>3715</v>
      </c>
      <c r="G65" s="288"/>
      <c r="H65" s="289">
        <v>86.0</v>
      </c>
      <c r="I65" s="120">
        <v>92.0</v>
      </c>
      <c r="J65" s="120">
        <f>VLOOKUP(D65,'L3'!$1:$2060,2,False)</f>
        <v>71</v>
      </c>
      <c r="K65" s="120">
        <f>VLOOKUP(D65,'L4'!$1:$2059,2,False)</f>
        <v>70</v>
      </c>
      <c r="L65" s="121">
        <f>VLOOKUP(D65,'A1 RETEST 5 DEC'!$1:$2096,2,False)</f>
        <v>50</v>
      </c>
      <c r="M65" s="122">
        <f>VLOOKUP(D65,'A2 RETEST 4 DEC'!$1:$2096,2,False)</f>
        <v>44</v>
      </c>
      <c r="N65" s="122">
        <v>50.0</v>
      </c>
      <c r="O65" s="121"/>
      <c r="P65" s="123">
        <f>IFNA(VLOOKUP(D65,'S1'!$1:$1500,2,False),0)</f>
        <v>81</v>
      </c>
      <c r="Q65" s="123">
        <f>vlookup(D65,'S2'!A61:B1263,2,0)</f>
        <v>83</v>
      </c>
      <c r="R65" s="123">
        <f>ifna(vlookup(D65,'S3'!$1:$1311,2,False),0)</f>
        <v>92</v>
      </c>
      <c r="S65" s="123"/>
      <c r="T65" s="125">
        <v>16.0</v>
      </c>
      <c r="U65" s="125">
        <v>25.0</v>
      </c>
      <c r="V65" s="125">
        <v>88.0</v>
      </c>
      <c r="W65" s="290">
        <v>88.0</v>
      </c>
      <c r="X65" s="291">
        <v>78.0</v>
      </c>
      <c r="Y65" s="125"/>
      <c r="Z65" s="292"/>
      <c r="AA65" s="293">
        <v>78.0</v>
      </c>
      <c r="AB65" s="294">
        <v>97.0</v>
      </c>
      <c r="AC65" s="295">
        <v>68.0</v>
      </c>
      <c r="AD65" s="296">
        <v>12.0</v>
      </c>
      <c r="AE65" s="297">
        <v>70.0</v>
      </c>
      <c r="AF65" s="298"/>
      <c r="AG65" s="298">
        <v>77.0</v>
      </c>
      <c r="AH65" s="298"/>
      <c r="AI65" s="299"/>
      <c r="AJ65" s="299"/>
      <c r="AK65" s="300">
        <f t="shared" si="1"/>
        <v>4</v>
      </c>
      <c r="AL65" s="300">
        <f t="shared" si="2"/>
        <v>1</v>
      </c>
      <c r="AM65" s="301">
        <f t="shared" si="3"/>
        <v>3</v>
      </c>
      <c r="AN65" s="300" t="str">
        <f t="shared" si="4"/>
        <v>3.5</v>
      </c>
      <c r="AO65" s="300">
        <f t="shared" si="5"/>
        <v>3</v>
      </c>
      <c r="AP65" s="88"/>
    </row>
    <row r="66">
      <c r="A66" s="284">
        <v>62.0</v>
      </c>
      <c r="B66" s="285" t="s">
        <v>1785</v>
      </c>
      <c r="C66" s="285" t="s">
        <v>3726</v>
      </c>
      <c r="D66" s="286" t="str">
        <f>VLOOKUP(B66,USN!$1:$1088,2,False)</f>
        <v>1CR23AD062</v>
      </c>
      <c r="E66" s="285">
        <v>7.975169992E9</v>
      </c>
      <c r="F66" s="287" t="s">
        <v>3715</v>
      </c>
      <c r="G66" s="288"/>
      <c r="H66" s="289">
        <v>88.0</v>
      </c>
      <c r="I66" s="120">
        <v>88.0</v>
      </c>
      <c r="J66" s="120">
        <f>VLOOKUP(D66,'L3'!$1:$2060,2,False)</f>
        <v>77</v>
      </c>
      <c r="K66" s="120">
        <f>VLOOKUP(D66,'L4'!$1:$2059,2,False)</f>
        <v>70</v>
      </c>
      <c r="L66" s="121">
        <f>VLOOKUP(D66,'A1 RETEST 5 DEC'!$1:$2096,2,False)</f>
        <v>20</v>
      </c>
      <c r="M66" s="122">
        <f>VLOOKUP(D66,'A2 RETEST 4 DEC'!$1:$2096,2,False)</f>
        <v>50</v>
      </c>
      <c r="N66" s="122">
        <v>50.0</v>
      </c>
      <c r="O66" s="121"/>
      <c r="P66" s="123">
        <f>IFNA(VLOOKUP(D66,'S1'!$1:$1500,2,False),0)</f>
        <v>82</v>
      </c>
      <c r="Q66" s="123">
        <f>vlookup(D66,'S2'!A62:B1264,2,0)</f>
        <v>65</v>
      </c>
      <c r="R66" s="123">
        <f>ifna(vlookup(D66,'S3'!$1:$1311,2,False),0)</f>
        <v>86</v>
      </c>
      <c r="S66" s="123"/>
      <c r="T66" s="125">
        <v>20.0</v>
      </c>
      <c r="U66" s="125">
        <v>25.0</v>
      </c>
      <c r="V66" s="125">
        <v>74.0</v>
      </c>
      <c r="W66" s="290">
        <v>76.0</v>
      </c>
      <c r="X66" s="291">
        <v>82.0</v>
      </c>
      <c r="Y66" s="125"/>
      <c r="Z66" s="292"/>
      <c r="AA66" s="293">
        <v>14.8</v>
      </c>
      <c r="AB66" s="294">
        <v>71.0</v>
      </c>
      <c r="AC66" s="295">
        <v>0.0</v>
      </c>
      <c r="AD66" s="296">
        <v>0.0</v>
      </c>
      <c r="AE66" s="297">
        <v>16.0</v>
      </c>
      <c r="AF66" s="298"/>
      <c r="AG66" s="298">
        <v>76.0</v>
      </c>
      <c r="AH66" s="298"/>
      <c r="AI66" s="299"/>
      <c r="AJ66" s="299"/>
      <c r="AK66" s="300">
        <f t="shared" si="1"/>
        <v>4</v>
      </c>
      <c r="AL66" s="300">
        <f t="shared" si="2"/>
        <v>0</v>
      </c>
      <c r="AM66" s="301">
        <f t="shared" si="3"/>
        <v>3</v>
      </c>
      <c r="AN66" s="300" t="str">
        <f t="shared" si="4"/>
        <v>2</v>
      </c>
      <c r="AO66" s="300">
        <f t="shared" si="5"/>
        <v>3</v>
      </c>
      <c r="AP66" s="88"/>
    </row>
    <row r="67">
      <c r="A67" s="284">
        <v>63.0</v>
      </c>
      <c r="B67" s="285" t="s">
        <v>1786</v>
      </c>
      <c r="C67" s="285" t="s">
        <v>2785</v>
      </c>
      <c r="D67" s="286" t="str">
        <f>VLOOKUP(B67,USN!$1:$1088,2,False)</f>
        <v>1CR23AD063</v>
      </c>
      <c r="E67" s="285">
        <v>7.892456973E9</v>
      </c>
      <c r="F67" s="287" t="s">
        <v>3715</v>
      </c>
      <c r="G67" s="288"/>
      <c r="H67" s="120">
        <v>70.0</v>
      </c>
      <c r="I67" s="120">
        <v>70.0</v>
      </c>
      <c r="J67" s="120">
        <f>VLOOKUP(D67,'L3'!$1:$2060,2,False)</f>
        <v>70</v>
      </c>
      <c r="K67" s="120">
        <f>VLOOKUP(D67,'L4'!$1:$2059,2,False)</f>
        <v>70</v>
      </c>
      <c r="L67" s="121">
        <f>VLOOKUP(D67,'A1 RETEST 5 DEC'!$1:$2096,2,False)</f>
        <v>7</v>
      </c>
      <c r="M67" s="122">
        <f>VLOOKUP(D67,'A2 RETEST 4 DEC'!$1:$2096,2,False)</f>
        <v>8</v>
      </c>
      <c r="N67" s="122">
        <v>50.0</v>
      </c>
      <c r="O67" s="121"/>
      <c r="P67" s="123">
        <f>IFNA(VLOOKUP(D67,'S1'!$1:$1500,2,False),0)</f>
        <v>82</v>
      </c>
      <c r="Q67" s="123">
        <f>vlookup(D67,'S2'!A63:B1265,2,0)</f>
        <v>65</v>
      </c>
      <c r="R67" s="123">
        <f>ifna(vlookup(D67,'S3'!$1:$1311,2,False),0)</f>
        <v>85</v>
      </c>
      <c r="S67" s="123"/>
      <c r="T67" s="125">
        <v>18.0</v>
      </c>
      <c r="U67" s="125">
        <v>14.0</v>
      </c>
      <c r="V67" s="125">
        <v>60.0</v>
      </c>
      <c r="W67" s="290">
        <v>70.0</v>
      </c>
      <c r="X67" s="291">
        <v>52.0</v>
      </c>
      <c r="Y67" s="125"/>
      <c r="Z67" s="292"/>
      <c r="AA67" s="293">
        <v>20.0</v>
      </c>
      <c r="AB67" s="294">
        <v>57.0</v>
      </c>
      <c r="AC67" s="295">
        <v>0.0</v>
      </c>
      <c r="AD67" s="296">
        <v>0.0</v>
      </c>
      <c r="AE67" s="297">
        <v>15.0</v>
      </c>
      <c r="AF67" s="298"/>
      <c r="AG67" s="298">
        <v>70.0</v>
      </c>
      <c r="AH67" s="298"/>
      <c r="AI67" s="299"/>
      <c r="AJ67" s="299"/>
      <c r="AK67" s="300">
        <f t="shared" si="1"/>
        <v>4</v>
      </c>
      <c r="AL67" s="300">
        <f t="shared" si="2"/>
        <v>0</v>
      </c>
      <c r="AM67" s="301">
        <f t="shared" si="3"/>
        <v>3</v>
      </c>
      <c r="AN67" s="300" t="str">
        <f t="shared" si="4"/>
        <v>2</v>
      </c>
      <c r="AO67" s="300">
        <f t="shared" si="5"/>
        <v>3</v>
      </c>
      <c r="AP67" s="88"/>
    </row>
    <row r="68">
      <c r="A68" s="284">
        <v>65.0</v>
      </c>
      <c r="B68" s="285" t="s">
        <v>1799</v>
      </c>
      <c r="C68" s="285" t="s">
        <v>2787</v>
      </c>
      <c r="D68" s="286" t="str">
        <f>VLOOKUP(B68,USN!$1:$1088,2,False)</f>
        <v>1CR23AD065</v>
      </c>
      <c r="E68" s="285">
        <v>8.971434831E9</v>
      </c>
      <c r="F68" s="287" t="s">
        <v>3715</v>
      </c>
      <c r="G68" s="288"/>
      <c r="H68" s="289">
        <v>84.0</v>
      </c>
      <c r="I68" s="120">
        <v>88.0</v>
      </c>
      <c r="J68" s="120">
        <f>VLOOKUP(D68,'L3'!$1:$2060,2,False)</f>
        <v>72</v>
      </c>
      <c r="K68" s="120">
        <f>VLOOKUP(D68,'L4'!$1:$2059,2,False)</f>
        <v>70</v>
      </c>
      <c r="L68" s="121">
        <f>VLOOKUP(D68,'A1 RETEST 5 DEC'!$1:$2096,2,False)</f>
        <v>50</v>
      </c>
      <c r="M68" s="122">
        <f>VLOOKUP(D68,'A2 RETEST 4 DEC'!$1:$2096,2,False)</f>
        <v>50</v>
      </c>
      <c r="N68" s="122">
        <v>56.0</v>
      </c>
      <c r="O68" s="121"/>
      <c r="P68" s="123">
        <f>IFNA(VLOOKUP(D68,'S1'!$1:$1500,2,False),0)</f>
        <v>50</v>
      </c>
      <c r="Q68" s="123">
        <f>vlookup(D68,'S2'!A64:B1266,2,0)</f>
        <v>75</v>
      </c>
      <c r="R68" s="123">
        <f>ifna(vlookup(D68,'S3'!$1:$1311,2,False),0)</f>
        <v>90</v>
      </c>
      <c r="S68" s="123"/>
      <c r="T68" s="125">
        <v>11.0</v>
      </c>
      <c r="U68" s="125">
        <v>16.0</v>
      </c>
      <c r="V68" s="125">
        <v>86.0</v>
      </c>
      <c r="W68" s="290">
        <v>72.0</v>
      </c>
      <c r="X68" s="291">
        <v>76.0</v>
      </c>
      <c r="Y68" s="125"/>
      <c r="Z68" s="292"/>
      <c r="AA68" s="293">
        <v>22.0</v>
      </c>
      <c r="AB68" s="294">
        <v>72.0</v>
      </c>
      <c r="AC68" s="295">
        <v>35.0</v>
      </c>
      <c r="AD68" s="302">
        <v>62.0</v>
      </c>
      <c r="AE68" s="297">
        <v>70.0</v>
      </c>
      <c r="AF68" s="298"/>
      <c r="AG68" s="298">
        <v>84.0</v>
      </c>
      <c r="AH68" s="298"/>
      <c r="AI68" s="299"/>
      <c r="AJ68" s="299"/>
      <c r="AK68" s="300">
        <f t="shared" si="1"/>
        <v>4</v>
      </c>
      <c r="AL68" s="300">
        <f t="shared" si="2"/>
        <v>3</v>
      </c>
      <c r="AM68" s="301">
        <f t="shared" si="3"/>
        <v>3</v>
      </c>
      <c r="AN68" s="300" t="str">
        <f t="shared" si="4"/>
        <v>3.5</v>
      </c>
      <c r="AO68" s="300">
        <f t="shared" si="5"/>
        <v>3</v>
      </c>
      <c r="AP68" s="88"/>
    </row>
    <row r="69">
      <c r="A69" s="284">
        <v>66.0</v>
      </c>
      <c r="B69" s="285" t="s">
        <v>1788</v>
      </c>
      <c r="C69" s="285" t="s">
        <v>2788</v>
      </c>
      <c r="D69" s="286" t="str">
        <f>VLOOKUP(B69,USN!$1:$1088,2,False)</f>
        <v>1CR23AD066</v>
      </c>
      <c r="E69" s="285">
        <v>9.901638386E9</v>
      </c>
      <c r="F69" s="287" t="s">
        <v>3715</v>
      </c>
      <c r="G69" s="288"/>
      <c r="H69" s="289">
        <v>78.0</v>
      </c>
      <c r="I69" s="120">
        <v>89.0</v>
      </c>
      <c r="J69" s="120">
        <f>VLOOKUP(D69,'L3'!$1:$2060,2,False)</f>
        <v>83</v>
      </c>
      <c r="K69" s="120">
        <f>VLOOKUP(D69,'L4'!$1:$2059,2,False)</f>
        <v>70</v>
      </c>
      <c r="L69" s="121">
        <f>VLOOKUP(D69,'A1 RETEST 5 DEC'!$1:$2096,2,False)</f>
        <v>50</v>
      </c>
      <c r="M69" s="122">
        <f>VLOOKUP(D69,'A2 RETEST 4 DEC'!$1:$2096,2,False)</f>
        <v>50</v>
      </c>
      <c r="N69" s="122">
        <v>60.0</v>
      </c>
      <c r="O69" s="121"/>
      <c r="P69" s="123">
        <f>IFNA(VLOOKUP(D69,'S1'!$1:$1500,2,False),0)</f>
        <v>79</v>
      </c>
      <c r="Q69" s="123">
        <f>vlookup(D69,'S2'!A65:B1267,2,0)</f>
        <v>75</v>
      </c>
      <c r="R69" s="123">
        <f>ifna(vlookup(D69,'S3'!$1:$1311,2,False),0)</f>
        <v>83</v>
      </c>
      <c r="S69" s="123"/>
      <c r="T69" s="125">
        <v>11.0</v>
      </c>
      <c r="U69" s="125">
        <v>18.0</v>
      </c>
      <c r="V69" s="125">
        <v>84.0</v>
      </c>
      <c r="W69" s="290">
        <v>76.0</v>
      </c>
      <c r="X69" s="291">
        <v>84.0</v>
      </c>
      <c r="Y69" s="125"/>
      <c r="Z69" s="292"/>
      <c r="AA69" s="293">
        <v>88.0</v>
      </c>
      <c r="AB69" s="294">
        <v>71.0</v>
      </c>
      <c r="AC69" s="295">
        <v>88.0</v>
      </c>
      <c r="AD69" s="302">
        <v>62.0</v>
      </c>
      <c r="AE69" s="297">
        <v>70.0</v>
      </c>
      <c r="AF69" s="298"/>
      <c r="AG69" s="298">
        <v>87.0</v>
      </c>
      <c r="AH69" s="298"/>
      <c r="AI69" s="299"/>
      <c r="AJ69" s="299"/>
      <c r="AK69" s="300">
        <f t="shared" si="1"/>
        <v>4</v>
      </c>
      <c r="AL69" s="300">
        <f t="shared" si="2"/>
        <v>3</v>
      </c>
      <c r="AM69" s="301">
        <f t="shared" si="3"/>
        <v>3</v>
      </c>
      <c r="AN69" s="300" t="str">
        <f t="shared" si="4"/>
        <v>3.5</v>
      </c>
      <c r="AO69" s="300">
        <f t="shared" si="5"/>
        <v>3</v>
      </c>
      <c r="AP69" s="88"/>
    </row>
    <row r="70">
      <c r="A70" s="284">
        <v>67.0</v>
      </c>
      <c r="B70" s="304" t="s">
        <v>1822</v>
      </c>
      <c r="C70" s="304" t="s">
        <v>2789</v>
      </c>
      <c r="D70" s="286" t="str">
        <f>VLOOKUP(B70,USN!$1:$1088,2,False)</f>
        <v>1CR23AD067</v>
      </c>
      <c r="E70" s="304">
        <v>9.113082751E9</v>
      </c>
      <c r="F70" s="287" t="s">
        <v>3715</v>
      </c>
      <c r="G70" s="288"/>
      <c r="H70" s="289">
        <v>74.0</v>
      </c>
      <c r="I70" s="120">
        <v>78.0</v>
      </c>
      <c r="J70" s="120">
        <f>VLOOKUP(D70,'L3'!$1:$2060,2,False)</f>
        <v>83</v>
      </c>
      <c r="K70" s="120">
        <f>VLOOKUP(D70,'L4'!$1:$2059,2,False)</f>
        <v>83</v>
      </c>
      <c r="L70" s="121">
        <f>VLOOKUP(D70,'A1 RETEST 5 DEC'!$1:$2096,2,False)</f>
        <v>50</v>
      </c>
      <c r="M70" s="122">
        <f>VLOOKUP(D70,'A2 RETEST 4 DEC'!$1:$2096,2,False)</f>
        <v>50</v>
      </c>
      <c r="N70" s="122">
        <v>50.0</v>
      </c>
      <c r="O70" s="121"/>
      <c r="P70" s="123">
        <f>IFNA(VLOOKUP(D70,'S1'!$1:$1500,2,False),0)</f>
        <v>80</v>
      </c>
      <c r="Q70" s="123">
        <f>vlookup(D70,'S2'!A66:B1268,2,0)</f>
        <v>59</v>
      </c>
      <c r="R70" s="123">
        <f>ifna(vlookup(D70,'S3'!$1:$1311,2,False),0)</f>
        <v>91</v>
      </c>
      <c r="S70" s="123"/>
      <c r="T70" s="125">
        <v>14.0</v>
      </c>
      <c r="U70" s="125">
        <v>25.0</v>
      </c>
      <c r="V70" s="125">
        <v>82.0</v>
      </c>
      <c r="W70" s="290">
        <v>72.0</v>
      </c>
      <c r="X70" s="291">
        <v>66.0</v>
      </c>
      <c r="Y70" s="125"/>
      <c r="Z70" s="292"/>
      <c r="AA70" s="293">
        <v>82.0</v>
      </c>
      <c r="AB70" s="294">
        <v>100.0</v>
      </c>
      <c r="AC70" s="295">
        <v>64.0</v>
      </c>
      <c r="AD70" s="302">
        <v>80.0</v>
      </c>
      <c r="AE70" s="297">
        <v>70.0</v>
      </c>
      <c r="AF70" s="309"/>
      <c r="AG70" s="298">
        <v>88.0</v>
      </c>
      <c r="AH70" s="298"/>
      <c r="AI70" s="299"/>
      <c r="AJ70" s="299"/>
      <c r="AK70" s="300">
        <f t="shared" si="1"/>
        <v>4</v>
      </c>
      <c r="AL70" s="300">
        <f t="shared" si="2"/>
        <v>3</v>
      </c>
      <c r="AM70" s="301">
        <f t="shared" si="3"/>
        <v>3</v>
      </c>
      <c r="AN70" s="300" t="str">
        <f t="shared" si="4"/>
        <v>3.5</v>
      </c>
      <c r="AO70" s="300">
        <f t="shared" si="5"/>
        <v>3</v>
      </c>
      <c r="AP70" s="88"/>
    </row>
    <row r="71">
      <c r="A71" s="284">
        <v>68.0</v>
      </c>
      <c r="B71" s="304" t="s">
        <v>1823</v>
      </c>
      <c r="C71" s="304" t="s">
        <v>2790</v>
      </c>
      <c r="D71" s="286" t="str">
        <f>VLOOKUP(B71,USN!$1:$1088,2,False)</f>
        <v>1CR23AD068</v>
      </c>
      <c r="E71" s="304">
        <v>9.875353036E9</v>
      </c>
      <c r="F71" s="287" t="s">
        <v>3715</v>
      </c>
      <c r="G71" s="288"/>
      <c r="H71" s="289">
        <v>74.0</v>
      </c>
      <c r="I71" s="120">
        <v>92.0</v>
      </c>
      <c r="J71" s="120">
        <f>VLOOKUP(D71,'L3'!$1:$2060,2,False)</f>
        <v>79</v>
      </c>
      <c r="K71" s="120">
        <f>VLOOKUP(D71,'L4'!$1:$2059,2,False)</f>
        <v>70</v>
      </c>
      <c r="L71" s="121">
        <f>VLOOKUP(D71,'A1 RETEST 5 DEC'!$1:$2096,2,False)</f>
        <v>50</v>
      </c>
      <c r="M71" s="122">
        <f>VLOOKUP(D71,'A2 RETEST 4 DEC'!$1:$2096,2,False)</f>
        <v>44</v>
      </c>
      <c r="N71" s="122">
        <v>50.0</v>
      </c>
      <c r="O71" s="121"/>
      <c r="P71" s="123">
        <f>IFNA(VLOOKUP(D71,'S1'!$1:$1500,2,False),0)</f>
        <v>75</v>
      </c>
      <c r="Q71" s="123">
        <f>vlookup(D71,'S2'!A67:B1269,2,0)</f>
        <v>73</v>
      </c>
      <c r="R71" s="123">
        <f>ifna(vlookup(D71,'S3'!$1:$1311,2,False),0)</f>
        <v>93</v>
      </c>
      <c r="S71" s="123"/>
      <c r="T71" s="125">
        <v>14.0</v>
      </c>
      <c r="U71" s="125">
        <v>22.0</v>
      </c>
      <c r="V71" s="125">
        <v>86.0</v>
      </c>
      <c r="W71" s="290">
        <v>82.0</v>
      </c>
      <c r="X71" s="291">
        <v>86.0</v>
      </c>
      <c r="Y71" s="125"/>
      <c r="Z71" s="292"/>
      <c r="AA71" s="293">
        <v>86.0</v>
      </c>
      <c r="AB71" s="294">
        <v>100.0</v>
      </c>
      <c r="AC71" s="295">
        <v>99.0</v>
      </c>
      <c r="AD71" s="296">
        <v>62.0</v>
      </c>
      <c r="AE71" s="297">
        <v>73.0</v>
      </c>
      <c r="AF71" s="298"/>
      <c r="AG71" s="298">
        <v>70.0</v>
      </c>
      <c r="AH71" s="298"/>
      <c r="AI71" s="299"/>
      <c r="AJ71" s="299"/>
      <c r="AK71" s="300">
        <f t="shared" si="1"/>
        <v>4</v>
      </c>
      <c r="AL71" s="300">
        <f t="shared" si="2"/>
        <v>1</v>
      </c>
      <c r="AM71" s="301">
        <f t="shared" si="3"/>
        <v>3</v>
      </c>
      <c r="AN71" s="300" t="str">
        <f t="shared" si="4"/>
        <v>3.5</v>
      </c>
      <c r="AO71" s="300">
        <f t="shared" si="5"/>
        <v>3</v>
      </c>
      <c r="AP71" s="88"/>
    </row>
    <row r="72">
      <c r="A72" s="284">
        <v>69.0</v>
      </c>
      <c r="B72" s="304" t="s">
        <v>1824</v>
      </c>
      <c r="C72" s="304" t="s">
        <v>2791</v>
      </c>
      <c r="D72" s="286" t="str">
        <f>VLOOKUP(B72,USN!$1:$1088,2,False)</f>
        <v>1CR23AD069</v>
      </c>
      <c r="E72" s="304">
        <v>9.535737277E9</v>
      </c>
      <c r="F72" s="287" t="s">
        <v>3715</v>
      </c>
      <c r="G72" s="288"/>
      <c r="H72" s="289">
        <v>73.0</v>
      </c>
      <c r="I72" s="120">
        <v>77.0</v>
      </c>
      <c r="J72" s="120">
        <f>VLOOKUP(D72,'L3'!$1:$2060,2,False)</f>
        <v>79</v>
      </c>
      <c r="K72" s="120">
        <f>VLOOKUP(D72,'L4'!$1:$2059,2,False)</f>
        <v>56</v>
      </c>
      <c r="L72" s="121">
        <f>VLOOKUP(D72,'A1 RETEST 5 DEC'!$1:$2096,2,False)</f>
        <v>33</v>
      </c>
      <c r="M72" s="122">
        <f>VLOOKUP(D72,'A2 RETEST 4 DEC'!$1:$2096,2,False)</f>
        <v>15</v>
      </c>
      <c r="N72" s="122">
        <v>8.0</v>
      </c>
      <c r="O72" s="121"/>
      <c r="P72" s="123">
        <f>IFNA(VLOOKUP(D72,'S1'!$1:$1500,2,False),0)</f>
        <v>73</v>
      </c>
      <c r="Q72" s="123">
        <f>vlookup(D72,'S2'!A68:B1270,2,0)</f>
        <v>50</v>
      </c>
      <c r="R72" s="123">
        <f>ifna(vlookup(D72,'S3'!$1:$1311,2,False),0)</f>
        <v>0</v>
      </c>
      <c r="S72" s="123"/>
      <c r="T72" s="125">
        <v>14.0</v>
      </c>
      <c r="U72" s="125">
        <v>24.0</v>
      </c>
      <c r="V72" s="125">
        <v>82.0</v>
      </c>
      <c r="W72" s="290">
        <v>82.0</v>
      </c>
      <c r="X72" s="291">
        <v>80.0</v>
      </c>
      <c r="Y72" s="125"/>
      <c r="Z72" s="292"/>
      <c r="AA72" s="293">
        <v>80.0</v>
      </c>
      <c r="AB72" s="294">
        <v>67.0</v>
      </c>
      <c r="AC72" s="295">
        <v>21.0</v>
      </c>
      <c r="AD72" s="302">
        <v>100.0</v>
      </c>
      <c r="AE72" s="297">
        <v>70.0</v>
      </c>
      <c r="AF72" s="298"/>
      <c r="AG72" s="298">
        <v>70.0</v>
      </c>
      <c r="AH72" s="298"/>
      <c r="AI72" s="299"/>
      <c r="AJ72" s="299"/>
      <c r="AK72" s="300">
        <f t="shared" si="1"/>
        <v>3</v>
      </c>
      <c r="AL72" s="300">
        <f t="shared" si="2"/>
        <v>0</v>
      </c>
      <c r="AM72" s="301">
        <f t="shared" si="3"/>
        <v>3</v>
      </c>
      <c r="AN72" s="300" t="str">
        <f t="shared" si="4"/>
        <v>3.5</v>
      </c>
      <c r="AO72" s="300">
        <f t="shared" si="5"/>
        <v>2</v>
      </c>
      <c r="AP72" s="88"/>
    </row>
    <row r="73">
      <c r="A73" s="284">
        <v>70.0</v>
      </c>
      <c r="B73" s="304" t="s">
        <v>1871</v>
      </c>
      <c r="C73" s="304" t="s">
        <v>2792</v>
      </c>
      <c r="D73" s="286" t="str">
        <f>VLOOKUP(B73,USN!$1:$1088,2,False)</f>
        <v>1CR23AD070</v>
      </c>
      <c r="E73" s="304">
        <v>9.964098425E9</v>
      </c>
      <c r="F73" s="287" t="s">
        <v>3715</v>
      </c>
      <c r="G73" s="288"/>
      <c r="H73" s="289">
        <v>74.0</v>
      </c>
      <c r="I73" s="120">
        <v>75.0</v>
      </c>
      <c r="J73" s="120">
        <f>VLOOKUP(D73,'L3'!$1:$2060,2,False)</f>
        <v>70</v>
      </c>
      <c r="K73" s="120">
        <f>VLOOKUP(D73,'L4'!$1:$2059,2,False)</f>
        <v>70</v>
      </c>
      <c r="L73" s="121">
        <f>VLOOKUP(D73,'A1 RETEST 5 DEC'!$1:$2096,2,False)</f>
        <v>50</v>
      </c>
      <c r="M73" s="122">
        <f>VLOOKUP(D73,'A2 RETEST 4 DEC'!$1:$2096,2,False)</f>
        <v>21</v>
      </c>
      <c r="N73" s="122">
        <v>11.0</v>
      </c>
      <c r="O73" s="121"/>
      <c r="P73" s="123">
        <f>IFNA(VLOOKUP(D73,'S1'!$1:$1500,2,False),0)</f>
        <v>50</v>
      </c>
      <c r="Q73" s="123">
        <f>vlookup(D73,'S2'!A69:B1271,2,0)</f>
        <v>50</v>
      </c>
      <c r="R73" s="123">
        <f>ifna(vlookup(D73,'S3'!$1:$1311,2,False),0)</f>
        <v>50</v>
      </c>
      <c r="S73" s="123"/>
      <c r="T73" s="125">
        <v>22.0</v>
      </c>
      <c r="U73" s="125">
        <v>24.0</v>
      </c>
      <c r="V73" s="125">
        <v>96.0</v>
      </c>
      <c r="W73" s="290">
        <v>70.0</v>
      </c>
      <c r="X73" s="291">
        <v>84.0</v>
      </c>
      <c r="Y73" s="125"/>
      <c r="Z73" s="292"/>
      <c r="AA73" s="293">
        <v>4.0</v>
      </c>
      <c r="AB73" s="294">
        <v>100.0</v>
      </c>
      <c r="AC73" s="295">
        <v>82.0</v>
      </c>
      <c r="AD73" s="296">
        <v>0.0</v>
      </c>
      <c r="AE73" s="297">
        <v>70.0</v>
      </c>
      <c r="AF73" s="298"/>
      <c r="AG73" s="298">
        <v>65.0</v>
      </c>
      <c r="AH73" s="298"/>
      <c r="AI73" s="299"/>
      <c r="AJ73" s="299"/>
      <c r="AK73" s="300">
        <f t="shared" si="1"/>
        <v>4</v>
      </c>
      <c r="AL73" s="300">
        <f t="shared" si="2"/>
        <v>1</v>
      </c>
      <c r="AM73" s="301">
        <f t="shared" si="3"/>
        <v>3</v>
      </c>
      <c r="AN73" s="300" t="str">
        <f t="shared" si="4"/>
        <v>3.5</v>
      </c>
      <c r="AO73" s="300">
        <f t="shared" si="5"/>
        <v>3</v>
      </c>
      <c r="AP73" s="88"/>
    </row>
    <row r="74">
      <c r="A74" s="284">
        <v>71.0</v>
      </c>
      <c r="B74" s="304" t="s">
        <v>1859</v>
      </c>
      <c r="C74" s="304" t="s">
        <v>2793</v>
      </c>
      <c r="D74" s="286" t="str">
        <f>VLOOKUP(B74,USN!$1:$1088,2,False)</f>
        <v>1CR23AD071</v>
      </c>
      <c r="E74" s="304" t="s">
        <v>3727</v>
      </c>
      <c r="F74" s="287" t="s">
        <v>3715</v>
      </c>
      <c r="G74" s="288"/>
      <c r="H74" s="289">
        <v>72.0</v>
      </c>
      <c r="I74" s="120">
        <v>91.0</v>
      </c>
      <c r="J74" s="120">
        <f>VLOOKUP(D74,'L3'!$1:$2060,2,False)</f>
        <v>70</v>
      </c>
      <c r="K74" s="120">
        <f>VLOOKUP(D74,'L4'!$1:$2059,2,False)</f>
        <v>70</v>
      </c>
      <c r="L74" s="121">
        <f>VLOOKUP(D74,'A1 RETEST 5 DEC'!$1:$2096,2,False)</f>
        <v>35</v>
      </c>
      <c r="M74" s="122">
        <f>VLOOKUP(D74,'A2 RETEST 4 DEC'!$1:$2096,2,False)</f>
        <v>20</v>
      </c>
      <c r="N74" s="122">
        <v>43.0</v>
      </c>
      <c r="O74" s="121"/>
      <c r="P74" s="123">
        <f>IFNA(VLOOKUP(D74,'S1'!$1:$1500,2,False),0)</f>
        <v>80</v>
      </c>
      <c r="Q74" s="123">
        <f>vlookup(D74,'S2'!A70:B1272,2,0)</f>
        <v>60</v>
      </c>
      <c r="R74" s="123">
        <f>ifna(vlookup(D74,'S3'!$1:$1311,2,False),0)</f>
        <v>82</v>
      </c>
      <c r="S74" s="123"/>
      <c r="T74" s="125">
        <v>13.0</v>
      </c>
      <c r="U74" s="125">
        <v>24.0</v>
      </c>
      <c r="V74" s="125">
        <v>92.0</v>
      </c>
      <c r="W74" s="290">
        <v>70.0</v>
      </c>
      <c r="X74" s="291">
        <v>88.0</v>
      </c>
      <c r="Y74" s="125"/>
      <c r="Z74" s="292"/>
      <c r="AA74" s="293">
        <v>88.0</v>
      </c>
      <c r="AB74" s="294">
        <v>97.0</v>
      </c>
      <c r="AC74" s="295">
        <v>80.0</v>
      </c>
      <c r="AD74" s="296">
        <v>0.0</v>
      </c>
      <c r="AE74" s="297">
        <v>26.0</v>
      </c>
      <c r="AF74" s="298"/>
      <c r="AG74" s="295">
        <v>79.0</v>
      </c>
      <c r="AH74" s="298"/>
      <c r="AI74" s="299"/>
      <c r="AJ74" s="299"/>
      <c r="AK74" s="300">
        <f t="shared" si="1"/>
        <v>4</v>
      </c>
      <c r="AL74" s="300">
        <f t="shared" si="2"/>
        <v>0</v>
      </c>
      <c r="AM74" s="301">
        <f t="shared" si="3"/>
        <v>3</v>
      </c>
      <c r="AN74" s="300" t="str">
        <f t="shared" si="4"/>
        <v>3</v>
      </c>
      <c r="AO74" s="300">
        <f t="shared" si="5"/>
        <v>3</v>
      </c>
      <c r="AP74" s="88"/>
    </row>
    <row r="75">
      <c r="A75" s="284">
        <v>72.0</v>
      </c>
      <c r="B75" s="304" t="s">
        <v>1826</v>
      </c>
      <c r="C75" s="304" t="s">
        <v>3728</v>
      </c>
      <c r="D75" s="286" t="str">
        <f>VLOOKUP(B75,USN!$1:$1088,2,False)</f>
        <v>1CR23AD072</v>
      </c>
      <c r="E75" s="304">
        <v>7.406571917E9</v>
      </c>
      <c r="F75" s="287" t="s">
        <v>3715</v>
      </c>
      <c r="G75" s="288"/>
      <c r="H75" s="120">
        <v>71.0</v>
      </c>
      <c r="I75" s="120">
        <v>83.0</v>
      </c>
      <c r="J75" s="120">
        <f>VLOOKUP(D75,'L3'!$1:$2060,2,False)</f>
        <v>76</v>
      </c>
      <c r="K75" s="120">
        <f>VLOOKUP(D75,'L4'!$1:$2059,2,False)</f>
        <v>77</v>
      </c>
      <c r="L75" s="121">
        <f>VLOOKUP(D75,'A1 RETEST 5 DEC'!$1:$2096,2,False)</f>
        <v>50</v>
      </c>
      <c r="M75" s="122">
        <f>VLOOKUP(D75,'A2 RETEST 4 DEC'!$1:$2096,2,False)</f>
        <v>30</v>
      </c>
      <c r="N75" s="122">
        <v>50.0</v>
      </c>
      <c r="O75" s="121"/>
      <c r="P75" s="123">
        <f>IFNA(VLOOKUP(D75,'S1'!$1:$1500,2,False),0)</f>
        <v>85</v>
      </c>
      <c r="Q75" s="123">
        <f>vlookup(D75,'S2'!A71:B1273,2,0)</f>
        <v>62</v>
      </c>
      <c r="R75" s="123">
        <f>ifna(vlookup(D75,'S3'!$1:$1311,2,False),0)</f>
        <v>82</v>
      </c>
      <c r="S75" s="123"/>
      <c r="T75" s="125">
        <v>14.0</v>
      </c>
      <c r="U75" s="125">
        <v>15.0</v>
      </c>
      <c r="V75" s="125">
        <v>74.0</v>
      </c>
      <c r="W75" s="290">
        <v>80.0</v>
      </c>
      <c r="X75" s="291">
        <v>74.0</v>
      </c>
      <c r="Y75" s="125"/>
      <c r="Z75" s="292"/>
      <c r="AA75" s="293">
        <v>87.8</v>
      </c>
      <c r="AB75" s="294">
        <v>94.0</v>
      </c>
      <c r="AC75" s="295">
        <v>73.0</v>
      </c>
      <c r="AD75" s="302">
        <v>65.0</v>
      </c>
      <c r="AE75" s="297">
        <v>71.0</v>
      </c>
      <c r="AF75" s="298"/>
      <c r="AG75" s="295">
        <v>85.0</v>
      </c>
      <c r="AH75" s="298"/>
      <c r="AI75" s="299"/>
      <c r="AJ75" s="299"/>
      <c r="AK75" s="300">
        <f t="shared" si="1"/>
        <v>4</v>
      </c>
      <c r="AL75" s="300">
        <f t="shared" si="2"/>
        <v>1</v>
      </c>
      <c r="AM75" s="301">
        <f t="shared" si="3"/>
        <v>3</v>
      </c>
      <c r="AN75" s="300" t="str">
        <f t="shared" si="4"/>
        <v>3.5</v>
      </c>
      <c r="AO75" s="300">
        <f t="shared" si="5"/>
        <v>3</v>
      </c>
      <c r="AP75" s="88"/>
    </row>
    <row r="76">
      <c r="A76" s="284">
        <v>73.0</v>
      </c>
      <c r="B76" s="304" t="s">
        <v>1877</v>
      </c>
      <c r="C76" s="304" t="s">
        <v>2795</v>
      </c>
      <c r="D76" s="286" t="str">
        <f>VLOOKUP(B76,USN!$1:$1088,2,False)</f>
        <v>1CR23AD073</v>
      </c>
      <c r="E76" s="304">
        <v>9.008499953E9</v>
      </c>
      <c r="F76" s="287" t="s">
        <v>3715</v>
      </c>
      <c r="G76" s="288"/>
      <c r="H76" s="289">
        <v>72.0</v>
      </c>
      <c r="I76" s="120">
        <v>84.0</v>
      </c>
      <c r="J76" s="120">
        <f>VLOOKUP(D76,'L3'!$1:$2060,2,False)</f>
        <v>70</v>
      </c>
      <c r="K76" s="120">
        <f>VLOOKUP(D76,'L4'!$1:$2059,2,False)</f>
        <v>70</v>
      </c>
      <c r="L76" s="121">
        <f>VLOOKUP(D76,'A1 RETEST 5 DEC'!$1:$2096,2,False)</f>
        <v>50</v>
      </c>
      <c r="M76" s="122">
        <f>VLOOKUP(D76,'A2 RETEST 4 DEC'!$1:$2096,2,False)</f>
        <v>24</v>
      </c>
      <c r="N76" s="122">
        <v>0.0</v>
      </c>
      <c r="O76" s="121"/>
      <c r="P76" s="123">
        <f>IFNA(VLOOKUP(D76,'S1'!$1:$1500,2,False),0)</f>
        <v>50</v>
      </c>
      <c r="Q76" s="123">
        <f>vlookup(D76,'S2'!A72:B1274,2,0)</f>
        <v>50</v>
      </c>
      <c r="R76" s="123">
        <f>ifna(vlookup(D76,'S3'!$1:$1311,2,False),0)</f>
        <v>76</v>
      </c>
      <c r="S76" s="123"/>
      <c r="T76" s="125">
        <v>10.0</v>
      </c>
      <c r="U76" s="125">
        <v>21.0</v>
      </c>
      <c r="V76" s="125">
        <v>96.0</v>
      </c>
      <c r="W76" s="290">
        <v>78.0</v>
      </c>
      <c r="X76" s="291">
        <v>80.0</v>
      </c>
      <c r="Y76" s="125"/>
      <c r="Z76" s="292"/>
      <c r="AA76" s="293">
        <v>68.0</v>
      </c>
      <c r="AB76" s="294">
        <v>98.0</v>
      </c>
      <c r="AC76" s="295">
        <v>43.0</v>
      </c>
      <c r="AD76" s="296">
        <v>13.0</v>
      </c>
      <c r="AE76" s="297">
        <v>60.0</v>
      </c>
      <c r="AF76" s="298"/>
      <c r="AG76" s="295">
        <v>10.0</v>
      </c>
      <c r="AH76" s="298"/>
      <c r="AI76" s="299"/>
      <c r="AJ76" s="299"/>
      <c r="AK76" s="300">
        <f t="shared" si="1"/>
        <v>4</v>
      </c>
      <c r="AL76" s="300">
        <f t="shared" si="2"/>
        <v>1</v>
      </c>
      <c r="AM76" s="301">
        <f t="shared" si="3"/>
        <v>3</v>
      </c>
      <c r="AN76" s="300" t="str">
        <f t="shared" si="4"/>
        <v>2</v>
      </c>
      <c r="AO76" s="300">
        <f t="shared" si="5"/>
        <v>3</v>
      </c>
      <c r="AP76" s="88"/>
    </row>
    <row r="77">
      <c r="A77" s="284">
        <v>74.0</v>
      </c>
      <c r="B77" s="304" t="s">
        <v>1864</v>
      </c>
      <c r="C77" s="304" t="s">
        <v>2796</v>
      </c>
      <c r="D77" s="286" t="str">
        <f>VLOOKUP(B77,USN!$1:$1088,2,False)</f>
        <v>1CR23AD074</v>
      </c>
      <c r="E77" s="304" t="s">
        <v>3729</v>
      </c>
      <c r="F77" s="287" t="s">
        <v>3715</v>
      </c>
      <c r="G77" s="288"/>
      <c r="H77" s="289">
        <v>87.0</v>
      </c>
      <c r="I77" s="120">
        <v>91.0</v>
      </c>
      <c r="J77" s="120">
        <f>VLOOKUP(D77,'L3'!$1:$2060,2,False)</f>
        <v>70</v>
      </c>
      <c r="K77" s="120">
        <f>VLOOKUP(D77,'L4'!$1:$2059,2,False)</f>
        <v>80</v>
      </c>
      <c r="L77" s="121">
        <f>VLOOKUP(D77,'A1 RETEST 5 DEC'!$1:$2096,2,False)</f>
        <v>50</v>
      </c>
      <c r="M77" s="122">
        <f>VLOOKUP(D77,'A2 RETEST 4 DEC'!$1:$2096,2,False)</f>
        <v>19</v>
      </c>
      <c r="N77" s="122">
        <v>50.0</v>
      </c>
      <c r="O77" s="121"/>
      <c r="P77" s="123">
        <f>IFNA(VLOOKUP(D77,'S1'!$1:$1500,2,False),0)</f>
        <v>86</v>
      </c>
      <c r="Q77" s="123">
        <f>vlookup(D77,'S2'!A73:B1275,2,0)</f>
        <v>73</v>
      </c>
      <c r="R77" s="123">
        <f>ifna(vlookup(D77,'S3'!$1:$1311,2,False),0)</f>
        <v>90</v>
      </c>
      <c r="S77" s="123"/>
      <c r="T77" s="125">
        <v>13.0</v>
      </c>
      <c r="U77" s="125">
        <v>22.0</v>
      </c>
      <c r="V77" s="125">
        <v>76.0</v>
      </c>
      <c r="W77" s="290">
        <v>78.0</v>
      </c>
      <c r="X77" s="291">
        <v>78.0</v>
      </c>
      <c r="Y77" s="125"/>
      <c r="Z77" s="292"/>
      <c r="AA77" s="293">
        <v>12.0</v>
      </c>
      <c r="AB77" s="294">
        <v>100.0</v>
      </c>
      <c r="AC77" s="295">
        <v>39.0</v>
      </c>
      <c r="AD77" s="302">
        <v>60.0</v>
      </c>
      <c r="AE77" s="297">
        <v>100.0</v>
      </c>
      <c r="AF77" s="298"/>
      <c r="AG77" s="295">
        <v>70.0</v>
      </c>
      <c r="AH77" s="298"/>
      <c r="AI77" s="299"/>
      <c r="AJ77" s="299"/>
      <c r="AK77" s="300">
        <f t="shared" si="1"/>
        <v>4</v>
      </c>
      <c r="AL77" s="300">
        <f t="shared" si="2"/>
        <v>1</v>
      </c>
      <c r="AM77" s="301">
        <f t="shared" si="3"/>
        <v>3</v>
      </c>
      <c r="AN77" s="300" t="str">
        <f t="shared" si="4"/>
        <v>3.5</v>
      </c>
      <c r="AO77" s="300">
        <f t="shared" si="5"/>
        <v>3</v>
      </c>
      <c r="AP77" s="88"/>
    </row>
    <row r="78">
      <c r="A78" s="284">
        <v>75.0</v>
      </c>
      <c r="B78" s="304" t="s">
        <v>109</v>
      </c>
      <c r="C78" s="304" t="s">
        <v>2797</v>
      </c>
      <c r="D78" s="286" t="str">
        <f>VLOOKUP(B78,USN!$1:$1088,2,False)</f>
        <v>1CR23AD075</v>
      </c>
      <c r="E78" s="304">
        <v>8.904298215E9</v>
      </c>
      <c r="F78" s="287" t="s">
        <v>3715</v>
      </c>
      <c r="G78" s="288"/>
      <c r="H78" s="120">
        <v>70.0</v>
      </c>
      <c r="I78" s="120">
        <v>70.0</v>
      </c>
      <c r="J78" s="120">
        <f>VLOOKUP(D78,'L3'!$1:$2060,2,False)</f>
        <v>70</v>
      </c>
      <c r="K78" s="120">
        <f>VLOOKUP(D78,'L4'!$1:$2059,2,False)</f>
        <v>70</v>
      </c>
      <c r="L78" s="121">
        <f>VLOOKUP(D78,'A1 RETEST 5 DEC'!$1:$2096,2,False)</f>
        <v>50</v>
      </c>
      <c r="M78" s="122">
        <f>VLOOKUP(D78,'A2 RETEST 4 DEC'!$1:$2096,2,False)</f>
        <v>31</v>
      </c>
      <c r="N78" s="122">
        <v>69.0</v>
      </c>
      <c r="O78" s="121"/>
      <c r="P78" s="123">
        <f>IFNA(VLOOKUP(D78,'S1'!$1:$1500,2,False),0)</f>
        <v>50</v>
      </c>
      <c r="Q78" s="123">
        <f>vlookup(D78,'S2'!A74:B1276,2,0)</f>
        <v>72</v>
      </c>
      <c r="R78" s="123">
        <f>ifna(vlookup(D78,'S3'!$1:$1311,2,False),0)</f>
        <v>83</v>
      </c>
      <c r="S78" s="123"/>
      <c r="T78" s="125">
        <v>6.0</v>
      </c>
      <c r="U78" s="125">
        <v>24.0</v>
      </c>
      <c r="V78" s="125">
        <v>90.0</v>
      </c>
      <c r="W78" s="290">
        <v>70.0</v>
      </c>
      <c r="X78" s="291">
        <v>86.0</v>
      </c>
      <c r="Y78" s="125"/>
      <c r="Z78" s="292"/>
      <c r="AA78" s="293">
        <v>66.0</v>
      </c>
      <c r="AB78" s="294">
        <v>94.0</v>
      </c>
      <c r="AC78" s="295">
        <v>36.0</v>
      </c>
      <c r="AD78" s="296">
        <v>12.0</v>
      </c>
      <c r="AE78" s="297">
        <v>70.0</v>
      </c>
      <c r="AF78" s="298"/>
      <c r="AG78" s="295">
        <v>74.0</v>
      </c>
      <c r="AH78" s="298"/>
      <c r="AI78" s="299"/>
      <c r="AJ78" s="299"/>
      <c r="AK78" s="300">
        <f t="shared" si="1"/>
        <v>4</v>
      </c>
      <c r="AL78" s="300">
        <f t="shared" si="2"/>
        <v>1</v>
      </c>
      <c r="AM78" s="301">
        <f t="shared" si="3"/>
        <v>3</v>
      </c>
      <c r="AN78" s="300" t="str">
        <f t="shared" si="4"/>
        <v>2</v>
      </c>
      <c r="AO78" s="300">
        <f t="shared" si="5"/>
        <v>3</v>
      </c>
      <c r="AP78" s="88"/>
    </row>
    <row r="79">
      <c r="A79" s="284">
        <v>77.0</v>
      </c>
      <c r="B79" s="285" t="s">
        <v>1793</v>
      </c>
      <c r="C79" s="285" t="s">
        <v>2798</v>
      </c>
      <c r="D79" s="286" t="str">
        <f>VLOOKUP(B79,USN!$1:$1088,2,False)</f>
        <v>1CR23AD077</v>
      </c>
      <c r="E79" s="285">
        <v>9.036241483E9</v>
      </c>
      <c r="F79" s="287" t="s">
        <v>3715</v>
      </c>
      <c r="G79" s="288"/>
      <c r="H79" s="289">
        <v>74.0</v>
      </c>
      <c r="I79" s="120">
        <v>80.0</v>
      </c>
      <c r="J79" s="120">
        <f>VLOOKUP(D79,'L3'!$1:$2060,2,False)</f>
        <v>70</v>
      </c>
      <c r="K79" s="120">
        <f>VLOOKUP(D79,'L4'!$1:$2059,2,False)</f>
        <v>70</v>
      </c>
      <c r="L79" s="121">
        <f>VLOOKUP(D79,'A1 RETEST 5 DEC'!$1:$2096,2,False)</f>
        <v>50</v>
      </c>
      <c r="M79" s="122">
        <f>VLOOKUP(D79,'A2 RETEST 4 DEC'!$1:$2096,2,False)</f>
        <v>50</v>
      </c>
      <c r="N79" s="122">
        <v>50.0</v>
      </c>
      <c r="O79" s="121"/>
      <c r="P79" s="123">
        <f>IFNA(VLOOKUP(D79,'S1'!$1:$1500,2,False),0)</f>
        <v>80</v>
      </c>
      <c r="Q79" s="123">
        <f>vlookup(D79,'S2'!A75:B1277,2,0)</f>
        <v>50</v>
      </c>
      <c r="R79" s="123">
        <f>ifna(vlookup(D79,'S3'!$1:$1311,2,False),0)</f>
        <v>85</v>
      </c>
      <c r="S79" s="123"/>
      <c r="T79" s="125">
        <v>10.0</v>
      </c>
      <c r="U79" s="125">
        <v>25.0</v>
      </c>
      <c r="V79" s="125">
        <v>86.0</v>
      </c>
      <c r="W79" s="290">
        <v>78.0</v>
      </c>
      <c r="X79" s="303" t="s">
        <v>3717</v>
      </c>
      <c r="Y79" s="125"/>
      <c r="Z79" s="292"/>
      <c r="AA79" s="293">
        <v>13.0</v>
      </c>
      <c r="AB79" s="294">
        <v>67.0</v>
      </c>
      <c r="AC79" s="295">
        <v>12.0</v>
      </c>
      <c r="AD79" s="302">
        <v>70.0</v>
      </c>
      <c r="AE79" s="297">
        <v>70.0</v>
      </c>
      <c r="AF79" s="298"/>
      <c r="AG79" s="295">
        <v>0.0</v>
      </c>
      <c r="AH79" s="298"/>
      <c r="AI79" s="299"/>
      <c r="AJ79" s="299"/>
      <c r="AK79" s="300">
        <f t="shared" si="1"/>
        <v>4</v>
      </c>
      <c r="AL79" s="300">
        <f t="shared" si="2"/>
        <v>3</v>
      </c>
      <c r="AM79" s="301">
        <f t="shared" si="3"/>
        <v>3</v>
      </c>
      <c r="AN79" s="300" t="str">
        <f t="shared" si="4"/>
        <v>3.5</v>
      </c>
      <c r="AO79" s="300">
        <f t="shared" si="5"/>
        <v>3</v>
      </c>
      <c r="AP79" s="88"/>
    </row>
    <row r="80">
      <c r="A80" s="284">
        <v>78.0</v>
      </c>
      <c r="B80" s="285" t="s">
        <v>1814</v>
      </c>
      <c r="C80" s="285" t="s">
        <v>2799</v>
      </c>
      <c r="D80" s="286" t="str">
        <f>VLOOKUP(B80,USN!$1:$1088,2,False)</f>
        <v>1CR23AD078</v>
      </c>
      <c r="E80" s="285">
        <v>9.886832665E9</v>
      </c>
      <c r="F80" s="312" t="s">
        <v>3715</v>
      </c>
      <c r="G80" s="288"/>
      <c r="H80" s="289">
        <v>67.0</v>
      </c>
      <c r="I80" s="120">
        <v>81.0</v>
      </c>
      <c r="J80" s="120">
        <f>VLOOKUP(D80,'L3'!$1:$2060,2,False)</f>
        <v>58</v>
      </c>
      <c r="K80" s="120">
        <f>VLOOKUP(D80,'L4'!$1:$2059,2,False)</f>
        <v>21</v>
      </c>
      <c r="L80" s="121">
        <f>VLOOKUP(D80,'A1 RETEST 5 DEC'!$1:$2096,2,False)</f>
        <v>40</v>
      </c>
      <c r="M80" s="122">
        <f>VLOOKUP(D80,'A2 RETEST 4 DEC'!$1:$2096,2,False)</f>
        <v>12</v>
      </c>
      <c r="N80" s="122">
        <v>50.0</v>
      </c>
      <c r="O80" s="121"/>
      <c r="P80" s="123">
        <f>IFNA(VLOOKUP(D80,'S1'!$1:$1500,2,False),0)</f>
        <v>0</v>
      </c>
      <c r="Q80" s="123">
        <f>vlookup(D80,'S2'!A76:B1278,2,0)</f>
        <v>0</v>
      </c>
      <c r="R80" s="123">
        <f>ifna(vlookup(D80,'S3'!$1:$1311,2,False),0)</f>
        <v>0</v>
      </c>
      <c r="S80" s="123"/>
      <c r="T80" s="125">
        <v>15.0</v>
      </c>
      <c r="U80" s="125">
        <v>23.0</v>
      </c>
      <c r="V80" s="125">
        <v>92.0</v>
      </c>
      <c r="W80" s="308">
        <v>86.0</v>
      </c>
      <c r="X80" s="303" t="s">
        <v>3717</v>
      </c>
      <c r="Y80" s="125"/>
      <c r="Z80" s="292"/>
      <c r="AA80" s="293">
        <v>94.0</v>
      </c>
      <c r="AB80" s="294">
        <v>75.0</v>
      </c>
      <c r="AC80" s="295">
        <v>35.0</v>
      </c>
      <c r="AD80" s="302">
        <v>100.0</v>
      </c>
      <c r="AE80" s="297">
        <v>10.0</v>
      </c>
      <c r="AF80" s="298"/>
      <c r="AG80" s="295"/>
      <c r="AH80" s="298"/>
      <c r="AI80" s="299"/>
      <c r="AJ80" s="299"/>
      <c r="AK80" s="300">
        <f t="shared" si="1"/>
        <v>2</v>
      </c>
      <c r="AL80" s="300">
        <f t="shared" si="2"/>
        <v>0</v>
      </c>
      <c r="AM80" s="301">
        <f t="shared" si="3"/>
        <v>3</v>
      </c>
      <c r="AN80" s="300" t="str">
        <f t="shared" si="4"/>
        <v>3</v>
      </c>
      <c r="AO80" s="300">
        <f t="shared" si="5"/>
        <v>0</v>
      </c>
      <c r="AP80" s="88"/>
    </row>
    <row r="81">
      <c r="A81" s="284">
        <v>79.0</v>
      </c>
      <c r="B81" s="285" t="s">
        <v>1801</v>
      </c>
      <c r="C81" s="285" t="s">
        <v>2800</v>
      </c>
      <c r="D81" s="286" t="str">
        <f>VLOOKUP(B81,USN!$1:$1088,2,False)</f>
        <v>1CR23AD079</v>
      </c>
      <c r="E81" s="285">
        <v>9.652939722E9</v>
      </c>
      <c r="F81" s="287" t="s">
        <v>3715</v>
      </c>
      <c r="G81" s="288"/>
      <c r="H81" s="289">
        <v>73.0</v>
      </c>
      <c r="I81" s="120">
        <v>81.0</v>
      </c>
      <c r="J81" s="120">
        <f>VLOOKUP(D81,'L3'!$1:$2060,2,False)</f>
        <v>70</v>
      </c>
      <c r="K81" s="120">
        <f>VLOOKUP(D81,'L4'!$1:$2059,2,False)</f>
        <v>70</v>
      </c>
      <c r="L81" s="121">
        <f>VLOOKUP(D81,'A1 RETEST 5 DEC'!$1:$2096,2,False)</f>
        <v>50</v>
      </c>
      <c r="M81" s="122">
        <f>VLOOKUP(D81,'A2 RETEST 4 DEC'!$1:$2096,2,False)</f>
        <v>50</v>
      </c>
      <c r="N81" s="122">
        <v>50.0</v>
      </c>
      <c r="O81" s="121"/>
      <c r="P81" s="123">
        <f>IFNA(VLOOKUP(D81,'S1'!$1:$1500,2,False),0)</f>
        <v>84</v>
      </c>
      <c r="Q81" s="123">
        <f>vlookup(D81,'S2'!A77:B1279,2,0)</f>
        <v>62</v>
      </c>
      <c r="R81" s="123">
        <f>ifna(vlookup(D81,'S3'!$1:$1311,2,False),0)</f>
        <v>91</v>
      </c>
      <c r="S81" s="123"/>
      <c r="T81" s="125">
        <v>13.0</v>
      </c>
      <c r="U81" s="125">
        <v>24.0</v>
      </c>
      <c r="V81" s="125">
        <v>82.0</v>
      </c>
      <c r="W81" s="290">
        <v>76.0</v>
      </c>
      <c r="X81" s="291">
        <v>76.0</v>
      </c>
      <c r="Y81" s="125"/>
      <c r="Z81" s="292"/>
      <c r="AA81" s="293">
        <v>100.0</v>
      </c>
      <c r="AB81" s="294">
        <v>73.0</v>
      </c>
      <c r="AC81" s="295">
        <v>90.0</v>
      </c>
      <c r="AD81" s="302">
        <v>62.0</v>
      </c>
      <c r="AE81" s="297">
        <v>74.0</v>
      </c>
      <c r="AF81" s="298"/>
      <c r="AG81" s="298">
        <v>83.0</v>
      </c>
      <c r="AH81" s="298"/>
      <c r="AI81" s="299"/>
      <c r="AJ81" s="299"/>
      <c r="AK81" s="300">
        <f t="shared" si="1"/>
        <v>4</v>
      </c>
      <c r="AL81" s="300">
        <f t="shared" si="2"/>
        <v>3</v>
      </c>
      <c r="AM81" s="301">
        <f t="shared" si="3"/>
        <v>3</v>
      </c>
      <c r="AN81" s="300" t="str">
        <f t="shared" si="4"/>
        <v>3.5</v>
      </c>
      <c r="AO81" s="300">
        <f t="shared" si="5"/>
        <v>3</v>
      </c>
      <c r="AP81" s="88"/>
    </row>
    <row r="82">
      <c r="A82" s="284">
        <v>80.0</v>
      </c>
      <c r="B82" s="304" t="s">
        <v>1827</v>
      </c>
      <c r="C82" s="304" t="s">
        <v>2801</v>
      </c>
      <c r="D82" s="286" t="str">
        <f>VLOOKUP(B82,USN!$1:$1088,2,False)</f>
        <v>1CR23AD080</v>
      </c>
      <c r="E82" s="304">
        <v>7.204807947E9</v>
      </c>
      <c r="F82" s="287" t="s">
        <v>3715</v>
      </c>
      <c r="G82" s="288"/>
      <c r="H82" s="120">
        <v>70.0</v>
      </c>
      <c r="I82" s="120">
        <v>85.0</v>
      </c>
      <c r="J82" s="120">
        <f>VLOOKUP(D82,'L3'!$1:$2060,2,False)</f>
        <v>70</v>
      </c>
      <c r="K82" s="120">
        <f>VLOOKUP(D82,'L4'!$1:$2059,2,False)</f>
        <v>83</v>
      </c>
      <c r="L82" s="121">
        <f>VLOOKUP(D82,'A1 RETEST 5 DEC'!$1:$2096,2,False)</f>
        <v>50</v>
      </c>
      <c r="M82" s="122">
        <f>VLOOKUP(D82,'A2 RETEST 4 DEC'!$1:$2096,2,False)</f>
        <v>50</v>
      </c>
      <c r="N82" s="122">
        <v>63.0</v>
      </c>
      <c r="O82" s="121"/>
      <c r="P82" s="123">
        <f>IFNA(VLOOKUP(D82,'S1'!$1:$1500,2,False),0)</f>
        <v>50</v>
      </c>
      <c r="Q82" s="123">
        <f>vlookup(D82,'S2'!A78:B1280,2,0)</f>
        <v>64</v>
      </c>
      <c r="R82" s="123">
        <f>ifna(vlookup(D82,'S3'!$1:$1311,2,False),0)</f>
        <v>83</v>
      </c>
      <c r="S82" s="123"/>
      <c r="T82" s="125">
        <v>22.0</v>
      </c>
      <c r="U82" s="125">
        <v>25.0</v>
      </c>
      <c r="V82" s="125">
        <v>90.0</v>
      </c>
      <c r="W82" s="290">
        <v>68.0</v>
      </c>
      <c r="X82" s="291">
        <v>80.0</v>
      </c>
      <c r="Y82" s="125"/>
      <c r="Z82" s="292"/>
      <c r="AA82" s="293">
        <v>48.0</v>
      </c>
      <c r="AB82" s="294">
        <v>95.0</v>
      </c>
      <c r="AC82" s="295">
        <v>70.0</v>
      </c>
      <c r="AD82" s="302">
        <v>75.0</v>
      </c>
      <c r="AE82" s="297">
        <v>44.0</v>
      </c>
      <c r="AF82" s="298"/>
      <c r="AG82" s="298">
        <v>70.0</v>
      </c>
      <c r="AH82" s="298"/>
      <c r="AI82" s="299"/>
      <c r="AJ82" s="299"/>
      <c r="AK82" s="300">
        <f t="shared" si="1"/>
        <v>4</v>
      </c>
      <c r="AL82" s="300">
        <f t="shared" si="2"/>
        <v>3</v>
      </c>
      <c r="AM82" s="301">
        <f t="shared" si="3"/>
        <v>3</v>
      </c>
      <c r="AN82" s="300" t="str">
        <f t="shared" si="4"/>
        <v>3</v>
      </c>
      <c r="AO82" s="300">
        <f t="shared" si="5"/>
        <v>3</v>
      </c>
      <c r="AP82" s="88"/>
    </row>
    <row r="83">
      <c r="A83" s="284">
        <v>81.0</v>
      </c>
      <c r="B83" s="304" t="s">
        <v>1860</v>
      </c>
      <c r="C83" s="304" t="s">
        <v>2802</v>
      </c>
      <c r="D83" s="286" t="str">
        <f>VLOOKUP(B83,USN!$1:$1088,2,False)</f>
        <v>1CR23AD081</v>
      </c>
      <c r="E83" s="304">
        <v>6.361706975E9</v>
      </c>
      <c r="F83" s="287" t="s">
        <v>3715</v>
      </c>
      <c r="G83" s="288"/>
      <c r="H83" s="289">
        <v>76.0</v>
      </c>
      <c r="I83" s="120">
        <v>88.0</v>
      </c>
      <c r="J83" s="120">
        <f>VLOOKUP(D83,'L3'!$1:$2060,2,False)</f>
        <v>71</v>
      </c>
      <c r="K83" s="120">
        <f>VLOOKUP(D83,'L4'!$1:$2059,2,False)</f>
        <v>84</v>
      </c>
      <c r="L83" s="121">
        <f>VLOOKUP(D83,'A1 RETEST 5 DEC'!$1:$2096,2,False)</f>
        <v>50</v>
      </c>
      <c r="M83" s="122">
        <f>VLOOKUP(D83,'A2 RETEST 4 DEC'!$1:$2096,2,False)</f>
        <v>50</v>
      </c>
      <c r="N83" s="122">
        <v>50.0</v>
      </c>
      <c r="O83" s="121"/>
      <c r="P83" s="123">
        <f>IFNA(VLOOKUP(D83,'S1'!$1:$1500,2,False),0)</f>
        <v>75</v>
      </c>
      <c r="Q83" s="123">
        <f>vlookup(D83,'S2'!A79:B1281,2,0)</f>
        <v>64</v>
      </c>
      <c r="R83" s="123">
        <f>ifna(vlookup(D83,'S3'!$1:$1311,2,False),0)</f>
        <v>83</v>
      </c>
      <c r="S83" s="123"/>
      <c r="T83" s="125">
        <v>21.0</v>
      </c>
      <c r="U83" s="125">
        <v>24.0</v>
      </c>
      <c r="V83" s="125">
        <v>92.0</v>
      </c>
      <c r="W83" s="290">
        <v>76.0</v>
      </c>
      <c r="X83" s="291">
        <v>76.0</v>
      </c>
      <c r="Y83" s="125"/>
      <c r="Z83" s="292"/>
      <c r="AA83" s="293">
        <v>63.0</v>
      </c>
      <c r="AB83" s="294">
        <v>82.0</v>
      </c>
      <c r="AC83" s="295">
        <v>70.0</v>
      </c>
      <c r="AD83" s="296">
        <v>3.0</v>
      </c>
      <c r="AE83" s="297">
        <v>50.0</v>
      </c>
      <c r="AF83" s="298"/>
      <c r="AG83" s="298">
        <v>74.0</v>
      </c>
      <c r="AH83" s="298"/>
      <c r="AI83" s="299"/>
      <c r="AJ83" s="299"/>
      <c r="AK83" s="300">
        <f t="shared" si="1"/>
        <v>4</v>
      </c>
      <c r="AL83" s="300">
        <f t="shared" si="2"/>
        <v>3</v>
      </c>
      <c r="AM83" s="301">
        <f t="shared" si="3"/>
        <v>3</v>
      </c>
      <c r="AN83" s="300" t="str">
        <f t="shared" si="4"/>
        <v>3</v>
      </c>
      <c r="AO83" s="300">
        <f t="shared" si="5"/>
        <v>3</v>
      </c>
      <c r="AP83" s="88"/>
    </row>
    <row r="84">
      <c r="A84" s="284">
        <v>82.0</v>
      </c>
      <c r="B84" s="304" t="s">
        <v>1861</v>
      </c>
      <c r="C84" s="304" t="s">
        <v>2803</v>
      </c>
      <c r="D84" s="286" t="str">
        <f>VLOOKUP(B84,USN!$1:$1088,2,False)</f>
        <v>1CR23AD082</v>
      </c>
      <c r="E84" s="304">
        <v>7.899411528E9</v>
      </c>
      <c r="F84" s="287" t="s">
        <v>3715</v>
      </c>
      <c r="G84" s="288"/>
      <c r="H84" s="289">
        <v>66.0</v>
      </c>
      <c r="I84" s="120">
        <v>74.0</v>
      </c>
      <c r="J84" s="120">
        <f>VLOOKUP(D84,'L3'!$1:$2060,2,False)</f>
        <v>67</v>
      </c>
      <c r="K84" s="120">
        <f>VLOOKUP(D84,'L4'!$1:$2059,2,False)</f>
        <v>70</v>
      </c>
      <c r="L84" s="121">
        <f>VLOOKUP(D84,'A1 RETEST 5 DEC'!$1:$2096,2,False)</f>
        <v>50</v>
      </c>
      <c r="M84" s="122">
        <f>VLOOKUP(D84,'A2 RETEST 4 DEC'!$1:$2096,2,False)</f>
        <v>33</v>
      </c>
      <c r="N84" s="122">
        <v>28.0</v>
      </c>
      <c r="O84" s="121"/>
      <c r="P84" s="123">
        <f>IFNA(VLOOKUP(D84,'S1'!$1:$1500,2,False),0)</f>
        <v>80</v>
      </c>
      <c r="Q84" s="123">
        <f>vlookup(D84,'S2'!A80:B1282,2,0)</f>
        <v>0</v>
      </c>
      <c r="R84" s="123">
        <f>ifna(vlookup(D84,'S3'!$1:$1311,2,False),0)</f>
        <v>0</v>
      </c>
      <c r="S84" s="123"/>
      <c r="T84" s="125">
        <v>17.0</v>
      </c>
      <c r="U84" s="125">
        <v>24.0</v>
      </c>
      <c r="V84" s="125">
        <v>88.0</v>
      </c>
      <c r="W84" s="290">
        <v>80.0</v>
      </c>
      <c r="X84" s="291">
        <v>82.0</v>
      </c>
      <c r="Y84" s="125"/>
      <c r="Z84" s="292"/>
      <c r="AA84" s="293">
        <v>4.0</v>
      </c>
      <c r="AB84" s="294">
        <v>100.0</v>
      </c>
      <c r="AC84" s="295">
        <v>70.0</v>
      </c>
      <c r="AD84" s="296">
        <v>3.0</v>
      </c>
      <c r="AE84" s="297">
        <v>12.0</v>
      </c>
      <c r="AF84" s="298"/>
      <c r="AG84" s="298">
        <v>69.0</v>
      </c>
      <c r="AH84" s="298"/>
      <c r="AI84" s="299"/>
      <c r="AJ84" s="299"/>
      <c r="AK84" s="300">
        <f t="shared" si="1"/>
        <v>2</v>
      </c>
      <c r="AL84" s="300">
        <f t="shared" si="2"/>
        <v>1</v>
      </c>
      <c r="AM84" s="301">
        <f t="shared" si="3"/>
        <v>3</v>
      </c>
      <c r="AN84" s="300" t="str">
        <f t="shared" si="4"/>
        <v>3</v>
      </c>
      <c r="AO84" s="300">
        <f t="shared" si="5"/>
        <v>1</v>
      </c>
      <c r="AP84" s="88"/>
    </row>
    <row r="85">
      <c r="A85" s="284">
        <v>83.0</v>
      </c>
      <c r="B85" s="304" t="s">
        <v>1874</v>
      </c>
      <c r="C85" s="304" t="s">
        <v>2804</v>
      </c>
      <c r="D85" s="286" t="str">
        <f>VLOOKUP(B85,USN!$1:$1088,2,False)</f>
        <v>1CR23AD083</v>
      </c>
      <c r="E85" s="304" t="s">
        <v>3730</v>
      </c>
      <c r="F85" s="287" t="s">
        <v>3715</v>
      </c>
      <c r="G85" s="288"/>
      <c r="H85" s="120">
        <v>70.0</v>
      </c>
      <c r="I85" s="120">
        <v>70.0</v>
      </c>
      <c r="J85" s="120">
        <f>VLOOKUP(D85,'L3'!$1:$2060,2,False)</f>
        <v>70</v>
      </c>
      <c r="K85" s="120">
        <f>VLOOKUP(D85,'L4'!$1:$2059,2,False)</f>
        <v>72</v>
      </c>
      <c r="L85" s="121">
        <f>VLOOKUP(D85,'A1 RETEST 5 DEC'!$1:$2096,2,False)</f>
        <v>50</v>
      </c>
      <c r="M85" s="122">
        <f>VLOOKUP(D85,'A2 RETEST 4 DEC'!$1:$2096,2,False)</f>
        <v>42</v>
      </c>
      <c r="N85" s="122">
        <v>69.0</v>
      </c>
      <c r="O85" s="121"/>
      <c r="P85" s="123">
        <f>IFNA(VLOOKUP(D85,'S1'!$1:$1500,2,False),0)</f>
        <v>80</v>
      </c>
      <c r="Q85" s="123">
        <f>vlookup(D85,'S2'!A81:B1283,2,0)</f>
        <v>61</v>
      </c>
      <c r="R85" s="123">
        <f>ifna(vlookup(D85,'S3'!$1:$1311,2,False),0)</f>
        <v>93</v>
      </c>
      <c r="S85" s="123"/>
      <c r="T85" s="125">
        <v>12.0</v>
      </c>
      <c r="U85" s="125">
        <v>23.0</v>
      </c>
      <c r="V85" s="125">
        <v>88.0</v>
      </c>
      <c r="W85" s="290">
        <v>72.0</v>
      </c>
      <c r="X85" s="291">
        <v>78.0</v>
      </c>
      <c r="Y85" s="125"/>
      <c r="Z85" s="292"/>
      <c r="AA85" s="293">
        <v>14.0</v>
      </c>
      <c r="AB85" s="294">
        <v>100.0</v>
      </c>
      <c r="AC85" s="295">
        <v>30.0</v>
      </c>
      <c r="AD85" s="296">
        <v>2.0</v>
      </c>
      <c r="AE85" s="297">
        <v>85.0</v>
      </c>
      <c r="AF85" s="298"/>
      <c r="AG85" s="298">
        <v>74.0</v>
      </c>
      <c r="AH85" s="298"/>
      <c r="AI85" s="299"/>
      <c r="AJ85" s="299"/>
      <c r="AK85" s="300">
        <f t="shared" si="1"/>
        <v>4</v>
      </c>
      <c r="AL85" s="300">
        <f t="shared" si="2"/>
        <v>1</v>
      </c>
      <c r="AM85" s="301">
        <f t="shared" si="3"/>
        <v>3</v>
      </c>
      <c r="AN85" s="300" t="str">
        <f t="shared" si="4"/>
        <v>2</v>
      </c>
      <c r="AO85" s="300">
        <f t="shared" si="5"/>
        <v>3</v>
      </c>
      <c r="AP85" s="88"/>
    </row>
    <row r="86">
      <c r="A86" s="284">
        <v>84.0</v>
      </c>
      <c r="B86" s="304" t="s">
        <v>1828</v>
      </c>
      <c r="C86" s="304" t="s">
        <v>2805</v>
      </c>
      <c r="D86" s="286" t="str">
        <f>VLOOKUP(B86,USN!$1:$1088,2,False)</f>
        <v>1CR23AD084</v>
      </c>
      <c r="E86" s="304">
        <v>9.630048512E9</v>
      </c>
      <c r="F86" s="287" t="s">
        <v>3715</v>
      </c>
      <c r="G86" s="288"/>
      <c r="H86" s="289">
        <v>85.0</v>
      </c>
      <c r="I86" s="120">
        <v>93.0</v>
      </c>
      <c r="J86" s="120">
        <f>VLOOKUP(D86,'L3'!$1:$2060,2,False)</f>
        <v>90</v>
      </c>
      <c r="K86" s="120">
        <f>VLOOKUP(D86,'L4'!$1:$2059,2,False)</f>
        <v>72</v>
      </c>
      <c r="L86" s="121">
        <f>VLOOKUP(D86,'A1 RETEST 5 DEC'!$1:$2096,2,False)</f>
        <v>50</v>
      </c>
      <c r="M86" s="122">
        <f>VLOOKUP(D86,'A2 RETEST 4 DEC'!$1:$2096,2,False)</f>
        <v>50</v>
      </c>
      <c r="N86" s="122">
        <v>78.0</v>
      </c>
      <c r="O86" s="121"/>
      <c r="P86" s="123">
        <f>IFNA(VLOOKUP(D86,'S1'!$1:$1500,2,False),0)</f>
        <v>75</v>
      </c>
      <c r="Q86" s="123">
        <f>vlookup(D86,'S2'!A82:B1284,2,0)</f>
        <v>89</v>
      </c>
      <c r="R86" s="123">
        <f>ifna(vlookup(D86,'S3'!$1:$1311,2,False),0)</f>
        <v>93</v>
      </c>
      <c r="S86" s="123"/>
      <c r="T86" s="125">
        <v>10.0</v>
      </c>
      <c r="U86" s="125">
        <v>20.0</v>
      </c>
      <c r="V86" s="125">
        <v>92.0</v>
      </c>
      <c r="W86" s="290">
        <v>82.0</v>
      </c>
      <c r="X86" s="291">
        <v>88.0</v>
      </c>
      <c r="Y86" s="125"/>
      <c r="Z86" s="292"/>
      <c r="AA86" s="293">
        <v>68.0</v>
      </c>
      <c r="AB86" s="294">
        <v>89.0</v>
      </c>
      <c r="AC86" s="295">
        <v>15.0</v>
      </c>
      <c r="AD86" s="302">
        <v>80.0</v>
      </c>
      <c r="AE86" s="297">
        <v>97.0</v>
      </c>
      <c r="AF86" s="298"/>
      <c r="AG86" s="298">
        <v>70.0</v>
      </c>
      <c r="AH86" s="298"/>
      <c r="AI86" s="299"/>
      <c r="AJ86" s="299"/>
      <c r="AK86" s="300">
        <f t="shared" si="1"/>
        <v>4</v>
      </c>
      <c r="AL86" s="300">
        <f t="shared" si="2"/>
        <v>3</v>
      </c>
      <c r="AM86" s="301">
        <f t="shared" si="3"/>
        <v>3</v>
      </c>
      <c r="AN86" s="300" t="str">
        <f t="shared" si="4"/>
        <v>3.5</v>
      </c>
      <c r="AO86" s="300">
        <f t="shared" si="5"/>
        <v>3</v>
      </c>
      <c r="AP86" s="88"/>
    </row>
    <row r="87">
      <c r="A87" s="284">
        <v>85.0</v>
      </c>
      <c r="B87" s="304" t="s">
        <v>1829</v>
      </c>
      <c r="C87" s="304" t="s">
        <v>2806</v>
      </c>
      <c r="D87" s="286" t="str">
        <f>VLOOKUP(B87,USN!$1:$1088,2,False)</f>
        <v>1CR23AD085</v>
      </c>
      <c r="E87" s="304">
        <v>9.110225511E9</v>
      </c>
      <c r="F87" s="287" t="s">
        <v>3715</v>
      </c>
      <c r="G87" s="288"/>
      <c r="H87" s="289">
        <v>73.0</v>
      </c>
      <c r="I87" s="120">
        <v>86.0</v>
      </c>
      <c r="J87" s="120">
        <f>VLOOKUP(D87,'L3'!$1:$2060,2,False)</f>
        <v>87</v>
      </c>
      <c r="K87" s="120">
        <f>VLOOKUP(D87,'L4'!$1:$2059,2,False)</f>
        <v>82</v>
      </c>
      <c r="L87" s="121">
        <f>VLOOKUP(D87,'A1 RETEST 5 DEC'!$1:$2096,2,False)</f>
        <v>55</v>
      </c>
      <c r="M87" s="122">
        <f>VLOOKUP(D87,'A2 RETEST 4 DEC'!$1:$2096,2,False)</f>
        <v>51</v>
      </c>
      <c r="N87" s="122">
        <v>73.0</v>
      </c>
      <c r="O87" s="121"/>
      <c r="P87" s="123">
        <f>IFNA(VLOOKUP(D87,'S1'!$1:$1500,2,False),0)</f>
        <v>75</v>
      </c>
      <c r="Q87" s="123">
        <f>vlookup(D87,'S2'!A83:B1285,2,0)</f>
        <v>59</v>
      </c>
      <c r="R87" s="123">
        <f>ifna(vlookup(D87,'S3'!$1:$1311,2,False),0)</f>
        <v>93</v>
      </c>
      <c r="S87" s="123"/>
      <c r="T87" s="125">
        <v>12.0</v>
      </c>
      <c r="U87" s="125">
        <v>21.0</v>
      </c>
      <c r="V87" s="125">
        <v>80.0</v>
      </c>
      <c r="W87" s="290">
        <v>66.0</v>
      </c>
      <c r="X87" s="291">
        <v>62.0</v>
      </c>
      <c r="Y87" s="125"/>
      <c r="Z87" s="292"/>
      <c r="AA87" s="293">
        <v>79.6</v>
      </c>
      <c r="AB87" s="294">
        <v>92.0</v>
      </c>
      <c r="AC87" s="295">
        <v>62.0</v>
      </c>
      <c r="AD87" s="302">
        <v>70.0</v>
      </c>
      <c r="AE87" s="297">
        <v>86.0</v>
      </c>
      <c r="AF87" s="309"/>
      <c r="AG87" s="298">
        <v>83.0</v>
      </c>
      <c r="AH87" s="298"/>
      <c r="AI87" s="299"/>
      <c r="AJ87" s="299"/>
      <c r="AK87" s="300">
        <f t="shared" si="1"/>
        <v>4</v>
      </c>
      <c r="AL87" s="300">
        <f t="shared" si="2"/>
        <v>3</v>
      </c>
      <c r="AM87" s="301">
        <f t="shared" si="3"/>
        <v>3</v>
      </c>
      <c r="AN87" s="300" t="str">
        <f t="shared" si="4"/>
        <v>3.5</v>
      </c>
      <c r="AO87" s="300">
        <f t="shared" si="5"/>
        <v>3</v>
      </c>
      <c r="AP87" s="88"/>
    </row>
    <row r="88">
      <c r="A88" s="284">
        <v>86.0</v>
      </c>
      <c r="B88" s="285" t="s">
        <v>1794</v>
      </c>
      <c r="C88" s="285" t="s">
        <v>2807</v>
      </c>
      <c r="D88" s="286" t="str">
        <f>VLOOKUP(B88,USN!$1:$1088,2,False)</f>
        <v>1CR23AD086</v>
      </c>
      <c r="E88" s="285">
        <v>9.353101704E9</v>
      </c>
      <c r="F88" s="287" t="s">
        <v>3715</v>
      </c>
      <c r="G88" s="288"/>
      <c r="H88" s="289">
        <v>80.0</v>
      </c>
      <c r="I88" s="120">
        <v>88.0</v>
      </c>
      <c r="J88" s="120">
        <f>VLOOKUP(D88,'L3'!$1:$2060,2,False)</f>
        <v>70</v>
      </c>
      <c r="K88" s="120">
        <f>VLOOKUP(D88,'L4'!$1:$2059,2,False)</f>
        <v>74</v>
      </c>
      <c r="L88" s="121">
        <f>VLOOKUP(D88,'A1 RETEST 5 DEC'!$1:$2096,2,False)</f>
        <v>50</v>
      </c>
      <c r="M88" s="122">
        <f>VLOOKUP(D88,'A2 RETEST 4 DEC'!$1:$2096,2,False)</f>
        <v>50</v>
      </c>
      <c r="N88" s="122">
        <v>60.0</v>
      </c>
      <c r="O88" s="121"/>
      <c r="P88" s="123">
        <f>IFNA(VLOOKUP(D88,'S1'!$1:$1500,2,False),0)</f>
        <v>84</v>
      </c>
      <c r="Q88" s="123">
        <f>vlookup(D88,'S2'!A84:B1286,2,0)</f>
        <v>72</v>
      </c>
      <c r="R88" s="123">
        <f>ifna(vlookup(D88,'S3'!$1:$1311,2,False),0)</f>
        <v>90</v>
      </c>
      <c r="S88" s="123"/>
      <c r="T88" s="125">
        <v>14.0</v>
      </c>
      <c r="U88" s="125">
        <v>22.0</v>
      </c>
      <c r="V88" s="125">
        <v>88.0</v>
      </c>
      <c r="W88" s="290">
        <v>80.0</v>
      </c>
      <c r="X88" s="291">
        <v>80.0</v>
      </c>
      <c r="Y88" s="125"/>
      <c r="Z88" s="292"/>
      <c r="AA88" s="293">
        <v>55.0</v>
      </c>
      <c r="AB88" s="294">
        <v>64.0</v>
      </c>
      <c r="AC88" s="295">
        <v>67.0</v>
      </c>
      <c r="AD88" s="296">
        <v>0.0</v>
      </c>
      <c r="AE88" s="297">
        <v>74.0</v>
      </c>
      <c r="AF88" s="298"/>
      <c r="AG88" s="295">
        <v>75.0</v>
      </c>
      <c r="AH88" s="298"/>
      <c r="AI88" s="299"/>
      <c r="AJ88" s="299"/>
      <c r="AK88" s="300">
        <f t="shared" si="1"/>
        <v>4</v>
      </c>
      <c r="AL88" s="300">
        <f t="shared" si="2"/>
        <v>3</v>
      </c>
      <c r="AM88" s="301">
        <f t="shared" si="3"/>
        <v>3</v>
      </c>
      <c r="AN88" s="300" t="str">
        <f t="shared" si="4"/>
        <v>3.5</v>
      </c>
      <c r="AO88" s="300">
        <f t="shared" si="5"/>
        <v>3</v>
      </c>
      <c r="AP88" s="88"/>
    </row>
    <row r="89">
      <c r="A89" s="284">
        <v>87.0</v>
      </c>
      <c r="B89" s="304" t="s">
        <v>1830</v>
      </c>
      <c r="C89" s="304" t="s">
        <v>2808</v>
      </c>
      <c r="D89" s="286" t="str">
        <f>VLOOKUP(B89,USN!$1:$1088,2,False)</f>
        <v>1CR23AD087</v>
      </c>
      <c r="E89" s="304">
        <v>9.835185317E9</v>
      </c>
      <c r="F89" s="287" t="s">
        <v>3715</v>
      </c>
      <c r="G89" s="288"/>
      <c r="H89" s="289">
        <v>73.0</v>
      </c>
      <c r="I89" s="120">
        <v>80.0</v>
      </c>
      <c r="J89" s="120">
        <f>VLOOKUP(D89,'L3'!$1:$2060,2,False)</f>
        <v>70</v>
      </c>
      <c r="K89" s="120">
        <f>VLOOKUP(D89,'L4'!$1:$2059,2,False)</f>
        <v>70</v>
      </c>
      <c r="L89" s="121">
        <f>VLOOKUP(D89,'A1 RETEST 5 DEC'!$1:$2096,2,False)</f>
        <v>25</v>
      </c>
      <c r="M89" s="122">
        <f>VLOOKUP(D89,'A2 RETEST 4 DEC'!$1:$2096,2,False)</f>
        <v>50</v>
      </c>
      <c r="N89" s="122">
        <v>61.25</v>
      </c>
      <c r="O89" s="121"/>
      <c r="P89" s="123">
        <f>IFNA(VLOOKUP(D89,'S1'!$1:$1500,2,False),0)</f>
        <v>73</v>
      </c>
      <c r="Q89" s="123">
        <f>vlookup(D89,'S2'!A85:B1287,2,0)</f>
        <v>89</v>
      </c>
      <c r="R89" s="123">
        <f>ifna(vlookup(D89,'S3'!$1:$1311,2,False),0)</f>
        <v>94</v>
      </c>
      <c r="S89" s="123"/>
      <c r="T89" s="125">
        <v>12.0</v>
      </c>
      <c r="U89" s="125">
        <v>23.0</v>
      </c>
      <c r="V89" s="125">
        <v>88.0</v>
      </c>
      <c r="W89" s="290">
        <v>80.0</v>
      </c>
      <c r="X89" s="291">
        <v>74.0</v>
      </c>
      <c r="Y89" s="125"/>
      <c r="Z89" s="292"/>
      <c r="AA89" s="293">
        <v>77.0</v>
      </c>
      <c r="AB89" s="294">
        <v>97.0</v>
      </c>
      <c r="AC89" s="295">
        <v>70.0</v>
      </c>
      <c r="AD89" s="302">
        <v>100.0</v>
      </c>
      <c r="AE89" s="297">
        <v>82.0</v>
      </c>
      <c r="AF89" s="298"/>
      <c r="AG89" s="298">
        <v>70.0</v>
      </c>
      <c r="AH89" s="298"/>
      <c r="AI89" s="299"/>
      <c r="AJ89" s="299"/>
      <c r="AK89" s="300">
        <f t="shared" si="1"/>
        <v>4</v>
      </c>
      <c r="AL89" s="300">
        <f t="shared" si="2"/>
        <v>0</v>
      </c>
      <c r="AM89" s="301">
        <f t="shared" si="3"/>
        <v>3</v>
      </c>
      <c r="AN89" s="300" t="str">
        <f t="shared" si="4"/>
        <v>3.5</v>
      </c>
      <c r="AO89" s="300">
        <f t="shared" si="5"/>
        <v>3</v>
      </c>
      <c r="AP89" s="88"/>
    </row>
    <row r="90">
      <c r="A90" s="284">
        <v>88.0</v>
      </c>
      <c r="B90" s="304" t="s">
        <v>1862</v>
      </c>
      <c r="C90" s="304" t="s">
        <v>2809</v>
      </c>
      <c r="D90" s="286" t="str">
        <f>VLOOKUP(B90,USN!$1:$1088,2,False)</f>
        <v>1CR23AD088</v>
      </c>
      <c r="E90" s="304">
        <v>9.972036515E9</v>
      </c>
      <c r="F90" s="287" t="s">
        <v>3715</v>
      </c>
      <c r="G90" s="288"/>
      <c r="H90" s="289">
        <v>82.0</v>
      </c>
      <c r="I90" s="120">
        <v>90.0</v>
      </c>
      <c r="J90" s="120">
        <f>VLOOKUP(D90,'L3'!$1:$2060,2,False)</f>
        <v>76</v>
      </c>
      <c r="K90" s="120">
        <f>VLOOKUP(D90,'L4'!$1:$2059,2,False)</f>
        <v>79</v>
      </c>
      <c r="L90" s="121">
        <f>VLOOKUP(D90,'A1 RETEST 5 DEC'!$1:$2096,2,False)</f>
        <v>50</v>
      </c>
      <c r="M90" s="122">
        <f>VLOOKUP(D90,'A2 RETEST 4 DEC'!$1:$2096,2,False)</f>
        <v>50</v>
      </c>
      <c r="N90" s="122">
        <v>50.0</v>
      </c>
      <c r="O90" s="121"/>
      <c r="P90" s="123">
        <f>IFNA(VLOOKUP(D90,'S1'!$1:$1500,2,False),0)</f>
        <v>80</v>
      </c>
      <c r="Q90" s="123">
        <f>vlookup(D90,'S2'!A86:B1288,2,0)</f>
        <v>64</v>
      </c>
      <c r="R90" s="123">
        <f>ifna(vlookup(D90,'S3'!$1:$1311,2,False),0)</f>
        <v>79</v>
      </c>
      <c r="S90" s="123"/>
      <c r="T90" s="125">
        <v>13.0</v>
      </c>
      <c r="U90" s="125">
        <v>23.0</v>
      </c>
      <c r="V90" s="125">
        <v>96.0</v>
      </c>
      <c r="W90" s="290">
        <v>70.0</v>
      </c>
      <c r="X90" s="291">
        <v>78.0</v>
      </c>
      <c r="Y90" s="125"/>
      <c r="Z90" s="292"/>
      <c r="AA90" s="293">
        <v>66.0</v>
      </c>
      <c r="AB90" s="294">
        <v>100.0</v>
      </c>
      <c r="AC90" s="295">
        <v>60.0</v>
      </c>
      <c r="AD90" s="302">
        <v>72.0</v>
      </c>
      <c r="AE90" s="297">
        <v>70.0</v>
      </c>
      <c r="AF90" s="298"/>
      <c r="AG90" s="298">
        <v>80.0</v>
      </c>
      <c r="AH90" s="298"/>
      <c r="AI90" s="299"/>
      <c r="AJ90" s="299"/>
      <c r="AK90" s="300">
        <f t="shared" si="1"/>
        <v>4</v>
      </c>
      <c r="AL90" s="300">
        <f t="shared" si="2"/>
        <v>3</v>
      </c>
      <c r="AM90" s="301">
        <f t="shared" si="3"/>
        <v>3</v>
      </c>
      <c r="AN90" s="300" t="str">
        <f t="shared" si="4"/>
        <v>3.5</v>
      </c>
      <c r="AO90" s="300">
        <f t="shared" si="5"/>
        <v>3</v>
      </c>
      <c r="AP90" s="88"/>
    </row>
    <row r="91">
      <c r="A91" s="284">
        <v>89.0</v>
      </c>
      <c r="B91" s="304" t="s">
        <v>1866</v>
      </c>
      <c r="C91" s="304" t="s">
        <v>2810</v>
      </c>
      <c r="D91" s="286" t="str">
        <f>VLOOKUP(B91,USN!$1:$1088,2,False)</f>
        <v>1CR23AD089</v>
      </c>
      <c r="E91" s="304">
        <v>7.483422919E9</v>
      </c>
      <c r="F91" s="287" t="s">
        <v>3715</v>
      </c>
      <c r="G91" s="288"/>
      <c r="H91" s="289">
        <v>72.0</v>
      </c>
      <c r="I91" s="120">
        <v>77.0</v>
      </c>
      <c r="J91" s="120">
        <f>VLOOKUP(D91,'L3'!$1:$2060,2,False)</f>
        <v>70</v>
      </c>
      <c r="K91" s="120">
        <f>VLOOKUP(D91,'L4'!$1:$2059,2,False)</f>
        <v>70</v>
      </c>
      <c r="L91" s="121">
        <f>VLOOKUP(D91,'A1 RETEST 5 DEC'!$1:$2096,2,False)</f>
        <v>50</v>
      </c>
      <c r="M91" s="122">
        <f>VLOOKUP(D91,'A2 RETEST 4 DEC'!$1:$2096,2,False)</f>
        <v>57</v>
      </c>
      <c r="N91" s="122">
        <v>77.0</v>
      </c>
      <c r="O91" s="121"/>
      <c r="P91" s="123">
        <f>IFNA(VLOOKUP(D91,'S1'!$1:$1500,2,False),0)</f>
        <v>80</v>
      </c>
      <c r="Q91" s="123">
        <f>vlookup(D91,'S2'!A87:B1289,2,0)</f>
        <v>50</v>
      </c>
      <c r="R91" s="123">
        <f>ifna(vlookup(D91,'S3'!$1:$1311,2,False),0)</f>
        <v>81</v>
      </c>
      <c r="S91" s="123"/>
      <c r="T91" s="125">
        <v>13.0</v>
      </c>
      <c r="U91" s="125">
        <v>10.0</v>
      </c>
      <c r="V91" s="125">
        <v>60.0</v>
      </c>
      <c r="W91" s="290">
        <v>70.0</v>
      </c>
      <c r="X91" s="291">
        <v>72.0</v>
      </c>
      <c r="Y91" s="125"/>
      <c r="Z91" s="292"/>
      <c r="AA91" s="293">
        <v>0.0</v>
      </c>
      <c r="AB91" s="294">
        <v>97.0</v>
      </c>
      <c r="AC91" s="295">
        <v>70.0</v>
      </c>
      <c r="AD91" s="302">
        <v>100.0</v>
      </c>
      <c r="AE91" s="297">
        <v>70.0</v>
      </c>
      <c r="AF91" s="298"/>
      <c r="AG91" s="298">
        <v>61.0</v>
      </c>
      <c r="AH91" s="298"/>
      <c r="AI91" s="299"/>
      <c r="AJ91" s="299"/>
      <c r="AK91" s="300">
        <f t="shared" si="1"/>
        <v>4</v>
      </c>
      <c r="AL91" s="300">
        <f t="shared" si="2"/>
        <v>3</v>
      </c>
      <c r="AM91" s="301">
        <f t="shared" si="3"/>
        <v>3</v>
      </c>
      <c r="AN91" s="300" t="str">
        <f t="shared" si="4"/>
        <v>3.5</v>
      </c>
      <c r="AO91" s="300">
        <f t="shared" si="5"/>
        <v>3</v>
      </c>
      <c r="AP91" s="88"/>
    </row>
    <row r="92">
      <c r="A92" s="284">
        <v>90.0</v>
      </c>
      <c r="B92" s="304" t="s">
        <v>85</v>
      </c>
      <c r="C92" s="304" t="s">
        <v>2811</v>
      </c>
      <c r="D92" s="286" t="str">
        <f>VLOOKUP(B92,USN!$1:$1088,2,False)</f>
        <v>1CR23AD090</v>
      </c>
      <c r="E92" s="304">
        <v>9.008117416E9</v>
      </c>
      <c r="F92" s="287" t="s">
        <v>3715</v>
      </c>
      <c r="G92" s="288"/>
      <c r="H92" s="120">
        <v>70.0</v>
      </c>
      <c r="I92" s="120">
        <v>73.0</v>
      </c>
      <c r="J92" s="120">
        <f>VLOOKUP(D92,'L3'!$1:$2060,2,False)</f>
        <v>70</v>
      </c>
      <c r="K92" s="120">
        <f>VLOOKUP(D92,'L4'!$1:$2059,2,False)</f>
        <v>70</v>
      </c>
      <c r="L92" s="121">
        <f>VLOOKUP(D92,'A1 RETEST 5 DEC'!$1:$2096,2,False)</f>
        <v>50</v>
      </c>
      <c r="M92" s="122">
        <f>VLOOKUP(D92,'A2 RETEST 4 DEC'!$1:$2096,2,False)</f>
        <v>61</v>
      </c>
      <c r="N92" s="122">
        <v>50.0</v>
      </c>
      <c r="O92" s="121"/>
      <c r="P92" s="123">
        <f>IFNA(VLOOKUP(D92,'S1'!$1:$1500,2,False),0)</f>
        <v>80</v>
      </c>
      <c r="Q92" s="123">
        <f>vlookup(D92,'S2'!A88:B1290,2,0)</f>
        <v>72</v>
      </c>
      <c r="R92" s="123">
        <f>ifna(vlookup(D92,'S3'!$1:$1311,2,False),0)</f>
        <v>83</v>
      </c>
      <c r="S92" s="123"/>
      <c r="T92" s="125">
        <v>10.0</v>
      </c>
      <c r="U92" s="125">
        <v>21.0</v>
      </c>
      <c r="V92" s="125">
        <v>90.0</v>
      </c>
      <c r="W92" s="290">
        <v>70.0</v>
      </c>
      <c r="X92" s="291">
        <v>74.0</v>
      </c>
      <c r="Y92" s="125"/>
      <c r="Z92" s="292"/>
      <c r="AA92" s="293">
        <v>6.0</v>
      </c>
      <c r="AB92" s="294">
        <v>55.0</v>
      </c>
      <c r="AC92" s="295">
        <v>66.0</v>
      </c>
      <c r="AD92" s="296">
        <v>12.0</v>
      </c>
      <c r="AE92" s="297">
        <v>33.0</v>
      </c>
      <c r="AF92" s="298"/>
      <c r="AG92" s="298">
        <v>70.0</v>
      </c>
      <c r="AH92" s="298"/>
      <c r="AI92" s="299"/>
      <c r="AJ92" s="299"/>
      <c r="AK92" s="300">
        <f t="shared" si="1"/>
        <v>4</v>
      </c>
      <c r="AL92" s="300">
        <f t="shared" si="2"/>
        <v>3</v>
      </c>
      <c r="AM92" s="301">
        <f t="shared" si="3"/>
        <v>3</v>
      </c>
      <c r="AN92" s="300" t="str">
        <f t="shared" si="4"/>
        <v>3</v>
      </c>
      <c r="AO92" s="300">
        <f t="shared" si="5"/>
        <v>3</v>
      </c>
      <c r="AP92" s="88"/>
    </row>
    <row r="93">
      <c r="A93" s="284">
        <v>91.0</v>
      </c>
      <c r="B93" s="304" t="s">
        <v>1831</v>
      </c>
      <c r="C93" s="304" t="s">
        <v>2812</v>
      </c>
      <c r="D93" s="286" t="str">
        <f>VLOOKUP(B93,USN!$1:$1088,2,False)</f>
        <v>1CR23AD091</v>
      </c>
      <c r="E93" s="304">
        <v>6.364509536E9</v>
      </c>
      <c r="F93" s="287" t="s">
        <v>3715</v>
      </c>
      <c r="G93" s="288"/>
      <c r="H93" s="289">
        <v>70.0</v>
      </c>
      <c r="I93" s="120">
        <v>70.0</v>
      </c>
      <c r="J93" s="120">
        <f>VLOOKUP(D93,'L3'!$1:$2060,2,False)</f>
        <v>15</v>
      </c>
      <c r="K93" s="120">
        <f>VLOOKUP(D93,'L4'!$1:$2059,2,False)</f>
        <v>15</v>
      </c>
      <c r="L93" s="121">
        <f>VLOOKUP(D93,'A1 RETEST 5 DEC'!$1:$2096,2,False)</f>
        <v>50</v>
      </c>
      <c r="M93" s="122">
        <f>VLOOKUP(D93,'A2 RETEST 4 DEC'!$1:$2096,2,False)</f>
        <v>0</v>
      </c>
      <c r="N93" s="122">
        <v>0.0</v>
      </c>
      <c r="O93" s="121"/>
      <c r="P93" s="123">
        <f>IFNA(VLOOKUP(D93,'S1'!$1:$1500,2,False),0)</f>
        <v>0</v>
      </c>
      <c r="Q93" s="123">
        <f>vlookup(D93,'S2'!A89:B1291,2,0)</f>
        <v>0</v>
      </c>
      <c r="R93" s="123">
        <f>ifna(vlookup(D93,'S3'!$1:$1311,2,False),0)</f>
        <v>0</v>
      </c>
      <c r="S93" s="123"/>
      <c r="T93" s="125">
        <v>10.0</v>
      </c>
      <c r="U93" s="125" t="s">
        <v>2477</v>
      </c>
      <c r="V93" s="125">
        <v>80.0</v>
      </c>
      <c r="W93" s="308">
        <v>60.0</v>
      </c>
      <c r="X93" s="303" t="s">
        <v>3717</v>
      </c>
      <c r="Y93" s="125"/>
      <c r="Z93" s="292"/>
      <c r="AA93" s="293">
        <v>61.0</v>
      </c>
      <c r="AB93" s="294">
        <v>98.0</v>
      </c>
      <c r="AC93" s="295">
        <v>0.0</v>
      </c>
      <c r="AD93" s="296">
        <v>0.0</v>
      </c>
      <c r="AE93" s="297">
        <v>10.0</v>
      </c>
      <c r="AF93" s="298"/>
      <c r="AG93" s="298">
        <v>10.0</v>
      </c>
      <c r="AH93" s="298"/>
      <c r="AI93" s="299"/>
      <c r="AJ93" s="299"/>
      <c r="AK93" s="300">
        <f t="shared" si="1"/>
        <v>2</v>
      </c>
      <c r="AL93" s="300">
        <f t="shared" si="2"/>
        <v>1</v>
      </c>
      <c r="AM93" s="301">
        <f t="shared" si="3"/>
        <v>3</v>
      </c>
      <c r="AN93" s="300" t="str">
        <f t="shared" si="4"/>
        <v>2</v>
      </c>
      <c r="AO93" s="300">
        <f t="shared" si="5"/>
        <v>0</v>
      </c>
      <c r="AP93" s="88"/>
    </row>
    <row r="94">
      <c r="A94" s="284">
        <v>92.0</v>
      </c>
      <c r="B94" s="304" t="s">
        <v>1832</v>
      </c>
      <c r="C94" s="304" t="s">
        <v>2813</v>
      </c>
      <c r="D94" s="286" t="str">
        <f>VLOOKUP(B94,USN!$1:$1088,2,False)</f>
        <v>1CR23AD092</v>
      </c>
      <c r="E94" s="304" t="s">
        <v>3731</v>
      </c>
      <c r="F94" s="287" t="s">
        <v>3715</v>
      </c>
      <c r="G94" s="288"/>
      <c r="H94" s="289">
        <v>74.0</v>
      </c>
      <c r="I94" s="120">
        <v>83.0</v>
      </c>
      <c r="J94" s="120">
        <f>VLOOKUP(D94,'L3'!$1:$2060,2,False)</f>
        <v>74</v>
      </c>
      <c r="K94" s="120">
        <f>VLOOKUP(D94,'L4'!$1:$2059,2,False)</f>
        <v>60</v>
      </c>
      <c r="L94" s="121">
        <f>VLOOKUP(D94,'A1 RETEST 5 DEC'!$1:$2096,2,False)</f>
        <v>5</v>
      </c>
      <c r="M94" s="122">
        <f>VLOOKUP(D94,'A2 RETEST 4 DEC'!$1:$2096,2,False)</f>
        <v>19</v>
      </c>
      <c r="N94" s="122">
        <v>0.0</v>
      </c>
      <c r="O94" s="121"/>
      <c r="P94" s="123">
        <f>IFNA(VLOOKUP(D94,'S1'!$1:$1500,2,False),0)</f>
        <v>0</v>
      </c>
      <c r="Q94" s="123">
        <f>vlookup(D94,'S2'!A90:B1292,2,0)</f>
        <v>0</v>
      </c>
      <c r="R94" s="123">
        <f>ifna(vlookup(D94,'S3'!$1:$1311,2,False),0)</f>
        <v>0</v>
      </c>
      <c r="S94" s="123"/>
      <c r="T94" s="125">
        <v>19.0</v>
      </c>
      <c r="U94" s="125">
        <v>22.0</v>
      </c>
      <c r="V94" s="125">
        <v>88.0</v>
      </c>
      <c r="W94" s="290">
        <v>72.0</v>
      </c>
      <c r="X94" s="291">
        <v>74.0</v>
      </c>
      <c r="Y94" s="125"/>
      <c r="Z94" s="292"/>
      <c r="AA94" s="293">
        <v>70.0</v>
      </c>
      <c r="AB94" s="294">
        <v>60.0</v>
      </c>
      <c r="AC94" s="295">
        <v>0.0</v>
      </c>
      <c r="AD94" s="296">
        <v>0.0</v>
      </c>
      <c r="AE94" s="297">
        <v>10.0</v>
      </c>
      <c r="AF94" s="298"/>
      <c r="AG94" s="298">
        <v>0.0</v>
      </c>
      <c r="AH94" s="298"/>
      <c r="AI94" s="299"/>
      <c r="AJ94" s="299"/>
      <c r="AK94" s="300">
        <f t="shared" si="1"/>
        <v>3</v>
      </c>
      <c r="AL94" s="300">
        <f t="shared" si="2"/>
        <v>0</v>
      </c>
      <c r="AM94" s="301">
        <f t="shared" si="3"/>
        <v>3</v>
      </c>
      <c r="AN94" s="300" t="str">
        <f t="shared" si="4"/>
        <v>2</v>
      </c>
      <c r="AO94" s="300">
        <f t="shared" si="5"/>
        <v>0</v>
      </c>
      <c r="AP94" s="88"/>
    </row>
    <row r="95">
      <c r="A95" s="284">
        <v>93.0</v>
      </c>
      <c r="B95" s="304" t="s">
        <v>1833</v>
      </c>
      <c r="C95" s="304" t="s">
        <v>2814</v>
      </c>
      <c r="D95" s="286" t="str">
        <f>VLOOKUP(B95,USN!$1:$1088,2,False)</f>
        <v>1CR23AD093</v>
      </c>
      <c r="E95" s="304">
        <v>8.12368088E9</v>
      </c>
      <c r="F95" s="287" t="s">
        <v>3715</v>
      </c>
      <c r="G95" s="288"/>
      <c r="H95" s="289">
        <v>84.0</v>
      </c>
      <c r="I95" s="120">
        <v>84.0</v>
      </c>
      <c r="J95" s="120">
        <f>VLOOKUP(D95,'L3'!$1:$2060,2,False)</f>
        <v>82</v>
      </c>
      <c r="K95" s="120">
        <f>VLOOKUP(D95,'L4'!$1:$2059,2,False)</f>
        <v>75</v>
      </c>
      <c r="L95" s="121">
        <f>VLOOKUP(D95,'A1 RETEST 5 DEC'!$1:$2096,2,False)</f>
        <v>50</v>
      </c>
      <c r="M95" s="122">
        <f>VLOOKUP(D95,'A2 RETEST 4 DEC'!$1:$2096,2,False)</f>
        <v>31</v>
      </c>
      <c r="N95" s="122">
        <v>50.0</v>
      </c>
      <c r="O95" s="121"/>
      <c r="P95" s="123">
        <f>IFNA(VLOOKUP(D95,'S1'!$1:$1500,2,False),0)</f>
        <v>75</v>
      </c>
      <c r="Q95" s="123">
        <f>vlookup(D95,'S2'!A91:B1293,2,0)</f>
        <v>73</v>
      </c>
      <c r="R95" s="123">
        <f>ifna(vlookup(D95,'S3'!$1:$1311,2,False),0)</f>
        <v>91</v>
      </c>
      <c r="S95" s="123"/>
      <c r="T95" s="125">
        <v>10.0</v>
      </c>
      <c r="U95" s="125">
        <v>22.0</v>
      </c>
      <c r="V95" s="125">
        <v>90.0</v>
      </c>
      <c r="W95" s="290">
        <v>86.0</v>
      </c>
      <c r="X95" s="291">
        <v>76.0</v>
      </c>
      <c r="Y95" s="125"/>
      <c r="Z95" s="292"/>
      <c r="AA95" s="293">
        <v>79.0</v>
      </c>
      <c r="AB95" s="294">
        <v>72.0</v>
      </c>
      <c r="AC95" s="295">
        <v>60.0</v>
      </c>
      <c r="AD95" s="302">
        <v>65.0</v>
      </c>
      <c r="AE95" s="297">
        <v>79.0</v>
      </c>
      <c r="AF95" s="298"/>
      <c r="AG95" s="298">
        <v>70.0</v>
      </c>
      <c r="AH95" s="298"/>
      <c r="AI95" s="299"/>
      <c r="AJ95" s="299"/>
      <c r="AK95" s="300">
        <f t="shared" si="1"/>
        <v>4</v>
      </c>
      <c r="AL95" s="300">
        <f t="shared" si="2"/>
        <v>1</v>
      </c>
      <c r="AM95" s="301">
        <f t="shared" si="3"/>
        <v>3</v>
      </c>
      <c r="AN95" s="300" t="str">
        <f t="shared" si="4"/>
        <v>3.5</v>
      </c>
      <c r="AO95" s="300">
        <f t="shared" si="5"/>
        <v>3</v>
      </c>
      <c r="AP95" s="88"/>
    </row>
    <row r="96">
      <c r="A96" s="284">
        <v>94.0</v>
      </c>
      <c r="B96" s="304" t="s">
        <v>1881</v>
      </c>
      <c r="C96" s="310" t="s">
        <v>2815</v>
      </c>
      <c r="D96" s="286" t="str">
        <f>VLOOKUP(B96,USN!$1:$1088,2,False)</f>
        <v>1CR23AD094</v>
      </c>
      <c r="E96" s="304">
        <v>7.483342086E9</v>
      </c>
      <c r="F96" s="287" t="s">
        <v>3715</v>
      </c>
      <c r="G96" s="288"/>
      <c r="H96" s="120">
        <v>70.0</v>
      </c>
      <c r="I96" s="120">
        <v>84.0</v>
      </c>
      <c r="J96" s="120">
        <f>VLOOKUP(D96,'L3'!$1:$2060,2,False)</f>
        <v>71</v>
      </c>
      <c r="K96" s="120">
        <f>VLOOKUP(D96,'L4'!$1:$2059,2,False)</f>
        <v>70</v>
      </c>
      <c r="L96" s="121">
        <f>VLOOKUP(D96,'A1 RETEST 5 DEC'!$1:$2096,2,False)</f>
        <v>58</v>
      </c>
      <c r="M96" s="122">
        <f>VLOOKUP(D96,'A2 RETEST 4 DEC'!$1:$2096,2,False)</f>
        <v>51</v>
      </c>
      <c r="N96" s="122">
        <v>16.0</v>
      </c>
      <c r="O96" s="121"/>
      <c r="P96" s="123">
        <f>IFNA(VLOOKUP(D96,'S1'!$1:$1500,2,False),0)</f>
        <v>50</v>
      </c>
      <c r="Q96" s="123">
        <f>vlookup(D96,'S2'!A92:B1294,2,0)</f>
        <v>50</v>
      </c>
      <c r="R96" s="123">
        <f>ifna(vlookup(D96,'S3'!$1:$1311,2,False),0)</f>
        <v>0</v>
      </c>
      <c r="S96" s="123"/>
      <c r="T96" s="125">
        <v>15.0</v>
      </c>
      <c r="U96" s="125">
        <v>23.0</v>
      </c>
      <c r="V96" s="125">
        <v>70.0</v>
      </c>
      <c r="W96" s="290">
        <v>76.0</v>
      </c>
      <c r="X96" s="291">
        <v>78.0</v>
      </c>
      <c r="Y96" s="125"/>
      <c r="Z96" s="292"/>
      <c r="AA96" s="293">
        <v>68.0</v>
      </c>
      <c r="AB96" s="294">
        <v>100.0</v>
      </c>
      <c r="AC96" s="295">
        <v>64.0</v>
      </c>
      <c r="AD96" s="302">
        <v>80.0</v>
      </c>
      <c r="AE96" s="297">
        <v>70.0</v>
      </c>
      <c r="AF96" s="298"/>
      <c r="AG96" s="298">
        <v>71.0</v>
      </c>
      <c r="AH96" s="298"/>
      <c r="AI96" s="299"/>
      <c r="AJ96" s="299"/>
      <c r="AK96" s="300">
        <f t="shared" si="1"/>
        <v>4</v>
      </c>
      <c r="AL96" s="300">
        <f t="shared" si="2"/>
        <v>2</v>
      </c>
      <c r="AM96" s="301">
        <f t="shared" si="3"/>
        <v>3</v>
      </c>
      <c r="AN96" s="300" t="str">
        <f t="shared" si="4"/>
        <v>3.5</v>
      </c>
      <c r="AO96" s="300">
        <f t="shared" si="5"/>
        <v>2</v>
      </c>
      <c r="AP96" s="88"/>
    </row>
    <row r="97">
      <c r="A97" s="284">
        <v>95.0</v>
      </c>
      <c r="B97" s="304" t="s">
        <v>1834</v>
      </c>
      <c r="C97" s="304" t="s">
        <v>2816</v>
      </c>
      <c r="D97" s="286" t="str">
        <f>VLOOKUP(B97,USN!$1:$1088,2,False)</f>
        <v>1CR23AD095</v>
      </c>
      <c r="E97" s="304">
        <v>6.30033173E9</v>
      </c>
      <c r="F97" s="287" t="s">
        <v>3715</v>
      </c>
      <c r="G97" s="288"/>
      <c r="H97" s="289">
        <v>79.0</v>
      </c>
      <c r="I97" s="120">
        <v>82.0</v>
      </c>
      <c r="J97" s="120">
        <f>VLOOKUP(D97,'L3'!$1:$2060,2,False)</f>
        <v>83</v>
      </c>
      <c r="K97" s="120">
        <f>VLOOKUP(D97,'L4'!$1:$2059,2,False)</f>
        <v>73</v>
      </c>
      <c r="L97" s="121">
        <f>VLOOKUP(D97,'A1 RETEST 5 DEC'!$1:$2096,2,False)</f>
        <v>62</v>
      </c>
      <c r="M97" s="122">
        <f>VLOOKUP(D97,'A2 RETEST 4 DEC'!$1:$2096,2,False)</f>
        <v>74</v>
      </c>
      <c r="N97" s="122">
        <v>63.0</v>
      </c>
      <c r="O97" s="121"/>
      <c r="P97" s="123">
        <f>IFNA(VLOOKUP(D97,'S1'!$1:$1500,2,False),0)</f>
        <v>75</v>
      </c>
      <c r="Q97" s="123">
        <f>vlookup(D97,'S2'!A93:B1295,2,0)</f>
        <v>59</v>
      </c>
      <c r="R97" s="123">
        <f>ifna(vlookup(D97,'S3'!$1:$1311,2,False),0)</f>
        <v>84</v>
      </c>
      <c r="S97" s="123"/>
      <c r="T97" s="125">
        <v>12.0</v>
      </c>
      <c r="U97" s="125">
        <v>24.0</v>
      </c>
      <c r="V97" s="125">
        <v>92.0</v>
      </c>
      <c r="W97" s="290">
        <v>70.0</v>
      </c>
      <c r="X97" s="291">
        <v>82.0</v>
      </c>
      <c r="Y97" s="125"/>
      <c r="Z97" s="292"/>
      <c r="AA97" s="293">
        <v>58.0</v>
      </c>
      <c r="AB97" s="294">
        <v>100.0</v>
      </c>
      <c r="AC97" s="295">
        <v>88.0</v>
      </c>
      <c r="AD97" s="302">
        <v>80.0</v>
      </c>
      <c r="AE97" s="295">
        <v>70.0</v>
      </c>
      <c r="AF97" s="309">
        <v>70.0</v>
      </c>
      <c r="AG97" s="298">
        <v>78.0</v>
      </c>
      <c r="AH97" s="298"/>
      <c r="AI97" s="299"/>
      <c r="AJ97" s="299"/>
      <c r="AK97" s="300">
        <f t="shared" si="1"/>
        <v>4</v>
      </c>
      <c r="AL97" s="300">
        <f t="shared" si="2"/>
        <v>3</v>
      </c>
      <c r="AM97" s="301">
        <f t="shared" si="3"/>
        <v>3</v>
      </c>
      <c r="AN97" s="300" t="str">
        <f t="shared" si="4"/>
        <v>4</v>
      </c>
      <c r="AO97" s="300">
        <f t="shared" si="5"/>
        <v>3</v>
      </c>
      <c r="AP97" s="88"/>
    </row>
    <row r="98">
      <c r="A98" s="284">
        <v>96.0</v>
      </c>
      <c r="B98" s="304" t="s">
        <v>1870</v>
      </c>
      <c r="C98" s="304" t="s">
        <v>2817</v>
      </c>
      <c r="D98" s="286" t="str">
        <f>VLOOKUP(B98,USN!$1:$1088,2,False)</f>
        <v>1CR23AD096</v>
      </c>
      <c r="E98" s="304">
        <v>6.362730077E9</v>
      </c>
      <c r="F98" s="287" t="s">
        <v>3715</v>
      </c>
      <c r="G98" s="288"/>
      <c r="H98" s="289">
        <v>77.0</v>
      </c>
      <c r="I98" s="120">
        <v>87.0</v>
      </c>
      <c r="J98" s="120">
        <f>VLOOKUP(D98,'L3'!$1:$2060,2,False)</f>
        <v>71</v>
      </c>
      <c r="K98" s="120">
        <f>VLOOKUP(D98,'L4'!$1:$2059,2,False)</f>
        <v>82</v>
      </c>
      <c r="L98" s="121">
        <f>VLOOKUP(D98,'A1 RETEST 5 DEC'!$1:$2096,2,False)</f>
        <v>50</v>
      </c>
      <c r="M98" s="122">
        <f>VLOOKUP(D98,'A2 RETEST 4 DEC'!$1:$2096,2,False)</f>
        <v>50</v>
      </c>
      <c r="N98" s="122">
        <v>50.0</v>
      </c>
      <c r="O98" s="121"/>
      <c r="P98" s="123">
        <f>IFNA(VLOOKUP(D98,'S1'!$1:$1500,2,False),0)</f>
        <v>81</v>
      </c>
      <c r="Q98" s="123">
        <f>vlookup(D98,'S2'!A94:B1296,2,0)</f>
        <v>64</v>
      </c>
      <c r="R98" s="123">
        <f>ifna(vlookup(D98,'S3'!$1:$1311,2,False),0)</f>
        <v>99</v>
      </c>
      <c r="S98" s="123"/>
      <c r="T98" s="125">
        <v>19.0</v>
      </c>
      <c r="U98" s="125">
        <v>24.0</v>
      </c>
      <c r="V98" s="125">
        <v>92.0</v>
      </c>
      <c r="W98" s="290">
        <v>78.0</v>
      </c>
      <c r="X98" s="291">
        <v>82.0</v>
      </c>
      <c r="Y98" s="125"/>
      <c r="Z98" s="292"/>
      <c r="AA98" s="293">
        <v>80.0</v>
      </c>
      <c r="AB98" s="294">
        <v>98.0</v>
      </c>
      <c r="AC98" s="295">
        <v>83.0</v>
      </c>
      <c r="AD98" s="296">
        <v>23.0</v>
      </c>
      <c r="AE98" s="297">
        <v>70.0</v>
      </c>
      <c r="AF98" s="298"/>
      <c r="AG98" s="298">
        <v>87.0</v>
      </c>
      <c r="AH98" s="298"/>
      <c r="AI98" s="299"/>
      <c r="AJ98" s="299"/>
      <c r="AK98" s="300">
        <f t="shared" si="1"/>
        <v>4</v>
      </c>
      <c r="AL98" s="300">
        <f t="shared" si="2"/>
        <v>3</v>
      </c>
      <c r="AM98" s="301">
        <f t="shared" si="3"/>
        <v>3</v>
      </c>
      <c r="AN98" s="300" t="str">
        <f t="shared" si="4"/>
        <v>3.5</v>
      </c>
      <c r="AO98" s="300">
        <f t="shared" si="5"/>
        <v>3</v>
      </c>
      <c r="AP98" s="88"/>
    </row>
    <row r="99">
      <c r="A99" s="284">
        <v>97.0</v>
      </c>
      <c r="B99" s="304" t="s">
        <v>1869</v>
      </c>
      <c r="C99" s="304" t="s">
        <v>2818</v>
      </c>
      <c r="D99" s="286" t="str">
        <f>VLOOKUP(B99,USN!$1:$1088,2,False)</f>
        <v>1CR23AD097</v>
      </c>
      <c r="E99" s="304">
        <v>8.867199146E9</v>
      </c>
      <c r="F99" s="287" t="s">
        <v>3715</v>
      </c>
      <c r="G99" s="288"/>
      <c r="H99" s="120">
        <v>70.0</v>
      </c>
      <c r="I99" s="120">
        <v>70.0</v>
      </c>
      <c r="J99" s="120">
        <f>VLOOKUP(D99,'L3'!$1:$2060,2,False)</f>
        <v>70</v>
      </c>
      <c r="K99" s="120">
        <f>VLOOKUP(D99,'L4'!$1:$2059,2,False)</f>
        <v>70</v>
      </c>
      <c r="L99" s="121">
        <f>VLOOKUP(D99,'A1 RETEST 5 DEC'!$1:$2096,2,False)</f>
        <v>50</v>
      </c>
      <c r="M99" s="122">
        <f>VLOOKUP(D99,'A2 RETEST 4 DEC'!$1:$2096,2,False)</f>
        <v>21</v>
      </c>
      <c r="N99" s="122">
        <v>50.0</v>
      </c>
      <c r="O99" s="121"/>
      <c r="P99" s="123">
        <f>IFNA(VLOOKUP(D99,'S1'!$1:$1500,2,False),0)</f>
        <v>50</v>
      </c>
      <c r="Q99" s="123">
        <f>vlookup(D99,'S2'!A95:B1297,2,0)</f>
        <v>50</v>
      </c>
      <c r="R99" s="123">
        <f>ifna(vlookup(D99,'S3'!$1:$1311,2,False),0)</f>
        <v>88</v>
      </c>
      <c r="S99" s="123"/>
      <c r="T99" s="125">
        <v>14.0</v>
      </c>
      <c r="U99" s="125">
        <v>20.0</v>
      </c>
      <c r="V99" s="125">
        <v>82.0</v>
      </c>
      <c r="W99" s="290">
        <v>84.0</v>
      </c>
      <c r="X99" s="291">
        <v>74.0</v>
      </c>
      <c r="Y99" s="125"/>
      <c r="Z99" s="292"/>
      <c r="AA99" s="293">
        <v>6.0</v>
      </c>
      <c r="AB99" s="294">
        <v>98.0</v>
      </c>
      <c r="AC99" s="295">
        <v>70.0</v>
      </c>
      <c r="AD99" s="296">
        <v>1.0</v>
      </c>
      <c r="AE99" s="297">
        <v>70.0</v>
      </c>
      <c r="AF99" s="298"/>
      <c r="AG99" s="298">
        <v>70.0</v>
      </c>
      <c r="AH99" s="298"/>
      <c r="AI99" s="299"/>
      <c r="AJ99" s="299"/>
      <c r="AK99" s="300">
        <f t="shared" si="1"/>
        <v>4</v>
      </c>
      <c r="AL99" s="300">
        <f t="shared" si="2"/>
        <v>1</v>
      </c>
      <c r="AM99" s="301">
        <f t="shared" si="3"/>
        <v>3</v>
      </c>
      <c r="AN99" s="300" t="str">
        <f t="shared" si="4"/>
        <v>3.5</v>
      </c>
      <c r="AO99" s="300">
        <f t="shared" si="5"/>
        <v>3</v>
      </c>
      <c r="AP99" s="88"/>
    </row>
    <row r="100">
      <c r="A100" s="284">
        <v>98.0</v>
      </c>
      <c r="B100" s="304" t="s">
        <v>1855</v>
      </c>
      <c r="C100" s="304" t="s">
        <v>2819</v>
      </c>
      <c r="D100" s="286" t="str">
        <f>VLOOKUP(B100,USN!$1:$1088,2,False)</f>
        <v>1CR23AD098</v>
      </c>
      <c r="E100" s="304">
        <v>9.353085038E9</v>
      </c>
      <c r="F100" s="287" t="s">
        <v>3715</v>
      </c>
      <c r="G100" s="288"/>
      <c r="H100" s="289">
        <v>62.0</v>
      </c>
      <c r="I100" s="120">
        <v>68.0</v>
      </c>
      <c r="J100" s="120">
        <f>VLOOKUP(D100,'L3'!$1:$2060,2,False)</f>
        <v>60</v>
      </c>
      <c r="K100" s="120">
        <f>VLOOKUP(D100,'L4'!$1:$2059,2,False)</f>
        <v>21</v>
      </c>
      <c r="L100" s="121">
        <f>VLOOKUP(D100,'A1 RETEST 5 DEC'!$1:$2096,2,False)</f>
        <v>6</v>
      </c>
      <c r="M100" s="122">
        <f>VLOOKUP(D100,'A2 RETEST 4 DEC'!$1:$2096,2,False)</f>
        <v>10</v>
      </c>
      <c r="N100" s="122">
        <v>6.0</v>
      </c>
      <c r="O100" s="121"/>
      <c r="P100" s="123">
        <f>IFNA(VLOOKUP(D100,'S1'!$1:$1500,2,False),0)</f>
        <v>50</v>
      </c>
      <c r="Q100" s="123">
        <f>vlookup(D100,'S2'!A96:B1298,2,0)</f>
        <v>50</v>
      </c>
      <c r="R100" s="123">
        <f>ifna(vlookup(D100,'S3'!$1:$1311,2,False),0)</f>
        <v>50</v>
      </c>
      <c r="S100" s="123"/>
      <c r="T100" s="125">
        <v>13.0</v>
      </c>
      <c r="U100" s="125">
        <v>19.0</v>
      </c>
      <c r="V100" s="125">
        <v>80.0</v>
      </c>
      <c r="W100" s="290">
        <v>76.0</v>
      </c>
      <c r="X100" s="291">
        <v>82.0</v>
      </c>
      <c r="Y100" s="125"/>
      <c r="Z100" s="292"/>
      <c r="AA100" s="293">
        <v>0.0</v>
      </c>
      <c r="AB100" s="294">
        <v>50.0</v>
      </c>
      <c r="AC100" s="295">
        <v>35.0</v>
      </c>
      <c r="AD100" s="296">
        <v>10.0</v>
      </c>
      <c r="AE100" s="297">
        <v>10.0</v>
      </c>
      <c r="AF100" s="298"/>
      <c r="AG100" s="298">
        <v>10.0</v>
      </c>
      <c r="AH100" s="298"/>
      <c r="AI100" s="299"/>
      <c r="AJ100" s="299"/>
      <c r="AK100" s="300">
        <f t="shared" si="1"/>
        <v>0</v>
      </c>
      <c r="AL100" s="300">
        <f t="shared" si="2"/>
        <v>0</v>
      </c>
      <c r="AM100" s="301">
        <f t="shared" si="3"/>
        <v>3</v>
      </c>
      <c r="AN100" s="300" t="str">
        <f t="shared" si="4"/>
        <v>2</v>
      </c>
      <c r="AO100" s="300">
        <f t="shared" si="5"/>
        <v>3</v>
      </c>
      <c r="AP100" s="88"/>
    </row>
    <row r="101">
      <c r="A101" s="284">
        <v>99.0</v>
      </c>
      <c r="B101" s="304" t="s">
        <v>61</v>
      </c>
      <c r="C101" s="304" t="s">
        <v>2820</v>
      </c>
      <c r="D101" s="286" t="str">
        <f>VLOOKUP(B101,USN!$1:$1088,2,False)</f>
        <v>1CR23AD099</v>
      </c>
      <c r="E101" s="304">
        <v>8.521585194E9</v>
      </c>
      <c r="F101" s="287" t="s">
        <v>3715</v>
      </c>
      <c r="G101" s="288"/>
      <c r="H101" s="120">
        <v>70.0</v>
      </c>
      <c r="I101" s="120">
        <v>70.0</v>
      </c>
      <c r="J101" s="120">
        <f>VLOOKUP(D101,'L3'!$1:$2060,2,False)</f>
        <v>70</v>
      </c>
      <c r="K101" s="120">
        <f>VLOOKUP(D101,'L4'!$1:$2059,2,False)</f>
        <v>70</v>
      </c>
      <c r="L101" s="121">
        <f>VLOOKUP(D101,'A1 RETEST 5 DEC'!$1:$2096,2,False)</f>
        <v>50</v>
      </c>
      <c r="M101" s="122">
        <f>VLOOKUP(D101,'A2 RETEST 4 DEC'!$1:$2096,2,False)</f>
        <v>50</v>
      </c>
      <c r="N101" s="122">
        <v>3.0</v>
      </c>
      <c r="O101" s="121"/>
      <c r="P101" s="123">
        <f>IFNA(VLOOKUP(D101,'S1'!$1:$1500,2,False),0)</f>
        <v>50</v>
      </c>
      <c r="Q101" s="123">
        <f>vlookup(D101,'S2'!A97:B1299,2,0)</f>
        <v>50</v>
      </c>
      <c r="R101" s="123">
        <f>ifna(vlookup(D101,'S3'!$1:$1311,2,False),0)</f>
        <v>50</v>
      </c>
      <c r="S101" s="123"/>
      <c r="T101" s="125">
        <v>18.0</v>
      </c>
      <c r="U101" s="125" t="s">
        <v>2477</v>
      </c>
      <c r="V101" s="125">
        <v>70.0</v>
      </c>
      <c r="W101" s="290">
        <v>82.0</v>
      </c>
      <c r="X101" s="291">
        <v>86.0</v>
      </c>
      <c r="Y101" s="125"/>
      <c r="Z101" s="292"/>
      <c r="AA101" s="293">
        <v>55.8</v>
      </c>
      <c r="AB101" s="294">
        <v>58.0</v>
      </c>
      <c r="AC101" s="295">
        <v>45.0</v>
      </c>
      <c r="AD101" s="302">
        <v>93.0</v>
      </c>
      <c r="AE101" s="297">
        <v>70.0</v>
      </c>
      <c r="AF101" s="298"/>
      <c r="AG101" s="298">
        <v>40.0</v>
      </c>
      <c r="AH101" s="298"/>
      <c r="AI101" s="299"/>
      <c r="AJ101" s="299"/>
      <c r="AK101" s="300">
        <f t="shared" si="1"/>
        <v>4</v>
      </c>
      <c r="AL101" s="300">
        <f t="shared" si="2"/>
        <v>2</v>
      </c>
      <c r="AM101" s="301">
        <f t="shared" si="3"/>
        <v>3</v>
      </c>
      <c r="AN101" s="300" t="str">
        <f t="shared" si="4"/>
        <v>3.5</v>
      </c>
      <c r="AO101" s="300">
        <f t="shared" si="5"/>
        <v>3</v>
      </c>
      <c r="AP101" s="88"/>
    </row>
    <row r="102">
      <c r="A102" s="284">
        <v>100.0</v>
      </c>
      <c r="B102" s="304" t="s">
        <v>1825</v>
      </c>
      <c r="C102" s="304" t="s">
        <v>2821</v>
      </c>
      <c r="D102" s="286" t="str">
        <f>VLOOKUP(B102,USN!$1:$1088,2,False)</f>
        <v>1CR23AD100</v>
      </c>
      <c r="E102" s="304">
        <v>7.899617094E9</v>
      </c>
      <c r="F102" s="287" t="s">
        <v>3715</v>
      </c>
      <c r="G102" s="288"/>
      <c r="H102" s="120">
        <v>70.0</v>
      </c>
      <c r="I102" s="120">
        <v>72.0</v>
      </c>
      <c r="J102" s="120">
        <f>VLOOKUP(D102,'L3'!$1:$2060,2,False)</f>
        <v>70</v>
      </c>
      <c r="K102" s="120">
        <f>VLOOKUP(D102,'L4'!$1:$2059,2,False)</f>
        <v>70</v>
      </c>
      <c r="L102" s="121">
        <f>VLOOKUP(D102,'A1 RETEST 5 DEC'!$1:$2096,2,False)</f>
        <v>50</v>
      </c>
      <c r="M102" s="122">
        <f>VLOOKUP(D102,'A2 RETEST 4 DEC'!$1:$2096,2,False)</f>
        <v>13</v>
      </c>
      <c r="N102" s="122">
        <v>13.0</v>
      </c>
      <c r="O102" s="121"/>
      <c r="P102" s="123">
        <f>IFNA(VLOOKUP(D102,'S1'!$1:$1500,2,False),0)</f>
        <v>75</v>
      </c>
      <c r="Q102" s="123">
        <f>vlookup(D102,'S2'!A98:B1300,2,0)</f>
        <v>61</v>
      </c>
      <c r="R102" s="123">
        <f>ifna(vlookup(D102,'S3'!$1:$1311,2,False),0)</f>
        <v>89</v>
      </c>
      <c r="S102" s="123"/>
      <c r="T102" s="125">
        <v>13.0</v>
      </c>
      <c r="U102" s="125">
        <v>18.0</v>
      </c>
      <c r="V102" s="125">
        <v>80.0</v>
      </c>
      <c r="W102" s="290">
        <v>72.0</v>
      </c>
      <c r="X102" s="291">
        <v>90.0</v>
      </c>
      <c r="Y102" s="125"/>
      <c r="Z102" s="292"/>
      <c r="AA102" s="293">
        <v>94.0</v>
      </c>
      <c r="AB102" s="294">
        <v>90.0</v>
      </c>
      <c r="AC102" s="295">
        <v>64.0</v>
      </c>
      <c r="AD102" s="296">
        <v>2.0</v>
      </c>
      <c r="AE102" s="297">
        <v>12.0</v>
      </c>
      <c r="AF102" s="298"/>
      <c r="AG102" s="298">
        <v>77.0</v>
      </c>
      <c r="AH102" s="298"/>
      <c r="AI102" s="299"/>
      <c r="AJ102" s="299"/>
      <c r="AK102" s="300">
        <f t="shared" si="1"/>
        <v>4</v>
      </c>
      <c r="AL102" s="300">
        <f t="shared" si="2"/>
        <v>1</v>
      </c>
      <c r="AM102" s="301">
        <f t="shared" si="3"/>
        <v>3</v>
      </c>
      <c r="AN102" s="300" t="str">
        <f t="shared" si="4"/>
        <v>3</v>
      </c>
      <c r="AO102" s="300">
        <f t="shared" si="5"/>
        <v>3</v>
      </c>
      <c r="AP102" s="88"/>
    </row>
    <row r="103">
      <c r="A103" s="284">
        <v>101.0</v>
      </c>
      <c r="B103" s="304" t="s">
        <v>1835</v>
      </c>
      <c r="C103" s="304" t="s">
        <v>2822</v>
      </c>
      <c r="D103" s="286" t="str">
        <f>VLOOKUP(B103,USN!$1:$1088,2,False)</f>
        <v>1CR23AD101</v>
      </c>
      <c r="E103" s="304">
        <v>8.861334834E9</v>
      </c>
      <c r="F103" s="287" t="s">
        <v>3715</v>
      </c>
      <c r="G103" s="288"/>
      <c r="H103" s="289">
        <v>92.0</v>
      </c>
      <c r="I103" s="120">
        <v>92.0</v>
      </c>
      <c r="J103" s="120">
        <f>VLOOKUP(D103,'L3'!$1:$2060,2,False)</f>
        <v>85</v>
      </c>
      <c r="K103" s="120">
        <f>VLOOKUP(D103,'L4'!$1:$2059,2,False)</f>
        <v>70</v>
      </c>
      <c r="L103" s="121">
        <f>VLOOKUP(D103,'A1 RETEST 5 DEC'!$1:$2096,2,False)</f>
        <v>50</v>
      </c>
      <c r="M103" s="122">
        <f>VLOOKUP(D103,'A2 RETEST 4 DEC'!$1:$2096,2,False)</f>
        <v>44</v>
      </c>
      <c r="N103" s="122">
        <v>50.0</v>
      </c>
      <c r="O103" s="121"/>
      <c r="P103" s="123">
        <f>IFNA(VLOOKUP(D103,'S1'!$1:$1500,2,False),0)</f>
        <v>75</v>
      </c>
      <c r="Q103" s="123">
        <f>vlookup(D103,'S2'!A99:B1301,2,0)</f>
        <v>73</v>
      </c>
      <c r="R103" s="123">
        <f>ifna(vlookup(D103,'S3'!$1:$1311,2,False),0)</f>
        <v>94</v>
      </c>
      <c r="S103" s="123"/>
      <c r="T103" s="125">
        <v>16.0</v>
      </c>
      <c r="U103" s="125">
        <v>19.0</v>
      </c>
      <c r="V103" s="125">
        <v>64.0</v>
      </c>
      <c r="W103" s="290">
        <v>66.0</v>
      </c>
      <c r="X103" s="291">
        <v>62.0</v>
      </c>
      <c r="Y103" s="125"/>
      <c r="Z103" s="292"/>
      <c r="AA103" s="293">
        <v>94.0</v>
      </c>
      <c r="AB103" s="294">
        <v>95.0</v>
      </c>
      <c r="AC103" s="295">
        <v>98.0</v>
      </c>
      <c r="AD103" s="302">
        <v>80.0</v>
      </c>
      <c r="AE103" s="297">
        <v>64.0</v>
      </c>
      <c r="AF103" s="298"/>
      <c r="AG103" s="298">
        <v>71.0</v>
      </c>
      <c r="AH103" s="298"/>
      <c r="AI103" s="299"/>
      <c r="AJ103" s="299"/>
      <c r="AK103" s="300">
        <f t="shared" si="1"/>
        <v>4</v>
      </c>
      <c r="AL103" s="300">
        <f t="shared" si="2"/>
        <v>1</v>
      </c>
      <c r="AM103" s="301">
        <f t="shared" si="3"/>
        <v>3</v>
      </c>
      <c r="AN103" s="300" t="str">
        <f t="shared" si="4"/>
        <v>3</v>
      </c>
      <c r="AO103" s="300">
        <f t="shared" si="5"/>
        <v>3</v>
      </c>
      <c r="AP103" s="88"/>
    </row>
    <row r="104">
      <c r="A104" s="284">
        <v>102.0</v>
      </c>
      <c r="B104" s="304" t="s">
        <v>1875</v>
      </c>
      <c r="C104" s="304" t="s">
        <v>2823</v>
      </c>
      <c r="D104" s="286" t="str">
        <f>VLOOKUP(B104,USN!$1:$1088,2,False)</f>
        <v>1CR23AD102</v>
      </c>
      <c r="E104" s="304">
        <v>6.361367503E9</v>
      </c>
      <c r="F104" s="287" t="s">
        <v>3715</v>
      </c>
      <c r="G104" s="288"/>
      <c r="H104" s="120">
        <v>70.0</v>
      </c>
      <c r="I104" s="120">
        <v>86.0</v>
      </c>
      <c r="J104" s="120">
        <f>VLOOKUP(D104,'L3'!$1:$2060,2,False)</f>
        <v>76</v>
      </c>
      <c r="K104" s="120">
        <f>VLOOKUP(D104,'L4'!$1:$2059,2,False)</f>
        <v>73</v>
      </c>
      <c r="L104" s="121">
        <f>VLOOKUP(D104,'A1 RETEST 5 DEC'!$1:$2096,2,False)</f>
        <v>50</v>
      </c>
      <c r="M104" s="122">
        <f>VLOOKUP(D104,'A2 RETEST 4 DEC'!$1:$2096,2,False)</f>
        <v>50</v>
      </c>
      <c r="N104" s="122">
        <v>24.0</v>
      </c>
      <c r="O104" s="121"/>
      <c r="P104" s="123">
        <f>IFNA(VLOOKUP(D104,'S1'!$1:$1500,2,False),0)</f>
        <v>50</v>
      </c>
      <c r="Q104" s="123">
        <f>vlookup(D104,'S2'!A100:B1302,2,0)</f>
        <v>50</v>
      </c>
      <c r="R104" s="123">
        <f>ifna(vlookup(D104,'S3'!$1:$1311,2,False),0)</f>
        <v>79</v>
      </c>
      <c r="S104" s="123"/>
      <c r="T104" s="125">
        <v>12.0</v>
      </c>
      <c r="U104" s="125">
        <v>24.0</v>
      </c>
      <c r="V104" s="125">
        <v>82.0</v>
      </c>
      <c r="W104" s="290">
        <v>68.0</v>
      </c>
      <c r="X104" s="291">
        <v>72.0</v>
      </c>
      <c r="Y104" s="125"/>
      <c r="Z104" s="292"/>
      <c r="AA104" s="293">
        <v>80.0</v>
      </c>
      <c r="AB104" s="294">
        <v>100.0</v>
      </c>
      <c r="AC104" s="295">
        <v>60.0</v>
      </c>
      <c r="AD104" s="302">
        <v>100.0</v>
      </c>
      <c r="AE104" s="297">
        <v>70.0</v>
      </c>
      <c r="AF104" s="298"/>
      <c r="AG104" s="298">
        <v>77.0</v>
      </c>
      <c r="AH104" s="298"/>
      <c r="AI104" s="299"/>
      <c r="AJ104" s="299"/>
      <c r="AK104" s="300">
        <f t="shared" si="1"/>
        <v>4</v>
      </c>
      <c r="AL104" s="300">
        <f t="shared" si="2"/>
        <v>2</v>
      </c>
      <c r="AM104" s="301">
        <f t="shared" si="3"/>
        <v>3</v>
      </c>
      <c r="AN104" s="300" t="str">
        <f t="shared" si="4"/>
        <v>3.5</v>
      </c>
      <c r="AO104" s="300">
        <f t="shared" si="5"/>
        <v>3</v>
      </c>
      <c r="AP104" s="88"/>
    </row>
    <row r="105">
      <c r="A105" s="284">
        <v>103.0</v>
      </c>
      <c r="B105" s="304" t="s">
        <v>40</v>
      </c>
      <c r="C105" s="304" t="s">
        <v>2824</v>
      </c>
      <c r="D105" s="286" t="str">
        <f>VLOOKUP(B105,USN!$1:$1088,2,False)</f>
        <v>1CR23AD103</v>
      </c>
      <c r="E105" s="304">
        <v>8.867526046E9</v>
      </c>
      <c r="F105" s="287" t="s">
        <v>3715</v>
      </c>
      <c r="G105" s="288"/>
      <c r="H105" s="120">
        <v>70.0</v>
      </c>
      <c r="I105" s="120">
        <v>74.0</v>
      </c>
      <c r="J105" s="120">
        <f>VLOOKUP(D105,'L3'!$1:$2060,2,False)</f>
        <v>75</v>
      </c>
      <c r="K105" s="120">
        <f>VLOOKUP(D105,'L4'!$1:$2059,2,False)</f>
        <v>71</v>
      </c>
      <c r="L105" s="121">
        <f>VLOOKUP(D105,'A1 RETEST 5 DEC'!$1:$2096,2,False)</f>
        <v>12</v>
      </c>
      <c r="M105" s="122">
        <f>VLOOKUP(D105,'A2 RETEST 4 DEC'!$1:$2096,2,False)</f>
        <v>22</v>
      </c>
      <c r="N105" s="122">
        <v>5.0</v>
      </c>
      <c r="O105" s="121"/>
      <c r="P105" s="123">
        <f>IFNA(VLOOKUP(D105,'S1'!$1:$1500,2,False),0)</f>
        <v>0</v>
      </c>
      <c r="Q105" s="123">
        <f>vlookup(D105,'S2'!A101:B1303,2,0)</f>
        <v>0</v>
      </c>
      <c r="R105" s="123">
        <f>ifna(vlookup(D105,'S3'!$1:$1311,2,False),0)</f>
        <v>0</v>
      </c>
      <c r="S105" s="123"/>
      <c r="T105" s="125">
        <v>10.0</v>
      </c>
      <c r="U105" s="125">
        <v>16.0</v>
      </c>
      <c r="V105" s="125">
        <v>66.0</v>
      </c>
      <c r="W105" s="290">
        <v>66.0</v>
      </c>
      <c r="X105" s="291">
        <v>78.0</v>
      </c>
      <c r="Y105" s="125"/>
      <c r="Z105" s="292"/>
      <c r="AA105" s="293">
        <v>66.0</v>
      </c>
      <c r="AB105" s="294">
        <v>75.0</v>
      </c>
      <c r="AC105" s="295">
        <v>54.0</v>
      </c>
      <c r="AD105" s="296">
        <v>42.0</v>
      </c>
      <c r="AE105" s="297">
        <v>10.0</v>
      </c>
      <c r="AF105" s="298"/>
      <c r="AG105" s="298">
        <v>0.0</v>
      </c>
      <c r="AH105" s="298"/>
      <c r="AI105" s="299"/>
      <c r="AJ105" s="299"/>
      <c r="AK105" s="300">
        <f t="shared" si="1"/>
        <v>4</v>
      </c>
      <c r="AL105" s="300">
        <f t="shared" si="2"/>
        <v>0</v>
      </c>
      <c r="AM105" s="301">
        <f t="shared" si="3"/>
        <v>3</v>
      </c>
      <c r="AN105" s="300" t="str">
        <f t="shared" si="4"/>
        <v>2</v>
      </c>
      <c r="AO105" s="300">
        <f t="shared" si="5"/>
        <v>0</v>
      </c>
      <c r="AP105" s="88"/>
    </row>
    <row r="106">
      <c r="A106" s="284">
        <v>104.0</v>
      </c>
      <c r="B106" s="285" t="s">
        <v>1803</v>
      </c>
      <c r="C106" s="285" t="s">
        <v>2825</v>
      </c>
      <c r="D106" s="286" t="str">
        <f>VLOOKUP(B106,USN!$1:$1088,2,False)</f>
        <v>1CR23AD104</v>
      </c>
      <c r="E106" s="285">
        <v>9.868310555E9</v>
      </c>
      <c r="F106" s="287" t="s">
        <v>3715</v>
      </c>
      <c r="G106" s="288"/>
      <c r="H106" s="289">
        <v>67.0</v>
      </c>
      <c r="I106" s="120">
        <v>80.0</v>
      </c>
      <c r="J106" s="120">
        <f>VLOOKUP(D106,'L3'!$1:$2060,2,False)</f>
        <v>22</v>
      </c>
      <c r="K106" s="120">
        <f>VLOOKUP(D106,'L4'!$1:$2059,2,False)</f>
        <v>4</v>
      </c>
      <c r="L106" s="121">
        <f>VLOOKUP(D106,'A1 RETEST 5 DEC'!$1:$2096,2,False)</f>
        <v>22</v>
      </c>
      <c r="M106" s="122">
        <f>VLOOKUP(D106,'A2 RETEST 4 DEC'!$1:$2096,2,False)</f>
        <v>0</v>
      </c>
      <c r="N106" s="122">
        <v>0.0</v>
      </c>
      <c r="O106" s="121"/>
      <c r="P106" s="123">
        <f>IFNA(VLOOKUP(D106,'S1'!$1:$1500,2,False),0)</f>
        <v>0</v>
      </c>
      <c r="Q106" s="123">
        <f>vlookup(D106,'S2'!A102:B1304,2,0)</f>
        <v>0</v>
      </c>
      <c r="R106" s="123">
        <f>ifna(vlookup(D106,'S3'!$1:$1311,2,False),0)</f>
        <v>0</v>
      </c>
      <c r="S106" s="123"/>
      <c r="T106" s="125">
        <v>20.0</v>
      </c>
      <c r="U106" s="125" t="s">
        <v>2477</v>
      </c>
      <c r="V106" s="125">
        <v>86.0</v>
      </c>
      <c r="W106" s="290" t="s">
        <v>3716</v>
      </c>
      <c r="X106" s="303" t="s">
        <v>3717</v>
      </c>
      <c r="Y106" s="125"/>
      <c r="Z106" s="292"/>
      <c r="AA106" s="293">
        <v>0.0</v>
      </c>
      <c r="AB106" s="294">
        <v>58.0</v>
      </c>
      <c r="AC106" s="295">
        <v>0.0</v>
      </c>
      <c r="AD106" s="296">
        <v>0.0</v>
      </c>
      <c r="AE106" s="297">
        <v>10.0</v>
      </c>
      <c r="AF106" s="298"/>
      <c r="AG106" s="298">
        <v>0.0</v>
      </c>
      <c r="AH106" s="298"/>
      <c r="AI106" s="299"/>
      <c r="AJ106" s="299"/>
      <c r="AK106" s="300">
        <f t="shared" si="1"/>
        <v>2</v>
      </c>
      <c r="AL106" s="300">
        <f t="shared" si="2"/>
        <v>0</v>
      </c>
      <c r="AM106" s="301">
        <f t="shared" si="3"/>
        <v>3</v>
      </c>
      <c r="AN106" s="300" t="str">
        <f t="shared" si="4"/>
        <v>2</v>
      </c>
      <c r="AO106" s="300">
        <f t="shared" si="5"/>
        <v>0</v>
      </c>
      <c r="AP106" s="88"/>
    </row>
    <row r="107">
      <c r="A107" s="284">
        <v>105.0</v>
      </c>
      <c r="B107" s="285" t="s">
        <v>1884</v>
      </c>
      <c r="C107" s="313" t="s">
        <v>3732</v>
      </c>
      <c r="D107" s="286" t="str">
        <f>VLOOKUP(B107,USN!$1:$1088,2,False)</f>
        <v>1CR23AD105</v>
      </c>
      <c r="E107" s="285">
        <v>9.813226633E9</v>
      </c>
      <c r="F107" s="287" t="s">
        <v>3715</v>
      </c>
      <c r="G107" s="288"/>
      <c r="H107" s="314">
        <v>68.0</v>
      </c>
      <c r="I107" s="305">
        <v>81.0</v>
      </c>
      <c r="J107" s="305">
        <f>VLOOKUP(D107,'L3'!$1:$2060,2,False)</f>
        <v>67</v>
      </c>
      <c r="K107" s="120">
        <f>VLOOKUP(D107,'L4'!$1:$2059,2,False)</f>
        <v>55</v>
      </c>
      <c r="L107" s="121">
        <f>VLOOKUP(D107,'A1 RETEST 5 DEC'!$1:$2096,2,False)</f>
        <v>10</v>
      </c>
      <c r="M107" s="122">
        <f>VLOOKUP(D107,'A2 RETEST 4 DEC'!$1:$2096,2,False)</f>
        <v>25</v>
      </c>
      <c r="N107" s="122">
        <v>0.0</v>
      </c>
      <c r="O107" s="306"/>
      <c r="P107" s="123">
        <f>IFNA(VLOOKUP(D107,'S1'!$1:$1500,2,False),0)</f>
        <v>0</v>
      </c>
      <c r="Q107" s="123">
        <f>vlookup(D107,'S2'!A103:B1305,2,0)</f>
        <v>0</v>
      </c>
      <c r="R107" s="123">
        <f>ifna(vlookup(D107,'S3'!$1:$1311,2,False),0)</f>
        <v>0</v>
      </c>
      <c r="S107" s="306"/>
      <c r="T107" s="125">
        <v>19.0</v>
      </c>
      <c r="U107" s="306">
        <v>23.0</v>
      </c>
      <c r="V107" s="125">
        <v>80.0</v>
      </c>
      <c r="W107" s="290">
        <v>76.0</v>
      </c>
      <c r="X107" s="291">
        <v>84.0</v>
      </c>
      <c r="Y107" s="306"/>
      <c r="Z107" s="307"/>
      <c r="AA107" s="295"/>
      <c r="AB107" s="295">
        <v>100.0</v>
      </c>
      <c r="AC107" s="295">
        <v>0.0</v>
      </c>
      <c r="AD107" s="296">
        <v>0.0</v>
      </c>
      <c r="AE107" s="297">
        <v>10.0</v>
      </c>
      <c r="AF107" s="298"/>
      <c r="AG107" s="298">
        <v>0.0</v>
      </c>
      <c r="AH107" s="298"/>
      <c r="AI107" s="299"/>
      <c r="AJ107" s="299"/>
      <c r="AK107" s="300">
        <f t="shared" si="1"/>
        <v>2</v>
      </c>
      <c r="AL107" s="300">
        <f t="shared" si="2"/>
        <v>0</v>
      </c>
      <c r="AM107" s="301">
        <f t="shared" si="3"/>
        <v>3</v>
      </c>
      <c r="AN107" s="300" t="str">
        <f t="shared" si="4"/>
        <v>2</v>
      </c>
      <c r="AO107" s="300">
        <f t="shared" si="5"/>
        <v>0</v>
      </c>
      <c r="AP107" s="88"/>
    </row>
    <row r="108">
      <c r="A108" s="284">
        <v>106.0</v>
      </c>
      <c r="B108" s="304" t="s">
        <v>1868</v>
      </c>
      <c r="C108" s="304" t="s">
        <v>2827</v>
      </c>
      <c r="D108" s="286" t="str">
        <f>VLOOKUP(B108,USN!$1:$1088,2,False)</f>
        <v>1CR23AD106</v>
      </c>
      <c r="E108" s="304">
        <v>9.866290733E9</v>
      </c>
      <c r="F108" s="287" t="s">
        <v>3715</v>
      </c>
      <c r="G108" s="288"/>
      <c r="H108" s="289">
        <v>81.0</v>
      </c>
      <c r="I108" s="120">
        <v>79.0</v>
      </c>
      <c r="J108" s="120">
        <f>VLOOKUP(D108,'L3'!$1:$2060,2,False)</f>
        <v>81</v>
      </c>
      <c r="K108" s="120">
        <f>VLOOKUP(D108,'L4'!$1:$2059,2,False)</f>
        <v>51</v>
      </c>
      <c r="L108" s="121">
        <f>VLOOKUP(D108,'A1 RETEST 5 DEC'!$1:$2096,2,False)</f>
        <v>15</v>
      </c>
      <c r="M108" s="122">
        <f>VLOOKUP(D108,'A2 RETEST 4 DEC'!$1:$2096,2,False)</f>
        <v>16</v>
      </c>
      <c r="N108" s="122">
        <v>0.0</v>
      </c>
      <c r="O108" s="121"/>
      <c r="P108" s="123">
        <f>IFNA(VLOOKUP(D108,'S1'!$1:$1500,2,False),0)</f>
        <v>73</v>
      </c>
      <c r="Q108" s="123">
        <f>vlookup(D108,'S2'!A104:B1306,2,0)</f>
        <v>0</v>
      </c>
      <c r="R108" s="123">
        <f>ifna(vlookup(D108,'S3'!$1:$1311,2,False),0)</f>
        <v>0</v>
      </c>
      <c r="S108" s="123"/>
      <c r="T108" s="125">
        <v>12.0</v>
      </c>
      <c r="U108" s="125">
        <v>23.0</v>
      </c>
      <c r="V108" s="125">
        <v>94.0</v>
      </c>
      <c r="W108" s="290">
        <v>68.0</v>
      </c>
      <c r="X108" s="291">
        <v>90.0</v>
      </c>
      <c r="Y108" s="125"/>
      <c r="Z108" s="292"/>
      <c r="AA108" s="293">
        <v>80.0</v>
      </c>
      <c r="AB108" s="294">
        <v>60.0</v>
      </c>
      <c r="AC108" s="295">
        <v>0.0</v>
      </c>
      <c r="AD108" s="296">
        <v>0.0</v>
      </c>
      <c r="AE108" s="297">
        <v>10.0</v>
      </c>
      <c r="AF108" s="298"/>
      <c r="AG108" s="298">
        <v>0.0</v>
      </c>
      <c r="AH108" s="298"/>
      <c r="AI108" s="299"/>
      <c r="AJ108" s="299"/>
      <c r="AK108" s="300">
        <f t="shared" si="1"/>
        <v>3</v>
      </c>
      <c r="AL108" s="300">
        <f t="shared" si="2"/>
        <v>0</v>
      </c>
      <c r="AM108" s="301">
        <f t="shared" si="3"/>
        <v>3</v>
      </c>
      <c r="AN108" s="300" t="str">
        <f t="shared" si="4"/>
        <v>2</v>
      </c>
      <c r="AO108" s="300">
        <f t="shared" si="5"/>
        <v>1</v>
      </c>
      <c r="AP108" s="88"/>
    </row>
    <row r="109">
      <c r="A109" s="284">
        <v>107.0</v>
      </c>
      <c r="B109" s="315" t="s">
        <v>1863</v>
      </c>
      <c r="C109" s="304" t="s">
        <v>2828</v>
      </c>
      <c r="D109" s="286" t="str">
        <f>VLOOKUP(B109,USN!$1:$1088,2,False)</f>
        <v>1CR23AD107</v>
      </c>
      <c r="E109" s="304">
        <v>7.676182502E9</v>
      </c>
      <c r="F109" s="287" t="s">
        <v>3715</v>
      </c>
      <c r="G109" s="288"/>
      <c r="H109" s="289">
        <v>86.0</v>
      </c>
      <c r="I109" s="120">
        <v>88.0</v>
      </c>
      <c r="J109" s="120">
        <f>VLOOKUP(D109,'L3'!$1:$2060,2,False)</f>
        <v>84</v>
      </c>
      <c r="K109" s="120">
        <f>VLOOKUP(D109,'L4'!$1:$2059,2,False)</f>
        <v>75</v>
      </c>
      <c r="L109" s="121">
        <f>VLOOKUP(D109,'A1 RETEST 5 DEC'!$1:$2096,2,False)</f>
        <v>58</v>
      </c>
      <c r="M109" s="122">
        <f>VLOOKUP(D109,'A2 RETEST 4 DEC'!$1:$2096,2,False)</f>
        <v>50</v>
      </c>
      <c r="N109" s="122">
        <v>50.0</v>
      </c>
      <c r="O109" s="121"/>
      <c r="P109" s="123">
        <f>IFNA(VLOOKUP(D109,'S1'!$1:$1500,2,False),0)</f>
        <v>85</v>
      </c>
      <c r="Q109" s="123">
        <f>vlookup(D109,'S2'!A105:B1307,2,0)</f>
        <v>61</v>
      </c>
      <c r="R109" s="123">
        <f>ifna(vlookup(D109,'S3'!$1:$1311,2,False),0)</f>
        <v>92</v>
      </c>
      <c r="S109" s="123"/>
      <c r="T109" s="125">
        <v>14.0</v>
      </c>
      <c r="U109" s="125">
        <v>23.0</v>
      </c>
      <c r="V109" s="125">
        <v>90.0</v>
      </c>
      <c r="W109" s="290">
        <v>72.0</v>
      </c>
      <c r="X109" s="291">
        <v>84.0</v>
      </c>
      <c r="Y109" s="125"/>
      <c r="Z109" s="292"/>
      <c r="AA109" s="293">
        <v>94.0</v>
      </c>
      <c r="AB109" s="294">
        <v>100.0</v>
      </c>
      <c r="AC109" s="295">
        <v>99.0</v>
      </c>
      <c r="AD109" s="302">
        <v>90.0</v>
      </c>
      <c r="AE109" s="297">
        <v>72.0</v>
      </c>
      <c r="AF109" s="298"/>
      <c r="AG109" s="298">
        <v>87.0</v>
      </c>
      <c r="AH109" s="298"/>
      <c r="AI109" s="299"/>
      <c r="AJ109" s="299"/>
      <c r="AK109" s="300">
        <f t="shared" si="1"/>
        <v>4</v>
      </c>
      <c r="AL109" s="300">
        <f t="shared" si="2"/>
        <v>3</v>
      </c>
      <c r="AM109" s="301">
        <f t="shared" si="3"/>
        <v>3</v>
      </c>
      <c r="AN109" s="300" t="str">
        <f t="shared" si="4"/>
        <v>3.5</v>
      </c>
      <c r="AO109" s="300">
        <f t="shared" si="5"/>
        <v>3</v>
      </c>
      <c r="AP109" s="88"/>
    </row>
    <row r="110">
      <c r="A110" s="284">
        <v>108.0</v>
      </c>
      <c r="B110" s="304" t="s">
        <v>1856</v>
      </c>
      <c r="C110" s="304" t="s">
        <v>2829</v>
      </c>
      <c r="D110" s="286" t="str">
        <f>VLOOKUP(B110,USN!$1:$1088,2,False)</f>
        <v>1CR23AD108</v>
      </c>
      <c r="E110" s="304">
        <v>9.63205669E9</v>
      </c>
      <c r="F110" s="287" t="s">
        <v>3715</v>
      </c>
      <c r="G110" s="288"/>
      <c r="H110" s="289">
        <v>82.0</v>
      </c>
      <c r="I110" s="120">
        <v>90.0</v>
      </c>
      <c r="J110" s="120">
        <f>VLOOKUP(D110,'L3'!$1:$2060,2,False)</f>
        <v>77</v>
      </c>
      <c r="K110" s="120">
        <f>VLOOKUP(D110,'L4'!$1:$2059,2,False)</f>
        <v>84</v>
      </c>
      <c r="L110" s="121">
        <f>VLOOKUP(D110,'A1 RETEST 5 DEC'!$1:$2096,2,False)</f>
        <v>64</v>
      </c>
      <c r="M110" s="122">
        <f>VLOOKUP(D110,'A2 RETEST 4 DEC'!$1:$2096,2,False)</f>
        <v>56</v>
      </c>
      <c r="N110" s="122">
        <v>54.0</v>
      </c>
      <c r="O110" s="121"/>
      <c r="P110" s="123">
        <f>IFNA(VLOOKUP(D110,'S1'!$1:$1500,2,False),0)</f>
        <v>85</v>
      </c>
      <c r="Q110" s="123">
        <f>vlookup(D110,'S2'!A106:B1308,2,0)</f>
        <v>61</v>
      </c>
      <c r="R110" s="123">
        <f>ifna(vlookup(D110,'S3'!$1:$1311,2,False),0)</f>
        <v>93</v>
      </c>
      <c r="S110" s="123"/>
      <c r="T110" s="125">
        <v>15.0</v>
      </c>
      <c r="U110" s="125">
        <v>18.0</v>
      </c>
      <c r="V110" s="125">
        <v>90.0</v>
      </c>
      <c r="W110" s="290">
        <v>72.0</v>
      </c>
      <c r="X110" s="291">
        <v>86.0</v>
      </c>
      <c r="Y110" s="125"/>
      <c r="Z110" s="292"/>
      <c r="AA110" s="293">
        <v>98.0</v>
      </c>
      <c r="AB110" s="294">
        <v>100.0</v>
      </c>
      <c r="AC110" s="295">
        <v>99.0</v>
      </c>
      <c r="AD110" s="302">
        <v>85.0</v>
      </c>
      <c r="AE110" s="297">
        <v>70.0</v>
      </c>
      <c r="AF110" s="298"/>
      <c r="AG110" s="298">
        <v>90.0</v>
      </c>
      <c r="AH110" s="298"/>
      <c r="AI110" s="299"/>
      <c r="AJ110" s="299"/>
      <c r="AK110" s="300">
        <f t="shared" si="1"/>
        <v>4</v>
      </c>
      <c r="AL110" s="300">
        <f t="shared" si="2"/>
        <v>3</v>
      </c>
      <c r="AM110" s="301">
        <f t="shared" si="3"/>
        <v>3</v>
      </c>
      <c r="AN110" s="300" t="str">
        <f t="shared" si="4"/>
        <v>3.5</v>
      </c>
      <c r="AO110" s="300">
        <f t="shared" si="5"/>
        <v>3</v>
      </c>
      <c r="AP110" s="88"/>
    </row>
    <row r="111">
      <c r="A111" s="284">
        <v>109.0</v>
      </c>
      <c r="B111" s="304" t="s">
        <v>1836</v>
      </c>
      <c r="C111" s="304" t="s">
        <v>2830</v>
      </c>
      <c r="D111" s="286" t="str">
        <f>VLOOKUP(B111,USN!$1:$1088,2,False)</f>
        <v>1CR23AD109</v>
      </c>
      <c r="E111" s="304">
        <v>6.366583999E9</v>
      </c>
      <c r="F111" s="287" t="s">
        <v>3715</v>
      </c>
      <c r="G111" s="288"/>
      <c r="H111" s="289">
        <v>82.0</v>
      </c>
      <c r="I111" s="120">
        <v>90.0</v>
      </c>
      <c r="J111" s="120">
        <f>VLOOKUP(D111,'L3'!$1:$2060,2,False)</f>
        <v>79</v>
      </c>
      <c r="K111" s="120">
        <f>VLOOKUP(D111,'L4'!$1:$2059,2,False)</f>
        <v>84</v>
      </c>
      <c r="L111" s="121">
        <f>VLOOKUP(D111,'A1 RETEST 5 DEC'!$1:$2096,2,False)</f>
        <v>50</v>
      </c>
      <c r="M111" s="122">
        <f>VLOOKUP(D111,'A2 RETEST 4 DEC'!$1:$2096,2,False)</f>
        <v>50</v>
      </c>
      <c r="N111" s="122">
        <v>36.0</v>
      </c>
      <c r="O111" s="121"/>
      <c r="P111" s="123">
        <f>IFNA(VLOOKUP(D111,'S1'!$1:$1500,2,False),0)</f>
        <v>73</v>
      </c>
      <c r="Q111" s="123">
        <f>vlookup(D111,'S2'!A107:B1309,2,0)</f>
        <v>62</v>
      </c>
      <c r="R111" s="123">
        <f>ifna(vlookup(D111,'S3'!$1:$1311,2,False),0)</f>
        <v>92</v>
      </c>
      <c r="S111" s="123"/>
      <c r="T111" s="125">
        <v>13.0</v>
      </c>
      <c r="U111" s="125">
        <v>20.0</v>
      </c>
      <c r="V111" s="125">
        <v>70.0</v>
      </c>
      <c r="W111" s="290">
        <v>88.0</v>
      </c>
      <c r="X111" s="291">
        <v>70.0</v>
      </c>
      <c r="Y111" s="125"/>
      <c r="Z111" s="292"/>
      <c r="AA111" s="293">
        <v>83.4</v>
      </c>
      <c r="AB111" s="294">
        <v>98.0</v>
      </c>
      <c r="AC111" s="295">
        <v>48.0</v>
      </c>
      <c r="AD111" s="296">
        <v>12.0</v>
      </c>
      <c r="AE111" s="297">
        <v>70.0</v>
      </c>
      <c r="AF111" s="298"/>
      <c r="AG111" s="298">
        <v>82.0</v>
      </c>
      <c r="AH111" s="298"/>
      <c r="AI111" s="299"/>
      <c r="AJ111" s="299"/>
      <c r="AK111" s="300">
        <f t="shared" si="1"/>
        <v>4</v>
      </c>
      <c r="AL111" s="300">
        <f t="shared" si="2"/>
        <v>2</v>
      </c>
      <c r="AM111" s="301">
        <f t="shared" si="3"/>
        <v>3</v>
      </c>
      <c r="AN111" s="300" t="str">
        <f t="shared" si="4"/>
        <v>2</v>
      </c>
      <c r="AO111" s="300">
        <f t="shared" si="5"/>
        <v>3</v>
      </c>
      <c r="AP111" s="88"/>
    </row>
    <row r="112">
      <c r="A112" s="284">
        <v>110.0</v>
      </c>
      <c r="B112" s="285" t="s">
        <v>1809</v>
      </c>
      <c r="C112" s="285" t="s">
        <v>2831</v>
      </c>
      <c r="D112" s="286" t="str">
        <f>VLOOKUP(B112,USN!$1:$1088,2,False)</f>
        <v>1CR23AD110</v>
      </c>
      <c r="E112" s="285">
        <v>9.861935559E9</v>
      </c>
      <c r="F112" s="287" t="s">
        <v>3715</v>
      </c>
      <c r="G112" s="288"/>
      <c r="H112" s="289">
        <v>70.0</v>
      </c>
      <c r="I112" s="120">
        <v>90.0</v>
      </c>
      <c r="J112" s="120">
        <f>VLOOKUP(D112,'L3'!$1:$2060,2,False)</f>
        <v>69</v>
      </c>
      <c r="K112" s="120">
        <f>VLOOKUP(D112,'L4'!$1:$2059,2,False)</f>
        <v>21</v>
      </c>
      <c r="L112" s="121">
        <f>VLOOKUP(D112,'A1 RETEST 5 DEC'!$1:$2096,2,False)</f>
        <v>19</v>
      </c>
      <c r="M112" s="122">
        <f>VLOOKUP(D112,'A2 RETEST 4 DEC'!$1:$2096,2,False)</f>
        <v>0</v>
      </c>
      <c r="N112" s="122">
        <v>0.0</v>
      </c>
      <c r="O112" s="121"/>
      <c r="P112" s="123">
        <f>IFNA(VLOOKUP(D112,'S1'!$1:$1500,2,False),0)</f>
        <v>85</v>
      </c>
      <c r="Q112" s="123">
        <f>vlookup(D112,'S2'!A108:B1310,2,0)</f>
        <v>0</v>
      </c>
      <c r="R112" s="123">
        <f>ifna(vlookup(D112,'S3'!$1:$1311,2,False),0)</f>
        <v>0</v>
      </c>
      <c r="S112" s="123"/>
      <c r="T112" s="125">
        <v>19.0</v>
      </c>
      <c r="U112" s="125">
        <v>22.0</v>
      </c>
      <c r="V112" s="125">
        <v>90.0</v>
      </c>
      <c r="W112" s="311"/>
      <c r="X112" s="303" t="s">
        <v>3717</v>
      </c>
      <c r="Y112" s="125"/>
      <c r="Z112" s="292"/>
      <c r="AA112" s="293">
        <v>0.0</v>
      </c>
      <c r="AB112" s="294">
        <v>58.0</v>
      </c>
      <c r="AC112" s="295">
        <v>0.0</v>
      </c>
      <c r="AD112" s="296">
        <v>0.0</v>
      </c>
      <c r="AE112" s="297">
        <v>10.0</v>
      </c>
      <c r="AF112" s="298"/>
      <c r="AG112" s="298">
        <v>0.0</v>
      </c>
      <c r="AH112" s="298"/>
      <c r="AI112" s="299"/>
      <c r="AJ112" s="299"/>
      <c r="AK112" s="300">
        <f t="shared" si="1"/>
        <v>2</v>
      </c>
      <c r="AL112" s="300">
        <f t="shared" si="2"/>
        <v>0</v>
      </c>
      <c r="AM112" s="301">
        <f t="shared" si="3"/>
        <v>2</v>
      </c>
      <c r="AN112" s="300" t="str">
        <f t="shared" si="4"/>
        <v>2</v>
      </c>
      <c r="AO112" s="300">
        <f t="shared" si="5"/>
        <v>1</v>
      </c>
      <c r="AP112" s="88"/>
    </row>
    <row r="113">
      <c r="A113" s="284">
        <v>111.0</v>
      </c>
      <c r="B113" s="304" t="s">
        <v>1857</v>
      </c>
      <c r="C113" s="304" t="s">
        <v>2832</v>
      </c>
      <c r="D113" s="286" t="str">
        <f>VLOOKUP(B113,USN!$1:$1088,2,False)</f>
        <v>1CR23AD111</v>
      </c>
      <c r="E113" s="304">
        <v>8.152024486E9</v>
      </c>
      <c r="F113" s="287" t="s">
        <v>3715</v>
      </c>
      <c r="G113" s="288"/>
      <c r="H113" s="289">
        <v>81.0</v>
      </c>
      <c r="I113" s="120">
        <v>87.0</v>
      </c>
      <c r="J113" s="120">
        <f>VLOOKUP(D113,'L3'!$1:$2060,2,False)</f>
        <v>72</v>
      </c>
      <c r="K113" s="120">
        <f>VLOOKUP(D113,'L4'!$1:$2059,2,False)</f>
        <v>71</v>
      </c>
      <c r="L113" s="121">
        <f>VLOOKUP(D113,'A1 RETEST 5 DEC'!$1:$2096,2,False)</f>
        <v>55</v>
      </c>
      <c r="M113" s="122">
        <f>VLOOKUP(D113,'A2 RETEST 4 DEC'!$1:$2096,2,False)</f>
        <v>52</v>
      </c>
      <c r="N113" s="122">
        <v>50.0</v>
      </c>
      <c r="O113" s="121"/>
      <c r="P113" s="123">
        <f>IFNA(VLOOKUP(D113,'S1'!$1:$1500,2,False),0)</f>
        <v>73</v>
      </c>
      <c r="Q113" s="123">
        <f>vlookup(D113,'S2'!A109:B1311,2,0)</f>
        <v>50</v>
      </c>
      <c r="R113" s="123">
        <f>ifna(vlookup(D113,'S3'!$1:$1311,2,False),0)</f>
        <v>79</v>
      </c>
      <c r="S113" s="123"/>
      <c r="T113" s="125">
        <v>14.0</v>
      </c>
      <c r="U113" s="125">
        <v>24.0</v>
      </c>
      <c r="V113" s="125">
        <v>82.0</v>
      </c>
      <c r="W113" s="290">
        <v>80.0</v>
      </c>
      <c r="X113" s="291">
        <v>70.0</v>
      </c>
      <c r="Y113" s="125"/>
      <c r="Z113" s="292"/>
      <c r="AA113" s="293">
        <v>10.0</v>
      </c>
      <c r="AB113" s="294">
        <v>100.0</v>
      </c>
      <c r="AC113" s="295">
        <v>82.0</v>
      </c>
      <c r="AD113" s="302">
        <v>100.0</v>
      </c>
      <c r="AE113" s="297">
        <v>70.0</v>
      </c>
      <c r="AF113" s="298"/>
      <c r="AG113" s="298">
        <v>76.0</v>
      </c>
      <c r="AH113" s="298"/>
      <c r="AI113" s="299"/>
      <c r="AJ113" s="299"/>
      <c r="AK113" s="300">
        <f t="shared" si="1"/>
        <v>4</v>
      </c>
      <c r="AL113" s="300">
        <f t="shared" si="2"/>
        <v>3</v>
      </c>
      <c r="AM113" s="301">
        <f t="shared" si="3"/>
        <v>3</v>
      </c>
      <c r="AN113" s="300" t="str">
        <f t="shared" si="4"/>
        <v>3.5</v>
      </c>
      <c r="AO113" s="300">
        <f t="shared" si="5"/>
        <v>3</v>
      </c>
      <c r="AP113" s="88"/>
    </row>
    <row r="114">
      <c r="A114" s="284">
        <v>112.0</v>
      </c>
      <c r="B114" s="304" t="s">
        <v>1837</v>
      </c>
      <c r="C114" s="304" t="s">
        <v>2833</v>
      </c>
      <c r="D114" s="286" t="str">
        <f>VLOOKUP(B114,USN!$1:$1088,2,False)</f>
        <v>1CR23AD112</v>
      </c>
      <c r="E114" s="304">
        <v>6.001647102E9</v>
      </c>
      <c r="F114" s="287" t="s">
        <v>3715</v>
      </c>
      <c r="G114" s="288"/>
      <c r="H114" s="289">
        <v>84.0</v>
      </c>
      <c r="I114" s="120">
        <v>90.0</v>
      </c>
      <c r="J114" s="120">
        <f>VLOOKUP(D114,'L3'!$1:$2060,2,False)</f>
        <v>75</v>
      </c>
      <c r="K114" s="120">
        <f>VLOOKUP(D114,'L4'!$1:$2059,2,False)</f>
        <v>70</v>
      </c>
      <c r="L114" s="121">
        <f>VLOOKUP(D114,'A1 RETEST 5 DEC'!$1:$2096,2,False)</f>
        <v>58</v>
      </c>
      <c r="M114" s="122">
        <f>VLOOKUP(D114,'A2 RETEST 4 DEC'!$1:$2096,2,False)</f>
        <v>55</v>
      </c>
      <c r="N114" s="122">
        <v>50.0</v>
      </c>
      <c r="O114" s="121"/>
      <c r="P114" s="123">
        <f>IFNA(VLOOKUP(D114,'S1'!$1:$1500,2,False),0)</f>
        <v>80</v>
      </c>
      <c r="Q114" s="123">
        <f>vlookup(D114,'S2'!A110:B1312,2,0)</f>
        <v>89</v>
      </c>
      <c r="R114" s="123">
        <f>ifna(vlookup(D114,'S3'!$1:$1311,2,False),0)</f>
        <v>90</v>
      </c>
      <c r="S114" s="123"/>
      <c r="T114" s="125">
        <v>10.0</v>
      </c>
      <c r="U114" s="125">
        <v>24.0</v>
      </c>
      <c r="V114" s="125">
        <v>72.0</v>
      </c>
      <c r="W114" s="290">
        <v>74.0</v>
      </c>
      <c r="X114" s="291">
        <v>84.0</v>
      </c>
      <c r="Y114" s="125"/>
      <c r="Z114" s="292"/>
      <c r="AA114" s="293">
        <v>72.2</v>
      </c>
      <c r="AB114" s="294">
        <v>98.0</v>
      </c>
      <c r="AC114" s="295">
        <v>93.0</v>
      </c>
      <c r="AD114" s="302">
        <v>80.0</v>
      </c>
      <c r="AE114" s="297">
        <v>98.0</v>
      </c>
      <c r="AF114" s="298"/>
      <c r="AG114" s="298">
        <v>70.0</v>
      </c>
      <c r="AH114" s="298"/>
      <c r="AI114" s="299"/>
      <c r="AJ114" s="299"/>
      <c r="AK114" s="300">
        <f t="shared" si="1"/>
        <v>4</v>
      </c>
      <c r="AL114" s="300">
        <f t="shared" si="2"/>
        <v>3</v>
      </c>
      <c r="AM114" s="301">
        <f t="shared" si="3"/>
        <v>3</v>
      </c>
      <c r="AN114" s="300" t="str">
        <f t="shared" si="4"/>
        <v>3.5</v>
      </c>
      <c r="AO114" s="300">
        <f t="shared" si="5"/>
        <v>3</v>
      </c>
      <c r="AP114" s="88"/>
    </row>
    <row r="115">
      <c r="A115" s="284">
        <v>113.0</v>
      </c>
      <c r="B115" s="316" t="s">
        <v>1821</v>
      </c>
      <c r="C115" s="285" t="s">
        <v>2834</v>
      </c>
      <c r="D115" s="286" t="str">
        <f>VLOOKUP(B115,USN!$1:$1088,2,False)</f>
        <v>1CR23AD113</v>
      </c>
      <c r="E115" s="285" t="s">
        <v>3733</v>
      </c>
      <c r="F115" s="287" t="s">
        <v>3715</v>
      </c>
      <c r="G115" s="288"/>
      <c r="H115" s="314">
        <v>74.0</v>
      </c>
      <c r="I115" s="305">
        <v>77.0</v>
      </c>
      <c r="J115" s="305">
        <f>VLOOKUP(D115,'L3'!$1:$2060,2,False)</f>
        <v>47</v>
      </c>
      <c r="K115" s="120">
        <f>VLOOKUP(D115,'L4'!$1:$2059,2,False)</f>
        <v>49</v>
      </c>
      <c r="L115" s="121">
        <f>VLOOKUP(D115,'A1 RETEST 5 DEC'!$1:$2096,2,False)</f>
        <v>17</v>
      </c>
      <c r="M115" s="122">
        <f>VLOOKUP(D115,'A2 RETEST 4 DEC'!$1:$2096,2,False)</f>
        <v>4</v>
      </c>
      <c r="N115" s="122">
        <v>0.0</v>
      </c>
      <c r="O115" s="306"/>
      <c r="P115" s="123">
        <f>IFNA(VLOOKUP(D115,'S1'!$1:$1500,2,False),0)</f>
        <v>0</v>
      </c>
      <c r="Q115" s="123">
        <f>vlookup(D115,'S2'!A111:B1313,2,0)</f>
        <v>0</v>
      </c>
      <c r="R115" s="123">
        <f>ifna(vlookup(D115,'S3'!$1:$1311,2,False),0)</f>
        <v>0</v>
      </c>
      <c r="S115" s="306"/>
      <c r="T115" s="125">
        <v>17.0</v>
      </c>
      <c r="U115" s="306">
        <v>22.0</v>
      </c>
      <c r="V115" s="125">
        <v>86.0</v>
      </c>
      <c r="W115" s="290" t="s">
        <v>3716</v>
      </c>
      <c r="X115" s="303" t="s">
        <v>3717</v>
      </c>
      <c r="Y115" s="306"/>
      <c r="Z115" s="307"/>
      <c r="AA115" s="317"/>
      <c r="AB115" s="318">
        <v>45.0</v>
      </c>
      <c r="AC115" s="295">
        <v>0.0</v>
      </c>
      <c r="AD115" s="296">
        <v>0.0</v>
      </c>
      <c r="AE115" s="297">
        <v>10.0</v>
      </c>
      <c r="AF115" s="298"/>
      <c r="AG115" s="298">
        <v>0.0</v>
      </c>
      <c r="AH115" s="298"/>
      <c r="AI115" s="299"/>
      <c r="AJ115" s="299"/>
      <c r="AK115" s="300">
        <f t="shared" si="1"/>
        <v>2</v>
      </c>
      <c r="AL115" s="300">
        <f t="shared" si="2"/>
        <v>0</v>
      </c>
      <c r="AM115" s="301">
        <f t="shared" si="3"/>
        <v>3</v>
      </c>
      <c r="AN115" s="300" t="str">
        <f t="shared" si="4"/>
        <v>0</v>
      </c>
      <c r="AO115" s="300">
        <f t="shared" si="5"/>
        <v>0</v>
      </c>
      <c r="AP115" s="88"/>
    </row>
    <row r="116">
      <c r="A116" s="284">
        <v>114.0</v>
      </c>
      <c r="B116" s="304" t="s">
        <v>1838</v>
      </c>
      <c r="C116" s="304" t="s">
        <v>2835</v>
      </c>
      <c r="D116" s="286" t="str">
        <f>VLOOKUP(B116,USN!$1:$1088,2,False)</f>
        <v>1CR23AD114</v>
      </c>
      <c r="E116" s="304">
        <v>7.975049173E9</v>
      </c>
      <c r="F116" s="287" t="s">
        <v>3715</v>
      </c>
      <c r="G116" s="288"/>
      <c r="H116" s="289">
        <v>71.0</v>
      </c>
      <c r="I116" s="120">
        <v>90.0</v>
      </c>
      <c r="J116" s="120">
        <f>VLOOKUP(D116,'L3'!$1:$2060,2,False)</f>
        <v>76</v>
      </c>
      <c r="K116" s="120">
        <f>VLOOKUP(D116,'L4'!$1:$2059,2,False)</f>
        <v>71</v>
      </c>
      <c r="L116" s="121">
        <f>VLOOKUP(D116,'A1 RETEST 5 DEC'!$1:$2096,2,False)</f>
        <v>53</v>
      </c>
      <c r="M116" s="122">
        <f>VLOOKUP(D116,'A2 RETEST 4 DEC'!$1:$2096,2,False)</f>
        <v>50</v>
      </c>
      <c r="N116" s="122">
        <v>50.0</v>
      </c>
      <c r="O116" s="121"/>
      <c r="P116" s="123">
        <f>IFNA(VLOOKUP(D116,'S1'!$1:$1500,2,False),0)</f>
        <v>75</v>
      </c>
      <c r="Q116" s="123">
        <f>vlookup(D116,'S2'!A112:B1314,2,0)</f>
        <v>50</v>
      </c>
      <c r="R116" s="123">
        <f>ifna(vlookup(D116,'S3'!$1:$1311,2,False),0)</f>
        <v>98</v>
      </c>
      <c r="S116" s="123"/>
      <c r="T116" s="125">
        <v>16.0</v>
      </c>
      <c r="U116" s="125">
        <v>24.0</v>
      </c>
      <c r="V116" s="125">
        <v>66.0</v>
      </c>
      <c r="W116" s="290">
        <v>66.0</v>
      </c>
      <c r="X116" s="291">
        <v>82.0</v>
      </c>
      <c r="Y116" s="125"/>
      <c r="Z116" s="292"/>
      <c r="AA116" s="293">
        <v>67.2</v>
      </c>
      <c r="AB116" s="294">
        <v>95.0</v>
      </c>
      <c r="AC116" s="295">
        <v>94.0</v>
      </c>
      <c r="AD116" s="302">
        <v>60.0</v>
      </c>
      <c r="AE116" s="297">
        <v>77.0</v>
      </c>
      <c r="AF116" s="298"/>
      <c r="AG116" s="298">
        <v>55.0</v>
      </c>
      <c r="AH116" s="298"/>
      <c r="AI116" s="299"/>
      <c r="AJ116" s="299"/>
      <c r="AK116" s="300">
        <f t="shared" si="1"/>
        <v>4</v>
      </c>
      <c r="AL116" s="300">
        <f t="shared" si="2"/>
        <v>3</v>
      </c>
      <c r="AM116" s="301">
        <f t="shared" si="3"/>
        <v>3</v>
      </c>
      <c r="AN116" s="300" t="str">
        <f t="shared" si="4"/>
        <v>3.5</v>
      </c>
      <c r="AO116" s="300">
        <f t="shared" si="5"/>
        <v>3</v>
      </c>
      <c r="AP116" s="88"/>
    </row>
    <row r="117">
      <c r="A117" s="284">
        <v>115.0</v>
      </c>
      <c r="B117" s="285" t="s">
        <v>16</v>
      </c>
      <c r="C117" s="285" t="s">
        <v>2836</v>
      </c>
      <c r="D117" s="286" t="str">
        <f>VLOOKUP(B117,USN!$1:$1088,2,False)</f>
        <v>1CR23AD115</v>
      </c>
      <c r="E117" s="285">
        <v>7.739867976E9</v>
      </c>
      <c r="F117" s="287" t="s">
        <v>3715</v>
      </c>
      <c r="G117" s="288"/>
      <c r="H117" s="120">
        <v>96.0</v>
      </c>
      <c r="I117" s="120">
        <v>84.0</v>
      </c>
      <c r="J117" s="120">
        <f>VLOOKUP(D117,'L3'!$1:$2060,2,False)</f>
        <v>28</v>
      </c>
      <c r="K117" s="120">
        <f>VLOOKUP(D117,'L4'!$1:$2059,2,False)</f>
        <v>70</v>
      </c>
      <c r="L117" s="121">
        <f>VLOOKUP(D117,'A1 RETEST 5 DEC'!$1:$2096,2,False)</f>
        <v>50</v>
      </c>
      <c r="M117" s="122">
        <f>VLOOKUP(D117,'A2 RETEST 4 DEC'!$1:$2096,2,False)</f>
        <v>11</v>
      </c>
      <c r="N117" s="122">
        <v>6.0</v>
      </c>
      <c r="O117" s="121"/>
      <c r="P117" s="123">
        <f>IFNA(VLOOKUP(D117,'S1'!$1:$1500,2,False),0)</f>
        <v>50</v>
      </c>
      <c r="Q117" s="123">
        <f>vlookup(D117,'S2'!A113:B1315,2,0)</f>
        <v>50</v>
      </c>
      <c r="R117" s="123">
        <f>ifna(vlookup(D117,'S3'!$1:$1311,2,False),0)</f>
        <v>50</v>
      </c>
      <c r="S117" s="123"/>
      <c r="T117" s="125">
        <v>10.0</v>
      </c>
      <c r="U117" s="125">
        <v>24.0</v>
      </c>
      <c r="V117" s="125">
        <v>80.0</v>
      </c>
      <c r="W117" s="290">
        <v>78.0</v>
      </c>
      <c r="X117" s="291">
        <v>82.0</v>
      </c>
      <c r="Y117" s="125"/>
      <c r="Z117" s="292"/>
      <c r="AA117" s="293">
        <v>0.0</v>
      </c>
      <c r="AB117" s="318">
        <v>65.0</v>
      </c>
      <c r="AC117" s="295">
        <v>70.0</v>
      </c>
      <c r="AD117" s="302">
        <v>100.0</v>
      </c>
      <c r="AE117" s="297">
        <v>40.0</v>
      </c>
      <c r="AF117" s="298"/>
      <c r="AG117" s="298">
        <v>72.0</v>
      </c>
      <c r="AH117" s="298"/>
      <c r="AI117" s="299"/>
      <c r="AJ117" s="299"/>
      <c r="AK117" s="300">
        <f t="shared" si="1"/>
        <v>2</v>
      </c>
      <c r="AL117" s="300">
        <f t="shared" si="2"/>
        <v>1</v>
      </c>
      <c r="AM117" s="301">
        <f t="shared" si="3"/>
        <v>3</v>
      </c>
      <c r="AN117" s="300" t="str">
        <f t="shared" si="4"/>
        <v>3</v>
      </c>
      <c r="AO117" s="300">
        <f t="shared" si="5"/>
        <v>3</v>
      </c>
      <c r="AP117" s="88"/>
    </row>
    <row r="118">
      <c r="A118" s="284">
        <v>116.0</v>
      </c>
      <c r="B118" s="304" t="s">
        <v>1839</v>
      </c>
      <c r="C118" s="304" t="s">
        <v>2837</v>
      </c>
      <c r="D118" s="286" t="str">
        <f>VLOOKUP(B118,USN!$1:$1088,2,False)</f>
        <v>1CR23AD116</v>
      </c>
      <c r="E118" s="304">
        <v>9.317286321E9</v>
      </c>
      <c r="F118" s="287" t="s">
        <v>3715</v>
      </c>
      <c r="G118" s="288"/>
      <c r="H118" s="289">
        <v>74.0</v>
      </c>
      <c r="I118" s="120">
        <v>87.0</v>
      </c>
      <c r="J118" s="120">
        <f>VLOOKUP(D118,'L3'!$1:$2060,2,False)</f>
        <v>70</v>
      </c>
      <c r="K118" s="120">
        <f>VLOOKUP(D118,'L4'!$1:$2059,2,False)</f>
        <v>47</v>
      </c>
      <c r="L118" s="121">
        <f>VLOOKUP(D118,'A1 RETEST 5 DEC'!$1:$2096,2,False)</f>
        <v>50</v>
      </c>
      <c r="M118" s="122">
        <f>VLOOKUP(D118,'A2 RETEST 4 DEC'!$1:$2096,2,False)</f>
        <v>37</v>
      </c>
      <c r="N118" s="122">
        <v>0.0</v>
      </c>
      <c r="O118" s="121"/>
      <c r="P118" s="123">
        <f>IFNA(VLOOKUP(D118,'S1'!$1:$1500,2,False),0)</f>
        <v>86</v>
      </c>
      <c r="Q118" s="123">
        <f>vlookup(D118,'S2'!A114:B1316,2,0)</f>
        <v>0</v>
      </c>
      <c r="R118" s="123">
        <f>ifna(vlookup(D118,'S3'!$1:$1311,2,False),0)</f>
        <v>0</v>
      </c>
      <c r="S118" s="123"/>
      <c r="T118" s="125">
        <v>17.0</v>
      </c>
      <c r="U118" s="125">
        <v>19.0</v>
      </c>
      <c r="V118" s="125">
        <v>82.0</v>
      </c>
      <c r="W118" s="290" t="s">
        <v>3716</v>
      </c>
      <c r="X118" s="291">
        <v>86.0</v>
      </c>
      <c r="Y118" s="125"/>
      <c r="Z118" s="292"/>
      <c r="AA118" s="293">
        <v>73.8</v>
      </c>
      <c r="AB118" s="294">
        <v>75.0</v>
      </c>
      <c r="AC118" s="295">
        <v>93.0</v>
      </c>
      <c r="AD118" s="296">
        <v>34.0</v>
      </c>
      <c r="AE118" s="297">
        <v>10.0</v>
      </c>
      <c r="AF118" s="298"/>
      <c r="AG118" s="298">
        <v>0.0</v>
      </c>
      <c r="AH118" s="298"/>
      <c r="AI118" s="299"/>
      <c r="AJ118" s="299"/>
      <c r="AK118" s="300">
        <f t="shared" si="1"/>
        <v>3</v>
      </c>
      <c r="AL118" s="300">
        <f t="shared" si="2"/>
        <v>1</v>
      </c>
      <c r="AM118" s="301">
        <f t="shared" si="3"/>
        <v>3</v>
      </c>
      <c r="AN118" s="300" t="str">
        <f t="shared" si="4"/>
        <v>3</v>
      </c>
      <c r="AO118" s="300">
        <f t="shared" si="5"/>
        <v>1</v>
      </c>
      <c r="AP118" s="88"/>
    </row>
    <row r="119">
      <c r="A119" s="284">
        <v>117.0</v>
      </c>
      <c r="B119" s="304" t="s">
        <v>1840</v>
      </c>
      <c r="C119" s="304" t="s">
        <v>2838</v>
      </c>
      <c r="D119" s="286" t="str">
        <f>VLOOKUP(B119,USN!$1:$1088,2,False)</f>
        <v>1CR23AD117</v>
      </c>
      <c r="E119" s="304">
        <v>9.611274703E9</v>
      </c>
      <c r="F119" s="287" t="s">
        <v>3715</v>
      </c>
      <c r="G119" s="288"/>
      <c r="H119" s="289">
        <v>82.0</v>
      </c>
      <c r="I119" s="120">
        <v>92.0</v>
      </c>
      <c r="J119" s="120">
        <f>VLOOKUP(D119,'L3'!$1:$2060,2,False)</f>
        <v>79</v>
      </c>
      <c r="K119" s="120">
        <f>VLOOKUP(D119,'L4'!$1:$2059,2,False)</f>
        <v>83</v>
      </c>
      <c r="L119" s="121">
        <f>VLOOKUP(D119,'A1 RETEST 5 DEC'!$1:$2096,2,False)</f>
        <v>50</v>
      </c>
      <c r="M119" s="122">
        <f>VLOOKUP(D119,'A2 RETEST 4 DEC'!$1:$2096,2,False)</f>
        <v>61</v>
      </c>
      <c r="N119" s="122">
        <v>52.0</v>
      </c>
      <c r="O119" s="121"/>
      <c r="P119" s="123">
        <f>IFNA(VLOOKUP(D119,'S1'!$1:$1500,2,False),0)</f>
        <v>73</v>
      </c>
      <c r="Q119" s="123">
        <f>vlookup(D119,'S2'!A115:B1317,2,0)</f>
        <v>73</v>
      </c>
      <c r="R119" s="123">
        <f>ifna(vlookup(D119,'S3'!$1:$1311,2,False),0)</f>
        <v>94</v>
      </c>
      <c r="S119" s="123"/>
      <c r="T119" s="125">
        <v>16.0</v>
      </c>
      <c r="U119" s="125">
        <v>22.0</v>
      </c>
      <c r="V119" s="125">
        <v>90.0</v>
      </c>
      <c r="W119" s="290">
        <v>78.0</v>
      </c>
      <c r="X119" s="291">
        <v>80.0</v>
      </c>
      <c r="Y119" s="125"/>
      <c r="Z119" s="292"/>
      <c r="AA119" s="293">
        <v>96.2</v>
      </c>
      <c r="AB119" s="294">
        <v>100.0</v>
      </c>
      <c r="AC119" s="295">
        <v>89.0</v>
      </c>
      <c r="AD119" s="302">
        <v>75.0</v>
      </c>
      <c r="AE119" s="297">
        <v>70.0</v>
      </c>
      <c r="AF119" s="298"/>
      <c r="AG119" s="298">
        <v>86.0</v>
      </c>
      <c r="AH119" s="298"/>
      <c r="AI119" s="299"/>
      <c r="AJ119" s="299"/>
      <c r="AK119" s="300">
        <f t="shared" si="1"/>
        <v>4</v>
      </c>
      <c r="AL119" s="300">
        <f t="shared" si="2"/>
        <v>3</v>
      </c>
      <c r="AM119" s="301">
        <f t="shared" si="3"/>
        <v>3</v>
      </c>
      <c r="AN119" s="300" t="str">
        <f t="shared" si="4"/>
        <v>3.5</v>
      </c>
      <c r="AO119" s="300">
        <f t="shared" si="5"/>
        <v>3</v>
      </c>
      <c r="AP119" s="88"/>
    </row>
    <row r="120">
      <c r="A120" s="284">
        <v>118.0</v>
      </c>
      <c r="B120" s="304" t="s">
        <v>1841</v>
      </c>
      <c r="C120" s="304" t="s">
        <v>2839</v>
      </c>
      <c r="D120" s="286" t="str">
        <f>VLOOKUP(B120,USN!$1:$1088,2,False)</f>
        <v>1CR23AD118</v>
      </c>
      <c r="E120" s="304">
        <v>6.203825753E9</v>
      </c>
      <c r="F120" s="287" t="s">
        <v>3715</v>
      </c>
      <c r="G120" s="288"/>
      <c r="H120" s="289">
        <v>87.0</v>
      </c>
      <c r="I120" s="120">
        <v>85.0</v>
      </c>
      <c r="J120" s="120">
        <f>VLOOKUP(D120,'L3'!$1:$2060,2,False)</f>
        <v>88</v>
      </c>
      <c r="K120" s="120">
        <f>VLOOKUP(D120,'L4'!$1:$2059,2,False)</f>
        <v>77</v>
      </c>
      <c r="L120" s="121">
        <f>VLOOKUP(D120,'A1 RETEST 5 DEC'!$1:$2096,2,False)</f>
        <v>68</v>
      </c>
      <c r="M120" s="122">
        <f>VLOOKUP(D120,'A2 RETEST 4 DEC'!$1:$2096,2,False)</f>
        <v>65</v>
      </c>
      <c r="N120" s="122">
        <v>50.0</v>
      </c>
      <c r="O120" s="121"/>
      <c r="P120" s="123">
        <f>IFNA(VLOOKUP(D120,'S1'!$1:$1500,2,False),0)</f>
        <v>73</v>
      </c>
      <c r="Q120" s="123">
        <f>vlookup(D120,'S2'!A116:B1318,2,0)</f>
        <v>89</v>
      </c>
      <c r="R120" s="123">
        <f>ifna(vlookup(D120,'S3'!$1:$1311,2,False),0)</f>
        <v>92</v>
      </c>
      <c r="S120" s="123"/>
      <c r="T120" s="125">
        <v>15.0</v>
      </c>
      <c r="U120" s="125">
        <v>23.0</v>
      </c>
      <c r="V120" s="125">
        <v>92.0</v>
      </c>
      <c r="W120" s="290">
        <v>80.0</v>
      </c>
      <c r="X120" s="291">
        <v>84.0</v>
      </c>
      <c r="Y120" s="125"/>
      <c r="Z120" s="292"/>
      <c r="AA120" s="293">
        <v>94.0</v>
      </c>
      <c r="AB120" s="294">
        <v>100.0</v>
      </c>
      <c r="AC120" s="295">
        <v>93.0</v>
      </c>
      <c r="AD120" s="302">
        <v>80.0</v>
      </c>
      <c r="AE120" s="297">
        <v>97.0</v>
      </c>
      <c r="AF120" s="298"/>
      <c r="AG120" s="298">
        <v>84.0</v>
      </c>
      <c r="AH120" s="298"/>
      <c r="AI120" s="299"/>
      <c r="AJ120" s="299"/>
      <c r="AK120" s="300">
        <f t="shared" si="1"/>
        <v>4</v>
      </c>
      <c r="AL120" s="300">
        <f t="shared" si="2"/>
        <v>3</v>
      </c>
      <c r="AM120" s="301">
        <f t="shared" si="3"/>
        <v>3</v>
      </c>
      <c r="AN120" s="300" t="str">
        <f t="shared" si="4"/>
        <v>3.5</v>
      </c>
      <c r="AO120" s="300">
        <f t="shared" si="5"/>
        <v>3</v>
      </c>
      <c r="AP120" s="88"/>
    </row>
    <row r="121">
      <c r="A121" s="284">
        <v>119.0</v>
      </c>
      <c r="B121" s="304" t="s">
        <v>79</v>
      </c>
      <c r="C121" s="304" t="s">
        <v>2840</v>
      </c>
      <c r="D121" s="286" t="str">
        <f>VLOOKUP(B121,USN!$1:$1088,2,False)</f>
        <v>1CR23AD119</v>
      </c>
      <c r="E121" s="304">
        <v>7.892619769E9</v>
      </c>
      <c r="F121" s="287" t="s">
        <v>3715</v>
      </c>
      <c r="G121" s="288"/>
      <c r="H121" s="120">
        <v>65.0</v>
      </c>
      <c r="I121" s="120">
        <v>74.0</v>
      </c>
      <c r="J121" s="120">
        <f>VLOOKUP(D121,'L3'!$1:$2060,2,False)</f>
        <v>57</v>
      </c>
      <c r="K121" s="120">
        <f>VLOOKUP(D121,'L4'!$1:$2059,2,False)</f>
        <v>70</v>
      </c>
      <c r="L121" s="121">
        <f>VLOOKUP(D121,'A1 RETEST 5 DEC'!$1:$2096,2,False)</f>
        <v>50</v>
      </c>
      <c r="M121" s="122">
        <f>VLOOKUP(D121,'A2 RETEST 4 DEC'!$1:$2096,2,False)</f>
        <v>12</v>
      </c>
      <c r="N121" s="122">
        <v>-1.0</v>
      </c>
      <c r="O121" s="121"/>
      <c r="P121" s="123">
        <f>IFNA(VLOOKUP(D121,'S1'!$1:$1500,2,False),0)</f>
        <v>80</v>
      </c>
      <c r="Q121" s="123">
        <f>vlookup(D121,'S2'!A117:B1319,2,0)</f>
        <v>64</v>
      </c>
      <c r="R121" s="123">
        <f>ifna(vlookup(D121,'S3'!$1:$1311,2,False),0)</f>
        <v>0</v>
      </c>
      <c r="S121" s="123"/>
      <c r="T121" s="125">
        <v>21.0</v>
      </c>
      <c r="U121" s="125">
        <v>25.0</v>
      </c>
      <c r="V121" s="125">
        <v>88.0</v>
      </c>
      <c r="W121" s="290">
        <v>78.0</v>
      </c>
      <c r="X121" s="291">
        <v>82.0</v>
      </c>
      <c r="Y121" s="125"/>
      <c r="Z121" s="292"/>
      <c r="AA121" s="293">
        <v>0.0</v>
      </c>
      <c r="AB121" s="294">
        <v>59.0</v>
      </c>
      <c r="AC121" s="295">
        <v>70.0</v>
      </c>
      <c r="AD121" s="296">
        <v>1.0</v>
      </c>
      <c r="AE121" s="297">
        <v>40.0</v>
      </c>
      <c r="AF121" s="298"/>
      <c r="AG121" s="298">
        <v>20.0</v>
      </c>
      <c r="AH121" s="298"/>
      <c r="AI121" s="299"/>
      <c r="AJ121" s="299"/>
      <c r="AK121" s="300">
        <f t="shared" si="1"/>
        <v>2</v>
      </c>
      <c r="AL121" s="300">
        <f t="shared" si="2"/>
        <v>1</v>
      </c>
      <c r="AM121" s="301">
        <f t="shared" si="3"/>
        <v>3</v>
      </c>
      <c r="AN121" s="300" t="str">
        <f t="shared" si="4"/>
        <v>3</v>
      </c>
      <c r="AO121" s="300">
        <f t="shared" si="5"/>
        <v>2</v>
      </c>
      <c r="AP121" s="88"/>
    </row>
    <row r="122">
      <c r="A122" s="284">
        <v>120.0</v>
      </c>
      <c r="B122" s="304" t="s">
        <v>1876</v>
      </c>
      <c r="C122" s="304" t="s">
        <v>2841</v>
      </c>
      <c r="D122" s="286" t="str">
        <f>VLOOKUP(B122,USN!$1:$1088,2,False)</f>
        <v>1CR23AD120</v>
      </c>
      <c r="E122" s="304">
        <v>9.844090706E9</v>
      </c>
      <c r="F122" s="287" t="s">
        <v>3715</v>
      </c>
      <c r="G122" s="288"/>
      <c r="H122" s="120">
        <v>70.0</v>
      </c>
      <c r="I122" s="120">
        <v>71.0</v>
      </c>
      <c r="J122" s="120">
        <f>VLOOKUP(D122,'L3'!$1:$2060,2,False)</f>
        <v>70</v>
      </c>
      <c r="K122" s="120">
        <f>VLOOKUP(D122,'L4'!$1:$2059,2,False)</f>
        <v>70</v>
      </c>
      <c r="L122" s="121">
        <f>VLOOKUP(D122,'A1 RETEST 5 DEC'!$1:$2096,2,False)</f>
        <v>50</v>
      </c>
      <c r="M122" s="122">
        <f>VLOOKUP(D122,'A2 RETEST 4 DEC'!$1:$2096,2,False)</f>
        <v>50</v>
      </c>
      <c r="N122" s="122">
        <v>20.0</v>
      </c>
      <c r="O122" s="121"/>
      <c r="P122" s="123">
        <f>IFNA(VLOOKUP(D122,'S1'!$1:$1500,2,False),0)</f>
        <v>50</v>
      </c>
      <c r="Q122" s="123">
        <f>vlookup(D122,'S2'!A118:B1320,2,0)</f>
        <v>61</v>
      </c>
      <c r="R122" s="123">
        <f>ifna(vlookup(D122,'S3'!$1:$1311,2,False),0)</f>
        <v>90</v>
      </c>
      <c r="S122" s="123"/>
      <c r="T122" s="125">
        <v>11.0</v>
      </c>
      <c r="U122" s="125">
        <v>21.0</v>
      </c>
      <c r="V122" s="125">
        <v>84.0</v>
      </c>
      <c r="W122" s="290">
        <v>82.0</v>
      </c>
      <c r="X122" s="291">
        <v>84.0</v>
      </c>
      <c r="Y122" s="125"/>
      <c r="Z122" s="292"/>
      <c r="AA122" s="293">
        <v>12.0</v>
      </c>
      <c r="AB122" s="294">
        <v>97.0</v>
      </c>
      <c r="AC122" s="295">
        <v>64.0</v>
      </c>
      <c r="AD122" s="296">
        <v>10.0</v>
      </c>
      <c r="AE122" s="297">
        <v>70.0</v>
      </c>
      <c r="AF122" s="298"/>
      <c r="AG122" s="298">
        <v>78.0</v>
      </c>
      <c r="AH122" s="298"/>
      <c r="AI122" s="299"/>
      <c r="AJ122" s="299"/>
      <c r="AK122" s="300">
        <f t="shared" si="1"/>
        <v>4</v>
      </c>
      <c r="AL122" s="300">
        <f t="shared" si="2"/>
        <v>2</v>
      </c>
      <c r="AM122" s="301">
        <f t="shared" si="3"/>
        <v>3</v>
      </c>
      <c r="AN122" s="300" t="str">
        <f t="shared" si="4"/>
        <v>3.5</v>
      </c>
      <c r="AO122" s="300">
        <f t="shared" si="5"/>
        <v>3</v>
      </c>
      <c r="AP122" s="88"/>
    </row>
    <row r="123">
      <c r="A123" s="284">
        <v>121.0</v>
      </c>
      <c r="B123" s="304" t="s">
        <v>1842</v>
      </c>
      <c r="C123" s="304" t="s">
        <v>2842</v>
      </c>
      <c r="D123" s="286" t="str">
        <f>VLOOKUP(B123,USN!$1:$1088,2,False)</f>
        <v>1CR23AD121</v>
      </c>
      <c r="E123" s="304">
        <v>9.845611655E9</v>
      </c>
      <c r="F123" s="287" t="s">
        <v>3715</v>
      </c>
      <c r="G123" s="288"/>
      <c r="H123" s="289">
        <v>80.0</v>
      </c>
      <c r="I123" s="120">
        <v>83.0</v>
      </c>
      <c r="J123" s="120">
        <f>VLOOKUP(D123,'L3'!$1:$2060,2,False)</f>
        <v>70</v>
      </c>
      <c r="K123" s="120">
        <f>VLOOKUP(D123,'L4'!$1:$2059,2,False)</f>
        <v>78</v>
      </c>
      <c r="L123" s="121">
        <f>VLOOKUP(D123,'A1 RETEST 5 DEC'!$1:$2096,2,False)</f>
        <v>50</v>
      </c>
      <c r="M123" s="122">
        <f>VLOOKUP(D123,'A2 RETEST 4 DEC'!$1:$2096,2,False)</f>
        <v>24</v>
      </c>
      <c r="N123" s="122">
        <v>50.0</v>
      </c>
      <c r="O123" s="121"/>
      <c r="P123" s="123">
        <f>IFNA(VLOOKUP(D123,'S1'!$1:$1500,2,False),0)</f>
        <v>80</v>
      </c>
      <c r="Q123" s="123">
        <f>vlookup(D123,'S2'!A119:B1321,2,0)</f>
        <v>73</v>
      </c>
      <c r="R123" s="123">
        <f>ifna(vlookup(D123,'S3'!$1:$1311,2,False),0)</f>
        <v>91</v>
      </c>
      <c r="S123" s="123"/>
      <c r="T123" s="125">
        <v>10.0</v>
      </c>
      <c r="U123" s="125">
        <v>22.0</v>
      </c>
      <c r="V123" s="125">
        <v>76.0</v>
      </c>
      <c r="W123" s="290">
        <v>64.0</v>
      </c>
      <c r="X123" s="291">
        <v>78.0</v>
      </c>
      <c r="Y123" s="125"/>
      <c r="Z123" s="292"/>
      <c r="AA123" s="293">
        <v>16.0</v>
      </c>
      <c r="AB123" s="294">
        <v>85.0</v>
      </c>
      <c r="AC123" s="295">
        <v>67.0</v>
      </c>
      <c r="AD123" s="296">
        <v>13.0</v>
      </c>
      <c r="AE123" s="297">
        <v>20.0</v>
      </c>
      <c r="AF123" s="298"/>
      <c r="AG123" s="298">
        <v>70.0</v>
      </c>
      <c r="AH123" s="298"/>
      <c r="AI123" s="299"/>
      <c r="AJ123" s="299"/>
      <c r="AK123" s="300">
        <f t="shared" si="1"/>
        <v>4</v>
      </c>
      <c r="AL123" s="300">
        <f t="shared" si="2"/>
        <v>1</v>
      </c>
      <c r="AM123" s="301">
        <f t="shared" si="3"/>
        <v>3</v>
      </c>
      <c r="AN123" s="300" t="str">
        <f t="shared" si="4"/>
        <v>3</v>
      </c>
      <c r="AO123" s="300">
        <f t="shared" si="5"/>
        <v>3</v>
      </c>
      <c r="AP123" s="88"/>
    </row>
    <row r="124">
      <c r="A124" s="284">
        <v>122.0</v>
      </c>
      <c r="B124" s="304" t="s">
        <v>1843</v>
      </c>
      <c r="C124" s="304" t="s">
        <v>2843</v>
      </c>
      <c r="D124" s="286" t="str">
        <f>VLOOKUP(B124,USN!$1:$1088,2,False)</f>
        <v>1CR23AD122</v>
      </c>
      <c r="E124" s="304">
        <v>8.762086116E9</v>
      </c>
      <c r="F124" s="287" t="s">
        <v>3715</v>
      </c>
      <c r="G124" s="288"/>
      <c r="H124" s="120">
        <v>70.0</v>
      </c>
      <c r="I124" s="120">
        <v>80.0</v>
      </c>
      <c r="J124" s="120">
        <f>VLOOKUP(D124,'L3'!$1:$2060,2,False)</f>
        <v>77</v>
      </c>
      <c r="K124" s="120">
        <f>VLOOKUP(D124,'L4'!$1:$2059,2,False)</f>
        <v>78</v>
      </c>
      <c r="L124" s="121">
        <f>VLOOKUP(D124,'A1 RETEST 5 DEC'!$1:$2096,2,False)</f>
        <v>50</v>
      </c>
      <c r="M124" s="122">
        <f>VLOOKUP(D124,'A2 RETEST 4 DEC'!$1:$2096,2,False)</f>
        <v>33</v>
      </c>
      <c r="N124" s="122">
        <v>50.0</v>
      </c>
      <c r="O124" s="121"/>
      <c r="P124" s="123">
        <f>IFNA(VLOOKUP(D124,'S1'!$1:$1500,2,False),0)</f>
        <v>80</v>
      </c>
      <c r="Q124" s="123">
        <f>vlookup(D124,'S2'!A120:B1322,2,0)</f>
        <v>73</v>
      </c>
      <c r="R124" s="123">
        <f>ifna(vlookup(D124,'S3'!$1:$1311,2,False),0)</f>
        <v>92</v>
      </c>
      <c r="S124" s="123"/>
      <c r="T124" s="125">
        <v>14.0</v>
      </c>
      <c r="U124" s="125">
        <v>24.0</v>
      </c>
      <c r="V124" s="125" t="s">
        <v>3716</v>
      </c>
      <c r="W124" s="290">
        <v>76.0</v>
      </c>
      <c r="X124" s="291">
        <v>80.0</v>
      </c>
      <c r="Y124" s="125"/>
      <c r="Z124" s="292"/>
      <c r="AA124" s="293">
        <v>14.0</v>
      </c>
      <c r="AB124" s="294">
        <v>65.0</v>
      </c>
      <c r="AC124" s="295">
        <v>89.0</v>
      </c>
      <c r="AD124" s="302">
        <v>65.0</v>
      </c>
      <c r="AE124" s="297">
        <v>70.0</v>
      </c>
      <c r="AF124" s="298"/>
      <c r="AG124" s="298">
        <v>71.0</v>
      </c>
      <c r="AH124" s="298"/>
      <c r="AI124" s="299"/>
      <c r="AJ124" s="299"/>
      <c r="AK124" s="300">
        <f t="shared" si="1"/>
        <v>4</v>
      </c>
      <c r="AL124" s="300">
        <f t="shared" si="2"/>
        <v>1</v>
      </c>
      <c r="AM124" s="301">
        <f t="shared" si="3"/>
        <v>3</v>
      </c>
      <c r="AN124" s="300" t="str">
        <f t="shared" si="4"/>
        <v>3.5</v>
      </c>
      <c r="AO124" s="300">
        <f t="shared" si="5"/>
        <v>3</v>
      </c>
      <c r="AP124" s="88"/>
    </row>
    <row r="125">
      <c r="A125" s="284">
        <v>123.0</v>
      </c>
      <c r="B125" s="285" t="s">
        <v>1820</v>
      </c>
      <c r="C125" s="285" t="s">
        <v>3734</v>
      </c>
      <c r="D125" s="286" t="str">
        <f>VLOOKUP(B125,USN!$1:$1088,2,False)</f>
        <v>1CR23AD123</v>
      </c>
      <c r="E125" s="285">
        <v>8.310910542E9</v>
      </c>
      <c r="F125" s="287" t="s">
        <v>3715</v>
      </c>
      <c r="G125" s="288"/>
      <c r="H125" s="289">
        <v>62.0</v>
      </c>
      <c r="I125" s="120">
        <v>63.0</v>
      </c>
      <c r="J125" s="120">
        <f>VLOOKUP(D125,'L3'!$1:$2060,2,False)</f>
        <v>38</v>
      </c>
      <c r="K125" s="120">
        <f>VLOOKUP(D125,'L4'!$1:$2059,2,False)</f>
        <v>70</v>
      </c>
      <c r="L125" s="121">
        <f>VLOOKUP(D125,'A1 RETEST 5 DEC'!$1:$2096,2,False)</f>
        <v>13</v>
      </c>
      <c r="M125" s="122">
        <f>VLOOKUP(D125,'A2 RETEST 4 DEC'!$1:$2096,2,False)</f>
        <v>0</v>
      </c>
      <c r="N125" s="122">
        <v>0.0</v>
      </c>
      <c r="O125" s="121"/>
      <c r="P125" s="123">
        <f>IFNA(VLOOKUP(D125,'S1'!$1:$1500,2,False),0)</f>
        <v>0</v>
      </c>
      <c r="Q125" s="123">
        <f>vlookup(D125,'S2'!A121:B1323,2,0)</f>
        <v>0</v>
      </c>
      <c r="R125" s="123">
        <f>ifna(vlookup(D125,'S3'!$1:$1311,2,False),0)</f>
        <v>0</v>
      </c>
      <c r="S125" s="123"/>
      <c r="T125" s="125">
        <v>11.0</v>
      </c>
      <c r="U125" s="125" t="s">
        <v>2477</v>
      </c>
      <c r="V125" s="125">
        <v>80.0</v>
      </c>
      <c r="W125" s="290" t="s">
        <v>3716</v>
      </c>
      <c r="X125" s="291">
        <v>80.0</v>
      </c>
      <c r="Y125" s="125"/>
      <c r="Z125" s="292"/>
      <c r="AA125" s="293">
        <v>0.0</v>
      </c>
      <c r="AB125" s="294">
        <v>30.0</v>
      </c>
      <c r="AC125" s="295">
        <v>5.0</v>
      </c>
      <c r="AD125" s="296">
        <v>6.0</v>
      </c>
      <c r="AE125" s="297">
        <v>10.0</v>
      </c>
      <c r="AF125" s="298"/>
      <c r="AG125" s="298">
        <v>0.0</v>
      </c>
      <c r="AH125" s="298"/>
      <c r="AI125" s="299"/>
      <c r="AJ125" s="299"/>
      <c r="AK125" s="300">
        <f t="shared" si="1"/>
        <v>0</v>
      </c>
      <c r="AL125" s="300">
        <f t="shared" si="2"/>
        <v>0</v>
      </c>
      <c r="AM125" s="301">
        <f t="shared" si="3"/>
        <v>3</v>
      </c>
      <c r="AN125" s="300" t="str">
        <f t="shared" si="4"/>
        <v>0</v>
      </c>
      <c r="AO125" s="300">
        <f t="shared" si="5"/>
        <v>0</v>
      </c>
      <c r="AP125" s="88"/>
    </row>
    <row r="126">
      <c r="A126" s="284">
        <v>124.0</v>
      </c>
      <c r="B126" s="310" t="s">
        <v>1880</v>
      </c>
      <c r="C126" s="310" t="s">
        <v>2845</v>
      </c>
      <c r="D126" s="286" t="str">
        <f>VLOOKUP(B126,USN!$1:$1088,2,False)</f>
        <v>1CR23AD124</v>
      </c>
      <c r="E126" s="310">
        <v>8.748852111E9</v>
      </c>
      <c r="F126" s="310" t="s">
        <v>3715</v>
      </c>
      <c r="G126" s="288"/>
      <c r="H126" s="289">
        <v>71.0</v>
      </c>
      <c r="I126" s="120">
        <v>80.0</v>
      </c>
      <c r="J126" s="120">
        <f>VLOOKUP(D126,'L3'!$1:$2060,2,False)</f>
        <v>70</v>
      </c>
      <c r="K126" s="120">
        <f>VLOOKUP(D126,'L4'!$1:$2059,2,False)</f>
        <v>70</v>
      </c>
      <c r="L126" s="121">
        <f>VLOOKUP(D126,'A1 RETEST 5 DEC'!$1:$2096,2,False)</f>
        <v>50</v>
      </c>
      <c r="M126" s="122">
        <f>VLOOKUP(D126,'A2 RETEST 4 DEC'!$1:$2096,2,False)</f>
        <v>30</v>
      </c>
      <c r="N126" s="122">
        <v>50.0</v>
      </c>
      <c r="O126" s="121"/>
      <c r="P126" s="123">
        <f>IFNA(VLOOKUP(D126,'S1'!$1:$1500,2,False),0)</f>
        <v>75</v>
      </c>
      <c r="Q126" s="123">
        <f>vlookup(D126,'S2'!A122:B1324,2,0)</f>
        <v>50</v>
      </c>
      <c r="R126" s="123">
        <f>ifna(vlookup(D126,'S3'!$1:$1311,2,False),0)</f>
        <v>81</v>
      </c>
      <c r="S126" s="123"/>
      <c r="T126" s="125">
        <v>12.0</v>
      </c>
      <c r="U126" s="125">
        <v>24.0</v>
      </c>
      <c r="V126" s="125">
        <v>78.0</v>
      </c>
      <c r="W126" s="290">
        <v>80.0</v>
      </c>
      <c r="X126" s="291">
        <v>76.0</v>
      </c>
      <c r="Y126" s="125"/>
      <c r="Z126" s="292"/>
      <c r="AA126" s="293">
        <v>78.0</v>
      </c>
      <c r="AB126" s="294">
        <v>100.0</v>
      </c>
      <c r="AC126" s="295">
        <v>83.0</v>
      </c>
      <c r="AD126" s="296">
        <v>53.0</v>
      </c>
      <c r="AE126" s="297">
        <v>75.0</v>
      </c>
      <c r="AF126" s="298"/>
      <c r="AG126" s="298">
        <v>71.0</v>
      </c>
      <c r="AH126" s="298"/>
      <c r="AI126" s="299"/>
      <c r="AJ126" s="299"/>
      <c r="AK126" s="300">
        <f t="shared" si="1"/>
        <v>4</v>
      </c>
      <c r="AL126" s="300">
        <f t="shared" si="2"/>
        <v>1</v>
      </c>
      <c r="AM126" s="301">
        <f t="shared" si="3"/>
        <v>3</v>
      </c>
      <c r="AN126" s="300" t="str">
        <f t="shared" si="4"/>
        <v>3.5</v>
      </c>
      <c r="AO126" s="300">
        <f t="shared" si="5"/>
        <v>3</v>
      </c>
      <c r="AP126" s="88"/>
    </row>
    <row r="127">
      <c r="A127" s="284">
        <v>125.0</v>
      </c>
      <c r="B127" s="285" t="s">
        <v>1808</v>
      </c>
      <c r="C127" s="285" t="s">
        <v>2846</v>
      </c>
      <c r="D127" s="286" t="str">
        <f>VLOOKUP(B127,USN!$1:$1088,2,False)</f>
        <v>1CR23AD125</v>
      </c>
      <c r="E127" s="285">
        <v>9.035683966E9</v>
      </c>
      <c r="F127" s="287" t="s">
        <v>3715</v>
      </c>
      <c r="G127" s="288"/>
      <c r="H127" s="289">
        <v>74.0</v>
      </c>
      <c r="I127" s="120">
        <v>74.0</v>
      </c>
      <c r="J127" s="120">
        <f>VLOOKUP(D127,'L3'!$1:$2060,2,False)</f>
        <v>39</v>
      </c>
      <c r="K127" s="120">
        <f>VLOOKUP(D127,'L4'!$1:$2059,2,False)</f>
        <v>70</v>
      </c>
      <c r="L127" s="121">
        <f>VLOOKUP(D127,'A1 RETEST 5 DEC'!$1:$2096,2,False)</f>
        <v>9</v>
      </c>
      <c r="M127" s="122">
        <f>VLOOKUP(D127,'A2 RETEST 4 DEC'!$1:$2096,2,False)</f>
        <v>13</v>
      </c>
      <c r="N127" s="122">
        <v>0.0</v>
      </c>
      <c r="O127" s="121"/>
      <c r="P127" s="123">
        <f>IFNA(VLOOKUP(D127,'S1'!$1:$1500,2,False),0)</f>
        <v>77</v>
      </c>
      <c r="Q127" s="123">
        <f>vlookup(D127,'S2'!A123:B1325,2,0)</f>
        <v>50</v>
      </c>
      <c r="R127" s="123">
        <f>ifna(vlookup(D127,'S3'!$1:$1311,2,False),0)</f>
        <v>50</v>
      </c>
      <c r="S127" s="123"/>
      <c r="T127" s="125">
        <v>15.0</v>
      </c>
      <c r="U127" s="125">
        <v>7.0</v>
      </c>
      <c r="V127" s="125">
        <v>88.0</v>
      </c>
      <c r="W127" s="308">
        <v>72.0</v>
      </c>
      <c r="X127" s="291">
        <v>80.0</v>
      </c>
      <c r="Y127" s="125"/>
      <c r="Z127" s="292"/>
      <c r="AA127" s="293">
        <v>2.0</v>
      </c>
      <c r="AB127" s="294">
        <v>31.0</v>
      </c>
      <c r="AC127" s="295">
        <v>25.0</v>
      </c>
      <c r="AD127" s="296">
        <v>36.0</v>
      </c>
      <c r="AE127" s="297">
        <v>10.0</v>
      </c>
      <c r="AF127" s="298"/>
      <c r="AG127" s="298">
        <v>41.0</v>
      </c>
      <c r="AH127" s="298"/>
      <c r="AI127" s="299"/>
      <c r="AJ127" s="299"/>
      <c r="AK127" s="300">
        <f t="shared" si="1"/>
        <v>2</v>
      </c>
      <c r="AL127" s="300">
        <f t="shared" si="2"/>
        <v>0</v>
      </c>
      <c r="AM127" s="301">
        <f t="shared" si="3"/>
        <v>0</v>
      </c>
      <c r="AN127" s="300" t="str">
        <f t="shared" si="4"/>
        <v>0</v>
      </c>
      <c r="AO127" s="300">
        <f t="shared" si="5"/>
        <v>3</v>
      </c>
      <c r="AP127" s="88"/>
    </row>
    <row r="128">
      <c r="A128" s="284">
        <v>126.0</v>
      </c>
      <c r="B128" s="304" t="s">
        <v>48</v>
      </c>
      <c r="C128" s="304" t="s">
        <v>2847</v>
      </c>
      <c r="D128" s="286" t="str">
        <f>VLOOKUP(B128,USN!$1:$1088,2,False)</f>
        <v>1CR23AD126</v>
      </c>
      <c r="E128" s="304">
        <v>8.017967926E9</v>
      </c>
      <c r="F128" s="287" t="s">
        <v>3715</v>
      </c>
      <c r="G128" s="288"/>
      <c r="H128" s="120">
        <v>65.0</v>
      </c>
      <c r="I128" s="120">
        <v>70.0</v>
      </c>
      <c r="J128" s="120">
        <f>VLOOKUP(D128,'L3'!$1:$2060,2,False)</f>
        <v>39</v>
      </c>
      <c r="K128" s="120">
        <f>VLOOKUP(D128,'L4'!$1:$2059,2,False)</f>
        <v>70</v>
      </c>
      <c r="L128" s="121">
        <f>VLOOKUP(D128,'A1 RETEST 5 DEC'!$1:$2096,2,False)</f>
        <v>40</v>
      </c>
      <c r="M128" s="122">
        <f>VLOOKUP(D128,'A2 RETEST 4 DEC'!$1:$2096,2,False)</f>
        <v>29</v>
      </c>
      <c r="N128" s="122">
        <v>12.0</v>
      </c>
      <c r="O128" s="121"/>
      <c r="P128" s="123">
        <f>IFNA(VLOOKUP(D128,'S1'!$1:$1500,2,False),0)</f>
        <v>0</v>
      </c>
      <c r="Q128" s="123">
        <f>vlookup(D128,'S2'!A124:B1326,2,0)</f>
        <v>0</v>
      </c>
      <c r="R128" s="123">
        <f>ifna(vlookup(D128,'S3'!$1:$1311,2,False),0)</f>
        <v>0</v>
      </c>
      <c r="S128" s="123"/>
      <c r="T128" s="125">
        <v>12.0</v>
      </c>
      <c r="U128" s="125">
        <v>23.0</v>
      </c>
      <c r="V128" s="125">
        <v>86.0</v>
      </c>
      <c r="W128" s="290">
        <v>76.0</v>
      </c>
      <c r="X128" s="291">
        <v>90.0</v>
      </c>
      <c r="Y128" s="125"/>
      <c r="Z128" s="292"/>
      <c r="AA128" s="293">
        <v>12.0</v>
      </c>
      <c r="AB128" s="294">
        <v>86.0</v>
      </c>
      <c r="AC128" s="295">
        <v>97.0</v>
      </c>
      <c r="AD128" s="296">
        <v>52.0</v>
      </c>
      <c r="AE128" s="297">
        <v>26.0</v>
      </c>
      <c r="AF128" s="298"/>
      <c r="AG128" s="298">
        <v>40.0</v>
      </c>
      <c r="AH128" s="298"/>
      <c r="AI128" s="299"/>
      <c r="AJ128" s="299"/>
      <c r="AK128" s="300">
        <f t="shared" si="1"/>
        <v>2</v>
      </c>
      <c r="AL128" s="300">
        <f t="shared" si="2"/>
        <v>0</v>
      </c>
      <c r="AM128" s="301">
        <f t="shared" si="3"/>
        <v>3</v>
      </c>
      <c r="AN128" s="300" t="str">
        <f t="shared" si="4"/>
        <v>3</v>
      </c>
      <c r="AO128" s="300">
        <f t="shared" si="5"/>
        <v>0</v>
      </c>
      <c r="AP128" s="88"/>
    </row>
    <row r="129">
      <c r="A129" s="284">
        <v>127.0</v>
      </c>
      <c r="B129" s="285" t="s">
        <v>1819</v>
      </c>
      <c r="C129" s="285" t="s">
        <v>3735</v>
      </c>
      <c r="D129" s="286" t="str">
        <f>VLOOKUP(B129,USN!$1:$1088,2,False)</f>
        <v>1CR23AD127</v>
      </c>
      <c r="E129" s="285">
        <v>9.065662073E9</v>
      </c>
      <c r="F129" s="287" t="s">
        <v>3715</v>
      </c>
      <c r="G129" s="288"/>
      <c r="H129" s="120">
        <v>70.0</v>
      </c>
      <c r="I129" s="120">
        <v>70.0</v>
      </c>
      <c r="J129" s="120">
        <f>VLOOKUP(D129,'L3'!$1:$2060,2,False)</f>
        <v>61</v>
      </c>
      <c r="K129" s="120">
        <f>VLOOKUP(D129,'L4'!$1:$2059,2,False)</f>
        <v>70</v>
      </c>
      <c r="L129" s="121">
        <f>VLOOKUP(D129,'A1 RETEST 5 DEC'!$1:$2096,2,False)</f>
        <v>16</v>
      </c>
      <c r="M129" s="122">
        <f>VLOOKUP(D129,'A2 RETEST 4 DEC'!$1:$2096,2,False)</f>
        <v>0</v>
      </c>
      <c r="N129" s="122">
        <v>17.0</v>
      </c>
      <c r="O129" s="121"/>
      <c r="P129" s="123">
        <f>IFNA(VLOOKUP(D129,'S1'!$1:$1500,2,False),0)</f>
        <v>83</v>
      </c>
      <c r="Q129" s="123">
        <f>vlookup(D129,'S2'!A125:B1327,2,0)</f>
        <v>0</v>
      </c>
      <c r="R129" s="123">
        <f>ifna(vlookup(D129,'S3'!$1:$1311,2,False),0)</f>
        <v>0</v>
      </c>
      <c r="S129" s="123"/>
      <c r="T129" s="125">
        <v>17.0</v>
      </c>
      <c r="U129" s="125">
        <v>22.0</v>
      </c>
      <c r="V129" s="125">
        <v>86.0</v>
      </c>
      <c r="W129" s="290">
        <v>80.0</v>
      </c>
      <c r="X129" s="291">
        <v>88.0</v>
      </c>
      <c r="Y129" s="125"/>
      <c r="Z129" s="292"/>
      <c r="AA129" s="293">
        <v>12.0</v>
      </c>
      <c r="AB129" s="294">
        <v>53.0</v>
      </c>
      <c r="AC129" s="295">
        <v>0.0</v>
      </c>
      <c r="AD129" s="296">
        <v>11.0</v>
      </c>
      <c r="AE129" s="297">
        <v>10.0</v>
      </c>
      <c r="AF129" s="298"/>
      <c r="AG129" s="298">
        <v>71.0</v>
      </c>
      <c r="AH129" s="298"/>
      <c r="AI129" s="299"/>
      <c r="AJ129" s="299"/>
      <c r="AK129" s="300">
        <f t="shared" si="1"/>
        <v>2</v>
      </c>
      <c r="AL129" s="300">
        <f t="shared" si="2"/>
        <v>0</v>
      </c>
      <c r="AM129" s="301">
        <f t="shared" si="3"/>
        <v>3</v>
      </c>
      <c r="AN129" s="300" t="str">
        <f t="shared" si="4"/>
        <v>2</v>
      </c>
      <c r="AO129" s="300">
        <f t="shared" si="5"/>
        <v>1</v>
      </c>
      <c r="AP129" s="88"/>
    </row>
    <row r="130">
      <c r="A130" s="284">
        <v>128.0</v>
      </c>
      <c r="B130" s="304" t="s">
        <v>1844</v>
      </c>
      <c r="C130" s="304" t="s">
        <v>2849</v>
      </c>
      <c r="D130" s="286" t="str">
        <f>VLOOKUP(B130,USN!$1:$1088,2,False)</f>
        <v>1CR23AD128</v>
      </c>
      <c r="E130" s="304">
        <v>8.637088429E9</v>
      </c>
      <c r="F130" s="287" t="s">
        <v>3715</v>
      </c>
      <c r="G130" s="288"/>
      <c r="H130" s="289">
        <v>81.0</v>
      </c>
      <c r="I130" s="120">
        <v>87.0</v>
      </c>
      <c r="J130" s="120">
        <f>VLOOKUP(D130,'L3'!$1:$2060,2,False)</f>
        <v>74</v>
      </c>
      <c r="K130" s="120">
        <f>VLOOKUP(D130,'L4'!$1:$2059,2,False)</f>
        <v>70</v>
      </c>
      <c r="L130" s="121">
        <f>VLOOKUP(D130,'A1 RETEST 5 DEC'!$1:$2096,2,False)</f>
        <v>50</v>
      </c>
      <c r="M130" s="122">
        <f>VLOOKUP(D130,'A2 RETEST 4 DEC'!$1:$2096,2,False)</f>
        <v>44</v>
      </c>
      <c r="N130" s="122">
        <v>50.0</v>
      </c>
      <c r="O130" s="121"/>
      <c r="P130" s="123">
        <f>IFNA(VLOOKUP(D130,'S1'!$1:$1500,2,False),0)</f>
        <v>73</v>
      </c>
      <c r="Q130" s="123">
        <f>vlookup(D130,'S2'!A126:B1328,2,0)</f>
        <v>50</v>
      </c>
      <c r="R130" s="123">
        <f>ifna(vlookup(D130,'S3'!$1:$1311,2,False),0)</f>
        <v>97</v>
      </c>
      <c r="S130" s="123"/>
      <c r="T130" s="125">
        <v>14.0</v>
      </c>
      <c r="U130" s="125">
        <v>19.0</v>
      </c>
      <c r="V130" s="125">
        <v>88.0</v>
      </c>
      <c r="W130" s="290">
        <v>80.0</v>
      </c>
      <c r="X130" s="303" t="s">
        <v>3717</v>
      </c>
      <c r="Y130" s="125"/>
      <c r="Z130" s="292"/>
      <c r="AA130" s="293">
        <v>14.0</v>
      </c>
      <c r="AB130" s="294">
        <v>67.0</v>
      </c>
      <c r="AC130" s="295">
        <v>97.0</v>
      </c>
      <c r="AD130" s="296">
        <v>51.0</v>
      </c>
      <c r="AE130" s="297">
        <v>24.0</v>
      </c>
      <c r="AF130" s="298"/>
      <c r="AG130" s="298">
        <v>28.0</v>
      </c>
      <c r="AH130" s="298"/>
      <c r="AI130" s="299"/>
      <c r="AJ130" s="299"/>
      <c r="AK130" s="300">
        <f t="shared" si="1"/>
        <v>4</v>
      </c>
      <c r="AL130" s="300">
        <f t="shared" si="2"/>
        <v>1</v>
      </c>
      <c r="AM130" s="301">
        <f t="shared" si="3"/>
        <v>3</v>
      </c>
      <c r="AN130" s="300" t="str">
        <f t="shared" si="4"/>
        <v>3</v>
      </c>
      <c r="AO130" s="300">
        <f t="shared" si="5"/>
        <v>3</v>
      </c>
      <c r="AP130" s="88"/>
    </row>
    <row r="131">
      <c r="A131" s="284">
        <v>129.0</v>
      </c>
      <c r="B131" s="304" t="s">
        <v>1845</v>
      </c>
      <c r="C131" s="304" t="s">
        <v>2850</v>
      </c>
      <c r="D131" s="286" t="str">
        <f>VLOOKUP(B131,USN!$1:$1088,2,False)</f>
        <v>1CR23AD129</v>
      </c>
      <c r="E131" s="304">
        <v>9.986115867E9</v>
      </c>
      <c r="F131" s="287" t="s">
        <v>3715</v>
      </c>
      <c r="G131" s="288"/>
      <c r="H131" s="289">
        <v>68.0</v>
      </c>
      <c r="I131" s="120">
        <v>72.0</v>
      </c>
      <c r="J131" s="120">
        <f>VLOOKUP(D131,'L3'!$1:$2060,2,False)</f>
        <v>38</v>
      </c>
      <c r="K131" s="120">
        <f>VLOOKUP(D131,'L4'!$1:$2059,2,False)</f>
        <v>70</v>
      </c>
      <c r="L131" s="121">
        <f>VLOOKUP(D131,'A1 RETEST 5 DEC'!$1:$2096,2,False)</f>
        <v>3</v>
      </c>
      <c r="M131" s="122">
        <f>VLOOKUP(D131,'A2 RETEST 4 DEC'!$1:$2096,2,False)</f>
        <v>25</v>
      </c>
      <c r="N131" s="122">
        <v>18.0</v>
      </c>
      <c r="O131" s="121"/>
      <c r="P131" s="123">
        <f>IFNA(VLOOKUP(D131,'S1'!$1:$1500,2,False),0)</f>
        <v>75</v>
      </c>
      <c r="Q131" s="123">
        <f>vlookup(D131,'S2'!A127:B1329,2,0)</f>
        <v>0</v>
      </c>
      <c r="R131" s="123">
        <f>ifna(vlookup(D131,'S3'!$1:$1311,2,False),0)</f>
        <v>0</v>
      </c>
      <c r="S131" s="123"/>
      <c r="T131" s="125">
        <v>13.0</v>
      </c>
      <c r="U131" s="125">
        <v>23.0</v>
      </c>
      <c r="V131" s="125">
        <v>80.0</v>
      </c>
      <c r="W131" s="290">
        <v>72.0</v>
      </c>
      <c r="X131" s="291">
        <v>56.0</v>
      </c>
      <c r="Y131" s="125"/>
      <c r="Z131" s="292"/>
      <c r="AA131" s="293">
        <v>0.0</v>
      </c>
      <c r="AB131" s="294">
        <v>58.0</v>
      </c>
      <c r="AC131" s="295">
        <v>52.0</v>
      </c>
      <c r="AD131" s="296">
        <v>3.0</v>
      </c>
      <c r="AE131" s="297">
        <v>10.0</v>
      </c>
      <c r="AF131" s="298"/>
      <c r="AG131" s="298">
        <v>0.0</v>
      </c>
      <c r="AH131" s="298"/>
      <c r="AI131" s="299"/>
      <c r="AJ131" s="299"/>
      <c r="AK131" s="300">
        <f t="shared" si="1"/>
        <v>2</v>
      </c>
      <c r="AL131" s="300">
        <f t="shared" si="2"/>
        <v>0</v>
      </c>
      <c r="AM131" s="301">
        <f t="shared" si="3"/>
        <v>3</v>
      </c>
      <c r="AN131" s="300" t="str">
        <f t="shared" si="4"/>
        <v>2</v>
      </c>
      <c r="AO131" s="300">
        <f t="shared" si="5"/>
        <v>1</v>
      </c>
      <c r="AP131" s="88"/>
    </row>
    <row r="132">
      <c r="A132" s="284">
        <v>130.0</v>
      </c>
      <c r="B132" s="304" t="s">
        <v>1846</v>
      </c>
      <c r="C132" s="304" t="s">
        <v>2851</v>
      </c>
      <c r="D132" s="286" t="str">
        <f>VLOOKUP(B132,USN!$1:$1088,2,False)</f>
        <v>1CR23AD130</v>
      </c>
      <c r="E132" s="304">
        <v>7.892185559E9</v>
      </c>
      <c r="F132" s="287" t="s">
        <v>3715</v>
      </c>
      <c r="G132" s="288"/>
      <c r="H132" s="289">
        <v>77.0</v>
      </c>
      <c r="I132" s="120">
        <v>87.0</v>
      </c>
      <c r="J132" s="120">
        <f>VLOOKUP(D132,'L3'!$1:$2060,2,False)</f>
        <v>67</v>
      </c>
      <c r="K132" s="120">
        <f>VLOOKUP(D132,'L4'!$1:$2059,2,False)</f>
        <v>70</v>
      </c>
      <c r="L132" s="121">
        <f>VLOOKUP(D132,'A1 RETEST 5 DEC'!$1:$2096,2,False)</f>
        <v>50</v>
      </c>
      <c r="M132" s="122">
        <f>VLOOKUP(D132,'A2 RETEST 4 DEC'!$1:$2096,2,False)</f>
        <v>50</v>
      </c>
      <c r="N132" s="122">
        <v>21.0</v>
      </c>
      <c r="O132" s="121"/>
      <c r="P132" s="123">
        <f>IFNA(VLOOKUP(D132,'S1'!$1:$1500,2,False),0)</f>
        <v>73</v>
      </c>
      <c r="Q132" s="123">
        <f>vlookup(D132,'S2'!A128:B1330,2,0)</f>
        <v>50</v>
      </c>
      <c r="R132" s="123">
        <f>ifna(vlookup(D132,'S3'!$1:$1311,2,False),0)</f>
        <v>97</v>
      </c>
      <c r="S132" s="123"/>
      <c r="T132" s="125">
        <v>11.0</v>
      </c>
      <c r="U132" s="125">
        <v>23.0</v>
      </c>
      <c r="V132" s="125">
        <v>82.0</v>
      </c>
      <c r="W132" s="290">
        <v>70.0</v>
      </c>
      <c r="X132" s="291">
        <v>82.0</v>
      </c>
      <c r="Y132" s="125"/>
      <c r="Z132" s="292"/>
      <c r="AA132" s="293">
        <v>62.0</v>
      </c>
      <c r="AB132" s="294">
        <v>67.0</v>
      </c>
      <c r="AC132" s="295">
        <v>77.0</v>
      </c>
      <c r="AD132" s="296">
        <v>12.0</v>
      </c>
      <c r="AE132" s="297">
        <v>10.0</v>
      </c>
      <c r="AF132" s="298"/>
      <c r="AG132" s="298">
        <v>71.0</v>
      </c>
      <c r="AH132" s="298"/>
      <c r="AI132" s="299"/>
      <c r="AJ132" s="299"/>
      <c r="AK132" s="300">
        <f t="shared" si="1"/>
        <v>2</v>
      </c>
      <c r="AL132" s="300">
        <f t="shared" si="2"/>
        <v>2</v>
      </c>
      <c r="AM132" s="301">
        <f t="shared" si="3"/>
        <v>3</v>
      </c>
      <c r="AN132" s="300" t="str">
        <f t="shared" si="4"/>
        <v>3</v>
      </c>
      <c r="AO132" s="300">
        <f t="shared" si="5"/>
        <v>3</v>
      </c>
      <c r="AP132" s="88"/>
    </row>
    <row r="133">
      <c r="A133" s="284">
        <v>131.0</v>
      </c>
      <c r="B133" s="304" t="s">
        <v>1873</v>
      </c>
      <c r="C133" s="304" t="s">
        <v>2852</v>
      </c>
      <c r="D133" s="286" t="str">
        <f>VLOOKUP(B133,USN!$1:$1088,2,False)</f>
        <v>1CR23AD131</v>
      </c>
      <c r="E133" s="304">
        <v>9.38099524E9</v>
      </c>
      <c r="F133" s="287" t="s">
        <v>3715</v>
      </c>
      <c r="G133" s="288"/>
      <c r="H133" s="289">
        <v>74.0</v>
      </c>
      <c r="I133" s="120">
        <v>81.0</v>
      </c>
      <c r="J133" s="120">
        <f>VLOOKUP(D133,'L3'!$1:$2060,2,False)</f>
        <v>73</v>
      </c>
      <c r="K133" s="120">
        <f>VLOOKUP(D133,'L4'!$1:$2059,2,False)</f>
        <v>70</v>
      </c>
      <c r="L133" s="121">
        <f>VLOOKUP(D133,'A1 RETEST 5 DEC'!$1:$2096,2,False)</f>
        <v>22</v>
      </c>
      <c r="M133" s="122">
        <f>VLOOKUP(D133,'A2 RETEST 4 DEC'!$1:$2096,2,False)</f>
        <v>50</v>
      </c>
      <c r="N133" s="122">
        <v>18.0</v>
      </c>
      <c r="O133" s="121"/>
      <c r="P133" s="123">
        <f>IFNA(VLOOKUP(D133,'S1'!$1:$1500,2,False),0)</f>
        <v>50</v>
      </c>
      <c r="Q133" s="123">
        <f>vlookup(D133,'S2'!A129:B1331,2,0)</f>
        <v>50</v>
      </c>
      <c r="R133" s="123">
        <f>ifna(vlookup(D133,'S3'!$1:$1311,2,False),0)</f>
        <v>50</v>
      </c>
      <c r="S133" s="123"/>
      <c r="T133" s="125">
        <v>12.0</v>
      </c>
      <c r="U133" s="125">
        <v>21.0</v>
      </c>
      <c r="V133" s="125">
        <v>86.0</v>
      </c>
      <c r="W133" s="290">
        <v>74.0</v>
      </c>
      <c r="X133" s="291">
        <v>82.0</v>
      </c>
      <c r="Y133" s="125"/>
      <c r="Z133" s="292"/>
      <c r="AA133" s="293">
        <v>16.0</v>
      </c>
      <c r="AB133" s="294">
        <v>98.0</v>
      </c>
      <c r="AC133" s="295">
        <v>74.0</v>
      </c>
      <c r="AD133" s="296">
        <v>51.0</v>
      </c>
      <c r="AE133" s="295">
        <v>70.0</v>
      </c>
      <c r="AF133" s="298"/>
      <c r="AG133" s="298">
        <v>23.0</v>
      </c>
      <c r="AH133" s="298"/>
      <c r="AI133" s="299"/>
      <c r="AJ133" s="299"/>
      <c r="AK133" s="300">
        <f t="shared" si="1"/>
        <v>4</v>
      </c>
      <c r="AL133" s="300">
        <f t="shared" si="2"/>
        <v>0</v>
      </c>
      <c r="AM133" s="301">
        <f t="shared" si="3"/>
        <v>3</v>
      </c>
      <c r="AN133" s="300" t="str">
        <f t="shared" si="4"/>
        <v>3.5</v>
      </c>
      <c r="AO133" s="300">
        <f t="shared" si="5"/>
        <v>3</v>
      </c>
      <c r="AP133" s="88"/>
    </row>
    <row r="134">
      <c r="A134" s="284">
        <v>132.0</v>
      </c>
      <c r="B134" s="304" t="s">
        <v>55</v>
      </c>
      <c r="C134" s="304" t="s">
        <v>2853</v>
      </c>
      <c r="D134" s="286" t="str">
        <f>VLOOKUP(B134,USN!$1:$1088,2,False)</f>
        <v>1CR23AD132</v>
      </c>
      <c r="E134" s="304">
        <v>8.123865601E9</v>
      </c>
      <c r="F134" s="287" t="s">
        <v>3715</v>
      </c>
      <c r="G134" s="288"/>
      <c r="H134" s="120">
        <v>70.0</v>
      </c>
      <c r="I134" s="120">
        <v>70.0</v>
      </c>
      <c r="J134" s="120">
        <f>VLOOKUP(D134,'L3'!$1:$2060,2,False)</f>
        <v>15</v>
      </c>
      <c r="K134" s="120">
        <f>VLOOKUP(D134,'L4'!$1:$2059,2,False)</f>
        <v>70</v>
      </c>
      <c r="L134" s="121">
        <f>VLOOKUP(D134,'A1 RETEST 5 DEC'!$1:$2096,2,False)</f>
        <v>50</v>
      </c>
      <c r="M134" s="122">
        <f>VLOOKUP(D134,'A2 RETEST 4 DEC'!$1:$2096,2,False)</f>
        <v>50</v>
      </c>
      <c r="N134" s="122">
        <v>11.0</v>
      </c>
      <c r="O134" s="121"/>
      <c r="P134" s="123">
        <f>IFNA(VLOOKUP(D134,'S1'!$1:$1500,2,False),0)</f>
        <v>50</v>
      </c>
      <c r="Q134" s="123">
        <f>vlookup(D134,'S2'!A130:B1332,2,0)</f>
        <v>0</v>
      </c>
      <c r="R134" s="123">
        <f>ifna(vlookup(D134,'S3'!$1:$1311,2,False),0)</f>
        <v>0</v>
      </c>
      <c r="S134" s="123"/>
      <c r="T134" s="125">
        <v>12.0</v>
      </c>
      <c r="U134" s="125">
        <v>25.0</v>
      </c>
      <c r="V134" s="125">
        <v>80.0</v>
      </c>
      <c r="W134" s="290">
        <v>68.0</v>
      </c>
      <c r="X134" s="291">
        <v>92.0</v>
      </c>
      <c r="Y134" s="125"/>
      <c r="Z134" s="292"/>
      <c r="AA134" s="293">
        <v>0.0</v>
      </c>
      <c r="AB134" s="294">
        <v>43.0</v>
      </c>
      <c r="AC134" s="295">
        <v>70.0</v>
      </c>
      <c r="AD134" s="296">
        <v>6.0</v>
      </c>
      <c r="AE134" s="297">
        <v>12.0</v>
      </c>
      <c r="AF134" s="298"/>
      <c r="AG134" s="298">
        <v>18.0</v>
      </c>
      <c r="AH134" s="298"/>
      <c r="AI134" s="299"/>
      <c r="AJ134" s="299"/>
      <c r="AK134" s="300">
        <f t="shared" si="1"/>
        <v>2</v>
      </c>
      <c r="AL134" s="300">
        <f t="shared" si="2"/>
        <v>2</v>
      </c>
      <c r="AM134" s="301">
        <f t="shared" si="3"/>
        <v>3</v>
      </c>
      <c r="AN134" s="300" t="str">
        <f t="shared" si="4"/>
        <v>0</v>
      </c>
      <c r="AO134" s="300">
        <f t="shared" si="5"/>
        <v>1</v>
      </c>
      <c r="AP134" s="88"/>
    </row>
    <row r="135">
      <c r="A135" s="284">
        <v>133.0</v>
      </c>
      <c r="B135" s="304" t="s">
        <v>1879</v>
      </c>
      <c r="C135" s="310" t="s">
        <v>2854</v>
      </c>
      <c r="D135" s="286" t="str">
        <f>VLOOKUP(B135,USN!$1:$1088,2,False)</f>
        <v>1CR23AD133</v>
      </c>
      <c r="E135" s="304">
        <v>7.89953859E9</v>
      </c>
      <c r="F135" s="287" t="s">
        <v>3715</v>
      </c>
      <c r="G135" s="288"/>
      <c r="H135" s="289">
        <v>70.0</v>
      </c>
      <c r="I135" s="120">
        <v>84.0</v>
      </c>
      <c r="J135" s="120">
        <f>VLOOKUP(D135,'L3'!$1:$2060,2,False)</f>
        <v>70</v>
      </c>
      <c r="K135" s="120">
        <f>VLOOKUP(D135,'L4'!$1:$2059,2,False)</f>
        <v>70</v>
      </c>
      <c r="L135" s="121">
        <f>VLOOKUP(D135,'A1 RETEST 5 DEC'!$1:$2096,2,False)</f>
        <v>50</v>
      </c>
      <c r="M135" s="122">
        <f>VLOOKUP(D135,'A2 RETEST 4 DEC'!$1:$2096,2,False)</f>
        <v>21</v>
      </c>
      <c r="N135" s="122">
        <v>0.0</v>
      </c>
      <c r="O135" s="121"/>
      <c r="P135" s="123">
        <f>IFNA(VLOOKUP(D135,'S1'!$1:$1500,2,False),0)</f>
        <v>75</v>
      </c>
      <c r="Q135" s="123">
        <f>vlookup(D135,'S2'!A131:B1333,2,0)</f>
        <v>61</v>
      </c>
      <c r="R135" s="123">
        <f>ifna(vlookup(D135,'S3'!$1:$1311,2,False),0)</f>
        <v>97</v>
      </c>
      <c r="S135" s="123"/>
      <c r="T135" s="319">
        <v>15.0</v>
      </c>
      <c r="U135" s="125">
        <v>17.0</v>
      </c>
      <c r="V135" s="125">
        <v>88.0</v>
      </c>
      <c r="W135" s="290">
        <v>72.0</v>
      </c>
      <c r="X135" s="291">
        <v>86.0</v>
      </c>
      <c r="Y135" s="125"/>
      <c r="Z135" s="292"/>
      <c r="AA135" s="293">
        <v>0.0</v>
      </c>
      <c r="AB135" s="294">
        <v>90.0</v>
      </c>
      <c r="AC135" s="295">
        <v>100.0</v>
      </c>
      <c r="AD135" s="296">
        <v>13.0</v>
      </c>
      <c r="AE135" s="297">
        <v>15.0</v>
      </c>
      <c r="AF135" s="298"/>
      <c r="AG135" s="298">
        <v>70.0</v>
      </c>
      <c r="AH135" s="298"/>
      <c r="AI135" s="299"/>
      <c r="AJ135" s="299"/>
      <c r="AK135" s="300">
        <f t="shared" si="1"/>
        <v>4</v>
      </c>
      <c r="AL135" s="300">
        <f t="shared" si="2"/>
        <v>1</v>
      </c>
      <c r="AM135" s="301">
        <f t="shared" si="3"/>
        <v>3</v>
      </c>
      <c r="AN135" s="300" t="str">
        <f t="shared" si="4"/>
        <v>3</v>
      </c>
      <c r="AO135" s="300">
        <f t="shared" si="5"/>
        <v>3</v>
      </c>
      <c r="AP135" s="88"/>
    </row>
    <row r="136">
      <c r="A136" s="284">
        <v>134.0</v>
      </c>
      <c r="B136" s="304" t="s">
        <v>1847</v>
      </c>
      <c r="C136" s="304" t="s">
        <v>2855</v>
      </c>
      <c r="D136" s="286" t="str">
        <f>VLOOKUP(B136,USN!$1:$1088,2,False)</f>
        <v>1CR23AD134</v>
      </c>
      <c r="E136" s="304">
        <v>7.349098402E9</v>
      </c>
      <c r="F136" s="287" t="s">
        <v>3715</v>
      </c>
      <c r="G136" s="288"/>
      <c r="H136" s="120">
        <v>70.0</v>
      </c>
      <c r="I136" s="120">
        <v>78.0</v>
      </c>
      <c r="J136" s="120">
        <f>VLOOKUP(D136,'L3'!$1:$2060,2,False)</f>
        <v>70</v>
      </c>
      <c r="K136" s="120">
        <f>VLOOKUP(D136,'L4'!$1:$2059,2,False)</f>
        <v>70</v>
      </c>
      <c r="L136" s="121">
        <f>VLOOKUP(D136,'A1 RETEST 5 DEC'!$1:$2096,2,False)</f>
        <v>50</v>
      </c>
      <c r="M136" s="122">
        <f>VLOOKUP(D136,'A2 RETEST 4 DEC'!$1:$2096,2,False)</f>
        <v>50</v>
      </c>
      <c r="N136" s="122">
        <v>50.0</v>
      </c>
      <c r="O136" s="121"/>
      <c r="P136" s="123">
        <f>IFNA(VLOOKUP(D136,'S1'!$1:$1500,2,False),0)</f>
        <v>73</v>
      </c>
      <c r="Q136" s="123">
        <f>vlookup(D136,'S2'!A132:B1334,2,0)</f>
        <v>72</v>
      </c>
      <c r="R136" s="123">
        <f>ifna(vlookup(D136,'S3'!$1:$1311,2,False),0)</f>
        <v>95</v>
      </c>
      <c r="S136" s="123"/>
      <c r="T136" s="125">
        <v>11.0</v>
      </c>
      <c r="U136" s="125">
        <v>20.0</v>
      </c>
      <c r="V136" s="125">
        <v>82.0</v>
      </c>
      <c r="W136" s="290">
        <v>86.0</v>
      </c>
      <c r="X136" s="291">
        <v>78.0</v>
      </c>
      <c r="Y136" s="125"/>
      <c r="Z136" s="292"/>
      <c r="AA136" s="293">
        <v>28.0</v>
      </c>
      <c r="AB136" s="294">
        <v>83.0</v>
      </c>
      <c r="AC136" s="295">
        <v>42.0</v>
      </c>
      <c r="AD136" s="302">
        <v>80.0</v>
      </c>
      <c r="AE136" s="297">
        <v>80.0</v>
      </c>
      <c r="AF136" s="298"/>
      <c r="AG136" s="298">
        <v>76.0</v>
      </c>
      <c r="AH136" s="298"/>
      <c r="AI136" s="299"/>
      <c r="AJ136" s="299"/>
      <c r="AK136" s="300">
        <f t="shared" si="1"/>
        <v>4</v>
      </c>
      <c r="AL136" s="300">
        <f t="shared" si="2"/>
        <v>3</v>
      </c>
      <c r="AM136" s="301">
        <f t="shared" si="3"/>
        <v>3</v>
      </c>
      <c r="AN136" s="300" t="str">
        <f t="shared" si="4"/>
        <v>3.5</v>
      </c>
      <c r="AO136" s="300">
        <f t="shared" si="5"/>
        <v>3</v>
      </c>
      <c r="AP136" s="88"/>
    </row>
    <row r="137">
      <c r="A137" s="284">
        <v>135.0</v>
      </c>
      <c r="B137" s="304" t="s">
        <v>1848</v>
      </c>
      <c r="C137" s="304" t="s">
        <v>2856</v>
      </c>
      <c r="D137" s="286" t="str">
        <f>VLOOKUP(B137,USN!$1:$1088,2,False)</f>
        <v>1CR23AD135</v>
      </c>
      <c r="E137" s="304">
        <v>8.217468602E9</v>
      </c>
      <c r="F137" s="287" t="s">
        <v>3715</v>
      </c>
      <c r="G137" s="288"/>
      <c r="H137" s="120">
        <v>70.0</v>
      </c>
      <c r="I137" s="120">
        <v>81.0</v>
      </c>
      <c r="J137" s="120">
        <f>VLOOKUP(D137,'L3'!$1:$2060,2,False)</f>
        <v>75</v>
      </c>
      <c r="K137" s="120">
        <f>VLOOKUP(D137,'L4'!$1:$2059,2,False)</f>
        <v>77</v>
      </c>
      <c r="L137" s="121">
        <f>VLOOKUP(D137,'A1 RETEST 5 DEC'!$1:$2096,2,False)</f>
        <v>50</v>
      </c>
      <c r="M137" s="122">
        <v>50.0</v>
      </c>
      <c r="N137" s="122">
        <v>27.0</v>
      </c>
      <c r="O137" s="121"/>
      <c r="P137" s="123">
        <f>IFNA(VLOOKUP(D137,'S1'!$1:$1500,2,False),0)</f>
        <v>80</v>
      </c>
      <c r="Q137" s="123">
        <f>vlookup(D137,'S2'!A133:B1335,2,0)</f>
        <v>72</v>
      </c>
      <c r="R137" s="123">
        <f>ifna(vlookup(D137,'S3'!$1:$1311,2,False),0)</f>
        <v>92</v>
      </c>
      <c r="S137" s="123"/>
      <c r="T137" s="125">
        <v>11.0</v>
      </c>
      <c r="U137" s="125">
        <v>21.0</v>
      </c>
      <c r="V137" s="125">
        <v>94.0</v>
      </c>
      <c r="W137" s="308">
        <v>68.0</v>
      </c>
      <c r="X137" s="291">
        <v>74.0</v>
      </c>
      <c r="Y137" s="125"/>
      <c r="Z137" s="292"/>
      <c r="AA137" s="293">
        <v>66.0</v>
      </c>
      <c r="AB137" s="294">
        <v>87.0</v>
      </c>
      <c r="AC137" s="295">
        <v>57.0</v>
      </c>
      <c r="AD137" s="296">
        <v>11.0</v>
      </c>
      <c r="AE137" s="297">
        <v>19.0</v>
      </c>
      <c r="AF137" s="298"/>
      <c r="AG137" s="298">
        <v>83.0</v>
      </c>
      <c r="AH137" s="298"/>
      <c r="AI137" s="299"/>
      <c r="AJ137" s="299"/>
      <c r="AK137" s="300">
        <f t="shared" si="1"/>
        <v>4</v>
      </c>
      <c r="AL137" s="300">
        <f t="shared" si="2"/>
        <v>2</v>
      </c>
      <c r="AM137" s="301">
        <f t="shared" si="3"/>
        <v>3</v>
      </c>
      <c r="AN137" s="300" t="str">
        <f t="shared" si="4"/>
        <v>2</v>
      </c>
      <c r="AO137" s="300">
        <f t="shared" si="5"/>
        <v>3</v>
      </c>
      <c r="AP137" s="88"/>
    </row>
    <row r="138">
      <c r="A138" s="284">
        <v>136.0</v>
      </c>
      <c r="B138" s="304" t="s">
        <v>1858</v>
      </c>
      <c r="C138" s="304" t="s">
        <v>2857</v>
      </c>
      <c r="D138" s="286" t="str">
        <f>VLOOKUP(B138,USN!$1:$1088,2,False)</f>
        <v>1CR23AD136</v>
      </c>
      <c r="E138" s="304">
        <v>8.43158607E9</v>
      </c>
      <c r="F138" s="287" t="s">
        <v>3715</v>
      </c>
      <c r="G138" s="288"/>
      <c r="H138" s="289">
        <v>74.0</v>
      </c>
      <c r="I138" s="120">
        <v>83.0</v>
      </c>
      <c r="J138" s="120">
        <f>VLOOKUP(D138,'L3'!$1:$2060,2,False)</f>
        <v>76</v>
      </c>
      <c r="K138" s="120">
        <f>VLOOKUP(D138,'L4'!$1:$2059,2,False)</f>
        <v>81</v>
      </c>
      <c r="L138" s="121">
        <f>VLOOKUP(D138,'A1 RETEST 5 DEC'!$1:$2096,2,False)</f>
        <v>61</v>
      </c>
      <c r="M138" s="122">
        <f>VLOOKUP(D138,'A2 RETEST 4 DEC'!$1:$2096,2,False)</f>
        <v>50</v>
      </c>
      <c r="N138" s="122">
        <v>59.0</v>
      </c>
      <c r="O138" s="121"/>
      <c r="P138" s="123">
        <f>IFNA(VLOOKUP(D138,'S1'!$1:$1500,2,False),0)</f>
        <v>75</v>
      </c>
      <c r="Q138" s="123">
        <f>vlookup(D138,'S2'!A134:B1336,2,0)</f>
        <v>50</v>
      </c>
      <c r="R138" s="123">
        <f>ifna(vlookup(D138,'S3'!$1:$1311,2,False),0)</f>
        <v>81</v>
      </c>
      <c r="S138" s="123"/>
      <c r="T138" s="125">
        <v>15.0</v>
      </c>
      <c r="U138" s="125">
        <v>20.0</v>
      </c>
      <c r="V138" s="125">
        <v>80.0</v>
      </c>
      <c r="W138" s="290">
        <v>86.0</v>
      </c>
      <c r="X138" s="291">
        <v>68.0</v>
      </c>
      <c r="Y138" s="125"/>
      <c r="Z138" s="292"/>
      <c r="AA138" s="293">
        <v>16.0</v>
      </c>
      <c r="AB138" s="294">
        <v>100.0</v>
      </c>
      <c r="AC138" s="295">
        <v>99.0</v>
      </c>
      <c r="AD138" s="302">
        <v>100.0</v>
      </c>
      <c r="AE138" s="297">
        <v>74.0</v>
      </c>
      <c r="AF138" s="298"/>
      <c r="AG138" s="298">
        <v>77.0</v>
      </c>
      <c r="AH138" s="298"/>
      <c r="AI138" s="299"/>
      <c r="AJ138" s="299"/>
      <c r="AK138" s="300">
        <f t="shared" si="1"/>
        <v>4</v>
      </c>
      <c r="AL138" s="300">
        <f t="shared" si="2"/>
        <v>3</v>
      </c>
      <c r="AM138" s="301">
        <f t="shared" si="3"/>
        <v>3</v>
      </c>
      <c r="AN138" s="300" t="str">
        <f t="shared" si="4"/>
        <v>3.5</v>
      </c>
      <c r="AO138" s="300">
        <f t="shared" si="5"/>
        <v>3</v>
      </c>
      <c r="AP138" s="88"/>
    </row>
    <row r="139">
      <c r="A139" s="284">
        <v>137.0</v>
      </c>
      <c r="B139" s="304" t="s">
        <v>1849</v>
      </c>
      <c r="C139" s="304" t="s">
        <v>2858</v>
      </c>
      <c r="D139" s="286" t="str">
        <f>VLOOKUP(B139,USN!$1:$1088,2,False)</f>
        <v>1CR23AD137</v>
      </c>
      <c r="E139" s="304">
        <v>9.019998139E9</v>
      </c>
      <c r="F139" s="287" t="s">
        <v>3715</v>
      </c>
      <c r="G139" s="288"/>
      <c r="H139" s="289">
        <v>71.0</v>
      </c>
      <c r="I139" s="120">
        <v>76.0</v>
      </c>
      <c r="J139" s="120">
        <f>VLOOKUP(D139,'L3'!$1:$2060,2,False)</f>
        <v>75</v>
      </c>
      <c r="K139" s="120">
        <f>VLOOKUP(D139,'L4'!$1:$2059,2,False)</f>
        <v>74</v>
      </c>
      <c r="L139" s="121">
        <f>VLOOKUP(D139,'A1 RETEST 5 DEC'!$1:$2096,2,False)</f>
        <v>40</v>
      </c>
      <c r="M139" s="122">
        <f>VLOOKUP(D139,'A2 RETEST 4 DEC'!$1:$2096,2,False)</f>
        <v>50</v>
      </c>
      <c r="N139" s="122">
        <v>21.0</v>
      </c>
      <c r="O139" s="121"/>
      <c r="P139" s="123">
        <f>IFNA(VLOOKUP(D139,'S1'!$1:$1500,2,False),0)</f>
        <v>80</v>
      </c>
      <c r="Q139" s="123">
        <f>vlookup(D139,'S2'!A135:B1337,2,0)</f>
        <v>50</v>
      </c>
      <c r="R139" s="123">
        <f>ifna(vlookup(D139,'S3'!$1:$1311,2,False),0)</f>
        <v>88</v>
      </c>
      <c r="S139" s="123"/>
      <c r="T139" s="125">
        <v>14.0</v>
      </c>
      <c r="U139" s="125">
        <v>24.0</v>
      </c>
      <c r="V139" s="125">
        <v>76.0</v>
      </c>
      <c r="W139" s="290">
        <v>78.0</v>
      </c>
      <c r="X139" s="291">
        <v>56.0</v>
      </c>
      <c r="Y139" s="125"/>
      <c r="Z139" s="292"/>
      <c r="AA139" s="293">
        <v>0.0</v>
      </c>
      <c r="AB139" s="294">
        <v>90.0</v>
      </c>
      <c r="AC139" s="295">
        <v>97.0</v>
      </c>
      <c r="AD139" s="302">
        <v>75.0</v>
      </c>
      <c r="AE139" s="297">
        <v>65.0</v>
      </c>
      <c r="AF139" s="298"/>
      <c r="AG139" s="298">
        <v>40.0</v>
      </c>
      <c r="AH139" s="298"/>
      <c r="AI139" s="299"/>
      <c r="AJ139" s="299"/>
      <c r="AK139" s="300">
        <f t="shared" si="1"/>
        <v>4</v>
      </c>
      <c r="AL139" s="300">
        <f t="shared" si="2"/>
        <v>0</v>
      </c>
      <c r="AM139" s="301">
        <f t="shared" si="3"/>
        <v>3</v>
      </c>
      <c r="AN139" s="300" t="str">
        <f t="shared" si="4"/>
        <v>3</v>
      </c>
      <c r="AO139" s="300">
        <f t="shared" si="5"/>
        <v>3</v>
      </c>
      <c r="AP139" s="88"/>
    </row>
    <row r="140">
      <c r="A140" s="284">
        <v>138.0</v>
      </c>
      <c r="B140" s="304" t="s">
        <v>1850</v>
      </c>
      <c r="C140" s="304" t="s">
        <v>2859</v>
      </c>
      <c r="D140" s="286" t="str">
        <f>VLOOKUP(B140,USN!$1:$1088,2,False)</f>
        <v>1CR23AD138</v>
      </c>
      <c r="E140" s="304">
        <v>7.878808123E9</v>
      </c>
      <c r="F140" s="287" t="s">
        <v>3715</v>
      </c>
      <c r="G140" s="288"/>
      <c r="H140" s="289">
        <v>81.0</v>
      </c>
      <c r="I140" s="120">
        <v>86.0</v>
      </c>
      <c r="J140" s="120">
        <f>VLOOKUP(D140,'L3'!$1:$2060,2,False)</f>
        <v>72</v>
      </c>
      <c r="K140" s="120">
        <f>VLOOKUP(D140,'L4'!$1:$2059,2,False)</f>
        <v>38</v>
      </c>
      <c r="L140" s="121">
        <f>VLOOKUP(D140,'A1 RETEST 5 DEC'!$1:$2096,2,False)</f>
        <v>50</v>
      </c>
      <c r="M140" s="122">
        <f>VLOOKUP(D140,'A2 RETEST 4 DEC'!$1:$2096,2,False)</f>
        <v>50</v>
      </c>
      <c r="N140" s="122">
        <v>21.0</v>
      </c>
      <c r="O140" s="121"/>
      <c r="P140" s="123">
        <f>IFNA(VLOOKUP(D140,'S1'!$1:$1500,2,False),0)</f>
        <v>80</v>
      </c>
      <c r="Q140" s="123">
        <f>vlookup(D140,'S2'!A136:B1338,2,0)</f>
        <v>89</v>
      </c>
      <c r="R140" s="123">
        <f>ifna(vlookup(D140,'S3'!$1:$1311,2,False),0)</f>
        <v>50</v>
      </c>
      <c r="S140" s="123"/>
      <c r="T140" s="125">
        <v>16.0</v>
      </c>
      <c r="U140" s="125">
        <v>23.0</v>
      </c>
      <c r="V140" s="125">
        <v>94.0</v>
      </c>
      <c r="W140" s="290">
        <v>78.0</v>
      </c>
      <c r="X140" s="291">
        <v>76.0</v>
      </c>
      <c r="Y140" s="125"/>
      <c r="Z140" s="292"/>
      <c r="AA140" s="293">
        <v>84.0</v>
      </c>
      <c r="AB140" s="294">
        <v>65.0</v>
      </c>
      <c r="AC140" s="295">
        <v>34.0</v>
      </c>
      <c r="AD140" s="302">
        <v>80.0</v>
      </c>
      <c r="AE140" s="297">
        <v>95.0</v>
      </c>
      <c r="AF140" s="298"/>
      <c r="AG140" s="298">
        <v>70.0</v>
      </c>
      <c r="AH140" s="298"/>
      <c r="AI140" s="299"/>
      <c r="AJ140" s="299"/>
      <c r="AK140" s="300">
        <f t="shared" si="1"/>
        <v>3</v>
      </c>
      <c r="AL140" s="300">
        <f t="shared" si="2"/>
        <v>2</v>
      </c>
      <c r="AM140" s="301">
        <f t="shared" si="3"/>
        <v>3</v>
      </c>
      <c r="AN140" s="300" t="str">
        <f t="shared" si="4"/>
        <v>3.5</v>
      </c>
      <c r="AO140" s="300">
        <f t="shared" si="5"/>
        <v>3</v>
      </c>
      <c r="AP140" s="88"/>
    </row>
    <row r="141">
      <c r="A141" s="284">
        <v>139.0</v>
      </c>
      <c r="B141" s="304" t="s">
        <v>1851</v>
      </c>
      <c r="C141" s="304" t="s">
        <v>2860</v>
      </c>
      <c r="D141" s="286" t="str">
        <f>VLOOKUP(B141,USN!$1:$1088,2,False)</f>
        <v>1CR23AD139</v>
      </c>
      <c r="E141" s="320">
        <v>9.570970912E9</v>
      </c>
      <c r="F141" s="287" t="s">
        <v>3715</v>
      </c>
      <c r="G141" s="288"/>
      <c r="H141" s="289">
        <v>69.0</v>
      </c>
      <c r="I141" s="120">
        <v>74.0</v>
      </c>
      <c r="J141" s="120">
        <f>VLOOKUP(D141,'L3'!$1:$2060,2,False)</f>
        <v>47</v>
      </c>
      <c r="K141" s="120">
        <f>VLOOKUP(D141,'L4'!$1:$2059,2,False)</f>
        <v>70</v>
      </c>
      <c r="L141" s="121">
        <f>VLOOKUP(D141,'A1 RETEST 5 DEC'!$1:$2096,2,False)</f>
        <v>50</v>
      </c>
      <c r="M141" s="122">
        <f>VLOOKUP(D141,'A2 RETEST 4 DEC'!$1:$2096,2,False)</f>
        <v>15</v>
      </c>
      <c r="N141" s="122">
        <v>15.0</v>
      </c>
      <c r="O141" s="121"/>
      <c r="P141" s="123">
        <f>IFNA(VLOOKUP(D141,'S1'!$1:$1500,2,False),0)</f>
        <v>73</v>
      </c>
      <c r="Q141" s="123">
        <f>vlookup(D141,'S2'!A137:B1339,2,0)</f>
        <v>0</v>
      </c>
      <c r="R141" s="123">
        <f>ifna(vlookup(D141,'S3'!$1:$1311,2,False),0)</f>
        <v>0</v>
      </c>
      <c r="S141" s="123"/>
      <c r="T141" s="125">
        <v>20.0</v>
      </c>
      <c r="U141" s="125">
        <v>24.0</v>
      </c>
      <c r="V141" s="125">
        <v>68.0</v>
      </c>
      <c r="W141" s="290" t="s">
        <v>3716</v>
      </c>
      <c r="X141" s="303" t="s">
        <v>3717</v>
      </c>
      <c r="Y141" s="125"/>
      <c r="Z141" s="292"/>
      <c r="AA141" s="293">
        <v>0.0</v>
      </c>
      <c r="AB141" s="294">
        <v>45.0</v>
      </c>
      <c r="AC141" s="295">
        <v>43.0</v>
      </c>
      <c r="AD141" s="296">
        <v>2.0</v>
      </c>
      <c r="AE141" s="297">
        <v>13.0</v>
      </c>
      <c r="AF141" s="298"/>
      <c r="AG141" s="298">
        <v>0.0</v>
      </c>
      <c r="AH141" s="298"/>
      <c r="AI141" s="299"/>
      <c r="AJ141" s="299"/>
      <c r="AK141" s="300">
        <f t="shared" si="1"/>
        <v>2</v>
      </c>
      <c r="AL141" s="300">
        <f t="shared" si="2"/>
        <v>1</v>
      </c>
      <c r="AM141" s="301">
        <f t="shared" si="3"/>
        <v>3</v>
      </c>
      <c r="AN141" s="300" t="str">
        <f t="shared" si="4"/>
        <v>0</v>
      </c>
      <c r="AO141" s="300">
        <f t="shared" si="5"/>
        <v>1</v>
      </c>
      <c r="AP141" s="88"/>
    </row>
    <row r="142">
      <c r="A142" s="284">
        <v>140.0</v>
      </c>
      <c r="B142" s="304" t="s">
        <v>1852</v>
      </c>
      <c r="C142" s="304" t="s">
        <v>2861</v>
      </c>
      <c r="D142" s="286" t="str">
        <f>VLOOKUP(B142,USN!$1:$1088,2,False)</f>
        <v>1CR23AD140</v>
      </c>
      <c r="E142" s="304">
        <v>6.30037209E9</v>
      </c>
      <c r="F142" s="287" t="s">
        <v>3715</v>
      </c>
      <c r="G142" s="288"/>
      <c r="H142" s="289">
        <v>80.0</v>
      </c>
      <c r="I142" s="120">
        <v>87.0</v>
      </c>
      <c r="J142" s="120">
        <f>VLOOKUP(D142,'L3'!$1:$2060,2,False)</f>
        <v>70</v>
      </c>
      <c r="K142" s="120">
        <f>VLOOKUP(D142,'L4'!$1:$2059,2,False)</f>
        <v>70</v>
      </c>
      <c r="L142" s="121">
        <f>VLOOKUP(D142,'A1 RETEST 5 DEC'!$1:$2096,2,False)</f>
        <v>59</v>
      </c>
      <c r="M142" s="122">
        <f>VLOOKUP(D142,'A2 RETEST 4 DEC'!$1:$2096,2,False)</f>
        <v>50</v>
      </c>
      <c r="N142" s="122">
        <v>20.0</v>
      </c>
      <c r="O142" s="121"/>
      <c r="P142" s="123">
        <f>IFNA(VLOOKUP(D142,'S1'!$1:$1500,2,False),0)</f>
        <v>85</v>
      </c>
      <c r="Q142" s="123">
        <f>vlookup(D142,'S2'!A138:B1340,2,0)</f>
        <v>0</v>
      </c>
      <c r="R142" s="123">
        <f>ifna(vlookup(D142,'S3'!$1:$1311,2,False),0)</f>
        <v>0</v>
      </c>
      <c r="S142" s="123"/>
      <c r="T142" s="125">
        <v>15.0</v>
      </c>
      <c r="U142" s="125">
        <v>22.0</v>
      </c>
      <c r="V142" s="125">
        <v>86.0</v>
      </c>
      <c r="W142" s="308">
        <v>70.0</v>
      </c>
      <c r="X142" s="303" t="s">
        <v>3717</v>
      </c>
      <c r="Y142" s="125"/>
      <c r="Z142" s="292"/>
      <c r="AA142" s="293">
        <v>60.0</v>
      </c>
      <c r="AB142" s="294">
        <v>95.0</v>
      </c>
      <c r="AC142" s="295">
        <v>0.0</v>
      </c>
      <c r="AD142" s="302">
        <v>100.0</v>
      </c>
      <c r="AE142" s="297">
        <v>60.0</v>
      </c>
      <c r="AF142" s="298"/>
      <c r="AG142" s="298">
        <v>10.0</v>
      </c>
      <c r="AH142" s="298"/>
      <c r="AI142" s="299"/>
      <c r="AJ142" s="299"/>
      <c r="AK142" s="300">
        <f t="shared" si="1"/>
        <v>4</v>
      </c>
      <c r="AL142" s="300">
        <f t="shared" si="2"/>
        <v>2</v>
      </c>
      <c r="AM142" s="301">
        <f t="shared" si="3"/>
        <v>3</v>
      </c>
      <c r="AN142" s="300" t="str">
        <f t="shared" si="4"/>
        <v>3</v>
      </c>
      <c r="AO142" s="300">
        <f t="shared" si="5"/>
        <v>1</v>
      </c>
      <c r="AP142" s="88"/>
    </row>
    <row r="143">
      <c r="A143" s="284">
        <v>141.0</v>
      </c>
      <c r="B143" s="304" t="s">
        <v>1853</v>
      </c>
      <c r="C143" s="304" t="s">
        <v>2862</v>
      </c>
      <c r="D143" s="286" t="str">
        <f>VLOOKUP(B143,USN!$1:$1088,2,False)</f>
        <v>1CR23AD141</v>
      </c>
      <c r="E143" s="304">
        <v>7.87741625E9</v>
      </c>
      <c r="F143" s="287" t="s">
        <v>3715</v>
      </c>
      <c r="G143" s="288"/>
      <c r="H143" s="289">
        <v>72.0</v>
      </c>
      <c r="I143" s="120">
        <v>83.0</v>
      </c>
      <c r="J143" s="120">
        <f>VLOOKUP(D143,'L3'!$1:$2060,2,False)</f>
        <v>73</v>
      </c>
      <c r="K143" s="120">
        <f>VLOOKUP(D143,'L4'!$1:$2059,2,False)</f>
        <v>70</v>
      </c>
      <c r="L143" s="121">
        <f>VLOOKUP(D143,'A1 RETEST 5 DEC'!$1:$2096,2,False)</f>
        <v>50</v>
      </c>
      <c r="M143" s="122">
        <f>VLOOKUP(D143,'A2 RETEST 4 DEC'!$1:$2096,2,False)</f>
        <v>17</v>
      </c>
      <c r="N143" s="122">
        <v>9.0</v>
      </c>
      <c r="O143" s="121"/>
      <c r="P143" s="123">
        <f>IFNA(VLOOKUP(D143,'S1'!$1:$1500,2,False),0)</f>
        <v>73</v>
      </c>
      <c r="Q143" s="123">
        <f>vlookup(D143,'S2'!A139:B1341,2,0)</f>
        <v>0</v>
      </c>
      <c r="R143" s="123">
        <f>ifna(vlookup(D143,'S3'!$1:$1311,2,False),0)</f>
        <v>0</v>
      </c>
      <c r="S143" s="123"/>
      <c r="T143" s="125">
        <v>11.0</v>
      </c>
      <c r="U143" s="125">
        <v>21.0</v>
      </c>
      <c r="V143" s="125">
        <v>74.0</v>
      </c>
      <c r="W143" s="308" t="s">
        <v>3716</v>
      </c>
      <c r="X143" s="303" t="s">
        <v>3717</v>
      </c>
      <c r="Y143" s="125"/>
      <c r="Z143" s="292"/>
      <c r="AA143" s="293">
        <v>48.0</v>
      </c>
      <c r="AB143" s="294">
        <v>93.0</v>
      </c>
      <c r="AC143" s="295">
        <v>43.0</v>
      </c>
      <c r="AD143" s="296">
        <v>2.0</v>
      </c>
      <c r="AE143" s="297">
        <v>10.0</v>
      </c>
      <c r="AF143" s="298"/>
      <c r="AG143" s="298">
        <v>0.0</v>
      </c>
      <c r="AH143" s="298"/>
      <c r="AI143" s="299"/>
      <c r="AJ143" s="299"/>
      <c r="AK143" s="300">
        <f t="shared" si="1"/>
        <v>4</v>
      </c>
      <c r="AL143" s="300">
        <f t="shared" si="2"/>
        <v>1</v>
      </c>
      <c r="AM143" s="301">
        <f t="shared" si="3"/>
        <v>3</v>
      </c>
      <c r="AN143" s="300" t="str">
        <f t="shared" si="4"/>
        <v>2</v>
      </c>
      <c r="AO143" s="300">
        <f t="shared" si="5"/>
        <v>1</v>
      </c>
      <c r="AP143" s="88"/>
    </row>
    <row r="144">
      <c r="A144" s="284">
        <v>142.0</v>
      </c>
      <c r="B144" s="304" t="s">
        <v>1854</v>
      </c>
      <c r="C144" s="304" t="s">
        <v>2863</v>
      </c>
      <c r="D144" s="286" t="str">
        <f>VLOOKUP(B144,USN!$1:$1088,2,False)</f>
        <v>1CR23AD142</v>
      </c>
      <c r="E144" s="304">
        <v>8.310352035E9</v>
      </c>
      <c r="F144" s="287" t="s">
        <v>3715</v>
      </c>
      <c r="G144" s="288"/>
      <c r="H144" s="289">
        <v>69.0</v>
      </c>
      <c r="I144" s="120">
        <v>78.0</v>
      </c>
      <c r="J144" s="120">
        <f>VLOOKUP(D144,'L3'!$1:$2060,2,False)</f>
        <v>70</v>
      </c>
      <c r="K144" s="120">
        <f>VLOOKUP(D144,'L4'!$1:$2059,2,False)</f>
        <v>58</v>
      </c>
      <c r="L144" s="121">
        <f>VLOOKUP(D144,'A1 RETEST 5 DEC'!$1:$2096,2,False)</f>
        <v>22</v>
      </c>
      <c r="M144" s="122">
        <f>VLOOKUP(D144,'A2 RETEST 4 DEC'!$1:$2096,2,False)</f>
        <v>10</v>
      </c>
      <c r="N144" s="122">
        <v>0.0</v>
      </c>
      <c r="O144" s="121"/>
      <c r="P144" s="123">
        <f>IFNA(VLOOKUP(D144,'S1'!$1:$1500,2,False),0)</f>
        <v>0</v>
      </c>
      <c r="Q144" s="123">
        <f>vlookup(D144,'S2'!A140:B1342,2,0)</f>
        <v>0</v>
      </c>
      <c r="R144" s="123">
        <f>ifna(vlookup(D144,'S3'!$1:$1311,2,False),0)</f>
        <v>0</v>
      </c>
      <c r="S144" s="123"/>
      <c r="T144" s="125">
        <v>13.0</v>
      </c>
      <c r="U144" s="125">
        <v>18.0</v>
      </c>
      <c r="V144" s="125">
        <v>76.0</v>
      </c>
      <c r="W144" s="308">
        <v>74.0</v>
      </c>
      <c r="X144" s="291">
        <v>80.0</v>
      </c>
      <c r="Y144" s="125"/>
      <c r="Z144" s="292"/>
      <c r="AA144" s="293">
        <v>2.0</v>
      </c>
      <c r="AB144" s="294">
        <v>79.0</v>
      </c>
      <c r="AC144" s="295">
        <v>5.0</v>
      </c>
      <c r="AD144" s="296">
        <v>0.0</v>
      </c>
      <c r="AE144" s="297">
        <v>10.0</v>
      </c>
      <c r="AF144" s="298"/>
      <c r="AG144" s="298">
        <v>0.0</v>
      </c>
      <c r="AH144" s="298"/>
      <c r="AI144" s="299"/>
      <c r="AJ144" s="299"/>
      <c r="AK144" s="300">
        <f t="shared" si="1"/>
        <v>3</v>
      </c>
      <c r="AL144" s="300">
        <f t="shared" si="2"/>
        <v>0</v>
      </c>
      <c r="AM144" s="301">
        <f t="shared" si="3"/>
        <v>3</v>
      </c>
      <c r="AN144" s="300" t="str">
        <f t="shared" si="4"/>
        <v>2</v>
      </c>
      <c r="AO144" s="300">
        <f t="shared" si="5"/>
        <v>0</v>
      </c>
      <c r="AP144" s="88"/>
    </row>
    <row r="145">
      <c r="A145" s="284">
        <v>143.0</v>
      </c>
      <c r="B145" s="304" t="s">
        <v>99</v>
      </c>
      <c r="C145" s="304" t="s">
        <v>2864</v>
      </c>
      <c r="D145" s="286" t="str">
        <f>VLOOKUP(B145,USN!$1:$1088,2,False)</f>
        <v>1CR23AD143</v>
      </c>
      <c r="E145" s="304">
        <v>8.792857152E9</v>
      </c>
      <c r="F145" s="287" t="s">
        <v>3715</v>
      </c>
      <c r="G145" s="288"/>
      <c r="H145" s="120">
        <v>70.0</v>
      </c>
      <c r="I145" s="120">
        <v>75.0</v>
      </c>
      <c r="J145" s="120">
        <f>VLOOKUP(D145,'L3'!$1:$2060,2,False)</f>
        <v>76</v>
      </c>
      <c r="K145" s="120">
        <f>VLOOKUP(D145,'L4'!$1:$2059,2,False)</f>
        <v>77</v>
      </c>
      <c r="L145" s="121">
        <f>VLOOKUP(D145,'A1 RETEST 5 DEC'!$1:$2096,2,False)</f>
        <v>50</v>
      </c>
      <c r="M145" s="122">
        <f>VLOOKUP(D145,'A2 RETEST 4 DEC'!$1:$2096,2,False)</f>
        <v>35</v>
      </c>
      <c r="N145" s="122">
        <v>22.0</v>
      </c>
      <c r="O145" s="121"/>
      <c r="P145" s="123">
        <f>IFNA(VLOOKUP(D145,'S1'!$1:$1500,2,False),0)</f>
        <v>0</v>
      </c>
      <c r="Q145" s="123">
        <f>vlookup(D145,'S2'!A141:B1343,2,0)</f>
        <v>0</v>
      </c>
      <c r="R145" s="123">
        <f>ifna(vlookup(D145,'S3'!$1:$1311,2,False),0)</f>
        <v>0</v>
      </c>
      <c r="S145" s="123"/>
      <c r="T145" s="125">
        <v>5.0</v>
      </c>
      <c r="U145" s="125">
        <v>18.0</v>
      </c>
      <c r="V145" s="125">
        <v>66.0</v>
      </c>
      <c r="W145" s="290">
        <v>68.0</v>
      </c>
      <c r="X145" s="291">
        <v>78.0</v>
      </c>
      <c r="Y145" s="125"/>
      <c r="Z145" s="292"/>
      <c r="AA145" s="293">
        <v>0.0</v>
      </c>
      <c r="AB145" s="294">
        <v>94.0</v>
      </c>
      <c r="AC145" s="295">
        <v>0.0</v>
      </c>
      <c r="AD145" s="296">
        <v>2.0</v>
      </c>
      <c r="AE145" s="297">
        <v>10.0</v>
      </c>
      <c r="AF145" s="298"/>
      <c r="AG145" s="298">
        <v>0.0</v>
      </c>
      <c r="AH145" s="298"/>
      <c r="AI145" s="299"/>
      <c r="AJ145" s="299"/>
      <c r="AK145" s="300">
        <f t="shared" si="1"/>
        <v>4</v>
      </c>
      <c r="AL145" s="300">
        <f t="shared" si="2"/>
        <v>1</v>
      </c>
      <c r="AM145" s="301">
        <f t="shared" si="3"/>
        <v>3</v>
      </c>
      <c r="AN145" s="300" t="str">
        <f t="shared" si="4"/>
        <v>2</v>
      </c>
      <c r="AO145" s="300">
        <f t="shared" si="5"/>
        <v>0</v>
      </c>
      <c r="AP145" s="88"/>
    </row>
    <row r="146">
      <c r="A146" s="321">
        <v>155.0</v>
      </c>
      <c r="B146" s="322" t="s">
        <v>2865</v>
      </c>
      <c r="C146" s="323" t="s">
        <v>2866</v>
      </c>
      <c r="D146" s="323" t="s">
        <v>1026</v>
      </c>
      <c r="E146" s="284">
        <v>9.901588777E9</v>
      </c>
      <c r="F146" s="284" t="s">
        <v>3715</v>
      </c>
      <c r="G146" s="288"/>
      <c r="H146" s="117">
        <v>86.0</v>
      </c>
      <c r="I146" s="117">
        <v>90.0</v>
      </c>
      <c r="J146" s="120">
        <f>VLOOKUP(D146,'L3'!$1:$2060,2,False)</f>
        <v>70</v>
      </c>
      <c r="K146" s="120">
        <f>VLOOKUP(D146,'L4'!$1:$2059,2,False)</f>
        <v>70</v>
      </c>
      <c r="L146" s="121">
        <f>VLOOKUP(D146,'A1 RETEST 5 DEC'!$1:$2096,2,False)</f>
        <v>50</v>
      </c>
      <c r="M146" s="122">
        <f>VLOOKUP(D146,'A2 RETEST 4 DEC'!$1:$2096,2,False)</f>
        <v>24</v>
      </c>
      <c r="N146" s="122">
        <v>50.0</v>
      </c>
      <c r="O146" s="324"/>
      <c r="P146" s="123">
        <f>IFNA(VLOOKUP(D146,'S1'!$1:$1500,2,False),0)</f>
        <v>70</v>
      </c>
      <c r="Q146" s="123">
        <f>vlookup(D146,'S2'!A142:B1344,2,0)</f>
        <v>50</v>
      </c>
      <c r="R146" s="123">
        <f>ifna(vlookup(D146,'S3'!$1:$1311,2,False),0)</f>
        <v>84</v>
      </c>
      <c r="S146" s="324"/>
      <c r="T146" s="324">
        <v>13.0</v>
      </c>
      <c r="U146" s="324">
        <v>15.0</v>
      </c>
      <c r="V146" s="125">
        <v>80.0</v>
      </c>
      <c r="W146" s="324">
        <v>82.0</v>
      </c>
      <c r="X146" s="291">
        <v>74.0</v>
      </c>
      <c r="Y146" s="324"/>
      <c r="Z146" s="299"/>
      <c r="AA146" s="295">
        <v>88.0</v>
      </c>
      <c r="AB146" s="295">
        <v>100.0</v>
      </c>
      <c r="AC146" s="295">
        <v>98.0</v>
      </c>
      <c r="AD146" s="302">
        <v>80.0</v>
      </c>
      <c r="AE146" s="297">
        <v>85.0</v>
      </c>
      <c r="AF146" s="299"/>
      <c r="AG146" s="298">
        <v>86.0</v>
      </c>
      <c r="AH146" s="299"/>
      <c r="AI146" s="299"/>
      <c r="AJ146" s="299"/>
      <c r="AK146" s="300">
        <f t="shared" si="1"/>
        <v>4</v>
      </c>
      <c r="AL146" s="300">
        <f t="shared" si="2"/>
        <v>1</v>
      </c>
      <c r="AM146" s="301">
        <f t="shared" si="3"/>
        <v>3</v>
      </c>
      <c r="AN146" s="300" t="str">
        <f t="shared" si="4"/>
        <v>3.5</v>
      </c>
      <c r="AO146" s="300">
        <f t="shared" si="5"/>
        <v>3</v>
      </c>
      <c r="AP146" s="88"/>
    </row>
    <row r="147">
      <c r="A147" s="316">
        <v>111.0</v>
      </c>
      <c r="B147" s="285" t="s">
        <v>2274</v>
      </c>
      <c r="C147" s="285" t="s">
        <v>2867</v>
      </c>
      <c r="D147" s="316" t="s">
        <v>1347</v>
      </c>
      <c r="E147" s="285">
        <v>9.945326848E9</v>
      </c>
      <c r="F147" s="285" t="s">
        <v>3736</v>
      </c>
      <c r="G147" s="325"/>
      <c r="H147" s="117">
        <f>IFNA(VLOOKUP(B147,'L1 '!$1:$1000,2,False),0)</f>
        <v>0</v>
      </c>
      <c r="I147" s="117">
        <f>IFNA(VLOOKUP(B147,'L2'!$1:$1000,2,False),0)</f>
        <v>0</v>
      </c>
      <c r="J147" s="326">
        <v>40.0</v>
      </c>
      <c r="K147" s="120">
        <v>0.0</v>
      </c>
      <c r="L147" s="121">
        <f>VLOOKUP(D147,'A1 RETEST 5 DEC'!$1:$2096,2,False)</f>
        <v>20</v>
      </c>
      <c r="M147" s="122">
        <f>VLOOKUP(D147,'A2 RETEST 4 DEC'!$1:$2096,2,False)</f>
        <v>50</v>
      </c>
      <c r="N147" s="122">
        <v>7.0</v>
      </c>
      <c r="O147" s="327"/>
      <c r="P147" s="123">
        <f>IFNA(VLOOKUP(D147,'S1'!$1:$1500,2,False),0)</f>
        <v>0</v>
      </c>
      <c r="Q147" s="123">
        <v>0.0</v>
      </c>
      <c r="R147" s="123">
        <f>ifna(vlookup(D147,'S3'!$1:$1311,2,False),0)</f>
        <v>0</v>
      </c>
      <c r="S147" s="328"/>
      <c r="T147" s="329">
        <v>14.0</v>
      </c>
      <c r="U147" s="329">
        <v>15.0</v>
      </c>
      <c r="V147" s="125">
        <v>0.0</v>
      </c>
      <c r="W147" s="329" t="s">
        <v>3716</v>
      </c>
      <c r="X147" s="124" t="s">
        <v>3717</v>
      </c>
      <c r="Y147" s="329"/>
      <c r="Z147" s="330"/>
      <c r="AA147" s="302"/>
      <c r="AB147" s="302">
        <v>93.0</v>
      </c>
      <c r="AC147" s="309">
        <v>70.0</v>
      </c>
      <c r="AD147" s="298"/>
      <c r="AE147" s="297">
        <v>10.0</v>
      </c>
      <c r="AF147" s="331"/>
      <c r="AG147" s="298">
        <v>0.0</v>
      </c>
      <c r="AH147" s="331"/>
      <c r="AI147" s="332"/>
      <c r="AJ147" s="332"/>
      <c r="AK147" s="300">
        <f t="shared" si="1"/>
        <v>0</v>
      </c>
      <c r="AL147" s="300">
        <f t="shared" si="2"/>
        <v>0</v>
      </c>
      <c r="AM147" s="301">
        <f t="shared" si="3"/>
        <v>3</v>
      </c>
      <c r="AN147" s="300" t="str">
        <f t="shared" si="4"/>
        <v>3</v>
      </c>
      <c r="AO147" s="300">
        <f t="shared" si="5"/>
        <v>0</v>
      </c>
      <c r="AP147" s="333"/>
    </row>
    <row r="148">
      <c r="A148" s="321">
        <v>149.0</v>
      </c>
      <c r="B148" s="322" t="s">
        <v>67</v>
      </c>
      <c r="C148" s="334" t="s">
        <v>3613</v>
      </c>
      <c r="D148" s="323" t="s">
        <v>1027</v>
      </c>
      <c r="E148" s="284">
        <v>9.019540745E9</v>
      </c>
      <c r="F148" s="284"/>
      <c r="G148" s="288"/>
      <c r="H148" s="117">
        <v>70.0</v>
      </c>
      <c r="I148" s="117">
        <v>70.0</v>
      </c>
      <c r="J148" s="120">
        <f>VLOOKUP(D148,'L3'!$1:$2060,2,False)</f>
        <v>70</v>
      </c>
      <c r="K148" s="120">
        <f>VLOOKUP(D148,'L4'!$1:$2059,2,False)</f>
        <v>84</v>
      </c>
      <c r="L148" s="121">
        <f>VLOOKUP(D148,'A1 RETEST 5 DEC'!$1:$2096,2,False)</f>
        <v>34</v>
      </c>
      <c r="M148" s="122">
        <f>VLOOKUP(D148,'A2 RETEST 4 DEC'!$1:$2096,2,False)</f>
        <v>50</v>
      </c>
      <c r="N148" s="122">
        <v>1.25</v>
      </c>
      <c r="O148" s="324"/>
      <c r="P148" s="123">
        <f>IFNA(VLOOKUP(D148,'S1'!$1:$1500,2,False),0)</f>
        <v>0</v>
      </c>
      <c r="Q148" s="123">
        <f>vlookup(D148,'S2'!A144:B1346,2,0)</f>
        <v>0</v>
      </c>
      <c r="R148" s="123">
        <f>ifna(vlookup(D148,'S3'!$1:$1311,2,False),0)</f>
        <v>0</v>
      </c>
      <c r="S148" s="324"/>
      <c r="T148" s="324"/>
      <c r="U148" s="324"/>
      <c r="V148" s="125">
        <v>84.0</v>
      </c>
      <c r="W148" s="324">
        <v>68.0</v>
      </c>
      <c r="X148" s="291">
        <v>68.0</v>
      </c>
      <c r="Y148" s="324"/>
      <c r="Z148" s="299"/>
      <c r="AA148" s="295"/>
      <c r="AB148" s="295">
        <v>58.0</v>
      </c>
      <c r="AC148" s="295">
        <v>58.0</v>
      </c>
      <c r="AD148" s="296">
        <v>1.0</v>
      </c>
      <c r="AE148" s="297">
        <v>60.0</v>
      </c>
      <c r="AF148" s="299"/>
      <c r="AG148" s="298">
        <v>24.0</v>
      </c>
      <c r="AH148" s="299"/>
      <c r="AI148" s="299"/>
      <c r="AJ148" s="299"/>
      <c r="AK148" s="300">
        <f t="shared" si="1"/>
        <v>4</v>
      </c>
      <c r="AL148" s="300">
        <f t="shared" si="2"/>
        <v>0</v>
      </c>
      <c r="AM148" s="301">
        <f t="shared" si="3"/>
        <v>0</v>
      </c>
      <c r="AN148" s="300" t="str">
        <f t="shared" si="4"/>
        <v>2</v>
      </c>
      <c r="AO148" s="300">
        <f t="shared" si="5"/>
        <v>0</v>
      </c>
      <c r="AP148" s="88"/>
    </row>
    <row r="149">
      <c r="A149" s="321">
        <v>150.0</v>
      </c>
      <c r="B149" s="322" t="s">
        <v>19</v>
      </c>
      <c r="C149" s="334" t="s">
        <v>3614</v>
      </c>
      <c r="D149" s="284" t="s">
        <v>1343</v>
      </c>
      <c r="E149" s="284">
        <v>8.10550981E9</v>
      </c>
      <c r="F149" s="284"/>
      <c r="G149" s="288"/>
      <c r="H149" s="117">
        <f>IFNA(VLOOKUP(B149,'L1 '!$1:$1000,2,False),0)</f>
        <v>84</v>
      </c>
      <c r="I149" s="117">
        <f>IFNA(VLOOKUP(B149,'L2'!$1:$1000,2,False),0)</f>
        <v>88</v>
      </c>
      <c r="J149" s="120">
        <v>80.5</v>
      </c>
      <c r="K149" s="120">
        <f>VLOOKUP(D149,'L4'!$1:$2059,2,False)</f>
        <v>74</v>
      </c>
      <c r="L149" s="121">
        <f>VLOOKUP(D149,'A1 RETEST 5 DEC'!$1:$2096,2,False)</f>
        <v>68</v>
      </c>
      <c r="M149" s="122">
        <f>VLOOKUP(D149,'A2 RETEST 4 DEC'!$1:$2096,2,False)</f>
        <v>18</v>
      </c>
      <c r="N149" s="122">
        <v>0.0</v>
      </c>
      <c r="O149" s="324"/>
      <c r="P149" s="123">
        <f>IFNA(VLOOKUP(D149,'S1'!$1:$1500,2,False),0)</f>
        <v>75</v>
      </c>
      <c r="Q149" s="123">
        <f>vlookup(D149,'S2'!A145:B1347,2,0)</f>
        <v>62</v>
      </c>
      <c r="R149" s="123">
        <f>ifna(vlookup(D149,'S3'!$1:$1311,2,False),0)</f>
        <v>70</v>
      </c>
      <c r="S149" s="324"/>
      <c r="T149" s="324"/>
      <c r="U149" s="324"/>
      <c r="V149" s="125">
        <v>90.0</v>
      </c>
      <c r="W149" s="324">
        <v>82.0</v>
      </c>
      <c r="X149" s="291">
        <v>80.0</v>
      </c>
      <c r="Y149" s="324"/>
      <c r="Z149" s="299"/>
      <c r="AA149" s="295"/>
      <c r="AB149" s="295">
        <v>63.0</v>
      </c>
      <c r="AC149" s="295">
        <v>63.0</v>
      </c>
      <c r="AD149" s="296">
        <v>27.0</v>
      </c>
      <c r="AE149" s="297">
        <v>98.0</v>
      </c>
      <c r="AF149" s="299"/>
      <c r="AG149" s="298">
        <v>70.0</v>
      </c>
      <c r="AH149" s="299"/>
      <c r="AI149" s="299"/>
      <c r="AJ149" s="299"/>
      <c r="AK149" s="300">
        <f t="shared" si="1"/>
        <v>4</v>
      </c>
      <c r="AL149" s="300">
        <f t="shared" si="2"/>
        <v>1</v>
      </c>
      <c r="AM149" s="301">
        <f t="shared" si="3"/>
        <v>0</v>
      </c>
      <c r="AN149" s="300" t="str">
        <f t="shared" si="4"/>
        <v>3.5</v>
      </c>
      <c r="AO149" s="300">
        <f t="shared" si="5"/>
        <v>3</v>
      </c>
      <c r="AP149" s="88"/>
    </row>
    <row r="150">
      <c r="A150" s="321">
        <v>144.0</v>
      </c>
      <c r="B150" s="322" t="s">
        <v>17</v>
      </c>
      <c r="C150" s="334" t="s">
        <v>3615</v>
      </c>
      <c r="D150" s="323" t="s">
        <v>1029</v>
      </c>
      <c r="E150" s="284">
        <v>8.123200985E9</v>
      </c>
      <c r="F150" s="284"/>
      <c r="G150" s="288"/>
      <c r="H150" s="117">
        <f>IFNA(VLOOKUP(B150,'L1 '!$1:$1000,2,False),0)</f>
        <v>96</v>
      </c>
      <c r="I150" s="117">
        <f>IFNA(VLOOKUP(B150,'L2'!$1:$1000,2,False),0)</f>
        <v>92</v>
      </c>
      <c r="J150" s="120">
        <f>VLOOKUP(D150,'L3'!$1:$2060,2,False)</f>
        <v>82</v>
      </c>
      <c r="K150" s="120">
        <f>VLOOKUP(D150,'L4'!$1:$2059,2,False)</f>
        <v>70</v>
      </c>
      <c r="L150" s="121">
        <f>VLOOKUP(D150,'A1 RETEST 5 DEC'!$1:$2096,2,False)</f>
        <v>71</v>
      </c>
      <c r="M150" s="122">
        <f>VLOOKUP(D150,'A2 RETEST 4 DEC'!$1:$2096,2,False)</f>
        <v>50</v>
      </c>
      <c r="N150" s="122">
        <v>50.0</v>
      </c>
      <c r="O150" s="324"/>
      <c r="P150" s="123">
        <f>IFNA(VLOOKUP(D150,'S1'!$1:$1500,2,False),0)</f>
        <v>50</v>
      </c>
      <c r="Q150" s="123">
        <f>vlookup(D150,'S2'!A146:B1348,2,0)</f>
        <v>50</v>
      </c>
      <c r="R150" s="123">
        <f>ifna(vlookup(D150,'S3'!$1:$1311,2,False),0)</f>
        <v>79</v>
      </c>
      <c r="S150" s="335"/>
      <c r="T150" s="324"/>
      <c r="U150" s="324"/>
      <c r="V150" s="125">
        <v>86.0</v>
      </c>
      <c r="W150" s="290">
        <v>76.0</v>
      </c>
      <c r="X150" s="291">
        <v>78.0</v>
      </c>
      <c r="Y150" s="324"/>
      <c r="Z150" s="299"/>
      <c r="AA150" s="295"/>
      <c r="AB150" s="295">
        <v>70.0</v>
      </c>
      <c r="AC150" s="295">
        <v>70.0</v>
      </c>
      <c r="AD150" s="296">
        <v>42.0</v>
      </c>
      <c r="AE150" s="297">
        <v>20.0</v>
      </c>
      <c r="AF150" s="299"/>
      <c r="AG150" s="298">
        <v>83.0</v>
      </c>
      <c r="AH150" s="299"/>
      <c r="AI150" s="299"/>
      <c r="AJ150" s="299"/>
      <c r="AK150" s="300">
        <f t="shared" si="1"/>
        <v>4</v>
      </c>
      <c r="AL150" s="300">
        <f t="shared" si="2"/>
        <v>3</v>
      </c>
      <c r="AM150" s="301">
        <f t="shared" si="3"/>
        <v>0</v>
      </c>
      <c r="AN150" s="300" t="str">
        <f t="shared" si="4"/>
        <v>3</v>
      </c>
      <c r="AO150" s="300">
        <f t="shared" si="5"/>
        <v>3</v>
      </c>
      <c r="AP150" s="88"/>
    </row>
    <row r="151">
      <c r="A151" s="321">
        <v>146.0</v>
      </c>
      <c r="B151" s="322" t="s">
        <v>3737</v>
      </c>
      <c r="C151" s="334" t="s">
        <v>3616</v>
      </c>
      <c r="D151" s="323" t="s">
        <v>1031</v>
      </c>
      <c r="E151" s="284">
        <v>7.899945033E9</v>
      </c>
      <c r="F151" s="284"/>
      <c r="G151" s="288"/>
      <c r="H151" s="117">
        <v>40.0</v>
      </c>
      <c r="I151" s="117">
        <v>92.0</v>
      </c>
      <c r="J151" s="120">
        <f>VLOOKUP(D151,'L3'!$1:$2060,2,False)</f>
        <v>72</v>
      </c>
      <c r="K151" s="120">
        <f>VLOOKUP(D151,'L4'!$1:$2059,2,False)</f>
        <v>59</v>
      </c>
      <c r="L151" s="121">
        <f>VLOOKUP(D151,'A1 RETEST 5 DEC'!$1:$2096,2,False)</f>
        <v>21</v>
      </c>
      <c r="M151" s="122">
        <f>VLOOKUP(D151,'A2 RETEST 4 DEC'!$1:$2096,2,False)</f>
        <v>50</v>
      </c>
      <c r="N151" s="121" t="e">
        <v>#N/A</v>
      </c>
      <c r="O151" s="324"/>
      <c r="P151" s="123">
        <f>IFNA(VLOOKUP(D151,'S1'!$1:$1500,2,False),0)</f>
        <v>0</v>
      </c>
      <c r="Q151" s="123">
        <f>vlookup(D151,'S2'!A147:B1349,2,0)</f>
        <v>0</v>
      </c>
      <c r="R151" s="123">
        <f>ifna(vlookup(D151,'S3'!$1:$1311,2,False),0)</f>
        <v>0</v>
      </c>
      <c r="S151" s="324"/>
      <c r="T151" s="324"/>
      <c r="U151" s="324"/>
      <c r="V151" s="125">
        <v>84.0</v>
      </c>
      <c r="W151" s="324">
        <v>72.0</v>
      </c>
      <c r="X151" s="291">
        <v>86.0</v>
      </c>
      <c r="Y151" s="324"/>
      <c r="Z151" s="299"/>
      <c r="AA151" s="295"/>
      <c r="AB151" s="295">
        <v>15.0</v>
      </c>
      <c r="AC151" s="295">
        <v>15.0</v>
      </c>
      <c r="AD151" s="296">
        <v>0.0</v>
      </c>
      <c r="AE151" s="297">
        <v>10.0</v>
      </c>
      <c r="AF151" s="299"/>
      <c r="AG151" s="298">
        <v>31.0</v>
      </c>
      <c r="AH151" s="299"/>
      <c r="AI151" s="299"/>
      <c r="AJ151" s="299"/>
      <c r="AK151" s="300">
        <f t="shared" si="1"/>
        <v>0</v>
      </c>
      <c r="AL151" s="300">
        <f t="shared" si="2"/>
        <v>0</v>
      </c>
      <c r="AM151" s="301">
        <f t="shared" si="3"/>
        <v>0</v>
      </c>
      <c r="AN151" s="300" t="str">
        <f t="shared" si="4"/>
        <v>0</v>
      </c>
      <c r="AO151" s="300">
        <f t="shared" si="5"/>
        <v>0</v>
      </c>
      <c r="AP151" s="88"/>
    </row>
    <row r="152">
      <c r="A152" s="321">
        <v>151.0</v>
      </c>
      <c r="B152" s="322" t="s">
        <v>21</v>
      </c>
      <c r="C152" s="334" t="s">
        <v>3617</v>
      </c>
      <c r="D152" s="323" t="s">
        <v>1030</v>
      </c>
      <c r="E152" s="284">
        <v>9.916201591E9</v>
      </c>
      <c r="F152" s="284"/>
      <c r="G152" s="288"/>
      <c r="H152" s="117">
        <f>IFNA(VLOOKUP(B152,'L1 '!$1:$1000,2,False),0)</f>
        <v>84</v>
      </c>
      <c r="I152" s="117">
        <f>IFNA(VLOOKUP(B152,'L2'!$1:$1000,2,False),0)</f>
        <v>84</v>
      </c>
      <c r="J152" s="120">
        <f>VLOOKUP(D152,'L3'!$1:$2060,2,False)</f>
        <v>79</v>
      </c>
      <c r="K152" s="120">
        <f>VLOOKUP(D152,'L4'!$1:$2059,2,False)</f>
        <v>70</v>
      </c>
      <c r="L152" s="121">
        <f>VLOOKUP(D152,'A1 RETEST 5 DEC'!$1:$2096,2,False)</f>
        <v>61</v>
      </c>
      <c r="M152" s="122">
        <v>50.0</v>
      </c>
      <c r="N152" s="122">
        <v>0.0</v>
      </c>
      <c r="O152" s="324"/>
      <c r="P152" s="123">
        <f>IFNA(VLOOKUP(D152,'S1'!$1:$1500,2,False),0)</f>
        <v>75</v>
      </c>
      <c r="Q152" s="123">
        <f>vlookup(D152,'S2'!A148:B1350,2,0)</f>
        <v>50</v>
      </c>
      <c r="R152" s="123">
        <f>ifna(vlookup(D152,'S3'!$1:$1311,2,False),0)</f>
        <v>70</v>
      </c>
      <c r="S152" s="324"/>
      <c r="T152" s="324"/>
      <c r="U152" s="324"/>
      <c r="V152" s="125">
        <v>94.0</v>
      </c>
      <c r="W152" s="324">
        <v>82.0</v>
      </c>
      <c r="X152" s="291">
        <v>90.0</v>
      </c>
      <c r="Y152" s="324"/>
      <c r="Z152" s="299"/>
      <c r="AA152" s="295"/>
      <c r="AB152" s="295">
        <v>58.0</v>
      </c>
      <c r="AC152" s="295">
        <v>60.0</v>
      </c>
      <c r="AD152" s="296">
        <v>43.0</v>
      </c>
      <c r="AE152" s="297">
        <v>98.0</v>
      </c>
      <c r="AF152" s="299"/>
      <c r="AG152" s="298">
        <v>71.0</v>
      </c>
      <c r="AH152" s="299"/>
      <c r="AI152" s="299"/>
      <c r="AJ152" s="299"/>
      <c r="AK152" s="300">
        <f t="shared" si="1"/>
        <v>4</v>
      </c>
      <c r="AL152" s="300">
        <f t="shared" si="2"/>
        <v>2</v>
      </c>
      <c r="AM152" s="301">
        <f t="shared" si="3"/>
        <v>0</v>
      </c>
      <c r="AN152" s="300" t="str">
        <f t="shared" si="4"/>
        <v>3.5</v>
      </c>
      <c r="AO152" s="300">
        <f t="shared" si="5"/>
        <v>3</v>
      </c>
      <c r="AP152" s="88"/>
    </row>
    <row r="153">
      <c r="A153" s="321">
        <v>145.0</v>
      </c>
      <c r="B153" s="322" t="s">
        <v>41</v>
      </c>
      <c r="C153" s="334" t="s">
        <v>3618</v>
      </c>
      <c r="D153" s="323" t="s">
        <v>1032</v>
      </c>
      <c r="E153" s="284">
        <v>9.353624649E9</v>
      </c>
      <c r="F153" s="284"/>
      <c r="G153" s="288"/>
      <c r="H153" s="117">
        <f>IFNA(VLOOKUP(B153,'L1 '!$1:$1000,2,False),0)</f>
        <v>65</v>
      </c>
      <c r="I153" s="117">
        <f>IFNA(VLOOKUP(B153,'L2'!$1:$1000,2,False),0)</f>
        <v>84</v>
      </c>
      <c r="J153" s="120">
        <f>VLOOKUP(D153,'L3'!$1:$2060,2,False)</f>
        <v>70</v>
      </c>
      <c r="K153" s="120">
        <f>VLOOKUP(D153,'L4'!$1:$2059,2,False)</f>
        <v>41</v>
      </c>
      <c r="L153" s="121">
        <f>VLOOKUP(D153,'A1 RETEST 5 DEC'!$1:$2096,2,False)</f>
        <v>19</v>
      </c>
      <c r="M153" s="122">
        <f>VLOOKUP(D153,'A2 RETEST 4 DEC'!$1:$2096,2,False)</f>
        <v>8</v>
      </c>
      <c r="N153" s="122">
        <v>0.0</v>
      </c>
      <c r="O153" s="324"/>
      <c r="P153" s="123">
        <f>IFNA(VLOOKUP(D153,'S1'!$1:$1500,2,False),0)</f>
        <v>0</v>
      </c>
      <c r="Q153" s="123">
        <f>vlookup(D153,'S2'!A149:B1351,2,0)</f>
        <v>0</v>
      </c>
      <c r="R153" s="123">
        <f>ifna(vlookup(D153,'S3'!$1:$1311,2,False),0)</f>
        <v>0</v>
      </c>
      <c r="S153" s="324"/>
      <c r="T153" s="324"/>
      <c r="U153" s="324"/>
      <c r="V153" s="125">
        <v>66.0</v>
      </c>
      <c r="W153" s="324">
        <v>62.0</v>
      </c>
      <c r="X153" s="291">
        <v>78.0</v>
      </c>
      <c r="Y153" s="324"/>
      <c r="Z153" s="299"/>
      <c r="AA153" s="295"/>
      <c r="AB153" s="295">
        <v>38.0</v>
      </c>
      <c r="AC153" s="295">
        <v>38.0</v>
      </c>
      <c r="AD153" s="296">
        <v>1.0</v>
      </c>
      <c r="AE153" s="297">
        <v>10.0</v>
      </c>
      <c r="AF153" s="299"/>
      <c r="AG153" s="298">
        <v>0.0</v>
      </c>
      <c r="AH153" s="299"/>
      <c r="AI153" s="299"/>
      <c r="AJ153" s="299"/>
      <c r="AK153" s="300">
        <f t="shared" si="1"/>
        <v>3</v>
      </c>
      <c r="AL153" s="300">
        <f t="shared" si="2"/>
        <v>0</v>
      </c>
      <c r="AM153" s="301">
        <f t="shared" si="3"/>
        <v>0</v>
      </c>
      <c r="AN153" s="300" t="str">
        <f t="shared" si="4"/>
        <v>0</v>
      </c>
      <c r="AO153" s="300">
        <f t="shared" si="5"/>
        <v>0</v>
      </c>
      <c r="AP153" s="88"/>
    </row>
    <row r="154">
      <c r="A154" s="321">
        <v>156.0</v>
      </c>
      <c r="B154" s="322" t="s">
        <v>18</v>
      </c>
      <c r="C154" s="323" t="s">
        <v>3619</v>
      </c>
      <c r="D154" s="323" t="s">
        <v>1033</v>
      </c>
      <c r="E154" s="284">
        <v>6.360287432E9</v>
      </c>
      <c r="F154" s="284"/>
      <c r="G154" s="288"/>
      <c r="H154" s="117">
        <f>IFNA(VLOOKUP(B154,'L1 '!$1:$1000,2,False),0)</f>
        <v>96</v>
      </c>
      <c r="I154" s="117">
        <f>IFNA(VLOOKUP(B154,'L2'!$1:$1000,2,False),0)</f>
        <v>88</v>
      </c>
      <c r="J154" s="120">
        <f>VLOOKUP(D154,'L3'!$1:$2060,2,False)</f>
        <v>73</v>
      </c>
      <c r="K154" s="120">
        <f>VLOOKUP(D154,'L4'!$1:$2059,2,False)</f>
        <v>55</v>
      </c>
      <c r="L154" s="121">
        <f>VLOOKUP(D154,'A1 RETEST 5 DEC'!$1:$2096,2,False)</f>
        <v>75</v>
      </c>
      <c r="M154" s="122">
        <f>VLOOKUP(D154,'A2 RETEST 4 DEC'!$1:$2096,2,False)</f>
        <v>8</v>
      </c>
      <c r="N154" s="122">
        <v>0.0</v>
      </c>
      <c r="O154" s="324"/>
      <c r="P154" s="123">
        <f>IFNA(VLOOKUP(D154,'S1'!$1:$1500,2,False),0)</f>
        <v>0</v>
      </c>
      <c r="Q154" s="123">
        <f>vlookup(D154,'S2'!A150:B1352,2,0)</f>
        <v>0</v>
      </c>
      <c r="R154" s="123">
        <f>ifna(vlookup(D154,'S3'!$1:$1311,2,False),0)</f>
        <v>0</v>
      </c>
      <c r="S154" s="324"/>
      <c r="T154" s="324"/>
      <c r="U154" s="324"/>
      <c r="V154" s="125">
        <v>72.0</v>
      </c>
      <c r="W154" s="324">
        <v>90.0</v>
      </c>
      <c r="X154" s="291">
        <v>76.0</v>
      </c>
      <c r="Y154" s="324"/>
      <c r="Z154" s="299"/>
      <c r="AA154" s="295"/>
      <c r="AB154" s="295">
        <v>2.0</v>
      </c>
      <c r="AC154" s="295">
        <v>2.0</v>
      </c>
      <c r="AD154" s="302">
        <v>90.0</v>
      </c>
      <c r="AE154" s="297">
        <v>10.0</v>
      </c>
      <c r="AF154" s="299"/>
      <c r="AG154" s="298">
        <v>73.0</v>
      </c>
      <c r="AH154" s="299"/>
      <c r="AI154" s="299"/>
      <c r="AJ154" s="299"/>
      <c r="AK154" s="300">
        <f t="shared" si="1"/>
        <v>3</v>
      </c>
      <c r="AL154" s="300">
        <f t="shared" si="2"/>
        <v>1</v>
      </c>
      <c r="AM154" s="301">
        <f t="shared" si="3"/>
        <v>0</v>
      </c>
      <c r="AN154" s="300" t="str">
        <f t="shared" si="4"/>
        <v>0</v>
      </c>
      <c r="AO154" s="300">
        <f t="shared" si="5"/>
        <v>0</v>
      </c>
      <c r="AP154" s="88"/>
    </row>
    <row r="155">
      <c r="A155" s="321">
        <v>148.0</v>
      </c>
      <c r="B155" s="322" t="s">
        <v>3738</v>
      </c>
      <c r="C155" s="334" t="s">
        <v>3620</v>
      </c>
      <c r="D155" s="284" t="s">
        <v>1034</v>
      </c>
      <c r="E155" s="284">
        <v>9.538854664E9</v>
      </c>
      <c r="F155" s="284"/>
      <c r="G155" s="288"/>
      <c r="H155" s="117">
        <v>32.0</v>
      </c>
      <c r="I155" s="117">
        <v>76.0</v>
      </c>
      <c r="J155" s="120">
        <f>VLOOKUP(D155,'L3'!$1:$2060,2,False)</f>
        <v>30</v>
      </c>
      <c r="K155" s="120">
        <f>VLOOKUP(D155,'L4'!$1:$2059,2,False)</f>
        <v>54</v>
      </c>
      <c r="L155" s="121">
        <f>VLOOKUP(D155,'A1 RETEST 5 DEC'!$1:$2096,2,False)</f>
        <v>25</v>
      </c>
      <c r="M155" s="122">
        <f>VLOOKUP(D155,'A2 RETEST 4 DEC'!$1:$2096,2,False)</f>
        <v>50</v>
      </c>
      <c r="N155" s="121" t="e">
        <v>#N/A</v>
      </c>
      <c r="O155" s="324"/>
      <c r="P155" s="123">
        <f>IFNA(VLOOKUP(D155,'S1'!$1:$1500,2,False),0)</f>
        <v>0</v>
      </c>
      <c r="Q155" s="123">
        <f>vlookup(D155,'S2'!A151:B1353,2,0)</f>
        <v>0</v>
      </c>
      <c r="R155" s="123">
        <f>ifna(vlookup(D155,'S3'!$1:$1311,2,False),0)</f>
        <v>0</v>
      </c>
      <c r="S155" s="324"/>
      <c r="T155" s="324"/>
      <c r="U155" s="324"/>
      <c r="V155" s="125">
        <v>76.0</v>
      </c>
      <c r="W155" s="324">
        <v>76.0</v>
      </c>
      <c r="X155" s="291">
        <v>88.0</v>
      </c>
      <c r="Y155" s="324"/>
      <c r="Z155" s="299"/>
      <c r="AA155" s="295"/>
      <c r="AB155" s="295">
        <v>50.0</v>
      </c>
      <c r="AC155" s="295">
        <v>50.0</v>
      </c>
      <c r="AD155" s="296">
        <v>0.0</v>
      </c>
      <c r="AE155" s="297">
        <v>10.0</v>
      </c>
      <c r="AF155" s="299"/>
      <c r="AG155" s="298">
        <v>57.0</v>
      </c>
      <c r="AH155" s="299"/>
      <c r="AI155" s="299"/>
      <c r="AJ155" s="299"/>
      <c r="AK155" s="300">
        <f t="shared" si="1"/>
        <v>0</v>
      </c>
      <c r="AL155" s="300">
        <f t="shared" si="2"/>
        <v>0</v>
      </c>
      <c r="AM155" s="301">
        <f t="shared" si="3"/>
        <v>0</v>
      </c>
      <c r="AN155" s="300" t="str">
        <f t="shared" si="4"/>
        <v>2</v>
      </c>
      <c r="AO155" s="300">
        <f t="shared" si="5"/>
        <v>0</v>
      </c>
      <c r="AP155" s="88"/>
    </row>
    <row r="156">
      <c r="A156" s="321">
        <v>147.0</v>
      </c>
      <c r="B156" s="322" t="s">
        <v>87</v>
      </c>
      <c r="C156" s="334" t="s">
        <v>3621</v>
      </c>
      <c r="D156" s="284" t="s">
        <v>1344</v>
      </c>
      <c r="E156" s="284">
        <v>8.861003568E9</v>
      </c>
      <c r="F156" s="284"/>
      <c r="G156" s="288"/>
      <c r="H156" s="117">
        <f>IFNA(VLOOKUP(B156,'L1 '!$1:$1000,2,False),0)</f>
        <v>48</v>
      </c>
      <c r="I156" s="117">
        <f>IFNA(VLOOKUP(B156,'L2'!$1:$1000,2,False),0)</f>
        <v>92</v>
      </c>
      <c r="J156" s="120">
        <v>0.0</v>
      </c>
      <c r="K156" s="120">
        <f>VLOOKUP(D156,'L4'!$1:$2059,2,False)</f>
        <v>63</v>
      </c>
      <c r="L156" s="121">
        <f>VLOOKUP(D156,'A1 RETEST 5 DEC'!$1:$2096,2,False)</f>
        <v>21</v>
      </c>
      <c r="M156" s="122">
        <f>VLOOKUP(D156,'A2 RETEST 4 DEC'!$1:$2096,2,False)</f>
        <v>50</v>
      </c>
      <c r="N156" s="122">
        <v>4.75</v>
      </c>
      <c r="O156" s="324"/>
      <c r="P156" s="123">
        <f>IFNA(VLOOKUP(D156,'S1'!$1:$1500,2,False),0)</f>
        <v>0</v>
      </c>
      <c r="Q156" s="123">
        <f>vlookup(D156,'S2'!A152:B1354,2,0)</f>
        <v>50</v>
      </c>
      <c r="R156" s="123">
        <f>ifna(vlookup(D156,'S3'!$1:$1311,2,False),0)</f>
        <v>0</v>
      </c>
      <c r="S156" s="324"/>
      <c r="T156" s="324"/>
      <c r="U156" s="324"/>
      <c r="V156" s="125">
        <v>80.0</v>
      </c>
      <c r="W156" s="324">
        <v>84.0</v>
      </c>
      <c r="X156" s="291">
        <v>88.0</v>
      </c>
      <c r="Y156" s="324"/>
      <c r="Z156" s="299"/>
      <c r="AA156" s="295"/>
      <c r="AB156" s="295">
        <v>1.0</v>
      </c>
      <c r="AC156" s="295">
        <v>1.0</v>
      </c>
      <c r="AD156" s="302">
        <v>60.0</v>
      </c>
      <c r="AE156" s="297">
        <v>10.0</v>
      </c>
      <c r="AF156" s="299"/>
      <c r="AG156" s="298">
        <v>30.0</v>
      </c>
      <c r="AH156" s="299"/>
      <c r="AI156" s="299"/>
      <c r="AJ156" s="299"/>
      <c r="AK156" s="300">
        <f t="shared" si="1"/>
        <v>0</v>
      </c>
      <c r="AL156" s="300">
        <f t="shared" si="2"/>
        <v>0</v>
      </c>
      <c r="AM156" s="301">
        <f t="shared" si="3"/>
        <v>0</v>
      </c>
      <c r="AN156" s="300" t="str">
        <f t="shared" si="4"/>
        <v>0</v>
      </c>
      <c r="AO156" s="300">
        <f t="shared" si="5"/>
        <v>0</v>
      </c>
      <c r="AP156" s="88"/>
    </row>
    <row r="157">
      <c r="A157" s="321">
        <v>154.0</v>
      </c>
      <c r="B157" s="322" t="s">
        <v>3739</v>
      </c>
      <c r="C157" s="334" t="s">
        <v>3623</v>
      </c>
      <c r="D157" s="323" t="s">
        <v>1036</v>
      </c>
      <c r="E157" s="284">
        <v>8.217420047E9</v>
      </c>
      <c r="F157" s="284"/>
      <c r="G157" s="288"/>
      <c r="H157" s="117">
        <f>IFNA(VLOOKUP(B157,'L1 '!$1:$1000,2,False),0)</f>
        <v>0</v>
      </c>
      <c r="I157" s="117">
        <f>IFNA(VLOOKUP(B157,'L2'!$1:$1000,2,False),0)</f>
        <v>0</v>
      </c>
      <c r="J157" s="120">
        <f>VLOOKUP(D157,'L3'!$1:$2060,2,False)</f>
        <v>85</v>
      </c>
      <c r="K157" s="120">
        <f>VLOOKUP(D157,'L4'!$1:$2059,2,False)</f>
        <v>52</v>
      </c>
      <c r="L157" s="121">
        <f>VLOOKUP(D157,'A1 RETEST 5 DEC'!$1:$2096,2,False)</f>
        <v>50</v>
      </c>
      <c r="M157" s="122">
        <f>VLOOKUP(D157,'A2 RETEST 4 DEC'!$1:$2096,2,False)</f>
        <v>3</v>
      </c>
      <c r="N157" s="121" t="e">
        <v>#N/A</v>
      </c>
      <c r="O157" s="324"/>
      <c r="P157" s="123">
        <f>IFNA(VLOOKUP(D157,'S1'!$1:$1500,2,False),0)</f>
        <v>0</v>
      </c>
      <c r="Q157" s="123">
        <f>vlookup(D157,'S2'!A153:B1355,2,0)</f>
        <v>0</v>
      </c>
      <c r="R157" s="123">
        <f>ifna(vlookup(D157,'S3'!$1:$1311,2,False),0)</f>
        <v>0</v>
      </c>
      <c r="S157" s="324"/>
      <c r="T157" s="324"/>
      <c r="U157" s="324"/>
      <c r="V157" s="125">
        <v>82.0</v>
      </c>
      <c r="W157" s="324">
        <v>78.0</v>
      </c>
      <c r="X157" s="291">
        <v>84.0</v>
      </c>
      <c r="Y157" s="324"/>
      <c r="Z157" s="299"/>
      <c r="AA157" s="295"/>
      <c r="AB157" s="295">
        <v>0.0</v>
      </c>
      <c r="AC157" s="295">
        <v>0.0</v>
      </c>
      <c r="AD157" s="296">
        <v>0.0</v>
      </c>
      <c r="AE157" s="297">
        <v>10.0</v>
      </c>
      <c r="AF157" s="299"/>
      <c r="AG157" s="298">
        <v>0.0</v>
      </c>
      <c r="AH157" s="299"/>
      <c r="AI157" s="299"/>
      <c r="AJ157" s="299"/>
      <c r="AK157" s="300">
        <f t="shared" si="1"/>
        <v>0</v>
      </c>
      <c r="AL157" s="300">
        <f t="shared" si="2"/>
        <v>1</v>
      </c>
      <c r="AM157" s="301">
        <f t="shared" si="3"/>
        <v>0</v>
      </c>
      <c r="AN157" s="300" t="str">
        <f t="shared" si="4"/>
        <v>0</v>
      </c>
      <c r="AO157" s="300">
        <f t="shared" si="5"/>
        <v>0</v>
      </c>
      <c r="AP157" s="88"/>
    </row>
    <row r="158">
      <c r="A158" s="321">
        <v>153.0</v>
      </c>
      <c r="B158" s="322" t="s">
        <v>47</v>
      </c>
      <c r="C158" s="334" t="s">
        <v>3624</v>
      </c>
      <c r="D158" s="323" t="s">
        <v>1038</v>
      </c>
      <c r="E158" s="284">
        <v>9.902774236E9</v>
      </c>
      <c r="F158" s="284"/>
      <c r="G158" s="288"/>
      <c r="H158" s="117">
        <f>IFNA(VLOOKUP(B158,'L1 '!$1:$1000,2,False),0)</f>
        <v>60</v>
      </c>
      <c r="I158" s="117">
        <f>IFNA(VLOOKUP(B158,'L2'!$1:$1000,2,False),0)</f>
        <v>44</v>
      </c>
      <c r="J158" s="120">
        <f>VLOOKUP(D158,'L3'!$1:$2060,2,False)</f>
        <v>22</v>
      </c>
      <c r="K158" s="120">
        <f>VLOOKUP(D158,'L4'!$1:$2059,2,False)</f>
        <v>14</v>
      </c>
      <c r="L158" s="121">
        <f>VLOOKUP(D158,'A1 RETEST 5 DEC'!$1:$2096,2,False)</f>
        <v>0</v>
      </c>
      <c r="M158" s="122">
        <f>VLOOKUP(D158,'A2 RETEST 4 DEC'!$1:$2096,2,False)</f>
        <v>0</v>
      </c>
      <c r="N158" s="122">
        <v>0.0</v>
      </c>
      <c r="O158" s="324"/>
      <c r="P158" s="123">
        <f>IFNA(VLOOKUP(D158,'S1'!$1:$1500,2,False),0)</f>
        <v>0</v>
      </c>
      <c r="Q158" s="123">
        <f>vlookup(D158,'S2'!A154:B1356,2,0)</f>
        <v>0</v>
      </c>
      <c r="R158" s="123">
        <f>ifna(vlookup(D158,'S3'!$1:$1311,2,False),0)</f>
        <v>0</v>
      </c>
      <c r="S158" s="324"/>
      <c r="T158" s="324"/>
      <c r="U158" s="324"/>
      <c r="V158" s="125" t="s">
        <v>3716</v>
      </c>
      <c r="W158" s="324" t="s">
        <v>3716</v>
      </c>
      <c r="X158" s="291">
        <v>78.0</v>
      </c>
      <c r="Y158" s="324"/>
      <c r="Z158" s="299"/>
      <c r="AA158" s="295"/>
      <c r="AB158" s="295">
        <v>0.0</v>
      </c>
      <c r="AC158" s="295">
        <v>0.0</v>
      </c>
      <c r="AD158" s="296">
        <v>0.0</v>
      </c>
      <c r="AE158" s="297">
        <v>10.0</v>
      </c>
      <c r="AF158" s="299"/>
      <c r="AG158" s="298">
        <v>10.0</v>
      </c>
      <c r="AH158" s="299"/>
      <c r="AI158" s="299"/>
      <c r="AJ158" s="299"/>
      <c r="AK158" s="300">
        <f t="shared" si="1"/>
        <v>0</v>
      </c>
      <c r="AL158" s="300">
        <f t="shared" si="2"/>
        <v>0</v>
      </c>
      <c r="AM158" s="301">
        <f t="shared" si="3"/>
        <v>0</v>
      </c>
      <c r="AN158" s="300" t="str">
        <f t="shared" si="4"/>
        <v>0</v>
      </c>
      <c r="AO158" s="300">
        <f t="shared" si="5"/>
        <v>0</v>
      </c>
      <c r="AP158" s="88"/>
    </row>
    <row r="159">
      <c r="A159" s="321">
        <v>152.0</v>
      </c>
      <c r="B159" s="322" t="s">
        <v>3625</v>
      </c>
      <c r="C159" s="334" t="s">
        <v>3626</v>
      </c>
      <c r="D159" s="323" t="s">
        <v>1037</v>
      </c>
      <c r="E159" s="284">
        <v>6.360064359E9</v>
      </c>
      <c r="F159" s="284"/>
      <c r="G159" s="288"/>
      <c r="H159" s="117">
        <f>IFNA(VLOOKUP(B159,'L1 '!$1:$1000,2,False),0)</f>
        <v>0</v>
      </c>
      <c r="I159" s="117">
        <f>IFNA(VLOOKUP(B159,'L2'!$1:$1000,2,False),0)</f>
        <v>0</v>
      </c>
      <c r="J159" s="120">
        <f>VLOOKUP(D159,'L3'!$1:$2060,2,False)</f>
        <v>53</v>
      </c>
      <c r="K159" s="120">
        <f>VLOOKUP(D159,'L4'!$1:$2059,2,False)</f>
        <v>36</v>
      </c>
      <c r="L159" s="121">
        <f>VLOOKUP(D159,'A1 RETEST 5 DEC'!$1:$2096,2,False)</f>
        <v>0</v>
      </c>
      <c r="M159" s="122">
        <f>VLOOKUP(D159,'A2 RETEST 4 DEC'!$1:$2096,2,False)</f>
        <v>9</v>
      </c>
      <c r="N159" s="122">
        <v>0.0</v>
      </c>
      <c r="O159" s="324"/>
      <c r="P159" s="123">
        <f>IFNA(VLOOKUP(D159,'S1'!$1:$1500,2,False),0)</f>
        <v>0</v>
      </c>
      <c r="Q159" s="123">
        <f>vlookup(D159,'S2'!A155:B1357,2,0)</f>
        <v>0</v>
      </c>
      <c r="R159" s="123">
        <f>ifna(vlookup(D159,'S3'!$1:$1311,2,False),0)</f>
        <v>0</v>
      </c>
      <c r="S159" s="324"/>
      <c r="T159" s="324"/>
      <c r="U159" s="324"/>
      <c r="V159" s="125">
        <v>78.0</v>
      </c>
      <c r="W159" s="324">
        <v>30.0</v>
      </c>
      <c r="X159" s="291">
        <v>70.0</v>
      </c>
      <c r="Y159" s="324"/>
      <c r="Z159" s="299"/>
      <c r="AA159" s="295"/>
      <c r="AB159" s="295">
        <v>0.0</v>
      </c>
      <c r="AC159" s="295">
        <v>0.0</v>
      </c>
      <c r="AD159" s="296">
        <v>0.0</v>
      </c>
      <c r="AE159" s="297">
        <v>10.0</v>
      </c>
      <c r="AF159" s="299"/>
      <c r="AG159" s="298">
        <v>0.0</v>
      </c>
      <c r="AH159" s="299"/>
      <c r="AI159" s="299"/>
      <c r="AJ159" s="299"/>
      <c r="AK159" s="300">
        <f t="shared" si="1"/>
        <v>0</v>
      </c>
      <c r="AL159" s="300">
        <f t="shared" si="2"/>
        <v>0</v>
      </c>
      <c r="AM159" s="301">
        <f t="shared" si="3"/>
        <v>0</v>
      </c>
      <c r="AN159" s="300" t="str">
        <f t="shared" si="4"/>
        <v>0</v>
      </c>
      <c r="AO159" s="300">
        <f t="shared" si="5"/>
        <v>0</v>
      </c>
      <c r="AP159" s="88"/>
    </row>
    <row r="160">
      <c r="A160" s="261"/>
      <c r="B160" s="336"/>
      <c r="C160" s="336"/>
      <c r="D160" s="337"/>
      <c r="E160" s="255"/>
      <c r="F160" s="255"/>
      <c r="G160" s="338"/>
      <c r="H160" s="155"/>
      <c r="I160" s="155"/>
      <c r="J160" s="155"/>
      <c r="K160" s="120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58"/>
      <c r="AA160" s="339"/>
      <c r="AB160" s="105"/>
      <c r="AC160" s="105"/>
      <c r="AD160" s="105"/>
      <c r="AE160" s="105"/>
      <c r="AF160" s="158"/>
      <c r="AG160" s="105"/>
      <c r="AH160" s="158"/>
      <c r="AI160" s="88"/>
      <c r="AJ160" s="88"/>
      <c r="AK160" s="131"/>
      <c r="AL160" s="131"/>
      <c r="AM160" s="131"/>
      <c r="AN160" s="131"/>
      <c r="AO160" s="131"/>
      <c r="AP160" s="88"/>
    </row>
    <row r="161">
      <c r="A161" s="261"/>
      <c r="B161" s="336"/>
      <c r="C161" s="336"/>
      <c r="D161" s="337"/>
      <c r="E161" s="255"/>
      <c r="F161" s="255"/>
      <c r="G161" s="338"/>
      <c r="H161" s="155"/>
      <c r="I161" s="155"/>
      <c r="J161" s="155"/>
      <c r="K161" s="15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58"/>
      <c r="AA161" s="339"/>
      <c r="AB161" s="105"/>
      <c r="AC161" s="105"/>
      <c r="AD161" s="105"/>
      <c r="AE161" s="105"/>
      <c r="AF161" s="158"/>
      <c r="AG161" s="105"/>
      <c r="AH161" s="158"/>
      <c r="AI161" s="88"/>
      <c r="AJ161" s="88"/>
      <c r="AK161" s="131"/>
      <c r="AL161" s="131"/>
      <c r="AM161" s="131"/>
      <c r="AN161" s="131"/>
      <c r="AO161" s="131"/>
      <c r="AP161" s="88"/>
    </row>
    <row r="162">
      <c r="A162" s="261"/>
      <c r="B162" s="336"/>
      <c r="C162" s="336"/>
      <c r="D162" s="337"/>
      <c r="E162" s="255"/>
      <c r="F162" s="255"/>
      <c r="G162" s="338"/>
      <c r="H162" s="155"/>
      <c r="I162" s="155"/>
      <c r="J162" s="155"/>
      <c r="K162" s="15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58"/>
      <c r="AA162" s="339"/>
      <c r="AB162" s="105"/>
      <c r="AC162" s="105"/>
      <c r="AD162" s="105"/>
      <c r="AE162" s="105"/>
      <c r="AF162" s="158"/>
      <c r="AG162" s="105"/>
      <c r="AH162" s="158"/>
      <c r="AI162" s="88"/>
      <c r="AJ162" s="88"/>
      <c r="AK162" s="131"/>
      <c r="AL162" s="131"/>
      <c r="AM162" s="131"/>
      <c r="AN162" s="131"/>
      <c r="AO162" s="131"/>
      <c r="AP162" s="88"/>
    </row>
    <row r="163">
      <c r="A163" s="261"/>
      <c r="B163" s="336"/>
      <c r="C163" s="336"/>
      <c r="D163" s="337"/>
      <c r="E163" s="255"/>
      <c r="F163" s="255"/>
      <c r="G163" s="338"/>
      <c r="H163" s="155"/>
      <c r="I163" s="155"/>
      <c r="J163" s="155"/>
      <c r="K163" s="15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58"/>
      <c r="AA163" s="339"/>
      <c r="AB163" s="105"/>
      <c r="AC163" s="105"/>
      <c r="AD163" s="105"/>
      <c r="AE163" s="105"/>
      <c r="AF163" s="158"/>
      <c r="AG163" s="105"/>
      <c r="AH163" s="158"/>
      <c r="AI163" s="88"/>
      <c r="AJ163" s="88"/>
      <c r="AK163" s="131"/>
      <c r="AL163" s="131"/>
      <c r="AM163" s="131"/>
      <c r="AN163" s="131"/>
      <c r="AO163" s="131"/>
      <c r="AP163" s="88"/>
    </row>
    <row r="164">
      <c r="A164" s="261"/>
      <c r="B164" s="336"/>
      <c r="C164" s="336"/>
      <c r="D164" s="337"/>
      <c r="E164" s="255"/>
      <c r="F164" s="255"/>
      <c r="G164" s="338"/>
      <c r="H164" s="155"/>
      <c r="I164" s="155"/>
      <c r="J164" s="155"/>
      <c r="K164" s="15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58"/>
      <c r="AA164" s="339"/>
      <c r="AB164" s="105"/>
      <c r="AC164" s="105"/>
      <c r="AD164" s="105"/>
      <c r="AE164" s="105"/>
      <c r="AF164" s="158"/>
      <c r="AG164" s="105"/>
      <c r="AH164" s="158"/>
      <c r="AI164" s="88"/>
      <c r="AJ164" s="88"/>
      <c r="AK164" s="131"/>
      <c r="AL164" s="131"/>
      <c r="AM164" s="131"/>
      <c r="AN164" s="131"/>
      <c r="AO164" s="131"/>
      <c r="AP164" s="88"/>
    </row>
    <row r="165">
      <c r="A165" s="261"/>
      <c r="B165" s="336"/>
      <c r="C165" s="336"/>
      <c r="D165" s="337"/>
      <c r="E165" s="255"/>
      <c r="F165" s="255"/>
      <c r="G165" s="338"/>
      <c r="H165" s="155"/>
      <c r="I165" s="155"/>
      <c r="J165" s="155"/>
      <c r="K165" s="15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58"/>
      <c r="AA165" s="339"/>
      <c r="AB165" s="105"/>
      <c r="AC165" s="105"/>
      <c r="AD165" s="105"/>
      <c r="AE165" s="105"/>
      <c r="AF165" s="158"/>
      <c r="AG165" s="105"/>
      <c r="AH165" s="158"/>
      <c r="AI165" s="88"/>
      <c r="AJ165" s="88"/>
      <c r="AK165" s="131"/>
      <c r="AL165" s="131"/>
      <c r="AM165" s="131"/>
      <c r="AN165" s="131"/>
      <c r="AO165" s="131"/>
      <c r="AP165" s="88"/>
    </row>
    <row r="166">
      <c r="A166" s="261"/>
      <c r="B166" s="336"/>
      <c r="C166" s="336"/>
      <c r="D166" s="337"/>
      <c r="E166" s="255"/>
      <c r="F166" s="255"/>
      <c r="G166" s="338"/>
      <c r="H166" s="155"/>
      <c r="I166" s="155"/>
      <c r="J166" s="155"/>
      <c r="K166" s="15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58"/>
      <c r="AA166" s="339"/>
      <c r="AB166" s="105"/>
      <c r="AC166" s="105"/>
      <c r="AD166" s="105"/>
      <c r="AE166" s="105"/>
      <c r="AF166" s="158"/>
      <c r="AG166" s="105"/>
      <c r="AH166" s="158"/>
      <c r="AI166" s="88"/>
      <c r="AJ166" s="88"/>
      <c r="AK166" s="131"/>
      <c r="AL166" s="131"/>
      <c r="AM166" s="131"/>
      <c r="AN166" s="131"/>
      <c r="AO166" s="131"/>
      <c r="AP166" s="88"/>
    </row>
    <row r="167">
      <c r="A167" s="261"/>
      <c r="B167" s="336"/>
      <c r="C167" s="336"/>
      <c r="D167" s="337"/>
      <c r="E167" s="255"/>
      <c r="F167" s="255"/>
      <c r="G167" s="338"/>
      <c r="H167" s="155"/>
      <c r="I167" s="155"/>
      <c r="J167" s="155"/>
      <c r="K167" s="15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58"/>
      <c r="AA167" s="339"/>
      <c r="AB167" s="105"/>
      <c r="AC167" s="105"/>
      <c r="AD167" s="105"/>
      <c r="AE167" s="105"/>
      <c r="AF167" s="158"/>
      <c r="AG167" s="105"/>
      <c r="AH167" s="158"/>
      <c r="AI167" s="88"/>
      <c r="AJ167" s="88"/>
      <c r="AK167" s="131"/>
      <c r="AL167" s="131"/>
      <c r="AM167" s="131"/>
      <c r="AN167" s="131"/>
      <c r="AO167" s="131"/>
      <c r="AP167" s="88"/>
    </row>
    <row r="168">
      <c r="A168" s="261"/>
      <c r="B168" s="336"/>
      <c r="C168" s="336"/>
      <c r="D168" s="337"/>
      <c r="E168" s="255"/>
      <c r="F168" s="255"/>
      <c r="G168" s="338"/>
      <c r="H168" s="155"/>
      <c r="I168" s="155"/>
      <c r="J168" s="155"/>
      <c r="K168" s="15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58"/>
      <c r="AA168" s="339"/>
      <c r="AB168" s="105"/>
      <c r="AC168" s="105"/>
      <c r="AD168" s="105"/>
      <c r="AE168" s="105"/>
      <c r="AF168" s="158"/>
      <c r="AG168" s="105"/>
      <c r="AH168" s="158"/>
      <c r="AI168" s="88"/>
      <c r="AJ168" s="88"/>
      <c r="AK168" s="131"/>
      <c r="AL168" s="131"/>
      <c r="AM168" s="131"/>
      <c r="AN168" s="131"/>
      <c r="AO168" s="131"/>
      <c r="AP168" s="88"/>
    </row>
    <row r="169">
      <c r="A169" s="261"/>
      <c r="B169" s="336"/>
      <c r="C169" s="336"/>
      <c r="D169" s="337"/>
      <c r="E169" s="255"/>
      <c r="F169" s="255"/>
      <c r="G169" s="338"/>
      <c r="H169" s="155"/>
      <c r="I169" s="155"/>
      <c r="J169" s="155"/>
      <c r="K169" s="15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58"/>
      <c r="AA169" s="339"/>
      <c r="AB169" s="105"/>
      <c r="AC169" s="105"/>
      <c r="AD169" s="105"/>
      <c r="AE169" s="105"/>
      <c r="AF169" s="158"/>
      <c r="AG169" s="105"/>
      <c r="AH169" s="158"/>
      <c r="AI169" s="88"/>
      <c r="AJ169" s="88"/>
      <c r="AK169" s="131"/>
      <c r="AL169" s="131"/>
      <c r="AM169" s="131"/>
      <c r="AN169" s="131"/>
      <c r="AO169" s="131"/>
      <c r="AP169" s="88"/>
    </row>
    <row r="170">
      <c r="A170" s="261"/>
      <c r="B170" s="336"/>
      <c r="C170" s="336"/>
      <c r="D170" s="337"/>
      <c r="E170" s="255"/>
      <c r="F170" s="255"/>
      <c r="G170" s="338"/>
      <c r="H170" s="155"/>
      <c r="I170" s="155"/>
      <c r="J170" s="155"/>
      <c r="K170" s="15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58"/>
      <c r="AA170" s="339"/>
      <c r="AB170" s="105"/>
      <c r="AC170" s="105"/>
      <c r="AD170" s="105"/>
      <c r="AE170" s="105"/>
      <c r="AF170" s="158"/>
      <c r="AG170" s="105"/>
      <c r="AH170" s="158"/>
      <c r="AI170" s="88"/>
      <c r="AJ170" s="88"/>
      <c r="AK170" s="131"/>
      <c r="AL170" s="131"/>
      <c r="AM170" s="131"/>
      <c r="AN170" s="131"/>
      <c r="AO170" s="131"/>
      <c r="AP170" s="88"/>
    </row>
    <row r="171">
      <c r="A171" s="261"/>
      <c r="B171" s="336"/>
      <c r="C171" s="336"/>
      <c r="D171" s="337"/>
      <c r="E171" s="255"/>
      <c r="F171" s="255"/>
      <c r="G171" s="338"/>
      <c r="H171" s="155"/>
      <c r="I171" s="155"/>
      <c r="J171" s="155"/>
      <c r="K171" s="15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58"/>
      <c r="AA171" s="339"/>
      <c r="AB171" s="105"/>
      <c r="AC171" s="105"/>
      <c r="AD171" s="105"/>
      <c r="AE171" s="105"/>
      <c r="AF171" s="158"/>
      <c r="AG171" s="105"/>
      <c r="AH171" s="158"/>
      <c r="AI171" s="88"/>
      <c r="AJ171" s="88"/>
      <c r="AK171" s="131"/>
      <c r="AL171" s="131"/>
      <c r="AM171" s="131"/>
      <c r="AN171" s="131"/>
      <c r="AO171" s="131"/>
      <c r="AP171" s="88"/>
    </row>
    <row r="172">
      <c r="A172" s="261"/>
      <c r="B172" s="336"/>
      <c r="C172" s="336"/>
      <c r="D172" s="337"/>
      <c r="E172" s="255"/>
      <c r="F172" s="255"/>
      <c r="G172" s="338"/>
      <c r="H172" s="155"/>
      <c r="I172" s="155"/>
      <c r="J172" s="155"/>
      <c r="K172" s="15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58"/>
      <c r="AA172" s="339"/>
      <c r="AB172" s="105"/>
      <c r="AC172" s="105"/>
      <c r="AD172" s="105"/>
      <c r="AE172" s="105"/>
      <c r="AF172" s="158"/>
      <c r="AG172" s="105"/>
      <c r="AH172" s="158"/>
      <c r="AI172" s="88"/>
      <c r="AJ172" s="88"/>
      <c r="AK172" s="131"/>
      <c r="AL172" s="131"/>
      <c r="AM172" s="131"/>
      <c r="AN172" s="131"/>
      <c r="AO172" s="131"/>
      <c r="AP172" s="88"/>
    </row>
    <row r="173">
      <c r="A173" s="261"/>
      <c r="B173" s="336"/>
      <c r="C173" s="336"/>
      <c r="D173" s="337"/>
      <c r="E173" s="255"/>
      <c r="F173" s="255"/>
      <c r="G173" s="338"/>
      <c r="H173" s="155"/>
      <c r="I173" s="155"/>
      <c r="J173" s="155"/>
      <c r="K173" s="15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58"/>
      <c r="AA173" s="339"/>
      <c r="AB173" s="105"/>
      <c r="AC173" s="105"/>
      <c r="AD173" s="105"/>
      <c r="AE173" s="105"/>
      <c r="AF173" s="158"/>
      <c r="AG173" s="105"/>
      <c r="AH173" s="158"/>
      <c r="AI173" s="88"/>
      <c r="AJ173" s="88"/>
      <c r="AK173" s="131"/>
      <c r="AL173" s="131"/>
      <c r="AM173" s="131"/>
      <c r="AN173" s="131"/>
      <c r="AO173" s="131"/>
      <c r="AP173" s="88"/>
    </row>
    <row r="174">
      <c r="A174" s="261"/>
      <c r="B174" s="336"/>
      <c r="C174" s="336"/>
      <c r="D174" s="337"/>
      <c r="E174" s="255"/>
      <c r="F174" s="255"/>
      <c r="G174" s="338"/>
      <c r="H174" s="155"/>
      <c r="I174" s="155"/>
      <c r="J174" s="155"/>
      <c r="K174" s="15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58"/>
      <c r="AA174" s="339"/>
      <c r="AB174" s="105"/>
      <c r="AC174" s="105"/>
      <c r="AD174" s="105"/>
      <c r="AE174" s="105"/>
      <c r="AF174" s="158"/>
      <c r="AG174" s="105"/>
      <c r="AH174" s="158"/>
      <c r="AI174" s="88"/>
      <c r="AJ174" s="88"/>
      <c r="AK174" s="131"/>
      <c r="AL174" s="131"/>
      <c r="AM174" s="131"/>
      <c r="AN174" s="131"/>
      <c r="AO174" s="131"/>
      <c r="AP174" s="88"/>
    </row>
    <row r="175">
      <c r="A175" s="261"/>
      <c r="B175" s="336"/>
      <c r="C175" s="336"/>
      <c r="D175" s="337"/>
      <c r="E175" s="255"/>
      <c r="F175" s="255"/>
      <c r="G175" s="338"/>
      <c r="H175" s="155"/>
      <c r="I175" s="155"/>
      <c r="J175" s="155"/>
      <c r="K175" s="15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58"/>
      <c r="AA175" s="339"/>
      <c r="AB175" s="105"/>
      <c r="AC175" s="105"/>
      <c r="AD175" s="105"/>
      <c r="AE175" s="105"/>
      <c r="AF175" s="158"/>
      <c r="AG175" s="105"/>
      <c r="AH175" s="158"/>
      <c r="AI175" s="88"/>
      <c r="AJ175" s="88"/>
      <c r="AK175" s="131"/>
      <c r="AL175" s="131"/>
      <c r="AM175" s="131"/>
      <c r="AN175" s="131"/>
      <c r="AO175" s="131"/>
      <c r="AP175" s="88"/>
    </row>
    <row r="176">
      <c r="A176" s="261"/>
      <c r="B176" s="336"/>
      <c r="C176" s="336"/>
      <c r="D176" s="337"/>
      <c r="E176" s="255"/>
      <c r="F176" s="255"/>
      <c r="G176" s="338"/>
      <c r="H176" s="155"/>
      <c r="I176" s="155"/>
      <c r="J176" s="155"/>
      <c r="K176" s="15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58"/>
      <c r="AA176" s="339"/>
      <c r="AB176" s="105"/>
      <c r="AC176" s="105"/>
      <c r="AD176" s="105"/>
      <c r="AE176" s="105"/>
      <c r="AF176" s="158"/>
      <c r="AG176" s="105"/>
      <c r="AH176" s="158"/>
      <c r="AI176" s="88"/>
      <c r="AJ176" s="88"/>
      <c r="AK176" s="131"/>
      <c r="AL176" s="131"/>
      <c r="AM176" s="131"/>
      <c r="AN176" s="131"/>
      <c r="AO176" s="131"/>
      <c r="AP176" s="88"/>
    </row>
    <row r="177">
      <c r="A177" s="261"/>
      <c r="B177" s="336"/>
      <c r="C177" s="336"/>
      <c r="D177" s="337"/>
      <c r="E177" s="255"/>
      <c r="F177" s="255"/>
      <c r="G177" s="338"/>
      <c r="H177" s="155"/>
      <c r="I177" s="155"/>
      <c r="J177" s="155"/>
      <c r="K177" s="15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58"/>
      <c r="AA177" s="339"/>
      <c r="AB177" s="105"/>
      <c r="AC177" s="105"/>
      <c r="AD177" s="105"/>
      <c r="AE177" s="105"/>
      <c r="AF177" s="158"/>
      <c r="AG177" s="105"/>
      <c r="AH177" s="158"/>
      <c r="AI177" s="88"/>
      <c r="AJ177" s="88"/>
      <c r="AK177" s="131"/>
      <c r="AL177" s="131"/>
      <c r="AM177" s="131"/>
      <c r="AN177" s="131"/>
      <c r="AO177" s="131"/>
      <c r="AP177" s="88"/>
    </row>
    <row r="178">
      <c r="A178" s="261"/>
      <c r="B178" s="336"/>
      <c r="C178" s="336"/>
      <c r="D178" s="337"/>
      <c r="E178" s="255"/>
      <c r="F178" s="255"/>
      <c r="G178" s="338"/>
      <c r="H178" s="155"/>
      <c r="I178" s="155"/>
      <c r="J178" s="155"/>
      <c r="K178" s="15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58"/>
      <c r="AA178" s="339"/>
      <c r="AB178" s="105"/>
      <c r="AC178" s="105"/>
      <c r="AD178" s="105"/>
      <c r="AE178" s="105"/>
      <c r="AF178" s="158"/>
      <c r="AG178" s="105"/>
      <c r="AH178" s="158"/>
      <c r="AI178" s="88"/>
      <c r="AJ178" s="88"/>
      <c r="AK178" s="131"/>
      <c r="AL178" s="131"/>
      <c r="AM178" s="131"/>
      <c r="AN178" s="131"/>
      <c r="AO178" s="131"/>
      <c r="AP178" s="88"/>
    </row>
    <row r="179">
      <c r="A179" s="261"/>
      <c r="B179" s="336"/>
      <c r="C179" s="336"/>
      <c r="D179" s="337"/>
      <c r="E179" s="255"/>
      <c r="F179" s="255"/>
      <c r="G179" s="338"/>
      <c r="H179" s="155"/>
      <c r="I179" s="155"/>
      <c r="J179" s="155"/>
      <c r="K179" s="15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58"/>
      <c r="AA179" s="339"/>
      <c r="AB179" s="105"/>
      <c r="AC179" s="105"/>
      <c r="AD179" s="105"/>
      <c r="AE179" s="105"/>
      <c r="AF179" s="158"/>
      <c r="AG179" s="105"/>
      <c r="AH179" s="158"/>
      <c r="AI179" s="88"/>
      <c r="AJ179" s="88"/>
      <c r="AK179" s="131"/>
      <c r="AL179" s="131"/>
      <c r="AM179" s="131"/>
      <c r="AN179" s="131"/>
      <c r="AO179" s="131"/>
      <c r="AP179" s="88"/>
    </row>
    <row r="180">
      <c r="A180" s="261"/>
      <c r="B180" s="336"/>
      <c r="C180" s="336"/>
      <c r="D180" s="337"/>
      <c r="E180" s="255"/>
      <c r="F180" s="255"/>
      <c r="G180" s="338"/>
      <c r="H180" s="155"/>
      <c r="I180" s="155"/>
      <c r="J180" s="155"/>
      <c r="K180" s="15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58"/>
      <c r="AA180" s="339"/>
      <c r="AB180" s="105"/>
      <c r="AC180" s="105"/>
      <c r="AD180" s="105"/>
      <c r="AE180" s="105"/>
      <c r="AF180" s="158"/>
      <c r="AG180" s="105"/>
      <c r="AH180" s="158"/>
      <c r="AI180" s="88"/>
      <c r="AJ180" s="88"/>
      <c r="AK180" s="131"/>
      <c r="AL180" s="131"/>
      <c r="AM180" s="131"/>
      <c r="AN180" s="131"/>
      <c r="AO180" s="131"/>
      <c r="AP180" s="88"/>
    </row>
    <row r="181">
      <c r="A181" s="261"/>
      <c r="B181" s="336"/>
      <c r="C181" s="336"/>
      <c r="D181" s="337"/>
      <c r="E181" s="255"/>
      <c r="F181" s="255"/>
      <c r="G181" s="338"/>
      <c r="H181" s="155"/>
      <c r="I181" s="155"/>
      <c r="J181" s="155"/>
      <c r="K181" s="15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58"/>
      <c r="AA181" s="339"/>
      <c r="AB181" s="105"/>
      <c r="AC181" s="105"/>
      <c r="AD181" s="105"/>
      <c r="AE181" s="105"/>
      <c r="AF181" s="158"/>
      <c r="AG181" s="105"/>
      <c r="AH181" s="158"/>
      <c r="AI181" s="88"/>
      <c r="AJ181" s="88"/>
      <c r="AK181" s="131"/>
      <c r="AL181" s="131"/>
      <c r="AM181" s="131"/>
      <c r="AN181" s="131"/>
      <c r="AO181" s="131"/>
      <c r="AP181" s="88"/>
    </row>
    <row r="182">
      <c r="A182" s="261"/>
      <c r="B182" s="336"/>
      <c r="C182" s="336"/>
      <c r="D182" s="337"/>
      <c r="E182" s="255"/>
      <c r="F182" s="255"/>
      <c r="G182" s="338"/>
      <c r="H182" s="155"/>
      <c r="I182" s="155"/>
      <c r="J182" s="155"/>
      <c r="K182" s="15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58"/>
      <c r="AA182" s="339"/>
      <c r="AB182" s="105"/>
      <c r="AC182" s="105"/>
      <c r="AD182" s="105"/>
      <c r="AE182" s="105"/>
      <c r="AF182" s="158"/>
      <c r="AG182" s="105"/>
      <c r="AH182" s="158"/>
      <c r="AI182" s="88"/>
      <c r="AJ182" s="88"/>
      <c r="AK182" s="131"/>
      <c r="AL182" s="131"/>
      <c r="AM182" s="131"/>
      <c r="AN182" s="131"/>
      <c r="AO182" s="131"/>
      <c r="AP182" s="88"/>
    </row>
    <row r="183">
      <c r="A183" s="155"/>
      <c r="B183" s="337"/>
      <c r="C183" s="340"/>
      <c r="D183" s="337"/>
      <c r="E183" s="255"/>
      <c r="F183" s="255"/>
      <c r="G183" s="338"/>
      <c r="H183" s="155"/>
      <c r="I183" s="155"/>
      <c r="J183" s="155"/>
      <c r="K183" s="15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58"/>
      <c r="AA183" s="339"/>
      <c r="AB183" s="105"/>
      <c r="AC183" s="105"/>
      <c r="AD183" s="105"/>
      <c r="AE183" s="105"/>
      <c r="AF183" s="158"/>
      <c r="AG183" s="105"/>
      <c r="AH183" s="158"/>
      <c r="AI183" s="88"/>
      <c r="AJ183" s="88"/>
      <c r="AK183" s="131"/>
      <c r="AL183" s="131"/>
      <c r="AM183" s="131"/>
      <c r="AN183" s="131"/>
      <c r="AO183" s="131"/>
      <c r="AP183" s="88"/>
    </row>
    <row r="184">
      <c r="A184" s="155"/>
      <c r="B184" s="337"/>
      <c r="C184" s="340"/>
      <c r="D184" s="337"/>
      <c r="E184" s="255"/>
      <c r="F184" s="255"/>
      <c r="G184" s="338"/>
      <c r="H184" s="155"/>
      <c r="I184" s="155"/>
      <c r="J184" s="155"/>
      <c r="K184" s="15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58"/>
      <c r="AA184" s="339"/>
      <c r="AB184" s="105"/>
      <c r="AC184" s="105"/>
      <c r="AD184" s="105"/>
      <c r="AE184" s="105"/>
      <c r="AF184" s="158"/>
      <c r="AG184" s="105"/>
      <c r="AH184" s="158"/>
      <c r="AI184" s="88"/>
      <c r="AJ184" s="88"/>
      <c r="AK184" s="131"/>
      <c r="AL184" s="131"/>
      <c r="AM184" s="131"/>
      <c r="AN184" s="131"/>
      <c r="AO184" s="131"/>
      <c r="AP184" s="88"/>
    </row>
    <row r="185">
      <c r="A185" s="155"/>
      <c r="B185" s="337"/>
      <c r="C185" s="340"/>
      <c r="D185" s="337"/>
      <c r="E185" s="255"/>
      <c r="F185" s="255"/>
      <c r="G185" s="338"/>
      <c r="H185" s="155"/>
      <c r="I185" s="155"/>
      <c r="J185" s="155"/>
      <c r="K185" s="15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58"/>
      <c r="AA185" s="339"/>
      <c r="AB185" s="105"/>
      <c r="AC185" s="105"/>
      <c r="AD185" s="105"/>
      <c r="AE185" s="105"/>
      <c r="AF185" s="158"/>
      <c r="AG185" s="105"/>
      <c r="AH185" s="158"/>
      <c r="AI185" s="88"/>
      <c r="AJ185" s="88"/>
      <c r="AK185" s="131"/>
      <c r="AL185" s="131"/>
      <c r="AM185" s="131"/>
      <c r="AN185" s="131"/>
      <c r="AO185" s="131"/>
      <c r="AP185" s="88"/>
    </row>
    <row r="186">
      <c r="A186" s="155"/>
      <c r="B186" s="337"/>
      <c r="C186" s="340"/>
      <c r="D186" s="337"/>
      <c r="E186" s="255"/>
      <c r="F186" s="255"/>
      <c r="G186" s="338"/>
      <c r="H186" s="155"/>
      <c r="I186" s="155"/>
      <c r="J186" s="155"/>
      <c r="K186" s="15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58"/>
      <c r="AA186" s="339"/>
      <c r="AB186" s="105"/>
      <c r="AC186" s="105"/>
      <c r="AD186" s="105"/>
      <c r="AE186" s="105"/>
      <c r="AF186" s="158"/>
      <c r="AG186" s="105"/>
      <c r="AH186" s="158"/>
      <c r="AI186" s="88"/>
      <c r="AJ186" s="88"/>
      <c r="AK186" s="131"/>
      <c r="AL186" s="131"/>
      <c r="AM186" s="131"/>
      <c r="AN186" s="131"/>
      <c r="AO186" s="131"/>
      <c r="AP186" s="88"/>
    </row>
    <row r="187">
      <c r="A187" s="155"/>
      <c r="B187" s="337"/>
      <c r="C187" s="340"/>
      <c r="D187" s="337"/>
      <c r="E187" s="255"/>
      <c r="F187" s="255"/>
      <c r="G187" s="338"/>
      <c r="H187" s="155"/>
      <c r="I187" s="155"/>
      <c r="J187" s="155"/>
      <c r="K187" s="15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58"/>
      <c r="AA187" s="339"/>
      <c r="AB187" s="105"/>
      <c r="AC187" s="105"/>
      <c r="AD187" s="105"/>
      <c r="AE187" s="105"/>
      <c r="AF187" s="158"/>
      <c r="AG187" s="105"/>
      <c r="AH187" s="158"/>
      <c r="AI187" s="88"/>
      <c r="AJ187" s="88"/>
      <c r="AK187" s="131"/>
      <c r="AL187" s="131"/>
      <c r="AM187" s="131"/>
      <c r="AN187" s="131"/>
      <c r="AO187" s="131"/>
      <c r="AP187" s="88"/>
    </row>
    <row r="188">
      <c r="A188" s="155"/>
      <c r="B188" s="337"/>
      <c r="C188" s="340"/>
      <c r="D188" s="337"/>
      <c r="E188" s="255"/>
      <c r="F188" s="255"/>
      <c r="G188" s="338"/>
      <c r="H188" s="155"/>
      <c r="I188" s="155"/>
      <c r="J188" s="155"/>
      <c r="K188" s="15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58"/>
      <c r="AA188" s="339"/>
      <c r="AB188" s="105"/>
      <c r="AC188" s="105"/>
      <c r="AD188" s="105"/>
      <c r="AE188" s="105"/>
      <c r="AF188" s="158"/>
      <c r="AG188" s="105"/>
      <c r="AH188" s="158"/>
      <c r="AI188" s="88"/>
      <c r="AJ188" s="88"/>
      <c r="AK188" s="131"/>
      <c r="AL188" s="131"/>
      <c r="AM188" s="131"/>
      <c r="AN188" s="131"/>
      <c r="AO188" s="131"/>
      <c r="AP188" s="88"/>
    </row>
    <row r="189">
      <c r="A189" s="155"/>
      <c r="B189" s="337"/>
      <c r="C189" s="340"/>
      <c r="D189" s="337"/>
      <c r="E189" s="255"/>
      <c r="F189" s="255"/>
      <c r="G189" s="338"/>
      <c r="H189" s="155"/>
      <c r="I189" s="155"/>
      <c r="J189" s="155"/>
      <c r="K189" s="15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58"/>
      <c r="AA189" s="339"/>
      <c r="AB189" s="105"/>
      <c r="AC189" s="105"/>
      <c r="AD189" s="105"/>
      <c r="AE189" s="105"/>
      <c r="AF189" s="158"/>
      <c r="AG189" s="105"/>
      <c r="AH189" s="158"/>
      <c r="AI189" s="88"/>
      <c r="AJ189" s="88"/>
      <c r="AK189" s="131"/>
      <c r="AL189" s="131"/>
      <c r="AM189" s="131"/>
      <c r="AN189" s="131"/>
      <c r="AO189" s="131"/>
      <c r="AP189" s="88"/>
    </row>
    <row r="190">
      <c r="A190" s="155"/>
      <c r="B190" s="337"/>
      <c r="C190" s="340"/>
      <c r="D190" s="337"/>
      <c r="E190" s="255"/>
      <c r="F190" s="255"/>
      <c r="G190" s="338"/>
      <c r="H190" s="155"/>
      <c r="I190" s="155"/>
      <c r="J190" s="155"/>
      <c r="K190" s="15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58"/>
      <c r="AA190" s="339"/>
      <c r="AB190" s="105"/>
      <c r="AC190" s="105"/>
      <c r="AD190" s="105"/>
      <c r="AE190" s="105"/>
      <c r="AF190" s="158"/>
      <c r="AG190" s="105"/>
      <c r="AH190" s="158"/>
      <c r="AI190" s="88"/>
      <c r="AJ190" s="88"/>
      <c r="AK190" s="131"/>
      <c r="AL190" s="131"/>
      <c r="AM190" s="131"/>
      <c r="AN190" s="131"/>
      <c r="AO190" s="131"/>
      <c r="AP190" s="88"/>
    </row>
    <row r="191">
      <c r="A191" s="155"/>
      <c r="B191" s="337"/>
      <c r="C191" s="340"/>
      <c r="D191" s="337"/>
      <c r="E191" s="255"/>
      <c r="F191" s="255"/>
      <c r="G191" s="338"/>
      <c r="H191" s="155"/>
      <c r="I191" s="155"/>
      <c r="J191" s="155"/>
      <c r="K191" s="15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58"/>
      <c r="AA191" s="339"/>
      <c r="AB191" s="105"/>
      <c r="AC191" s="105"/>
      <c r="AD191" s="105"/>
      <c r="AE191" s="105"/>
      <c r="AF191" s="158"/>
      <c r="AG191" s="105"/>
      <c r="AH191" s="158"/>
      <c r="AI191" s="88"/>
      <c r="AJ191" s="88"/>
      <c r="AK191" s="131"/>
      <c r="AL191" s="131"/>
      <c r="AM191" s="131"/>
      <c r="AN191" s="131"/>
      <c r="AO191" s="131"/>
      <c r="AP191" s="88"/>
    </row>
    <row r="192">
      <c r="A192" s="155"/>
      <c r="B192" s="337"/>
      <c r="C192" s="340"/>
      <c r="D192" s="337"/>
      <c r="E192" s="255"/>
      <c r="F192" s="255"/>
      <c r="G192" s="338"/>
      <c r="H192" s="155"/>
      <c r="I192" s="155"/>
      <c r="J192" s="155"/>
      <c r="K192" s="15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58"/>
      <c r="AA192" s="339"/>
      <c r="AB192" s="105"/>
      <c r="AC192" s="105"/>
      <c r="AD192" s="105"/>
      <c r="AE192" s="105"/>
      <c r="AF192" s="158"/>
      <c r="AG192" s="105"/>
      <c r="AH192" s="158"/>
      <c r="AI192" s="88"/>
      <c r="AJ192" s="88"/>
      <c r="AK192" s="131"/>
      <c r="AL192" s="131"/>
      <c r="AM192" s="131"/>
      <c r="AN192" s="131"/>
      <c r="AO192" s="131"/>
      <c r="AP192" s="88"/>
    </row>
    <row r="193">
      <c r="A193" s="155"/>
      <c r="B193" s="337"/>
      <c r="C193" s="340"/>
      <c r="D193" s="337"/>
      <c r="E193" s="255"/>
      <c r="F193" s="255"/>
      <c r="G193" s="338"/>
      <c r="H193" s="155"/>
      <c r="I193" s="155"/>
      <c r="J193" s="155"/>
      <c r="K193" s="15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58"/>
      <c r="AA193" s="339"/>
      <c r="AB193" s="105"/>
      <c r="AC193" s="105"/>
      <c r="AD193" s="105"/>
      <c r="AE193" s="105"/>
      <c r="AF193" s="158"/>
      <c r="AG193" s="105"/>
      <c r="AH193" s="158"/>
      <c r="AI193" s="88"/>
      <c r="AJ193" s="88"/>
      <c r="AK193" s="131"/>
      <c r="AL193" s="131"/>
      <c r="AM193" s="131"/>
      <c r="AN193" s="131"/>
      <c r="AO193" s="131"/>
      <c r="AP193" s="88"/>
    </row>
    <row r="194">
      <c r="A194" s="155"/>
      <c r="B194" s="337"/>
      <c r="C194" s="340"/>
      <c r="D194" s="337"/>
      <c r="E194" s="255"/>
      <c r="F194" s="255"/>
      <c r="G194" s="338"/>
      <c r="H194" s="155"/>
      <c r="I194" s="155"/>
      <c r="J194" s="155"/>
      <c r="K194" s="15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58"/>
      <c r="AA194" s="339"/>
      <c r="AB194" s="105"/>
      <c r="AC194" s="105"/>
      <c r="AD194" s="105"/>
      <c r="AE194" s="105"/>
      <c r="AF194" s="158"/>
      <c r="AG194" s="105"/>
      <c r="AH194" s="158"/>
      <c r="AI194" s="88"/>
      <c r="AJ194" s="88"/>
      <c r="AK194" s="131"/>
      <c r="AL194" s="131"/>
      <c r="AM194" s="131"/>
      <c r="AN194" s="131"/>
      <c r="AO194" s="131"/>
      <c r="AP194" s="88"/>
    </row>
    <row r="195">
      <c r="A195" s="155"/>
      <c r="B195" s="337"/>
      <c r="C195" s="340"/>
      <c r="D195" s="337"/>
      <c r="E195" s="255"/>
      <c r="F195" s="255"/>
      <c r="G195" s="338"/>
      <c r="H195" s="155"/>
      <c r="I195" s="155"/>
      <c r="J195" s="155"/>
      <c r="K195" s="15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58"/>
      <c r="AA195" s="339"/>
      <c r="AB195" s="105"/>
      <c r="AC195" s="105"/>
      <c r="AD195" s="105"/>
      <c r="AE195" s="105"/>
      <c r="AF195" s="158"/>
      <c r="AG195" s="105"/>
      <c r="AH195" s="158"/>
      <c r="AI195" s="88"/>
      <c r="AJ195" s="88"/>
      <c r="AK195" s="131"/>
      <c r="AL195" s="131"/>
      <c r="AM195" s="131"/>
      <c r="AN195" s="131"/>
      <c r="AO195" s="131"/>
      <c r="AP195" s="88"/>
    </row>
    <row r="196">
      <c r="A196" s="155"/>
      <c r="B196" s="337"/>
      <c r="C196" s="340"/>
      <c r="D196" s="337"/>
      <c r="E196" s="255"/>
      <c r="F196" s="255"/>
      <c r="G196" s="338"/>
      <c r="H196" s="155"/>
      <c r="I196" s="155"/>
      <c r="J196" s="155"/>
      <c r="K196" s="15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58"/>
      <c r="AA196" s="339"/>
      <c r="AB196" s="105"/>
      <c r="AC196" s="105"/>
      <c r="AD196" s="105"/>
      <c r="AE196" s="105"/>
      <c r="AF196" s="158"/>
      <c r="AG196" s="105"/>
      <c r="AH196" s="158"/>
      <c r="AI196" s="88"/>
      <c r="AJ196" s="88"/>
      <c r="AK196" s="131"/>
      <c r="AL196" s="131"/>
      <c r="AM196" s="131"/>
      <c r="AN196" s="131"/>
      <c r="AO196" s="131"/>
      <c r="AP196" s="88"/>
    </row>
    <row r="197">
      <c r="A197" s="155"/>
      <c r="B197" s="337"/>
      <c r="C197" s="340"/>
      <c r="D197" s="337"/>
      <c r="E197" s="255"/>
      <c r="F197" s="255"/>
      <c r="G197" s="338"/>
      <c r="H197" s="155"/>
      <c r="I197" s="155"/>
      <c r="J197" s="155"/>
      <c r="K197" s="15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58"/>
      <c r="AA197" s="339"/>
      <c r="AB197" s="105"/>
      <c r="AC197" s="105"/>
      <c r="AD197" s="105"/>
      <c r="AE197" s="105"/>
      <c r="AF197" s="158"/>
      <c r="AG197" s="105"/>
      <c r="AH197" s="158"/>
      <c r="AI197" s="88"/>
      <c r="AJ197" s="88"/>
      <c r="AK197" s="131"/>
      <c r="AL197" s="131"/>
      <c r="AM197" s="131"/>
      <c r="AN197" s="131"/>
      <c r="AO197" s="131"/>
      <c r="AP197" s="88"/>
    </row>
    <row r="198">
      <c r="A198" s="155"/>
      <c r="B198" s="337"/>
      <c r="C198" s="340"/>
      <c r="D198" s="337"/>
      <c r="E198" s="255"/>
      <c r="F198" s="255"/>
      <c r="G198" s="338"/>
      <c r="H198" s="155"/>
      <c r="I198" s="155"/>
      <c r="J198" s="155"/>
      <c r="K198" s="15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58"/>
      <c r="AA198" s="339"/>
      <c r="AB198" s="105"/>
      <c r="AC198" s="105"/>
      <c r="AD198" s="105"/>
      <c r="AE198" s="105"/>
      <c r="AF198" s="158"/>
      <c r="AG198" s="105"/>
      <c r="AH198" s="158"/>
      <c r="AI198" s="88"/>
      <c r="AJ198" s="88"/>
      <c r="AK198" s="131"/>
      <c r="AL198" s="131"/>
      <c r="AM198" s="131"/>
      <c r="AN198" s="131"/>
      <c r="AO198" s="131"/>
      <c r="AP198" s="88"/>
    </row>
    <row r="199">
      <c r="A199" s="155"/>
      <c r="B199" s="337"/>
      <c r="C199" s="340"/>
      <c r="D199" s="337"/>
      <c r="E199" s="255"/>
      <c r="F199" s="255"/>
      <c r="G199" s="338"/>
      <c r="H199" s="155"/>
      <c r="I199" s="155"/>
      <c r="J199" s="155"/>
      <c r="K199" s="15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58"/>
      <c r="AA199" s="339"/>
      <c r="AB199" s="105"/>
      <c r="AC199" s="105"/>
      <c r="AD199" s="105"/>
      <c r="AE199" s="105"/>
      <c r="AF199" s="158"/>
      <c r="AG199" s="105"/>
      <c r="AH199" s="158"/>
      <c r="AI199" s="88"/>
      <c r="AJ199" s="88"/>
      <c r="AK199" s="131"/>
      <c r="AL199" s="131"/>
      <c r="AM199" s="131"/>
      <c r="AN199" s="131"/>
      <c r="AO199" s="131"/>
      <c r="AP199" s="88"/>
    </row>
    <row r="200">
      <c r="A200" s="155"/>
      <c r="B200" s="337"/>
      <c r="C200" s="340"/>
      <c r="D200" s="337"/>
      <c r="E200" s="255"/>
      <c r="F200" s="255"/>
      <c r="G200" s="338"/>
      <c r="H200" s="155"/>
      <c r="I200" s="155"/>
      <c r="J200" s="155"/>
      <c r="K200" s="15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58"/>
      <c r="AA200" s="339"/>
      <c r="AB200" s="105"/>
      <c r="AC200" s="105"/>
      <c r="AD200" s="105"/>
      <c r="AE200" s="105"/>
      <c r="AF200" s="158"/>
      <c r="AG200" s="105"/>
      <c r="AH200" s="158"/>
      <c r="AI200" s="88"/>
      <c r="AJ200" s="88"/>
      <c r="AK200" s="131"/>
      <c r="AL200" s="131"/>
      <c r="AM200" s="131"/>
      <c r="AN200" s="131"/>
      <c r="AO200" s="131"/>
      <c r="AP200" s="88"/>
    </row>
    <row r="201">
      <c r="A201" s="155"/>
      <c r="B201" s="337"/>
      <c r="C201" s="340"/>
      <c r="D201" s="337"/>
      <c r="E201" s="255"/>
      <c r="F201" s="255"/>
      <c r="G201" s="338"/>
      <c r="H201" s="155"/>
      <c r="I201" s="155"/>
      <c r="J201" s="155"/>
      <c r="K201" s="15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58"/>
      <c r="AA201" s="339"/>
      <c r="AB201" s="105"/>
      <c r="AC201" s="105"/>
      <c r="AD201" s="105"/>
      <c r="AE201" s="105"/>
      <c r="AF201" s="158"/>
      <c r="AG201" s="105"/>
      <c r="AH201" s="158"/>
      <c r="AI201" s="88"/>
      <c r="AJ201" s="88"/>
      <c r="AK201" s="131"/>
      <c r="AL201" s="131"/>
      <c r="AM201" s="131"/>
      <c r="AN201" s="131"/>
      <c r="AO201" s="131"/>
      <c r="AP201" s="88"/>
    </row>
    <row r="202">
      <c r="A202" s="155"/>
      <c r="B202" s="337"/>
      <c r="C202" s="340"/>
      <c r="D202" s="337"/>
      <c r="E202" s="255"/>
      <c r="F202" s="255"/>
      <c r="G202" s="338"/>
      <c r="H202" s="155"/>
      <c r="I202" s="155"/>
      <c r="J202" s="155"/>
      <c r="K202" s="15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58"/>
      <c r="AA202" s="339"/>
      <c r="AB202" s="105"/>
      <c r="AC202" s="105"/>
      <c r="AD202" s="105"/>
      <c r="AE202" s="105"/>
      <c r="AF202" s="158"/>
      <c r="AG202" s="105"/>
      <c r="AH202" s="158"/>
      <c r="AI202" s="88"/>
      <c r="AJ202" s="88"/>
      <c r="AK202" s="131"/>
      <c r="AL202" s="131"/>
      <c r="AM202" s="131"/>
      <c r="AN202" s="131"/>
      <c r="AO202" s="131"/>
      <c r="AP202" s="88"/>
    </row>
    <row r="203">
      <c r="A203" s="155"/>
      <c r="B203" s="337"/>
      <c r="C203" s="340"/>
      <c r="D203" s="337"/>
      <c r="E203" s="255"/>
      <c r="F203" s="255"/>
      <c r="G203" s="338"/>
      <c r="H203" s="155"/>
      <c r="I203" s="155"/>
      <c r="J203" s="155"/>
      <c r="K203" s="15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58"/>
      <c r="AA203" s="339"/>
      <c r="AB203" s="105"/>
      <c r="AC203" s="105"/>
      <c r="AD203" s="105"/>
      <c r="AE203" s="105"/>
      <c r="AF203" s="158"/>
      <c r="AG203" s="105"/>
      <c r="AH203" s="158"/>
      <c r="AI203" s="88"/>
      <c r="AJ203" s="88"/>
      <c r="AK203" s="131"/>
      <c r="AL203" s="131"/>
      <c r="AM203" s="131"/>
      <c r="AN203" s="131"/>
      <c r="AO203" s="131"/>
      <c r="AP203" s="88"/>
    </row>
    <row r="204">
      <c r="A204" s="155"/>
      <c r="B204" s="337"/>
      <c r="C204" s="340"/>
      <c r="D204" s="337"/>
      <c r="E204" s="255"/>
      <c r="F204" s="255"/>
      <c r="G204" s="338"/>
      <c r="H204" s="155"/>
      <c r="I204" s="155"/>
      <c r="J204" s="155"/>
      <c r="K204" s="15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58"/>
      <c r="AA204" s="339"/>
      <c r="AB204" s="105"/>
      <c r="AC204" s="105"/>
      <c r="AD204" s="105"/>
      <c r="AE204" s="105"/>
      <c r="AF204" s="158"/>
      <c r="AG204" s="105"/>
      <c r="AH204" s="158"/>
      <c r="AI204" s="88"/>
      <c r="AJ204" s="88"/>
      <c r="AK204" s="131"/>
      <c r="AL204" s="131"/>
      <c r="AM204" s="131"/>
      <c r="AN204" s="131"/>
      <c r="AO204" s="131"/>
      <c r="AP204" s="88"/>
    </row>
    <row r="205">
      <c r="A205" s="155"/>
      <c r="B205" s="337"/>
      <c r="C205" s="340"/>
      <c r="D205" s="337"/>
      <c r="E205" s="255"/>
      <c r="F205" s="255"/>
      <c r="G205" s="338"/>
      <c r="H205" s="155"/>
      <c r="I205" s="155"/>
      <c r="J205" s="155"/>
      <c r="K205" s="15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58"/>
      <c r="AA205" s="339"/>
      <c r="AB205" s="105"/>
      <c r="AC205" s="105"/>
      <c r="AD205" s="105"/>
      <c r="AE205" s="105"/>
      <c r="AF205" s="158"/>
      <c r="AG205" s="105"/>
      <c r="AH205" s="158"/>
      <c r="AI205" s="88"/>
      <c r="AJ205" s="88"/>
      <c r="AK205" s="131"/>
      <c r="AL205" s="131"/>
      <c r="AM205" s="131"/>
      <c r="AN205" s="131"/>
      <c r="AO205" s="131"/>
      <c r="AP205" s="88"/>
    </row>
    <row r="206">
      <c r="A206" s="155"/>
      <c r="B206" s="337"/>
      <c r="C206" s="340"/>
      <c r="D206" s="337"/>
      <c r="E206" s="255"/>
      <c r="F206" s="255"/>
      <c r="G206" s="338"/>
      <c r="H206" s="155"/>
      <c r="I206" s="155"/>
      <c r="J206" s="155"/>
      <c r="K206" s="15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58"/>
      <c r="AA206" s="339"/>
      <c r="AB206" s="105"/>
      <c r="AC206" s="105"/>
      <c r="AD206" s="105"/>
      <c r="AE206" s="105"/>
      <c r="AF206" s="158"/>
      <c r="AG206" s="105"/>
      <c r="AH206" s="158"/>
      <c r="AI206" s="88"/>
      <c r="AJ206" s="88"/>
      <c r="AK206" s="131"/>
      <c r="AL206" s="131"/>
      <c r="AM206" s="131"/>
      <c r="AN206" s="131"/>
      <c r="AO206" s="131"/>
      <c r="AP206" s="88"/>
    </row>
    <row r="207">
      <c r="A207" s="155"/>
      <c r="B207" s="337"/>
      <c r="C207" s="340"/>
      <c r="D207" s="337"/>
      <c r="E207" s="255"/>
      <c r="F207" s="255"/>
      <c r="G207" s="338"/>
      <c r="H207" s="155"/>
      <c r="I207" s="155"/>
      <c r="J207" s="155"/>
      <c r="K207" s="15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58"/>
      <c r="AA207" s="339"/>
      <c r="AB207" s="105"/>
      <c r="AC207" s="105"/>
      <c r="AD207" s="105"/>
      <c r="AE207" s="105"/>
      <c r="AF207" s="158"/>
      <c r="AG207" s="105"/>
      <c r="AH207" s="158"/>
      <c r="AI207" s="88"/>
      <c r="AJ207" s="88"/>
      <c r="AK207" s="131"/>
      <c r="AL207" s="131"/>
      <c r="AM207" s="131"/>
      <c r="AN207" s="131"/>
      <c r="AO207" s="131"/>
      <c r="AP207" s="88"/>
    </row>
    <row r="208">
      <c r="A208" s="155"/>
      <c r="B208" s="337"/>
      <c r="C208" s="340"/>
      <c r="D208" s="337"/>
      <c r="E208" s="255"/>
      <c r="F208" s="255"/>
      <c r="G208" s="338"/>
      <c r="H208" s="155"/>
      <c r="I208" s="155"/>
      <c r="J208" s="155"/>
      <c r="K208" s="15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58"/>
      <c r="AA208" s="339"/>
      <c r="AB208" s="105"/>
      <c r="AC208" s="105"/>
      <c r="AD208" s="105"/>
      <c r="AE208" s="105"/>
      <c r="AF208" s="158"/>
      <c r="AG208" s="105"/>
      <c r="AH208" s="158"/>
      <c r="AI208" s="88"/>
      <c r="AJ208" s="88"/>
      <c r="AK208" s="131"/>
      <c r="AL208" s="131"/>
      <c r="AM208" s="131"/>
      <c r="AN208" s="131"/>
      <c r="AO208" s="131"/>
      <c r="AP208" s="88"/>
    </row>
    <row r="209">
      <c r="A209" s="155"/>
      <c r="B209" s="337"/>
      <c r="C209" s="340"/>
      <c r="D209" s="337"/>
      <c r="E209" s="255"/>
      <c r="F209" s="255"/>
      <c r="G209" s="338"/>
      <c r="H209" s="155"/>
      <c r="I209" s="155"/>
      <c r="J209" s="155"/>
      <c r="K209" s="15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58"/>
      <c r="AA209" s="339"/>
      <c r="AB209" s="105"/>
      <c r="AC209" s="105"/>
      <c r="AD209" s="105"/>
      <c r="AE209" s="105"/>
      <c r="AF209" s="158"/>
      <c r="AG209" s="105"/>
      <c r="AH209" s="158"/>
      <c r="AI209" s="88"/>
      <c r="AJ209" s="88"/>
      <c r="AK209" s="131"/>
      <c r="AL209" s="131"/>
      <c r="AM209" s="131"/>
      <c r="AN209" s="131"/>
      <c r="AO209" s="131"/>
      <c r="AP209" s="88"/>
    </row>
    <row r="210">
      <c r="A210" s="155"/>
      <c r="B210" s="337"/>
      <c r="C210" s="340"/>
      <c r="D210" s="337"/>
      <c r="E210" s="255"/>
      <c r="F210" s="255"/>
      <c r="G210" s="338"/>
      <c r="H210" s="155"/>
      <c r="I210" s="155"/>
      <c r="J210" s="155"/>
      <c r="K210" s="15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58"/>
      <c r="AA210" s="339"/>
      <c r="AB210" s="105"/>
      <c r="AC210" s="105"/>
      <c r="AD210" s="105"/>
      <c r="AE210" s="105"/>
      <c r="AF210" s="158"/>
      <c r="AG210" s="105"/>
      <c r="AH210" s="158"/>
      <c r="AI210" s="88"/>
      <c r="AJ210" s="88"/>
      <c r="AK210" s="131"/>
      <c r="AL210" s="131"/>
      <c r="AM210" s="131"/>
      <c r="AN210" s="131"/>
      <c r="AO210" s="131"/>
      <c r="AP210" s="88"/>
    </row>
    <row r="211">
      <c r="A211" s="155"/>
      <c r="B211" s="337"/>
      <c r="C211" s="340"/>
      <c r="D211" s="337"/>
      <c r="E211" s="255"/>
      <c r="F211" s="255"/>
      <c r="G211" s="338"/>
      <c r="H211" s="155"/>
      <c r="I211" s="155"/>
      <c r="J211" s="155"/>
      <c r="K211" s="15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58"/>
      <c r="AA211" s="339"/>
      <c r="AB211" s="105"/>
      <c r="AC211" s="105"/>
      <c r="AD211" s="105"/>
      <c r="AE211" s="105"/>
      <c r="AF211" s="158"/>
      <c r="AG211" s="105"/>
      <c r="AH211" s="158"/>
      <c r="AI211" s="88"/>
      <c r="AJ211" s="88"/>
      <c r="AK211" s="131"/>
      <c r="AL211" s="131"/>
      <c r="AM211" s="131"/>
      <c r="AN211" s="131"/>
      <c r="AO211" s="131"/>
      <c r="AP211" s="88"/>
    </row>
    <row r="212">
      <c r="A212" s="155"/>
      <c r="B212" s="337"/>
      <c r="C212" s="340"/>
      <c r="D212" s="337"/>
      <c r="E212" s="255"/>
      <c r="F212" s="255"/>
      <c r="G212" s="338"/>
      <c r="H212" s="155"/>
      <c r="I212" s="155"/>
      <c r="J212" s="155"/>
      <c r="K212" s="15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58"/>
      <c r="AA212" s="339"/>
      <c r="AB212" s="105"/>
      <c r="AC212" s="105"/>
      <c r="AD212" s="105"/>
      <c r="AE212" s="105"/>
      <c r="AF212" s="158"/>
      <c r="AG212" s="105"/>
      <c r="AH212" s="158"/>
      <c r="AI212" s="88"/>
      <c r="AJ212" s="88"/>
      <c r="AK212" s="131"/>
      <c r="AL212" s="131"/>
      <c r="AM212" s="131"/>
      <c r="AN212" s="131"/>
      <c r="AO212" s="131"/>
      <c r="AP212" s="88"/>
    </row>
    <row r="213">
      <c r="A213" s="155"/>
      <c r="B213" s="337"/>
      <c r="C213" s="340"/>
      <c r="D213" s="337"/>
      <c r="E213" s="255"/>
      <c r="F213" s="255"/>
      <c r="G213" s="338"/>
      <c r="H213" s="155"/>
      <c r="I213" s="155"/>
      <c r="J213" s="155"/>
      <c r="K213" s="15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58"/>
      <c r="AA213" s="339"/>
      <c r="AB213" s="105"/>
      <c r="AC213" s="105"/>
      <c r="AD213" s="105"/>
      <c r="AE213" s="105"/>
      <c r="AF213" s="158"/>
      <c r="AG213" s="105"/>
      <c r="AH213" s="158"/>
      <c r="AI213" s="88"/>
      <c r="AJ213" s="88"/>
      <c r="AK213" s="131"/>
      <c r="AL213" s="131"/>
      <c r="AM213" s="131"/>
      <c r="AN213" s="131"/>
      <c r="AO213" s="131"/>
      <c r="AP213" s="88"/>
    </row>
    <row r="214">
      <c r="A214" s="155"/>
      <c r="B214" s="337"/>
      <c r="C214" s="340"/>
      <c r="D214" s="337"/>
      <c r="E214" s="255"/>
      <c r="F214" s="255"/>
      <c r="G214" s="338"/>
      <c r="H214" s="155"/>
      <c r="I214" s="155"/>
      <c r="J214" s="155"/>
      <c r="K214" s="15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58"/>
      <c r="AA214" s="339"/>
      <c r="AB214" s="105"/>
      <c r="AC214" s="105"/>
      <c r="AD214" s="105"/>
      <c r="AE214" s="105"/>
      <c r="AF214" s="158"/>
      <c r="AG214" s="105"/>
      <c r="AH214" s="158"/>
      <c r="AI214" s="88"/>
      <c r="AJ214" s="88"/>
      <c r="AK214" s="131"/>
      <c r="AL214" s="131"/>
      <c r="AM214" s="131"/>
      <c r="AN214" s="131"/>
      <c r="AO214" s="131"/>
      <c r="AP214" s="88"/>
    </row>
    <row r="215">
      <c r="A215" s="155"/>
      <c r="B215" s="337"/>
      <c r="C215" s="340"/>
      <c r="D215" s="337"/>
      <c r="E215" s="255"/>
      <c r="F215" s="255"/>
      <c r="G215" s="338"/>
      <c r="H215" s="155"/>
      <c r="I215" s="155"/>
      <c r="J215" s="155"/>
      <c r="K215" s="15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58"/>
      <c r="AA215" s="339"/>
      <c r="AB215" s="105"/>
      <c r="AC215" s="105"/>
      <c r="AD215" s="105"/>
      <c r="AE215" s="105"/>
      <c r="AF215" s="158"/>
      <c r="AG215" s="105"/>
      <c r="AH215" s="158"/>
      <c r="AI215" s="88"/>
      <c r="AJ215" s="88"/>
      <c r="AK215" s="131"/>
      <c r="AL215" s="131"/>
      <c r="AM215" s="131"/>
      <c r="AN215" s="131"/>
      <c r="AO215" s="131"/>
      <c r="AP215" s="88"/>
    </row>
    <row r="216">
      <c r="A216" s="155"/>
      <c r="B216" s="337"/>
      <c r="C216" s="340"/>
      <c r="D216" s="337"/>
      <c r="E216" s="255"/>
      <c r="F216" s="255"/>
      <c r="G216" s="338"/>
      <c r="H216" s="155"/>
      <c r="I216" s="155"/>
      <c r="J216" s="155"/>
      <c r="K216" s="15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58"/>
      <c r="AA216" s="339"/>
      <c r="AB216" s="105"/>
      <c r="AC216" s="105"/>
      <c r="AD216" s="105"/>
      <c r="AE216" s="105"/>
      <c r="AF216" s="158"/>
      <c r="AG216" s="105"/>
      <c r="AH216" s="158"/>
      <c r="AI216" s="88"/>
      <c r="AJ216" s="88"/>
      <c r="AK216" s="131"/>
      <c r="AL216" s="131"/>
      <c r="AM216" s="131"/>
      <c r="AN216" s="131"/>
      <c r="AO216" s="131"/>
      <c r="AP216" s="88"/>
    </row>
    <row r="217">
      <c r="A217" s="155"/>
      <c r="B217" s="337"/>
      <c r="C217" s="340"/>
      <c r="D217" s="337"/>
      <c r="E217" s="255"/>
      <c r="F217" s="255"/>
      <c r="G217" s="338"/>
      <c r="H217" s="155"/>
      <c r="I217" s="155"/>
      <c r="J217" s="155"/>
      <c r="K217" s="15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58"/>
      <c r="AA217" s="339"/>
      <c r="AB217" s="105"/>
      <c r="AC217" s="105"/>
      <c r="AD217" s="105"/>
      <c r="AE217" s="105"/>
      <c r="AF217" s="158"/>
      <c r="AG217" s="105"/>
      <c r="AH217" s="158"/>
      <c r="AI217" s="88"/>
      <c r="AJ217" s="88"/>
      <c r="AK217" s="131"/>
      <c r="AL217" s="131"/>
      <c r="AM217" s="131"/>
      <c r="AN217" s="131"/>
      <c r="AO217" s="131"/>
      <c r="AP217" s="88"/>
    </row>
    <row r="218">
      <c r="A218" s="155"/>
      <c r="B218" s="337"/>
      <c r="C218" s="340"/>
      <c r="D218" s="337"/>
      <c r="E218" s="255"/>
      <c r="F218" s="255"/>
      <c r="G218" s="338"/>
      <c r="H218" s="155"/>
      <c r="I218" s="155"/>
      <c r="J218" s="155"/>
      <c r="K218" s="15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58"/>
      <c r="AA218" s="339"/>
      <c r="AB218" s="105"/>
      <c r="AC218" s="105"/>
      <c r="AD218" s="105"/>
      <c r="AE218" s="105"/>
      <c r="AF218" s="158"/>
      <c r="AG218" s="105"/>
      <c r="AH218" s="158"/>
      <c r="AI218" s="88"/>
      <c r="AJ218" s="88"/>
      <c r="AK218" s="131"/>
      <c r="AL218" s="131"/>
      <c r="AM218" s="131"/>
      <c r="AN218" s="131"/>
      <c r="AO218" s="131"/>
      <c r="AP218" s="88"/>
    </row>
    <row r="219">
      <c r="A219" s="155"/>
      <c r="B219" s="337"/>
      <c r="C219" s="340"/>
      <c r="D219" s="337"/>
      <c r="E219" s="255"/>
      <c r="F219" s="255"/>
      <c r="G219" s="338"/>
      <c r="H219" s="155"/>
      <c r="I219" s="155"/>
      <c r="J219" s="155"/>
      <c r="K219" s="15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58"/>
      <c r="AA219" s="339"/>
      <c r="AB219" s="105"/>
      <c r="AC219" s="105"/>
      <c r="AD219" s="105"/>
      <c r="AE219" s="105"/>
      <c r="AF219" s="158"/>
      <c r="AG219" s="105"/>
      <c r="AH219" s="158"/>
      <c r="AI219" s="88"/>
      <c r="AJ219" s="88"/>
      <c r="AK219" s="131"/>
      <c r="AL219" s="131"/>
      <c r="AM219" s="131"/>
      <c r="AN219" s="131"/>
      <c r="AO219" s="131"/>
      <c r="AP219" s="88"/>
    </row>
    <row r="220">
      <c r="A220" s="155"/>
      <c r="B220" s="337"/>
      <c r="C220" s="340"/>
      <c r="D220" s="337"/>
      <c r="E220" s="255"/>
      <c r="F220" s="255"/>
      <c r="G220" s="338"/>
      <c r="H220" s="155"/>
      <c r="I220" s="155"/>
      <c r="J220" s="155"/>
      <c r="K220" s="15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58"/>
      <c r="AA220" s="339"/>
      <c r="AB220" s="105"/>
      <c r="AC220" s="105"/>
      <c r="AD220" s="105"/>
      <c r="AE220" s="105"/>
      <c r="AF220" s="158"/>
      <c r="AG220" s="105"/>
      <c r="AH220" s="158"/>
      <c r="AI220" s="88"/>
      <c r="AJ220" s="88"/>
      <c r="AK220" s="131"/>
      <c r="AL220" s="131"/>
      <c r="AM220" s="131"/>
      <c r="AN220" s="131"/>
      <c r="AO220" s="131"/>
      <c r="AP220" s="88"/>
    </row>
    <row r="221">
      <c r="A221" s="155"/>
      <c r="B221" s="337"/>
      <c r="C221" s="340"/>
      <c r="D221" s="337"/>
      <c r="E221" s="255"/>
      <c r="F221" s="255"/>
      <c r="G221" s="338"/>
      <c r="H221" s="155"/>
      <c r="I221" s="155"/>
      <c r="J221" s="155"/>
      <c r="K221" s="15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58"/>
      <c r="AA221" s="339"/>
      <c r="AB221" s="105"/>
      <c r="AC221" s="105"/>
      <c r="AD221" s="105"/>
      <c r="AE221" s="105"/>
      <c r="AF221" s="158"/>
      <c r="AG221" s="105"/>
      <c r="AH221" s="158"/>
      <c r="AI221" s="88"/>
      <c r="AJ221" s="88"/>
      <c r="AK221" s="131"/>
      <c r="AL221" s="131"/>
      <c r="AM221" s="131"/>
      <c r="AN221" s="131"/>
      <c r="AO221" s="131"/>
      <c r="AP221" s="88"/>
    </row>
    <row r="222">
      <c r="A222" s="155"/>
      <c r="B222" s="337"/>
      <c r="C222" s="340"/>
      <c r="D222" s="337"/>
      <c r="E222" s="255"/>
      <c r="F222" s="255"/>
      <c r="G222" s="338"/>
      <c r="H222" s="155"/>
      <c r="I222" s="155"/>
      <c r="J222" s="155"/>
      <c r="K222" s="15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58"/>
      <c r="AA222" s="339"/>
      <c r="AB222" s="105"/>
      <c r="AC222" s="105"/>
      <c r="AD222" s="105"/>
      <c r="AE222" s="105"/>
      <c r="AF222" s="158"/>
      <c r="AG222" s="105"/>
      <c r="AH222" s="158"/>
      <c r="AI222" s="88"/>
      <c r="AJ222" s="88"/>
      <c r="AK222" s="131"/>
      <c r="AL222" s="131"/>
      <c r="AM222" s="131"/>
      <c r="AN222" s="131"/>
      <c r="AO222" s="131"/>
      <c r="AP222" s="88"/>
    </row>
    <row r="223">
      <c r="A223" s="155"/>
      <c r="B223" s="337"/>
      <c r="C223" s="340"/>
      <c r="D223" s="337"/>
      <c r="E223" s="255"/>
      <c r="F223" s="255"/>
      <c r="G223" s="338"/>
      <c r="H223" s="155"/>
      <c r="I223" s="155"/>
      <c r="J223" s="155"/>
      <c r="K223" s="15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58"/>
      <c r="AA223" s="339"/>
      <c r="AB223" s="105"/>
      <c r="AC223" s="105"/>
      <c r="AD223" s="105"/>
      <c r="AE223" s="105"/>
      <c r="AF223" s="158"/>
      <c r="AG223" s="105"/>
      <c r="AH223" s="158"/>
      <c r="AI223" s="88"/>
      <c r="AJ223" s="88"/>
      <c r="AK223" s="131"/>
      <c r="AL223" s="131"/>
      <c r="AM223" s="131"/>
      <c r="AN223" s="131"/>
      <c r="AO223" s="131"/>
      <c r="AP223" s="88"/>
    </row>
    <row r="224">
      <c r="A224" s="155"/>
      <c r="B224" s="337"/>
      <c r="C224" s="340"/>
      <c r="D224" s="337"/>
      <c r="E224" s="255"/>
      <c r="F224" s="255"/>
      <c r="G224" s="338"/>
      <c r="H224" s="155"/>
      <c r="I224" s="155"/>
      <c r="J224" s="155"/>
      <c r="K224" s="15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58"/>
      <c r="AA224" s="339"/>
      <c r="AB224" s="105"/>
      <c r="AC224" s="105"/>
      <c r="AD224" s="105"/>
      <c r="AE224" s="105"/>
      <c r="AF224" s="158"/>
      <c r="AG224" s="105"/>
      <c r="AH224" s="158"/>
      <c r="AI224" s="88"/>
      <c r="AJ224" s="88"/>
      <c r="AK224" s="131"/>
      <c r="AL224" s="131"/>
      <c r="AM224" s="131"/>
      <c r="AN224" s="131"/>
      <c r="AO224" s="131"/>
      <c r="AP224" s="88"/>
    </row>
    <row r="225">
      <c r="A225" s="155"/>
      <c r="B225" s="337"/>
      <c r="C225" s="340"/>
      <c r="D225" s="337"/>
      <c r="E225" s="255"/>
      <c r="F225" s="255"/>
      <c r="G225" s="338"/>
      <c r="H225" s="155"/>
      <c r="I225" s="155"/>
      <c r="J225" s="155"/>
      <c r="K225" s="15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58"/>
      <c r="AA225" s="339"/>
      <c r="AB225" s="105"/>
      <c r="AC225" s="105"/>
      <c r="AD225" s="105"/>
      <c r="AE225" s="105"/>
      <c r="AF225" s="158"/>
      <c r="AG225" s="105"/>
      <c r="AH225" s="158"/>
      <c r="AI225" s="88"/>
      <c r="AJ225" s="88"/>
      <c r="AK225" s="131"/>
      <c r="AL225" s="131"/>
      <c r="AM225" s="131"/>
      <c r="AN225" s="131"/>
      <c r="AO225" s="131"/>
      <c r="AP225" s="88"/>
    </row>
    <row r="226">
      <c r="A226" s="155"/>
      <c r="B226" s="337"/>
      <c r="C226" s="340"/>
      <c r="D226" s="337"/>
      <c r="E226" s="255"/>
      <c r="F226" s="255"/>
      <c r="G226" s="338"/>
      <c r="H226" s="155"/>
      <c r="I226" s="155"/>
      <c r="J226" s="155"/>
      <c r="K226" s="15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58"/>
      <c r="AA226" s="339"/>
      <c r="AB226" s="105"/>
      <c r="AC226" s="105"/>
      <c r="AD226" s="105"/>
      <c r="AE226" s="105"/>
      <c r="AF226" s="158"/>
      <c r="AG226" s="105"/>
      <c r="AH226" s="158"/>
      <c r="AI226" s="88"/>
      <c r="AJ226" s="88"/>
      <c r="AK226" s="131"/>
      <c r="AL226" s="131"/>
      <c r="AM226" s="131"/>
      <c r="AN226" s="131"/>
      <c r="AO226" s="131"/>
      <c r="AP226" s="88"/>
    </row>
    <row r="227">
      <c r="A227" s="155"/>
      <c r="B227" s="337"/>
      <c r="C227" s="340"/>
      <c r="D227" s="337"/>
      <c r="E227" s="255"/>
      <c r="F227" s="255"/>
      <c r="G227" s="338"/>
      <c r="H227" s="155"/>
      <c r="I227" s="155"/>
      <c r="J227" s="155"/>
      <c r="K227" s="15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58"/>
      <c r="AA227" s="339"/>
      <c r="AB227" s="105"/>
      <c r="AC227" s="105"/>
      <c r="AD227" s="105"/>
      <c r="AE227" s="105"/>
      <c r="AF227" s="158"/>
      <c r="AG227" s="105"/>
      <c r="AH227" s="158"/>
      <c r="AI227" s="88"/>
      <c r="AJ227" s="88"/>
      <c r="AK227" s="131"/>
      <c r="AL227" s="131"/>
      <c r="AM227" s="131"/>
      <c r="AN227" s="131"/>
      <c r="AO227" s="131"/>
      <c r="AP227" s="88"/>
    </row>
    <row r="228">
      <c r="A228" s="155"/>
      <c r="B228" s="337"/>
      <c r="C228" s="340"/>
      <c r="D228" s="337"/>
      <c r="E228" s="255"/>
      <c r="F228" s="255"/>
      <c r="G228" s="338"/>
      <c r="H228" s="155"/>
      <c r="I228" s="155"/>
      <c r="J228" s="155"/>
      <c r="K228" s="15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58"/>
      <c r="AA228" s="339"/>
      <c r="AB228" s="105"/>
      <c r="AC228" s="105"/>
      <c r="AD228" s="105"/>
      <c r="AE228" s="105"/>
      <c r="AF228" s="158"/>
      <c r="AG228" s="105"/>
      <c r="AH228" s="158"/>
      <c r="AI228" s="88"/>
      <c r="AJ228" s="88"/>
      <c r="AK228" s="131"/>
      <c r="AL228" s="131"/>
      <c r="AM228" s="131"/>
      <c r="AN228" s="131"/>
      <c r="AO228" s="131"/>
      <c r="AP228" s="88"/>
    </row>
    <row r="229">
      <c r="A229" s="155"/>
      <c r="B229" s="337"/>
      <c r="C229" s="340"/>
      <c r="D229" s="337"/>
      <c r="E229" s="255"/>
      <c r="F229" s="255"/>
      <c r="G229" s="338"/>
      <c r="H229" s="155"/>
      <c r="I229" s="155"/>
      <c r="J229" s="155"/>
      <c r="K229" s="15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58"/>
      <c r="AA229" s="339"/>
      <c r="AB229" s="105"/>
      <c r="AC229" s="105"/>
      <c r="AD229" s="105"/>
      <c r="AE229" s="105"/>
      <c r="AF229" s="158"/>
      <c r="AG229" s="105"/>
      <c r="AH229" s="158"/>
      <c r="AI229" s="88"/>
      <c r="AJ229" s="88"/>
      <c r="AK229" s="131"/>
      <c r="AL229" s="131"/>
      <c r="AM229" s="131"/>
      <c r="AN229" s="131"/>
      <c r="AO229" s="131"/>
      <c r="AP229" s="88"/>
    </row>
    <row r="230">
      <c r="A230" s="155"/>
      <c r="B230" s="337"/>
      <c r="C230" s="340"/>
      <c r="D230" s="337"/>
      <c r="E230" s="255"/>
      <c r="F230" s="255"/>
      <c r="G230" s="338"/>
      <c r="H230" s="155"/>
      <c r="I230" s="155"/>
      <c r="J230" s="155"/>
      <c r="K230" s="15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58"/>
      <c r="AA230" s="339"/>
      <c r="AB230" s="105"/>
      <c r="AC230" s="105"/>
      <c r="AD230" s="105"/>
      <c r="AE230" s="105"/>
      <c r="AF230" s="158"/>
      <c r="AG230" s="105"/>
      <c r="AH230" s="158"/>
      <c r="AI230" s="88"/>
      <c r="AJ230" s="88"/>
      <c r="AK230" s="131"/>
      <c r="AL230" s="131"/>
      <c r="AM230" s="131"/>
      <c r="AN230" s="131"/>
      <c r="AO230" s="131"/>
      <c r="AP230" s="88"/>
    </row>
    <row r="231">
      <c r="A231" s="155"/>
      <c r="B231" s="337"/>
      <c r="C231" s="340"/>
      <c r="D231" s="337"/>
      <c r="E231" s="255"/>
      <c r="F231" s="255"/>
      <c r="G231" s="338"/>
      <c r="H231" s="155"/>
      <c r="I231" s="155"/>
      <c r="J231" s="155"/>
      <c r="K231" s="15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58"/>
      <c r="AA231" s="339"/>
      <c r="AB231" s="105"/>
      <c r="AC231" s="105"/>
      <c r="AD231" s="105"/>
      <c r="AE231" s="105"/>
      <c r="AF231" s="158"/>
      <c r="AG231" s="105"/>
      <c r="AH231" s="158"/>
      <c r="AI231" s="88"/>
      <c r="AJ231" s="88"/>
      <c r="AK231" s="131"/>
      <c r="AL231" s="131"/>
      <c r="AM231" s="131"/>
      <c r="AN231" s="131"/>
      <c r="AO231" s="131"/>
      <c r="AP231" s="88"/>
    </row>
    <row r="232">
      <c r="A232" s="155"/>
      <c r="B232" s="337"/>
      <c r="C232" s="340"/>
      <c r="D232" s="337"/>
      <c r="E232" s="255"/>
      <c r="F232" s="255"/>
      <c r="G232" s="338"/>
      <c r="H232" s="155"/>
      <c r="I232" s="155"/>
      <c r="J232" s="155"/>
      <c r="K232" s="15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58"/>
      <c r="AA232" s="339"/>
      <c r="AB232" s="105"/>
      <c r="AC232" s="105"/>
      <c r="AD232" s="105"/>
      <c r="AE232" s="105"/>
      <c r="AF232" s="158"/>
      <c r="AG232" s="105"/>
      <c r="AH232" s="158"/>
      <c r="AI232" s="88"/>
      <c r="AJ232" s="88"/>
      <c r="AK232" s="131"/>
      <c r="AL232" s="131"/>
      <c r="AM232" s="131"/>
      <c r="AN232" s="131"/>
      <c r="AO232" s="131"/>
      <c r="AP232" s="88"/>
    </row>
    <row r="233">
      <c r="A233" s="155"/>
      <c r="B233" s="337"/>
      <c r="C233" s="340"/>
      <c r="D233" s="337"/>
      <c r="E233" s="255"/>
      <c r="F233" s="255"/>
      <c r="G233" s="338"/>
      <c r="H233" s="155"/>
      <c r="I233" s="155"/>
      <c r="J233" s="155"/>
      <c r="K233" s="15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58"/>
      <c r="AA233" s="339"/>
      <c r="AB233" s="105"/>
      <c r="AC233" s="105"/>
      <c r="AD233" s="105"/>
      <c r="AE233" s="105"/>
      <c r="AF233" s="158"/>
      <c r="AG233" s="105"/>
      <c r="AH233" s="158"/>
      <c r="AI233" s="88"/>
      <c r="AJ233" s="88"/>
      <c r="AK233" s="131"/>
      <c r="AL233" s="131"/>
      <c r="AM233" s="131"/>
      <c r="AN233" s="131"/>
      <c r="AO233" s="131"/>
      <c r="AP233" s="88"/>
    </row>
    <row r="234">
      <c r="A234" s="155"/>
      <c r="B234" s="337"/>
      <c r="C234" s="340"/>
      <c r="D234" s="337"/>
      <c r="E234" s="255"/>
      <c r="F234" s="255"/>
      <c r="G234" s="338"/>
      <c r="H234" s="155"/>
      <c r="I234" s="155"/>
      <c r="J234" s="155"/>
      <c r="K234" s="15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58"/>
      <c r="AA234" s="339"/>
      <c r="AB234" s="105"/>
      <c r="AC234" s="105"/>
      <c r="AD234" s="105"/>
      <c r="AE234" s="105"/>
      <c r="AF234" s="158"/>
      <c r="AG234" s="105"/>
      <c r="AH234" s="158"/>
      <c r="AI234" s="88"/>
      <c r="AJ234" s="88"/>
      <c r="AK234" s="131"/>
      <c r="AL234" s="131"/>
      <c r="AM234" s="131"/>
      <c r="AN234" s="131"/>
      <c r="AO234" s="131"/>
      <c r="AP234" s="88"/>
    </row>
    <row r="235">
      <c r="A235" s="155"/>
      <c r="B235" s="337"/>
      <c r="C235" s="340"/>
      <c r="D235" s="337"/>
      <c r="E235" s="255"/>
      <c r="F235" s="255"/>
      <c r="G235" s="338"/>
      <c r="H235" s="155"/>
      <c r="I235" s="155"/>
      <c r="J235" s="155"/>
      <c r="K235" s="15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58"/>
      <c r="AA235" s="339"/>
      <c r="AB235" s="105"/>
      <c r="AC235" s="105"/>
      <c r="AD235" s="105"/>
      <c r="AE235" s="105"/>
      <c r="AF235" s="158"/>
      <c r="AG235" s="105"/>
      <c r="AH235" s="158"/>
      <c r="AI235" s="88"/>
      <c r="AJ235" s="88"/>
      <c r="AK235" s="131"/>
      <c r="AL235" s="131"/>
      <c r="AM235" s="131"/>
      <c r="AN235" s="131"/>
      <c r="AO235" s="131"/>
      <c r="AP235" s="88"/>
    </row>
    <row r="236">
      <c r="A236" s="155"/>
      <c r="B236" s="337"/>
      <c r="C236" s="340"/>
      <c r="D236" s="337"/>
      <c r="E236" s="255"/>
      <c r="F236" s="255"/>
      <c r="G236" s="338"/>
      <c r="H236" s="155"/>
      <c r="I236" s="155"/>
      <c r="J236" s="155"/>
      <c r="K236" s="15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58"/>
      <c r="AA236" s="339"/>
      <c r="AB236" s="105"/>
      <c r="AC236" s="105"/>
      <c r="AD236" s="105"/>
      <c r="AE236" s="105"/>
      <c r="AF236" s="158"/>
      <c r="AG236" s="105"/>
      <c r="AH236" s="158"/>
      <c r="AI236" s="88"/>
      <c r="AJ236" s="88"/>
      <c r="AK236" s="131"/>
      <c r="AL236" s="131"/>
      <c r="AM236" s="131"/>
      <c r="AN236" s="131"/>
      <c r="AO236" s="131"/>
      <c r="AP236" s="88"/>
    </row>
    <row r="237">
      <c r="A237" s="155"/>
      <c r="B237" s="337"/>
      <c r="C237" s="340"/>
      <c r="D237" s="337"/>
      <c r="E237" s="255"/>
      <c r="F237" s="255"/>
      <c r="G237" s="338"/>
      <c r="H237" s="155"/>
      <c r="I237" s="155"/>
      <c r="J237" s="155"/>
      <c r="K237" s="15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58"/>
      <c r="AA237" s="339"/>
      <c r="AB237" s="105"/>
      <c r="AC237" s="105"/>
      <c r="AD237" s="105"/>
      <c r="AE237" s="105"/>
      <c r="AF237" s="158"/>
      <c r="AG237" s="105"/>
      <c r="AH237" s="158"/>
      <c r="AI237" s="88"/>
      <c r="AJ237" s="88"/>
      <c r="AK237" s="131"/>
      <c r="AL237" s="131"/>
      <c r="AM237" s="131"/>
      <c r="AN237" s="131"/>
      <c r="AO237" s="131"/>
      <c r="AP237" s="88"/>
    </row>
    <row r="238">
      <c r="A238" s="155"/>
      <c r="B238" s="337"/>
      <c r="C238" s="340"/>
      <c r="D238" s="337"/>
      <c r="E238" s="255"/>
      <c r="F238" s="255"/>
      <c r="G238" s="338"/>
      <c r="H238" s="155"/>
      <c r="I238" s="155"/>
      <c r="J238" s="155"/>
      <c r="K238" s="15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58"/>
      <c r="AA238" s="339"/>
      <c r="AB238" s="105"/>
      <c r="AC238" s="105"/>
      <c r="AD238" s="105"/>
      <c r="AE238" s="105"/>
      <c r="AF238" s="158"/>
      <c r="AG238" s="105"/>
      <c r="AH238" s="158"/>
      <c r="AI238" s="88"/>
      <c r="AJ238" s="88"/>
      <c r="AK238" s="131"/>
      <c r="AL238" s="131"/>
      <c r="AM238" s="131"/>
      <c r="AN238" s="131"/>
      <c r="AO238" s="131"/>
      <c r="AP238" s="88"/>
    </row>
    <row r="239">
      <c r="A239" s="155"/>
      <c r="B239" s="337"/>
      <c r="C239" s="340"/>
      <c r="D239" s="337"/>
      <c r="E239" s="255"/>
      <c r="F239" s="255"/>
      <c r="G239" s="338"/>
      <c r="H239" s="155"/>
      <c r="I239" s="155"/>
      <c r="J239" s="155"/>
      <c r="K239" s="15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58"/>
      <c r="AA239" s="339"/>
      <c r="AB239" s="105"/>
      <c r="AC239" s="105"/>
      <c r="AD239" s="105"/>
      <c r="AE239" s="105"/>
      <c r="AF239" s="158"/>
      <c r="AG239" s="105"/>
      <c r="AH239" s="158"/>
      <c r="AI239" s="88"/>
      <c r="AJ239" s="88"/>
      <c r="AK239" s="131"/>
      <c r="AL239" s="131"/>
      <c r="AM239" s="131"/>
      <c r="AN239" s="131"/>
      <c r="AO239" s="131"/>
      <c r="AP239" s="88"/>
    </row>
    <row r="240">
      <c r="A240" s="155"/>
      <c r="B240" s="337"/>
      <c r="C240" s="340"/>
      <c r="D240" s="337"/>
      <c r="E240" s="255"/>
      <c r="F240" s="255"/>
      <c r="G240" s="338"/>
      <c r="H240" s="155"/>
      <c r="I240" s="155"/>
      <c r="J240" s="155"/>
      <c r="K240" s="15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58"/>
      <c r="AA240" s="339"/>
      <c r="AB240" s="105"/>
      <c r="AC240" s="105"/>
      <c r="AD240" s="105"/>
      <c r="AE240" s="105"/>
      <c r="AF240" s="158"/>
      <c r="AG240" s="105"/>
      <c r="AH240" s="158"/>
      <c r="AI240" s="88"/>
      <c r="AJ240" s="88"/>
      <c r="AK240" s="131"/>
      <c r="AL240" s="131"/>
      <c r="AM240" s="131"/>
      <c r="AN240" s="131"/>
      <c r="AO240" s="131"/>
      <c r="AP240" s="88"/>
    </row>
    <row r="241">
      <c r="A241" s="155"/>
      <c r="B241" s="337"/>
      <c r="C241" s="340"/>
      <c r="D241" s="337"/>
      <c r="E241" s="255"/>
      <c r="F241" s="255"/>
      <c r="G241" s="338"/>
      <c r="H241" s="155"/>
      <c r="I241" s="155"/>
      <c r="J241" s="155"/>
      <c r="K241" s="15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58"/>
      <c r="AA241" s="339"/>
      <c r="AB241" s="105"/>
      <c r="AC241" s="105"/>
      <c r="AD241" s="105"/>
      <c r="AE241" s="105"/>
      <c r="AF241" s="158"/>
      <c r="AG241" s="105"/>
      <c r="AH241" s="158"/>
      <c r="AI241" s="88"/>
      <c r="AJ241" s="88"/>
      <c r="AK241" s="131"/>
      <c r="AL241" s="131"/>
      <c r="AM241" s="131"/>
      <c r="AN241" s="131"/>
      <c r="AO241" s="131"/>
      <c r="AP241" s="88"/>
    </row>
    <row r="242">
      <c r="A242" s="155"/>
      <c r="B242" s="337"/>
      <c r="C242" s="340"/>
      <c r="D242" s="337"/>
      <c r="E242" s="255"/>
      <c r="F242" s="255"/>
      <c r="G242" s="338"/>
      <c r="H242" s="155"/>
      <c r="I242" s="155"/>
      <c r="J242" s="155"/>
      <c r="K242" s="15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58"/>
      <c r="AA242" s="339"/>
      <c r="AB242" s="105"/>
      <c r="AC242" s="105"/>
      <c r="AD242" s="105"/>
      <c r="AE242" s="105"/>
      <c r="AF242" s="158"/>
      <c r="AG242" s="105"/>
      <c r="AH242" s="158"/>
      <c r="AI242" s="88"/>
      <c r="AJ242" s="88"/>
      <c r="AK242" s="131"/>
      <c r="AL242" s="131"/>
      <c r="AM242" s="131"/>
      <c r="AN242" s="131"/>
      <c r="AO242" s="131"/>
      <c r="AP242" s="88"/>
    </row>
    <row r="243">
      <c r="A243" s="155"/>
      <c r="B243" s="337"/>
      <c r="C243" s="340"/>
      <c r="D243" s="337"/>
      <c r="E243" s="255"/>
      <c r="F243" s="255"/>
      <c r="G243" s="338"/>
      <c r="H243" s="155"/>
      <c r="I243" s="155"/>
      <c r="J243" s="155"/>
      <c r="K243" s="15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58"/>
      <c r="AA243" s="339"/>
      <c r="AB243" s="105"/>
      <c r="AC243" s="105"/>
      <c r="AD243" s="105"/>
      <c r="AE243" s="105"/>
      <c r="AF243" s="158"/>
      <c r="AG243" s="105"/>
      <c r="AH243" s="158"/>
      <c r="AI243" s="88"/>
      <c r="AJ243" s="88"/>
      <c r="AK243" s="131"/>
      <c r="AL243" s="131"/>
      <c r="AM243" s="131"/>
      <c r="AN243" s="131"/>
      <c r="AO243" s="131"/>
      <c r="AP243" s="88"/>
    </row>
    <row r="244">
      <c r="A244" s="155"/>
      <c r="B244" s="337"/>
      <c r="C244" s="340"/>
      <c r="D244" s="337"/>
      <c r="E244" s="255"/>
      <c r="F244" s="255"/>
      <c r="G244" s="338"/>
      <c r="H244" s="155"/>
      <c r="I244" s="155"/>
      <c r="J244" s="155"/>
      <c r="K244" s="15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58"/>
      <c r="AA244" s="339"/>
      <c r="AB244" s="105"/>
      <c r="AC244" s="105"/>
      <c r="AD244" s="105"/>
      <c r="AE244" s="105"/>
      <c r="AF244" s="158"/>
      <c r="AG244" s="105"/>
      <c r="AH244" s="158"/>
      <c r="AI244" s="88"/>
      <c r="AJ244" s="88"/>
      <c r="AK244" s="131"/>
      <c r="AL244" s="131"/>
      <c r="AM244" s="131"/>
      <c r="AN244" s="131"/>
      <c r="AO244" s="131"/>
      <c r="AP244" s="88"/>
    </row>
    <row r="245">
      <c r="A245" s="155"/>
      <c r="B245" s="337"/>
      <c r="C245" s="340"/>
      <c r="D245" s="337"/>
      <c r="E245" s="255"/>
      <c r="F245" s="255"/>
      <c r="G245" s="338"/>
      <c r="H245" s="155"/>
      <c r="I245" s="155"/>
      <c r="J245" s="155"/>
      <c r="K245" s="15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58"/>
      <c r="AA245" s="339"/>
      <c r="AB245" s="105"/>
      <c r="AC245" s="105"/>
      <c r="AD245" s="105"/>
      <c r="AE245" s="105"/>
      <c r="AF245" s="158"/>
      <c r="AG245" s="105"/>
      <c r="AH245" s="158"/>
      <c r="AI245" s="88"/>
      <c r="AJ245" s="88"/>
      <c r="AK245" s="131"/>
      <c r="AL245" s="131"/>
      <c r="AM245" s="131"/>
      <c r="AN245" s="131"/>
      <c r="AO245" s="131"/>
      <c r="AP245" s="88"/>
    </row>
    <row r="246">
      <c r="A246" s="155"/>
      <c r="B246" s="337"/>
      <c r="C246" s="340"/>
      <c r="D246" s="337"/>
      <c r="E246" s="255"/>
      <c r="F246" s="255"/>
      <c r="G246" s="338"/>
      <c r="H246" s="155"/>
      <c r="I246" s="155"/>
      <c r="J246" s="155"/>
      <c r="K246" s="15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58"/>
      <c r="AA246" s="339"/>
      <c r="AB246" s="105"/>
      <c r="AC246" s="105"/>
      <c r="AD246" s="105"/>
      <c r="AE246" s="105"/>
      <c r="AF246" s="158"/>
      <c r="AG246" s="105"/>
      <c r="AH246" s="158"/>
      <c r="AI246" s="88"/>
      <c r="AJ246" s="88"/>
      <c r="AK246" s="131"/>
      <c r="AL246" s="131"/>
      <c r="AM246" s="131"/>
      <c r="AN246" s="131"/>
      <c r="AO246" s="131"/>
      <c r="AP246" s="88"/>
    </row>
    <row r="247">
      <c r="A247" s="155"/>
      <c r="B247" s="337"/>
      <c r="C247" s="340"/>
      <c r="D247" s="337"/>
      <c r="E247" s="255"/>
      <c r="F247" s="255"/>
      <c r="G247" s="338"/>
      <c r="H247" s="155"/>
      <c r="I247" s="155"/>
      <c r="J247" s="155"/>
      <c r="K247" s="15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58"/>
      <c r="AA247" s="339"/>
      <c r="AB247" s="105"/>
      <c r="AC247" s="105"/>
      <c r="AD247" s="105"/>
      <c r="AE247" s="105"/>
      <c r="AF247" s="158"/>
      <c r="AG247" s="105"/>
      <c r="AH247" s="158"/>
      <c r="AI247" s="88"/>
      <c r="AJ247" s="88"/>
      <c r="AK247" s="131"/>
      <c r="AL247" s="131"/>
      <c r="AM247" s="131"/>
      <c r="AN247" s="131"/>
      <c r="AO247" s="131"/>
      <c r="AP247" s="88"/>
    </row>
    <row r="248">
      <c r="A248" s="155"/>
      <c r="B248" s="337"/>
      <c r="C248" s="340"/>
      <c r="D248" s="337"/>
      <c r="E248" s="255"/>
      <c r="F248" s="255"/>
      <c r="G248" s="338"/>
      <c r="H248" s="155"/>
      <c r="I248" s="155"/>
      <c r="J248" s="155"/>
      <c r="K248" s="15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58"/>
      <c r="AA248" s="339"/>
      <c r="AB248" s="105"/>
      <c r="AC248" s="105"/>
      <c r="AD248" s="105"/>
      <c r="AE248" s="105"/>
      <c r="AF248" s="158"/>
      <c r="AG248" s="105"/>
      <c r="AH248" s="158"/>
      <c r="AI248" s="88"/>
      <c r="AJ248" s="88"/>
      <c r="AK248" s="131"/>
      <c r="AL248" s="131"/>
      <c r="AM248" s="131"/>
      <c r="AN248" s="131"/>
      <c r="AO248" s="131"/>
      <c r="AP248" s="88"/>
    </row>
    <row r="249">
      <c r="A249" s="155"/>
      <c r="B249" s="337"/>
      <c r="C249" s="340"/>
      <c r="D249" s="337"/>
      <c r="E249" s="255"/>
      <c r="F249" s="255"/>
      <c r="G249" s="338"/>
      <c r="H249" s="155"/>
      <c r="I249" s="155"/>
      <c r="J249" s="155"/>
      <c r="K249" s="15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58"/>
      <c r="AA249" s="339"/>
      <c r="AB249" s="105"/>
      <c r="AC249" s="105"/>
      <c r="AD249" s="105"/>
      <c r="AE249" s="105"/>
      <c r="AF249" s="158"/>
      <c r="AG249" s="105"/>
      <c r="AH249" s="158"/>
      <c r="AI249" s="88"/>
      <c r="AJ249" s="88"/>
      <c r="AK249" s="131"/>
      <c r="AL249" s="131"/>
      <c r="AM249" s="131"/>
      <c r="AN249" s="131"/>
      <c r="AO249" s="131"/>
      <c r="AP249" s="88"/>
    </row>
    <row r="250">
      <c r="A250" s="155"/>
      <c r="B250" s="337"/>
      <c r="C250" s="340"/>
      <c r="D250" s="337"/>
      <c r="E250" s="255"/>
      <c r="F250" s="255"/>
      <c r="G250" s="338"/>
      <c r="H250" s="155"/>
      <c r="I250" s="155"/>
      <c r="J250" s="155"/>
      <c r="K250" s="15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58"/>
      <c r="AA250" s="339"/>
      <c r="AB250" s="105"/>
      <c r="AC250" s="105"/>
      <c r="AD250" s="105"/>
      <c r="AE250" s="105"/>
      <c r="AF250" s="158"/>
      <c r="AG250" s="105"/>
      <c r="AH250" s="158"/>
      <c r="AI250" s="88"/>
      <c r="AJ250" s="88"/>
      <c r="AK250" s="131"/>
      <c r="AL250" s="131"/>
      <c r="AM250" s="131"/>
      <c r="AN250" s="131"/>
      <c r="AO250" s="131"/>
      <c r="AP250" s="88"/>
    </row>
    <row r="251">
      <c r="A251" s="155"/>
      <c r="B251" s="337"/>
      <c r="C251" s="340"/>
      <c r="D251" s="337"/>
      <c r="E251" s="255"/>
      <c r="F251" s="255"/>
      <c r="G251" s="338"/>
      <c r="H251" s="155"/>
      <c r="I251" s="155"/>
      <c r="J251" s="155"/>
      <c r="K251" s="15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58"/>
      <c r="AA251" s="339"/>
      <c r="AB251" s="105"/>
      <c r="AC251" s="105"/>
      <c r="AD251" s="105"/>
      <c r="AE251" s="105"/>
      <c r="AF251" s="158"/>
      <c r="AG251" s="105"/>
      <c r="AH251" s="158"/>
      <c r="AI251" s="88"/>
      <c r="AJ251" s="88"/>
      <c r="AK251" s="131"/>
      <c r="AL251" s="131"/>
      <c r="AM251" s="131"/>
      <c r="AN251" s="131"/>
      <c r="AO251" s="131"/>
      <c r="AP251" s="88"/>
    </row>
    <row r="252">
      <c r="A252" s="155"/>
      <c r="B252" s="337"/>
      <c r="C252" s="340"/>
      <c r="D252" s="337"/>
      <c r="E252" s="255"/>
      <c r="F252" s="255"/>
      <c r="G252" s="338"/>
      <c r="H252" s="155"/>
      <c r="I252" s="155"/>
      <c r="J252" s="155"/>
      <c r="K252" s="15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58"/>
      <c r="AA252" s="339"/>
      <c r="AB252" s="105"/>
      <c r="AC252" s="105"/>
      <c r="AD252" s="105"/>
      <c r="AE252" s="105"/>
      <c r="AF252" s="158"/>
      <c r="AG252" s="105"/>
      <c r="AH252" s="158"/>
      <c r="AI252" s="88"/>
      <c r="AJ252" s="88"/>
      <c r="AK252" s="131"/>
      <c r="AL252" s="131"/>
      <c r="AM252" s="131"/>
      <c r="AN252" s="131"/>
      <c r="AO252" s="131"/>
      <c r="AP252" s="88"/>
    </row>
    <row r="253">
      <c r="A253" s="155"/>
      <c r="B253" s="337"/>
      <c r="C253" s="340"/>
      <c r="D253" s="337"/>
      <c r="E253" s="255"/>
      <c r="F253" s="255"/>
      <c r="G253" s="338"/>
      <c r="H253" s="155"/>
      <c r="I253" s="155"/>
      <c r="J253" s="155"/>
      <c r="K253" s="15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58"/>
      <c r="AA253" s="339"/>
      <c r="AB253" s="105"/>
      <c r="AC253" s="105"/>
      <c r="AD253" s="105"/>
      <c r="AE253" s="105"/>
      <c r="AF253" s="158"/>
      <c r="AG253" s="105"/>
      <c r="AH253" s="158"/>
      <c r="AI253" s="88"/>
      <c r="AJ253" s="88"/>
      <c r="AK253" s="131"/>
      <c r="AL253" s="131"/>
      <c r="AM253" s="131"/>
      <c r="AN253" s="131"/>
      <c r="AO253" s="131"/>
      <c r="AP253" s="88"/>
    </row>
    <row r="254">
      <c r="A254" s="155"/>
      <c r="B254" s="337"/>
      <c r="C254" s="340"/>
      <c r="D254" s="337"/>
      <c r="E254" s="255"/>
      <c r="F254" s="255"/>
      <c r="G254" s="338"/>
      <c r="H254" s="155"/>
      <c r="I254" s="155"/>
      <c r="J254" s="155"/>
      <c r="K254" s="15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58"/>
      <c r="AA254" s="339"/>
      <c r="AB254" s="105"/>
      <c r="AC254" s="105"/>
      <c r="AD254" s="105"/>
      <c r="AE254" s="105"/>
      <c r="AF254" s="158"/>
      <c r="AG254" s="105"/>
      <c r="AH254" s="158"/>
      <c r="AI254" s="88"/>
      <c r="AJ254" s="88"/>
      <c r="AK254" s="131"/>
      <c r="AL254" s="131"/>
      <c r="AM254" s="131"/>
      <c r="AN254" s="131"/>
      <c r="AO254" s="131"/>
      <c r="AP254" s="88"/>
    </row>
    <row r="255">
      <c r="A255" s="155"/>
      <c r="B255" s="337"/>
      <c r="C255" s="340"/>
      <c r="D255" s="337"/>
      <c r="E255" s="255"/>
      <c r="F255" s="255"/>
      <c r="G255" s="338"/>
      <c r="H255" s="155"/>
      <c r="I255" s="155"/>
      <c r="J255" s="155"/>
      <c r="K255" s="15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58"/>
      <c r="AA255" s="339"/>
      <c r="AB255" s="105"/>
      <c r="AC255" s="105"/>
      <c r="AD255" s="105"/>
      <c r="AE255" s="105"/>
      <c r="AF255" s="158"/>
      <c r="AG255" s="105"/>
      <c r="AH255" s="158"/>
      <c r="AI255" s="88"/>
      <c r="AJ255" s="88"/>
      <c r="AK255" s="131"/>
      <c r="AL255" s="131"/>
      <c r="AM255" s="131"/>
      <c r="AN255" s="131"/>
      <c r="AO255" s="131"/>
      <c r="AP255" s="88"/>
    </row>
    <row r="256">
      <c r="A256" s="155"/>
      <c r="B256" s="337"/>
      <c r="C256" s="340"/>
      <c r="D256" s="337"/>
      <c r="E256" s="255"/>
      <c r="F256" s="255"/>
      <c r="G256" s="338"/>
      <c r="H256" s="155"/>
      <c r="I256" s="155"/>
      <c r="J256" s="155"/>
      <c r="K256" s="15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58"/>
      <c r="AA256" s="339"/>
      <c r="AB256" s="105"/>
      <c r="AC256" s="105"/>
      <c r="AD256" s="105"/>
      <c r="AE256" s="105"/>
      <c r="AF256" s="158"/>
      <c r="AG256" s="105"/>
      <c r="AH256" s="158"/>
      <c r="AI256" s="88"/>
      <c r="AJ256" s="88"/>
      <c r="AK256" s="131"/>
      <c r="AL256" s="131"/>
      <c r="AM256" s="131"/>
      <c r="AN256" s="131"/>
      <c r="AO256" s="131"/>
      <c r="AP256" s="88"/>
    </row>
    <row r="257">
      <c r="A257" s="155"/>
      <c r="B257" s="337"/>
      <c r="C257" s="340"/>
      <c r="D257" s="337"/>
      <c r="E257" s="255"/>
      <c r="F257" s="255"/>
      <c r="G257" s="338"/>
      <c r="H257" s="155"/>
      <c r="I257" s="155"/>
      <c r="J257" s="155"/>
      <c r="K257" s="15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58"/>
      <c r="AA257" s="339"/>
      <c r="AB257" s="105"/>
      <c r="AC257" s="105"/>
      <c r="AD257" s="105"/>
      <c r="AE257" s="105"/>
      <c r="AF257" s="158"/>
      <c r="AG257" s="105"/>
      <c r="AH257" s="158"/>
      <c r="AI257" s="88"/>
      <c r="AJ257" s="88"/>
      <c r="AK257" s="131"/>
      <c r="AL257" s="131"/>
      <c r="AM257" s="131"/>
      <c r="AN257" s="131"/>
      <c r="AO257" s="131"/>
      <c r="AP257" s="88"/>
    </row>
    <row r="258">
      <c r="A258" s="155"/>
      <c r="B258" s="337"/>
      <c r="C258" s="340"/>
      <c r="D258" s="337"/>
      <c r="E258" s="255"/>
      <c r="F258" s="255"/>
      <c r="G258" s="338"/>
      <c r="H258" s="155"/>
      <c r="I258" s="155"/>
      <c r="J258" s="155"/>
      <c r="K258" s="15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58"/>
      <c r="AA258" s="339"/>
      <c r="AB258" s="105"/>
      <c r="AC258" s="105"/>
      <c r="AD258" s="105"/>
      <c r="AE258" s="105"/>
      <c r="AF258" s="158"/>
      <c r="AG258" s="105"/>
      <c r="AH258" s="158"/>
      <c r="AI258" s="88"/>
      <c r="AJ258" s="88"/>
      <c r="AK258" s="131"/>
      <c r="AL258" s="131"/>
      <c r="AM258" s="131"/>
      <c r="AN258" s="131"/>
      <c r="AO258" s="131"/>
      <c r="AP258" s="88"/>
    </row>
    <row r="259">
      <c r="A259" s="155"/>
      <c r="B259" s="337"/>
      <c r="C259" s="340"/>
      <c r="D259" s="337"/>
      <c r="E259" s="255"/>
      <c r="F259" s="255"/>
      <c r="G259" s="338"/>
      <c r="H259" s="155"/>
      <c r="I259" s="155"/>
      <c r="J259" s="155"/>
      <c r="K259" s="15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58"/>
      <c r="AA259" s="339"/>
      <c r="AB259" s="105"/>
      <c r="AC259" s="105"/>
      <c r="AD259" s="105"/>
      <c r="AE259" s="105"/>
      <c r="AF259" s="158"/>
      <c r="AG259" s="105"/>
      <c r="AH259" s="158"/>
      <c r="AI259" s="88"/>
      <c r="AJ259" s="88"/>
      <c r="AK259" s="131"/>
      <c r="AL259" s="131"/>
      <c r="AM259" s="131"/>
      <c r="AN259" s="131"/>
      <c r="AO259" s="131"/>
      <c r="AP259" s="88"/>
    </row>
    <row r="260">
      <c r="A260" s="155"/>
      <c r="B260" s="337"/>
      <c r="C260" s="340"/>
      <c r="D260" s="337"/>
      <c r="E260" s="255"/>
      <c r="F260" s="255"/>
      <c r="G260" s="338"/>
      <c r="H260" s="155"/>
      <c r="I260" s="155"/>
      <c r="J260" s="155"/>
      <c r="K260" s="15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58"/>
      <c r="AA260" s="339"/>
      <c r="AB260" s="105"/>
      <c r="AC260" s="105"/>
      <c r="AD260" s="105"/>
      <c r="AE260" s="105"/>
      <c r="AF260" s="158"/>
      <c r="AG260" s="105"/>
      <c r="AH260" s="158"/>
      <c r="AI260" s="88"/>
      <c r="AJ260" s="88"/>
      <c r="AK260" s="131"/>
      <c r="AL260" s="131"/>
      <c r="AM260" s="131"/>
      <c r="AN260" s="131"/>
      <c r="AO260" s="131"/>
      <c r="AP260" s="88"/>
    </row>
    <row r="261">
      <c r="A261" s="155"/>
      <c r="B261" s="337"/>
      <c r="C261" s="340"/>
      <c r="D261" s="337"/>
      <c r="E261" s="255"/>
      <c r="F261" s="255"/>
      <c r="G261" s="338"/>
      <c r="H261" s="155"/>
      <c r="I261" s="155"/>
      <c r="J261" s="155"/>
      <c r="K261" s="15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58"/>
      <c r="AA261" s="339"/>
      <c r="AB261" s="105"/>
      <c r="AC261" s="105"/>
      <c r="AD261" s="105"/>
      <c r="AE261" s="105"/>
      <c r="AF261" s="158"/>
      <c r="AG261" s="105"/>
      <c r="AH261" s="158"/>
      <c r="AI261" s="88"/>
      <c r="AJ261" s="88"/>
      <c r="AK261" s="131"/>
      <c r="AL261" s="131"/>
      <c r="AM261" s="131"/>
      <c r="AN261" s="131"/>
      <c r="AO261" s="131"/>
      <c r="AP261" s="88"/>
    </row>
    <row r="262">
      <c r="A262" s="155"/>
      <c r="B262" s="337"/>
      <c r="C262" s="340"/>
      <c r="D262" s="337"/>
      <c r="E262" s="255"/>
      <c r="F262" s="255"/>
      <c r="G262" s="338"/>
      <c r="H262" s="155"/>
      <c r="I262" s="155"/>
      <c r="J262" s="155"/>
      <c r="K262" s="15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58"/>
      <c r="AA262" s="339"/>
      <c r="AB262" s="105"/>
      <c r="AC262" s="105"/>
      <c r="AD262" s="105"/>
      <c r="AE262" s="105"/>
      <c r="AF262" s="158"/>
      <c r="AG262" s="105"/>
      <c r="AH262" s="158"/>
      <c r="AI262" s="88"/>
      <c r="AJ262" s="88"/>
      <c r="AK262" s="131"/>
      <c r="AL262" s="131"/>
      <c r="AM262" s="131"/>
      <c r="AN262" s="131"/>
      <c r="AO262" s="131"/>
      <c r="AP262" s="88"/>
    </row>
    <row r="263">
      <c r="A263" s="155"/>
      <c r="B263" s="337"/>
      <c r="C263" s="340"/>
      <c r="D263" s="337"/>
      <c r="E263" s="255"/>
      <c r="F263" s="255"/>
      <c r="G263" s="338"/>
      <c r="H263" s="155"/>
      <c r="I263" s="155"/>
      <c r="J263" s="155"/>
      <c r="K263" s="15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58"/>
      <c r="AA263" s="339"/>
      <c r="AB263" s="105"/>
      <c r="AC263" s="105"/>
      <c r="AD263" s="105"/>
      <c r="AE263" s="105"/>
      <c r="AF263" s="158"/>
      <c r="AG263" s="105"/>
      <c r="AH263" s="158"/>
      <c r="AI263" s="88"/>
      <c r="AJ263" s="88"/>
      <c r="AK263" s="131"/>
      <c r="AL263" s="131"/>
      <c r="AM263" s="131"/>
      <c r="AN263" s="131"/>
      <c r="AO263" s="131"/>
      <c r="AP263" s="88"/>
    </row>
    <row r="264">
      <c r="A264" s="155"/>
      <c r="B264" s="337"/>
      <c r="C264" s="340"/>
      <c r="D264" s="337"/>
      <c r="E264" s="255"/>
      <c r="F264" s="255"/>
      <c r="G264" s="338"/>
      <c r="H264" s="155"/>
      <c r="I264" s="155"/>
      <c r="J264" s="155"/>
      <c r="K264" s="15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58"/>
      <c r="AA264" s="339"/>
      <c r="AB264" s="105"/>
      <c r="AC264" s="105"/>
      <c r="AD264" s="105"/>
      <c r="AE264" s="105"/>
      <c r="AF264" s="158"/>
      <c r="AG264" s="105"/>
      <c r="AH264" s="158"/>
      <c r="AI264" s="88"/>
      <c r="AJ264" s="88"/>
      <c r="AK264" s="131"/>
      <c r="AL264" s="131"/>
      <c r="AM264" s="131"/>
      <c r="AN264" s="131"/>
      <c r="AO264" s="131"/>
      <c r="AP264" s="88"/>
    </row>
    <row r="265">
      <c r="A265" s="155"/>
      <c r="B265" s="337"/>
      <c r="C265" s="340"/>
      <c r="D265" s="337"/>
      <c r="E265" s="255"/>
      <c r="F265" s="255"/>
      <c r="G265" s="338"/>
      <c r="H265" s="155"/>
      <c r="I265" s="155"/>
      <c r="J265" s="155"/>
      <c r="K265" s="15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58"/>
      <c r="AA265" s="339"/>
      <c r="AB265" s="105"/>
      <c r="AC265" s="105"/>
      <c r="AD265" s="105"/>
      <c r="AE265" s="105"/>
      <c r="AF265" s="158"/>
      <c r="AG265" s="105"/>
      <c r="AH265" s="158"/>
      <c r="AI265" s="88"/>
      <c r="AJ265" s="88"/>
      <c r="AK265" s="131"/>
      <c r="AL265" s="131"/>
      <c r="AM265" s="131"/>
      <c r="AN265" s="131"/>
      <c r="AO265" s="131"/>
      <c r="AP265" s="88"/>
    </row>
    <row r="266">
      <c r="A266" s="155"/>
      <c r="B266" s="337"/>
      <c r="C266" s="340"/>
      <c r="D266" s="337"/>
      <c r="E266" s="255"/>
      <c r="F266" s="255"/>
      <c r="G266" s="338"/>
      <c r="H266" s="155"/>
      <c r="I266" s="155"/>
      <c r="J266" s="155"/>
      <c r="K266" s="15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58"/>
      <c r="AA266" s="339"/>
      <c r="AB266" s="105"/>
      <c r="AC266" s="105"/>
      <c r="AD266" s="105"/>
      <c r="AE266" s="105"/>
      <c r="AF266" s="158"/>
      <c r="AG266" s="105"/>
      <c r="AH266" s="158"/>
      <c r="AI266" s="88"/>
      <c r="AJ266" s="88"/>
      <c r="AK266" s="131"/>
      <c r="AL266" s="131"/>
      <c r="AM266" s="131"/>
      <c r="AN266" s="131"/>
      <c r="AO266" s="131"/>
      <c r="AP266" s="88"/>
    </row>
    <row r="267">
      <c r="A267" s="155"/>
      <c r="B267" s="337"/>
      <c r="C267" s="340"/>
      <c r="D267" s="337"/>
      <c r="E267" s="255"/>
      <c r="F267" s="255"/>
      <c r="G267" s="338"/>
      <c r="H267" s="155"/>
      <c r="I267" s="155"/>
      <c r="J267" s="155"/>
      <c r="K267" s="15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58"/>
      <c r="AA267" s="339"/>
      <c r="AB267" s="105"/>
      <c r="AC267" s="105"/>
      <c r="AD267" s="105"/>
      <c r="AE267" s="105"/>
      <c r="AF267" s="158"/>
      <c r="AG267" s="105"/>
      <c r="AH267" s="158"/>
      <c r="AI267" s="88"/>
      <c r="AJ267" s="88"/>
      <c r="AK267" s="131"/>
      <c r="AL267" s="131"/>
      <c r="AM267" s="131"/>
      <c r="AN267" s="131"/>
      <c r="AO267" s="131"/>
      <c r="AP267" s="88"/>
    </row>
    <row r="268">
      <c r="A268" s="155"/>
      <c r="B268" s="337"/>
      <c r="C268" s="340"/>
      <c r="D268" s="337"/>
      <c r="E268" s="255"/>
      <c r="F268" s="255"/>
      <c r="G268" s="338"/>
      <c r="H268" s="155"/>
      <c r="I268" s="155"/>
      <c r="J268" s="155"/>
      <c r="K268" s="15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58"/>
      <c r="AA268" s="339"/>
      <c r="AB268" s="105"/>
      <c r="AC268" s="105"/>
      <c r="AD268" s="105"/>
      <c r="AE268" s="105"/>
      <c r="AF268" s="158"/>
      <c r="AG268" s="105"/>
      <c r="AH268" s="158"/>
      <c r="AI268" s="88"/>
      <c r="AJ268" s="88"/>
      <c r="AK268" s="131"/>
      <c r="AL268" s="131"/>
      <c r="AM268" s="131"/>
      <c r="AN268" s="131"/>
      <c r="AO268" s="131"/>
      <c r="AP268" s="88"/>
    </row>
    <row r="269">
      <c r="A269" s="155"/>
      <c r="B269" s="337"/>
      <c r="C269" s="340"/>
      <c r="D269" s="337"/>
      <c r="E269" s="255"/>
      <c r="F269" s="255"/>
      <c r="G269" s="338"/>
      <c r="H269" s="155"/>
      <c r="I269" s="155"/>
      <c r="J269" s="155"/>
      <c r="K269" s="15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58"/>
      <c r="AA269" s="339"/>
      <c r="AB269" s="105"/>
      <c r="AC269" s="105"/>
      <c r="AD269" s="105"/>
      <c r="AE269" s="105"/>
      <c r="AF269" s="158"/>
      <c r="AG269" s="105"/>
      <c r="AH269" s="158"/>
      <c r="AI269" s="88"/>
      <c r="AJ269" s="88"/>
      <c r="AK269" s="131"/>
      <c r="AL269" s="131"/>
      <c r="AM269" s="131"/>
      <c r="AN269" s="131"/>
      <c r="AO269" s="131"/>
      <c r="AP269" s="88"/>
    </row>
    <row r="270">
      <c r="A270" s="155"/>
      <c r="B270" s="337"/>
      <c r="C270" s="340"/>
      <c r="D270" s="337"/>
      <c r="E270" s="255"/>
      <c r="F270" s="255"/>
      <c r="G270" s="338"/>
      <c r="H270" s="155"/>
      <c r="I270" s="155"/>
      <c r="J270" s="155"/>
      <c r="K270" s="15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58"/>
      <c r="AA270" s="339"/>
      <c r="AB270" s="105"/>
      <c r="AC270" s="105"/>
      <c r="AD270" s="105"/>
      <c r="AE270" s="105"/>
      <c r="AF270" s="158"/>
      <c r="AG270" s="105"/>
      <c r="AH270" s="158"/>
      <c r="AI270" s="88"/>
      <c r="AJ270" s="88"/>
      <c r="AK270" s="131"/>
      <c r="AL270" s="131"/>
      <c r="AM270" s="131"/>
      <c r="AN270" s="131"/>
      <c r="AO270" s="131"/>
      <c r="AP270" s="88"/>
    </row>
    <row r="271">
      <c r="A271" s="155"/>
      <c r="B271" s="337"/>
      <c r="C271" s="340"/>
      <c r="D271" s="337"/>
      <c r="E271" s="255"/>
      <c r="F271" s="255"/>
      <c r="G271" s="338"/>
      <c r="H271" s="155"/>
      <c r="I271" s="155"/>
      <c r="J271" s="155"/>
      <c r="K271" s="15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58"/>
      <c r="AA271" s="339"/>
      <c r="AB271" s="105"/>
      <c r="AC271" s="105"/>
      <c r="AD271" s="105"/>
      <c r="AE271" s="105"/>
      <c r="AF271" s="158"/>
      <c r="AG271" s="105"/>
      <c r="AH271" s="158"/>
      <c r="AI271" s="88"/>
      <c r="AJ271" s="88"/>
      <c r="AK271" s="131"/>
      <c r="AL271" s="131"/>
      <c r="AM271" s="131"/>
      <c r="AN271" s="131"/>
      <c r="AO271" s="131"/>
      <c r="AP271" s="88"/>
    </row>
    <row r="272">
      <c r="A272" s="155"/>
      <c r="B272" s="337"/>
      <c r="C272" s="340"/>
      <c r="D272" s="337"/>
      <c r="E272" s="255"/>
      <c r="F272" s="255"/>
      <c r="G272" s="338"/>
      <c r="H272" s="155"/>
      <c r="I272" s="155"/>
      <c r="J272" s="155"/>
      <c r="K272" s="15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58"/>
      <c r="AA272" s="339"/>
      <c r="AB272" s="105"/>
      <c r="AC272" s="105"/>
      <c r="AD272" s="105"/>
      <c r="AE272" s="105"/>
      <c r="AF272" s="158"/>
      <c r="AG272" s="105"/>
      <c r="AH272" s="158"/>
      <c r="AI272" s="88"/>
      <c r="AJ272" s="88"/>
      <c r="AK272" s="131"/>
      <c r="AL272" s="131"/>
      <c r="AM272" s="131"/>
      <c r="AN272" s="131"/>
      <c r="AO272" s="131"/>
      <c r="AP272" s="88"/>
    </row>
    <row r="273">
      <c r="A273" s="155"/>
      <c r="B273" s="337"/>
      <c r="C273" s="340"/>
      <c r="D273" s="337"/>
      <c r="E273" s="255"/>
      <c r="F273" s="255"/>
      <c r="G273" s="338"/>
      <c r="H273" s="155"/>
      <c r="I273" s="155"/>
      <c r="J273" s="155"/>
      <c r="K273" s="15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58"/>
      <c r="AA273" s="339"/>
      <c r="AB273" s="105"/>
      <c r="AC273" s="105"/>
      <c r="AD273" s="105"/>
      <c r="AE273" s="105"/>
      <c r="AF273" s="158"/>
      <c r="AG273" s="105"/>
      <c r="AH273" s="158"/>
      <c r="AI273" s="88"/>
      <c r="AJ273" s="88"/>
      <c r="AK273" s="131"/>
      <c r="AL273" s="131"/>
      <c r="AM273" s="131"/>
      <c r="AN273" s="131"/>
      <c r="AO273" s="131"/>
      <c r="AP273" s="88"/>
    </row>
    <row r="274">
      <c r="A274" s="155"/>
      <c r="B274" s="337"/>
      <c r="C274" s="340"/>
      <c r="D274" s="337"/>
      <c r="E274" s="255"/>
      <c r="F274" s="255"/>
      <c r="G274" s="338"/>
      <c r="H274" s="155"/>
      <c r="I274" s="155"/>
      <c r="J274" s="155"/>
      <c r="K274" s="15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58"/>
      <c r="AA274" s="339"/>
      <c r="AB274" s="105"/>
      <c r="AC274" s="105"/>
      <c r="AD274" s="105"/>
      <c r="AE274" s="105"/>
      <c r="AF274" s="158"/>
      <c r="AG274" s="105"/>
      <c r="AH274" s="158"/>
      <c r="AI274" s="88"/>
      <c r="AJ274" s="88"/>
      <c r="AK274" s="131"/>
      <c r="AL274" s="131"/>
      <c r="AM274" s="131"/>
      <c r="AN274" s="131"/>
      <c r="AO274" s="131"/>
      <c r="AP274" s="88"/>
    </row>
    <row r="275">
      <c r="A275" s="155"/>
      <c r="B275" s="337"/>
      <c r="C275" s="340"/>
      <c r="D275" s="337"/>
      <c r="E275" s="255"/>
      <c r="F275" s="255"/>
      <c r="G275" s="338"/>
      <c r="H275" s="155"/>
      <c r="I275" s="155"/>
      <c r="J275" s="155"/>
      <c r="K275" s="15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58"/>
      <c r="AA275" s="339"/>
      <c r="AB275" s="105"/>
      <c r="AC275" s="105"/>
      <c r="AD275" s="105"/>
      <c r="AE275" s="105"/>
      <c r="AF275" s="158"/>
      <c r="AG275" s="105"/>
      <c r="AH275" s="158"/>
      <c r="AI275" s="88"/>
      <c r="AJ275" s="88"/>
      <c r="AK275" s="131"/>
      <c r="AL275" s="131"/>
      <c r="AM275" s="131"/>
      <c r="AN275" s="131"/>
      <c r="AO275" s="131"/>
      <c r="AP275" s="88"/>
    </row>
    <row r="276">
      <c r="A276" s="155"/>
      <c r="B276" s="337"/>
      <c r="C276" s="340"/>
      <c r="D276" s="337"/>
      <c r="E276" s="255"/>
      <c r="F276" s="255"/>
      <c r="G276" s="338"/>
      <c r="H276" s="155"/>
      <c r="I276" s="155"/>
      <c r="J276" s="155"/>
      <c r="K276" s="15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58"/>
      <c r="AA276" s="339"/>
      <c r="AB276" s="105"/>
      <c r="AC276" s="105"/>
      <c r="AD276" s="105"/>
      <c r="AE276" s="105"/>
      <c r="AF276" s="158"/>
      <c r="AG276" s="105"/>
      <c r="AH276" s="158"/>
      <c r="AI276" s="88"/>
      <c r="AJ276" s="88"/>
      <c r="AK276" s="131"/>
      <c r="AL276" s="131"/>
      <c r="AM276" s="131"/>
      <c r="AN276" s="131"/>
      <c r="AO276" s="131"/>
      <c r="AP276" s="88"/>
    </row>
    <row r="277">
      <c r="A277" s="155"/>
      <c r="B277" s="337"/>
      <c r="C277" s="340"/>
      <c r="D277" s="337"/>
      <c r="E277" s="255"/>
      <c r="F277" s="255"/>
      <c r="G277" s="338"/>
      <c r="H277" s="155"/>
      <c r="I277" s="155"/>
      <c r="J277" s="155"/>
      <c r="K277" s="15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58"/>
      <c r="AA277" s="339"/>
      <c r="AB277" s="105"/>
      <c r="AC277" s="105"/>
      <c r="AD277" s="105"/>
      <c r="AE277" s="105"/>
      <c r="AF277" s="158"/>
      <c r="AG277" s="105"/>
      <c r="AH277" s="158"/>
      <c r="AI277" s="88"/>
      <c r="AJ277" s="88"/>
      <c r="AK277" s="131"/>
      <c r="AL277" s="131"/>
      <c r="AM277" s="131"/>
      <c r="AN277" s="131"/>
      <c r="AO277" s="131"/>
      <c r="AP277" s="88"/>
    </row>
    <row r="278">
      <c r="A278" s="155"/>
      <c r="B278" s="337"/>
      <c r="C278" s="340"/>
      <c r="D278" s="337"/>
      <c r="E278" s="255"/>
      <c r="F278" s="255"/>
      <c r="G278" s="338"/>
      <c r="H278" s="155"/>
      <c r="I278" s="155"/>
      <c r="J278" s="155"/>
      <c r="K278" s="15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58"/>
      <c r="AA278" s="339"/>
      <c r="AB278" s="105"/>
      <c r="AC278" s="105"/>
      <c r="AD278" s="105"/>
      <c r="AE278" s="105"/>
      <c r="AF278" s="158"/>
      <c r="AG278" s="105"/>
      <c r="AH278" s="158"/>
      <c r="AI278" s="88"/>
      <c r="AJ278" s="88"/>
      <c r="AK278" s="131"/>
      <c r="AL278" s="131"/>
      <c r="AM278" s="131"/>
      <c r="AN278" s="131"/>
      <c r="AO278" s="131"/>
      <c r="AP278" s="88"/>
    </row>
    <row r="279">
      <c r="A279" s="155"/>
      <c r="B279" s="337"/>
      <c r="C279" s="340"/>
      <c r="D279" s="337"/>
      <c r="E279" s="255"/>
      <c r="F279" s="255"/>
      <c r="G279" s="338"/>
      <c r="H279" s="155"/>
      <c r="I279" s="155"/>
      <c r="J279" s="155"/>
      <c r="K279" s="15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58"/>
      <c r="AA279" s="339"/>
      <c r="AB279" s="105"/>
      <c r="AC279" s="105"/>
      <c r="AD279" s="105"/>
      <c r="AE279" s="105"/>
      <c r="AF279" s="158"/>
      <c r="AG279" s="105"/>
      <c r="AH279" s="158"/>
      <c r="AI279" s="88"/>
      <c r="AJ279" s="88"/>
      <c r="AK279" s="131"/>
      <c r="AL279" s="131"/>
      <c r="AM279" s="131"/>
      <c r="AN279" s="131"/>
      <c r="AO279" s="131"/>
      <c r="AP279" s="88"/>
    </row>
    <row r="280">
      <c r="A280" s="155"/>
      <c r="B280" s="337"/>
      <c r="C280" s="340"/>
      <c r="D280" s="337"/>
      <c r="E280" s="255"/>
      <c r="F280" s="255"/>
      <c r="G280" s="338"/>
      <c r="H280" s="155"/>
      <c r="I280" s="155"/>
      <c r="J280" s="155"/>
      <c r="K280" s="15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58"/>
      <c r="AA280" s="339"/>
      <c r="AB280" s="105"/>
      <c r="AC280" s="105"/>
      <c r="AD280" s="105"/>
      <c r="AE280" s="105"/>
      <c r="AF280" s="158"/>
      <c r="AG280" s="105"/>
      <c r="AH280" s="158"/>
      <c r="AI280" s="88"/>
      <c r="AJ280" s="88"/>
      <c r="AK280" s="131"/>
      <c r="AL280" s="131"/>
      <c r="AM280" s="131"/>
      <c r="AN280" s="131"/>
      <c r="AO280" s="131"/>
      <c r="AP280" s="88"/>
    </row>
    <row r="281">
      <c r="A281" s="155"/>
      <c r="B281" s="337"/>
      <c r="C281" s="340"/>
      <c r="D281" s="337"/>
      <c r="E281" s="255"/>
      <c r="F281" s="255"/>
      <c r="G281" s="338"/>
      <c r="H281" s="155"/>
      <c r="I281" s="155"/>
      <c r="J281" s="155"/>
      <c r="K281" s="15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58"/>
      <c r="AA281" s="339"/>
      <c r="AB281" s="105"/>
      <c r="AC281" s="105"/>
      <c r="AD281" s="105"/>
      <c r="AE281" s="105"/>
      <c r="AF281" s="158"/>
      <c r="AG281" s="105"/>
      <c r="AH281" s="158"/>
      <c r="AI281" s="88"/>
      <c r="AJ281" s="88"/>
      <c r="AK281" s="131"/>
      <c r="AL281" s="131"/>
      <c r="AM281" s="131"/>
      <c r="AN281" s="131"/>
      <c r="AO281" s="131"/>
      <c r="AP281" s="88"/>
    </row>
    <row r="282">
      <c r="A282" s="155"/>
      <c r="B282" s="337"/>
      <c r="C282" s="340"/>
      <c r="D282" s="337"/>
      <c r="E282" s="255"/>
      <c r="F282" s="255"/>
      <c r="G282" s="338"/>
      <c r="H282" s="155"/>
      <c r="I282" s="155"/>
      <c r="J282" s="155"/>
      <c r="K282" s="15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58"/>
      <c r="AA282" s="339"/>
      <c r="AB282" s="105"/>
      <c r="AC282" s="105"/>
      <c r="AD282" s="105"/>
      <c r="AE282" s="105"/>
      <c r="AF282" s="158"/>
      <c r="AG282" s="105"/>
      <c r="AH282" s="158"/>
      <c r="AI282" s="88"/>
      <c r="AJ282" s="88"/>
      <c r="AK282" s="131"/>
      <c r="AL282" s="131"/>
      <c r="AM282" s="131"/>
      <c r="AN282" s="131"/>
      <c r="AO282" s="131"/>
      <c r="AP282" s="88"/>
    </row>
    <row r="283">
      <c r="A283" s="155"/>
      <c r="B283" s="337"/>
      <c r="C283" s="340"/>
      <c r="D283" s="337"/>
      <c r="E283" s="255"/>
      <c r="F283" s="255"/>
      <c r="G283" s="338"/>
      <c r="H283" s="155"/>
      <c r="I283" s="155"/>
      <c r="J283" s="155"/>
      <c r="K283" s="15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58"/>
      <c r="AA283" s="339"/>
      <c r="AB283" s="105"/>
      <c r="AC283" s="105"/>
      <c r="AD283" s="105"/>
      <c r="AE283" s="105"/>
      <c r="AF283" s="158"/>
      <c r="AG283" s="105"/>
      <c r="AH283" s="158"/>
      <c r="AI283" s="88"/>
      <c r="AJ283" s="88"/>
      <c r="AK283" s="131"/>
      <c r="AL283" s="131"/>
      <c r="AM283" s="131"/>
      <c r="AN283" s="131"/>
      <c r="AO283" s="131"/>
      <c r="AP283" s="88"/>
    </row>
    <row r="284">
      <c r="A284" s="155"/>
      <c r="B284" s="337"/>
      <c r="C284" s="340"/>
      <c r="D284" s="337"/>
      <c r="E284" s="255"/>
      <c r="F284" s="255"/>
      <c r="G284" s="338"/>
      <c r="H284" s="155"/>
      <c r="I284" s="155"/>
      <c r="J284" s="155"/>
      <c r="K284" s="15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58"/>
      <c r="AA284" s="339"/>
      <c r="AB284" s="105"/>
      <c r="AC284" s="105"/>
      <c r="AD284" s="105"/>
      <c r="AE284" s="105"/>
      <c r="AF284" s="158"/>
      <c r="AG284" s="105"/>
      <c r="AH284" s="158"/>
      <c r="AI284" s="88"/>
      <c r="AJ284" s="88"/>
      <c r="AK284" s="131"/>
      <c r="AL284" s="131"/>
      <c r="AM284" s="131"/>
      <c r="AN284" s="131"/>
      <c r="AO284" s="131"/>
      <c r="AP284" s="88"/>
    </row>
    <row r="285">
      <c r="A285" s="155"/>
      <c r="B285" s="337"/>
      <c r="C285" s="340"/>
      <c r="D285" s="337"/>
      <c r="E285" s="255"/>
      <c r="F285" s="255"/>
      <c r="G285" s="338"/>
      <c r="H285" s="155"/>
      <c r="I285" s="155"/>
      <c r="J285" s="155"/>
      <c r="K285" s="15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58"/>
      <c r="AA285" s="339"/>
      <c r="AB285" s="105"/>
      <c r="AC285" s="105"/>
      <c r="AD285" s="105"/>
      <c r="AE285" s="105"/>
      <c r="AF285" s="158"/>
      <c r="AG285" s="105"/>
      <c r="AH285" s="158"/>
      <c r="AI285" s="88"/>
      <c r="AJ285" s="88"/>
      <c r="AK285" s="131"/>
      <c r="AL285" s="131"/>
      <c r="AM285" s="131"/>
      <c r="AN285" s="131"/>
      <c r="AO285" s="131"/>
      <c r="AP285" s="88"/>
    </row>
    <row r="286">
      <c r="A286" s="155"/>
      <c r="B286" s="337"/>
      <c r="C286" s="340"/>
      <c r="D286" s="337"/>
      <c r="E286" s="255"/>
      <c r="F286" s="255"/>
      <c r="G286" s="338"/>
      <c r="H286" s="155"/>
      <c r="I286" s="155"/>
      <c r="J286" s="155"/>
      <c r="K286" s="15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58"/>
      <c r="AA286" s="339"/>
      <c r="AB286" s="105"/>
      <c r="AC286" s="105"/>
      <c r="AD286" s="105"/>
      <c r="AE286" s="105"/>
      <c r="AF286" s="158"/>
      <c r="AG286" s="105"/>
      <c r="AH286" s="158"/>
      <c r="AI286" s="88"/>
      <c r="AJ286" s="88"/>
      <c r="AK286" s="131"/>
      <c r="AL286" s="131"/>
      <c r="AM286" s="131"/>
      <c r="AN286" s="131"/>
      <c r="AO286" s="131"/>
      <c r="AP286" s="88"/>
    </row>
    <row r="287">
      <c r="A287" s="155"/>
      <c r="B287" s="337"/>
      <c r="C287" s="340"/>
      <c r="D287" s="337"/>
      <c r="E287" s="255"/>
      <c r="F287" s="255"/>
      <c r="G287" s="338"/>
      <c r="H287" s="155"/>
      <c r="I287" s="155"/>
      <c r="J287" s="155"/>
      <c r="K287" s="15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58"/>
      <c r="AA287" s="339"/>
      <c r="AB287" s="105"/>
      <c r="AC287" s="105"/>
      <c r="AD287" s="105"/>
      <c r="AE287" s="105"/>
      <c r="AF287" s="158"/>
      <c r="AG287" s="105"/>
      <c r="AH287" s="158"/>
      <c r="AI287" s="88"/>
      <c r="AJ287" s="88"/>
      <c r="AK287" s="131"/>
      <c r="AL287" s="131"/>
      <c r="AM287" s="131"/>
      <c r="AN287" s="131"/>
      <c r="AO287" s="131"/>
      <c r="AP287" s="88"/>
    </row>
    <row r="288">
      <c r="A288" s="155"/>
      <c r="B288" s="337"/>
      <c r="C288" s="340"/>
      <c r="D288" s="337"/>
      <c r="E288" s="255"/>
      <c r="F288" s="255"/>
      <c r="G288" s="338"/>
      <c r="H288" s="155"/>
      <c r="I288" s="155"/>
      <c r="J288" s="155"/>
      <c r="K288" s="15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58"/>
      <c r="AA288" s="339"/>
      <c r="AB288" s="105"/>
      <c r="AC288" s="105"/>
      <c r="AD288" s="105"/>
      <c r="AE288" s="105"/>
      <c r="AF288" s="158"/>
      <c r="AG288" s="105"/>
      <c r="AH288" s="158"/>
      <c r="AI288" s="88"/>
      <c r="AJ288" s="88"/>
      <c r="AK288" s="131"/>
      <c r="AL288" s="131"/>
      <c r="AM288" s="131"/>
      <c r="AN288" s="131"/>
      <c r="AO288" s="131"/>
      <c r="AP288" s="88"/>
    </row>
    <row r="289">
      <c r="A289" s="155"/>
      <c r="B289" s="337"/>
      <c r="C289" s="340"/>
      <c r="D289" s="337"/>
      <c r="E289" s="255"/>
      <c r="F289" s="255"/>
      <c r="G289" s="338"/>
      <c r="H289" s="155"/>
      <c r="I289" s="155"/>
      <c r="J289" s="155"/>
      <c r="K289" s="15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58"/>
      <c r="AA289" s="339"/>
      <c r="AB289" s="105"/>
      <c r="AC289" s="105"/>
      <c r="AD289" s="105"/>
      <c r="AE289" s="105"/>
      <c r="AF289" s="158"/>
      <c r="AG289" s="105"/>
      <c r="AH289" s="158"/>
      <c r="AI289" s="88"/>
      <c r="AJ289" s="88"/>
      <c r="AK289" s="131"/>
      <c r="AL289" s="131"/>
      <c r="AM289" s="131"/>
      <c r="AN289" s="131"/>
      <c r="AO289" s="131"/>
      <c r="AP289" s="88"/>
    </row>
    <row r="290">
      <c r="A290" s="155"/>
      <c r="B290" s="337"/>
      <c r="C290" s="340"/>
      <c r="D290" s="337"/>
      <c r="E290" s="255"/>
      <c r="F290" s="255"/>
      <c r="G290" s="338"/>
      <c r="H290" s="155"/>
      <c r="I290" s="155"/>
      <c r="J290" s="155"/>
      <c r="K290" s="15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58"/>
      <c r="AA290" s="339"/>
      <c r="AB290" s="105"/>
      <c r="AC290" s="105"/>
      <c r="AD290" s="105"/>
      <c r="AE290" s="105"/>
      <c r="AF290" s="158"/>
      <c r="AG290" s="105"/>
      <c r="AH290" s="158"/>
      <c r="AI290" s="88"/>
      <c r="AJ290" s="88"/>
      <c r="AK290" s="131"/>
      <c r="AL290" s="131"/>
      <c r="AM290" s="131"/>
      <c r="AN290" s="131"/>
      <c r="AO290" s="131"/>
      <c r="AP290" s="88"/>
    </row>
    <row r="291">
      <c r="A291" s="155"/>
      <c r="B291" s="337"/>
      <c r="C291" s="340"/>
      <c r="D291" s="337"/>
      <c r="E291" s="255"/>
      <c r="F291" s="255"/>
      <c r="G291" s="338"/>
      <c r="H291" s="155"/>
      <c r="I291" s="155"/>
      <c r="J291" s="155"/>
      <c r="K291" s="15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58"/>
      <c r="AA291" s="339"/>
      <c r="AB291" s="105"/>
      <c r="AC291" s="105"/>
      <c r="AD291" s="105"/>
      <c r="AE291" s="105"/>
      <c r="AF291" s="158"/>
      <c r="AG291" s="105"/>
      <c r="AH291" s="158"/>
      <c r="AI291" s="88"/>
      <c r="AJ291" s="88"/>
      <c r="AK291" s="131"/>
      <c r="AL291" s="131"/>
      <c r="AM291" s="131"/>
      <c r="AN291" s="131"/>
      <c r="AO291" s="131"/>
      <c r="AP291" s="88"/>
    </row>
    <row r="292">
      <c r="A292" s="155"/>
      <c r="B292" s="337"/>
      <c r="C292" s="340"/>
      <c r="D292" s="337"/>
      <c r="E292" s="255"/>
      <c r="F292" s="255"/>
      <c r="G292" s="338"/>
      <c r="H292" s="155"/>
      <c r="I292" s="155"/>
      <c r="J292" s="155"/>
      <c r="K292" s="15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58"/>
      <c r="AA292" s="339"/>
      <c r="AB292" s="105"/>
      <c r="AC292" s="105"/>
      <c r="AD292" s="105"/>
      <c r="AE292" s="105"/>
      <c r="AF292" s="158"/>
      <c r="AG292" s="105"/>
      <c r="AH292" s="158"/>
      <c r="AI292" s="88"/>
      <c r="AJ292" s="88"/>
      <c r="AK292" s="131"/>
      <c r="AL292" s="131"/>
      <c r="AM292" s="131"/>
      <c r="AN292" s="131"/>
      <c r="AO292" s="131"/>
      <c r="AP292" s="88"/>
    </row>
    <row r="293">
      <c r="A293" s="155"/>
      <c r="B293" s="337"/>
      <c r="C293" s="340"/>
      <c r="D293" s="337"/>
      <c r="E293" s="255"/>
      <c r="F293" s="255"/>
      <c r="G293" s="338"/>
      <c r="H293" s="155"/>
      <c r="I293" s="155"/>
      <c r="J293" s="155"/>
      <c r="K293" s="15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58"/>
      <c r="AA293" s="339"/>
      <c r="AB293" s="105"/>
      <c r="AC293" s="105"/>
      <c r="AD293" s="105"/>
      <c r="AE293" s="105"/>
      <c r="AF293" s="158"/>
      <c r="AG293" s="105"/>
      <c r="AH293" s="158"/>
      <c r="AI293" s="88"/>
      <c r="AJ293" s="88"/>
      <c r="AK293" s="131"/>
      <c r="AL293" s="131"/>
      <c r="AM293" s="131"/>
      <c r="AN293" s="131"/>
      <c r="AO293" s="131"/>
      <c r="AP293" s="88"/>
    </row>
    <row r="294">
      <c r="A294" s="155"/>
      <c r="B294" s="337"/>
      <c r="C294" s="340"/>
      <c r="D294" s="337"/>
      <c r="E294" s="255"/>
      <c r="F294" s="255"/>
      <c r="G294" s="338"/>
      <c r="H294" s="155"/>
      <c r="I294" s="155"/>
      <c r="J294" s="155"/>
      <c r="K294" s="15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58"/>
      <c r="AA294" s="339"/>
      <c r="AB294" s="105"/>
      <c r="AC294" s="105"/>
      <c r="AD294" s="105"/>
      <c r="AE294" s="105"/>
      <c r="AF294" s="158"/>
      <c r="AG294" s="105"/>
      <c r="AH294" s="158"/>
      <c r="AI294" s="88"/>
      <c r="AJ294" s="88"/>
      <c r="AK294" s="131"/>
      <c r="AL294" s="131"/>
      <c r="AM294" s="131"/>
      <c r="AN294" s="131"/>
      <c r="AO294" s="131"/>
      <c r="AP294" s="88"/>
    </row>
    <row r="295">
      <c r="A295" s="155"/>
      <c r="B295" s="337"/>
      <c r="C295" s="340"/>
      <c r="D295" s="337"/>
      <c r="E295" s="255"/>
      <c r="F295" s="255"/>
      <c r="G295" s="338"/>
      <c r="H295" s="155"/>
      <c r="I295" s="155"/>
      <c r="J295" s="155"/>
      <c r="K295" s="15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58"/>
      <c r="AA295" s="339"/>
      <c r="AB295" s="105"/>
      <c r="AC295" s="105"/>
      <c r="AD295" s="105"/>
      <c r="AE295" s="105"/>
      <c r="AF295" s="158"/>
      <c r="AG295" s="105"/>
      <c r="AH295" s="158"/>
      <c r="AI295" s="88"/>
      <c r="AJ295" s="88"/>
      <c r="AK295" s="131"/>
      <c r="AL295" s="131"/>
      <c r="AM295" s="131"/>
      <c r="AN295" s="131"/>
      <c r="AO295" s="131"/>
      <c r="AP295" s="88"/>
    </row>
    <row r="296">
      <c r="A296" s="155"/>
      <c r="B296" s="337"/>
      <c r="C296" s="340"/>
      <c r="D296" s="337"/>
      <c r="E296" s="255"/>
      <c r="F296" s="255"/>
      <c r="G296" s="338"/>
      <c r="H296" s="155"/>
      <c r="I296" s="155"/>
      <c r="J296" s="155"/>
      <c r="K296" s="15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58"/>
      <c r="AA296" s="339"/>
      <c r="AB296" s="105"/>
      <c r="AC296" s="105"/>
      <c r="AD296" s="105"/>
      <c r="AE296" s="105"/>
      <c r="AF296" s="158"/>
      <c r="AG296" s="105"/>
      <c r="AH296" s="158"/>
      <c r="AI296" s="88"/>
      <c r="AJ296" s="88"/>
      <c r="AK296" s="131"/>
      <c r="AL296" s="131"/>
      <c r="AM296" s="131"/>
      <c r="AN296" s="131"/>
      <c r="AO296" s="131"/>
      <c r="AP296" s="88"/>
    </row>
    <row r="297">
      <c r="A297" s="155"/>
      <c r="B297" s="337"/>
      <c r="C297" s="340"/>
      <c r="D297" s="337"/>
      <c r="E297" s="255"/>
      <c r="F297" s="255"/>
      <c r="G297" s="338"/>
      <c r="H297" s="155"/>
      <c r="I297" s="155"/>
      <c r="J297" s="155"/>
      <c r="K297" s="15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58"/>
      <c r="AA297" s="339"/>
      <c r="AB297" s="105"/>
      <c r="AC297" s="105"/>
      <c r="AD297" s="105"/>
      <c r="AE297" s="105"/>
      <c r="AF297" s="158"/>
      <c r="AG297" s="105"/>
      <c r="AH297" s="158"/>
      <c r="AI297" s="88"/>
      <c r="AJ297" s="88"/>
      <c r="AK297" s="131"/>
      <c r="AL297" s="131"/>
      <c r="AM297" s="131"/>
      <c r="AN297" s="131"/>
      <c r="AO297" s="131"/>
      <c r="AP297" s="88"/>
    </row>
    <row r="298">
      <c r="A298" s="155"/>
      <c r="B298" s="337"/>
      <c r="C298" s="340"/>
      <c r="D298" s="337"/>
      <c r="E298" s="255"/>
      <c r="F298" s="255"/>
      <c r="G298" s="338"/>
      <c r="H298" s="155"/>
      <c r="I298" s="155"/>
      <c r="J298" s="155"/>
      <c r="K298" s="15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58"/>
      <c r="AA298" s="339"/>
      <c r="AB298" s="105"/>
      <c r="AC298" s="105"/>
      <c r="AD298" s="105"/>
      <c r="AE298" s="105"/>
      <c r="AF298" s="158"/>
      <c r="AG298" s="105"/>
      <c r="AH298" s="158"/>
      <c r="AI298" s="88"/>
      <c r="AJ298" s="88"/>
      <c r="AK298" s="131"/>
      <c r="AL298" s="131"/>
      <c r="AM298" s="131"/>
      <c r="AN298" s="131"/>
      <c r="AO298" s="131"/>
      <c r="AP298" s="88"/>
    </row>
    <row r="299">
      <c r="A299" s="155"/>
      <c r="B299" s="337"/>
      <c r="C299" s="340"/>
      <c r="D299" s="337"/>
      <c r="E299" s="255"/>
      <c r="F299" s="255"/>
      <c r="G299" s="338"/>
      <c r="H299" s="155"/>
      <c r="I299" s="155"/>
      <c r="J299" s="155"/>
      <c r="K299" s="15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58"/>
      <c r="AA299" s="339"/>
      <c r="AB299" s="105"/>
      <c r="AC299" s="105"/>
      <c r="AD299" s="105"/>
      <c r="AE299" s="105"/>
      <c r="AF299" s="158"/>
      <c r="AG299" s="105"/>
      <c r="AH299" s="158"/>
      <c r="AI299" s="88"/>
      <c r="AJ299" s="88"/>
      <c r="AK299" s="131"/>
      <c r="AL299" s="131"/>
      <c r="AM299" s="131"/>
      <c r="AN299" s="131"/>
      <c r="AO299" s="131"/>
      <c r="AP299" s="88"/>
    </row>
    <row r="300">
      <c r="A300" s="155"/>
      <c r="B300" s="337"/>
      <c r="C300" s="340"/>
      <c r="D300" s="337"/>
      <c r="E300" s="255"/>
      <c r="F300" s="255"/>
      <c r="G300" s="338"/>
      <c r="H300" s="155"/>
      <c r="I300" s="155"/>
      <c r="J300" s="155"/>
      <c r="K300" s="15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58"/>
      <c r="AA300" s="339"/>
      <c r="AB300" s="105"/>
      <c r="AC300" s="105"/>
      <c r="AD300" s="105"/>
      <c r="AE300" s="105"/>
      <c r="AF300" s="158"/>
      <c r="AG300" s="105"/>
      <c r="AH300" s="158"/>
      <c r="AI300" s="88"/>
      <c r="AJ300" s="88"/>
      <c r="AK300" s="131"/>
      <c r="AL300" s="131"/>
      <c r="AM300" s="131"/>
      <c r="AN300" s="131"/>
      <c r="AO300" s="131"/>
      <c r="AP300" s="88"/>
    </row>
    <row r="301">
      <c r="A301" s="155"/>
      <c r="B301" s="337"/>
      <c r="C301" s="340"/>
      <c r="D301" s="337"/>
      <c r="E301" s="255"/>
      <c r="F301" s="255"/>
      <c r="G301" s="338"/>
      <c r="H301" s="155"/>
      <c r="I301" s="155"/>
      <c r="J301" s="155"/>
      <c r="K301" s="15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58"/>
      <c r="AA301" s="339"/>
      <c r="AB301" s="105"/>
      <c r="AC301" s="105"/>
      <c r="AD301" s="105"/>
      <c r="AE301" s="105"/>
      <c r="AF301" s="158"/>
      <c r="AG301" s="105"/>
      <c r="AH301" s="158"/>
      <c r="AI301" s="88"/>
      <c r="AJ301" s="88"/>
      <c r="AK301" s="131"/>
      <c r="AL301" s="131"/>
      <c r="AM301" s="131"/>
      <c r="AN301" s="131"/>
      <c r="AO301" s="131"/>
      <c r="AP301" s="88"/>
    </row>
    <row r="302">
      <c r="A302" s="155"/>
      <c r="B302" s="337"/>
      <c r="C302" s="340"/>
      <c r="D302" s="337"/>
      <c r="E302" s="255"/>
      <c r="F302" s="255"/>
      <c r="G302" s="338"/>
      <c r="H302" s="155"/>
      <c r="I302" s="155"/>
      <c r="J302" s="155"/>
      <c r="K302" s="15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58"/>
      <c r="AA302" s="339"/>
      <c r="AB302" s="105"/>
      <c r="AC302" s="105"/>
      <c r="AD302" s="105"/>
      <c r="AE302" s="105"/>
      <c r="AF302" s="158"/>
      <c r="AG302" s="105"/>
      <c r="AH302" s="158"/>
      <c r="AI302" s="88"/>
      <c r="AJ302" s="88"/>
      <c r="AK302" s="131"/>
      <c r="AL302" s="131"/>
      <c r="AM302" s="131"/>
      <c r="AN302" s="131"/>
      <c r="AO302" s="131"/>
      <c r="AP302" s="88"/>
    </row>
    <row r="303">
      <c r="A303" s="155"/>
      <c r="B303" s="337"/>
      <c r="C303" s="340"/>
      <c r="D303" s="337"/>
      <c r="E303" s="255"/>
      <c r="F303" s="255"/>
      <c r="G303" s="338"/>
      <c r="H303" s="155"/>
      <c r="I303" s="155"/>
      <c r="J303" s="155"/>
      <c r="K303" s="15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58"/>
      <c r="AA303" s="339"/>
      <c r="AB303" s="105"/>
      <c r="AC303" s="105"/>
      <c r="AD303" s="105"/>
      <c r="AE303" s="105"/>
      <c r="AF303" s="158"/>
      <c r="AG303" s="105"/>
      <c r="AH303" s="158"/>
      <c r="AI303" s="88"/>
      <c r="AJ303" s="88"/>
      <c r="AK303" s="131"/>
      <c r="AL303" s="131"/>
      <c r="AM303" s="131"/>
      <c r="AN303" s="131"/>
      <c r="AO303" s="131"/>
      <c r="AP303" s="88"/>
    </row>
    <row r="304">
      <c r="A304" s="155"/>
      <c r="B304" s="337"/>
      <c r="C304" s="340"/>
      <c r="D304" s="337"/>
      <c r="E304" s="255"/>
      <c r="F304" s="255"/>
      <c r="G304" s="338"/>
      <c r="H304" s="155"/>
      <c r="I304" s="155"/>
      <c r="J304" s="155"/>
      <c r="K304" s="15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58"/>
      <c r="AA304" s="339"/>
      <c r="AB304" s="105"/>
      <c r="AC304" s="105"/>
      <c r="AD304" s="105"/>
      <c r="AE304" s="105"/>
      <c r="AF304" s="158"/>
      <c r="AG304" s="105"/>
      <c r="AH304" s="158"/>
      <c r="AI304" s="88"/>
      <c r="AJ304" s="88"/>
      <c r="AK304" s="131"/>
      <c r="AL304" s="131"/>
      <c r="AM304" s="131"/>
      <c r="AN304" s="131"/>
      <c r="AO304" s="131"/>
      <c r="AP304" s="88"/>
    </row>
    <row r="305">
      <c r="A305" s="155"/>
      <c r="B305" s="337"/>
      <c r="C305" s="340"/>
      <c r="D305" s="337"/>
      <c r="E305" s="255"/>
      <c r="F305" s="255"/>
      <c r="G305" s="338"/>
      <c r="H305" s="155"/>
      <c r="I305" s="155"/>
      <c r="J305" s="155"/>
      <c r="K305" s="15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58"/>
      <c r="AA305" s="339"/>
      <c r="AB305" s="105"/>
      <c r="AC305" s="105"/>
      <c r="AD305" s="105"/>
      <c r="AE305" s="105"/>
      <c r="AF305" s="158"/>
      <c r="AG305" s="105"/>
      <c r="AH305" s="158"/>
      <c r="AI305" s="88"/>
      <c r="AJ305" s="88"/>
      <c r="AK305" s="131"/>
      <c r="AL305" s="131"/>
      <c r="AM305" s="131"/>
      <c r="AN305" s="131"/>
      <c r="AO305" s="131"/>
      <c r="AP305" s="88"/>
    </row>
    <row r="306">
      <c r="A306" s="155"/>
      <c r="B306" s="337"/>
      <c r="C306" s="340"/>
      <c r="D306" s="337"/>
      <c r="E306" s="255"/>
      <c r="F306" s="255"/>
      <c r="G306" s="338"/>
      <c r="H306" s="155"/>
      <c r="I306" s="155"/>
      <c r="J306" s="155"/>
      <c r="K306" s="15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58"/>
      <c r="AA306" s="339"/>
      <c r="AB306" s="105"/>
      <c r="AC306" s="105"/>
      <c r="AD306" s="105"/>
      <c r="AE306" s="105"/>
      <c r="AF306" s="158"/>
      <c r="AG306" s="105"/>
      <c r="AH306" s="158"/>
      <c r="AI306" s="88"/>
      <c r="AJ306" s="88"/>
      <c r="AK306" s="131"/>
      <c r="AL306" s="131"/>
      <c r="AM306" s="131"/>
      <c r="AN306" s="131"/>
      <c r="AO306" s="131"/>
      <c r="AP306" s="88"/>
    </row>
    <row r="307">
      <c r="A307" s="155"/>
      <c r="B307" s="337"/>
      <c r="C307" s="340"/>
      <c r="D307" s="337"/>
      <c r="E307" s="255"/>
      <c r="F307" s="255"/>
      <c r="G307" s="338"/>
      <c r="H307" s="155"/>
      <c r="I307" s="155"/>
      <c r="J307" s="155"/>
      <c r="K307" s="15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58"/>
      <c r="AA307" s="339"/>
      <c r="AB307" s="105"/>
      <c r="AC307" s="105"/>
      <c r="AD307" s="105"/>
      <c r="AE307" s="105"/>
      <c r="AF307" s="158"/>
      <c r="AG307" s="105"/>
      <c r="AH307" s="158"/>
      <c r="AI307" s="88"/>
      <c r="AJ307" s="88"/>
      <c r="AK307" s="131"/>
      <c r="AL307" s="131"/>
      <c r="AM307" s="131"/>
      <c r="AN307" s="131"/>
      <c r="AO307" s="131"/>
      <c r="AP307" s="88"/>
    </row>
    <row r="308">
      <c r="A308" s="155"/>
      <c r="B308" s="337"/>
      <c r="C308" s="340"/>
      <c r="D308" s="337"/>
      <c r="E308" s="255"/>
      <c r="F308" s="255"/>
      <c r="G308" s="338"/>
      <c r="H308" s="155"/>
      <c r="I308" s="155"/>
      <c r="J308" s="155"/>
      <c r="K308" s="15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58"/>
      <c r="AA308" s="339"/>
      <c r="AB308" s="105"/>
      <c r="AC308" s="105"/>
      <c r="AD308" s="105"/>
      <c r="AE308" s="105"/>
      <c r="AF308" s="158"/>
      <c r="AG308" s="105"/>
      <c r="AH308" s="158"/>
      <c r="AI308" s="88"/>
      <c r="AJ308" s="88"/>
      <c r="AK308" s="131"/>
      <c r="AL308" s="131"/>
      <c r="AM308" s="131"/>
      <c r="AN308" s="131"/>
      <c r="AO308" s="131"/>
      <c r="AP308" s="88"/>
    </row>
    <row r="309">
      <c r="A309" s="155"/>
      <c r="B309" s="337"/>
      <c r="C309" s="340"/>
      <c r="D309" s="337"/>
      <c r="E309" s="255"/>
      <c r="F309" s="255"/>
      <c r="G309" s="338"/>
      <c r="H309" s="155"/>
      <c r="I309" s="155"/>
      <c r="J309" s="155"/>
      <c r="K309" s="15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58"/>
      <c r="AA309" s="339"/>
      <c r="AB309" s="105"/>
      <c r="AC309" s="105"/>
      <c r="AD309" s="105"/>
      <c r="AE309" s="105"/>
      <c r="AF309" s="158"/>
      <c r="AG309" s="105"/>
      <c r="AH309" s="158"/>
      <c r="AI309" s="88"/>
      <c r="AJ309" s="88"/>
      <c r="AK309" s="131"/>
      <c r="AL309" s="131"/>
      <c r="AM309" s="131"/>
      <c r="AN309" s="131"/>
      <c r="AO309" s="131"/>
      <c r="AP309" s="88"/>
    </row>
    <row r="310">
      <c r="A310" s="155"/>
      <c r="B310" s="337"/>
      <c r="C310" s="340"/>
      <c r="D310" s="337"/>
      <c r="E310" s="255"/>
      <c r="F310" s="255"/>
      <c r="G310" s="338"/>
      <c r="H310" s="155"/>
      <c r="I310" s="155"/>
      <c r="J310" s="155"/>
      <c r="K310" s="15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58"/>
      <c r="AA310" s="339"/>
      <c r="AB310" s="105"/>
      <c r="AC310" s="105"/>
      <c r="AD310" s="105"/>
      <c r="AE310" s="105"/>
      <c r="AF310" s="158"/>
      <c r="AG310" s="105"/>
      <c r="AH310" s="158"/>
      <c r="AI310" s="88"/>
      <c r="AJ310" s="88"/>
      <c r="AK310" s="131"/>
      <c r="AL310" s="131"/>
      <c r="AM310" s="131"/>
      <c r="AN310" s="131"/>
      <c r="AO310" s="131"/>
      <c r="AP310" s="88"/>
    </row>
    <row r="311">
      <c r="A311" s="155"/>
      <c r="B311" s="337"/>
      <c r="C311" s="340"/>
      <c r="D311" s="337"/>
      <c r="E311" s="255"/>
      <c r="F311" s="255"/>
      <c r="G311" s="338"/>
      <c r="H311" s="155"/>
      <c r="I311" s="155"/>
      <c r="J311" s="155"/>
      <c r="K311" s="15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58"/>
      <c r="AA311" s="339"/>
      <c r="AB311" s="105"/>
      <c r="AC311" s="105"/>
      <c r="AD311" s="105"/>
      <c r="AE311" s="105"/>
      <c r="AF311" s="158"/>
      <c r="AG311" s="105"/>
      <c r="AH311" s="158"/>
      <c r="AI311" s="88"/>
      <c r="AJ311" s="88"/>
      <c r="AK311" s="131"/>
      <c r="AL311" s="131"/>
      <c r="AM311" s="131"/>
      <c r="AN311" s="131"/>
      <c r="AO311" s="131"/>
      <c r="AP311" s="88"/>
    </row>
    <row r="312">
      <c r="A312" s="155"/>
      <c r="B312" s="337"/>
      <c r="C312" s="340"/>
      <c r="D312" s="337"/>
      <c r="E312" s="255"/>
      <c r="F312" s="255"/>
      <c r="G312" s="338"/>
      <c r="H312" s="155"/>
      <c r="I312" s="155"/>
      <c r="J312" s="155"/>
      <c r="K312" s="15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58"/>
      <c r="AA312" s="339"/>
      <c r="AB312" s="105"/>
      <c r="AC312" s="105"/>
      <c r="AD312" s="105"/>
      <c r="AE312" s="105"/>
      <c r="AF312" s="158"/>
      <c r="AG312" s="105"/>
      <c r="AH312" s="158"/>
      <c r="AI312" s="88"/>
      <c r="AJ312" s="88"/>
      <c r="AK312" s="131"/>
      <c r="AL312" s="131"/>
      <c r="AM312" s="131"/>
      <c r="AN312" s="131"/>
      <c r="AO312" s="131"/>
      <c r="AP312" s="88"/>
    </row>
    <row r="313">
      <c r="A313" s="155"/>
      <c r="B313" s="337"/>
      <c r="C313" s="340"/>
      <c r="D313" s="337"/>
      <c r="E313" s="255"/>
      <c r="F313" s="255"/>
      <c r="G313" s="338"/>
      <c r="H313" s="155"/>
      <c r="I313" s="155"/>
      <c r="J313" s="155"/>
      <c r="K313" s="15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58"/>
      <c r="AA313" s="339"/>
      <c r="AB313" s="105"/>
      <c r="AC313" s="105"/>
      <c r="AD313" s="105"/>
      <c r="AE313" s="105"/>
      <c r="AF313" s="158"/>
      <c r="AG313" s="105"/>
      <c r="AH313" s="158"/>
      <c r="AI313" s="88"/>
      <c r="AJ313" s="88"/>
      <c r="AK313" s="131"/>
      <c r="AL313" s="131"/>
      <c r="AM313" s="131"/>
      <c r="AN313" s="131"/>
      <c r="AO313" s="131"/>
      <c r="AP313" s="88"/>
    </row>
    <row r="314">
      <c r="A314" s="155"/>
      <c r="B314" s="337"/>
      <c r="C314" s="340"/>
      <c r="D314" s="337"/>
      <c r="E314" s="255"/>
      <c r="F314" s="255"/>
      <c r="G314" s="338"/>
      <c r="H314" s="155"/>
      <c r="I314" s="155"/>
      <c r="J314" s="155"/>
      <c r="K314" s="15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58"/>
      <c r="AA314" s="339"/>
      <c r="AB314" s="105"/>
      <c r="AC314" s="105"/>
      <c r="AD314" s="105"/>
      <c r="AE314" s="105"/>
      <c r="AF314" s="158"/>
      <c r="AG314" s="105"/>
      <c r="AH314" s="158"/>
      <c r="AI314" s="88"/>
      <c r="AJ314" s="88"/>
      <c r="AK314" s="131"/>
      <c r="AL314" s="131"/>
      <c r="AM314" s="131"/>
      <c r="AN314" s="131"/>
      <c r="AO314" s="131"/>
      <c r="AP314" s="88"/>
    </row>
    <row r="315">
      <c r="A315" s="155"/>
      <c r="B315" s="337"/>
      <c r="C315" s="340"/>
      <c r="D315" s="337"/>
      <c r="E315" s="255"/>
      <c r="F315" s="255"/>
      <c r="G315" s="338"/>
      <c r="H315" s="155"/>
      <c r="I315" s="155"/>
      <c r="J315" s="155"/>
      <c r="K315" s="15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58"/>
      <c r="AA315" s="339"/>
      <c r="AB315" s="105"/>
      <c r="AC315" s="105"/>
      <c r="AD315" s="105"/>
      <c r="AE315" s="105"/>
      <c r="AF315" s="158"/>
      <c r="AG315" s="105"/>
      <c r="AH315" s="158"/>
      <c r="AI315" s="88"/>
      <c r="AJ315" s="88"/>
      <c r="AK315" s="131"/>
      <c r="AL315" s="131"/>
      <c r="AM315" s="131"/>
      <c r="AN315" s="131"/>
      <c r="AO315" s="131"/>
      <c r="AP315" s="88"/>
    </row>
    <row r="316">
      <c r="A316" s="155"/>
      <c r="B316" s="337"/>
      <c r="C316" s="340"/>
      <c r="D316" s="337"/>
      <c r="E316" s="255"/>
      <c r="F316" s="255"/>
      <c r="G316" s="338"/>
      <c r="H316" s="155"/>
      <c r="I316" s="155"/>
      <c r="J316" s="155"/>
      <c r="K316" s="15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58"/>
      <c r="AA316" s="339"/>
      <c r="AB316" s="105"/>
      <c r="AC316" s="105"/>
      <c r="AD316" s="105"/>
      <c r="AE316" s="105"/>
      <c r="AF316" s="158"/>
      <c r="AG316" s="105"/>
      <c r="AH316" s="158"/>
      <c r="AI316" s="88"/>
      <c r="AJ316" s="88"/>
      <c r="AK316" s="131"/>
      <c r="AL316" s="131"/>
      <c r="AM316" s="131"/>
      <c r="AN316" s="131"/>
      <c r="AO316" s="131"/>
      <c r="AP316" s="88"/>
    </row>
    <row r="317">
      <c r="A317" s="155"/>
      <c r="B317" s="337"/>
      <c r="C317" s="340"/>
      <c r="D317" s="337"/>
      <c r="E317" s="255"/>
      <c r="F317" s="255"/>
      <c r="G317" s="338"/>
      <c r="H317" s="155"/>
      <c r="I317" s="155"/>
      <c r="J317" s="155"/>
      <c r="K317" s="15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58"/>
      <c r="AA317" s="339"/>
      <c r="AB317" s="105"/>
      <c r="AC317" s="105"/>
      <c r="AD317" s="105"/>
      <c r="AE317" s="105"/>
      <c r="AF317" s="158"/>
      <c r="AG317" s="105"/>
      <c r="AH317" s="158"/>
      <c r="AI317" s="88"/>
      <c r="AJ317" s="88"/>
      <c r="AK317" s="131"/>
      <c r="AL317" s="131"/>
      <c r="AM317" s="131"/>
      <c r="AN317" s="131"/>
      <c r="AO317" s="131"/>
      <c r="AP317" s="88"/>
    </row>
    <row r="318">
      <c r="A318" s="155"/>
      <c r="B318" s="337"/>
      <c r="C318" s="340"/>
      <c r="D318" s="337"/>
      <c r="E318" s="255"/>
      <c r="F318" s="255"/>
      <c r="G318" s="338"/>
      <c r="H318" s="155"/>
      <c r="I318" s="155"/>
      <c r="J318" s="155"/>
      <c r="K318" s="15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58"/>
      <c r="AA318" s="339"/>
      <c r="AB318" s="105"/>
      <c r="AC318" s="105"/>
      <c r="AD318" s="105"/>
      <c r="AE318" s="105"/>
      <c r="AF318" s="158"/>
      <c r="AG318" s="105"/>
      <c r="AH318" s="158"/>
      <c r="AI318" s="88"/>
      <c r="AJ318" s="88"/>
      <c r="AK318" s="131"/>
      <c r="AL318" s="131"/>
      <c r="AM318" s="131"/>
      <c r="AN318" s="131"/>
      <c r="AO318" s="131"/>
      <c r="AP318" s="88"/>
    </row>
    <row r="319">
      <c r="A319" s="155"/>
      <c r="B319" s="337"/>
      <c r="C319" s="340"/>
      <c r="D319" s="337"/>
      <c r="E319" s="255"/>
      <c r="F319" s="255"/>
      <c r="G319" s="338"/>
      <c r="H319" s="155"/>
      <c r="I319" s="155"/>
      <c r="J319" s="155"/>
      <c r="K319" s="15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58"/>
      <c r="AA319" s="339"/>
      <c r="AB319" s="105"/>
      <c r="AC319" s="105"/>
      <c r="AD319" s="105"/>
      <c r="AE319" s="105"/>
      <c r="AF319" s="158"/>
      <c r="AG319" s="105"/>
      <c r="AH319" s="158"/>
      <c r="AI319" s="88"/>
      <c r="AJ319" s="88"/>
      <c r="AK319" s="131"/>
      <c r="AL319" s="131"/>
      <c r="AM319" s="131"/>
      <c r="AN319" s="131"/>
      <c r="AO319" s="131"/>
      <c r="AP319" s="88"/>
    </row>
    <row r="320">
      <c r="A320" s="155"/>
      <c r="B320" s="337"/>
      <c r="C320" s="340"/>
      <c r="D320" s="337"/>
      <c r="E320" s="255"/>
      <c r="F320" s="255"/>
      <c r="G320" s="338"/>
      <c r="H320" s="155"/>
      <c r="I320" s="155"/>
      <c r="J320" s="155"/>
      <c r="K320" s="15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58"/>
      <c r="AA320" s="339"/>
      <c r="AB320" s="105"/>
      <c r="AC320" s="105"/>
      <c r="AD320" s="105"/>
      <c r="AE320" s="105"/>
      <c r="AF320" s="158"/>
      <c r="AG320" s="105"/>
      <c r="AH320" s="158"/>
      <c r="AI320" s="88"/>
      <c r="AJ320" s="88"/>
      <c r="AK320" s="131"/>
      <c r="AL320" s="131"/>
      <c r="AM320" s="131"/>
      <c r="AN320" s="131"/>
      <c r="AO320" s="131"/>
      <c r="AP320" s="88"/>
    </row>
    <row r="321">
      <c r="A321" s="155"/>
      <c r="B321" s="337"/>
      <c r="C321" s="340"/>
      <c r="D321" s="337"/>
      <c r="E321" s="255"/>
      <c r="F321" s="255"/>
      <c r="G321" s="338"/>
      <c r="H321" s="155"/>
      <c r="I321" s="155"/>
      <c r="J321" s="155"/>
      <c r="K321" s="15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58"/>
      <c r="AA321" s="339"/>
      <c r="AB321" s="105"/>
      <c r="AC321" s="105"/>
      <c r="AD321" s="105"/>
      <c r="AE321" s="105"/>
      <c r="AF321" s="158"/>
      <c r="AG321" s="105"/>
      <c r="AH321" s="158"/>
      <c r="AI321" s="88"/>
      <c r="AJ321" s="88"/>
      <c r="AK321" s="131"/>
      <c r="AL321" s="131"/>
      <c r="AM321" s="131"/>
      <c r="AN321" s="131"/>
      <c r="AO321" s="131"/>
      <c r="AP321" s="88"/>
    </row>
    <row r="322">
      <c r="A322" s="155"/>
      <c r="B322" s="337"/>
      <c r="C322" s="340"/>
      <c r="D322" s="337"/>
      <c r="E322" s="255"/>
      <c r="F322" s="255"/>
      <c r="G322" s="338"/>
      <c r="H322" s="155"/>
      <c r="I322" s="155"/>
      <c r="J322" s="155"/>
      <c r="K322" s="15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58"/>
      <c r="AA322" s="339"/>
      <c r="AB322" s="105"/>
      <c r="AC322" s="105"/>
      <c r="AD322" s="105"/>
      <c r="AE322" s="105"/>
      <c r="AF322" s="158"/>
      <c r="AG322" s="105"/>
      <c r="AH322" s="158"/>
      <c r="AI322" s="88"/>
      <c r="AJ322" s="88"/>
      <c r="AK322" s="131"/>
      <c r="AL322" s="131"/>
      <c r="AM322" s="131"/>
      <c r="AN322" s="131"/>
      <c r="AO322" s="131"/>
      <c r="AP322" s="88"/>
    </row>
    <row r="323">
      <c r="A323" s="155"/>
      <c r="B323" s="337"/>
      <c r="C323" s="340"/>
      <c r="D323" s="337"/>
      <c r="E323" s="255"/>
      <c r="F323" s="255"/>
      <c r="G323" s="338"/>
      <c r="H323" s="155"/>
      <c r="I323" s="155"/>
      <c r="J323" s="155"/>
      <c r="K323" s="15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58"/>
      <c r="AA323" s="339"/>
      <c r="AB323" s="105"/>
      <c r="AC323" s="105"/>
      <c r="AD323" s="105"/>
      <c r="AE323" s="105"/>
      <c r="AF323" s="158"/>
      <c r="AG323" s="105"/>
      <c r="AH323" s="158"/>
      <c r="AI323" s="88"/>
      <c r="AJ323" s="88"/>
      <c r="AK323" s="131"/>
      <c r="AL323" s="131"/>
      <c r="AM323" s="131"/>
      <c r="AN323" s="131"/>
      <c r="AO323" s="131"/>
      <c r="AP323" s="88"/>
    </row>
    <row r="324">
      <c r="A324" s="155"/>
      <c r="B324" s="337"/>
      <c r="C324" s="340"/>
      <c r="D324" s="337"/>
      <c r="E324" s="255"/>
      <c r="F324" s="255"/>
      <c r="G324" s="338"/>
      <c r="H324" s="155"/>
      <c r="I324" s="155"/>
      <c r="J324" s="155"/>
      <c r="K324" s="15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58"/>
      <c r="AA324" s="339"/>
      <c r="AB324" s="105"/>
      <c r="AC324" s="105"/>
      <c r="AD324" s="105"/>
      <c r="AE324" s="105"/>
      <c r="AF324" s="158"/>
      <c r="AG324" s="105"/>
      <c r="AH324" s="158"/>
      <c r="AI324" s="88"/>
      <c r="AJ324" s="88"/>
      <c r="AK324" s="131"/>
      <c r="AL324" s="131"/>
      <c r="AM324" s="131"/>
      <c r="AN324" s="131"/>
      <c r="AO324" s="131"/>
      <c r="AP324" s="88"/>
    </row>
    <row r="325">
      <c r="A325" s="155"/>
      <c r="B325" s="337"/>
      <c r="C325" s="340"/>
      <c r="D325" s="337"/>
      <c r="E325" s="255"/>
      <c r="F325" s="255"/>
      <c r="G325" s="338"/>
      <c r="H325" s="155"/>
      <c r="I325" s="155"/>
      <c r="J325" s="155"/>
      <c r="K325" s="15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58"/>
      <c r="AA325" s="339"/>
      <c r="AB325" s="105"/>
      <c r="AC325" s="105"/>
      <c r="AD325" s="105"/>
      <c r="AE325" s="105"/>
      <c r="AF325" s="158"/>
      <c r="AG325" s="105"/>
      <c r="AH325" s="158"/>
      <c r="AI325" s="88"/>
      <c r="AJ325" s="88"/>
      <c r="AK325" s="131"/>
      <c r="AL325" s="131"/>
      <c r="AM325" s="131"/>
      <c r="AN325" s="131"/>
      <c r="AO325" s="131"/>
      <c r="AP325" s="88"/>
    </row>
    <row r="326">
      <c r="A326" s="155"/>
      <c r="B326" s="337"/>
      <c r="C326" s="340"/>
      <c r="D326" s="337"/>
      <c r="E326" s="255"/>
      <c r="F326" s="255"/>
      <c r="G326" s="338"/>
      <c r="H326" s="155"/>
      <c r="I326" s="155"/>
      <c r="J326" s="155"/>
      <c r="K326" s="15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58"/>
      <c r="AA326" s="339"/>
      <c r="AB326" s="105"/>
      <c r="AC326" s="105"/>
      <c r="AD326" s="105"/>
      <c r="AE326" s="105"/>
      <c r="AF326" s="158"/>
      <c r="AG326" s="105"/>
      <c r="AH326" s="158"/>
      <c r="AI326" s="88"/>
      <c r="AJ326" s="88"/>
      <c r="AK326" s="131"/>
      <c r="AL326" s="131"/>
      <c r="AM326" s="131"/>
      <c r="AN326" s="131"/>
      <c r="AO326" s="131"/>
      <c r="AP326" s="88"/>
    </row>
    <row r="327">
      <c r="A327" s="155"/>
      <c r="B327" s="337"/>
      <c r="C327" s="340"/>
      <c r="D327" s="337"/>
      <c r="E327" s="255"/>
      <c r="F327" s="255"/>
      <c r="G327" s="338"/>
      <c r="H327" s="155"/>
      <c r="I327" s="155"/>
      <c r="J327" s="155"/>
      <c r="K327" s="15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58"/>
      <c r="AA327" s="339"/>
      <c r="AB327" s="105"/>
      <c r="AC327" s="105"/>
      <c r="AD327" s="105"/>
      <c r="AE327" s="105"/>
      <c r="AF327" s="158"/>
      <c r="AG327" s="105"/>
      <c r="AH327" s="158"/>
      <c r="AI327" s="88"/>
      <c r="AJ327" s="88"/>
      <c r="AK327" s="131"/>
      <c r="AL327" s="131"/>
      <c r="AM327" s="131"/>
      <c r="AN327" s="131"/>
      <c r="AO327" s="131"/>
      <c r="AP327" s="88"/>
    </row>
    <row r="328">
      <c r="A328" s="155"/>
      <c r="B328" s="337"/>
      <c r="C328" s="340"/>
      <c r="D328" s="337"/>
      <c r="E328" s="255"/>
      <c r="F328" s="255"/>
      <c r="G328" s="338"/>
      <c r="H328" s="155"/>
      <c r="I328" s="155"/>
      <c r="J328" s="155"/>
      <c r="K328" s="15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58"/>
      <c r="AA328" s="339"/>
      <c r="AB328" s="105"/>
      <c r="AC328" s="105"/>
      <c r="AD328" s="105"/>
      <c r="AE328" s="105"/>
      <c r="AF328" s="158"/>
      <c r="AG328" s="105"/>
      <c r="AH328" s="158"/>
      <c r="AI328" s="88"/>
      <c r="AJ328" s="88"/>
      <c r="AK328" s="131"/>
      <c r="AL328" s="131"/>
      <c r="AM328" s="131"/>
      <c r="AN328" s="131"/>
      <c r="AO328" s="131"/>
      <c r="AP328" s="88"/>
    </row>
    <row r="329">
      <c r="A329" s="155"/>
      <c r="B329" s="337"/>
      <c r="C329" s="340"/>
      <c r="D329" s="337"/>
      <c r="E329" s="255"/>
      <c r="F329" s="255"/>
      <c r="G329" s="338"/>
      <c r="H329" s="155"/>
      <c r="I329" s="155"/>
      <c r="J329" s="155"/>
      <c r="K329" s="15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58"/>
      <c r="AA329" s="339"/>
      <c r="AB329" s="105"/>
      <c r="AC329" s="105"/>
      <c r="AD329" s="105"/>
      <c r="AE329" s="105"/>
      <c r="AF329" s="158"/>
      <c r="AG329" s="105"/>
      <c r="AH329" s="158"/>
      <c r="AI329" s="88"/>
      <c r="AJ329" s="88"/>
      <c r="AK329" s="131"/>
      <c r="AL329" s="131"/>
      <c r="AM329" s="131"/>
      <c r="AN329" s="131"/>
      <c r="AO329" s="131"/>
      <c r="AP329" s="88"/>
    </row>
    <row r="330">
      <c r="A330" s="155"/>
      <c r="B330" s="337"/>
      <c r="C330" s="340"/>
      <c r="D330" s="337"/>
      <c r="E330" s="255"/>
      <c r="F330" s="255"/>
      <c r="G330" s="338"/>
      <c r="H330" s="155"/>
      <c r="I330" s="155"/>
      <c r="J330" s="155"/>
      <c r="K330" s="15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58"/>
      <c r="AA330" s="339"/>
      <c r="AB330" s="105"/>
      <c r="AC330" s="105"/>
      <c r="AD330" s="105"/>
      <c r="AE330" s="105"/>
      <c r="AF330" s="158"/>
      <c r="AG330" s="105"/>
      <c r="AH330" s="158"/>
      <c r="AI330" s="88"/>
      <c r="AJ330" s="88"/>
      <c r="AK330" s="131"/>
      <c r="AL330" s="131"/>
      <c r="AM330" s="131"/>
      <c r="AN330" s="131"/>
      <c r="AO330" s="131"/>
      <c r="AP330" s="88"/>
    </row>
    <row r="331">
      <c r="A331" s="155"/>
      <c r="B331" s="337"/>
      <c r="C331" s="340"/>
      <c r="D331" s="337"/>
      <c r="E331" s="255"/>
      <c r="F331" s="255"/>
      <c r="G331" s="338"/>
      <c r="H331" s="155"/>
      <c r="I331" s="155"/>
      <c r="J331" s="155"/>
      <c r="K331" s="15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58"/>
      <c r="AA331" s="339"/>
      <c r="AB331" s="105"/>
      <c r="AC331" s="105"/>
      <c r="AD331" s="105"/>
      <c r="AE331" s="105"/>
      <c r="AF331" s="158"/>
      <c r="AG331" s="105"/>
      <c r="AH331" s="158"/>
      <c r="AI331" s="88"/>
      <c r="AJ331" s="88"/>
      <c r="AK331" s="131"/>
      <c r="AL331" s="131"/>
      <c r="AM331" s="131"/>
      <c r="AN331" s="131"/>
      <c r="AO331" s="131"/>
      <c r="AP331" s="88"/>
    </row>
    <row r="332">
      <c r="A332" s="155"/>
      <c r="B332" s="337"/>
      <c r="C332" s="340"/>
      <c r="D332" s="337"/>
      <c r="E332" s="255"/>
      <c r="F332" s="255"/>
      <c r="G332" s="338"/>
      <c r="H332" s="155"/>
      <c r="I332" s="155"/>
      <c r="J332" s="155"/>
      <c r="K332" s="15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58"/>
      <c r="AA332" s="339"/>
      <c r="AB332" s="105"/>
      <c r="AC332" s="105"/>
      <c r="AD332" s="105"/>
      <c r="AE332" s="105"/>
      <c r="AF332" s="158"/>
      <c r="AG332" s="105"/>
      <c r="AH332" s="158"/>
      <c r="AI332" s="88"/>
      <c r="AJ332" s="88"/>
      <c r="AK332" s="131"/>
      <c r="AL332" s="131"/>
      <c r="AM332" s="131"/>
      <c r="AN332" s="131"/>
      <c r="AO332" s="131"/>
      <c r="AP332" s="88"/>
    </row>
    <row r="333">
      <c r="A333" s="155"/>
      <c r="B333" s="337"/>
      <c r="C333" s="340"/>
      <c r="D333" s="337"/>
      <c r="E333" s="255"/>
      <c r="F333" s="255"/>
      <c r="G333" s="338"/>
      <c r="H333" s="155"/>
      <c r="I333" s="155"/>
      <c r="J333" s="155"/>
      <c r="K333" s="15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58"/>
      <c r="AA333" s="339"/>
      <c r="AB333" s="105"/>
      <c r="AC333" s="105"/>
      <c r="AD333" s="105"/>
      <c r="AE333" s="105"/>
      <c r="AF333" s="158"/>
      <c r="AG333" s="105"/>
      <c r="AH333" s="158"/>
      <c r="AI333" s="88"/>
      <c r="AJ333" s="88"/>
      <c r="AK333" s="131"/>
      <c r="AL333" s="131"/>
      <c r="AM333" s="131"/>
      <c r="AN333" s="131"/>
      <c r="AO333" s="131"/>
      <c r="AP333" s="88"/>
    </row>
    <row r="334">
      <c r="A334" s="155"/>
      <c r="B334" s="337"/>
      <c r="C334" s="340"/>
      <c r="D334" s="337"/>
      <c r="E334" s="255"/>
      <c r="F334" s="255"/>
      <c r="G334" s="338"/>
      <c r="H334" s="155"/>
      <c r="I334" s="155"/>
      <c r="J334" s="155"/>
      <c r="K334" s="15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58"/>
      <c r="AA334" s="339"/>
      <c r="AB334" s="105"/>
      <c r="AC334" s="105"/>
      <c r="AD334" s="105"/>
      <c r="AE334" s="105"/>
      <c r="AF334" s="158"/>
      <c r="AG334" s="105"/>
      <c r="AH334" s="158"/>
      <c r="AI334" s="88"/>
      <c r="AJ334" s="88"/>
      <c r="AK334" s="131"/>
      <c r="AL334" s="131"/>
      <c r="AM334" s="131"/>
      <c r="AN334" s="131"/>
      <c r="AO334" s="131"/>
      <c r="AP334" s="88"/>
    </row>
    <row r="335">
      <c r="A335" s="155"/>
      <c r="B335" s="337"/>
      <c r="C335" s="340"/>
      <c r="D335" s="337"/>
      <c r="E335" s="255"/>
      <c r="F335" s="255"/>
      <c r="G335" s="338"/>
      <c r="H335" s="155"/>
      <c r="I335" s="155"/>
      <c r="J335" s="155"/>
      <c r="K335" s="15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58"/>
      <c r="AA335" s="339"/>
      <c r="AB335" s="105"/>
      <c r="AC335" s="105"/>
      <c r="AD335" s="105"/>
      <c r="AE335" s="105"/>
      <c r="AF335" s="158"/>
      <c r="AG335" s="105"/>
      <c r="AH335" s="158"/>
      <c r="AI335" s="88"/>
      <c r="AJ335" s="88"/>
      <c r="AK335" s="131"/>
      <c r="AL335" s="131"/>
      <c r="AM335" s="131"/>
      <c r="AN335" s="131"/>
      <c r="AO335" s="131"/>
      <c r="AP335" s="88"/>
    </row>
    <row r="336">
      <c r="A336" s="155"/>
      <c r="B336" s="337"/>
      <c r="C336" s="340"/>
      <c r="D336" s="337"/>
      <c r="E336" s="255"/>
      <c r="F336" s="255"/>
      <c r="G336" s="338"/>
      <c r="H336" s="155"/>
      <c r="I336" s="155"/>
      <c r="J336" s="155"/>
      <c r="K336" s="15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58"/>
      <c r="AA336" s="339"/>
      <c r="AB336" s="105"/>
      <c r="AC336" s="105"/>
      <c r="AD336" s="105"/>
      <c r="AE336" s="105"/>
      <c r="AF336" s="158"/>
      <c r="AG336" s="105"/>
      <c r="AH336" s="158"/>
      <c r="AI336" s="88"/>
      <c r="AJ336" s="88"/>
      <c r="AK336" s="131"/>
      <c r="AL336" s="131"/>
      <c r="AM336" s="131"/>
      <c r="AN336" s="131"/>
      <c r="AO336" s="131"/>
      <c r="AP336" s="88"/>
    </row>
    <row r="337">
      <c r="A337" s="155"/>
      <c r="B337" s="337"/>
      <c r="C337" s="340"/>
      <c r="D337" s="337"/>
      <c r="E337" s="255"/>
      <c r="F337" s="255"/>
      <c r="G337" s="338"/>
      <c r="H337" s="155"/>
      <c r="I337" s="155"/>
      <c r="J337" s="155"/>
      <c r="K337" s="15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58"/>
      <c r="AA337" s="339"/>
      <c r="AB337" s="105"/>
      <c r="AC337" s="105"/>
      <c r="AD337" s="105"/>
      <c r="AE337" s="105"/>
      <c r="AF337" s="158"/>
      <c r="AG337" s="105"/>
      <c r="AH337" s="158"/>
      <c r="AI337" s="88"/>
      <c r="AJ337" s="88"/>
      <c r="AK337" s="131"/>
      <c r="AL337" s="131"/>
      <c r="AM337" s="131"/>
      <c r="AN337" s="131"/>
      <c r="AO337" s="131"/>
      <c r="AP337" s="88"/>
    </row>
    <row r="338">
      <c r="A338" s="155"/>
      <c r="B338" s="337"/>
      <c r="C338" s="340"/>
      <c r="D338" s="337"/>
      <c r="E338" s="255"/>
      <c r="F338" s="255"/>
      <c r="G338" s="338"/>
      <c r="H338" s="155"/>
      <c r="I338" s="155"/>
      <c r="J338" s="155"/>
      <c r="K338" s="15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58"/>
      <c r="AA338" s="339"/>
      <c r="AB338" s="105"/>
      <c r="AC338" s="105"/>
      <c r="AD338" s="105"/>
      <c r="AE338" s="105"/>
      <c r="AF338" s="158"/>
      <c r="AG338" s="105"/>
      <c r="AH338" s="158"/>
      <c r="AI338" s="88"/>
      <c r="AJ338" s="88"/>
      <c r="AK338" s="131"/>
      <c r="AL338" s="131"/>
      <c r="AM338" s="131"/>
      <c r="AN338" s="131"/>
      <c r="AO338" s="131"/>
      <c r="AP338" s="88"/>
    </row>
    <row r="339">
      <c r="A339" s="155"/>
      <c r="B339" s="337"/>
      <c r="C339" s="340"/>
      <c r="D339" s="337"/>
      <c r="E339" s="255"/>
      <c r="F339" s="255"/>
      <c r="G339" s="338"/>
      <c r="H339" s="155"/>
      <c r="I339" s="155"/>
      <c r="J339" s="155"/>
      <c r="K339" s="15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58"/>
      <c r="AA339" s="339"/>
      <c r="AB339" s="105"/>
      <c r="AC339" s="105"/>
      <c r="AD339" s="105"/>
      <c r="AE339" s="105"/>
      <c r="AF339" s="158"/>
      <c r="AG339" s="105"/>
      <c r="AH339" s="158"/>
      <c r="AI339" s="88"/>
      <c r="AJ339" s="88"/>
      <c r="AK339" s="131"/>
      <c r="AL339" s="131"/>
      <c r="AM339" s="131"/>
      <c r="AN339" s="131"/>
      <c r="AO339" s="131"/>
      <c r="AP339" s="88"/>
    </row>
    <row r="340">
      <c r="A340" s="155"/>
      <c r="B340" s="337"/>
      <c r="C340" s="340"/>
      <c r="D340" s="337"/>
      <c r="E340" s="255"/>
      <c r="F340" s="255"/>
      <c r="G340" s="338"/>
      <c r="H340" s="155"/>
      <c r="I340" s="155"/>
      <c r="J340" s="155"/>
      <c r="K340" s="15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58"/>
      <c r="AA340" s="339"/>
      <c r="AB340" s="105"/>
      <c r="AC340" s="105"/>
      <c r="AD340" s="105"/>
      <c r="AE340" s="105"/>
      <c r="AF340" s="158"/>
      <c r="AG340" s="105"/>
      <c r="AH340" s="158"/>
      <c r="AI340" s="88"/>
      <c r="AJ340" s="88"/>
      <c r="AK340" s="131"/>
      <c r="AL340" s="131"/>
      <c r="AM340" s="131"/>
      <c r="AN340" s="131"/>
      <c r="AO340" s="131"/>
      <c r="AP340" s="88"/>
    </row>
    <row r="341">
      <c r="A341" s="155"/>
      <c r="B341" s="337"/>
      <c r="C341" s="340"/>
      <c r="D341" s="337"/>
      <c r="E341" s="255"/>
      <c r="F341" s="255"/>
      <c r="G341" s="338"/>
      <c r="H341" s="155"/>
      <c r="I341" s="155"/>
      <c r="J341" s="155"/>
      <c r="K341" s="15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58"/>
      <c r="AA341" s="339"/>
      <c r="AB341" s="105"/>
      <c r="AC341" s="105"/>
      <c r="AD341" s="105"/>
      <c r="AE341" s="105"/>
      <c r="AF341" s="158"/>
      <c r="AG341" s="105"/>
      <c r="AH341" s="158"/>
      <c r="AI341" s="88"/>
      <c r="AJ341" s="88"/>
      <c r="AK341" s="131"/>
      <c r="AL341" s="131"/>
      <c r="AM341" s="131"/>
      <c r="AN341" s="131"/>
      <c r="AO341" s="131"/>
      <c r="AP341" s="88"/>
    </row>
    <row r="342">
      <c r="A342" s="155"/>
      <c r="B342" s="337"/>
      <c r="C342" s="340"/>
      <c r="D342" s="337"/>
      <c r="E342" s="255"/>
      <c r="F342" s="255"/>
      <c r="G342" s="338"/>
      <c r="H342" s="155"/>
      <c r="I342" s="155"/>
      <c r="J342" s="155"/>
      <c r="K342" s="15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58"/>
      <c r="AA342" s="339"/>
      <c r="AB342" s="105"/>
      <c r="AC342" s="105"/>
      <c r="AD342" s="105"/>
      <c r="AE342" s="105"/>
      <c r="AF342" s="158"/>
      <c r="AG342" s="105"/>
      <c r="AH342" s="158"/>
      <c r="AI342" s="88"/>
      <c r="AJ342" s="88"/>
      <c r="AK342" s="131"/>
      <c r="AL342" s="131"/>
      <c r="AM342" s="131"/>
      <c r="AN342" s="131"/>
      <c r="AO342" s="131"/>
      <c r="AP342" s="88"/>
    </row>
    <row r="343">
      <c r="A343" s="155"/>
      <c r="B343" s="337"/>
      <c r="C343" s="340"/>
      <c r="D343" s="337"/>
      <c r="E343" s="255"/>
      <c r="F343" s="255"/>
      <c r="G343" s="338"/>
      <c r="H343" s="155"/>
      <c r="I343" s="155"/>
      <c r="J343" s="155"/>
      <c r="K343" s="15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58"/>
      <c r="AA343" s="339"/>
      <c r="AB343" s="105"/>
      <c r="AC343" s="105"/>
      <c r="AD343" s="105"/>
      <c r="AE343" s="105"/>
      <c r="AF343" s="158"/>
      <c r="AG343" s="105"/>
      <c r="AH343" s="158"/>
      <c r="AI343" s="88"/>
      <c r="AJ343" s="88"/>
      <c r="AK343" s="131"/>
      <c r="AL343" s="131"/>
      <c r="AM343" s="131"/>
      <c r="AN343" s="131"/>
      <c r="AO343" s="131"/>
      <c r="AP343" s="88"/>
    </row>
    <row r="344">
      <c r="A344" s="155"/>
      <c r="B344" s="337"/>
      <c r="C344" s="340"/>
      <c r="D344" s="337"/>
      <c r="E344" s="255"/>
      <c r="F344" s="255"/>
      <c r="G344" s="338"/>
      <c r="H344" s="155"/>
      <c r="I344" s="155"/>
      <c r="J344" s="155"/>
      <c r="K344" s="15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58"/>
      <c r="AA344" s="339"/>
      <c r="AB344" s="105"/>
      <c r="AC344" s="105"/>
      <c r="AD344" s="105"/>
      <c r="AE344" s="105"/>
      <c r="AF344" s="158"/>
      <c r="AG344" s="105"/>
      <c r="AH344" s="158"/>
      <c r="AI344" s="88"/>
      <c r="AJ344" s="88"/>
      <c r="AK344" s="131"/>
      <c r="AL344" s="131"/>
      <c r="AM344" s="131"/>
      <c r="AN344" s="131"/>
      <c r="AO344" s="131"/>
      <c r="AP344" s="88"/>
    </row>
    <row r="345">
      <c r="A345" s="155"/>
      <c r="B345" s="337"/>
      <c r="C345" s="340"/>
      <c r="D345" s="337"/>
      <c r="E345" s="255"/>
      <c r="F345" s="255"/>
      <c r="G345" s="338"/>
      <c r="H345" s="155"/>
      <c r="I345" s="155"/>
      <c r="J345" s="155"/>
      <c r="K345" s="15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58"/>
      <c r="AA345" s="339"/>
      <c r="AB345" s="105"/>
      <c r="AC345" s="105"/>
      <c r="AD345" s="105"/>
      <c r="AE345" s="105"/>
      <c r="AF345" s="158"/>
      <c r="AG345" s="105"/>
      <c r="AH345" s="158"/>
      <c r="AI345" s="88"/>
      <c r="AJ345" s="88"/>
      <c r="AK345" s="131"/>
      <c r="AL345" s="131"/>
      <c r="AM345" s="131"/>
      <c r="AN345" s="131"/>
      <c r="AO345" s="131"/>
      <c r="AP345" s="88"/>
    </row>
    <row r="346">
      <c r="A346" s="155"/>
      <c r="B346" s="337"/>
      <c r="C346" s="340"/>
      <c r="D346" s="337"/>
      <c r="E346" s="255"/>
      <c r="F346" s="255"/>
      <c r="G346" s="338"/>
      <c r="H346" s="155"/>
      <c r="I346" s="155"/>
      <c r="J346" s="155"/>
      <c r="K346" s="15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58"/>
      <c r="AA346" s="339"/>
      <c r="AB346" s="105"/>
      <c r="AC346" s="105"/>
      <c r="AD346" s="105"/>
      <c r="AE346" s="105"/>
      <c r="AF346" s="158"/>
      <c r="AG346" s="105"/>
      <c r="AH346" s="158"/>
      <c r="AI346" s="88"/>
      <c r="AJ346" s="88"/>
      <c r="AK346" s="131"/>
      <c r="AL346" s="131"/>
      <c r="AM346" s="131"/>
      <c r="AN346" s="131"/>
      <c r="AO346" s="131"/>
      <c r="AP346" s="88"/>
    </row>
    <row r="347">
      <c r="A347" s="155"/>
      <c r="B347" s="337"/>
      <c r="C347" s="340"/>
      <c r="D347" s="337"/>
      <c r="E347" s="255"/>
      <c r="F347" s="255"/>
      <c r="G347" s="338"/>
      <c r="H347" s="155"/>
      <c r="I347" s="155"/>
      <c r="J347" s="155"/>
      <c r="K347" s="15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58"/>
      <c r="AA347" s="339"/>
      <c r="AB347" s="105"/>
      <c r="AC347" s="105"/>
      <c r="AD347" s="105"/>
      <c r="AE347" s="105"/>
      <c r="AF347" s="158"/>
      <c r="AG347" s="105"/>
      <c r="AH347" s="158"/>
      <c r="AI347" s="88"/>
      <c r="AJ347" s="88"/>
      <c r="AK347" s="131"/>
      <c r="AL347" s="131"/>
      <c r="AM347" s="131"/>
      <c r="AN347" s="131"/>
      <c r="AO347" s="131"/>
      <c r="AP347" s="88"/>
    </row>
    <row r="348">
      <c r="A348" s="155"/>
      <c r="B348" s="337"/>
      <c r="C348" s="340"/>
      <c r="D348" s="337"/>
      <c r="E348" s="255"/>
      <c r="F348" s="255"/>
      <c r="G348" s="338"/>
      <c r="H348" s="155"/>
      <c r="I348" s="155"/>
      <c r="J348" s="155"/>
      <c r="K348" s="15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58"/>
      <c r="AA348" s="339"/>
      <c r="AB348" s="105"/>
      <c r="AC348" s="105"/>
      <c r="AD348" s="105"/>
      <c r="AE348" s="105"/>
      <c r="AF348" s="158"/>
      <c r="AG348" s="105"/>
      <c r="AH348" s="158"/>
      <c r="AI348" s="88"/>
      <c r="AJ348" s="88"/>
      <c r="AK348" s="131"/>
      <c r="AL348" s="131"/>
      <c r="AM348" s="131"/>
      <c r="AN348" s="131"/>
      <c r="AO348" s="131"/>
      <c r="AP348" s="88"/>
    </row>
    <row r="349">
      <c r="A349" s="155"/>
      <c r="B349" s="337"/>
      <c r="C349" s="340"/>
      <c r="D349" s="337"/>
      <c r="E349" s="255"/>
      <c r="F349" s="255"/>
      <c r="G349" s="338"/>
      <c r="H349" s="155"/>
      <c r="I349" s="155"/>
      <c r="J349" s="155"/>
      <c r="K349" s="15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58"/>
      <c r="AA349" s="339"/>
      <c r="AB349" s="105"/>
      <c r="AC349" s="105"/>
      <c r="AD349" s="105"/>
      <c r="AE349" s="105"/>
      <c r="AF349" s="158"/>
      <c r="AG349" s="105"/>
      <c r="AH349" s="158"/>
      <c r="AI349" s="88"/>
      <c r="AJ349" s="88"/>
      <c r="AK349" s="131"/>
      <c r="AL349" s="131"/>
      <c r="AM349" s="131"/>
      <c r="AN349" s="131"/>
      <c r="AO349" s="131"/>
      <c r="AP349" s="88"/>
    </row>
    <row r="350">
      <c r="A350" s="155"/>
      <c r="B350" s="337"/>
      <c r="C350" s="340"/>
      <c r="D350" s="337"/>
      <c r="E350" s="255"/>
      <c r="F350" s="255"/>
      <c r="G350" s="338"/>
      <c r="H350" s="155"/>
      <c r="I350" s="155"/>
      <c r="J350" s="155"/>
      <c r="K350" s="15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58"/>
      <c r="AA350" s="339"/>
      <c r="AB350" s="105"/>
      <c r="AC350" s="105"/>
      <c r="AD350" s="105"/>
      <c r="AE350" s="105"/>
      <c r="AF350" s="158"/>
      <c r="AG350" s="105"/>
      <c r="AH350" s="158"/>
      <c r="AI350" s="88"/>
      <c r="AJ350" s="88"/>
      <c r="AK350" s="131"/>
      <c r="AL350" s="131"/>
      <c r="AM350" s="131"/>
      <c r="AN350" s="131"/>
      <c r="AO350" s="131"/>
      <c r="AP350" s="88"/>
    </row>
    <row r="351">
      <c r="A351" s="155"/>
      <c r="B351" s="337"/>
      <c r="C351" s="340"/>
      <c r="D351" s="337"/>
      <c r="E351" s="255"/>
      <c r="F351" s="255"/>
      <c r="G351" s="338"/>
      <c r="H351" s="155"/>
      <c r="I351" s="155"/>
      <c r="J351" s="155"/>
      <c r="K351" s="15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58"/>
      <c r="AA351" s="339"/>
      <c r="AB351" s="105"/>
      <c r="AC351" s="105"/>
      <c r="AD351" s="105"/>
      <c r="AE351" s="105"/>
      <c r="AF351" s="158"/>
      <c r="AG351" s="105"/>
      <c r="AH351" s="158"/>
      <c r="AI351" s="88"/>
      <c r="AJ351" s="88"/>
      <c r="AK351" s="131"/>
      <c r="AL351" s="131"/>
      <c r="AM351" s="131"/>
      <c r="AN351" s="131"/>
      <c r="AO351" s="131"/>
      <c r="AP351" s="88"/>
    </row>
    <row r="352">
      <c r="A352" s="155"/>
      <c r="B352" s="337"/>
      <c r="C352" s="340"/>
      <c r="D352" s="337"/>
      <c r="E352" s="255"/>
      <c r="F352" s="255"/>
      <c r="G352" s="338"/>
      <c r="H352" s="155"/>
      <c r="I352" s="155"/>
      <c r="J352" s="155"/>
      <c r="K352" s="15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58"/>
      <c r="AA352" s="339"/>
      <c r="AB352" s="105"/>
      <c r="AC352" s="105"/>
      <c r="AD352" s="105"/>
      <c r="AE352" s="105"/>
      <c r="AF352" s="158"/>
      <c r="AG352" s="105"/>
      <c r="AH352" s="158"/>
      <c r="AI352" s="88"/>
      <c r="AJ352" s="88"/>
      <c r="AK352" s="131"/>
      <c r="AL352" s="131"/>
      <c r="AM352" s="131"/>
      <c r="AN352" s="131"/>
      <c r="AO352" s="131"/>
      <c r="AP352" s="88"/>
    </row>
    <row r="353">
      <c r="A353" s="155"/>
      <c r="B353" s="337"/>
      <c r="C353" s="340"/>
      <c r="D353" s="337"/>
      <c r="E353" s="255"/>
      <c r="F353" s="255"/>
      <c r="G353" s="338"/>
      <c r="H353" s="155"/>
      <c r="I353" s="155"/>
      <c r="J353" s="155"/>
      <c r="K353" s="15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58"/>
      <c r="AA353" s="339"/>
      <c r="AB353" s="105"/>
      <c r="AC353" s="105"/>
      <c r="AD353" s="105"/>
      <c r="AE353" s="105"/>
      <c r="AF353" s="158"/>
      <c r="AG353" s="105"/>
      <c r="AH353" s="158"/>
      <c r="AI353" s="88"/>
      <c r="AJ353" s="88"/>
      <c r="AK353" s="131"/>
      <c r="AL353" s="131"/>
      <c r="AM353" s="131"/>
      <c r="AN353" s="131"/>
      <c r="AO353" s="131"/>
      <c r="AP353" s="88"/>
    </row>
    <row r="354">
      <c r="A354" s="155"/>
      <c r="B354" s="337"/>
      <c r="C354" s="340"/>
      <c r="D354" s="337"/>
      <c r="E354" s="255"/>
      <c r="F354" s="255"/>
      <c r="G354" s="338"/>
      <c r="H354" s="155"/>
      <c r="I354" s="155"/>
      <c r="J354" s="155"/>
      <c r="K354" s="15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58"/>
      <c r="AA354" s="339"/>
      <c r="AB354" s="105"/>
      <c r="AC354" s="105"/>
      <c r="AD354" s="105"/>
      <c r="AE354" s="105"/>
      <c r="AF354" s="158"/>
      <c r="AG354" s="105"/>
      <c r="AH354" s="158"/>
      <c r="AI354" s="88"/>
      <c r="AJ354" s="88"/>
      <c r="AK354" s="131"/>
      <c r="AL354" s="131"/>
      <c r="AM354" s="131"/>
      <c r="AN354" s="131"/>
      <c r="AO354" s="131"/>
      <c r="AP354" s="88"/>
    </row>
    <row r="355">
      <c r="A355" s="155"/>
      <c r="B355" s="337"/>
      <c r="C355" s="340"/>
      <c r="D355" s="337"/>
      <c r="E355" s="255"/>
      <c r="F355" s="255"/>
      <c r="G355" s="338"/>
      <c r="H355" s="155"/>
      <c r="I355" s="155"/>
      <c r="J355" s="155"/>
      <c r="K355" s="15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58"/>
      <c r="AA355" s="339"/>
      <c r="AB355" s="105"/>
      <c r="AC355" s="105"/>
      <c r="AD355" s="105"/>
      <c r="AE355" s="105"/>
      <c r="AF355" s="158"/>
      <c r="AG355" s="105"/>
      <c r="AH355" s="158"/>
      <c r="AI355" s="88"/>
      <c r="AJ355" s="88"/>
      <c r="AK355" s="131"/>
      <c r="AL355" s="131"/>
      <c r="AM355" s="131"/>
      <c r="AN355" s="131"/>
      <c r="AO355" s="131"/>
      <c r="AP355" s="88"/>
    </row>
    <row r="356">
      <c r="A356" s="155"/>
      <c r="B356" s="337"/>
      <c r="C356" s="340"/>
      <c r="D356" s="337"/>
      <c r="E356" s="255"/>
      <c r="F356" s="255"/>
      <c r="G356" s="338"/>
      <c r="H356" s="155"/>
      <c r="I356" s="155"/>
      <c r="J356" s="155"/>
      <c r="K356" s="15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58"/>
      <c r="AA356" s="339"/>
      <c r="AB356" s="105"/>
      <c r="AC356" s="105"/>
      <c r="AD356" s="105"/>
      <c r="AE356" s="105"/>
      <c r="AF356" s="158"/>
      <c r="AG356" s="105"/>
      <c r="AH356" s="158"/>
      <c r="AI356" s="88"/>
      <c r="AJ356" s="88"/>
      <c r="AK356" s="131"/>
      <c r="AL356" s="131"/>
      <c r="AM356" s="131"/>
      <c r="AN356" s="131"/>
      <c r="AO356" s="131"/>
      <c r="AP356" s="88"/>
    </row>
    <row r="357">
      <c r="A357" s="155"/>
      <c r="B357" s="337"/>
      <c r="C357" s="340"/>
      <c r="D357" s="337"/>
      <c r="E357" s="255"/>
      <c r="F357" s="255"/>
      <c r="G357" s="338"/>
      <c r="H357" s="155"/>
      <c r="I357" s="155"/>
      <c r="J357" s="155"/>
      <c r="K357" s="15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58"/>
      <c r="AA357" s="339"/>
      <c r="AB357" s="105"/>
      <c r="AC357" s="105"/>
      <c r="AD357" s="105"/>
      <c r="AE357" s="105"/>
      <c r="AF357" s="158"/>
      <c r="AG357" s="105"/>
      <c r="AH357" s="158"/>
      <c r="AI357" s="88"/>
      <c r="AJ357" s="88"/>
      <c r="AK357" s="131"/>
      <c r="AL357" s="131"/>
      <c r="AM357" s="131"/>
      <c r="AN357" s="131"/>
      <c r="AO357" s="131"/>
      <c r="AP357" s="88"/>
    </row>
    <row r="358">
      <c r="A358" s="155"/>
      <c r="B358" s="337"/>
      <c r="C358" s="340"/>
      <c r="D358" s="337"/>
      <c r="E358" s="255"/>
      <c r="F358" s="255"/>
      <c r="G358" s="338"/>
      <c r="H358" s="155"/>
      <c r="I358" s="155"/>
      <c r="J358" s="155"/>
      <c r="K358" s="15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58"/>
      <c r="AA358" s="339"/>
      <c r="AB358" s="105"/>
      <c r="AC358" s="105"/>
      <c r="AD358" s="105"/>
      <c r="AE358" s="105"/>
      <c r="AF358" s="158"/>
      <c r="AG358" s="105"/>
      <c r="AH358" s="158"/>
      <c r="AI358" s="88"/>
      <c r="AJ358" s="88"/>
      <c r="AK358" s="131"/>
      <c r="AL358" s="131"/>
      <c r="AM358" s="131"/>
      <c r="AN358" s="131"/>
      <c r="AO358" s="131"/>
      <c r="AP358" s="88"/>
    </row>
    <row r="359">
      <c r="A359" s="155"/>
      <c r="B359" s="337"/>
      <c r="C359" s="340"/>
      <c r="D359" s="337"/>
      <c r="E359" s="255"/>
      <c r="F359" s="255"/>
      <c r="G359" s="338"/>
      <c r="H359" s="155"/>
      <c r="I359" s="155"/>
      <c r="J359" s="155"/>
      <c r="K359" s="15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58"/>
      <c r="AA359" s="339"/>
      <c r="AB359" s="105"/>
      <c r="AC359" s="105"/>
      <c r="AD359" s="105"/>
      <c r="AE359" s="105"/>
      <c r="AF359" s="158"/>
      <c r="AG359" s="105"/>
      <c r="AH359" s="158"/>
      <c r="AI359" s="88"/>
      <c r="AJ359" s="88"/>
      <c r="AK359" s="131"/>
      <c r="AL359" s="131"/>
      <c r="AM359" s="131"/>
      <c r="AN359" s="131"/>
      <c r="AO359" s="131"/>
      <c r="AP359" s="88"/>
    </row>
    <row r="360">
      <c r="A360" s="155"/>
      <c r="B360" s="337"/>
      <c r="C360" s="340"/>
      <c r="D360" s="337"/>
      <c r="E360" s="255"/>
      <c r="F360" s="255"/>
      <c r="G360" s="338"/>
      <c r="H360" s="155"/>
      <c r="I360" s="155"/>
      <c r="J360" s="155"/>
      <c r="K360" s="15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58"/>
      <c r="AA360" s="339"/>
      <c r="AB360" s="105"/>
      <c r="AC360" s="105"/>
      <c r="AD360" s="105"/>
      <c r="AE360" s="105"/>
      <c r="AF360" s="158"/>
      <c r="AG360" s="105"/>
      <c r="AH360" s="158"/>
      <c r="AI360" s="88"/>
      <c r="AJ360" s="88"/>
      <c r="AK360" s="131"/>
      <c r="AL360" s="131"/>
      <c r="AM360" s="131"/>
      <c r="AN360" s="131"/>
      <c r="AO360" s="131"/>
      <c r="AP360" s="88"/>
    </row>
    <row r="361">
      <c r="A361" s="155"/>
      <c r="B361" s="337"/>
      <c r="C361" s="340"/>
      <c r="D361" s="337"/>
      <c r="E361" s="255"/>
      <c r="F361" s="255"/>
      <c r="G361" s="338"/>
      <c r="H361" s="155"/>
      <c r="I361" s="155"/>
      <c r="J361" s="155"/>
      <c r="K361" s="15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58"/>
      <c r="AA361" s="339"/>
      <c r="AB361" s="105"/>
      <c r="AC361" s="105"/>
      <c r="AD361" s="105"/>
      <c r="AE361" s="105"/>
      <c r="AF361" s="158"/>
      <c r="AG361" s="105"/>
      <c r="AH361" s="158"/>
      <c r="AI361" s="88"/>
      <c r="AJ361" s="88"/>
      <c r="AK361" s="131"/>
      <c r="AL361" s="131"/>
      <c r="AM361" s="131"/>
      <c r="AN361" s="131"/>
      <c r="AO361" s="131"/>
      <c r="AP361" s="88"/>
    </row>
    <row r="362">
      <c r="A362" s="155"/>
      <c r="B362" s="337"/>
      <c r="C362" s="340"/>
      <c r="D362" s="337"/>
      <c r="E362" s="255"/>
      <c r="F362" s="255"/>
      <c r="G362" s="338"/>
      <c r="H362" s="155"/>
      <c r="I362" s="155"/>
      <c r="J362" s="155"/>
      <c r="K362" s="15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58"/>
      <c r="AA362" s="339"/>
      <c r="AB362" s="105"/>
      <c r="AC362" s="105"/>
      <c r="AD362" s="105"/>
      <c r="AE362" s="105"/>
      <c r="AF362" s="158"/>
      <c r="AG362" s="105"/>
      <c r="AH362" s="158"/>
      <c r="AI362" s="88"/>
      <c r="AJ362" s="88"/>
      <c r="AK362" s="131"/>
      <c r="AL362" s="131"/>
      <c r="AM362" s="131"/>
      <c r="AN362" s="131"/>
      <c r="AO362" s="131"/>
      <c r="AP362" s="88"/>
    </row>
    <row r="363">
      <c r="A363" s="155"/>
      <c r="B363" s="337"/>
      <c r="C363" s="340"/>
      <c r="D363" s="337"/>
      <c r="E363" s="255"/>
      <c r="F363" s="255"/>
      <c r="G363" s="338"/>
      <c r="H363" s="155"/>
      <c r="I363" s="155"/>
      <c r="J363" s="155"/>
      <c r="K363" s="15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58"/>
      <c r="AA363" s="339"/>
      <c r="AB363" s="105"/>
      <c r="AC363" s="105"/>
      <c r="AD363" s="105"/>
      <c r="AE363" s="105"/>
      <c r="AF363" s="158"/>
      <c r="AG363" s="105"/>
      <c r="AH363" s="158"/>
      <c r="AI363" s="88"/>
      <c r="AJ363" s="88"/>
      <c r="AK363" s="131"/>
      <c r="AL363" s="131"/>
      <c r="AM363" s="131"/>
      <c r="AN363" s="131"/>
      <c r="AO363" s="131"/>
      <c r="AP363" s="88"/>
    </row>
    <row r="364">
      <c r="A364" s="155"/>
      <c r="B364" s="337"/>
      <c r="C364" s="340"/>
      <c r="D364" s="337"/>
      <c r="E364" s="255"/>
      <c r="F364" s="255"/>
      <c r="G364" s="338"/>
      <c r="H364" s="155"/>
      <c r="I364" s="155"/>
      <c r="J364" s="155"/>
      <c r="K364" s="15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58"/>
      <c r="AA364" s="339"/>
      <c r="AB364" s="105"/>
      <c r="AC364" s="105"/>
      <c r="AD364" s="105"/>
      <c r="AE364" s="105"/>
      <c r="AF364" s="158"/>
      <c r="AG364" s="105"/>
      <c r="AH364" s="158"/>
      <c r="AI364" s="88"/>
      <c r="AJ364" s="88"/>
      <c r="AK364" s="131"/>
      <c r="AL364" s="131"/>
      <c r="AM364" s="131"/>
      <c r="AN364" s="131"/>
      <c r="AO364" s="131"/>
      <c r="AP364" s="88"/>
    </row>
    <row r="365">
      <c r="A365" s="155"/>
      <c r="B365" s="337"/>
      <c r="C365" s="340"/>
      <c r="D365" s="337"/>
      <c r="E365" s="255"/>
      <c r="F365" s="255"/>
      <c r="G365" s="338"/>
      <c r="H365" s="155"/>
      <c r="I365" s="155"/>
      <c r="J365" s="155"/>
      <c r="K365" s="15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58"/>
      <c r="AA365" s="339"/>
      <c r="AB365" s="105"/>
      <c r="AC365" s="105"/>
      <c r="AD365" s="105"/>
      <c r="AE365" s="105"/>
      <c r="AF365" s="158"/>
      <c r="AG365" s="105"/>
      <c r="AH365" s="158"/>
      <c r="AI365" s="88"/>
      <c r="AJ365" s="88"/>
      <c r="AK365" s="131"/>
      <c r="AL365" s="131"/>
      <c r="AM365" s="131"/>
      <c r="AN365" s="131"/>
      <c r="AO365" s="131"/>
      <c r="AP365" s="88"/>
    </row>
    <row r="366">
      <c r="A366" s="155"/>
      <c r="B366" s="337"/>
      <c r="C366" s="340"/>
      <c r="D366" s="337"/>
      <c r="E366" s="255"/>
      <c r="F366" s="255"/>
      <c r="G366" s="338"/>
      <c r="H366" s="155"/>
      <c r="I366" s="155"/>
      <c r="J366" s="155"/>
      <c r="K366" s="15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58"/>
      <c r="AA366" s="339"/>
      <c r="AB366" s="105"/>
      <c r="AC366" s="105"/>
      <c r="AD366" s="105"/>
      <c r="AE366" s="105"/>
      <c r="AF366" s="158"/>
      <c r="AG366" s="105"/>
      <c r="AH366" s="158"/>
      <c r="AI366" s="88"/>
      <c r="AJ366" s="88"/>
      <c r="AK366" s="131"/>
      <c r="AL366" s="131"/>
      <c r="AM366" s="131"/>
      <c r="AN366" s="131"/>
      <c r="AO366" s="131"/>
      <c r="AP366" s="88"/>
    </row>
    <row r="367">
      <c r="A367" s="155"/>
      <c r="B367" s="337"/>
      <c r="C367" s="340"/>
      <c r="D367" s="337"/>
      <c r="E367" s="255"/>
      <c r="F367" s="255"/>
      <c r="G367" s="338"/>
      <c r="H367" s="155"/>
      <c r="I367" s="155"/>
      <c r="J367" s="155"/>
      <c r="K367" s="15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58"/>
      <c r="AA367" s="339"/>
      <c r="AB367" s="105"/>
      <c r="AC367" s="105"/>
      <c r="AD367" s="105"/>
      <c r="AE367" s="105"/>
      <c r="AF367" s="158"/>
      <c r="AG367" s="105"/>
      <c r="AH367" s="158"/>
      <c r="AI367" s="88"/>
      <c r="AJ367" s="88"/>
      <c r="AK367" s="131"/>
      <c r="AL367" s="131"/>
      <c r="AM367" s="131"/>
      <c r="AN367" s="131"/>
      <c r="AO367" s="131"/>
      <c r="AP367" s="88"/>
    </row>
    <row r="368">
      <c r="A368" s="155"/>
      <c r="B368" s="337"/>
      <c r="C368" s="340"/>
      <c r="D368" s="337"/>
      <c r="E368" s="255"/>
      <c r="F368" s="255"/>
      <c r="G368" s="338"/>
      <c r="H368" s="155"/>
      <c r="I368" s="155"/>
      <c r="J368" s="155"/>
      <c r="K368" s="15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58"/>
      <c r="AA368" s="339"/>
      <c r="AB368" s="105"/>
      <c r="AC368" s="105"/>
      <c r="AD368" s="105"/>
      <c r="AE368" s="105"/>
      <c r="AF368" s="158"/>
      <c r="AG368" s="105"/>
      <c r="AH368" s="158"/>
      <c r="AI368" s="88"/>
      <c r="AJ368" s="88"/>
      <c r="AK368" s="131"/>
      <c r="AL368" s="131"/>
      <c r="AM368" s="131"/>
      <c r="AN368" s="131"/>
      <c r="AO368" s="131"/>
      <c r="AP368" s="88"/>
    </row>
    <row r="369">
      <c r="A369" s="155"/>
      <c r="B369" s="337"/>
      <c r="C369" s="340"/>
      <c r="D369" s="337"/>
      <c r="E369" s="255"/>
      <c r="F369" s="255"/>
      <c r="G369" s="338"/>
      <c r="H369" s="155"/>
      <c r="I369" s="155"/>
      <c r="J369" s="155"/>
      <c r="K369" s="15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58"/>
      <c r="AA369" s="339"/>
      <c r="AB369" s="105"/>
      <c r="AC369" s="105"/>
      <c r="AD369" s="105"/>
      <c r="AE369" s="105"/>
      <c r="AF369" s="158"/>
      <c r="AG369" s="105"/>
      <c r="AH369" s="158"/>
      <c r="AI369" s="88"/>
      <c r="AJ369" s="88"/>
      <c r="AK369" s="131"/>
      <c r="AL369" s="131"/>
      <c r="AM369" s="131"/>
      <c r="AN369" s="131"/>
      <c r="AO369" s="131"/>
      <c r="AP369" s="88"/>
    </row>
    <row r="370">
      <c r="A370" s="155"/>
      <c r="B370" s="337"/>
      <c r="C370" s="340"/>
      <c r="D370" s="337"/>
      <c r="E370" s="255"/>
      <c r="F370" s="255"/>
      <c r="G370" s="338"/>
      <c r="H370" s="155"/>
      <c r="I370" s="155"/>
      <c r="J370" s="155"/>
      <c r="K370" s="15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58"/>
      <c r="AA370" s="339"/>
      <c r="AB370" s="105"/>
      <c r="AC370" s="105"/>
      <c r="AD370" s="105"/>
      <c r="AE370" s="105"/>
      <c r="AF370" s="158"/>
      <c r="AG370" s="105"/>
      <c r="AH370" s="158"/>
      <c r="AI370" s="88"/>
      <c r="AJ370" s="88"/>
      <c r="AK370" s="131"/>
      <c r="AL370" s="131"/>
      <c r="AM370" s="131"/>
      <c r="AN370" s="131"/>
      <c r="AO370" s="131"/>
      <c r="AP370" s="88"/>
    </row>
    <row r="371">
      <c r="A371" s="155"/>
      <c r="B371" s="337"/>
      <c r="C371" s="340"/>
      <c r="D371" s="337"/>
      <c r="E371" s="255"/>
      <c r="F371" s="255"/>
      <c r="G371" s="338"/>
      <c r="H371" s="155"/>
      <c r="I371" s="155"/>
      <c r="J371" s="155"/>
      <c r="K371" s="15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58"/>
      <c r="AA371" s="339"/>
      <c r="AB371" s="105"/>
      <c r="AC371" s="105"/>
      <c r="AD371" s="105"/>
      <c r="AE371" s="105"/>
      <c r="AF371" s="158"/>
      <c r="AG371" s="105"/>
      <c r="AH371" s="158"/>
      <c r="AI371" s="88"/>
      <c r="AJ371" s="88"/>
      <c r="AK371" s="131"/>
      <c r="AL371" s="131"/>
      <c r="AM371" s="131"/>
      <c r="AN371" s="131"/>
      <c r="AO371" s="131"/>
      <c r="AP371" s="88"/>
    </row>
    <row r="372">
      <c r="A372" s="155"/>
      <c r="B372" s="337"/>
      <c r="C372" s="340"/>
      <c r="D372" s="337"/>
      <c r="E372" s="255"/>
      <c r="F372" s="255"/>
      <c r="G372" s="338"/>
      <c r="H372" s="155"/>
      <c r="I372" s="155"/>
      <c r="J372" s="155"/>
      <c r="K372" s="15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58"/>
      <c r="AA372" s="339"/>
      <c r="AB372" s="105"/>
      <c r="AC372" s="105"/>
      <c r="AD372" s="105"/>
      <c r="AE372" s="105"/>
      <c r="AF372" s="158"/>
      <c r="AG372" s="105"/>
      <c r="AH372" s="158"/>
      <c r="AI372" s="88"/>
      <c r="AJ372" s="88"/>
      <c r="AK372" s="131"/>
      <c r="AL372" s="131"/>
      <c r="AM372" s="131"/>
      <c r="AN372" s="131"/>
      <c r="AO372" s="131"/>
      <c r="AP372" s="88"/>
    </row>
    <row r="373">
      <c r="A373" s="155"/>
      <c r="B373" s="337"/>
      <c r="C373" s="340"/>
      <c r="D373" s="337"/>
      <c r="E373" s="255"/>
      <c r="F373" s="255"/>
      <c r="G373" s="338"/>
      <c r="H373" s="155"/>
      <c r="I373" s="155"/>
      <c r="J373" s="155"/>
      <c r="K373" s="15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58"/>
      <c r="AA373" s="339"/>
      <c r="AB373" s="105"/>
      <c r="AC373" s="105"/>
      <c r="AD373" s="105"/>
      <c r="AE373" s="105"/>
      <c r="AF373" s="158"/>
      <c r="AG373" s="105"/>
      <c r="AH373" s="158"/>
      <c r="AI373" s="88"/>
      <c r="AJ373" s="88"/>
      <c r="AK373" s="131"/>
      <c r="AL373" s="131"/>
      <c r="AM373" s="131"/>
      <c r="AN373" s="131"/>
      <c r="AO373" s="131"/>
      <c r="AP373" s="88"/>
    </row>
    <row r="374">
      <c r="A374" s="155"/>
      <c r="B374" s="337"/>
      <c r="C374" s="340"/>
      <c r="D374" s="337"/>
      <c r="E374" s="255"/>
      <c r="F374" s="255"/>
      <c r="G374" s="338"/>
      <c r="H374" s="155"/>
      <c r="I374" s="155"/>
      <c r="J374" s="155"/>
      <c r="K374" s="15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58"/>
      <c r="AA374" s="339"/>
      <c r="AB374" s="105"/>
      <c r="AC374" s="105"/>
      <c r="AD374" s="105"/>
      <c r="AE374" s="105"/>
      <c r="AF374" s="158"/>
      <c r="AG374" s="105"/>
      <c r="AH374" s="158"/>
      <c r="AI374" s="88"/>
      <c r="AJ374" s="88"/>
      <c r="AK374" s="131"/>
      <c r="AL374" s="131"/>
      <c r="AM374" s="131"/>
      <c r="AN374" s="131"/>
      <c r="AO374" s="131"/>
      <c r="AP374" s="88"/>
    </row>
    <row r="375">
      <c r="A375" s="155"/>
      <c r="B375" s="337"/>
      <c r="C375" s="340"/>
      <c r="D375" s="337"/>
      <c r="E375" s="255"/>
      <c r="F375" s="255"/>
      <c r="G375" s="338"/>
      <c r="H375" s="155"/>
      <c r="I375" s="155"/>
      <c r="J375" s="155"/>
      <c r="K375" s="15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58"/>
      <c r="AA375" s="339"/>
      <c r="AB375" s="105"/>
      <c r="AC375" s="105"/>
      <c r="AD375" s="105"/>
      <c r="AE375" s="105"/>
      <c r="AF375" s="158"/>
      <c r="AG375" s="105"/>
      <c r="AH375" s="158"/>
      <c r="AI375" s="88"/>
      <c r="AJ375" s="88"/>
      <c r="AK375" s="131"/>
      <c r="AL375" s="131"/>
      <c r="AM375" s="131"/>
      <c r="AN375" s="131"/>
      <c r="AO375" s="131"/>
      <c r="AP375" s="88"/>
    </row>
    <row r="376">
      <c r="A376" s="155"/>
      <c r="B376" s="337"/>
      <c r="C376" s="340"/>
      <c r="D376" s="337"/>
      <c r="E376" s="255"/>
      <c r="F376" s="255"/>
      <c r="G376" s="338"/>
      <c r="H376" s="155"/>
      <c r="I376" s="155"/>
      <c r="J376" s="155"/>
      <c r="K376" s="15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58"/>
      <c r="AA376" s="339"/>
      <c r="AB376" s="105"/>
      <c r="AC376" s="105"/>
      <c r="AD376" s="105"/>
      <c r="AE376" s="105"/>
      <c r="AF376" s="158"/>
      <c r="AG376" s="105"/>
      <c r="AH376" s="158"/>
      <c r="AI376" s="88"/>
      <c r="AJ376" s="88"/>
      <c r="AK376" s="131"/>
      <c r="AL376" s="131"/>
      <c r="AM376" s="131"/>
      <c r="AN376" s="131"/>
      <c r="AO376" s="131"/>
      <c r="AP376" s="88"/>
    </row>
    <row r="377">
      <c r="A377" s="155"/>
      <c r="B377" s="337"/>
      <c r="C377" s="340"/>
      <c r="D377" s="337"/>
      <c r="E377" s="255"/>
      <c r="F377" s="255"/>
      <c r="G377" s="338"/>
      <c r="H377" s="155"/>
      <c r="I377" s="155"/>
      <c r="J377" s="155"/>
      <c r="K377" s="15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58"/>
      <c r="AA377" s="339"/>
      <c r="AB377" s="105"/>
      <c r="AC377" s="105"/>
      <c r="AD377" s="105"/>
      <c r="AE377" s="105"/>
      <c r="AF377" s="158"/>
      <c r="AG377" s="105"/>
      <c r="AH377" s="158"/>
      <c r="AI377" s="88"/>
      <c r="AJ377" s="88"/>
      <c r="AK377" s="131"/>
      <c r="AL377" s="131"/>
      <c r="AM377" s="131"/>
      <c r="AN377" s="131"/>
      <c r="AO377" s="131"/>
      <c r="AP377" s="88"/>
    </row>
    <row r="378">
      <c r="A378" s="155"/>
      <c r="B378" s="337"/>
      <c r="C378" s="340"/>
      <c r="D378" s="337"/>
      <c r="E378" s="255"/>
      <c r="F378" s="255"/>
      <c r="G378" s="338"/>
      <c r="H378" s="155"/>
      <c r="I378" s="155"/>
      <c r="J378" s="155"/>
      <c r="K378" s="15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58"/>
      <c r="AA378" s="339"/>
      <c r="AB378" s="105"/>
      <c r="AC378" s="105"/>
      <c r="AD378" s="105"/>
      <c r="AE378" s="105"/>
      <c r="AF378" s="158"/>
      <c r="AG378" s="105"/>
      <c r="AH378" s="158"/>
      <c r="AI378" s="88"/>
      <c r="AJ378" s="88"/>
      <c r="AK378" s="131"/>
      <c r="AL378" s="131"/>
      <c r="AM378" s="131"/>
      <c r="AN378" s="131"/>
      <c r="AO378" s="131"/>
      <c r="AP378" s="88"/>
    </row>
    <row r="379">
      <c r="A379" s="155"/>
      <c r="B379" s="337"/>
      <c r="C379" s="340"/>
      <c r="D379" s="337"/>
      <c r="E379" s="255"/>
      <c r="F379" s="255"/>
      <c r="G379" s="338"/>
      <c r="H379" s="155"/>
      <c r="I379" s="155"/>
      <c r="J379" s="155"/>
      <c r="K379" s="15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58"/>
      <c r="AA379" s="339"/>
      <c r="AB379" s="105"/>
      <c r="AC379" s="105"/>
      <c r="AD379" s="105"/>
      <c r="AE379" s="105"/>
      <c r="AF379" s="158"/>
      <c r="AG379" s="105"/>
      <c r="AH379" s="158"/>
      <c r="AI379" s="88"/>
      <c r="AJ379" s="88"/>
      <c r="AK379" s="131"/>
      <c r="AL379" s="131"/>
      <c r="AM379" s="131"/>
      <c r="AN379" s="131"/>
      <c r="AO379" s="131"/>
      <c r="AP379" s="88"/>
    </row>
    <row r="380">
      <c r="A380" s="155"/>
      <c r="B380" s="337"/>
      <c r="C380" s="340"/>
      <c r="D380" s="337"/>
      <c r="E380" s="255"/>
      <c r="F380" s="255"/>
      <c r="G380" s="338"/>
      <c r="H380" s="155"/>
      <c r="I380" s="155"/>
      <c r="J380" s="155"/>
      <c r="K380" s="15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58"/>
      <c r="AA380" s="339"/>
      <c r="AB380" s="105"/>
      <c r="AC380" s="105"/>
      <c r="AD380" s="105"/>
      <c r="AE380" s="105"/>
      <c r="AF380" s="158"/>
      <c r="AG380" s="105"/>
      <c r="AH380" s="158"/>
      <c r="AI380" s="88"/>
      <c r="AJ380" s="88"/>
      <c r="AK380" s="131"/>
      <c r="AL380" s="131"/>
      <c r="AM380" s="131"/>
      <c r="AN380" s="131"/>
      <c r="AO380" s="131"/>
      <c r="AP380" s="88"/>
    </row>
    <row r="381">
      <c r="A381" s="155"/>
      <c r="B381" s="337"/>
      <c r="C381" s="340"/>
      <c r="D381" s="337"/>
      <c r="E381" s="255"/>
      <c r="F381" s="255"/>
      <c r="G381" s="338"/>
      <c r="H381" s="155"/>
      <c r="I381" s="155"/>
      <c r="J381" s="155"/>
      <c r="K381" s="15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58"/>
      <c r="AA381" s="339"/>
      <c r="AB381" s="105"/>
      <c r="AC381" s="105"/>
      <c r="AD381" s="105"/>
      <c r="AE381" s="105"/>
      <c r="AF381" s="158"/>
      <c r="AG381" s="105"/>
      <c r="AH381" s="158"/>
      <c r="AI381" s="88"/>
      <c r="AJ381" s="88"/>
      <c r="AK381" s="131"/>
      <c r="AL381" s="131"/>
      <c r="AM381" s="131"/>
      <c r="AN381" s="131"/>
      <c r="AO381" s="131"/>
      <c r="AP381" s="88"/>
    </row>
    <row r="382">
      <c r="A382" s="155"/>
      <c r="B382" s="337"/>
      <c r="C382" s="340"/>
      <c r="D382" s="337"/>
      <c r="E382" s="255"/>
      <c r="F382" s="255"/>
      <c r="G382" s="338"/>
      <c r="H382" s="155"/>
      <c r="I382" s="155"/>
      <c r="J382" s="155"/>
      <c r="K382" s="15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58"/>
      <c r="AA382" s="339"/>
      <c r="AB382" s="105"/>
      <c r="AC382" s="105"/>
      <c r="AD382" s="105"/>
      <c r="AE382" s="105"/>
      <c r="AF382" s="158"/>
      <c r="AG382" s="105"/>
      <c r="AH382" s="158"/>
      <c r="AI382" s="88"/>
      <c r="AJ382" s="88"/>
      <c r="AK382" s="131"/>
      <c r="AL382" s="131"/>
      <c r="AM382" s="131"/>
      <c r="AN382" s="131"/>
      <c r="AO382" s="131"/>
      <c r="AP382" s="88"/>
    </row>
    <row r="383">
      <c r="A383" s="155"/>
      <c r="B383" s="337"/>
      <c r="C383" s="340"/>
      <c r="D383" s="337"/>
      <c r="E383" s="255"/>
      <c r="F383" s="255"/>
      <c r="G383" s="338"/>
      <c r="H383" s="155"/>
      <c r="I383" s="155"/>
      <c r="J383" s="155"/>
      <c r="K383" s="15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58"/>
      <c r="AA383" s="339"/>
      <c r="AB383" s="105"/>
      <c r="AC383" s="105"/>
      <c r="AD383" s="105"/>
      <c r="AE383" s="105"/>
      <c r="AF383" s="158"/>
      <c r="AG383" s="105"/>
      <c r="AH383" s="158"/>
      <c r="AI383" s="88"/>
      <c r="AJ383" s="88"/>
      <c r="AK383" s="131"/>
      <c r="AL383" s="131"/>
      <c r="AM383" s="131"/>
      <c r="AN383" s="131"/>
      <c r="AO383" s="131"/>
      <c r="AP383" s="88"/>
    </row>
    <row r="384">
      <c r="A384" s="155"/>
      <c r="B384" s="337"/>
      <c r="C384" s="340"/>
      <c r="D384" s="337"/>
      <c r="E384" s="255"/>
      <c r="F384" s="255"/>
      <c r="G384" s="338"/>
      <c r="H384" s="155"/>
      <c r="I384" s="155"/>
      <c r="J384" s="155"/>
      <c r="K384" s="15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58"/>
      <c r="AA384" s="339"/>
      <c r="AB384" s="105"/>
      <c r="AC384" s="105"/>
      <c r="AD384" s="105"/>
      <c r="AE384" s="105"/>
      <c r="AF384" s="158"/>
      <c r="AG384" s="105"/>
      <c r="AH384" s="158"/>
      <c r="AI384" s="88"/>
      <c r="AJ384" s="88"/>
      <c r="AK384" s="131"/>
      <c r="AL384" s="131"/>
      <c r="AM384" s="131"/>
      <c r="AN384" s="131"/>
      <c r="AO384" s="131"/>
      <c r="AP384" s="88"/>
    </row>
    <row r="385">
      <c r="A385" s="155"/>
      <c r="B385" s="337"/>
      <c r="C385" s="340"/>
      <c r="D385" s="337"/>
      <c r="E385" s="255"/>
      <c r="F385" s="255"/>
      <c r="G385" s="338"/>
      <c r="H385" s="155"/>
      <c r="I385" s="155"/>
      <c r="J385" s="155"/>
      <c r="K385" s="15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58"/>
      <c r="AA385" s="339"/>
      <c r="AB385" s="105"/>
      <c r="AC385" s="105"/>
      <c r="AD385" s="105"/>
      <c r="AE385" s="105"/>
      <c r="AF385" s="158"/>
      <c r="AG385" s="105"/>
      <c r="AH385" s="158"/>
      <c r="AI385" s="88"/>
      <c r="AJ385" s="88"/>
      <c r="AK385" s="131"/>
      <c r="AL385" s="131"/>
      <c r="AM385" s="131"/>
      <c r="AN385" s="131"/>
      <c r="AO385" s="131"/>
      <c r="AP385" s="88"/>
    </row>
    <row r="386">
      <c r="A386" s="155"/>
      <c r="B386" s="337"/>
      <c r="C386" s="340"/>
      <c r="D386" s="337"/>
      <c r="E386" s="255"/>
      <c r="F386" s="255"/>
      <c r="G386" s="338"/>
      <c r="H386" s="155"/>
      <c r="I386" s="155"/>
      <c r="J386" s="155"/>
      <c r="K386" s="15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58"/>
      <c r="AA386" s="339"/>
      <c r="AB386" s="105"/>
      <c r="AC386" s="105"/>
      <c r="AD386" s="105"/>
      <c r="AE386" s="105"/>
      <c r="AF386" s="158"/>
      <c r="AG386" s="105"/>
      <c r="AH386" s="158"/>
      <c r="AI386" s="88"/>
      <c r="AJ386" s="88"/>
      <c r="AK386" s="131"/>
      <c r="AL386" s="131"/>
      <c r="AM386" s="131"/>
      <c r="AN386" s="131"/>
      <c r="AO386" s="131"/>
      <c r="AP386" s="88"/>
    </row>
    <row r="387">
      <c r="A387" s="155"/>
      <c r="B387" s="337"/>
      <c r="C387" s="340"/>
      <c r="D387" s="337"/>
      <c r="E387" s="255"/>
      <c r="F387" s="255"/>
      <c r="G387" s="338"/>
      <c r="H387" s="155"/>
      <c r="I387" s="155"/>
      <c r="J387" s="155"/>
      <c r="K387" s="15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58"/>
      <c r="AA387" s="339"/>
      <c r="AB387" s="105"/>
      <c r="AC387" s="105"/>
      <c r="AD387" s="105"/>
      <c r="AE387" s="105"/>
      <c r="AF387" s="158"/>
      <c r="AG387" s="105"/>
      <c r="AH387" s="158"/>
      <c r="AI387" s="88"/>
      <c r="AJ387" s="88"/>
      <c r="AK387" s="131"/>
      <c r="AL387" s="131"/>
      <c r="AM387" s="131"/>
      <c r="AN387" s="131"/>
      <c r="AO387" s="131"/>
      <c r="AP387" s="88"/>
    </row>
    <row r="388">
      <c r="A388" s="155"/>
      <c r="B388" s="337"/>
      <c r="C388" s="340"/>
      <c r="D388" s="337"/>
      <c r="E388" s="255"/>
      <c r="F388" s="255"/>
      <c r="G388" s="338"/>
      <c r="H388" s="155"/>
      <c r="I388" s="155"/>
      <c r="J388" s="155"/>
      <c r="K388" s="15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58"/>
      <c r="AA388" s="339"/>
      <c r="AB388" s="105"/>
      <c r="AC388" s="105"/>
      <c r="AD388" s="105"/>
      <c r="AE388" s="105"/>
      <c r="AF388" s="158"/>
      <c r="AG388" s="105"/>
      <c r="AH388" s="158"/>
      <c r="AI388" s="88"/>
      <c r="AJ388" s="88"/>
      <c r="AK388" s="131"/>
      <c r="AL388" s="131"/>
      <c r="AM388" s="131"/>
      <c r="AN388" s="131"/>
      <c r="AO388" s="131"/>
      <c r="AP388" s="88"/>
    </row>
    <row r="389">
      <c r="A389" s="155"/>
      <c r="B389" s="337"/>
      <c r="C389" s="340"/>
      <c r="D389" s="337"/>
      <c r="E389" s="255"/>
      <c r="F389" s="255"/>
      <c r="G389" s="338"/>
      <c r="H389" s="155"/>
      <c r="I389" s="155"/>
      <c r="J389" s="155"/>
      <c r="K389" s="15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58"/>
      <c r="AA389" s="339"/>
      <c r="AB389" s="105"/>
      <c r="AC389" s="105"/>
      <c r="AD389" s="105"/>
      <c r="AE389" s="105"/>
      <c r="AF389" s="158"/>
      <c r="AG389" s="105"/>
      <c r="AH389" s="158"/>
      <c r="AI389" s="88"/>
      <c r="AJ389" s="88"/>
      <c r="AK389" s="131"/>
      <c r="AL389" s="131"/>
      <c r="AM389" s="131"/>
      <c r="AN389" s="131"/>
      <c r="AO389" s="131"/>
      <c r="AP389" s="88"/>
    </row>
    <row r="390">
      <c r="A390" s="155"/>
      <c r="B390" s="337"/>
      <c r="C390" s="340"/>
      <c r="D390" s="337"/>
      <c r="E390" s="255"/>
      <c r="F390" s="255"/>
      <c r="G390" s="338"/>
      <c r="H390" s="155"/>
      <c r="I390" s="155"/>
      <c r="J390" s="155"/>
      <c r="K390" s="15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58"/>
      <c r="AA390" s="339"/>
      <c r="AB390" s="105"/>
      <c r="AC390" s="105"/>
      <c r="AD390" s="105"/>
      <c r="AE390" s="105"/>
      <c r="AF390" s="158"/>
      <c r="AG390" s="105"/>
      <c r="AH390" s="158"/>
      <c r="AI390" s="88"/>
      <c r="AJ390" s="88"/>
      <c r="AK390" s="131"/>
      <c r="AL390" s="131"/>
      <c r="AM390" s="131"/>
      <c r="AN390" s="131"/>
      <c r="AO390" s="131"/>
      <c r="AP390" s="88"/>
    </row>
    <row r="391">
      <c r="A391" s="155"/>
      <c r="B391" s="337"/>
      <c r="C391" s="340"/>
      <c r="D391" s="337"/>
      <c r="E391" s="255"/>
      <c r="F391" s="255"/>
      <c r="G391" s="338"/>
      <c r="H391" s="155"/>
      <c r="I391" s="155"/>
      <c r="J391" s="155"/>
      <c r="K391" s="15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58"/>
      <c r="AA391" s="339"/>
      <c r="AB391" s="105"/>
      <c r="AC391" s="105"/>
      <c r="AD391" s="105"/>
      <c r="AE391" s="105"/>
      <c r="AF391" s="158"/>
      <c r="AG391" s="105"/>
      <c r="AH391" s="158"/>
      <c r="AI391" s="88"/>
      <c r="AJ391" s="88"/>
      <c r="AK391" s="131"/>
      <c r="AL391" s="131"/>
      <c r="AM391" s="131"/>
      <c r="AN391" s="131"/>
      <c r="AO391" s="131"/>
      <c r="AP391" s="88"/>
    </row>
    <row r="392">
      <c r="A392" s="155"/>
      <c r="B392" s="337"/>
      <c r="C392" s="340"/>
      <c r="D392" s="337"/>
      <c r="E392" s="255"/>
      <c r="F392" s="255"/>
      <c r="G392" s="338"/>
      <c r="H392" s="155"/>
      <c r="I392" s="155"/>
      <c r="J392" s="155"/>
      <c r="K392" s="15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58"/>
      <c r="AA392" s="339"/>
      <c r="AB392" s="105"/>
      <c r="AC392" s="105"/>
      <c r="AD392" s="105"/>
      <c r="AE392" s="105"/>
      <c r="AF392" s="158"/>
      <c r="AG392" s="105"/>
      <c r="AH392" s="158"/>
      <c r="AI392" s="88"/>
      <c r="AJ392" s="88"/>
      <c r="AK392" s="131"/>
      <c r="AL392" s="131"/>
      <c r="AM392" s="131"/>
      <c r="AN392" s="131"/>
      <c r="AO392" s="131"/>
      <c r="AP392" s="88"/>
    </row>
    <row r="393">
      <c r="A393" s="155"/>
      <c r="B393" s="337"/>
      <c r="C393" s="340"/>
      <c r="D393" s="337"/>
      <c r="E393" s="255"/>
      <c r="F393" s="255"/>
      <c r="G393" s="338"/>
      <c r="H393" s="155"/>
      <c r="I393" s="155"/>
      <c r="J393" s="155"/>
      <c r="K393" s="15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58"/>
      <c r="AA393" s="339"/>
      <c r="AB393" s="105"/>
      <c r="AC393" s="105"/>
      <c r="AD393" s="105"/>
      <c r="AE393" s="105"/>
      <c r="AF393" s="158"/>
      <c r="AG393" s="105"/>
      <c r="AH393" s="158"/>
      <c r="AI393" s="88"/>
      <c r="AJ393" s="88"/>
      <c r="AK393" s="131"/>
      <c r="AL393" s="131"/>
      <c r="AM393" s="131"/>
      <c r="AN393" s="131"/>
      <c r="AO393" s="131"/>
      <c r="AP393" s="88"/>
    </row>
    <row r="394">
      <c r="A394" s="155"/>
      <c r="B394" s="337"/>
      <c r="C394" s="340"/>
      <c r="D394" s="337"/>
      <c r="E394" s="255"/>
      <c r="F394" s="255"/>
      <c r="G394" s="338"/>
      <c r="H394" s="155"/>
      <c r="I394" s="155"/>
      <c r="J394" s="155"/>
      <c r="K394" s="15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58"/>
      <c r="AA394" s="339"/>
      <c r="AB394" s="105"/>
      <c r="AC394" s="105"/>
      <c r="AD394" s="105"/>
      <c r="AE394" s="105"/>
      <c r="AF394" s="158"/>
      <c r="AG394" s="105"/>
      <c r="AH394" s="158"/>
      <c r="AI394" s="88"/>
      <c r="AJ394" s="88"/>
      <c r="AK394" s="131"/>
      <c r="AL394" s="131"/>
      <c r="AM394" s="131"/>
      <c r="AN394" s="131"/>
      <c r="AO394" s="131"/>
      <c r="AP394" s="88"/>
    </row>
    <row r="395">
      <c r="A395" s="155"/>
      <c r="B395" s="337"/>
      <c r="C395" s="340"/>
      <c r="D395" s="337"/>
      <c r="E395" s="255"/>
      <c r="F395" s="255"/>
      <c r="G395" s="338"/>
      <c r="H395" s="155"/>
      <c r="I395" s="155"/>
      <c r="J395" s="155"/>
      <c r="K395" s="15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58"/>
      <c r="AA395" s="339"/>
      <c r="AB395" s="105"/>
      <c r="AC395" s="105"/>
      <c r="AD395" s="105"/>
      <c r="AE395" s="105"/>
      <c r="AF395" s="158"/>
      <c r="AG395" s="105"/>
      <c r="AH395" s="158"/>
      <c r="AI395" s="88"/>
      <c r="AJ395" s="88"/>
      <c r="AK395" s="131"/>
      <c r="AL395" s="131"/>
      <c r="AM395" s="131"/>
      <c r="AN395" s="131"/>
      <c r="AO395" s="131"/>
      <c r="AP395" s="88"/>
    </row>
    <row r="396">
      <c r="A396" s="155"/>
      <c r="B396" s="337"/>
      <c r="C396" s="340"/>
      <c r="D396" s="337"/>
      <c r="E396" s="255"/>
      <c r="F396" s="255"/>
      <c r="G396" s="338"/>
      <c r="H396" s="155"/>
      <c r="I396" s="155"/>
      <c r="J396" s="155"/>
      <c r="K396" s="15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58"/>
      <c r="AA396" s="339"/>
      <c r="AB396" s="105"/>
      <c r="AC396" s="105"/>
      <c r="AD396" s="105"/>
      <c r="AE396" s="105"/>
      <c r="AF396" s="158"/>
      <c r="AG396" s="105"/>
      <c r="AH396" s="158"/>
      <c r="AI396" s="88"/>
      <c r="AJ396" s="88"/>
      <c r="AK396" s="131"/>
      <c r="AL396" s="131"/>
      <c r="AM396" s="131"/>
      <c r="AN396" s="131"/>
      <c r="AO396" s="131"/>
      <c r="AP396" s="88"/>
    </row>
    <row r="397">
      <c r="A397" s="155"/>
      <c r="B397" s="337"/>
      <c r="C397" s="340"/>
      <c r="D397" s="337"/>
      <c r="E397" s="255"/>
      <c r="F397" s="255"/>
      <c r="G397" s="338"/>
      <c r="H397" s="155"/>
      <c r="I397" s="155"/>
      <c r="J397" s="155"/>
      <c r="K397" s="15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58"/>
      <c r="AA397" s="339"/>
      <c r="AB397" s="105"/>
      <c r="AC397" s="105"/>
      <c r="AD397" s="105"/>
      <c r="AE397" s="105"/>
      <c r="AF397" s="158"/>
      <c r="AG397" s="105"/>
      <c r="AH397" s="158"/>
      <c r="AI397" s="88"/>
      <c r="AJ397" s="88"/>
      <c r="AK397" s="131"/>
      <c r="AL397" s="131"/>
      <c r="AM397" s="131"/>
      <c r="AN397" s="131"/>
      <c r="AO397" s="131"/>
      <c r="AP397" s="88"/>
    </row>
    <row r="398">
      <c r="A398" s="155"/>
      <c r="B398" s="337"/>
      <c r="C398" s="340"/>
      <c r="D398" s="337"/>
      <c r="E398" s="255"/>
      <c r="F398" s="255"/>
      <c r="G398" s="338"/>
      <c r="H398" s="155"/>
      <c r="I398" s="155"/>
      <c r="J398" s="155"/>
      <c r="K398" s="15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58"/>
      <c r="AA398" s="339"/>
      <c r="AB398" s="105"/>
      <c r="AC398" s="105"/>
      <c r="AD398" s="105"/>
      <c r="AE398" s="105"/>
      <c r="AF398" s="158"/>
      <c r="AG398" s="105"/>
      <c r="AH398" s="158"/>
      <c r="AI398" s="88"/>
      <c r="AJ398" s="88"/>
      <c r="AK398" s="131"/>
      <c r="AL398" s="131"/>
      <c r="AM398" s="131"/>
      <c r="AN398" s="131"/>
      <c r="AO398" s="131"/>
      <c r="AP398" s="88"/>
    </row>
    <row r="399">
      <c r="A399" s="155"/>
      <c r="B399" s="337"/>
      <c r="C399" s="340"/>
      <c r="D399" s="337"/>
      <c r="E399" s="255"/>
      <c r="F399" s="255"/>
      <c r="G399" s="338"/>
      <c r="H399" s="155"/>
      <c r="I399" s="155"/>
      <c r="J399" s="155"/>
      <c r="K399" s="15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58"/>
      <c r="AA399" s="339"/>
      <c r="AB399" s="105"/>
      <c r="AC399" s="105"/>
      <c r="AD399" s="105"/>
      <c r="AE399" s="105"/>
      <c r="AF399" s="158"/>
      <c r="AG399" s="105"/>
      <c r="AH399" s="158"/>
      <c r="AI399" s="88"/>
      <c r="AJ399" s="88"/>
      <c r="AK399" s="131"/>
      <c r="AL399" s="131"/>
      <c r="AM399" s="131"/>
      <c r="AN399" s="131"/>
      <c r="AO399" s="131"/>
      <c r="AP399" s="88"/>
    </row>
    <row r="400">
      <c r="A400" s="155"/>
      <c r="B400" s="337"/>
      <c r="C400" s="340"/>
      <c r="D400" s="337"/>
      <c r="E400" s="255"/>
      <c r="F400" s="255"/>
      <c r="G400" s="338"/>
      <c r="H400" s="155"/>
      <c r="I400" s="155"/>
      <c r="J400" s="155"/>
      <c r="K400" s="15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58"/>
      <c r="AA400" s="339"/>
      <c r="AB400" s="105"/>
      <c r="AC400" s="105"/>
      <c r="AD400" s="105"/>
      <c r="AE400" s="105"/>
      <c r="AF400" s="158"/>
      <c r="AG400" s="105"/>
      <c r="AH400" s="158"/>
      <c r="AI400" s="88"/>
      <c r="AJ400" s="88"/>
      <c r="AK400" s="131"/>
      <c r="AL400" s="131"/>
      <c r="AM400" s="131"/>
      <c r="AN400" s="131"/>
      <c r="AO400" s="131"/>
      <c r="AP400" s="88"/>
    </row>
    <row r="401">
      <c r="A401" s="155"/>
      <c r="B401" s="337"/>
      <c r="C401" s="340"/>
      <c r="D401" s="337"/>
      <c r="E401" s="255"/>
      <c r="F401" s="255"/>
      <c r="G401" s="338"/>
      <c r="H401" s="155"/>
      <c r="I401" s="155"/>
      <c r="J401" s="155"/>
      <c r="K401" s="15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58"/>
      <c r="AA401" s="339"/>
      <c r="AB401" s="105"/>
      <c r="AC401" s="105"/>
      <c r="AD401" s="105"/>
      <c r="AE401" s="105"/>
      <c r="AF401" s="158"/>
      <c r="AG401" s="105"/>
      <c r="AH401" s="158"/>
      <c r="AI401" s="88"/>
      <c r="AJ401" s="88"/>
      <c r="AK401" s="131"/>
      <c r="AL401" s="131"/>
      <c r="AM401" s="131"/>
      <c r="AN401" s="131"/>
      <c r="AO401" s="131"/>
      <c r="AP401" s="88"/>
    </row>
    <row r="402">
      <c r="A402" s="155"/>
      <c r="B402" s="337"/>
      <c r="C402" s="340"/>
      <c r="D402" s="337"/>
      <c r="E402" s="255"/>
      <c r="F402" s="255"/>
      <c r="G402" s="338"/>
      <c r="H402" s="155"/>
      <c r="I402" s="155"/>
      <c r="J402" s="155"/>
      <c r="K402" s="15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58"/>
      <c r="AA402" s="339"/>
      <c r="AB402" s="105"/>
      <c r="AC402" s="105"/>
      <c r="AD402" s="105"/>
      <c r="AE402" s="105"/>
      <c r="AF402" s="158"/>
      <c r="AG402" s="105"/>
      <c r="AH402" s="158"/>
      <c r="AI402" s="88"/>
      <c r="AJ402" s="88"/>
      <c r="AK402" s="131"/>
      <c r="AL402" s="131"/>
      <c r="AM402" s="131"/>
      <c r="AN402" s="131"/>
      <c r="AO402" s="131"/>
      <c r="AP402" s="88"/>
    </row>
    <row r="403">
      <c r="A403" s="155"/>
      <c r="B403" s="337"/>
      <c r="C403" s="340"/>
      <c r="D403" s="337"/>
      <c r="E403" s="255"/>
      <c r="F403" s="255"/>
      <c r="G403" s="338"/>
      <c r="H403" s="155"/>
      <c r="I403" s="155"/>
      <c r="J403" s="155"/>
      <c r="K403" s="15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58"/>
      <c r="AA403" s="339"/>
      <c r="AB403" s="105"/>
      <c r="AC403" s="105"/>
      <c r="AD403" s="105"/>
      <c r="AE403" s="105"/>
      <c r="AF403" s="158"/>
      <c r="AG403" s="105"/>
      <c r="AH403" s="158"/>
      <c r="AI403" s="88"/>
      <c r="AJ403" s="88"/>
      <c r="AK403" s="131"/>
      <c r="AL403" s="131"/>
      <c r="AM403" s="131"/>
      <c r="AN403" s="131"/>
      <c r="AO403" s="131"/>
      <c r="AP403" s="88"/>
    </row>
    <row r="404">
      <c r="A404" s="155"/>
      <c r="B404" s="337"/>
      <c r="C404" s="340"/>
      <c r="D404" s="337"/>
      <c r="E404" s="255"/>
      <c r="F404" s="255"/>
      <c r="G404" s="338"/>
      <c r="H404" s="155"/>
      <c r="I404" s="155"/>
      <c r="J404" s="155"/>
      <c r="K404" s="15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58"/>
      <c r="AA404" s="339"/>
      <c r="AB404" s="105"/>
      <c r="AC404" s="105"/>
      <c r="AD404" s="105"/>
      <c r="AE404" s="105"/>
      <c r="AF404" s="158"/>
      <c r="AG404" s="105"/>
      <c r="AH404" s="158"/>
      <c r="AI404" s="88"/>
      <c r="AJ404" s="88"/>
      <c r="AK404" s="131"/>
      <c r="AL404" s="131"/>
      <c r="AM404" s="131"/>
      <c r="AN404" s="131"/>
      <c r="AO404" s="131"/>
      <c r="AP404" s="88"/>
    </row>
    <row r="405">
      <c r="A405" s="155"/>
      <c r="B405" s="337"/>
      <c r="C405" s="340"/>
      <c r="D405" s="337"/>
      <c r="E405" s="255"/>
      <c r="F405" s="255"/>
      <c r="G405" s="338"/>
      <c r="H405" s="155"/>
      <c r="I405" s="155"/>
      <c r="J405" s="155"/>
      <c r="K405" s="15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58"/>
      <c r="AA405" s="339"/>
      <c r="AB405" s="105"/>
      <c r="AC405" s="105"/>
      <c r="AD405" s="105"/>
      <c r="AE405" s="105"/>
      <c r="AF405" s="158"/>
      <c r="AG405" s="105"/>
      <c r="AH405" s="158"/>
      <c r="AI405" s="88"/>
      <c r="AJ405" s="88"/>
      <c r="AK405" s="131"/>
      <c r="AL405" s="131"/>
      <c r="AM405" s="131"/>
      <c r="AN405" s="131"/>
      <c r="AO405" s="131"/>
      <c r="AP405" s="88"/>
    </row>
    <row r="406">
      <c r="A406" s="155"/>
      <c r="B406" s="337"/>
      <c r="C406" s="340"/>
      <c r="D406" s="337"/>
      <c r="E406" s="255"/>
      <c r="F406" s="255"/>
      <c r="G406" s="338"/>
      <c r="H406" s="155"/>
      <c r="I406" s="155"/>
      <c r="J406" s="155"/>
      <c r="K406" s="15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58"/>
      <c r="AA406" s="339"/>
      <c r="AB406" s="105"/>
      <c r="AC406" s="105"/>
      <c r="AD406" s="105"/>
      <c r="AE406" s="105"/>
      <c r="AF406" s="158"/>
      <c r="AG406" s="105"/>
      <c r="AH406" s="158"/>
      <c r="AI406" s="88"/>
      <c r="AJ406" s="88"/>
      <c r="AK406" s="131"/>
      <c r="AL406" s="131"/>
      <c r="AM406" s="131"/>
      <c r="AN406" s="131"/>
      <c r="AO406" s="131"/>
      <c r="AP406" s="88"/>
    </row>
    <row r="407">
      <c r="A407" s="155"/>
      <c r="B407" s="337"/>
      <c r="C407" s="340"/>
      <c r="D407" s="337"/>
      <c r="E407" s="255"/>
      <c r="F407" s="255"/>
      <c r="G407" s="338"/>
      <c r="H407" s="155"/>
      <c r="I407" s="155"/>
      <c r="J407" s="155"/>
      <c r="K407" s="15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58"/>
      <c r="AA407" s="339"/>
      <c r="AB407" s="105"/>
      <c r="AC407" s="105"/>
      <c r="AD407" s="105"/>
      <c r="AE407" s="105"/>
      <c r="AF407" s="158"/>
      <c r="AG407" s="105"/>
      <c r="AH407" s="158"/>
      <c r="AI407" s="88"/>
      <c r="AJ407" s="88"/>
      <c r="AK407" s="131"/>
      <c r="AL407" s="131"/>
      <c r="AM407" s="131"/>
      <c r="AN407" s="131"/>
      <c r="AO407" s="131"/>
      <c r="AP407" s="88"/>
    </row>
    <row r="408">
      <c r="A408" s="155"/>
      <c r="B408" s="337"/>
      <c r="C408" s="340"/>
      <c r="D408" s="337"/>
      <c r="E408" s="255"/>
      <c r="F408" s="255"/>
      <c r="G408" s="338"/>
      <c r="H408" s="155"/>
      <c r="I408" s="155"/>
      <c r="J408" s="155"/>
      <c r="K408" s="15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58"/>
      <c r="AA408" s="339"/>
      <c r="AB408" s="105"/>
      <c r="AC408" s="105"/>
      <c r="AD408" s="105"/>
      <c r="AE408" s="105"/>
      <c r="AF408" s="158"/>
      <c r="AG408" s="105"/>
      <c r="AH408" s="158"/>
      <c r="AI408" s="88"/>
      <c r="AJ408" s="88"/>
      <c r="AK408" s="131"/>
      <c r="AL408" s="131"/>
      <c r="AM408" s="131"/>
      <c r="AN408" s="131"/>
      <c r="AO408" s="131"/>
      <c r="AP408" s="88"/>
    </row>
    <row r="409">
      <c r="A409" s="155"/>
      <c r="B409" s="337"/>
      <c r="C409" s="340"/>
      <c r="D409" s="337"/>
      <c r="E409" s="255"/>
      <c r="F409" s="255"/>
      <c r="G409" s="338"/>
      <c r="H409" s="155"/>
      <c r="I409" s="155"/>
      <c r="J409" s="155"/>
      <c r="K409" s="15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58"/>
      <c r="AA409" s="339"/>
      <c r="AB409" s="105"/>
      <c r="AC409" s="105"/>
      <c r="AD409" s="105"/>
      <c r="AE409" s="105"/>
      <c r="AF409" s="158"/>
      <c r="AG409" s="105"/>
      <c r="AH409" s="158"/>
      <c r="AI409" s="88"/>
      <c r="AJ409" s="88"/>
      <c r="AK409" s="131"/>
      <c r="AL409" s="131"/>
      <c r="AM409" s="131"/>
      <c r="AN409" s="131"/>
      <c r="AO409" s="131"/>
      <c r="AP409" s="88"/>
    </row>
    <row r="410">
      <c r="A410" s="155"/>
      <c r="B410" s="337"/>
      <c r="C410" s="340"/>
      <c r="D410" s="337"/>
      <c r="E410" s="255"/>
      <c r="F410" s="255"/>
      <c r="G410" s="338"/>
      <c r="H410" s="155"/>
      <c r="I410" s="155"/>
      <c r="J410" s="155"/>
      <c r="K410" s="15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58"/>
      <c r="AA410" s="339"/>
      <c r="AB410" s="105"/>
      <c r="AC410" s="105"/>
      <c r="AD410" s="105"/>
      <c r="AE410" s="105"/>
      <c r="AF410" s="158"/>
      <c r="AG410" s="105"/>
      <c r="AH410" s="158"/>
      <c r="AI410" s="88"/>
      <c r="AJ410" s="88"/>
      <c r="AK410" s="131"/>
      <c r="AL410" s="131"/>
      <c r="AM410" s="131"/>
      <c r="AN410" s="131"/>
      <c r="AO410" s="131"/>
      <c r="AP410" s="88"/>
    </row>
    <row r="411">
      <c r="A411" s="155"/>
      <c r="B411" s="337"/>
      <c r="C411" s="340"/>
      <c r="D411" s="337"/>
      <c r="E411" s="255"/>
      <c r="F411" s="255"/>
      <c r="G411" s="338"/>
      <c r="H411" s="155"/>
      <c r="I411" s="155"/>
      <c r="J411" s="155"/>
      <c r="K411" s="15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58"/>
      <c r="AA411" s="339"/>
      <c r="AB411" s="105"/>
      <c r="AC411" s="105"/>
      <c r="AD411" s="105"/>
      <c r="AE411" s="105"/>
      <c r="AF411" s="158"/>
      <c r="AG411" s="105"/>
      <c r="AH411" s="158"/>
      <c r="AI411" s="88"/>
      <c r="AJ411" s="88"/>
      <c r="AK411" s="131"/>
      <c r="AL411" s="131"/>
      <c r="AM411" s="131"/>
      <c r="AN411" s="131"/>
      <c r="AO411" s="131"/>
      <c r="AP411" s="88"/>
    </row>
    <row r="412">
      <c r="A412" s="155"/>
      <c r="B412" s="337"/>
      <c r="C412" s="340"/>
      <c r="D412" s="337"/>
      <c r="E412" s="255"/>
      <c r="F412" s="255"/>
      <c r="G412" s="338"/>
      <c r="H412" s="155"/>
      <c r="I412" s="155"/>
      <c r="J412" s="155"/>
      <c r="K412" s="15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58"/>
      <c r="AA412" s="339"/>
      <c r="AB412" s="105"/>
      <c r="AC412" s="105"/>
      <c r="AD412" s="105"/>
      <c r="AE412" s="105"/>
      <c r="AF412" s="158"/>
      <c r="AG412" s="105"/>
      <c r="AH412" s="158"/>
      <c r="AI412" s="88"/>
      <c r="AJ412" s="88"/>
      <c r="AK412" s="131"/>
      <c r="AL412" s="131"/>
      <c r="AM412" s="131"/>
      <c r="AN412" s="131"/>
      <c r="AO412" s="131"/>
      <c r="AP412" s="88"/>
    </row>
    <row r="413">
      <c r="A413" s="155"/>
      <c r="B413" s="337"/>
      <c r="C413" s="340"/>
      <c r="D413" s="337"/>
      <c r="E413" s="255"/>
      <c r="F413" s="255"/>
      <c r="G413" s="338"/>
      <c r="H413" s="155"/>
      <c r="I413" s="155"/>
      <c r="J413" s="155"/>
      <c r="K413" s="15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58"/>
      <c r="AA413" s="339"/>
      <c r="AB413" s="105"/>
      <c r="AC413" s="105"/>
      <c r="AD413" s="105"/>
      <c r="AE413" s="105"/>
      <c r="AF413" s="158"/>
      <c r="AG413" s="105"/>
      <c r="AH413" s="158"/>
      <c r="AI413" s="88"/>
      <c r="AJ413" s="88"/>
      <c r="AK413" s="131"/>
      <c r="AL413" s="131"/>
      <c r="AM413" s="131"/>
      <c r="AN413" s="131"/>
      <c r="AO413" s="131"/>
      <c r="AP413" s="88"/>
    </row>
    <row r="414">
      <c r="A414" s="155"/>
      <c r="B414" s="337"/>
      <c r="C414" s="340"/>
      <c r="D414" s="337"/>
      <c r="E414" s="255"/>
      <c r="F414" s="255"/>
      <c r="G414" s="338"/>
      <c r="H414" s="155"/>
      <c r="I414" s="155"/>
      <c r="J414" s="155"/>
      <c r="K414" s="15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58"/>
      <c r="AA414" s="339"/>
      <c r="AB414" s="105"/>
      <c r="AC414" s="105"/>
      <c r="AD414" s="105"/>
      <c r="AE414" s="105"/>
      <c r="AF414" s="158"/>
      <c r="AG414" s="105"/>
      <c r="AH414" s="158"/>
      <c r="AI414" s="88"/>
      <c r="AJ414" s="88"/>
      <c r="AK414" s="131"/>
      <c r="AL414" s="131"/>
      <c r="AM414" s="131"/>
      <c r="AN414" s="131"/>
      <c r="AO414" s="131"/>
      <c r="AP414" s="88"/>
    </row>
    <row r="415">
      <c r="A415" s="155"/>
      <c r="B415" s="337"/>
      <c r="C415" s="340"/>
      <c r="D415" s="337"/>
      <c r="E415" s="255"/>
      <c r="F415" s="255"/>
      <c r="G415" s="338"/>
      <c r="H415" s="155"/>
      <c r="I415" s="155"/>
      <c r="J415" s="155"/>
      <c r="K415" s="15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58"/>
      <c r="AA415" s="339"/>
      <c r="AB415" s="105"/>
      <c r="AC415" s="105"/>
      <c r="AD415" s="105"/>
      <c r="AE415" s="105"/>
      <c r="AF415" s="158"/>
      <c r="AG415" s="105"/>
      <c r="AH415" s="158"/>
      <c r="AI415" s="88"/>
      <c r="AJ415" s="88"/>
      <c r="AK415" s="131"/>
      <c r="AL415" s="131"/>
      <c r="AM415" s="131"/>
      <c r="AN415" s="131"/>
      <c r="AO415" s="131"/>
      <c r="AP415" s="88"/>
    </row>
    <row r="416">
      <c r="A416" s="155"/>
      <c r="B416" s="337"/>
      <c r="C416" s="340"/>
      <c r="D416" s="337"/>
      <c r="E416" s="255"/>
      <c r="F416" s="255"/>
      <c r="G416" s="338"/>
      <c r="H416" s="155"/>
      <c r="I416" s="155"/>
      <c r="J416" s="155"/>
      <c r="K416" s="15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58"/>
      <c r="AA416" s="339"/>
      <c r="AB416" s="105"/>
      <c r="AC416" s="105"/>
      <c r="AD416" s="105"/>
      <c r="AE416" s="105"/>
      <c r="AF416" s="158"/>
      <c r="AG416" s="105"/>
      <c r="AH416" s="158"/>
      <c r="AI416" s="88"/>
      <c r="AJ416" s="88"/>
      <c r="AK416" s="131"/>
      <c r="AL416" s="131"/>
      <c r="AM416" s="131"/>
      <c r="AN416" s="131"/>
      <c r="AO416" s="131"/>
      <c r="AP416" s="88"/>
    </row>
    <row r="417">
      <c r="A417" s="155"/>
      <c r="B417" s="337"/>
      <c r="C417" s="340"/>
      <c r="D417" s="337"/>
      <c r="E417" s="255"/>
      <c r="F417" s="255"/>
      <c r="G417" s="338"/>
      <c r="H417" s="155"/>
      <c r="I417" s="155"/>
      <c r="J417" s="155"/>
      <c r="K417" s="15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58"/>
      <c r="AA417" s="339"/>
      <c r="AB417" s="105"/>
      <c r="AC417" s="105"/>
      <c r="AD417" s="105"/>
      <c r="AE417" s="105"/>
      <c r="AF417" s="158"/>
      <c r="AG417" s="105"/>
      <c r="AH417" s="158"/>
      <c r="AI417" s="88"/>
      <c r="AJ417" s="88"/>
      <c r="AK417" s="131"/>
      <c r="AL417" s="131"/>
      <c r="AM417" s="131"/>
      <c r="AN417" s="131"/>
      <c r="AO417" s="131"/>
      <c r="AP417" s="88"/>
    </row>
    <row r="418">
      <c r="A418" s="155"/>
      <c r="B418" s="337"/>
      <c r="C418" s="340"/>
      <c r="D418" s="337"/>
      <c r="E418" s="255"/>
      <c r="F418" s="255"/>
      <c r="G418" s="338"/>
      <c r="H418" s="155"/>
      <c r="I418" s="155"/>
      <c r="J418" s="155"/>
      <c r="K418" s="15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58"/>
      <c r="AA418" s="339"/>
      <c r="AB418" s="105"/>
      <c r="AC418" s="105"/>
      <c r="AD418" s="105"/>
      <c r="AE418" s="105"/>
      <c r="AF418" s="158"/>
      <c r="AG418" s="105"/>
      <c r="AH418" s="158"/>
      <c r="AI418" s="88"/>
      <c r="AJ418" s="88"/>
      <c r="AK418" s="131"/>
      <c r="AL418" s="131"/>
      <c r="AM418" s="131"/>
      <c r="AN418" s="131"/>
      <c r="AO418" s="131"/>
      <c r="AP418" s="88"/>
    </row>
    <row r="419">
      <c r="A419" s="155"/>
      <c r="B419" s="337"/>
      <c r="C419" s="340"/>
      <c r="D419" s="337"/>
      <c r="E419" s="255"/>
      <c r="F419" s="255"/>
      <c r="G419" s="338"/>
      <c r="H419" s="155"/>
      <c r="I419" s="155"/>
      <c r="J419" s="155"/>
      <c r="K419" s="15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58"/>
      <c r="AA419" s="339"/>
      <c r="AB419" s="105"/>
      <c r="AC419" s="105"/>
      <c r="AD419" s="105"/>
      <c r="AE419" s="105"/>
      <c r="AF419" s="158"/>
      <c r="AG419" s="105"/>
      <c r="AH419" s="158"/>
      <c r="AI419" s="88"/>
      <c r="AJ419" s="88"/>
      <c r="AK419" s="131"/>
      <c r="AL419" s="131"/>
      <c r="AM419" s="131"/>
      <c r="AN419" s="131"/>
      <c r="AO419" s="131"/>
      <c r="AP419" s="88"/>
    </row>
    <row r="420">
      <c r="A420" s="155"/>
      <c r="B420" s="337"/>
      <c r="C420" s="340"/>
      <c r="D420" s="337"/>
      <c r="E420" s="255"/>
      <c r="F420" s="255"/>
      <c r="G420" s="338"/>
      <c r="H420" s="155"/>
      <c r="I420" s="155"/>
      <c r="J420" s="155"/>
      <c r="K420" s="15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58"/>
      <c r="AA420" s="339"/>
      <c r="AB420" s="105"/>
      <c r="AC420" s="105"/>
      <c r="AD420" s="105"/>
      <c r="AE420" s="105"/>
      <c r="AF420" s="158"/>
      <c r="AG420" s="105"/>
      <c r="AH420" s="158"/>
      <c r="AI420" s="88"/>
      <c r="AJ420" s="88"/>
      <c r="AK420" s="131"/>
      <c r="AL420" s="131"/>
      <c r="AM420" s="131"/>
      <c r="AN420" s="131"/>
      <c r="AO420" s="131"/>
      <c r="AP420" s="88"/>
    </row>
    <row r="421">
      <c r="A421" s="155"/>
      <c r="B421" s="337"/>
      <c r="C421" s="340"/>
      <c r="D421" s="337"/>
      <c r="E421" s="255"/>
      <c r="F421" s="255"/>
      <c r="G421" s="338"/>
      <c r="H421" s="155"/>
      <c r="I421" s="155"/>
      <c r="J421" s="155"/>
      <c r="K421" s="15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58"/>
      <c r="AA421" s="339"/>
      <c r="AB421" s="105"/>
      <c r="AC421" s="105"/>
      <c r="AD421" s="105"/>
      <c r="AE421" s="105"/>
      <c r="AF421" s="158"/>
      <c r="AG421" s="105"/>
      <c r="AH421" s="158"/>
      <c r="AI421" s="88"/>
      <c r="AJ421" s="88"/>
      <c r="AK421" s="131"/>
      <c r="AL421" s="131"/>
      <c r="AM421" s="131"/>
      <c r="AN421" s="131"/>
      <c r="AO421" s="131"/>
      <c r="AP421" s="88"/>
    </row>
    <row r="422">
      <c r="A422" s="155"/>
      <c r="B422" s="337"/>
      <c r="C422" s="340"/>
      <c r="D422" s="337"/>
      <c r="E422" s="255"/>
      <c r="F422" s="255"/>
      <c r="G422" s="338"/>
      <c r="H422" s="155"/>
      <c r="I422" s="155"/>
      <c r="J422" s="155"/>
      <c r="K422" s="15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58"/>
      <c r="AA422" s="339"/>
      <c r="AB422" s="105"/>
      <c r="AC422" s="105"/>
      <c r="AD422" s="105"/>
      <c r="AE422" s="105"/>
      <c r="AF422" s="158"/>
      <c r="AG422" s="105"/>
      <c r="AH422" s="158"/>
      <c r="AI422" s="88"/>
      <c r="AJ422" s="88"/>
      <c r="AK422" s="131"/>
      <c r="AL422" s="131"/>
      <c r="AM422" s="131"/>
      <c r="AN422" s="131"/>
      <c r="AO422" s="131"/>
      <c r="AP422" s="88"/>
    </row>
    <row r="423">
      <c r="A423" s="155"/>
      <c r="B423" s="337"/>
      <c r="C423" s="340"/>
      <c r="D423" s="337"/>
      <c r="E423" s="255"/>
      <c r="F423" s="255"/>
      <c r="G423" s="338"/>
      <c r="H423" s="155"/>
      <c r="I423" s="155"/>
      <c r="J423" s="155"/>
      <c r="K423" s="15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58"/>
      <c r="AA423" s="339"/>
      <c r="AB423" s="105"/>
      <c r="AC423" s="105"/>
      <c r="AD423" s="105"/>
      <c r="AE423" s="105"/>
      <c r="AF423" s="158"/>
      <c r="AG423" s="105"/>
      <c r="AH423" s="158"/>
      <c r="AI423" s="88"/>
      <c r="AJ423" s="88"/>
      <c r="AK423" s="131"/>
      <c r="AL423" s="131"/>
      <c r="AM423" s="131"/>
      <c r="AN423" s="131"/>
      <c r="AO423" s="131"/>
      <c r="AP423" s="88"/>
    </row>
    <row r="424">
      <c r="A424" s="155"/>
      <c r="B424" s="337"/>
      <c r="C424" s="340"/>
      <c r="D424" s="337"/>
      <c r="E424" s="255"/>
      <c r="F424" s="255"/>
      <c r="G424" s="338"/>
      <c r="H424" s="155"/>
      <c r="I424" s="155"/>
      <c r="J424" s="155"/>
      <c r="K424" s="15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58"/>
      <c r="AA424" s="339"/>
      <c r="AB424" s="105"/>
      <c r="AC424" s="105"/>
      <c r="AD424" s="105"/>
      <c r="AE424" s="105"/>
      <c r="AF424" s="158"/>
      <c r="AG424" s="105"/>
      <c r="AH424" s="158"/>
      <c r="AI424" s="88"/>
      <c r="AJ424" s="88"/>
      <c r="AK424" s="131"/>
      <c r="AL424" s="131"/>
      <c r="AM424" s="131"/>
      <c r="AN424" s="131"/>
      <c r="AO424" s="131"/>
      <c r="AP424" s="88"/>
    </row>
    <row r="425">
      <c r="A425" s="155"/>
      <c r="B425" s="337"/>
      <c r="C425" s="340"/>
      <c r="D425" s="337"/>
      <c r="E425" s="255"/>
      <c r="F425" s="255"/>
      <c r="G425" s="338"/>
      <c r="H425" s="155"/>
      <c r="I425" s="155"/>
      <c r="J425" s="155"/>
      <c r="K425" s="15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58"/>
      <c r="AA425" s="339"/>
      <c r="AB425" s="105"/>
      <c r="AC425" s="105"/>
      <c r="AD425" s="105"/>
      <c r="AE425" s="105"/>
      <c r="AF425" s="158"/>
      <c r="AG425" s="105"/>
      <c r="AH425" s="158"/>
      <c r="AI425" s="88"/>
      <c r="AJ425" s="88"/>
      <c r="AK425" s="131"/>
      <c r="AL425" s="131"/>
      <c r="AM425" s="131"/>
      <c r="AN425" s="131"/>
      <c r="AO425" s="131"/>
      <c r="AP425" s="88"/>
    </row>
    <row r="426">
      <c r="A426" s="155"/>
      <c r="B426" s="337"/>
      <c r="C426" s="340"/>
      <c r="D426" s="337"/>
      <c r="E426" s="255"/>
      <c r="F426" s="255"/>
      <c r="G426" s="338"/>
      <c r="H426" s="155"/>
      <c r="I426" s="155"/>
      <c r="J426" s="155"/>
      <c r="K426" s="15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58"/>
      <c r="AA426" s="339"/>
      <c r="AB426" s="105"/>
      <c r="AC426" s="105"/>
      <c r="AD426" s="105"/>
      <c r="AE426" s="105"/>
      <c r="AF426" s="158"/>
      <c r="AG426" s="105"/>
      <c r="AH426" s="158"/>
      <c r="AI426" s="88"/>
      <c r="AJ426" s="88"/>
      <c r="AK426" s="131"/>
      <c r="AL426" s="131"/>
      <c r="AM426" s="131"/>
      <c r="AN426" s="131"/>
      <c r="AO426" s="131"/>
      <c r="AP426" s="88"/>
    </row>
    <row r="427">
      <c r="A427" s="155"/>
      <c r="B427" s="337"/>
      <c r="C427" s="340"/>
      <c r="D427" s="337"/>
      <c r="E427" s="255"/>
      <c r="F427" s="255"/>
      <c r="G427" s="338"/>
      <c r="H427" s="155"/>
      <c r="I427" s="155"/>
      <c r="J427" s="155"/>
      <c r="K427" s="15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58"/>
      <c r="AA427" s="339"/>
      <c r="AB427" s="105"/>
      <c r="AC427" s="105"/>
      <c r="AD427" s="105"/>
      <c r="AE427" s="105"/>
      <c r="AF427" s="158"/>
      <c r="AG427" s="105"/>
      <c r="AH427" s="158"/>
      <c r="AI427" s="88"/>
      <c r="AJ427" s="88"/>
      <c r="AK427" s="131"/>
      <c r="AL427" s="131"/>
      <c r="AM427" s="131"/>
      <c r="AN427" s="131"/>
      <c r="AO427" s="131"/>
      <c r="AP427" s="88"/>
    </row>
    <row r="428">
      <c r="A428" s="155"/>
      <c r="B428" s="337"/>
      <c r="C428" s="340"/>
      <c r="D428" s="337"/>
      <c r="E428" s="255"/>
      <c r="F428" s="255"/>
      <c r="G428" s="338"/>
      <c r="H428" s="155"/>
      <c r="I428" s="155"/>
      <c r="J428" s="155"/>
      <c r="K428" s="15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58"/>
      <c r="AA428" s="339"/>
      <c r="AB428" s="105"/>
      <c r="AC428" s="105"/>
      <c r="AD428" s="105"/>
      <c r="AE428" s="105"/>
      <c r="AF428" s="158"/>
      <c r="AG428" s="105"/>
      <c r="AH428" s="158"/>
      <c r="AI428" s="88"/>
      <c r="AJ428" s="88"/>
      <c r="AK428" s="131"/>
      <c r="AL428" s="131"/>
      <c r="AM428" s="131"/>
      <c r="AN428" s="131"/>
      <c r="AO428" s="131"/>
      <c r="AP428" s="88"/>
    </row>
    <row r="429">
      <c r="A429" s="155"/>
      <c r="B429" s="337"/>
      <c r="C429" s="340"/>
      <c r="D429" s="337"/>
      <c r="E429" s="255"/>
      <c r="F429" s="255"/>
      <c r="G429" s="338"/>
      <c r="H429" s="155"/>
      <c r="I429" s="155"/>
      <c r="J429" s="155"/>
      <c r="K429" s="15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58"/>
      <c r="AA429" s="339"/>
      <c r="AB429" s="105"/>
      <c r="AC429" s="105"/>
      <c r="AD429" s="105"/>
      <c r="AE429" s="105"/>
      <c r="AF429" s="158"/>
      <c r="AG429" s="105"/>
      <c r="AH429" s="158"/>
      <c r="AI429" s="88"/>
      <c r="AJ429" s="88"/>
      <c r="AK429" s="131"/>
      <c r="AL429" s="131"/>
      <c r="AM429" s="131"/>
      <c r="AN429" s="131"/>
      <c r="AO429" s="131"/>
      <c r="AP429" s="88"/>
    </row>
    <row r="430">
      <c r="A430" s="155"/>
      <c r="B430" s="337"/>
      <c r="C430" s="340"/>
      <c r="D430" s="337"/>
      <c r="E430" s="255"/>
      <c r="F430" s="255"/>
      <c r="G430" s="338"/>
      <c r="H430" s="155"/>
      <c r="I430" s="155"/>
      <c r="J430" s="155"/>
      <c r="K430" s="15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58"/>
      <c r="AA430" s="339"/>
      <c r="AB430" s="105"/>
      <c r="AC430" s="105"/>
      <c r="AD430" s="105"/>
      <c r="AE430" s="105"/>
      <c r="AF430" s="158"/>
      <c r="AG430" s="105"/>
      <c r="AH430" s="158"/>
      <c r="AI430" s="88"/>
      <c r="AJ430" s="88"/>
      <c r="AK430" s="131"/>
      <c r="AL430" s="131"/>
      <c r="AM430" s="131"/>
      <c r="AN430" s="131"/>
      <c r="AO430" s="131"/>
      <c r="AP430" s="88"/>
    </row>
    <row r="431">
      <c r="A431" s="155"/>
      <c r="B431" s="337"/>
      <c r="C431" s="340"/>
      <c r="D431" s="337"/>
      <c r="E431" s="255"/>
      <c r="F431" s="255"/>
      <c r="G431" s="338"/>
      <c r="H431" s="155"/>
      <c r="I431" s="155"/>
      <c r="J431" s="155"/>
      <c r="K431" s="15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58"/>
      <c r="AA431" s="339"/>
      <c r="AB431" s="105"/>
      <c r="AC431" s="105"/>
      <c r="AD431" s="105"/>
      <c r="AE431" s="105"/>
      <c r="AF431" s="158"/>
      <c r="AG431" s="105"/>
      <c r="AH431" s="158"/>
      <c r="AI431" s="88"/>
      <c r="AJ431" s="88"/>
      <c r="AK431" s="131"/>
      <c r="AL431" s="131"/>
      <c r="AM431" s="131"/>
      <c r="AN431" s="131"/>
      <c r="AO431" s="131"/>
      <c r="AP431" s="88"/>
    </row>
    <row r="432">
      <c r="A432" s="155"/>
      <c r="B432" s="337"/>
      <c r="C432" s="340"/>
      <c r="D432" s="337"/>
      <c r="E432" s="255"/>
      <c r="F432" s="255"/>
      <c r="G432" s="338"/>
      <c r="H432" s="155"/>
      <c r="I432" s="155"/>
      <c r="J432" s="155"/>
      <c r="K432" s="15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58"/>
      <c r="AA432" s="339"/>
      <c r="AB432" s="105"/>
      <c r="AC432" s="105"/>
      <c r="AD432" s="105"/>
      <c r="AE432" s="105"/>
      <c r="AF432" s="158"/>
      <c r="AG432" s="105"/>
      <c r="AH432" s="158"/>
      <c r="AI432" s="88"/>
      <c r="AJ432" s="88"/>
      <c r="AK432" s="131"/>
      <c r="AL432" s="131"/>
      <c r="AM432" s="131"/>
      <c r="AN432" s="131"/>
      <c r="AO432" s="131"/>
      <c r="AP432" s="88"/>
    </row>
    <row r="433">
      <c r="A433" s="155"/>
      <c r="B433" s="337"/>
      <c r="C433" s="340"/>
      <c r="D433" s="337"/>
      <c r="E433" s="255"/>
      <c r="F433" s="255"/>
      <c r="G433" s="338"/>
      <c r="H433" s="155"/>
      <c r="I433" s="155"/>
      <c r="J433" s="155"/>
      <c r="K433" s="15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58"/>
      <c r="AA433" s="339"/>
      <c r="AB433" s="105"/>
      <c r="AC433" s="105"/>
      <c r="AD433" s="105"/>
      <c r="AE433" s="105"/>
      <c r="AF433" s="158"/>
      <c r="AG433" s="105"/>
      <c r="AH433" s="158"/>
      <c r="AI433" s="88"/>
      <c r="AJ433" s="88"/>
      <c r="AK433" s="131"/>
      <c r="AL433" s="131"/>
      <c r="AM433" s="131"/>
      <c r="AN433" s="131"/>
      <c r="AO433" s="131"/>
      <c r="AP433" s="88"/>
    </row>
    <row r="434">
      <c r="A434" s="155"/>
      <c r="B434" s="337"/>
      <c r="C434" s="340"/>
      <c r="D434" s="337"/>
      <c r="E434" s="255"/>
      <c r="F434" s="255"/>
      <c r="G434" s="338"/>
      <c r="H434" s="155"/>
      <c r="I434" s="155"/>
      <c r="J434" s="155"/>
      <c r="K434" s="15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58"/>
      <c r="AA434" s="339"/>
      <c r="AB434" s="105"/>
      <c r="AC434" s="105"/>
      <c r="AD434" s="105"/>
      <c r="AE434" s="105"/>
      <c r="AF434" s="158"/>
      <c r="AG434" s="105"/>
      <c r="AH434" s="158"/>
      <c r="AI434" s="88"/>
      <c r="AJ434" s="88"/>
      <c r="AK434" s="131"/>
      <c r="AL434" s="131"/>
      <c r="AM434" s="131"/>
      <c r="AN434" s="131"/>
      <c r="AO434" s="131"/>
      <c r="AP434" s="88"/>
    </row>
    <row r="435">
      <c r="A435" s="155"/>
      <c r="B435" s="337"/>
      <c r="C435" s="340"/>
      <c r="D435" s="337"/>
      <c r="E435" s="255"/>
      <c r="F435" s="255"/>
      <c r="G435" s="338"/>
      <c r="H435" s="155"/>
      <c r="I435" s="155"/>
      <c r="J435" s="155"/>
      <c r="K435" s="15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58"/>
      <c r="AA435" s="339"/>
      <c r="AB435" s="105"/>
      <c r="AC435" s="105"/>
      <c r="AD435" s="105"/>
      <c r="AE435" s="105"/>
      <c r="AF435" s="158"/>
      <c r="AG435" s="105"/>
      <c r="AH435" s="158"/>
      <c r="AI435" s="88"/>
      <c r="AJ435" s="88"/>
      <c r="AK435" s="131"/>
      <c r="AL435" s="131"/>
      <c r="AM435" s="131"/>
      <c r="AN435" s="131"/>
      <c r="AO435" s="131"/>
      <c r="AP435" s="88"/>
    </row>
    <row r="436">
      <c r="A436" s="155"/>
      <c r="B436" s="337"/>
      <c r="C436" s="340"/>
      <c r="D436" s="337"/>
      <c r="E436" s="255"/>
      <c r="F436" s="255"/>
      <c r="G436" s="338"/>
      <c r="H436" s="155"/>
      <c r="I436" s="155"/>
      <c r="J436" s="155"/>
      <c r="K436" s="15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58"/>
      <c r="AA436" s="339"/>
      <c r="AB436" s="105"/>
      <c r="AC436" s="105"/>
      <c r="AD436" s="105"/>
      <c r="AE436" s="105"/>
      <c r="AF436" s="158"/>
      <c r="AG436" s="105"/>
      <c r="AH436" s="158"/>
      <c r="AI436" s="88"/>
      <c r="AJ436" s="88"/>
      <c r="AK436" s="131"/>
      <c r="AL436" s="131"/>
      <c r="AM436" s="131"/>
      <c r="AN436" s="131"/>
      <c r="AO436" s="131"/>
      <c r="AP436" s="88"/>
    </row>
    <row r="437">
      <c r="A437" s="155"/>
      <c r="B437" s="337"/>
      <c r="C437" s="340"/>
      <c r="D437" s="337"/>
      <c r="E437" s="255"/>
      <c r="F437" s="255"/>
      <c r="G437" s="338"/>
      <c r="H437" s="155"/>
      <c r="I437" s="155"/>
      <c r="J437" s="155"/>
      <c r="K437" s="15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58"/>
      <c r="AA437" s="339"/>
      <c r="AB437" s="105"/>
      <c r="AC437" s="105"/>
      <c r="AD437" s="105"/>
      <c r="AE437" s="105"/>
      <c r="AF437" s="158"/>
      <c r="AG437" s="105"/>
      <c r="AH437" s="158"/>
      <c r="AI437" s="88"/>
      <c r="AJ437" s="88"/>
      <c r="AK437" s="131"/>
      <c r="AL437" s="131"/>
      <c r="AM437" s="131"/>
      <c r="AN437" s="131"/>
      <c r="AO437" s="131"/>
      <c r="AP437" s="88"/>
    </row>
    <row r="438">
      <c r="A438" s="155"/>
      <c r="B438" s="337"/>
      <c r="C438" s="340"/>
      <c r="D438" s="337"/>
      <c r="E438" s="255"/>
      <c r="F438" s="255"/>
      <c r="G438" s="338"/>
      <c r="H438" s="155"/>
      <c r="I438" s="155"/>
      <c r="J438" s="155"/>
      <c r="K438" s="15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58"/>
      <c r="AA438" s="339"/>
      <c r="AB438" s="105"/>
      <c r="AC438" s="105"/>
      <c r="AD438" s="105"/>
      <c r="AE438" s="105"/>
      <c r="AF438" s="158"/>
      <c r="AG438" s="105"/>
      <c r="AH438" s="158"/>
      <c r="AI438" s="88"/>
      <c r="AJ438" s="88"/>
      <c r="AK438" s="131"/>
      <c r="AL438" s="131"/>
      <c r="AM438" s="131"/>
      <c r="AN438" s="131"/>
      <c r="AO438" s="131"/>
      <c r="AP438" s="88"/>
    </row>
    <row r="439">
      <c r="A439" s="155"/>
      <c r="B439" s="337"/>
      <c r="C439" s="340"/>
      <c r="D439" s="337"/>
      <c r="E439" s="255"/>
      <c r="F439" s="255"/>
      <c r="G439" s="338"/>
      <c r="H439" s="155"/>
      <c r="I439" s="155"/>
      <c r="J439" s="155"/>
      <c r="K439" s="15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58"/>
      <c r="AA439" s="339"/>
      <c r="AB439" s="105"/>
      <c r="AC439" s="105"/>
      <c r="AD439" s="105"/>
      <c r="AE439" s="105"/>
      <c r="AF439" s="158"/>
      <c r="AG439" s="105"/>
      <c r="AH439" s="158"/>
      <c r="AI439" s="88"/>
      <c r="AJ439" s="88"/>
      <c r="AK439" s="131"/>
      <c r="AL439" s="131"/>
      <c r="AM439" s="131"/>
      <c r="AN439" s="131"/>
      <c r="AO439" s="131"/>
      <c r="AP439" s="88"/>
    </row>
    <row r="440">
      <c r="A440" s="155"/>
      <c r="B440" s="337"/>
      <c r="C440" s="340"/>
      <c r="D440" s="337"/>
      <c r="E440" s="255"/>
      <c r="F440" s="255"/>
      <c r="G440" s="338"/>
      <c r="H440" s="155"/>
      <c r="I440" s="155"/>
      <c r="J440" s="155"/>
      <c r="K440" s="15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58"/>
      <c r="AA440" s="339"/>
      <c r="AB440" s="105"/>
      <c r="AC440" s="105"/>
      <c r="AD440" s="105"/>
      <c r="AE440" s="105"/>
      <c r="AF440" s="158"/>
      <c r="AG440" s="105"/>
      <c r="AH440" s="158"/>
      <c r="AI440" s="88"/>
      <c r="AJ440" s="88"/>
      <c r="AK440" s="131"/>
      <c r="AL440" s="131"/>
      <c r="AM440" s="131"/>
      <c r="AN440" s="131"/>
      <c r="AO440" s="131"/>
      <c r="AP440" s="88"/>
    </row>
    <row r="441">
      <c r="A441" s="155"/>
      <c r="B441" s="337"/>
      <c r="C441" s="340"/>
      <c r="D441" s="337"/>
      <c r="E441" s="255"/>
      <c r="F441" s="255"/>
      <c r="G441" s="338"/>
      <c r="H441" s="155"/>
      <c r="I441" s="155"/>
      <c r="J441" s="155"/>
      <c r="K441" s="15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58"/>
      <c r="AA441" s="339"/>
      <c r="AB441" s="105"/>
      <c r="AC441" s="105"/>
      <c r="AD441" s="105"/>
      <c r="AE441" s="105"/>
      <c r="AF441" s="158"/>
      <c r="AG441" s="105"/>
      <c r="AH441" s="158"/>
      <c r="AI441" s="88"/>
      <c r="AJ441" s="88"/>
      <c r="AK441" s="131"/>
      <c r="AL441" s="131"/>
      <c r="AM441" s="131"/>
      <c r="AN441" s="131"/>
      <c r="AO441" s="131"/>
      <c r="AP441" s="88"/>
    </row>
    <row r="442">
      <c r="A442" s="155"/>
      <c r="B442" s="337"/>
      <c r="C442" s="340"/>
      <c r="D442" s="337"/>
      <c r="E442" s="255"/>
      <c r="F442" s="255"/>
      <c r="G442" s="338"/>
      <c r="H442" s="155"/>
      <c r="I442" s="155"/>
      <c r="J442" s="155"/>
      <c r="K442" s="15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58"/>
      <c r="AA442" s="339"/>
      <c r="AB442" s="105"/>
      <c r="AC442" s="105"/>
      <c r="AD442" s="105"/>
      <c r="AE442" s="105"/>
      <c r="AF442" s="158"/>
      <c r="AG442" s="105"/>
      <c r="AH442" s="158"/>
      <c r="AI442" s="88"/>
      <c r="AJ442" s="88"/>
      <c r="AK442" s="131"/>
      <c r="AL442" s="131"/>
      <c r="AM442" s="131"/>
      <c r="AN442" s="131"/>
      <c r="AO442" s="131"/>
      <c r="AP442" s="88"/>
    </row>
    <row r="443">
      <c r="A443" s="155"/>
      <c r="B443" s="337"/>
      <c r="C443" s="340"/>
      <c r="D443" s="337"/>
      <c r="E443" s="255"/>
      <c r="F443" s="255"/>
      <c r="G443" s="338"/>
      <c r="H443" s="155"/>
      <c r="I443" s="155"/>
      <c r="J443" s="155"/>
      <c r="K443" s="15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58"/>
      <c r="AA443" s="339"/>
      <c r="AB443" s="105"/>
      <c r="AC443" s="105"/>
      <c r="AD443" s="105"/>
      <c r="AE443" s="105"/>
      <c r="AF443" s="158"/>
      <c r="AG443" s="105"/>
      <c r="AH443" s="158"/>
      <c r="AI443" s="88"/>
      <c r="AJ443" s="88"/>
      <c r="AK443" s="131"/>
      <c r="AL443" s="131"/>
      <c r="AM443" s="131"/>
      <c r="AN443" s="131"/>
      <c r="AO443" s="131"/>
      <c r="AP443" s="88"/>
    </row>
    <row r="444">
      <c r="A444" s="155"/>
      <c r="B444" s="337"/>
      <c r="C444" s="340"/>
      <c r="D444" s="337"/>
      <c r="E444" s="255"/>
      <c r="F444" s="255"/>
      <c r="G444" s="338"/>
      <c r="H444" s="155"/>
      <c r="I444" s="155"/>
      <c r="J444" s="155"/>
      <c r="K444" s="15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58"/>
      <c r="AA444" s="339"/>
      <c r="AB444" s="105"/>
      <c r="AC444" s="105"/>
      <c r="AD444" s="105"/>
      <c r="AE444" s="105"/>
      <c r="AF444" s="158"/>
      <c r="AG444" s="105"/>
      <c r="AH444" s="158"/>
      <c r="AI444" s="88"/>
      <c r="AJ444" s="88"/>
      <c r="AK444" s="131"/>
      <c r="AL444" s="131"/>
      <c r="AM444" s="131"/>
      <c r="AN444" s="131"/>
      <c r="AO444" s="131"/>
      <c r="AP444" s="88"/>
    </row>
    <row r="445">
      <c r="A445" s="155"/>
      <c r="B445" s="337"/>
      <c r="C445" s="340"/>
      <c r="D445" s="337"/>
      <c r="E445" s="255"/>
      <c r="F445" s="255"/>
      <c r="G445" s="338"/>
      <c r="H445" s="155"/>
      <c r="I445" s="155"/>
      <c r="J445" s="155"/>
      <c r="K445" s="15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58"/>
      <c r="AA445" s="339"/>
      <c r="AB445" s="105"/>
      <c r="AC445" s="105"/>
      <c r="AD445" s="105"/>
      <c r="AE445" s="105"/>
      <c r="AF445" s="158"/>
      <c r="AG445" s="105"/>
      <c r="AH445" s="158"/>
      <c r="AI445" s="88"/>
      <c r="AJ445" s="88"/>
      <c r="AK445" s="131"/>
      <c r="AL445" s="131"/>
      <c r="AM445" s="131"/>
      <c r="AN445" s="131"/>
      <c r="AO445" s="131"/>
      <c r="AP445" s="88"/>
    </row>
    <row r="446">
      <c r="A446" s="155"/>
      <c r="B446" s="337"/>
      <c r="C446" s="340"/>
      <c r="D446" s="337"/>
      <c r="E446" s="255"/>
      <c r="F446" s="255"/>
      <c r="G446" s="338"/>
      <c r="H446" s="155"/>
      <c r="I446" s="155"/>
      <c r="J446" s="155"/>
      <c r="K446" s="15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58"/>
      <c r="AA446" s="339"/>
      <c r="AB446" s="105"/>
      <c r="AC446" s="105"/>
      <c r="AD446" s="105"/>
      <c r="AE446" s="105"/>
      <c r="AF446" s="158"/>
      <c r="AG446" s="105"/>
      <c r="AH446" s="158"/>
      <c r="AI446" s="88"/>
      <c r="AJ446" s="88"/>
      <c r="AK446" s="131"/>
      <c r="AL446" s="131"/>
      <c r="AM446" s="131"/>
      <c r="AN446" s="131"/>
      <c r="AO446" s="131"/>
      <c r="AP446" s="88"/>
    </row>
    <row r="447">
      <c r="A447" s="155"/>
      <c r="B447" s="337"/>
      <c r="C447" s="340"/>
      <c r="D447" s="337"/>
      <c r="E447" s="255"/>
      <c r="F447" s="255"/>
      <c r="G447" s="338"/>
      <c r="H447" s="155"/>
      <c r="I447" s="155"/>
      <c r="J447" s="155"/>
      <c r="K447" s="15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58"/>
      <c r="AA447" s="339"/>
      <c r="AB447" s="105"/>
      <c r="AC447" s="105"/>
      <c r="AD447" s="105"/>
      <c r="AE447" s="105"/>
      <c r="AF447" s="158"/>
      <c r="AG447" s="105"/>
      <c r="AH447" s="158"/>
      <c r="AI447" s="88"/>
      <c r="AJ447" s="88"/>
      <c r="AK447" s="131"/>
      <c r="AL447" s="131"/>
      <c r="AM447" s="131"/>
      <c r="AN447" s="131"/>
      <c r="AO447" s="131"/>
      <c r="AP447" s="88"/>
    </row>
    <row r="448">
      <c r="A448" s="155"/>
      <c r="B448" s="337"/>
      <c r="C448" s="340"/>
      <c r="D448" s="337"/>
      <c r="E448" s="255"/>
      <c r="F448" s="255"/>
      <c r="G448" s="338"/>
      <c r="H448" s="155"/>
      <c r="I448" s="155"/>
      <c r="J448" s="155"/>
      <c r="K448" s="15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58"/>
      <c r="AA448" s="339"/>
      <c r="AB448" s="105"/>
      <c r="AC448" s="105"/>
      <c r="AD448" s="105"/>
      <c r="AE448" s="105"/>
      <c r="AF448" s="158"/>
      <c r="AG448" s="105"/>
      <c r="AH448" s="158"/>
      <c r="AI448" s="88"/>
      <c r="AJ448" s="88"/>
      <c r="AK448" s="131"/>
      <c r="AL448" s="131"/>
      <c r="AM448" s="131"/>
      <c r="AN448" s="131"/>
      <c r="AO448" s="131"/>
      <c r="AP448" s="88"/>
    </row>
    <row r="449">
      <c r="A449" s="155"/>
      <c r="B449" s="337"/>
      <c r="C449" s="340"/>
      <c r="D449" s="337"/>
      <c r="E449" s="255"/>
      <c r="F449" s="255"/>
      <c r="G449" s="338"/>
      <c r="H449" s="155"/>
      <c r="I449" s="155"/>
      <c r="J449" s="155"/>
      <c r="K449" s="15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58"/>
      <c r="AA449" s="339"/>
      <c r="AB449" s="105"/>
      <c r="AC449" s="105"/>
      <c r="AD449" s="105"/>
      <c r="AE449" s="105"/>
      <c r="AF449" s="158"/>
      <c r="AG449" s="105"/>
      <c r="AH449" s="158"/>
      <c r="AI449" s="88"/>
      <c r="AJ449" s="88"/>
      <c r="AK449" s="131"/>
      <c r="AL449" s="131"/>
      <c r="AM449" s="131"/>
      <c r="AN449" s="131"/>
      <c r="AO449" s="131"/>
      <c r="AP449" s="88"/>
    </row>
    <row r="450">
      <c r="A450" s="155"/>
      <c r="B450" s="337"/>
      <c r="C450" s="340"/>
      <c r="D450" s="337"/>
      <c r="E450" s="255"/>
      <c r="F450" s="255"/>
      <c r="G450" s="338"/>
      <c r="H450" s="155"/>
      <c r="I450" s="155"/>
      <c r="J450" s="155"/>
      <c r="K450" s="15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58"/>
      <c r="AA450" s="339"/>
      <c r="AB450" s="105"/>
      <c r="AC450" s="105"/>
      <c r="AD450" s="105"/>
      <c r="AE450" s="105"/>
      <c r="AF450" s="158"/>
      <c r="AG450" s="105"/>
      <c r="AH450" s="158"/>
      <c r="AI450" s="88"/>
      <c r="AJ450" s="88"/>
      <c r="AK450" s="131"/>
      <c r="AL450" s="131"/>
      <c r="AM450" s="131"/>
      <c r="AN450" s="131"/>
      <c r="AO450" s="131"/>
      <c r="AP450" s="88"/>
    </row>
    <row r="451">
      <c r="A451" s="155"/>
      <c r="B451" s="337"/>
      <c r="C451" s="340"/>
      <c r="D451" s="337"/>
      <c r="E451" s="255"/>
      <c r="F451" s="255"/>
      <c r="G451" s="338"/>
      <c r="H451" s="155"/>
      <c r="I451" s="155"/>
      <c r="J451" s="155"/>
      <c r="K451" s="15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58"/>
      <c r="AA451" s="339"/>
      <c r="AB451" s="105"/>
      <c r="AC451" s="105"/>
      <c r="AD451" s="105"/>
      <c r="AE451" s="105"/>
      <c r="AF451" s="158"/>
      <c r="AG451" s="105"/>
      <c r="AH451" s="158"/>
      <c r="AI451" s="88"/>
      <c r="AJ451" s="88"/>
      <c r="AK451" s="131"/>
      <c r="AL451" s="131"/>
      <c r="AM451" s="131"/>
      <c r="AN451" s="131"/>
      <c r="AO451" s="131"/>
      <c r="AP451" s="88"/>
    </row>
    <row r="452">
      <c r="A452" s="155"/>
      <c r="B452" s="337"/>
      <c r="C452" s="340"/>
      <c r="D452" s="337"/>
      <c r="E452" s="255"/>
      <c r="F452" s="255"/>
      <c r="G452" s="338"/>
      <c r="H452" s="155"/>
      <c r="I452" s="155"/>
      <c r="J452" s="155"/>
      <c r="K452" s="15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58"/>
      <c r="AA452" s="339"/>
      <c r="AB452" s="105"/>
      <c r="AC452" s="105"/>
      <c r="AD452" s="105"/>
      <c r="AE452" s="105"/>
      <c r="AF452" s="158"/>
      <c r="AG452" s="105"/>
      <c r="AH452" s="158"/>
      <c r="AI452" s="88"/>
      <c r="AJ452" s="88"/>
      <c r="AK452" s="131"/>
      <c r="AL452" s="131"/>
      <c r="AM452" s="131"/>
      <c r="AN452" s="131"/>
      <c r="AO452" s="131"/>
      <c r="AP452" s="88"/>
    </row>
    <row r="453">
      <c r="A453" s="155"/>
      <c r="B453" s="337"/>
      <c r="C453" s="340"/>
      <c r="D453" s="337"/>
      <c r="E453" s="255"/>
      <c r="F453" s="255"/>
      <c r="G453" s="338"/>
      <c r="H453" s="155"/>
      <c r="I453" s="155"/>
      <c r="J453" s="155"/>
      <c r="K453" s="15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58"/>
      <c r="AA453" s="339"/>
      <c r="AB453" s="105"/>
      <c r="AC453" s="105"/>
      <c r="AD453" s="105"/>
      <c r="AE453" s="105"/>
      <c r="AF453" s="158"/>
      <c r="AG453" s="105"/>
      <c r="AH453" s="158"/>
      <c r="AI453" s="88"/>
      <c r="AJ453" s="88"/>
      <c r="AK453" s="131"/>
      <c r="AL453" s="131"/>
      <c r="AM453" s="131"/>
      <c r="AN453" s="131"/>
      <c r="AO453" s="131"/>
      <c r="AP453" s="88"/>
    </row>
    <row r="454">
      <c r="A454" s="155"/>
      <c r="B454" s="337"/>
      <c r="C454" s="340"/>
      <c r="D454" s="337"/>
      <c r="E454" s="255"/>
      <c r="F454" s="255"/>
      <c r="G454" s="338"/>
      <c r="H454" s="155"/>
      <c r="I454" s="155"/>
      <c r="J454" s="155"/>
      <c r="K454" s="15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58"/>
      <c r="AA454" s="339"/>
      <c r="AB454" s="105"/>
      <c r="AC454" s="105"/>
      <c r="AD454" s="105"/>
      <c r="AE454" s="105"/>
      <c r="AF454" s="158"/>
      <c r="AG454" s="105"/>
      <c r="AH454" s="158"/>
      <c r="AI454" s="88"/>
      <c r="AJ454" s="88"/>
      <c r="AK454" s="131"/>
      <c r="AL454" s="131"/>
      <c r="AM454" s="131"/>
      <c r="AN454" s="131"/>
      <c r="AO454" s="131"/>
      <c r="AP454" s="88"/>
    </row>
    <row r="455">
      <c r="A455" s="155"/>
      <c r="B455" s="337"/>
      <c r="C455" s="340"/>
      <c r="D455" s="337"/>
      <c r="E455" s="255"/>
      <c r="F455" s="255"/>
      <c r="G455" s="338"/>
      <c r="H455" s="155"/>
      <c r="I455" s="155"/>
      <c r="J455" s="155"/>
      <c r="K455" s="15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58"/>
      <c r="AA455" s="339"/>
      <c r="AB455" s="105"/>
      <c r="AC455" s="105"/>
      <c r="AD455" s="105"/>
      <c r="AE455" s="105"/>
      <c r="AF455" s="158"/>
      <c r="AG455" s="105"/>
      <c r="AH455" s="158"/>
      <c r="AI455" s="88"/>
      <c r="AJ455" s="88"/>
      <c r="AK455" s="131"/>
      <c r="AL455" s="131"/>
      <c r="AM455" s="131"/>
      <c r="AN455" s="131"/>
      <c r="AO455" s="131"/>
      <c r="AP455" s="88"/>
    </row>
    <row r="456">
      <c r="A456" s="155"/>
      <c r="B456" s="337"/>
      <c r="C456" s="340"/>
      <c r="D456" s="337"/>
      <c r="E456" s="255"/>
      <c r="F456" s="255"/>
      <c r="G456" s="338"/>
      <c r="H456" s="155"/>
      <c r="I456" s="155"/>
      <c r="J456" s="155"/>
      <c r="K456" s="15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58"/>
      <c r="AA456" s="339"/>
      <c r="AB456" s="105"/>
      <c r="AC456" s="105"/>
      <c r="AD456" s="105"/>
      <c r="AE456" s="105"/>
      <c r="AF456" s="158"/>
      <c r="AG456" s="105"/>
      <c r="AH456" s="158"/>
      <c r="AI456" s="88"/>
      <c r="AJ456" s="88"/>
      <c r="AK456" s="131"/>
      <c r="AL456" s="131"/>
      <c r="AM456" s="131"/>
      <c r="AN456" s="131"/>
      <c r="AO456" s="131"/>
      <c r="AP456" s="88"/>
    </row>
    <row r="457">
      <c r="A457" s="155"/>
      <c r="B457" s="337"/>
      <c r="C457" s="340"/>
      <c r="D457" s="337"/>
      <c r="E457" s="255"/>
      <c r="F457" s="255"/>
      <c r="G457" s="338"/>
      <c r="H457" s="155"/>
      <c r="I457" s="155"/>
      <c r="J457" s="155"/>
      <c r="K457" s="15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58"/>
      <c r="AA457" s="339"/>
      <c r="AB457" s="105"/>
      <c r="AC457" s="105"/>
      <c r="AD457" s="105"/>
      <c r="AE457" s="105"/>
      <c r="AF457" s="158"/>
      <c r="AG457" s="105"/>
      <c r="AH457" s="158"/>
      <c r="AI457" s="88"/>
      <c r="AJ457" s="88"/>
      <c r="AK457" s="131"/>
      <c r="AL457" s="131"/>
      <c r="AM457" s="131"/>
      <c r="AN457" s="131"/>
      <c r="AO457" s="131"/>
      <c r="AP457" s="88"/>
    </row>
    <row r="458">
      <c r="A458" s="155"/>
      <c r="B458" s="337"/>
      <c r="C458" s="340"/>
      <c r="D458" s="337"/>
      <c r="E458" s="255"/>
      <c r="F458" s="255"/>
      <c r="G458" s="338"/>
      <c r="H458" s="155"/>
      <c r="I458" s="155"/>
      <c r="J458" s="155"/>
      <c r="K458" s="15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58"/>
      <c r="AA458" s="339"/>
      <c r="AB458" s="105"/>
      <c r="AC458" s="105"/>
      <c r="AD458" s="105"/>
      <c r="AE458" s="105"/>
      <c r="AF458" s="158"/>
      <c r="AG458" s="105"/>
      <c r="AH458" s="158"/>
      <c r="AI458" s="88"/>
      <c r="AJ458" s="88"/>
      <c r="AK458" s="131"/>
      <c r="AL458" s="131"/>
      <c r="AM458" s="131"/>
      <c r="AN458" s="131"/>
      <c r="AO458" s="131"/>
      <c r="AP458" s="88"/>
    </row>
    <row r="459">
      <c r="A459" s="155"/>
      <c r="B459" s="337"/>
      <c r="C459" s="340"/>
      <c r="D459" s="337"/>
      <c r="E459" s="255"/>
      <c r="F459" s="255"/>
      <c r="G459" s="338"/>
      <c r="H459" s="155"/>
      <c r="I459" s="155"/>
      <c r="J459" s="155"/>
      <c r="K459" s="15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58"/>
      <c r="AA459" s="339"/>
      <c r="AB459" s="105"/>
      <c r="AC459" s="105"/>
      <c r="AD459" s="105"/>
      <c r="AE459" s="105"/>
      <c r="AF459" s="158"/>
      <c r="AG459" s="105"/>
      <c r="AH459" s="158"/>
      <c r="AI459" s="88"/>
      <c r="AJ459" s="88"/>
      <c r="AK459" s="131"/>
      <c r="AL459" s="131"/>
      <c r="AM459" s="131"/>
      <c r="AN459" s="131"/>
      <c r="AO459" s="131"/>
      <c r="AP459" s="88"/>
    </row>
    <row r="460">
      <c r="A460" s="155"/>
      <c r="B460" s="337"/>
      <c r="C460" s="340"/>
      <c r="D460" s="337"/>
      <c r="E460" s="255"/>
      <c r="F460" s="255"/>
      <c r="G460" s="338"/>
      <c r="H460" s="155"/>
      <c r="I460" s="155"/>
      <c r="J460" s="155"/>
      <c r="K460" s="15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58"/>
      <c r="AA460" s="339"/>
      <c r="AB460" s="105"/>
      <c r="AC460" s="105"/>
      <c r="AD460" s="105"/>
      <c r="AE460" s="105"/>
      <c r="AF460" s="158"/>
      <c r="AG460" s="105"/>
      <c r="AH460" s="158"/>
      <c r="AI460" s="88"/>
      <c r="AJ460" s="88"/>
      <c r="AK460" s="131"/>
      <c r="AL460" s="131"/>
      <c r="AM460" s="131"/>
      <c r="AN460" s="131"/>
      <c r="AO460" s="131"/>
      <c r="AP460" s="88"/>
    </row>
    <row r="461">
      <c r="A461" s="155"/>
      <c r="B461" s="337"/>
      <c r="C461" s="340"/>
      <c r="D461" s="337"/>
      <c r="E461" s="255"/>
      <c r="F461" s="255"/>
      <c r="G461" s="338"/>
      <c r="H461" s="155"/>
      <c r="I461" s="155"/>
      <c r="J461" s="155"/>
      <c r="K461" s="15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58"/>
      <c r="AA461" s="339"/>
      <c r="AB461" s="105"/>
      <c r="AC461" s="105"/>
      <c r="AD461" s="105"/>
      <c r="AE461" s="105"/>
      <c r="AF461" s="158"/>
      <c r="AG461" s="105"/>
      <c r="AH461" s="158"/>
      <c r="AI461" s="88"/>
      <c r="AJ461" s="88"/>
      <c r="AK461" s="131"/>
      <c r="AL461" s="131"/>
      <c r="AM461" s="131"/>
      <c r="AN461" s="131"/>
      <c r="AO461" s="131"/>
      <c r="AP461" s="88"/>
    </row>
    <row r="462">
      <c r="A462" s="155"/>
      <c r="B462" s="337"/>
      <c r="C462" s="340"/>
      <c r="D462" s="337"/>
      <c r="E462" s="255"/>
      <c r="F462" s="255"/>
      <c r="G462" s="338"/>
      <c r="H462" s="155"/>
      <c r="I462" s="155"/>
      <c r="J462" s="155"/>
      <c r="K462" s="15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58"/>
      <c r="AA462" s="339"/>
      <c r="AB462" s="105"/>
      <c r="AC462" s="105"/>
      <c r="AD462" s="105"/>
      <c r="AE462" s="105"/>
      <c r="AF462" s="158"/>
      <c r="AG462" s="105"/>
      <c r="AH462" s="158"/>
      <c r="AI462" s="88"/>
      <c r="AJ462" s="88"/>
      <c r="AK462" s="131"/>
      <c r="AL462" s="131"/>
      <c r="AM462" s="131"/>
      <c r="AN462" s="131"/>
      <c r="AO462" s="131"/>
      <c r="AP462" s="88"/>
    </row>
    <row r="463">
      <c r="A463" s="155"/>
      <c r="B463" s="337"/>
      <c r="C463" s="340"/>
      <c r="D463" s="337"/>
      <c r="E463" s="255"/>
      <c r="F463" s="255"/>
      <c r="G463" s="338"/>
      <c r="H463" s="155"/>
      <c r="I463" s="155"/>
      <c r="J463" s="155"/>
      <c r="K463" s="15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58"/>
      <c r="AA463" s="339"/>
      <c r="AB463" s="105"/>
      <c r="AC463" s="105"/>
      <c r="AD463" s="105"/>
      <c r="AE463" s="105"/>
      <c r="AF463" s="158"/>
      <c r="AG463" s="105"/>
      <c r="AH463" s="158"/>
      <c r="AI463" s="88"/>
      <c r="AJ463" s="88"/>
      <c r="AK463" s="131"/>
      <c r="AL463" s="131"/>
      <c r="AM463" s="131"/>
      <c r="AN463" s="131"/>
      <c r="AO463" s="131"/>
      <c r="AP463" s="88"/>
    </row>
    <row r="464">
      <c r="A464" s="155"/>
      <c r="B464" s="337"/>
      <c r="C464" s="340"/>
      <c r="D464" s="337"/>
      <c r="E464" s="255"/>
      <c r="F464" s="255"/>
      <c r="G464" s="338"/>
      <c r="H464" s="155"/>
      <c r="I464" s="155"/>
      <c r="J464" s="155"/>
      <c r="K464" s="15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58"/>
      <c r="AA464" s="339"/>
      <c r="AB464" s="105"/>
      <c r="AC464" s="105"/>
      <c r="AD464" s="105"/>
      <c r="AE464" s="105"/>
      <c r="AF464" s="158"/>
      <c r="AG464" s="105"/>
      <c r="AH464" s="158"/>
      <c r="AI464" s="88"/>
      <c r="AJ464" s="88"/>
      <c r="AK464" s="131"/>
      <c r="AL464" s="131"/>
      <c r="AM464" s="131"/>
      <c r="AN464" s="131"/>
      <c r="AO464" s="131"/>
      <c r="AP464" s="88"/>
    </row>
    <row r="465">
      <c r="A465" s="155"/>
      <c r="B465" s="337"/>
      <c r="C465" s="340"/>
      <c r="D465" s="337"/>
      <c r="E465" s="255"/>
      <c r="F465" s="255"/>
      <c r="G465" s="338"/>
      <c r="H465" s="155"/>
      <c r="I465" s="155"/>
      <c r="J465" s="155"/>
      <c r="K465" s="15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58"/>
      <c r="AA465" s="339"/>
      <c r="AB465" s="105"/>
      <c r="AC465" s="105"/>
      <c r="AD465" s="105"/>
      <c r="AE465" s="105"/>
      <c r="AF465" s="158"/>
      <c r="AG465" s="105"/>
      <c r="AH465" s="158"/>
      <c r="AI465" s="88"/>
      <c r="AJ465" s="88"/>
      <c r="AK465" s="131"/>
      <c r="AL465" s="131"/>
      <c r="AM465" s="131"/>
      <c r="AN465" s="131"/>
      <c r="AO465" s="131"/>
      <c r="AP465" s="88"/>
    </row>
    <row r="466">
      <c r="A466" s="155"/>
      <c r="B466" s="337"/>
      <c r="C466" s="340"/>
      <c r="D466" s="337"/>
      <c r="E466" s="255"/>
      <c r="F466" s="255"/>
      <c r="G466" s="338"/>
      <c r="H466" s="155"/>
      <c r="I466" s="155"/>
      <c r="J466" s="155"/>
      <c r="K466" s="15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58"/>
      <c r="AA466" s="339"/>
      <c r="AB466" s="105"/>
      <c r="AC466" s="105"/>
      <c r="AD466" s="105"/>
      <c r="AE466" s="105"/>
      <c r="AF466" s="158"/>
      <c r="AG466" s="105"/>
      <c r="AH466" s="158"/>
      <c r="AI466" s="88"/>
      <c r="AJ466" s="88"/>
      <c r="AK466" s="131"/>
      <c r="AL466" s="131"/>
      <c r="AM466" s="131"/>
      <c r="AN466" s="131"/>
      <c r="AO466" s="131"/>
      <c r="AP466" s="88"/>
    </row>
    <row r="467">
      <c r="A467" s="155"/>
      <c r="B467" s="337"/>
      <c r="C467" s="340"/>
      <c r="D467" s="337"/>
      <c r="E467" s="255"/>
      <c r="F467" s="255"/>
      <c r="G467" s="338"/>
      <c r="H467" s="155"/>
      <c r="I467" s="155"/>
      <c r="J467" s="155"/>
      <c r="K467" s="15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58"/>
      <c r="AA467" s="339"/>
      <c r="AB467" s="105"/>
      <c r="AC467" s="105"/>
      <c r="AD467" s="105"/>
      <c r="AE467" s="105"/>
      <c r="AF467" s="158"/>
      <c r="AG467" s="105"/>
      <c r="AH467" s="158"/>
      <c r="AI467" s="88"/>
      <c r="AJ467" s="88"/>
      <c r="AK467" s="131"/>
      <c r="AL467" s="131"/>
      <c r="AM467" s="131"/>
      <c r="AN467" s="131"/>
      <c r="AO467" s="131"/>
      <c r="AP467" s="88"/>
    </row>
    <row r="468">
      <c r="A468" s="155"/>
      <c r="B468" s="337"/>
      <c r="C468" s="340"/>
      <c r="D468" s="337"/>
      <c r="E468" s="255"/>
      <c r="F468" s="255"/>
      <c r="G468" s="338"/>
      <c r="H468" s="155"/>
      <c r="I468" s="155"/>
      <c r="J468" s="155"/>
      <c r="K468" s="15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58"/>
      <c r="AA468" s="339"/>
      <c r="AB468" s="105"/>
      <c r="AC468" s="105"/>
      <c r="AD468" s="105"/>
      <c r="AE468" s="105"/>
      <c r="AF468" s="158"/>
      <c r="AG468" s="105"/>
      <c r="AH468" s="158"/>
      <c r="AI468" s="88"/>
      <c r="AJ468" s="88"/>
      <c r="AK468" s="131"/>
      <c r="AL468" s="131"/>
      <c r="AM468" s="131"/>
      <c r="AN468" s="131"/>
      <c r="AO468" s="131"/>
      <c r="AP468" s="88"/>
    </row>
    <row r="469">
      <c r="A469" s="155"/>
      <c r="B469" s="337"/>
      <c r="C469" s="340"/>
      <c r="D469" s="337"/>
      <c r="E469" s="255"/>
      <c r="F469" s="255"/>
      <c r="G469" s="338"/>
      <c r="H469" s="155"/>
      <c r="I469" s="155"/>
      <c r="J469" s="155"/>
      <c r="K469" s="15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58"/>
      <c r="AA469" s="339"/>
      <c r="AB469" s="105"/>
      <c r="AC469" s="105"/>
      <c r="AD469" s="105"/>
      <c r="AE469" s="105"/>
      <c r="AF469" s="158"/>
      <c r="AG469" s="105"/>
      <c r="AH469" s="158"/>
      <c r="AI469" s="88"/>
      <c r="AJ469" s="88"/>
      <c r="AK469" s="131"/>
      <c r="AL469" s="131"/>
      <c r="AM469" s="131"/>
      <c r="AN469" s="131"/>
      <c r="AO469" s="131"/>
      <c r="AP469" s="88"/>
    </row>
    <row r="470">
      <c r="A470" s="155"/>
      <c r="B470" s="337"/>
      <c r="C470" s="340"/>
      <c r="D470" s="337"/>
      <c r="E470" s="255"/>
      <c r="F470" s="255"/>
      <c r="G470" s="338"/>
      <c r="H470" s="155"/>
      <c r="I470" s="155"/>
      <c r="J470" s="155"/>
      <c r="K470" s="15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58"/>
      <c r="AA470" s="339"/>
      <c r="AB470" s="105"/>
      <c r="AC470" s="105"/>
      <c r="AD470" s="105"/>
      <c r="AE470" s="105"/>
      <c r="AF470" s="158"/>
      <c r="AG470" s="105"/>
      <c r="AH470" s="158"/>
      <c r="AI470" s="88"/>
      <c r="AJ470" s="88"/>
      <c r="AK470" s="131"/>
      <c r="AL470" s="131"/>
      <c r="AM470" s="131"/>
      <c r="AN470" s="131"/>
      <c r="AO470" s="131"/>
      <c r="AP470" s="88"/>
    </row>
    <row r="471">
      <c r="A471" s="155"/>
      <c r="B471" s="337"/>
      <c r="C471" s="340"/>
      <c r="D471" s="337"/>
      <c r="E471" s="255"/>
      <c r="F471" s="255"/>
      <c r="G471" s="338"/>
      <c r="H471" s="155"/>
      <c r="I471" s="155"/>
      <c r="J471" s="155"/>
      <c r="K471" s="15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58"/>
      <c r="AA471" s="339"/>
      <c r="AB471" s="105"/>
      <c r="AC471" s="105"/>
      <c r="AD471" s="105"/>
      <c r="AE471" s="105"/>
      <c r="AF471" s="158"/>
      <c r="AG471" s="105"/>
      <c r="AH471" s="158"/>
      <c r="AI471" s="88"/>
      <c r="AJ471" s="88"/>
      <c r="AK471" s="131"/>
      <c r="AL471" s="131"/>
      <c r="AM471" s="131"/>
      <c r="AN471" s="131"/>
      <c r="AO471" s="131"/>
      <c r="AP471" s="88"/>
    </row>
    <row r="472">
      <c r="A472" s="155"/>
      <c r="B472" s="337"/>
      <c r="C472" s="340"/>
      <c r="D472" s="337"/>
      <c r="E472" s="255"/>
      <c r="F472" s="255"/>
      <c r="G472" s="338"/>
      <c r="H472" s="155"/>
      <c r="I472" s="155"/>
      <c r="J472" s="155"/>
      <c r="K472" s="15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58"/>
      <c r="AA472" s="339"/>
      <c r="AB472" s="105"/>
      <c r="AC472" s="105"/>
      <c r="AD472" s="105"/>
      <c r="AE472" s="105"/>
      <c r="AF472" s="158"/>
      <c r="AG472" s="105"/>
      <c r="AH472" s="158"/>
      <c r="AI472" s="88"/>
      <c r="AJ472" s="88"/>
      <c r="AK472" s="131"/>
      <c r="AL472" s="131"/>
      <c r="AM472" s="131"/>
      <c r="AN472" s="131"/>
      <c r="AO472" s="131"/>
      <c r="AP472" s="88"/>
    </row>
    <row r="473">
      <c r="A473" s="155"/>
      <c r="B473" s="337"/>
      <c r="C473" s="340"/>
      <c r="D473" s="337"/>
      <c r="E473" s="255"/>
      <c r="F473" s="255"/>
      <c r="G473" s="338"/>
      <c r="H473" s="155"/>
      <c r="I473" s="155"/>
      <c r="J473" s="155"/>
      <c r="K473" s="15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58"/>
      <c r="AA473" s="339"/>
      <c r="AB473" s="105"/>
      <c r="AC473" s="105"/>
      <c r="AD473" s="105"/>
      <c r="AE473" s="105"/>
      <c r="AF473" s="158"/>
      <c r="AG473" s="105"/>
      <c r="AH473" s="158"/>
      <c r="AI473" s="88"/>
      <c r="AJ473" s="88"/>
      <c r="AK473" s="131"/>
      <c r="AL473" s="131"/>
      <c r="AM473" s="131"/>
      <c r="AN473" s="131"/>
      <c r="AO473" s="131"/>
      <c r="AP473" s="88"/>
    </row>
    <row r="474">
      <c r="A474" s="155"/>
      <c r="B474" s="337"/>
      <c r="C474" s="340"/>
      <c r="D474" s="337"/>
      <c r="E474" s="255"/>
      <c r="F474" s="255"/>
      <c r="G474" s="338"/>
      <c r="H474" s="155"/>
      <c r="I474" s="155"/>
      <c r="J474" s="155"/>
      <c r="K474" s="15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58"/>
      <c r="AA474" s="339"/>
      <c r="AB474" s="105"/>
      <c r="AC474" s="105"/>
      <c r="AD474" s="105"/>
      <c r="AE474" s="105"/>
      <c r="AF474" s="158"/>
      <c r="AG474" s="105"/>
      <c r="AH474" s="158"/>
      <c r="AI474" s="88"/>
      <c r="AJ474" s="88"/>
      <c r="AK474" s="131"/>
      <c r="AL474" s="131"/>
      <c r="AM474" s="131"/>
      <c r="AN474" s="131"/>
      <c r="AO474" s="131"/>
      <c r="AP474" s="88"/>
    </row>
    <row r="475">
      <c r="A475" s="155"/>
      <c r="B475" s="337"/>
      <c r="C475" s="340"/>
      <c r="D475" s="337"/>
      <c r="E475" s="255"/>
      <c r="F475" s="255"/>
      <c r="G475" s="338"/>
      <c r="H475" s="155"/>
      <c r="I475" s="155"/>
      <c r="J475" s="155"/>
      <c r="K475" s="15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58"/>
      <c r="AA475" s="339"/>
      <c r="AB475" s="105"/>
      <c r="AC475" s="105"/>
      <c r="AD475" s="105"/>
      <c r="AE475" s="105"/>
      <c r="AF475" s="158"/>
      <c r="AG475" s="105"/>
      <c r="AH475" s="158"/>
      <c r="AI475" s="88"/>
      <c r="AJ475" s="88"/>
      <c r="AK475" s="131"/>
      <c r="AL475" s="131"/>
      <c r="AM475" s="131"/>
      <c r="AN475" s="131"/>
      <c r="AO475" s="131"/>
      <c r="AP475" s="88"/>
    </row>
    <row r="476">
      <c r="A476" s="155"/>
      <c r="B476" s="337"/>
      <c r="C476" s="340"/>
      <c r="D476" s="337"/>
      <c r="E476" s="255"/>
      <c r="F476" s="255"/>
      <c r="G476" s="338"/>
      <c r="H476" s="155"/>
      <c r="I476" s="155"/>
      <c r="J476" s="155"/>
      <c r="K476" s="15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58"/>
      <c r="AA476" s="339"/>
      <c r="AB476" s="105"/>
      <c r="AC476" s="105"/>
      <c r="AD476" s="105"/>
      <c r="AE476" s="105"/>
      <c r="AF476" s="158"/>
      <c r="AG476" s="105"/>
      <c r="AH476" s="158"/>
      <c r="AI476" s="88"/>
      <c r="AJ476" s="88"/>
      <c r="AK476" s="131"/>
      <c r="AL476" s="131"/>
      <c r="AM476" s="131"/>
      <c r="AN476" s="131"/>
      <c r="AO476" s="131"/>
      <c r="AP476" s="88"/>
    </row>
    <row r="477">
      <c r="A477" s="155"/>
      <c r="B477" s="337"/>
      <c r="C477" s="340"/>
      <c r="D477" s="337"/>
      <c r="E477" s="255"/>
      <c r="F477" s="255"/>
      <c r="G477" s="338"/>
      <c r="H477" s="155"/>
      <c r="I477" s="155"/>
      <c r="J477" s="155"/>
      <c r="K477" s="15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58"/>
      <c r="AA477" s="339"/>
      <c r="AB477" s="105"/>
      <c r="AC477" s="105"/>
      <c r="AD477" s="105"/>
      <c r="AE477" s="105"/>
      <c r="AF477" s="158"/>
      <c r="AG477" s="105"/>
      <c r="AH477" s="158"/>
      <c r="AI477" s="88"/>
      <c r="AJ477" s="88"/>
      <c r="AK477" s="131"/>
      <c r="AL477" s="131"/>
      <c r="AM477" s="131"/>
      <c r="AN477" s="131"/>
      <c r="AO477" s="131"/>
      <c r="AP477" s="88"/>
    </row>
    <row r="478">
      <c r="A478" s="155"/>
      <c r="B478" s="337"/>
      <c r="C478" s="340"/>
      <c r="D478" s="337"/>
      <c r="E478" s="255"/>
      <c r="F478" s="255"/>
      <c r="G478" s="338"/>
      <c r="H478" s="155"/>
      <c r="I478" s="155"/>
      <c r="J478" s="155"/>
      <c r="K478" s="15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58"/>
      <c r="AA478" s="339"/>
      <c r="AB478" s="105"/>
      <c r="AC478" s="105"/>
      <c r="AD478" s="105"/>
      <c r="AE478" s="105"/>
      <c r="AF478" s="158"/>
      <c r="AG478" s="105"/>
      <c r="AH478" s="158"/>
      <c r="AI478" s="88"/>
      <c r="AJ478" s="88"/>
      <c r="AK478" s="131"/>
      <c r="AL478" s="131"/>
      <c r="AM478" s="131"/>
      <c r="AN478" s="131"/>
      <c r="AO478" s="131"/>
      <c r="AP478" s="88"/>
    </row>
    <row r="479">
      <c r="A479" s="155"/>
      <c r="B479" s="337"/>
      <c r="C479" s="340"/>
      <c r="D479" s="337"/>
      <c r="E479" s="255"/>
      <c r="F479" s="255"/>
      <c r="G479" s="338"/>
      <c r="H479" s="155"/>
      <c r="I479" s="155"/>
      <c r="J479" s="155"/>
      <c r="K479" s="15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58"/>
      <c r="AA479" s="339"/>
      <c r="AB479" s="105"/>
      <c r="AC479" s="105"/>
      <c r="AD479" s="105"/>
      <c r="AE479" s="105"/>
      <c r="AF479" s="158"/>
      <c r="AG479" s="105"/>
      <c r="AH479" s="158"/>
      <c r="AI479" s="88"/>
      <c r="AJ479" s="88"/>
      <c r="AK479" s="131"/>
      <c r="AL479" s="131"/>
      <c r="AM479" s="131"/>
      <c r="AN479" s="131"/>
      <c r="AO479" s="131"/>
      <c r="AP479" s="88"/>
    </row>
    <row r="480">
      <c r="A480" s="155"/>
      <c r="B480" s="337"/>
      <c r="C480" s="340"/>
      <c r="D480" s="337"/>
      <c r="E480" s="255"/>
      <c r="F480" s="255"/>
      <c r="G480" s="338"/>
      <c r="H480" s="155"/>
      <c r="I480" s="155"/>
      <c r="J480" s="155"/>
      <c r="K480" s="15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58"/>
      <c r="AA480" s="339"/>
      <c r="AB480" s="105"/>
      <c r="AC480" s="105"/>
      <c r="AD480" s="105"/>
      <c r="AE480" s="105"/>
      <c r="AF480" s="158"/>
      <c r="AG480" s="105"/>
      <c r="AH480" s="158"/>
      <c r="AI480" s="88"/>
      <c r="AJ480" s="88"/>
      <c r="AK480" s="131"/>
      <c r="AL480" s="131"/>
      <c r="AM480" s="131"/>
      <c r="AN480" s="131"/>
      <c r="AO480" s="131"/>
      <c r="AP480" s="88"/>
    </row>
    <row r="481">
      <c r="A481" s="155"/>
      <c r="B481" s="337"/>
      <c r="C481" s="340"/>
      <c r="D481" s="337"/>
      <c r="E481" s="255"/>
      <c r="F481" s="255"/>
      <c r="G481" s="338"/>
      <c r="H481" s="155"/>
      <c r="I481" s="155"/>
      <c r="J481" s="155"/>
      <c r="K481" s="15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58"/>
      <c r="AA481" s="339"/>
      <c r="AB481" s="105"/>
      <c r="AC481" s="105"/>
      <c r="AD481" s="105"/>
      <c r="AE481" s="105"/>
      <c r="AF481" s="158"/>
      <c r="AG481" s="105"/>
      <c r="AH481" s="158"/>
      <c r="AI481" s="88"/>
      <c r="AJ481" s="88"/>
      <c r="AK481" s="131"/>
      <c r="AL481" s="131"/>
      <c r="AM481" s="131"/>
      <c r="AN481" s="131"/>
      <c r="AO481" s="131"/>
      <c r="AP481" s="88"/>
    </row>
    <row r="482">
      <c r="A482" s="155"/>
      <c r="B482" s="337"/>
      <c r="C482" s="340"/>
      <c r="D482" s="337"/>
      <c r="E482" s="255"/>
      <c r="F482" s="255"/>
      <c r="G482" s="338"/>
      <c r="H482" s="155"/>
      <c r="I482" s="155"/>
      <c r="J482" s="155"/>
      <c r="K482" s="15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58"/>
      <c r="AA482" s="339"/>
      <c r="AB482" s="105"/>
      <c r="AC482" s="105"/>
      <c r="AD482" s="105"/>
      <c r="AE482" s="105"/>
      <c r="AF482" s="158"/>
      <c r="AG482" s="105"/>
      <c r="AH482" s="158"/>
      <c r="AI482" s="88"/>
      <c r="AJ482" s="88"/>
      <c r="AK482" s="131"/>
      <c r="AL482" s="131"/>
      <c r="AM482" s="131"/>
      <c r="AN482" s="131"/>
      <c r="AO482" s="131"/>
      <c r="AP482" s="88"/>
    </row>
    <row r="483">
      <c r="A483" s="155"/>
      <c r="B483" s="337"/>
      <c r="C483" s="340"/>
      <c r="D483" s="337"/>
      <c r="E483" s="255"/>
      <c r="F483" s="255"/>
      <c r="G483" s="338"/>
      <c r="H483" s="155"/>
      <c r="I483" s="155"/>
      <c r="J483" s="155"/>
      <c r="K483" s="15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58"/>
      <c r="AA483" s="339"/>
      <c r="AB483" s="105"/>
      <c r="AC483" s="105"/>
      <c r="AD483" s="105"/>
      <c r="AE483" s="105"/>
      <c r="AF483" s="158"/>
      <c r="AG483" s="105"/>
      <c r="AH483" s="158"/>
      <c r="AI483" s="88"/>
      <c r="AJ483" s="88"/>
      <c r="AK483" s="131"/>
      <c r="AL483" s="131"/>
      <c r="AM483" s="131"/>
      <c r="AN483" s="131"/>
      <c r="AO483" s="131"/>
      <c r="AP483" s="88"/>
    </row>
    <row r="484">
      <c r="A484" s="155"/>
      <c r="B484" s="337"/>
      <c r="C484" s="340"/>
      <c r="D484" s="337"/>
      <c r="E484" s="255"/>
      <c r="F484" s="255"/>
      <c r="G484" s="338"/>
      <c r="H484" s="155"/>
      <c r="I484" s="155"/>
      <c r="J484" s="155"/>
      <c r="K484" s="15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58"/>
      <c r="AA484" s="339"/>
      <c r="AB484" s="105"/>
      <c r="AC484" s="105"/>
      <c r="AD484" s="105"/>
      <c r="AE484" s="105"/>
      <c r="AF484" s="158"/>
      <c r="AG484" s="105"/>
      <c r="AH484" s="158"/>
      <c r="AI484" s="88"/>
      <c r="AJ484" s="88"/>
      <c r="AK484" s="131"/>
      <c r="AL484" s="131"/>
      <c r="AM484" s="131"/>
      <c r="AN484" s="131"/>
      <c r="AO484" s="131"/>
      <c r="AP484" s="88"/>
    </row>
    <row r="485">
      <c r="A485" s="155"/>
      <c r="B485" s="337"/>
      <c r="C485" s="340"/>
      <c r="D485" s="337"/>
      <c r="E485" s="255"/>
      <c r="F485" s="255"/>
      <c r="G485" s="338"/>
      <c r="H485" s="155"/>
      <c r="I485" s="155"/>
      <c r="J485" s="155"/>
      <c r="K485" s="15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58"/>
      <c r="AA485" s="339"/>
      <c r="AB485" s="105"/>
      <c r="AC485" s="105"/>
      <c r="AD485" s="105"/>
      <c r="AE485" s="105"/>
      <c r="AF485" s="158"/>
      <c r="AG485" s="105"/>
      <c r="AH485" s="158"/>
      <c r="AI485" s="88"/>
      <c r="AJ485" s="88"/>
      <c r="AK485" s="131"/>
      <c r="AL485" s="131"/>
      <c r="AM485" s="131"/>
      <c r="AN485" s="131"/>
      <c r="AO485" s="131"/>
      <c r="AP485" s="88"/>
    </row>
    <row r="486">
      <c r="A486" s="155"/>
      <c r="B486" s="337"/>
      <c r="C486" s="340"/>
      <c r="D486" s="337"/>
      <c r="E486" s="255"/>
      <c r="F486" s="255"/>
      <c r="G486" s="338"/>
      <c r="H486" s="155"/>
      <c r="I486" s="155"/>
      <c r="J486" s="155"/>
      <c r="K486" s="15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58"/>
      <c r="AA486" s="339"/>
      <c r="AB486" s="105"/>
      <c r="AC486" s="105"/>
      <c r="AD486" s="105"/>
      <c r="AE486" s="105"/>
      <c r="AF486" s="158"/>
      <c r="AG486" s="105"/>
      <c r="AH486" s="158"/>
      <c r="AI486" s="88"/>
      <c r="AJ486" s="88"/>
      <c r="AK486" s="131"/>
      <c r="AL486" s="131"/>
      <c r="AM486" s="131"/>
      <c r="AN486" s="131"/>
      <c r="AO486" s="131"/>
      <c r="AP486" s="88"/>
    </row>
    <row r="487">
      <c r="A487" s="155"/>
      <c r="B487" s="337"/>
      <c r="C487" s="340"/>
      <c r="D487" s="337"/>
      <c r="E487" s="255"/>
      <c r="F487" s="255"/>
      <c r="G487" s="338"/>
      <c r="H487" s="155"/>
      <c r="I487" s="155"/>
      <c r="J487" s="155"/>
      <c r="K487" s="15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58"/>
      <c r="AA487" s="339"/>
      <c r="AB487" s="105"/>
      <c r="AC487" s="105"/>
      <c r="AD487" s="105"/>
      <c r="AE487" s="105"/>
      <c r="AF487" s="158"/>
      <c r="AG487" s="105"/>
      <c r="AH487" s="158"/>
      <c r="AI487" s="88"/>
      <c r="AJ487" s="88"/>
      <c r="AK487" s="131"/>
      <c r="AL487" s="131"/>
      <c r="AM487" s="131"/>
      <c r="AN487" s="131"/>
      <c r="AO487" s="131"/>
      <c r="AP487" s="88"/>
    </row>
    <row r="488">
      <c r="A488" s="155"/>
      <c r="B488" s="337"/>
      <c r="C488" s="340"/>
      <c r="D488" s="337"/>
      <c r="E488" s="255"/>
      <c r="F488" s="255"/>
      <c r="G488" s="338"/>
      <c r="H488" s="155"/>
      <c r="I488" s="155"/>
      <c r="J488" s="155"/>
      <c r="K488" s="15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58"/>
      <c r="AA488" s="339"/>
      <c r="AB488" s="105"/>
      <c r="AC488" s="105"/>
      <c r="AD488" s="105"/>
      <c r="AE488" s="105"/>
      <c r="AF488" s="158"/>
      <c r="AG488" s="105"/>
      <c r="AH488" s="158"/>
      <c r="AI488" s="88"/>
      <c r="AJ488" s="88"/>
      <c r="AK488" s="131"/>
      <c r="AL488" s="131"/>
      <c r="AM488" s="131"/>
      <c r="AN488" s="131"/>
      <c r="AO488" s="131"/>
      <c r="AP488" s="88"/>
    </row>
    <row r="489">
      <c r="A489" s="155"/>
      <c r="B489" s="337"/>
      <c r="C489" s="340"/>
      <c r="D489" s="337"/>
      <c r="E489" s="255"/>
      <c r="F489" s="255"/>
      <c r="G489" s="338"/>
      <c r="H489" s="155"/>
      <c r="I489" s="155"/>
      <c r="J489" s="155"/>
      <c r="K489" s="15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58"/>
      <c r="AA489" s="339"/>
      <c r="AB489" s="105"/>
      <c r="AC489" s="105"/>
      <c r="AD489" s="105"/>
      <c r="AE489" s="105"/>
      <c r="AF489" s="158"/>
      <c r="AG489" s="105"/>
      <c r="AH489" s="158"/>
      <c r="AI489" s="88"/>
      <c r="AJ489" s="88"/>
      <c r="AK489" s="131"/>
      <c r="AL489" s="131"/>
      <c r="AM489" s="131"/>
      <c r="AN489" s="131"/>
      <c r="AO489" s="131"/>
      <c r="AP489" s="88"/>
    </row>
    <row r="490">
      <c r="A490" s="155"/>
      <c r="B490" s="337"/>
      <c r="C490" s="340"/>
      <c r="D490" s="337"/>
      <c r="E490" s="255"/>
      <c r="F490" s="255"/>
      <c r="G490" s="338"/>
      <c r="H490" s="155"/>
      <c r="I490" s="155"/>
      <c r="J490" s="155"/>
      <c r="K490" s="15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58"/>
      <c r="AA490" s="339"/>
      <c r="AB490" s="105"/>
      <c r="AC490" s="105"/>
      <c r="AD490" s="105"/>
      <c r="AE490" s="105"/>
      <c r="AF490" s="158"/>
      <c r="AG490" s="105"/>
      <c r="AH490" s="158"/>
      <c r="AI490" s="88"/>
      <c r="AJ490" s="88"/>
      <c r="AK490" s="131"/>
      <c r="AL490" s="131"/>
      <c r="AM490" s="131"/>
      <c r="AN490" s="131"/>
      <c r="AO490" s="131"/>
      <c r="AP490" s="88"/>
    </row>
    <row r="491">
      <c r="A491" s="155"/>
      <c r="B491" s="337"/>
      <c r="C491" s="340"/>
      <c r="D491" s="337"/>
      <c r="E491" s="255"/>
      <c r="F491" s="255"/>
      <c r="G491" s="338"/>
      <c r="H491" s="155"/>
      <c r="I491" s="155"/>
      <c r="J491" s="155"/>
      <c r="K491" s="15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58"/>
      <c r="AA491" s="339"/>
      <c r="AB491" s="105"/>
      <c r="AC491" s="105"/>
      <c r="AD491" s="105"/>
      <c r="AE491" s="105"/>
      <c r="AF491" s="158"/>
      <c r="AG491" s="105"/>
      <c r="AH491" s="158"/>
      <c r="AI491" s="88"/>
      <c r="AJ491" s="88"/>
      <c r="AK491" s="131"/>
      <c r="AL491" s="131"/>
      <c r="AM491" s="131"/>
      <c r="AN491" s="131"/>
      <c r="AO491" s="131"/>
      <c r="AP491" s="88"/>
    </row>
    <row r="492">
      <c r="A492" s="155"/>
      <c r="B492" s="337"/>
      <c r="C492" s="340"/>
      <c r="D492" s="337"/>
      <c r="E492" s="255"/>
      <c r="F492" s="255"/>
      <c r="G492" s="338"/>
      <c r="H492" s="155"/>
      <c r="I492" s="155"/>
      <c r="J492" s="155"/>
      <c r="K492" s="15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58"/>
      <c r="AA492" s="339"/>
      <c r="AB492" s="105"/>
      <c r="AC492" s="105"/>
      <c r="AD492" s="105"/>
      <c r="AE492" s="105"/>
      <c r="AF492" s="158"/>
      <c r="AG492" s="105"/>
      <c r="AH492" s="158"/>
      <c r="AI492" s="88"/>
      <c r="AJ492" s="88"/>
      <c r="AK492" s="131"/>
      <c r="AL492" s="131"/>
      <c r="AM492" s="131"/>
      <c r="AN492" s="131"/>
      <c r="AO492" s="131"/>
      <c r="AP492" s="88"/>
    </row>
    <row r="493">
      <c r="A493" s="155"/>
      <c r="B493" s="337"/>
      <c r="C493" s="340"/>
      <c r="D493" s="337"/>
      <c r="E493" s="255"/>
      <c r="F493" s="255"/>
      <c r="G493" s="338"/>
      <c r="H493" s="155"/>
      <c r="I493" s="155"/>
      <c r="J493" s="155"/>
      <c r="K493" s="15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58"/>
      <c r="AA493" s="339"/>
      <c r="AB493" s="105"/>
      <c r="AC493" s="105"/>
      <c r="AD493" s="105"/>
      <c r="AE493" s="105"/>
      <c r="AF493" s="158"/>
      <c r="AG493" s="105"/>
      <c r="AH493" s="158"/>
      <c r="AI493" s="88"/>
      <c r="AJ493" s="88"/>
      <c r="AK493" s="131"/>
      <c r="AL493" s="131"/>
      <c r="AM493" s="131"/>
      <c r="AN493" s="131"/>
      <c r="AO493" s="131"/>
      <c r="AP493" s="88"/>
    </row>
    <row r="494">
      <c r="A494" s="155"/>
      <c r="B494" s="337"/>
      <c r="C494" s="340"/>
      <c r="D494" s="337"/>
      <c r="E494" s="255"/>
      <c r="F494" s="255"/>
      <c r="G494" s="338"/>
      <c r="H494" s="155"/>
      <c r="I494" s="155"/>
      <c r="J494" s="155"/>
      <c r="K494" s="15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58"/>
      <c r="AA494" s="339"/>
      <c r="AB494" s="105"/>
      <c r="AC494" s="105"/>
      <c r="AD494" s="105"/>
      <c r="AE494" s="105"/>
      <c r="AF494" s="158"/>
      <c r="AG494" s="105"/>
      <c r="AH494" s="158"/>
      <c r="AI494" s="88"/>
      <c r="AJ494" s="88"/>
      <c r="AK494" s="131"/>
      <c r="AL494" s="131"/>
      <c r="AM494" s="131"/>
      <c r="AN494" s="131"/>
      <c r="AO494" s="131"/>
      <c r="AP494" s="88"/>
    </row>
    <row r="495">
      <c r="A495" s="155"/>
      <c r="B495" s="337"/>
      <c r="C495" s="340"/>
      <c r="D495" s="337"/>
      <c r="E495" s="255"/>
      <c r="F495" s="255"/>
      <c r="G495" s="338"/>
      <c r="H495" s="155"/>
      <c r="I495" s="155"/>
      <c r="J495" s="155"/>
      <c r="K495" s="15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58"/>
      <c r="AA495" s="339"/>
      <c r="AB495" s="105"/>
      <c r="AC495" s="105"/>
      <c r="AD495" s="105"/>
      <c r="AE495" s="105"/>
      <c r="AF495" s="158"/>
      <c r="AG495" s="105"/>
      <c r="AH495" s="158"/>
      <c r="AI495" s="88"/>
      <c r="AJ495" s="88"/>
      <c r="AK495" s="131"/>
      <c r="AL495" s="131"/>
      <c r="AM495" s="131"/>
      <c r="AN495" s="131"/>
      <c r="AO495" s="131"/>
      <c r="AP495" s="88"/>
    </row>
    <row r="496">
      <c r="A496" s="155"/>
      <c r="B496" s="337"/>
      <c r="C496" s="340"/>
      <c r="D496" s="337"/>
      <c r="E496" s="255"/>
      <c r="F496" s="255"/>
      <c r="G496" s="338"/>
      <c r="H496" s="155"/>
      <c r="I496" s="155"/>
      <c r="J496" s="155"/>
      <c r="K496" s="15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58"/>
      <c r="AA496" s="339"/>
      <c r="AB496" s="105"/>
      <c r="AC496" s="105"/>
      <c r="AD496" s="105"/>
      <c r="AE496" s="105"/>
      <c r="AF496" s="158"/>
      <c r="AG496" s="105"/>
      <c r="AH496" s="158"/>
      <c r="AI496" s="88"/>
      <c r="AJ496" s="88"/>
      <c r="AK496" s="131"/>
      <c r="AL496" s="131"/>
      <c r="AM496" s="131"/>
      <c r="AN496" s="131"/>
      <c r="AO496" s="131"/>
      <c r="AP496" s="88"/>
    </row>
    <row r="497">
      <c r="A497" s="155"/>
      <c r="B497" s="337"/>
      <c r="C497" s="340"/>
      <c r="D497" s="337"/>
      <c r="E497" s="255"/>
      <c r="F497" s="255"/>
      <c r="G497" s="338"/>
      <c r="H497" s="155"/>
      <c r="I497" s="155"/>
      <c r="J497" s="155"/>
      <c r="K497" s="15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58"/>
      <c r="AA497" s="339"/>
      <c r="AB497" s="105"/>
      <c r="AC497" s="105"/>
      <c r="AD497" s="105"/>
      <c r="AE497" s="105"/>
      <c r="AF497" s="158"/>
      <c r="AG497" s="105"/>
      <c r="AH497" s="158"/>
      <c r="AI497" s="88"/>
      <c r="AJ497" s="88"/>
      <c r="AK497" s="131"/>
      <c r="AL497" s="131"/>
      <c r="AM497" s="131"/>
      <c r="AN497" s="131"/>
      <c r="AO497" s="131"/>
      <c r="AP497" s="88"/>
    </row>
    <row r="498">
      <c r="A498" s="155"/>
      <c r="B498" s="337"/>
      <c r="C498" s="340"/>
      <c r="D498" s="337"/>
      <c r="E498" s="255"/>
      <c r="F498" s="255"/>
      <c r="G498" s="338"/>
      <c r="H498" s="155"/>
      <c r="I498" s="155"/>
      <c r="J498" s="155"/>
      <c r="K498" s="15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58"/>
      <c r="AA498" s="339"/>
      <c r="AB498" s="105"/>
      <c r="AC498" s="105"/>
      <c r="AD498" s="105"/>
      <c r="AE498" s="105"/>
      <c r="AF498" s="158"/>
      <c r="AG498" s="105"/>
      <c r="AH498" s="158"/>
      <c r="AI498" s="88"/>
      <c r="AJ498" s="88"/>
      <c r="AK498" s="131"/>
      <c r="AL498" s="131"/>
      <c r="AM498" s="131"/>
      <c r="AN498" s="131"/>
      <c r="AO498" s="131"/>
      <c r="AP498" s="88"/>
    </row>
    <row r="499">
      <c r="A499" s="155"/>
      <c r="B499" s="337"/>
      <c r="C499" s="340"/>
      <c r="D499" s="337"/>
      <c r="E499" s="255"/>
      <c r="F499" s="255"/>
      <c r="G499" s="338"/>
      <c r="H499" s="155"/>
      <c r="I499" s="155"/>
      <c r="J499" s="155"/>
      <c r="K499" s="15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58"/>
      <c r="AA499" s="339"/>
      <c r="AB499" s="105"/>
      <c r="AC499" s="105"/>
      <c r="AD499" s="105"/>
      <c r="AE499" s="105"/>
      <c r="AF499" s="158"/>
      <c r="AG499" s="105"/>
      <c r="AH499" s="158"/>
      <c r="AI499" s="88"/>
      <c r="AJ499" s="88"/>
      <c r="AK499" s="131"/>
      <c r="AL499" s="131"/>
      <c r="AM499" s="131"/>
      <c r="AN499" s="131"/>
      <c r="AO499" s="131"/>
      <c r="AP499" s="88"/>
    </row>
    <row r="500">
      <c r="A500" s="155"/>
      <c r="B500" s="337"/>
      <c r="C500" s="340"/>
      <c r="D500" s="337"/>
      <c r="E500" s="255"/>
      <c r="F500" s="255"/>
      <c r="G500" s="338"/>
      <c r="H500" s="155"/>
      <c r="I500" s="155"/>
      <c r="J500" s="155"/>
      <c r="K500" s="15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58"/>
      <c r="AA500" s="339"/>
      <c r="AB500" s="105"/>
      <c r="AC500" s="105"/>
      <c r="AD500" s="105"/>
      <c r="AE500" s="105"/>
      <c r="AF500" s="158"/>
      <c r="AG500" s="105"/>
      <c r="AH500" s="158"/>
      <c r="AI500" s="88"/>
      <c r="AJ500" s="88"/>
      <c r="AK500" s="131"/>
      <c r="AL500" s="131"/>
      <c r="AM500" s="131"/>
      <c r="AN500" s="131"/>
      <c r="AO500" s="131"/>
      <c r="AP500" s="88"/>
    </row>
    <row r="501">
      <c r="A501" s="155"/>
      <c r="B501" s="337"/>
      <c r="C501" s="340"/>
      <c r="D501" s="337"/>
      <c r="E501" s="255"/>
      <c r="F501" s="255"/>
      <c r="G501" s="338"/>
      <c r="H501" s="155"/>
      <c r="I501" s="155"/>
      <c r="J501" s="155"/>
      <c r="K501" s="15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58"/>
      <c r="AA501" s="339"/>
      <c r="AB501" s="105"/>
      <c r="AC501" s="105"/>
      <c r="AD501" s="105"/>
      <c r="AE501" s="105"/>
      <c r="AF501" s="158"/>
      <c r="AG501" s="105"/>
      <c r="AH501" s="158"/>
      <c r="AI501" s="88"/>
      <c r="AJ501" s="88"/>
      <c r="AK501" s="131"/>
      <c r="AL501" s="131"/>
      <c r="AM501" s="131"/>
      <c r="AN501" s="131"/>
      <c r="AO501" s="131"/>
      <c r="AP501" s="88"/>
    </row>
    <row r="502">
      <c r="A502" s="155"/>
      <c r="B502" s="337"/>
      <c r="C502" s="340"/>
      <c r="D502" s="337"/>
      <c r="E502" s="255"/>
      <c r="F502" s="255"/>
      <c r="G502" s="338"/>
      <c r="H502" s="155"/>
      <c r="I502" s="155"/>
      <c r="J502" s="155"/>
      <c r="K502" s="15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58"/>
      <c r="AA502" s="339"/>
      <c r="AB502" s="105"/>
      <c r="AC502" s="105"/>
      <c r="AD502" s="105"/>
      <c r="AE502" s="105"/>
      <c r="AF502" s="158"/>
      <c r="AG502" s="105"/>
      <c r="AH502" s="158"/>
      <c r="AI502" s="88"/>
      <c r="AJ502" s="88"/>
      <c r="AK502" s="131"/>
      <c r="AL502" s="131"/>
      <c r="AM502" s="131"/>
      <c r="AN502" s="131"/>
      <c r="AO502" s="131"/>
      <c r="AP502" s="88"/>
    </row>
    <row r="503">
      <c r="A503" s="155"/>
      <c r="B503" s="337"/>
      <c r="C503" s="340"/>
      <c r="D503" s="337"/>
      <c r="E503" s="255"/>
      <c r="F503" s="255"/>
      <c r="G503" s="338"/>
      <c r="H503" s="155"/>
      <c r="I503" s="155"/>
      <c r="J503" s="155"/>
      <c r="K503" s="15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58"/>
      <c r="AA503" s="339"/>
      <c r="AB503" s="105"/>
      <c r="AC503" s="105"/>
      <c r="AD503" s="105"/>
      <c r="AE503" s="105"/>
      <c r="AF503" s="158"/>
      <c r="AG503" s="105"/>
      <c r="AH503" s="158"/>
      <c r="AI503" s="88"/>
      <c r="AJ503" s="88"/>
      <c r="AK503" s="131"/>
      <c r="AL503" s="131"/>
      <c r="AM503" s="131"/>
      <c r="AN503" s="131"/>
      <c r="AO503" s="131"/>
      <c r="AP503" s="88"/>
    </row>
    <row r="504">
      <c r="A504" s="155"/>
      <c r="B504" s="337"/>
      <c r="C504" s="340"/>
      <c r="D504" s="337"/>
      <c r="E504" s="255"/>
      <c r="F504" s="255"/>
      <c r="G504" s="338"/>
      <c r="H504" s="155"/>
      <c r="I504" s="155"/>
      <c r="J504" s="155"/>
      <c r="K504" s="15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58"/>
      <c r="AA504" s="339"/>
      <c r="AB504" s="105"/>
      <c r="AC504" s="105"/>
      <c r="AD504" s="105"/>
      <c r="AE504" s="105"/>
      <c r="AF504" s="158"/>
      <c r="AG504" s="105"/>
      <c r="AH504" s="158"/>
      <c r="AI504" s="88"/>
      <c r="AJ504" s="88"/>
      <c r="AK504" s="131"/>
      <c r="AL504" s="131"/>
      <c r="AM504" s="131"/>
      <c r="AN504" s="131"/>
      <c r="AO504" s="131"/>
      <c r="AP504" s="88"/>
    </row>
    <row r="505">
      <c r="A505" s="155"/>
      <c r="B505" s="337"/>
      <c r="C505" s="340"/>
      <c r="D505" s="337"/>
      <c r="E505" s="255"/>
      <c r="F505" s="255"/>
      <c r="G505" s="338"/>
      <c r="H505" s="155"/>
      <c r="I505" s="155"/>
      <c r="J505" s="155"/>
      <c r="K505" s="15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58"/>
      <c r="AA505" s="339"/>
      <c r="AB505" s="105"/>
      <c r="AC505" s="105"/>
      <c r="AD505" s="105"/>
      <c r="AE505" s="105"/>
      <c r="AF505" s="158"/>
      <c r="AG505" s="105"/>
      <c r="AH505" s="158"/>
      <c r="AI505" s="88"/>
      <c r="AJ505" s="88"/>
      <c r="AK505" s="131"/>
      <c r="AL505" s="131"/>
      <c r="AM505" s="131"/>
      <c r="AN505" s="131"/>
      <c r="AO505" s="131"/>
      <c r="AP505" s="88"/>
    </row>
    <row r="506">
      <c r="A506" s="155"/>
      <c r="B506" s="337"/>
      <c r="C506" s="340"/>
      <c r="D506" s="337"/>
      <c r="E506" s="255"/>
      <c r="F506" s="255"/>
      <c r="G506" s="338"/>
      <c r="H506" s="155"/>
      <c r="I506" s="155"/>
      <c r="J506" s="155"/>
      <c r="K506" s="15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58"/>
      <c r="AA506" s="339"/>
      <c r="AB506" s="105"/>
      <c r="AC506" s="105"/>
      <c r="AD506" s="105"/>
      <c r="AE506" s="105"/>
      <c r="AF506" s="158"/>
      <c r="AG506" s="105"/>
      <c r="AH506" s="158"/>
      <c r="AI506" s="88"/>
      <c r="AJ506" s="88"/>
      <c r="AK506" s="131"/>
      <c r="AL506" s="131"/>
      <c r="AM506" s="131"/>
      <c r="AN506" s="131"/>
      <c r="AO506" s="131"/>
      <c r="AP506" s="88"/>
    </row>
    <row r="507">
      <c r="A507" s="155"/>
      <c r="B507" s="337"/>
      <c r="C507" s="340"/>
      <c r="D507" s="337"/>
      <c r="E507" s="255"/>
      <c r="F507" s="255"/>
      <c r="G507" s="338"/>
      <c r="H507" s="155"/>
      <c r="I507" s="155"/>
      <c r="J507" s="155"/>
      <c r="K507" s="15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58"/>
      <c r="AA507" s="339"/>
      <c r="AB507" s="105"/>
      <c r="AC507" s="105"/>
      <c r="AD507" s="105"/>
      <c r="AE507" s="105"/>
      <c r="AF507" s="158"/>
      <c r="AG507" s="105"/>
      <c r="AH507" s="158"/>
      <c r="AI507" s="88"/>
      <c r="AJ507" s="88"/>
      <c r="AK507" s="131"/>
      <c r="AL507" s="131"/>
      <c r="AM507" s="131"/>
      <c r="AN507" s="131"/>
      <c r="AO507" s="131"/>
      <c r="AP507" s="88"/>
    </row>
    <row r="508">
      <c r="A508" s="155"/>
      <c r="B508" s="337"/>
      <c r="C508" s="340"/>
      <c r="D508" s="337"/>
      <c r="E508" s="255"/>
      <c r="F508" s="255"/>
      <c r="G508" s="338"/>
      <c r="H508" s="155"/>
      <c r="I508" s="155"/>
      <c r="J508" s="155"/>
      <c r="K508" s="15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58"/>
      <c r="AA508" s="339"/>
      <c r="AB508" s="105"/>
      <c r="AC508" s="105"/>
      <c r="AD508" s="105"/>
      <c r="AE508" s="105"/>
      <c r="AF508" s="158"/>
      <c r="AG508" s="105"/>
      <c r="AH508" s="158"/>
      <c r="AI508" s="88"/>
      <c r="AJ508" s="88"/>
      <c r="AK508" s="131"/>
      <c r="AL508" s="131"/>
      <c r="AM508" s="131"/>
      <c r="AN508" s="131"/>
      <c r="AO508" s="131"/>
      <c r="AP508" s="88"/>
    </row>
    <row r="509">
      <c r="A509" s="155"/>
      <c r="B509" s="337"/>
      <c r="C509" s="340"/>
      <c r="D509" s="337"/>
      <c r="E509" s="255"/>
      <c r="F509" s="255"/>
      <c r="G509" s="338"/>
      <c r="H509" s="155"/>
      <c r="I509" s="155"/>
      <c r="J509" s="155"/>
      <c r="K509" s="15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58"/>
      <c r="AA509" s="339"/>
      <c r="AB509" s="105"/>
      <c r="AC509" s="105"/>
      <c r="AD509" s="105"/>
      <c r="AE509" s="105"/>
      <c r="AF509" s="158"/>
      <c r="AG509" s="105"/>
      <c r="AH509" s="158"/>
      <c r="AI509" s="88"/>
      <c r="AJ509" s="88"/>
      <c r="AK509" s="131"/>
      <c r="AL509" s="131"/>
      <c r="AM509" s="131"/>
      <c r="AN509" s="131"/>
      <c r="AO509" s="131"/>
      <c r="AP509" s="88"/>
    </row>
    <row r="510">
      <c r="A510" s="155"/>
      <c r="B510" s="337"/>
      <c r="C510" s="340"/>
      <c r="D510" s="337"/>
      <c r="E510" s="255"/>
      <c r="F510" s="255"/>
      <c r="G510" s="338"/>
      <c r="H510" s="155"/>
      <c r="I510" s="155"/>
      <c r="J510" s="155"/>
      <c r="K510" s="15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58"/>
      <c r="AA510" s="339"/>
      <c r="AB510" s="105"/>
      <c r="AC510" s="105"/>
      <c r="AD510" s="105"/>
      <c r="AE510" s="105"/>
      <c r="AF510" s="158"/>
      <c r="AG510" s="105"/>
      <c r="AH510" s="158"/>
      <c r="AI510" s="88"/>
      <c r="AJ510" s="88"/>
      <c r="AK510" s="131"/>
      <c r="AL510" s="131"/>
      <c r="AM510" s="131"/>
      <c r="AN510" s="131"/>
      <c r="AO510" s="131"/>
      <c r="AP510" s="88"/>
    </row>
    <row r="511">
      <c r="A511" s="155"/>
      <c r="B511" s="337"/>
      <c r="C511" s="340"/>
      <c r="D511" s="337"/>
      <c r="E511" s="255"/>
      <c r="F511" s="255"/>
      <c r="G511" s="338"/>
      <c r="H511" s="155"/>
      <c r="I511" s="155"/>
      <c r="J511" s="155"/>
      <c r="K511" s="15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58"/>
      <c r="AA511" s="339"/>
      <c r="AB511" s="105"/>
      <c r="AC511" s="105"/>
      <c r="AD511" s="105"/>
      <c r="AE511" s="105"/>
      <c r="AF511" s="158"/>
      <c r="AG511" s="105"/>
      <c r="AH511" s="158"/>
      <c r="AI511" s="88"/>
      <c r="AJ511" s="88"/>
      <c r="AK511" s="131"/>
      <c r="AL511" s="131"/>
      <c r="AM511" s="131"/>
      <c r="AN511" s="131"/>
      <c r="AO511" s="131"/>
      <c r="AP511" s="88"/>
    </row>
    <row r="512">
      <c r="A512" s="155"/>
      <c r="B512" s="337"/>
      <c r="C512" s="340"/>
      <c r="D512" s="337"/>
      <c r="E512" s="255"/>
      <c r="F512" s="255"/>
      <c r="G512" s="338"/>
      <c r="H512" s="155"/>
      <c r="I512" s="155"/>
      <c r="J512" s="155"/>
      <c r="K512" s="15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58"/>
      <c r="AA512" s="339"/>
      <c r="AB512" s="105"/>
      <c r="AC512" s="105"/>
      <c r="AD512" s="105"/>
      <c r="AE512" s="105"/>
      <c r="AF512" s="158"/>
      <c r="AG512" s="105"/>
      <c r="AH512" s="158"/>
      <c r="AI512" s="88"/>
      <c r="AJ512" s="88"/>
      <c r="AK512" s="131"/>
      <c r="AL512" s="131"/>
      <c r="AM512" s="131"/>
      <c r="AN512" s="131"/>
      <c r="AO512" s="131"/>
      <c r="AP512" s="88"/>
    </row>
    <row r="513">
      <c r="A513" s="155"/>
      <c r="B513" s="337"/>
      <c r="C513" s="340"/>
      <c r="D513" s="337"/>
      <c r="E513" s="255"/>
      <c r="F513" s="255"/>
      <c r="G513" s="338"/>
      <c r="H513" s="155"/>
      <c r="I513" s="155"/>
      <c r="J513" s="155"/>
      <c r="K513" s="15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58"/>
      <c r="AA513" s="339"/>
      <c r="AB513" s="105"/>
      <c r="AC513" s="105"/>
      <c r="AD513" s="105"/>
      <c r="AE513" s="105"/>
      <c r="AF513" s="158"/>
      <c r="AG513" s="105"/>
      <c r="AH513" s="158"/>
      <c r="AI513" s="88"/>
      <c r="AJ513" s="88"/>
      <c r="AK513" s="131"/>
      <c r="AL513" s="131"/>
      <c r="AM513" s="131"/>
      <c r="AN513" s="131"/>
      <c r="AO513" s="131"/>
      <c r="AP513" s="88"/>
    </row>
    <row r="514">
      <c r="A514" s="155"/>
      <c r="B514" s="337"/>
      <c r="C514" s="340"/>
      <c r="D514" s="337"/>
      <c r="E514" s="255"/>
      <c r="F514" s="255"/>
      <c r="G514" s="338"/>
      <c r="H514" s="155"/>
      <c r="I514" s="155"/>
      <c r="J514" s="155"/>
      <c r="K514" s="15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58"/>
      <c r="AA514" s="339"/>
      <c r="AB514" s="105"/>
      <c r="AC514" s="105"/>
      <c r="AD514" s="105"/>
      <c r="AE514" s="105"/>
      <c r="AF514" s="158"/>
      <c r="AG514" s="105"/>
      <c r="AH514" s="158"/>
      <c r="AI514" s="88"/>
      <c r="AJ514" s="88"/>
      <c r="AK514" s="131"/>
      <c r="AL514" s="131"/>
      <c r="AM514" s="131"/>
      <c r="AN514" s="131"/>
      <c r="AO514" s="131"/>
      <c r="AP514" s="88"/>
    </row>
    <row r="515">
      <c r="A515" s="155"/>
      <c r="B515" s="337"/>
      <c r="C515" s="340"/>
      <c r="D515" s="337"/>
      <c r="E515" s="255"/>
      <c r="F515" s="255"/>
      <c r="G515" s="338"/>
      <c r="H515" s="155"/>
      <c r="I515" s="155"/>
      <c r="J515" s="155"/>
      <c r="K515" s="15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58"/>
      <c r="AA515" s="339"/>
      <c r="AB515" s="105"/>
      <c r="AC515" s="105"/>
      <c r="AD515" s="105"/>
      <c r="AE515" s="105"/>
      <c r="AF515" s="158"/>
      <c r="AG515" s="105"/>
      <c r="AH515" s="158"/>
      <c r="AI515" s="88"/>
      <c r="AJ515" s="88"/>
      <c r="AK515" s="131"/>
      <c r="AL515" s="131"/>
      <c r="AM515" s="131"/>
      <c r="AN515" s="131"/>
      <c r="AO515" s="131"/>
      <c r="AP515" s="88"/>
    </row>
    <row r="516">
      <c r="A516" s="155"/>
      <c r="B516" s="337"/>
      <c r="C516" s="340"/>
      <c r="D516" s="337"/>
      <c r="E516" s="255"/>
      <c r="F516" s="255"/>
      <c r="G516" s="338"/>
      <c r="H516" s="155"/>
      <c r="I516" s="155"/>
      <c r="J516" s="155"/>
      <c r="K516" s="15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58"/>
      <c r="AA516" s="339"/>
      <c r="AB516" s="105"/>
      <c r="AC516" s="105"/>
      <c r="AD516" s="105"/>
      <c r="AE516" s="105"/>
      <c r="AF516" s="158"/>
      <c r="AG516" s="105"/>
      <c r="AH516" s="158"/>
      <c r="AI516" s="88"/>
      <c r="AJ516" s="88"/>
      <c r="AK516" s="131"/>
      <c r="AL516" s="131"/>
      <c r="AM516" s="131"/>
      <c r="AN516" s="131"/>
      <c r="AO516" s="131"/>
      <c r="AP516" s="88"/>
    </row>
    <row r="517">
      <c r="A517" s="155"/>
      <c r="B517" s="337"/>
      <c r="C517" s="340"/>
      <c r="D517" s="337"/>
      <c r="E517" s="255"/>
      <c r="F517" s="255"/>
      <c r="G517" s="338"/>
      <c r="H517" s="155"/>
      <c r="I517" s="155"/>
      <c r="J517" s="155"/>
      <c r="K517" s="15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58"/>
      <c r="AA517" s="339"/>
      <c r="AB517" s="105"/>
      <c r="AC517" s="105"/>
      <c r="AD517" s="105"/>
      <c r="AE517" s="105"/>
      <c r="AF517" s="158"/>
      <c r="AG517" s="105"/>
      <c r="AH517" s="158"/>
      <c r="AI517" s="88"/>
      <c r="AJ517" s="88"/>
      <c r="AK517" s="131"/>
      <c r="AL517" s="131"/>
      <c r="AM517" s="131"/>
      <c r="AN517" s="131"/>
      <c r="AO517" s="131"/>
      <c r="AP517" s="88"/>
    </row>
    <row r="518">
      <c r="A518" s="155"/>
      <c r="B518" s="337"/>
      <c r="C518" s="340"/>
      <c r="D518" s="337"/>
      <c r="E518" s="255"/>
      <c r="F518" s="255"/>
      <c r="G518" s="338"/>
      <c r="H518" s="155"/>
      <c r="I518" s="155"/>
      <c r="J518" s="155"/>
      <c r="K518" s="15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58"/>
      <c r="AA518" s="339"/>
      <c r="AB518" s="105"/>
      <c r="AC518" s="105"/>
      <c r="AD518" s="105"/>
      <c r="AE518" s="105"/>
      <c r="AF518" s="158"/>
      <c r="AG518" s="105"/>
      <c r="AH518" s="158"/>
      <c r="AI518" s="88"/>
      <c r="AJ518" s="88"/>
      <c r="AK518" s="131"/>
      <c r="AL518" s="131"/>
      <c r="AM518" s="131"/>
      <c r="AN518" s="131"/>
      <c r="AO518" s="131"/>
      <c r="AP518" s="88"/>
    </row>
    <row r="519">
      <c r="A519" s="155"/>
      <c r="B519" s="337"/>
      <c r="C519" s="340"/>
      <c r="D519" s="337"/>
      <c r="E519" s="255"/>
      <c r="F519" s="255"/>
      <c r="G519" s="338"/>
      <c r="H519" s="155"/>
      <c r="I519" s="155"/>
      <c r="J519" s="155"/>
      <c r="K519" s="15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58"/>
      <c r="AA519" s="339"/>
      <c r="AB519" s="105"/>
      <c r="AC519" s="105"/>
      <c r="AD519" s="105"/>
      <c r="AE519" s="105"/>
      <c r="AF519" s="158"/>
      <c r="AG519" s="105"/>
      <c r="AH519" s="158"/>
      <c r="AI519" s="88"/>
      <c r="AJ519" s="88"/>
      <c r="AK519" s="131"/>
      <c r="AL519" s="131"/>
      <c r="AM519" s="131"/>
      <c r="AN519" s="131"/>
      <c r="AO519" s="131"/>
      <c r="AP519" s="88"/>
    </row>
    <row r="520">
      <c r="A520" s="155"/>
      <c r="B520" s="337"/>
      <c r="C520" s="340"/>
      <c r="D520" s="337"/>
      <c r="E520" s="255"/>
      <c r="F520" s="255"/>
      <c r="G520" s="338"/>
      <c r="H520" s="155"/>
      <c r="I520" s="155"/>
      <c r="J520" s="155"/>
      <c r="K520" s="15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58"/>
      <c r="AA520" s="339"/>
      <c r="AB520" s="105"/>
      <c r="AC520" s="105"/>
      <c r="AD520" s="105"/>
      <c r="AE520" s="105"/>
      <c r="AF520" s="158"/>
      <c r="AG520" s="105"/>
      <c r="AH520" s="158"/>
      <c r="AI520" s="88"/>
      <c r="AJ520" s="88"/>
      <c r="AK520" s="131"/>
      <c r="AL520" s="131"/>
      <c r="AM520" s="131"/>
      <c r="AN520" s="131"/>
      <c r="AO520" s="131"/>
      <c r="AP520" s="88"/>
    </row>
    <row r="521">
      <c r="A521" s="155"/>
      <c r="B521" s="337"/>
      <c r="C521" s="340"/>
      <c r="D521" s="337"/>
      <c r="E521" s="255"/>
      <c r="F521" s="255"/>
      <c r="G521" s="338"/>
      <c r="H521" s="155"/>
      <c r="I521" s="155"/>
      <c r="J521" s="155"/>
      <c r="K521" s="15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58"/>
      <c r="AA521" s="339"/>
      <c r="AB521" s="105"/>
      <c r="AC521" s="105"/>
      <c r="AD521" s="105"/>
      <c r="AE521" s="105"/>
      <c r="AF521" s="158"/>
      <c r="AG521" s="105"/>
      <c r="AH521" s="158"/>
      <c r="AI521" s="88"/>
      <c r="AJ521" s="88"/>
      <c r="AK521" s="131"/>
      <c r="AL521" s="131"/>
      <c r="AM521" s="131"/>
      <c r="AN521" s="131"/>
      <c r="AO521" s="131"/>
      <c r="AP521" s="88"/>
    </row>
    <row r="522">
      <c r="A522" s="155"/>
      <c r="B522" s="337"/>
      <c r="C522" s="340"/>
      <c r="D522" s="337"/>
      <c r="E522" s="255"/>
      <c r="F522" s="255"/>
      <c r="G522" s="338"/>
      <c r="H522" s="155"/>
      <c r="I522" s="155"/>
      <c r="J522" s="155"/>
      <c r="K522" s="15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58"/>
      <c r="AA522" s="339"/>
      <c r="AB522" s="105"/>
      <c r="AC522" s="105"/>
      <c r="AD522" s="105"/>
      <c r="AE522" s="105"/>
      <c r="AF522" s="158"/>
      <c r="AG522" s="105"/>
      <c r="AH522" s="158"/>
      <c r="AI522" s="88"/>
      <c r="AJ522" s="88"/>
      <c r="AK522" s="131"/>
      <c r="AL522" s="131"/>
      <c r="AM522" s="131"/>
      <c r="AN522" s="131"/>
      <c r="AO522" s="131"/>
      <c r="AP522" s="88"/>
    </row>
    <row r="523">
      <c r="A523" s="155"/>
      <c r="B523" s="337"/>
      <c r="C523" s="340"/>
      <c r="D523" s="337"/>
      <c r="E523" s="255"/>
      <c r="F523" s="255"/>
      <c r="G523" s="338"/>
      <c r="H523" s="155"/>
      <c r="I523" s="155"/>
      <c r="J523" s="155"/>
      <c r="K523" s="15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58"/>
      <c r="AA523" s="339"/>
      <c r="AB523" s="105"/>
      <c r="AC523" s="105"/>
      <c r="AD523" s="105"/>
      <c r="AE523" s="105"/>
      <c r="AF523" s="158"/>
      <c r="AG523" s="105"/>
      <c r="AH523" s="158"/>
      <c r="AI523" s="88"/>
      <c r="AJ523" s="88"/>
      <c r="AK523" s="131"/>
      <c r="AL523" s="131"/>
      <c r="AM523" s="131"/>
      <c r="AN523" s="131"/>
      <c r="AO523" s="131"/>
      <c r="AP523" s="88"/>
    </row>
    <row r="524">
      <c r="A524" s="155"/>
      <c r="B524" s="337"/>
      <c r="C524" s="340"/>
      <c r="D524" s="337"/>
      <c r="E524" s="255"/>
      <c r="F524" s="255"/>
      <c r="G524" s="338"/>
      <c r="H524" s="155"/>
      <c r="I524" s="155"/>
      <c r="J524" s="155"/>
      <c r="K524" s="15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58"/>
      <c r="AA524" s="339"/>
      <c r="AB524" s="105"/>
      <c r="AC524" s="105"/>
      <c r="AD524" s="105"/>
      <c r="AE524" s="105"/>
      <c r="AF524" s="158"/>
      <c r="AG524" s="105"/>
      <c r="AH524" s="158"/>
      <c r="AI524" s="88"/>
      <c r="AJ524" s="88"/>
      <c r="AK524" s="131"/>
      <c r="AL524" s="131"/>
      <c r="AM524" s="131"/>
      <c r="AN524" s="131"/>
      <c r="AO524" s="131"/>
      <c r="AP524" s="88"/>
    </row>
    <row r="525">
      <c r="A525" s="155"/>
      <c r="B525" s="337"/>
      <c r="C525" s="340"/>
      <c r="D525" s="337"/>
      <c r="E525" s="255"/>
      <c r="F525" s="255"/>
      <c r="G525" s="338"/>
      <c r="H525" s="155"/>
      <c r="I525" s="155"/>
      <c r="J525" s="155"/>
      <c r="K525" s="15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58"/>
      <c r="AA525" s="339"/>
      <c r="AB525" s="105"/>
      <c r="AC525" s="105"/>
      <c r="AD525" s="105"/>
      <c r="AE525" s="105"/>
      <c r="AF525" s="158"/>
      <c r="AG525" s="105"/>
      <c r="AH525" s="158"/>
      <c r="AI525" s="88"/>
      <c r="AJ525" s="88"/>
      <c r="AK525" s="131"/>
      <c r="AL525" s="131"/>
      <c r="AM525" s="131"/>
      <c r="AN525" s="131"/>
      <c r="AO525" s="131"/>
      <c r="AP525" s="88"/>
    </row>
    <row r="526">
      <c r="A526" s="155"/>
      <c r="B526" s="337"/>
      <c r="C526" s="340"/>
      <c r="D526" s="337"/>
      <c r="E526" s="255"/>
      <c r="F526" s="255"/>
      <c r="G526" s="338"/>
      <c r="H526" s="155"/>
      <c r="I526" s="155"/>
      <c r="J526" s="155"/>
      <c r="K526" s="15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58"/>
      <c r="AA526" s="339"/>
      <c r="AB526" s="105"/>
      <c r="AC526" s="105"/>
      <c r="AD526" s="105"/>
      <c r="AE526" s="105"/>
      <c r="AF526" s="158"/>
      <c r="AG526" s="105"/>
      <c r="AH526" s="158"/>
      <c r="AI526" s="88"/>
      <c r="AJ526" s="88"/>
      <c r="AK526" s="131"/>
      <c r="AL526" s="131"/>
      <c r="AM526" s="131"/>
      <c r="AN526" s="131"/>
      <c r="AO526" s="131"/>
      <c r="AP526" s="88"/>
    </row>
    <row r="527">
      <c r="A527" s="155"/>
      <c r="B527" s="337"/>
      <c r="C527" s="340"/>
      <c r="D527" s="337"/>
      <c r="E527" s="255"/>
      <c r="F527" s="255"/>
      <c r="G527" s="338"/>
      <c r="H527" s="155"/>
      <c r="I527" s="155"/>
      <c r="J527" s="155"/>
      <c r="K527" s="15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58"/>
      <c r="AA527" s="339"/>
      <c r="AB527" s="105"/>
      <c r="AC527" s="105"/>
      <c r="AD527" s="105"/>
      <c r="AE527" s="105"/>
      <c r="AF527" s="158"/>
      <c r="AG527" s="105"/>
      <c r="AH527" s="158"/>
      <c r="AI527" s="88"/>
      <c r="AJ527" s="88"/>
      <c r="AK527" s="131"/>
      <c r="AL527" s="131"/>
      <c r="AM527" s="131"/>
      <c r="AN527" s="131"/>
      <c r="AO527" s="131"/>
      <c r="AP527" s="88"/>
    </row>
    <row r="528">
      <c r="A528" s="155"/>
      <c r="B528" s="337"/>
      <c r="C528" s="340"/>
      <c r="D528" s="337"/>
      <c r="E528" s="255"/>
      <c r="F528" s="255"/>
      <c r="G528" s="338"/>
      <c r="H528" s="155"/>
      <c r="I528" s="155"/>
      <c r="J528" s="155"/>
      <c r="K528" s="15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58"/>
      <c r="AA528" s="339"/>
      <c r="AB528" s="105"/>
      <c r="AC528" s="105"/>
      <c r="AD528" s="105"/>
      <c r="AE528" s="105"/>
      <c r="AF528" s="158"/>
      <c r="AG528" s="105"/>
      <c r="AH528" s="158"/>
      <c r="AI528" s="88"/>
      <c r="AJ528" s="88"/>
      <c r="AK528" s="131"/>
      <c r="AL528" s="131"/>
      <c r="AM528" s="131"/>
      <c r="AN528" s="131"/>
      <c r="AO528" s="131"/>
      <c r="AP528" s="88"/>
    </row>
    <row r="529">
      <c r="A529" s="155"/>
      <c r="B529" s="337"/>
      <c r="C529" s="340"/>
      <c r="D529" s="337"/>
      <c r="E529" s="255"/>
      <c r="F529" s="255"/>
      <c r="G529" s="338"/>
      <c r="H529" s="155"/>
      <c r="I529" s="155"/>
      <c r="J529" s="155"/>
      <c r="K529" s="15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58"/>
      <c r="AA529" s="339"/>
      <c r="AB529" s="105"/>
      <c r="AC529" s="105"/>
      <c r="AD529" s="105"/>
      <c r="AE529" s="105"/>
      <c r="AF529" s="158"/>
      <c r="AG529" s="105"/>
      <c r="AH529" s="158"/>
      <c r="AI529" s="88"/>
      <c r="AJ529" s="88"/>
      <c r="AK529" s="131"/>
      <c r="AL529" s="131"/>
      <c r="AM529" s="131"/>
      <c r="AN529" s="131"/>
      <c r="AO529" s="131"/>
      <c r="AP529" s="88"/>
    </row>
    <row r="530">
      <c r="A530" s="155"/>
      <c r="B530" s="337"/>
      <c r="C530" s="340"/>
      <c r="D530" s="337"/>
      <c r="E530" s="255"/>
      <c r="F530" s="255"/>
      <c r="G530" s="338"/>
      <c r="H530" s="155"/>
      <c r="I530" s="155"/>
      <c r="J530" s="155"/>
      <c r="K530" s="15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58"/>
      <c r="AA530" s="339"/>
      <c r="AB530" s="105"/>
      <c r="AC530" s="105"/>
      <c r="AD530" s="105"/>
      <c r="AE530" s="105"/>
      <c r="AF530" s="158"/>
      <c r="AG530" s="105"/>
      <c r="AH530" s="158"/>
      <c r="AI530" s="88"/>
      <c r="AJ530" s="88"/>
      <c r="AK530" s="131"/>
      <c r="AL530" s="131"/>
      <c r="AM530" s="131"/>
      <c r="AN530" s="131"/>
      <c r="AO530" s="131"/>
      <c r="AP530" s="88"/>
    </row>
    <row r="531">
      <c r="A531" s="155"/>
      <c r="B531" s="337"/>
      <c r="C531" s="340"/>
      <c r="D531" s="337"/>
      <c r="E531" s="255"/>
      <c r="F531" s="255"/>
      <c r="G531" s="338"/>
      <c r="H531" s="155"/>
      <c r="I531" s="155"/>
      <c r="J531" s="155"/>
      <c r="K531" s="15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58"/>
      <c r="AA531" s="339"/>
      <c r="AB531" s="105"/>
      <c r="AC531" s="105"/>
      <c r="AD531" s="105"/>
      <c r="AE531" s="105"/>
      <c r="AF531" s="158"/>
      <c r="AG531" s="105"/>
      <c r="AH531" s="158"/>
      <c r="AI531" s="88"/>
      <c r="AJ531" s="88"/>
      <c r="AK531" s="131"/>
      <c r="AL531" s="131"/>
      <c r="AM531" s="131"/>
      <c r="AN531" s="131"/>
      <c r="AO531" s="131"/>
      <c r="AP531" s="88"/>
    </row>
    <row r="532">
      <c r="A532" s="155"/>
      <c r="B532" s="337"/>
      <c r="C532" s="340"/>
      <c r="D532" s="337"/>
      <c r="E532" s="255"/>
      <c r="F532" s="255"/>
      <c r="G532" s="338"/>
      <c r="H532" s="155"/>
      <c r="I532" s="155"/>
      <c r="J532" s="155"/>
      <c r="K532" s="15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58"/>
      <c r="AA532" s="339"/>
      <c r="AB532" s="105"/>
      <c r="AC532" s="105"/>
      <c r="AD532" s="105"/>
      <c r="AE532" s="105"/>
      <c r="AF532" s="158"/>
      <c r="AG532" s="105"/>
      <c r="AH532" s="158"/>
      <c r="AI532" s="88"/>
      <c r="AJ532" s="88"/>
      <c r="AK532" s="131"/>
      <c r="AL532" s="131"/>
      <c r="AM532" s="131"/>
      <c r="AN532" s="131"/>
      <c r="AO532" s="131"/>
      <c r="AP532" s="88"/>
    </row>
    <row r="533">
      <c r="A533" s="155"/>
      <c r="B533" s="337"/>
      <c r="C533" s="340"/>
      <c r="D533" s="337"/>
      <c r="E533" s="255"/>
      <c r="F533" s="255"/>
      <c r="G533" s="338"/>
      <c r="H533" s="155"/>
      <c r="I533" s="155"/>
      <c r="J533" s="155"/>
      <c r="K533" s="15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58"/>
      <c r="AA533" s="339"/>
      <c r="AB533" s="105"/>
      <c r="AC533" s="105"/>
      <c r="AD533" s="105"/>
      <c r="AE533" s="105"/>
      <c r="AF533" s="158"/>
      <c r="AG533" s="105"/>
      <c r="AH533" s="158"/>
      <c r="AI533" s="88"/>
      <c r="AJ533" s="88"/>
      <c r="AK533" s="131"/>
      <c r="AL533" s="131"/>
      <c r="AM533" s="131"/>
      <c r="AN533" s="131"/>
      <c r="AO533" s="131"/>
      <c r="AP533" s="88"/>
    </row>
    <row r="534">
      <c r="A534" s="155"/>
      <c r="B534" s="337"/>
      <c r="C534" s="340"/>
      <c r="D534" s="337"/>
      <c r="E534" s="255"/>
      <c r="F534" s="255"/>
      <c r="G534" s="338"/>
      <c r="H534" s="155"/>
      <c r="I534" s="155"/>
      <c r="J534" s="155"/>
      <c r="K534" s="15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58"/>
      <c r="AA534" s="339"/>
      <c r="AB534" s="105"/>
      <c r="AC534" s="105"/>
      <c r="AD534" s="105"/>
      <c r="AE534" s="105"/>
      <c r="AF534" s="158"/>
      <c r="AG534" s="105"/>
      <c r="AH534" s="158"/>
      <c r="AI534" s="88"/>
      <c r="AJ534" s="88"/>
      <c r="AK534" s="131"/>
      <c r="AL534" s="131"/>
      <c r="AM534" s="131"/>
      <c r="AN534" s="131"/>
      <c r="AO534" s="131"/>
      <c r="AP534" s="88"/>
    </row>
    <row r="535">
      <c r="A535" s="155"/>
      <c r="B535" s="337"/>
      <c r="C535" s="340"/>
      <c r="D535" s="337"/>
      <c r="E535" s="255"/>
      <c r="F535" s="255"/>
      <c r="G535" s="338"/>
      <c r="H535" s="155"/>
      <c r="I535" s="155"/>
      <c r="J535" s="155"/>
      <c r="K535" s="15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58"/>
      <c r="AA535" s="339"/>
      <c r="AB535" s="105"/>
      <c r="AC535" s="105"/>
      <c r="AD535" s="105"/>
      <c r="AE535" s="105"/>
      <c r="AF535" s="158"/>
      <c r="AG535" s="105"/>
      <c r="AH535" s="158"/>
      <c r="AI535" s="88"/>
      <c r="AJ535" s="88"/>
      <c r="AK535" s="131"/>
      <c r="AL535" s="131"/>
      <c r="AM535" s="131"/>
      <c r="AN535" s="131"/>
      <c r="AO535" s="131"/>
      <c r="AP535" s="88"/>
    </row>
    <row r="536">
      <c r="A536" s="155"/>
      <c r="B536" s="337"/>
      <c r="C536" s="340"/>
      <c r="D536" s="337"/>
      <c r="E536" s="255"/>
      <c r="F536" s="255"/>
      <c r="G536" s="338"/>
      <c r="H536" s="155"/>
      <c r="I536" s="155"/>
      <c r="J536" s="155"/>
      <c r="K536" s="15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58"/>
      <c r="AA536" s="339"/>
      <c r="AB536" s="105"/>
      <c r="AC536" s="105"/>
      <c r="AD536" s="105"/>
      <c r="AE536" s="105"/>
      <c r="AF536" s="158"/>
      <c r="AG536" s="105"/>
      <c r="AH536" s="158"/>
      <c r="AI536" s="88"/>
      <c r="AJ536" s="88"/>
      <c r="AK536" s="131"/>
      <c r="AL536" s="131"/>
      <c r="AM536" s="131"/>
      <c r="AN536" s="131"/>
      <c r="AO536" s="131"/>
      <c r="AP536" s="88"/>
    </row>
    <row r="537">
      <c r="A537" s="155"/>
      <c r="B537" s="337"/>
      <c r="C537" s="340"/>
      <c r="D537" s="337"/>
      <c r="E537" s="255"/>
      <c r="F537" s="255"/>
      <c r="G537" s="338"/>
      <c r="H537" s="155"/>
      <c r="I537" s="155"/>
      <c r="J537" s="155"/>
      <c r="K537" s="15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58"/>
      <c r="AA537" s="339"/>
      <c r="AB537" s="105"/>
      <c r="AC537" s="105"/>
      <c r="AD537" s="105"/>
      <c r="AE537" s="105"/>
      <c r="AF537" s="158"/>
      <c r="AG537" s="105"/>
      <c r="AH537" s="158"/>
      <c r="AI537" s="88"/>
      <c r="AJ537" s="88"/>
      <c r="AK537" s="131"/>
      <c r="AL537" s="131"/>
      <c r="AM537" s="131"/>
      <c r="AN537" s="131"/>
      <c r="AO537" s="131"/>
      <c r="AP537" s="88"/>
    </row>
    <row r="538">
      <c r="A538" s="155"/>
      <c r="B538" s="337"/>
      <c r="C538" s="340"/>
      <c r="D538" s="337"/>
      <c r="E538" s="255"/>
      <c r="F538" s="255"/>
      <c r="G538" s="338"/>
      <c r="H538" s="155"/>
      <c r="I538" s="155"/>
      <c r="J538" s="155"/>
      <c r="K538" s="15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58"/>
      <c r="AA538" s="339"/>
      <c r="AB538" s="105"/>
      <c r="AC538" s="105"/>
      <c r="AD538" s="105"/>
      <c r="AE538" s="105"/>
      <c r="AF538" s="158"/>
      <c r="AG538" s="105"/>
      <c r="AH538" s="158"/>
      <c r="AI538" s="88"/>
      <c r="AJ538" s="88"/>
      <c r="AK538" s="131"/>
      <c r="AL538" s="131"/>
      <c r="AM538" s="131"/>
      <c r="AN538" s="131"/>
      <c r="AO538" s="131"/>
      <c r="AP538" s="88"/>
    </row>
    <row r="539">
      <c r="A539" s="155"/>
      <c r="B539" s="337"/>
      <c r="C539" s="340"/>
      <c r="D539" s="337"/>
      <c r="E539" s="255"/>
      <c r="F539" s="255"/>
      <c r="G539" s="338"/>
      <c r="H539" s="155"/>
      <c r="I539" s="155"/>
      <c r="J539" s="155"/>
      <c r="K539" s="15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58"/>
      <c r="AA539" s="339"/>
      <c r="AB539" s="105"/>
      <c r="AC539" s="105"/>
      <c r="AD539" s="105"/>
      <c r="AE539" s="105"/>
      <c r="AF539" s="158"/>
      <c r="AG539" s="105"/>
      <c r="AH539" s="158"/>
      <c r="AI539" s="88"/>
      <c r="AJ539" s="88"/>
      <c r="AK539" s="131"/>
      <c r="AL539" s="131"/>
      <c r="AM539" s="131"/>
      <c r="AN539" s="131"/>
      <c r="AO539" s="131"/>
      <c r="AP539" s="88"/>
    </row>
    <row r="540">
      <c r="A540" s="155"/>
      <c r="B540" s="337"/>
      <c r="C540" s="340"/>
      <c r="D540" s="337"/>
      <c r="E540" s="255"/>
      <c r="F540" s="255"/>
      <c r="G540" s="338"/>
      <c r="H540" s="155"/>
      <c r="I540" s="155"/>
      <c r="J540" s="155"/>
      <c r="K540" s="15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58"/>
      <c r="AA540" s="339"/>
      <c r="AB540" s="105"/>
      <c r="AC540" s="105"/>
      <c r="AD540" s="105"/>
      <c r="AE540" s="105"/>
      <c r="AF540" s="158"/>
      <c r="AG540" s="105"/>
      <c r="AH540" s="158"/>
      <c r="AI540" s="88"/>
      <c r="AJ540" s="88"/>
      <c r="AK540" s="131"/>
      <c r="AL540" s="131"/>
      <c r="AM540" s="131"/>
      <c r="AN540" s="131"/>
      <c r="AO540" s="131"/>
      <c r="AP540" s="88"/>
    </row>
    <row r="541">
      <c r="A541" s="155"/>
      <c r="B541" s="337"/>
      <c r="C541" s="340"/>
      <c r="D541" s="337"/>
      <c r="E541" s="255"/>
      <c r="F541" s="255"/>
      <c r="G541" s="338"/>
      <c r="H541" s="155"/>
      <c r="I541" s="155"/>
      <c r="J541" s="155"/>
      <c r="K541" s="15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58"/>
      <c r="AA541" s="339"/>
      <c r="AB541" s="105"/>
      <c r="AC541" s="105"/>
      <c r="AD541" s="105"/>
      <c r="AE541" s="105"/>
      <c r="AF541" s="158"/>
      <c r="AG541" s="105"/>
      <c r="AH541" s="158"/>
      <c r="AI541" s="88"/>
      <c r="AJ541" s="88"/>
      <c r="AK541" s="131"/>
      <c r="AL541" s="131"/>
      <c r="AM541" s="131"/>
      <c r="AN541" s="131"/>
      <c r="AO541" s="131"/>
      <c r="AP541" s="88"/>
    </row>
    <row r="542">
      <c r="A542" s="155"/>
      <c r="B542" s="337"/>
      <c r="C542" s="340"/>
      <c r="D542" s="337"/>
      <c r="E542" s="255"/>
      <c r="F542" s="255"/>
      <c r="G542" s="338"/>
      <c r="H542" s="155"/>
      <c r="I542" s="155"/>
      <c r="J542" s="155"/>
      <c r="K542" s="15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58"/>
      <c r="AA542" s="339"/>
      <c r="AB542" s="105"/>
      <c r="AC542" s="105"/>
      <c r="AD542" s="105"/>
      <c r="AE542" s="105"/>
      <c r="AF542" s="158"/>
      <c r="AG542" s="105"/>
      <c r="AH542" s="158"/>
      <c r="AI542" s="88"/>
      <c r="AJ542" s="88"/>
      <c r="AK542" s="131"/>
      <c r="AL542" s="131"/>
      <c r="AM542" s="131"/>
      <c r="AN542" s="131"/>
      <c r="AO542" s="131"/>
      <c r="AP542" s="88"/>
    </row>
    <row r="543">
      <c r="A543" s="155"/>
      <c r="B543" s="337"/>
      <c r="C543" s="340"/>
      <c r="D543" s="337"/>
      <c r="E543" s="255"/>
      <c r="F543" s="255"/>
      <c r="G543" s="338"/>
      <c r="H543" s="155"/>
      <c r="I543" s="155"/>
      <c r="J543" s="155"/>
      <c r="K543" s="15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58"/>
      <c r="AA543" s="339"/>
      <c r="AB543" s="105"/>
      <c r="AC543" s="105"/>
      <c r="AD543" s="105"/>
      <c r="AE543" s="105"/>
      <c r="AF543" s="158"/>
      <c r="AG543" s="105"/>
      <c r="AH543" s="158"/>
      <c r="AI543" s="88"/>
      <c r="AJ543" s="88"/>
      <c r="AK543" s="131"/>
      <c r="AL543" s="131"/>
      <c r="AM543" s="131"/>
      <c r="AN543" s="131"/>
      <c r="AO543" s="131"/>
      <c r="AP543" s="88"/>
    </row>
    <row r="544">
      <c r="A544" s="155"/>
      <c r="B544" s="337"/>
      <c r="C544" s="340"/>
      <c r="D544" s="337"/>
      <c r="E544" s="255"/>
      <c r="F544" s="255"/>
      <c r="G544" s="338"/>
      <c r="H544" s="155"/>
      <c r="I544" s="155"/>
      <c r="J544" s="155"/>
      <c r="K544" s="15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58"/>
      <c r="AA544" s="339"/>
      <c r="AB544" s="105"/>
      <c r="AC544" s="105"/>
      <c r="AD544" s="105"/>
      <c r="AE544" s="105"/>
      <c r="AF544" s="158"/>
      <c r="AG544" s="105"/>
      <c r="AH544" s="158"/>
      <c r="AI544" s="88"/>
      <c r="AJ544" s="88"/>
      <c r="AK544" s="131"/>
      <c r="AL544" s="131"/>
      <c r="AM544" s="131"/>
      <c r="AN544" s="131"/>
      <c r="AO544" s="131"/>
      <c r="AP544" s="88"/>
    </row>
    <row r="545">
      <c r="A545" s="155"/>
      <c r="B545" s="337"/>
      <c r="C545" s="340"/>
      <c r="D545" s="337"/>
      <c r="E545" s="255"/>
      <c r="F545" s="255"/>
      <c r="G545" s="338"/>
      <c r="H545" s="155"/>
      <c r="I545" s="155"/>
      <c r="J545" s="155"/>
      <c r="K545" s="15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58"/>
      <c r="AA545" s="339"/>
      <c r="AB545" s="105"/>
      <c r="AC545" s="105"/>
      <c r="AD545" s="105"/>
      <c r="AE545" s="105"/>
      <c r="AF545" s="158"/>
      <c r="AG545" s="105"/>
      <c r="AH545" s="158"/>
      <c r="AI545" s="88"/>
      <c r="AJ545" s="88"/>
      <c r="AK545" s="131"/>
      <c r="AL545" s="131"/>
      <c r="AM545" s="131"/>
      <c r="AN545" s="131"/>
      <c r="AO545" s="131"/>
      <c r="AP545" s="88"/>
    </row>
    <row r="546">
      <c r="A546" s="155"/>
      <c r="B546" s="337"/>
      <c r="C546" s="340"/>
      <c r="D546" s="337"/>
      <c r="E546" s="255"/>
      <c r="F546" s="255"/>
      <c r="G546" s="338"/>
      <c r="H546" s="155"/>
      <c r="I546" s="155"/>
      <c r="J546" s="155"/>
      <c r="K546" s="15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58"/>
      <c r="AA546" s="339"/>
      <c r="AB546" s="105"/>
      <c r="AC546" s="105"/>
      <c r="AD546" s="105"/>
      <c r="AE546" s="105"/>
      <c r="AF546" s="158"/>
      <c r="AG546" s="105"/>
      <c r="AH546" s="158"/>
      <c r="AI546" s="88"/>
      <c r="AJ546" s="88"/>
      <c r="AK546" s="131"/>
      <c r="AL546" s="131"/>
      <c r="AM546" s="131"/>
      <c r="AN546" s="131"/>
      <c r="AO546" s="131"/>
      <c r="AP546" s="88"/>
    </row>
    <row r="547">
      <c r="A547" s="155"/>
      <c r="B547" s="337"/>
      <c r="C547" s="340"/>
      <c r="D547" s="337"/>
      <c r="E547" s="255"/>
      <c r="F547" s="255"/>
      <c r="G547" s="338"/>
      <c r="H547" s="155"/>
      <c r="I547" s="155"/>
      <c r="J547" s="155"/>
      <c r="K547" s="15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58"/>
      <c r="AA547" s="339"/>
      <c r="AB547" s="105"/>
      <c r="AC547" s="105"/>
      <c r="AD547" s="105"/>
      <c r="AE547" s="105"/>
      <c r="AF547" s="158"/>
      <c r="AG547" s="105"/>
      <c r="AH547" s="158"/>
      <c r="AI547" s="88"/>
      <c r="AJ547" s="88"/>
      <c r="AK547" s="131"/>
      <c r="AL547" s="131"/>
      <c r="AM547" s="131"/>
      <c r="AN547" s="131"/>
      <c r="AO547" s="131"/>
      <c r="AP547" s="88"/>
    </row>
    <row r="548">
      <c r="A548" s="155"/>
      <c r="B548" s="337"/>
      <c r="C548" s="340"/>
      <c r="D548" s="337"/>
      <c r="E548" s="255"/>
      <c r="F548" s="255"/>
      <c r="G548" s="338"/>
      <c r="H548" s="155"/>
      <c r="I548" s="155"/>
      <c r="J548" s="155"/>
      <c r="K548" s="15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58"/>
      <c r="AA548" s="339"/>
      <c r="AB548" s="105"/>
      <c r="AC548" s="105"/>
      <c r="AD548" s="105"/>
      <c r="AE548" s="105"/>
      <c r="AF548" s="158"/>
      <c r="AG548" s="105"/>
      <c r="AH548" s="158"/>
      <c r="AI548" s="88"/>
      <c r="AJ548" s="88"/>
      <c r="AK548" s="131"/>
      <c r="AL548" s="131"/>
      <c r="AM548" s="131"/>
      <c r="AN548" s="131"/>
      <c r="AO548" s="131"/>
      <c r="AP548" s="88"/>
    </row>
    <row r="549">
      <c r="A549" s="155"/>
      <c r="B549" s="337"/>
      <c r="C549" s="340"/>
      <c r="D549" s="337"/>
      <c r="E549" s="255"/>
      <c r="F549" s="255"/>
      <c r="G549" s="338"/>
      <c r="H549" s="155"/>
      <c r="I549" s="155"/>
      <c r="J549" s="155"/>
      <c r="K549" s="15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58"/>
      <c r="AA549" s="339"/>
      <c r="AB549" s="105"/>
      <c r="AC549" s="105"/>
      <c r="AD549" s="105"/>
      <c r="AE549" s="105"/>
      <c r="AF549" s="158"/>
      <c r="AG549" s="105"/>
      <c r="AH549" s="158"/>
      <c r="AI549" s="88"/>
      <c r="AJ549" s="88"/>
      <c r="AK549" s="131"/>
      <c r="AL549" s="131"/>
      <c r="AM549" s="131"/>
      <c r="AN549" s="131"/>
      <c r="AO549" s="131"/>
      <c r="AP549" s="88"/>
    </row>
    <row r="550">
      <c r="A550" s="155"/>
      <c r="B550" s="337"/>
      <c r="C550" s="340"/>
      <c r="D550" s="337"/>
      <c r="E550" s="255"/>
      <c r="F550" s="255"/>
      <c r="G550" s="338"/>
      <c r="H550" s="155"/>
      <c r="I550" s="155"/>
      <c r="J550" s="155"/>
      <c r="K550" s="15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58"/>
      <c r="AA550" s="339"/>
      <c r="AB550" s="105"/>
      <c r="AC550" s="105"/>
      <c r="AD550" s="105"/>
      <c r="AE550" s="105"/>
      <c r="AF550" s="158"/>
      <c r="AG550" s="105"/>
      <c r="AH550" s="158"/>
      <c r="AI550" s="88"/>
      <c r="AJ550" s="88"/>
      <c r="AK550" s="131"/>
      <c r="AL550" s="131"/>
      <c r="AM550" s="131"/>
      <c r="AN550" s="131"/>
      <c r="AO550" s="131"/>
      <c r="AP550" s="88"/>
    </row>
    <row r="551">
      <c r="A551" s="155"/>
      <c r="B551" s="337"/>
      <c r="C551" s="340"/>
      <c r="D551" s="337"/>
      <c r="E551" s="255"/>
      <c r="F551" s="255"/>
      <c r="G551" s="338"/>
      <c r="H551" s="155"/>
      <c r="I551" s="155"/>
      <c r="J551" s="155"/>
      <c r="K551" s="15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58"/>
      <c r="AA551" s="339"/>
      <c r="AB551" s="105"/>
      <c r="AC551" s="105"/>
      <c r="AD551" s="105"/>
      <c r="AE551" s="105"/>
      <c r="AF551" s="158"/>
      <c r="AG551" s="105"/>
      <c r="AH551" s="158"/>
      <c r="AI551" s="88"/>
      <c r="AJ551" s="88"/>
      <c r="AK551" s="131"/>
      <c r="AL551" s="131"/>
      <c r="AM551" s="131"/>
      <c r="AN551" s="131"/>
      <c r="AO551" s="131"/>
      <c r="AP551" s="88"/>
    </row>
    <row r="552">
      <c r="A552" s="155"/>
      <c r="B552" s="337"/>
      <c r="C552" s="340"/>
      <c r="D552" s="337"/>
      <c r="E552" s="255"/>
      <c r="F552" s="255"/>
      <c r="G552" s="338"/>
      <c r="H552" s="155"/>
      <c r="I552" s="155"/>
      <c r="J552" s="155"/>
      <c r="K552" s="15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58"/>
      <c r="AA552" s="339"/>
      <c r="AB552" s="105"/>
      <c r="AC552" s="105"/>
      <c r="AD552" s="105"/>
      <c r="AE552" s="105"/>
      <c r="AF552" s="158"/>
      <c r="AG552" s="105"/>
      <c r="AH552" s="158"/>
      <c r="AI552" s="88"/>
      <c r="AJ552" s="88"/>
      <c r="AK552" s="131"/>
      <c r="AL552" s="131"/>
      <c r="AM552" s="131"/>
      <c r="AN552" s="131"/>
      <c r="AO552" s="131"/>
      <c r="AP552" s="88"/>
    </row>
    <row r="553">
      <c r="A553" s="155"/>
      <c r="B553" s="337"/>
      <c r="C553" s="340"/>
      <c r="D553" s="337"/>
      <c r="E553" s="255"/>
      <c r="F553" s="255"/>
      <c r="G553" s="338"/>
      <c r="H553" s="155"/>
      <c r="I553" s="155"/>
      <c r="J553" s="155"/>
      <c r="K553" s="15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58"/>
      <c r="AA553" s="339"/>
      <c r="AB553" s="105"/>
      <c r="AC553" s="105"/>
      <c r="AD553" s="105"/>
      <c r="AE553" s="105"/>
      <c r="AF553" s="158"/>
      <c r="AG553" s="105"/>
      <c r="AH553" s="158"/>
      <c r="AI553" s="88"/>
      <c r="AJ553" s="88"/>
      <c r="AK553" s="131"/>
      <c r="AL553" s="131"/>
      <c r="AM553" s="131"/>
      <c r="AN553" s="131"/>
      <c r="AO553" s="131"/>
      <c r="AP553" s="88"/>
    </row>
    <row r="554">
      <c r="A554" s="155"/>
      <c r="B554" s="337"/>
      <c r="C554" s="340"/>
      <c r="D554" s="337"/>
      <c r="E554" s="255"/>
      <c r="F554" s="255"/>
      <c r="G554" s="338"/>
      <c r="H554" s="155"/>
      <c r="I554" s="155"/>
      <c r="J554" s="155"/>
      <c r="K554" s="15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58"/>
      <c r="AA554" s="339"/>
      <c r="AB554" s="105"/>
      <c r="AC554" s="105"/>
      <c r="AD554" s="105"/>
      <c r="AE554" s="105"/>
      <c r="AF554" s="158"/>
      <c r="AG554" s="105"/>
      <c r="AH554" s="158"/>
      <c r="AI554" s="88"/>
      <c r="AJ554" s="88"/>
      <c r="AK554" s="131"/>
      <c r="AL554" s="131"/>
      <c r="AM554" s="131"/>
      <c r="AN554" s="131"/>
      <c r="AO554" s="131"/>
      <c r="AP554" s="88"/>
    </row>
    <row r="555">
      <c r="A555" s="155"/>
      <c r="B555" s="337"/>
      <c r="C555" s="340"/>
      <c r="D555" s="337"/>
      <c r="E555" s="255"/>
      <c r="F555" s="255"/>
      <c r="G555" s="338"/>
      <c r="H555" s="155"/>
      <c r="I555" s="155"/>
      <c r="J555" s="155"/>
      <c r="K555" s="15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58"/>
      <c r="AA555" s="339"/>
      <c r="AB555" s="105"/>
      <c r="AC555" s="105"/>
      <c r="AD555" s="105"/>
      <c r="AE555" s="105"/>
      <c r="AF555" s="158"/>
      <c r="AG555" s="105"/>
      <c r="AH555" s="158"/>
      <c r="AI555" s="88"/>
      <c r="AJ555" s="88"/>
      <c r="AK555" s="131"/>
      <c r="AL555" s="131"/>
      <c r="AM555" s="131"/>
      <c r="AN555" s="131"/>
      <c r="AO555" s="131"/>
      <c r="AP555" s="88"/>
    </row>
    <row r="556">
      <c r="A556" s="155"/>
      <c r="B556" s="337"/>
      <c r="C556" s="340"/>
      <c r="D556" s="337"/>
      <c r="E556" s="255"/>
      <c r="F556" s="255"/>
      <c r="G556" s="338"/>
      <c r="H556" s="155"/>
      <c r="I556" s="155"/>
      <c r="J556" s="155"/>
      <c r="K556" s="15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58"/>
      <c r="AA556" s="339"/>
      <c r="AB556" s="105"/>
      <c r="AC556" s="105"/>
      <c r="AD556" s="105"/>
      <c r="AE556" s="105"/>
      <c r="AF556" s="158"/>
      <c r="AG556" s="105"/>
      <c r="AH556" s="158"/>
      <c r="AI556" s="88"/>
      <c r="AJ556" s="88"/>
      <c r="AK556" s="131"/>
      <c r="AL556" s="131"/>
      <c r="AM556" s="131"/>
      <c r="AN556" s="131"/>
      <c r="AO556" s="131"/>
      <c r="AP556" s="88"/>
    </row>
    <row r="557">
      <c r="A557" s="155"/>
      <c r="B557" s="337"/>
      <c r="C557" s="340"/>
      <c r="D557" s="337"/>
      <c r="E557" s="255"/>
      <c r="F557" s="255"/>
      <c r="G557" s="338"/>
      <c r="H557" s="155"/>
      <c r="I557" s="155"/>
      <c r="J557" s="155"/>
      <c r="K557" s="15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58"/>
      <c r="AA557" s="339"/>
      <c r="AB557" s="105"/>
      <c r="AC557" s="105"/>
      <c r="AD557" s="105"/>
      <c r="AE557" s="105"/>
      <c r="AF557" s="158"/>
      <c r="AG557" s="105"/>
      <c r="AH557" s="158"/>
      <c r="AI557" s="88"/>
      <c r="AJ557" s="88"/>
      <c r="AK557" s="131"/>
      <c r="AL557" s="131"/>
      <c r="AM557" s="131"/>
      <c r="AN557" s="131"/>
      <c r="AO557" s="131"/>
      <c r="AP557" s="88"/>
    </row>
    <row r="558">
      <c r="A558" s="155"/>
      <c r="B558" s="337"/>
      <c r="C558" s="340"/>
      <c r="D558" s="337"/>
      <c r="E558" s="255"/>
      <c r="F558" s="255"/>
      <c r="G558" s="338"/>
      <c r="H558" s="155"/>
      <c r="I558" s="155"/>
      <c r="J558" s="155"/>
      <c r="K558" s="15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58"/>
      <c r="AA558" s="339"/>
      <c r="AB558" s="105"/>
      <c r="AC558" s="105"/>
      <c r="AD558" s="105"/>
      <c r="AE558" s="105"/>
      <c r="AF558" s="158"/>
      <c r="AG558" s="105"/>
      <c r="AH558" s="158"/>
      <c r="AI558" s="88"/>
      <c r="AJ558" s="88"/>
      <c r="AK558" s="131"/>
      <c r="AL558" s="131"/>
      <c r="AM558" s="131"/>
      <c r="AN558" s="131"/>
      <c r="AO558" s="131"/>
      <c r="AP558" s="88"/>
    </row>
    <row r="559">
      <c r="A559" s="155"/>
      <c r="B559" s="337"/>
      <c r="C559" s="340"/>
      <c r="D559" s="337"/>
      <c r="E559" s="255"/>
      <c r="F559" s="255"/>
      <c r="G559" s="338"/>
      <c r="H559" s="155"/>
      <c r="I559" s="155"/>
      <c r="J559" s="155"/>
      <c r="K559" s="15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58"/>
      <c r="AA559" s="339"/>
      <c r="AB559" s="105"/>
      <c r="AC559" s="105"/>
      <c r="AD559" s="105"/>
      <c r="AE559" s="105"/>
      <c r="AF559" s="158"/>
      <c r="AG559" s="105"/>
      <c r="AH559" s="158"/>
      <c r="AI559" s="88"/>
      <c r="AJ559" s="88"/>
      <c r="AK559" s="131"/>
      <c r="AL559" s="131"/>
      <c r="AM559" s="131"/>
      <c r="AN559" s="131"/>
      <c r="AO559" s="131"/>
      <c r="AP559" s="88"/>
    </row>
    <row r="560">
      <c r="A560" s="155"/>
      <c r="B560" s="337"/>
      <c r="C560" s="340"/>
      <c r="D560" s="337"/>
      <c r="E560" s="255"/>
      <c r="F560" s="255"/>
      <c r="G560" s="338"/>
      <c r="H560" s="155"/>
      <c r="I560" s="155"/>
      <c r="J560" s="155"/>
      <c r="K560" s="15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58"/>
      <c r="AA560" s="339"/>
      <c r="AB560" s="105"/>
      <c r="AC560" s="105"/>
      <c r="AD560" s="105"/>
      <c r="AE560" s="105"/>
      <c r="AF560" s="158"/>
      <c r="AG560" s="105"/>
      <c r="AH560" s="158"/>
      <c r="AI560" s="88"/>
      <c r="AJ560" s="88"/>
      <c r="AK560" s="131"/>
      <c r="AL560" s="131"/>
      <c r="AM560" s="131"/>
      <c r="AN560" s="131"/>
      <c r="AO560" s="131"/>
      <c r="AP560" s="88"/>
    </row>
    <row r="561">
      <c r="A561" s="155"/>
      <c r="B561" s="337"/>
      <c r="C561" s="340"/>
      <c r="D561" s="337"/>
      <c r="E561" s="255"/>
      <c r="F561" s="255"/>
      <c r="G561" s="338"/>
      <c r="H561" s="155"/>
      <c r="I561" s="155"/>
      <c r="J561" s="155"/>
      <c r="K561" s="15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58"/>
      <c r="AA561" s="339"/>
      <c r="AB561" s="105"/>
      <c r="AC561" s="105"/>
      <c r="AD561" s="105"/>
      <c r="AE561" s="105"/>
      <c r="AF561" s="158"/>
      <c r="AG561" s="105"/>
      <c r="AH561" s="158"/>
      <c r="AI561" s="88"/>
      <c r="AJ561" s="88"/>
      <c r="AK561" s="131"/>
      <c r="AL561" s="131"/>
      <c r="AM561" s="131"/>
      <c r="AN561" s="131"/>
      <c r="AO561" s="131"/>
      <c r="AP561" s="88"/>
    </row>
    <row r="562">
      <c r="A562" s="155"/>
      <c r="B562" s="337"/>
      <c r="C562" s="340"/>
      <c r="D562" s="337"/>
      <c r="E562" s="255"/>
      <c r="F562" s="255"/>
      <c r="G562" s="338"/>
      <c r="H562" s="155"/>
      <c r="I562" s="155"/>
      <c r="J562" s="155"/>
      <c r="K562" s="15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58"/>
      <c r="AA562" s="339"/>
      <c r="AB562" s="105"/>
      <c r="AC562" s="105"/>
      <c r="AD562" s="105"/>
      <c r="AE562" s="105"/>
      <c r="AF562" s="158"/>
      <c r="AG562" s="105"/>
      <c r="AH562" s="158"/>
      <c r="AI562" s="88"/>
      <c r="AJ562" s="88"/>
      <c r="AK562" s="131"/>
      <c r="AL562" s="131"/>
      <c r="AM562" s="131"/>
      <c r="AN562" s="131"/>
      <c r="AO562" s="131"/>
      <c r="AP562" s="88"/>
    </row>
    <row r="563">
      <c r="A563" s="155"/>
      <c r="B563" s="337"/>
      <c r="C563" s="340"/>
      <c r="D563" s="337"/>
      <c r="E563" s="255"/>
      <c r="F563" s="255"/>
      <c r="G563" s="338"/>
      <c r="H563" s="155"/>
      <c r="I563" s="155"/>
      <c r="J563" s="155"/>
      <c r="K563" s="15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58"/>
      <c r="AA563" s="339"/>
      <c r="AB563" s="105"/>
      <c r="AC563" s="105"/>
      <c r="AD563" s="105"/>
      <c r="AE563" s="105"/>
      <c r="AF563" s="158"/>
      <c r="AG563" s="105"/>
      <c r="AH563" s="158"/>
      <c r="AI563" s="88"/>
      <c r="AJ563" s="88"/>
      <c r="AK563" s="131"/>
      <c r="AL563" s="131"/>
      <c r="AM563" s="131"/>
      <c r="AN563" s="131"/>
      <c r="AO563" s="131"/>
      <c r="AP563" s="88"/>
    </row>
    <row r="564">
      <c r="A564" s="155"/>
      <c r="B564" s="337"/>
      <c r="C564" s="340"/>
      <c r="D564" s="337"/>
      <c r="E564" s="255"/>
      <c r="F564" s="255"/>
      <c r="G564" s="338"/>
      <c r="H564" s="155"/>
      <c r="I564" s="155"/>
      <c r="J564" s="155"/>
      <c r="K564" s="15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58"/>
      <c r="AA564" s="339"/>
      <c r="AB564" s="105"/>
      <c r="AC564" s="105"/>
      <c r="AD564" s="105"/>
      <c r="AE564" s="105"/>
      <c r="AF564" s="158"/>
      <c r="AG564" s="105"/>
      <c r="AH564" s="158"/>
      <c r="AI564" s="88"/>
      <c r="AJ564" s="88"/>
      <c r="AK564" s="131"/>
      <c r="AL564" s="131"/>
      <c r="AM564" s="131"/>
      <c r="AN564" s="131"/>
      <c r="AO564" s="131"/>
      <c r="AP564" s="88"/>
    </row>
    <row r="565">
      <c r="A565" s="155"/>
      <c r="B565" s="337"/>
      <c r="C565" s="340"/>
      <c r="D565" s="337"/>
      <c r="E565" s="255"/>
      <c r="F565" s="255"/>
      <c r="G565" s="338"/>
      <c r="H565" s="155"/>
      <c r="I565" s="155"/>
      <c r="J565" s="155"/>
      <c r="K565" s="15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58"/>
      <c r="AA565" s="339"/>
      <c r="AB565" s="105"/>
      <c r="AC565" s="105"/>
      <c r="AD565" s="105"/>
      <c r="AE565" s="105"/>
      <c r="AF565" s="158"/>
      <c r="AG565" s="105"/>
      <c r="AH565" s="158"/>
      <c r="AI565" s="88"/>
      <c r="AJ565" s="88"/>
      <c r="AK565" s="131"/>
      <c r="AL565" s="131"/>
      <c r="AM565" s="131"/>
      <c r="AN565" s="131"/>
      <c r="AO565" s="131"/>
      <c r="AP565" s="88"/>
    </row>
    <row r="566">
      <c r="A566" s="155"/>
      <c r="B566" s="337"/>
      <c r="C566" s="340"/>
      <c r="D566" s="337"/>
      <c r="E566" s="255"/>
      <c r="F566" s="255"/>
      <c r="G566" s="338"/>
      <c r="H566" s="155"/>
      <c r="I566" s="155"/>
      <c r="J566" s="155"/>
      <c r="K566" s="15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58"/>
      <c r="AA566" s="339"/>
      <c r="AB566" s="105"/>
      <c r="AC566" s="105"/>
      <c r="AD566" s="105"/>
      <c r="AE566" s="105"/>
      <c r="AF566" s="158"/>
      <c r="AG566" s="105"/>
      <c r="AH566" s="158"/>
      <c r="AI566" s="88"/>
      <c r="AJ566" s="88"/>
      <c r="AK566" s="131"/>
      <c r="AL566" s="131"/>
      <c r="AM566" s="131"/>
      <c r="AN566" s="131"/>
      <c r="AO566" s="131"/>
      <c r="AP566" s="88"/>
    </row>
    <row r="567">
      <c r="A567" s="155"/>
      <c r="B567" s="337"/>
      <c r="C567" s="340"/>
      <c r="D567" s="337"/>
      <c r="E567" s="255"/>
      <c r="F567" s="255"/>
      <c r="G567" s="338"/>
      <c r="H567" s="155"/>
      <c r="I567" s="155"/>
      <c r="J567" s="155"/>
      <c r="K567" s="15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58"/>
      <c r="AA567" s="339"/>
      <c r="AB567" s="105"/>
      <c r="AC567" s="105"/>
      <c r="AD567" s="105"/>
      <c r="AE567" s="105"/>
      <c r="AF567" s="158"/>
      <c r="AG567" s="105"/>
      <c r="AH567" s="158"/>
      <c r="AI567" s="88"/>
      <c r="AJ567" s="88"/>
      <c r="AK567" s="131"/>
      <c r="AL567" s="131"/>
      <c r="AM567" s="131"/>
      <c r="AN567" s="131"/>
      <c r="AO567" s="131"/>
      <c r="AP567" s="88"/>
    </row>
    <row r="568">
      <c r="A568" s="155"/>
      <c r="B568" s="337"/>
      <c r="C568" s="340"/>
      <c r="D568" s="337"/>
      <c r="E568" s="255"/>
      <c r="F568" s="255"/>
      <c r="G568" s="338"/>
      <c r="H568" s="155"/>
      <c r="I568" s="155"/>
      <c r="J568" s="155"/>
      <c r="K568" s="15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58"/>
      <c r="AA568" s="339"/>
      <c r="AB568" s="105"/>
      <c r="AC568" s="105"/>
      <c r="AD568" s="105"/>
      <c r="AE568" s="105"/>
      <c r="AF568" s="158"/>
      <c r="AG568" s="105"/>
      <c r="AH568" s="158"/>
      <c r="AI568" s="88"/>
      <c r="AJ568" s="88"/>
      <c r="AK568" s="131"/>
      <c r="AL568" s="131"/>
      <c r="AM568" s="131"/>
      <c r="AN568" s="131"/>
      <c r="AO568" s="131"/>
      <c r="AP568" s="88"/>
    </row>
    <row r="569">
      <c r="A569" s="155"/>
      <c r="B569" s="337"/>
      <c r="C569" s="340"/>
      <c r="D569" s="337"/>
      <c r="E569" s="255"/>
      <c r="F569" s="255"/>
      <c r="G569" s="338"/>
      <c r="H569" s="155"/>
      <c r="I569" s="155"/>
      <c r="J569" s="155"/>
      <c r="K569" s="15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58"/>
      <c r="AA569" s="339"/>
      <c r="AB569" s="105"/>
      <c r="AC569" s="105"/>
      <c r="AD569" s="105"/>
      <c r="AE569" s="105"/>
      <c r="AF569" s="158"/>
      <c r="AG569" s="105"/>
      <c r="AH569" s="158"/>
      <c r="AI569" s="88"/>
      <c r="AJ569" s="88"/>
      <c r="AK569" s="131"/>
      <c r="AL569" s="131"/>
      <c r="AM569" s="131"/>
      <c r="AN569" s="131"/>
      <c r="AO569" s="131"/>
      <c r="AP569" s="88"/>
    </row>
    <row r="570">
      <c r="A570" s="155"/>
      <c r="B570" s="337"/>
      <c r="C570" s="340"/>
      <c r="D570" s="337"/>
      <c r="E570" s="255"/>
      <c r="F570" s="255"/>
      <c r="G570" s="338"/>
      <c r="H570" s="155"/>
      <c r="I570" s="155"/>
      <c r="J570" s="155"/>
      <c r="K570" s="15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58"/>
      <c r="AA570" s="339"/>
      <c r="AB570" s="105"/>
      <c r="AC570" s="105"/>
      <c r="AD570" s="105"/>
      <c r="AE570" s="105"/>
      <c r="AF570" s="158"/>
      <c r="AG570" s="105"/>
      <c r="AH570" s="158"/>
      <c r="AI570" s="88"/>
      <c r="AJ570" s="88"/>
      <c r="AK570" s="131"/>
      <c r="AL570" s="131"/>
      <c r="AM570" s="131"/>
      <c r="AN570" s="131"/>
      <c r="AO570" s="131"/>
      <c r="AP570" s="88"/>
    </row>
    <row r="571">
      <c r="A571" s="155"/>
      <c r="B571" s="337"/>
      <c r="C571" s="340"/>
      <c r="D571" s="337"/>
      <c r="E571" s="255"/>
      <c r="F571" s="255"/>
      <c r="G571" s="338"/>
      <c r="H571" s="155"/>
      <c r="I571" s="155"/>
      <c r="J571" s="155"/>
      <c r="K571" s="15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58"/>
      <c r="AA571" s="339"/>
      <c r="AB571" s="105"/>
      <c r="AC571" s="105"/>
      <c r="AD571" s="105"/>
      <c r="AE571" s="105"/>
      <c r="AF571" s="158"/>
      <c r="AG571" s="105"/>
      <c r="AH571" s="158"/>
      <c r="AI571" s="88"/>
      <c r="AJ571" s="88"/>
      <c r="AK571" s="131"/>
      <c r="AL571" s="131"/>
      <c r="AM571" s="131"/>
      <c r="AN571" s="131"/>
      <c r="AO571" s="131"/>
      <c r="AP571" s="88"/>
    </row>
    <row r="572">
      <c r="A572" s="155"/>
      <c r="B572" s="337"/>
      <c r="C572" s="340"/>
      <c r="D572" s="337"/>
      <c r="E572" s="255"/>
      <c r="F572" s="255"/>
      <c r="G572" s="338"/>
      <c r="H572" s="155"/>
      <c r="I572" s="155"/>
      <c r="J572" s="155"/>
      <c r="K572" s="15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58"/>
      <c r="AA572" s="339"/>
      <c r="AB572" s="105"/>
      <c r="AC572" s="105"/>
      <c r="AD572" s="105"/>
      <c r="AE572" s="105"/>
      <c r="AF572" s="158"/>
      <c r="AG572" s="105"/>
      <c r="AH572" s="158"/>
      <c r="AI572" s="88"/>
      <c r="AJ572" s="88"/>
      <c r="AK572" s="131"/>
      <c r="AL572" s="131"/>
      <c r="AM572" s="131"/>
      <c r="AN572" s="131"/>
      <c r="AO572" s="131"/>
      <c r="AP572" s="88"/>
    </row>
    <row r="573">
      <c r="A573" s="155"/>
      <c r="B573" s="337"/>
      <c r="C573" s="340"/>
      <c r="D573" s="337"/>
      <c r="E573" s="255"/>
      <c r="F573" s="255"/>
      <c r="G573" s="338"/>
      <c r="H573" s="155"/>
      <c r="I573" s="155"/>
      <c r="J573" s="155"/>
      <c r="K573" s="15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58"/>
      <c r="AA573" s="339"/>
      <c r="AB573" s="105"/>
      <c r="AC573" s="105"/>
      <c r="AD573" s="105"/>
      <c r="AE573" s="105"/>
      <c r="AF573" s="158"/>
      <c r="AG573" s="105"/>
      <c r="AH573" s="158"/>
      <c r="AI573" s="88"/>
      <c r="AJ573" s="88"/>
      <c r="AK573" s="131"/>
      <c r="AL573" s="131"/>
      <c r="AM573" s="131"/>
      <c r="AN573" s="131"/>
      <c r="AO573" s="131"/>
      <c r="AP573" s="88"/>
    </row>
    <row r="574">
      <c r="A574" s="155"/>
      <c r="B574" s="337"/>
      <c r="C574" s="340"/>
      <c r="D574" s="337"/>
      <c r="E574" s="255"/>
      <c r="F574" s="255"/>
      <c r="G574" s="338"/>
      <c r="H574" s="155"/>
      <c r="I574" s="155"/>
      <c r="J574" s="155"/>
      <c r="K574" s="15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58"/>
      <c r="AA574" s="339"/>
      <c r="AB574" s="105"/>
      <c r="AC574" s="105"/>
      <c r="AD574" s="105"/>
      <c r="AE574" s="105"/>
      <c r="AF574" s="158"/>
      <c r="AG574" s="105"/>
      <c r="AH574" s="158"/>
      <c r="AI574" s="88"/>
      <c r="AJ574" s="88"/>
      <c r="AK574" s="131"/>
      <c r="AL574" s="131"/>
      <c r="AM574" s="131"/>
      <c r="AN574" s="131"/>
      <c r="AO574" s="131"/>
      <c r="AP574" s="88"/>
    </row>
    <row r="575">
      <c r="A575" s="155"/>
      <c r="B575" s="337"/>
      <c r="C575" s="340"/>
      <c r="D575" s="337"/>
      <c r="E575" s="255"/>
      <c r="F575" s="255"/>
      <c r="G575" s="338"/>
      <c r="H575" s="155"/>
      <c r="I575" s="155"/>
      <c r="J575" s="155"/>
      <c r="K575" s="15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58"/>
      <c r="AA575" s="339"/>
      <c r="AB575" s="105"/>
      <c r="AC575" s="105"/>
      <c r="AD575" s="105"/>
      <c r="AE575" s="105"/>
      <c r="AF575" s="158"/>
      <c r="AG575" s="105"/>
      <c r="AH575" s="158"/>
      <c r="AI575" s="88"/>
      <c r="AJ575" s="88"/>
      <c r="AK575" s="131"/>
      <c r="AL575" s="131"/>
      <c r="AM575" s="131"/>
      <c r="AN575" s="131"/>
      <c r="AO575" s="131"/>
      <c r="AP575" s="88"/>
    </row>
    <row r="576">
      <c r="A576" s="155"/>
      <c r="B576" s="337"/>
      <c r="C576" s="340"/>
      <c r="D576" s="337"/>
      <c r="E576" s="255"/>
      <c r="F576" s="255"/>
      <c r="G576" s="338"/>
      <c r="H576" s="155"/>
      <c r="I576" s="155"/>
      <c r="J576" s="155"/>
      <c r="K576" s="15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58"/>
      <c r="AA576" s="339"/>
      <c r="AB576" s="105"/>
      <c r="AC576" s="105"/>
      <c r="AD576" s="105"/>
      <c r="AE576" s="105"/>
      <c r="AF576" s="158"/>
      <c r="AG576" s="105"/>
      <c r="AH576" s="158"/>
      <c r="AI576" s="88"/>
      <c r="AJ576" s="88"/>
      <c r="AK576" s="131"/>
      <c r="AL576" s="131"/>
      <c r="AM576" s="131"/>
      <c r="AN576" s="131"/>
      <c r="AO576" s="131"/>
      <c r="AP576" s="88"/>
    </row>
    <row r="577">
      <c r="A577" s="155"/>
      <c r="B577" s="337"/>
      <c r="C577" s="340"/>
      <c r="D577" s="337"/>
      <c r="E577" s="255"/>
      <c r="F577" s="255"/>
      <c r="G577" s="338"/>
      <c r="H577" s="155"/>
      <c r="I577" s="155"/>
      <c r="J577" s="155"/>
      <c r="K577" s="15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58"/>
      <c r="AA577" s="339"/>
      <c r="AB577" s="105"/>
      <c r="AC577" s="105"/>
      <c r="AD577" s="105"/>
      <c r="AE577" s="105"/>
      <c r="AF577" s="158"/>
      <c r="AG577" s="105"/>
      <c r="AH577" s="158"/>
      <c r="AI577" s="88"/>
      <c r="AJ577" s="88"/>
      <c r="AK577" s="131"/>
      <c r="AL577" s="131"/>
      <c r="AM577" s="131"/>
      <c r="AN577" s="131"/>
      <c r="AO577" s="131"/>
      <c r="AP577" s="88"/>
    </row>
    <row r="578">
      <c r="A578" s="155"/>
      <c r="B578" s="337"/>
      <c r="C578" s="340"/>
      <c r="D578" s="337"/>
      <c r="E578" s="255"/>
      <c r="F578" s="255"/>
      <c r="G578" s="338"/>
      <c r="H578" s="155"/>
      <c r="I578" s="155"/>
      <c r="J578" s="155"/>
      <c r="K578" s="15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58"/>
      <c r="AA578" s="339"/>
      <c r="AB578" s="105"/>
      <c r="AC578" s="105"/>
      <c r="AD578" s="105"/>
      <c r="AE578" s="105"/>
      <c r="AF578" s="158"/>
      <c r="AG578" s="105"/>
      <c r="AH578" s="158"/>
      <c r="AI578" s="88"/>
      <c r="AJ578" s="88"/>
      <c r="AK578" s="131"/>
      <c r="AL578" s="131"/>
      <c r="AM578" s="131"/>
      <c r="AN578" s="131"/>
      <c r="AO578" s="131"/>
      <c r="AP578" s="88"/>
    </row>
    <row r="579">
      <c r="A579" s="155"/>
      <c r="B579" s="337"/>
      <c r="C579" s="340"/>
      <c r="D579" s="337"/>
      <c r="E579" s="255"/>
      <c r="F579" s="255"/>
      <c r="G579" s="338"/>
      <c r="H579" s="155"/>
      <c r="I579" s="155"/>
      <c r="J579" s="155"/>
      <c r="K579" s="15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58"/>
      <c r="AA579" s="339"/>
      <c r="AB579" s="105"/>
      <c r="AC579" s="105"/>
      <c r="AD579" s="105"/>
      <c r="AE579" s="105"/>
      <c r="AF579" s="158"/>
      <c r="AG579" s="105"/>
      <c r="AH579" s="158"/>
      <c r="AI579" s="88"/>
      <c r="AJ579" s="88"/>
      <c r="AK579" s="131"/>
      <c r="AL579" s="131"/>
      <c r="AM579" s="131"/>
      <c r="AN579" s="131"/>
      <c r="AO579" s="131"/>
      <c r="AP579" s="88"/>
    </row>
    <row r="580">
      <c r="A580" s="155"/>
      <c r="B580" s="337"/>
      <c r="C580" s="340"/>
      <c r="D580" s="337"/>
      <c r="E580" s="255"/>
      <c r="F580" s="255"/>
      <c r="G580" s="338"/>
      <c r="H580" s="155"/>
      <c r="I580" s="155"/>
      <c r="J580" s="155"/>
      <c r="K580" s="15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58"/>
      <c r="AA580" s="339"/>
      <c r="AB580" s="105"/>
      <c r="AC580" s="105"/>
      <c r="AD580" s="105"/>
      <c r="AE580" s="105"/>
      <c r="AF580" s="158"/>
      <c r="AG580" s="105"/>
      <c r="AH580" s="158"/>
      <c r="AI580" s="88"/>
      <c r="AJ580" s="88"/>
      <c r="AK580" s="131"/>
      <c r="AL580" s="131"/>
      <c r="AM580" s="131"/>
      <c r="AN580" s="131"/>
      <c r="AO580" s="131"/>
      <c r="AP580" s="88"/>
    </row>
    <row r="581">
      <c r="A581" s="155"/>
      <c r="B581" s="337"/>
      <c r="C581" s="340"/>
      <c r="D581" s="337"/>
      <c r="E581" s="255"/>
      <c r="F581" s="255"/>
      <c r="G581" s="338"/>
      <c r="H581" s="155"/>
      <c r="I581" s="155"/>
      <c r="J581" s="155"/>
      <c r="K581" s="15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58"/>
      <c r="AA581" s="339"/>
      <c r="AB581" s="105"/>
      <c r="AC581" s="105"/>
      <c r="AD581" s="105"/>
      <c r="AE581" s="105"/>
      <c r="AF581" s="158"/>
      <c r="AG581" s="105"/>
      <c r="AH581" s="158"/>
      <c r="AI581" s="88"/>
      <c r="AJ581" s="88"/>
      <c r="AK581" s="131"/>
      <c r="AL581" s="131"/>
      <c r="AM581" s="131"/>
      <c r="AN581" s="131"/>
      <c r="AO581" s="131"/>
      <c r="AP581" s="88"/>
    </row>
    <row r="582">
      <c r="A582" s="155"/>
      <c r="B582" s="337"/>
      <c r="C582" s="340"/>
      <c r="D582" s="337"/>
      <c r="E582" s="255"/>
      <c r="F582" s="255"/>
      <c r="G582" s="338"/>
      <c r="H582" s="155"/>
      <c r="I582" s="155"/>
      <c r="J582" s="155"/>
      <c r="K582" s="15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58"/>
      <c r="AA582" s="339"/>
      <c r="AB582" s="105"/>
      <c r="AC582" s="105"/>
      <c r="AD582" s="105"/>
      <c r="AE582" s="105"/>
      <c r="AF582" s="158"/>
      <c r="AG582" s="105"/>
      <c r="AH582" s="158"/>
      <c r="AI582" s="88"/>
      <c r="AJ582" s="88"/>
      <c r="AK582" s="131"/>
      <c r="AL582" s="131"/>
      <c r="AM582" s="131"/>
      <c r="AN582" s="131"/>
      <c r="AO582" s="131"/>
      <c r="AP582" s="88"/>
    </row>
    <row r="583">
      <c r="A583" s="155"/>
      <c r="B583" s="337"/>
      <c r="C583" s="340"/>
      <c r="D583" s="337"/>
      <c r="E583" s="255"/>
      <c r="F583" s="255"/>
      <c r="G583" s="338"/>
      <c r="H583" s="155"/>
      <c r="I583" s="155"/>
      <c r="J583" s="155"/>
      <c r="K583" s="15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58"/>
      <c r="AA583" s="339"/>
      <c r="AB583" s="105"/>
      <c r="AC583" s="105"/>
      <c r="AD583" s="105"/>
      <c r="AE583" s="105"/>
      <c r="AF583" s="158"/>
      <c r="AG583" s="105"/>
      <c r="AH583" s="158"/>
      <c r="AI583" s="88"/>
      <c r="AJ583" s="88"/>
      <c r="AK583" s="131"/>
      <c r="AL583" s="131"/>
      <c r="AM583" s="131"/>
      <c r="AN583" s="131"/>
      <c r="AO583" s="131"/>
      <c r="AP583" s="88"/>
    </row>
    <row r="584">
      <c r="A584" s="155"/>
      <c r="B584" s="337"/>
      <c r="C584" s="340"/>
      <c r="D584" s="337"/>
      <c r="E584" s="255"/>
      <c r="F584" s="255"/>
      <c r="G584" s="338"/>
      <c r="H584" s="155"/>
      <c r="I584" s="155"/>
      <c r="J584" s="155"/>
      <c r="K584" s="15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58"/>
      <c r="AA584" s="339"/>
      <c r="AB584" s="105"/>
      <c r="AC584" s="105"/>
      <c r="AD584" s="105"/>
      <c r="AE584" s="105"/>
      <c r="AF584" s="158"/>
      <c r="AG584" s="105"/>
      <c r="AH584" s="158"/>
      <c r="AI584" s="88"/>
      <c r="AJ584" s="88"/>
      <c r="AK584" s="131"/>
      <c r="AL584" s="131"/>
      <c r="AM584" s="131"/>
      <c r="AN584" s="131"/>
      <c r="AO584" s="131"/>
      <c r="AP584" s="88"/>
    </row>
    <row r="585">
      <c r="A585" s="155"/>
      <c r="B585" s="337"/>
      <c r="C585" s="340"/>
      <c r="D585" s="337"/>
      <c r="E585" s="255"/>
      <c r="F585" s="255"/>
      <c r="G585" s="338"/>
      <c r="H585" s="155"/>
      <c r="I585" s="155"/>
      <c r="J585" s="155"/>
      <c r="K585" s="15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58"/>
      <c r="AA585" s="339"/>
      <c r="AB585" s="105"/>
      <c r="AC585" s="105"/>
      <c r="AD585" s="105"/>
      <c r="AE585" s="105"/>
      <c r="AF585" s="158"/>
      <c r="AG585" s="105"/>
      <c r="AH585" s="158"/>
      <c r="AI585" s="88"/>
      <c r="AJ585" s="88"/>
      <c r="AK585" s="131"/>
      <c r="AL585" s="131"/>
      <c r="AM585" s="131"/>
      <c r="AN585" s="131"/>
      <c r="AO585" s="131"/>
      <c r="AP585" s="88"/>
    </row>
    <row r="586">
      <c r="A586" s="155"/>
      <c r="B586" s="337"/>
      <c r="C586" s="340"/>
      <c r="D586" s="337"/>
      <c r="E586" s="255"/>
      <c r="F586" s="255"/>
      <c r="G586" s="338"/>
      <c r="H586" s="155"/>
      <c r="I586" s="155"/>
      <c r="J586" s="155"/>
      <c r="K586" s="15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58"/>
      <c r="AA586" s="339"/>
      <c r="AB586" s="105"/>
      <c r="AC586" s="105"/>
      <c r="AD586" s="105"/>
      <c r="AE586" s="105"/>
      <c r="AF586" s="158"/>
      <c r="AG586" s="105"/>
      <c r="AH586" s="158"/>
      <c r="AI586" s="88"/>
      <c r="AJ586" s="88"/>
      <c r="AK586" s="131"/>
      <c r="AL586" s="131"/>
      <c r="AM586" s="131"/>
      <c r="AN586" s="131"/>
      <c r="AO586" s="131"/>
      <c r="AP586" s="88"/>
    </row>
    <row r="587">
      <c r="A587" s="155"/>
      <c r="B587" s="337"/>
      <c r="C587" s="340"/>
      <c r="D587" s="337"/>
      <c r="E587" s="255"/>
      <c r="F587" s="255"/>
      <c r="G587" s="338"/>
      <c r="H587" s="155"/>
      <c r="I587" s="155"/>
      <c r="J587" s="155"/>
      <c r="K587" s="15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58"/>
      <c r="AA587" s="339"/>
      <c r="AB587" s="105"/>
      <c r="AC587" s="105"/>
      <c r="AD587" s="105"/>
      <c r="AE587" s="105"/>
      <c r="AF587" s="158"/>
      <c r="AG587" s="105"/>
      <c r="AH587" s="158"/>
      <c r="AI587" s="88"/>
      <c r="AJ587" s="88"/>
      <c r="AK587" s="131"/>
      <c r="AL587" s="131"/>
      <c r="AM587" s="131"/>
      <c r="AN587" s="131"/>
      <c r="AO587" s="131"/>
      <c r="AP587" s="88"/>
    </row>
    <row r="588">
      <c r="A588" s="155"/>
      <c r="B588" s="337"/>
      <c r="C588" s="340"/>
      <c r="D588" s="337"/>
      <c r="E588" s="255"/>
      <c r="F588" s="255"/>
      <c r="G588" s="338"/>
      <c r="H588" s="155"/>
      <c r="I588" s="155"/>
      <c r="J588" s="155"/>
      <c r="K588" s="15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58"/>
      <c r="AA588" s="339"/>
      <c r="AB588" s="105"/>
      <c r="AC588" s="105"/>
      <c r="AD588" s="105"/>
      <c r="AE588" s="105"/>
      <c r="AF588" s="158"/>
      <c r="AG588" s="105"/>
      <c r="AH588" s="158"/>
      <c r="AI588" s="88"/>
      <c r="AJ588" s="88"/>
      <c r="AK588" s="131"/>
      <c r="AL588" s="131"/>
      <c r="AM588" s="131"/>
      <c r="AN588" s="131"/>
      <c r="AO588" s="131"/>
      <c r="AP588" s="88"/>
    </row>
    <row r="589">
      <c r="A589" s="155"/>
      <c r="B589" s="337"/>
      <c r="C589" s="340"/>
      <c r="D589" s="337"/>
      <c r="E589" s="255"/>
      <c r="F589" s="255"/>
      <c r="G589" s="338"/>
      <c r="H589" s="155"/>
      <c r="I589" s="155"/>
      <c r="J589" s="155"/>
      <c r="K589" s="15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58"/>
      <c r="AA589" s="339"/>
      <c r="AB589" s="105"/>
      <c r="AC589" s="105"/>
      <c r="AD589" s="105"/>
      <c r="AE589" s="105"/>
      <c r="AF589" s="158"/>
      <c r="AG589" s="105"/>
      <c r="AH589" s="158"/>
      <c r="AI589" s="88"/>
      <c r="AJ589" s="88"/>
      <c r="AK589" s="131"/>
      <c r="AL589" s="131"/>
      <c r="AM589" s="131"/>
      <c r="AN589" s="131"/>
      <c r="AO589" s="131"/>
      <c r="AP589" s="88"/>
    </row>
    <row r="590">
      <c r="A590" s="155"/>
      <c r="B590" s="337"/>
      <c r="C590" s="340"/>
      <c r="D590" s="337"/>
      <c r="E590" s="255"/>
      <c r="F590" s="255"/>
      <c r="G590" s="338"/>
      <c r="H590" s="155"/>
      <c r="I590" s="155"/>
      <c r="J590" s="155"/>
      <c r="K590" s="15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58"/>
      <c r="AA590" s="339"/>
      <c r="AB590" s="105"/>
      <c r="AC590" s="105"/>
      <c r="AD590" s="105"/>
      <c r="AE590" s="105"/>
      <c r="AF590" s="158"/>
      <c r="AG590" s="105"/>
      <c r="AH590" s="158"/>
      <c r="AI590" s="88"/>
      <c r="AJ590" s="88"/>
      <c r="AK590" s="131"/>
      <c r="AL590" s="131"/>
      <c r="AM590" s="131"/>
      <c r="AN590" s="131"/>
      <c r="AO590" s="131"/>
      <c r="AP590" s="88"/>
    </row>
    <row r="591">
      <c r="A591" s="155"/>
      <c r="B591" s="337"/>
      <c r="C591" s="340"/>
      <c r="D591" s="337"/>
      <c r="E591" s="255"/>
      <c r="F591" s="255"/>
      <c r="G591" s="338"/>
      <c r="H591" s="155"/>
      <c r="I591" s="155"/>
      <c r="J591" s="155"/>
      <c r="K591" s="15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58"/>
      <c r="AA591" s="339"/>
      <c r="AB591" s="105"/>
      <c r="AC591" s="105"/>
      <c r="AD591" s="105"/>
      <c r="AE591" s="105"/>
      <c r="AF591" s="158"/>
      <c r="AG591" s="105"/>
      <c r="AH591" s="158"/>
      <c r="AI591" s="88"/>
      <c r="AJ591" s="88"/>
      <c r="AK591" s="131"/>
      <c r="AL591" s="131"/>
      <c r="AM591" s="131"/>
      <c r="AN591" s="131"/>
      <c r="AO591" s="131"/>
      <c r="AP591" s="88"/>
    </row>
    <row r="592">
      <c r="A592" s="155"/>
      <c r="B592" s="337"/>
      <c r="C592" s="340"/>
      <c r="D592" s="337"/>
      <c r="E592" s="255"/>
      <c r="F592" s="255"/>
      <c r="G592" s="338"/>
      <c r="H592" s="155"/>
      <c r="I592" s="155"/>
      <c r="J592" s="155"/>
      <c r="K592" s="15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58"/>
      <c r="AA592" s="339"/>
      <c r="AB592" s="105"/>
      <c r="AC592" s="105"/>
      <c r="AD592" s="105"/>
      <c r="AE592" s="105"/>
      <c r="AF592" s="158"/>
      <c r="AG592" s="105"/>
      <c r="AH592" s="158"/>
      <c r="AI592" s="88"/>
      <c r="AJ592" s="88"/>
      <c r="AK592" s="131"/>
      <c r="AL592" s="131"/>
      <c r="AM592" s="131"/>
      <c r="AN592" s="131"/>
      <c r="AO592" s="131"/>
      <c r="AP592" s="88"/>
    </row>
    <row r="593">
      <c r="A593" s="155"/>
      <c r="B593" s="337"/>
      <c r="C593" s="340"/>
      <c r="D593" s="337"/>
      <c r="E593" s="255"/>
      <c r="F593" s="255"/>
      <c r="G593" s="338"/>
      <c r="H593" s="155"/>
      <c r="I593" s="155"/>
      <c r="J593" s="155"/>
      <c r="K593" s="15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58"/>
      <c r="AA593" s="339"/>
      <c r="AB593" s="105"/>
      <c r="AC593" s="105"/>
      <c r="AD593" s="105"/>
      <c r="AE593" s="105"/>
      <c r="AF593" s="158"/>
      <c r="AG593" s="105"/>
      <c r="AH593" s="158"/>
      <c r="AI593" s="88"/>
      <c r="AJ593" s="88"/>
      <c r="AK593" s="131"/>
      <c r="AL593" s="131"/>
      <c r="AM593" s="131"/>
      <c r="AN593" s="131"/>
      <c r="AO593" s="131"/>
      <c r="AP593" s="88"/>
    </row>
    <row r="594">
      <c r="A594" s="155"/>
      <c r="B594" s="337"/>
      <c r="C594" s="340"/>
      <c r="D594" s="337"/>
      <c r="E594" s="255"/>
      <c r="F594" s="255"/>
      <c r="G594" s="338"/>
      <c r="H594" s="155"/>
      <c r="I594" s="155"/>
      <c r="J594" s="155"/>
      <c r="K594" s="15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58"/>
      <c r="AA594" s="339"/>
      <c r="AB594" s="105"/>
      <c r="AC594" s="105"/>
      <c r="AD594" s="105"/>
      <c r="AE594" s="105"/>
      <c r="AF594" s="158"/>
      <c r="AG594" s="105"/>
      <c r="AH594" s="158"/>
      <c r="AI594" s="88"/>
      <c r="AJ594" s="88"/>
      <c r="AK594" s="131"/>
      <c r="AL594" s="131"/>
      <c r="AM594" s="131"/>
      <c r="AN594" s="131"/>
      <c r="AO594" s="131"/>
      <c r="AP594" s="88"/>
    </row>
    <row r="595">
      <c r="A595" s="155"/>
      <c r="B595" s="337"/>
      <c r="C595" s="340"/>
      <c r="D595" s="337"/>
      <c r="E595" s="255"/>
      <c r="F595" s="255"/>
      <c r="G595" s="338"/>
      <c r="H595" s="155"/>
      <c r="I595" s="155"/>
      <c r="J595" s="155"/>
      <c r="K595" s="15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58"/>
      <c r="AA595" s="339"/>
      <c r="AB595" s="105"/>
      <c r="AC595" s="105"/>
      <c r="AD595" s="105"/>
      <c r="AE595" s="105"/>
      <c r="AF595" s="158"/>
      <c r="AG595" s="105"/>
      <c r="AH595" s="158"/>
      <c r="AI595" s="88"/>
      <c r="AJ595" s="88"/>
      <c r="AK595" s="131"/>
      <c r="AL595" s="131"/>
      <c r="AM595" s="131"/>
      <c r="AN595" s="131"/>
      <c r="AO595" s="131"/>
      <c r="AP595" s="88"/>
    </row>
    <row r="596">
      <c r="A596" s="155"/>
      <c r="B596" s="337"/>
      <c r="C596" s="340"/>
      <c r="D596" s="337"/>
      <c r="E596" s="255"/>
      <c r="F596" s="255"/>
      <c r="G596" s="338"/>
      <c r="H596" s="155"/>
      <c r="I596" s="155"/>
      <c r="J596" s="155"/>
      <c r="K596" s="15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58"/>
      <c r="AA596" s="339"/>
      <c r="AB596" s="105"/>
      <c r="AC596" s="105"/>
      <c r="AD596" s="105"/>
      <c r="AE596" s="105"/>
      <c r="AF596" s="158"/>
      <c r="AG596" s="105"/>
      <c r="AH596" s="158"/>
      <c r="AI596" s="88"/>
      <c r="AJ596" s="88"/>
      <c r="AK596" s="131"/>
      <c r="AL596" s="131"/>
      <c r="AM596" s="131"/>
      <c r="AN596" s="131"/>
      <c r="AO596" s="131"/>
      <c r="AP596" s="88"/>
    </row>
    <row r="597">
      <c r="A597" s="155"/>
      <c r="B597" s="337"/>
      <c r="C597" s="340"/>
      <c r="D597" s="337"/>
      <c r="E597" s="255"/>
      <c r="F597" s="255"/>
      <c r="G597" s="338"/>
      <c r="H597" s="155"/>
      <c r="I597" s="155"/>
      <c r="J597" s="155"/>
      <c r="K597" s="15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58"/>
      <c r="AA597" s="339"/>
      <c r="AB597" s="105"/>
      <c r="AC597" s="105"/>
      <c r="AD597" s="105"/>
      <c r="AE597" s="105"/>
      <c r="AF597" s="158"/>
      <c r="AG597" s="105"/>
      <c r="AH597" s="158"/>
      <c r="AI597" s="88"/>
      <c r="AJ597" s="88"/>
      <c r="AK597" s="131"/>
      <c r="AL597" s="131"/>
      <c r="AM597" s="131"/>
      <c r="AN597" s="131"/>
      <c r="AO597" s="131"/>
      <c r="AP597" s="88"/>
    </row>
    <row r="598">
      <c r="A598" s="155"/>
      <c r="B598" s="337"/>
      <c r="C598" s="340"/>
      <c r="D598" s="337"/>
      <c r="E598" s="255"/>
      <c r="F598" s="255"/>
      <c r="G598" s="338"/>
      <c r="H598" s="155"/>
      <c r="I598" s="155"/>
      <c r="J598" s="155"/>
      <c r="K598" s="15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58"/>
      <c r="AA598" s="339"/>
      <c r="AB598" s="105"/>
      <c r="AC598" s="105"/>
      <c r="AD598" s="105"/>
      <c r="AE598" s="105"/>
      <c r="AF598" s="158"/>
      <c r="AG598" s="105"/>
      <c r="AH598" s="158"/>
      <c r="AI598" s="88"/>
      <c r="AJ598" s="88"/>
      <c r="AK598" s="131"/>
      <c r="AL598" s="131"/>
      <c r="AM598" s="131"/>
      <c r="AN598" s="131"/>
      <c r="AO598" s="131"/>
      <c r="AP598" s="88"/>
    </row>
    <row r="599">
      <c r="A599" s="155"/>
      <c r="B599" s="337"/>
      <c r="C599" s="340"/>
      <c r="D599" s="337"/>
      <c r="E599" s="255"/>
      <c r="F599" s="255"/>
      <c r="G599" s="338"/>
      <c r="H599" s="155"/>
      <c r="I599" s="155"/>
      <c r="J599" s="155"/>
      <c r="K599" s="15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58"/>
      <c r="AA599" s="339"/>
      <c r="AB599" s="105"/>
      <c r="AC599" s="105"/>
      <c r="AD599" s="105"/>
      <c r="AE599" s="105"/>
      <c r="AF599" s="158"/>
      <c r="AG599" s="105"/>
      <c r="AH599" s="158"/>
      <c r="AI599" s="88"/>
      <c r="AJ599" s="88"/>
      <c r="AK599" s="131"/>
      <c r="AL599" s="131"/>
      <c r="AM599" s="131"/>
      <c r="AN599" s="131"/>
      <c r="AO599" s="131"/>
      <c r="AP599" s="88"/>
    </row>
    <row r="600">
      <c r="A600" s="155"/>
      <c r="B600" s="337"/>
      <c r="C600" s="340"/>
      <c r="D600" s="337"/>
      <c r="E600" s="255"/>
      <c r="F600" s="255"/>
      <c r="G600" s="338"/>
      <c r="H600" s="155"/>
      <c r="I600" s="155"/>
      <c r="J600" s="155"/>
      <c r="K600" s="15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58"/>
      <c r="AA600" s="339"/>
      <c r="AB600" s="105"/>
      <c r="AC600" s="105"/>
      <c r="AD600" s="105"/>
      <c r="AE600" s="105"/>
      <c r="AF600" s="158"/>
      <c r="AG600" s="105"/>
      <c r="AH600" s="158"/>
      <c r="AI600" s="88"/>
      <c r="AJ600" s="88"/>
      <c r="AK600" s="131"/>
      <c r="AL600" s="131"/>
      <c r="AM600" s="131"/>
      <c r="AN600" s="131"/>
      <c r="AO600" s="131"/>
      <c r="AP600" s="88"/>
    </row>
    <row r="601">
      <c r="A601" s="155"/>
      <c r="B601" s="337"/>
      <c r="C601" s="340"/>
      <c r="D601" s="337"/>
      <c r="E601" s="255"/>
      <c r="F601" s="255"/>
      <c r="G601" s="338"/>
      <c r="H601" s="155"/>
      <c r="I601" s="155"/>
      <c r="J601" s="155"/>
      <c r="K601" s="15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58"/>
      <c r="AA601" s="339"/>
      <c r="AB601" s="105"/>
      <c r="AC601" s="105"/>
      <c r="AD601" s="105"/>
      <c r="AE601" s="105"/>
      <c r="AF601" s="158"/>
      <c r="AG601" s="105"/>
      <c r="AH601" s="158"/>
      <c r="AI601" s="88"/>
      <c r="AJ601" s="88"/>
      <c r="AK601" s="131"/>
      <c r="AL601" s="131"/>
      <c r="AM601" s="131"/>
      <c r="AN601" s="131"/>
      <c r="AO601" s="131"/>
      <c r="AP601" s="88"/>
    </row>
    <row r="602">
      <c r="A602" s="155"/>
      <c r="B602" s="337"/>
      <c r="C602" s="340"/>
      <c r="D602" s="337"/>
      <c r="E602" s="255"/>
      <c r="F602" s="255"/>
      <c r="G602" s="338"/>
      <c r="H602" s="155"/>
      <c r="I602" s="155"/>
      <c r="J602" s="155"/>
      <c r="K602" s="15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58"/>
      <c r="AA602" s="339"/>
      <c r="AB602" s="105"/>
      <c r="AC602" s="105"/>
      <c r="AD602" s="105"/>
      <c r="AE602" s="105"/>
      <c r="AF602" s="158"/>
      <c r="AG602" s="105"/>
      <c r="AH602" s="158"/>
      <c r="AI602" s="88"/>
      <c r="AJ602" s="88"/>
      <c r="AK602" s="131"/>
      <c r="AL602" s="131"/>
      <c r="AM602" s="131"/>
      <c r="AN602" s="131"/>
      <c r="AO602" s="131"/>
      <c r="AP602" s="88"/>
    </row>
    <row r="603">
      <c r="A603" s="155"/>
      <c r="B603" s="337"/>
      <c r="C603" s="340"/>
      <c r="D603" s="337"/>
      <c r="E603" s="255"/>
      <c r="F603" s="255"/>
      <c r="G603" s="338"/>
      <c r="H603" s="155"/>
      <c r="I603" s="155"/>
      <c r="J603" s="155"/>
      <c r="K603" s="15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58"/>
      <c r="AA603" s="339"/>
      <c r="AB603" s="105"/>
      <c r="AC603" s="105"/>
      <c r="AD603" s="105"/>
      <c r="AE603" s="105"/>
      <c r="AF603" s="158"/>
      <c r="AG603" s="105"/>
      <c r="AH603" s="158"/>
      <c r="AI603" s="88"/>
      <c r="AJ603" s="88"/>
      <c r="AK603" s="131"/>
      <c r="AL603" s="131"/>
      <c r="AM603" s="131"/>
      <c r="AN603" s="131"/>
      <c r="AO603" s="131"/>
      <c r="AP603" s="88"/>
    </row>
    <row r="604">
      <c r="A604" s="155"/>
      <c r="B604" s="337"/>
      <c r="C604" s="340"/>
      <c r="D604" s="337"/>
      <c r="E604" s="255"/>
      <c r="F604" s="255"/>
      <c r="G604" s="338"/>
      <c r="H604" s="155"/>
      <c r="I604" s="155"/>
      <c r="J604" s="155"/>
      <c r="K604" s="15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58"/>
      <c r="AA604" s="339"/>
      <c r="AB604" s="105"/>
      <c r="AC604" s="105"/>
      <c r="AD604" s="105"/>
      <c r="AE604" s="105"/>
      <c r="AF604" s="158"/>
      <c r="AG604" s="105"/>
      <c r="AH604" s="158"/>
      <c r="AI604" s="88"/>
      <c r="AJ604" s="88"/>
      <c r="AK604" s="131"/>
      <c r="AL604" s="131"/>
      <c r="AM604" s="131"/>
      <c r="AN604" s="131"/>
      <c r="AO604" s="131"/>
      <c r="AP604" s="88"/>
    </row>
    <row r="605">
      <c r="A605" s="155"/>
      <c r="B605" s="337"/>
      <c r="C605" s="340"/>
      <c r="D605" s="337"/>
      <c r="E605" s="255"/>
      <c r="F605" s="255"/>
      <c r="G605" s="338"/>
      <c r="H605" s="155"/>
      <c r="I605" s="155"/>
      <c r="J605" s="155"/>
      <c r="K605" s="15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58"/>
      <c r="AA605" s="339"/>
      <c r="AB605" s="105"/>
      <c r="AC605" s="105"/>
      <c r="AD605" s="105"/>
      <c r="AE605" s="105"/>
      <c r="AF605" s="158"/>
      <c r="AG605" s="105"/>
      <c r="AH605" s="158"/>
      <c r="AI605" s="88"/>
      <c r="AJ605" s="88"/>
      <c r="AK605" s="131"/>
      <c r="AL605" s="131"/>
      <c r="AM605" s="131"/>
      <c r="AN605" s="131"/>
      <c r="AO605" s="131"/>
      <c r="AP605" s="88"/>
    </row>
    <row r="606">
      <c r="A606" s="155"/>
      <c r="B606" s="337"/>
      <c r="C606" s="340"/>
      <c r="D606" s="337"/>
      <c r="E606" s="255"/>
      <c r="F606" s="255"/>
      <c r="G606" s="338"/>
      <c r="H606" s="155"/>
      <c r="I606" s="155"/>
      <c r="J606" s="155"/>
      <c r="K606" s="15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58"/>
      <c r="AA606" s="339"/>
      <c r="AB606" s="105"/>
      <c r="AC606" s="105"/>
      <c r="AD606" s="105"/>
      <c r="AE606" s="105"/>
      <c r="AF606" s="158"/>
      <c r="AG606" s="105"/>
      <c r="AH606" s="158"/>
      <c r="AI606" s="88"/>
      <c r="AJ606" s="88"/>
      <c r="AK606" s="131"/>
      <c r="AL606" s="131"/>
      <c r="AM606" s="131"/>
      <c r="AN606" s="131"/>
      <c r="AO606" s="131"/>
      <c r="AP606" s="88"/>
    </row>
    <row r="607">
      <c r="A607" s="155"/>
      <c r="B607" s="337"/>
      <c r="C607" s="340"/>
      <c r="D607" s="337"/>
      <c r="E607" s="255"/>
      <c r="F607" s="255"/>
      <c r="G607" s="338"/>
      <c r="H607" s="155"/>
      <c r="I607" s="155"/>
      <c r="J607" s="155"/>
      <c r="K607" s="15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58"/>
      <c r="AA607" s="339"/>
      <c r="AB607" s="105"/>
      <c r="AC607" s="105"/>
      <c r="AD607" s="105"/>
      <c r="AE607" s="105"/>
      <c r="AF607" s="158"/>
      <c r="AG607" s="105"/>
      <c r="AH607" s="158"/>
      <c r="AI607" s="88"/>
      <c r="AJ607" s="88"/>
      <c r="AK607" s="131"/>
      <c r="AL607" s="131"/>
      <c r="AM607" s="131"/>
      <c r="AN607" s="131"/>
      <c r="AO607" s="131"/>
      <c r="AP607" s="88"/>
    </row>
    <row r="608">
      <c r="A608" s="155"/>
      <c r="B608" s="337"/>
      <c r="C608" s="340"/>
      <c r="D608" s="337"/>
      <c r="E608" s="255"/>
      <c r="F608" s="255"/>
      <c r="G608" s="338"/>
      <c r="H608" s="155"/>
      <c r="I608" s="155"/>
      <c r="J608" s="155"/>
      <c r="K608" s="15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58"/>
      <c r="AA608" s="339"/>
      <c r="AB608" s="105"/>
      <c r="AC608" s="105"/>
      <c r="AD608" s="105"/>
      <c r="AE608" s="105"/>
      <c r="AF608" s="158"/>
      <c r="AG608" s="105"/>
      <c r="AH608" s="158"/>
      <c r="AI608" s="88"/>
      <c r="AJ608" s="88"/>
      <c r="AK608" s="131"/>
      <c r="AL608" s="131"/>
      <c r="AM608" s="131"/>
      <c r="AN608" s="131"/>
      <c r="AO608" s="131"/>
      <c r="AP608" s="88"/>
    </row>
    <row r="609">
      <c r="A609" s="155"/>
      <c r="B609" s="337"/>
      <c r="C609" s="340"/>
      <c r="D609" s="337"/>
      <c r="E609" s="255"/>
      <c r="F609" s="255"/>
      <c r="G609" s="338"/>
      <c r="H609" s="155"/>
      <c r="I609" s="155"/>
      <c r="J609" s="155"/>
      <c r="K609" s="15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58"/>
      <c r="AA609" s="339"/>
      <c r="AB609" s="105"/>
      <c r="AC609" s="105"/>
      <c r="AD609" s="105"/>
      <c r="AE609" s="105"/>
      <c r="AF609" s="158"/>
      <c r="AG609" s="105"/>
      <c r="AH609" s="158"/>
      <c r="AI609" s="88"/>
      <c r="AJ609" s="88"/>
      <c r="AK609" s="131"/>
      <c r="AL609" s="131"/>
      <c r="AM609" s="131"/>
      <c r="AN609" s="131"/>
      <c r="AO609" s="131"/>
      <c r="AP609" s="88"/>
    </row>
    <row r="610">
      <c r="A610" s="155"/>
      <c r="B610" s="337"/>
      <c r="C610" s="340"/>
      <c r="D610" s="337"/>
      <c r="E610" s="255"/>
      <c r="F610" s="255"/>
      <c r="G610" s="338"/>
      <c r="H610" s="155"/>
      <c r="I610" s="155"/>
      <c r="J610" s="155"/>
      <c r="K610" s="15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58"/>
      <c r="AA610" s="339"/>
      <c r="AB610" s="105"/>
      <c r="AC610" s="105"/>
      <c r="AD610" s="105"/>
      <c r="AE610" s="105"/>
      <c r="AF610" s="158"/>
      <c r="AG610" s="105"/>
      <c r="AH610" s="158"/>
      <c r="AI610" s="88"/>
      <c r="AJ610" s="88"/>
      <c r="AK610" s="131"/>
      <c r="AL610" s="131"/>
      <c r="AM610" s="131"/>
      <c r="AN610" s="131"/>
      <c r="AO610" s="131"/>
      <c r="AP610" s="88"/>
    </row>
    <row r="611">
      <c r="A611" s="155"/>
      <c r="B611" s="337"/>
      <c r="C611" s="340"/>
      <c r="D611" s="337"/>
      <c r="E611" s="255"/>
      <c r="F611" s="255"/>
      <c r="G611" s="338"/>
      <c r="H611" s="155"/>
      <c r="I611" s="155"/>
      <c r="J611" s="155"/>
      <c r="K611" s="15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58"/>
      <c r="AA611" s="339"/>
      <c r="AB611" s="105"/>
      <c r="AC611" s="105"/>
      <c r="AD611" s="105"/>
      <c r="AE611" s="105"/>
      <c r="AF611" s="158"/>
      <c r="AG611" s="105"/>
      <c r="AH611" s="158"/>
      <c r="AI611" s="88"/>
      <c r="AJ611" s="88"/>
      <c r="AK611" s="131"/>
      <c r="AL611" s="131"/>
      <c r="AM611" s="131"/>
      <c r="AN611" s="131"/>
      <c r="AO611" s="131"/>
      <c r="AP611" s="88"/>
    </row>
    <row r="612">
      <c r="A612" s="155"/>
      <c r="B612" s="337"/>
      <c r="C612" s="340"/>
      <c r="D612" s="337"/>
      <c r="E612" s="255"/>
      <c r="F612" s="255"/>
      <c r="G612" s="338"/>
      <c r="H612" s="155"/>
      <c r="I612" s="155"/>
      <c r="J612" s="155"/>
      <c r="K612" s="15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58"/>
      <c r="AA612" s="339"/>
      <c r="AB612" s="105"/>
      <c r="AC612" s="105"/>
      <c r="AD612" s="105"/>
      <c r="AE612" s="105"/>
      <c r="AF612" s="158"/>
      <c r="AG612" s="105"/>
      <c r="AH612" s="158"/>
      <c r="AI612" s="88"/>
      <c r="AJ612" s="88"/>
      <c r="AK612" s="131"/>
      <c r="AL612" s="131"/>
      <c r="AM612" s="131"/>
      <c r="AN612" s="131"/>
      <c r="AO612" s="131"/>
      <c r="AP612" s="88"/>
    </row>
    <row r="613">
      <c r="A613" s="155"/>
      <c r="B613" s="337"/>
      <c r="C613" s="340"/>
      <c r="D613" s="337"/>
      <c r="E613" s="255"/>
      <c r="F613" s="255"/>
      <c r="G613" s="338"/>
      <c r="H613" s="155"/>
      <c r="I613" s="155"/>
      <c r="J613" s="155"/>
      <c r="K613" s="15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58"/>
      <c r="AA613" s="339"/>
      <c r="AB613" s="105"/>
      <c r="AC613" s="105"/>
      <c r="AD613" s="105"/>
      <c r="AE613" s="105"/>
      <c r="AF613" s="158"/>
      <c r="AG613" s="105"/>
      <c r="AH613" s="158"/>
      <c r="AI613" s="88"/>
      <c r="AJ613" s="88"/>
      <c r="AK613" s="131"/>
      <c r="AL613" s="131"/>
      <c r="AM613" s="131"/>
      <c r="AN613" s="131"/>
      <c r="AO613" s="131"/>
      <c r="AP613" s="88"/>
    </row>
    <row r="614">
      <c r="A614" s="155"/>
      <c r="B614" s="337"/>
      <c r="C614" s="340"/>
      <c r="D614" s="337"/>
      <c r="E614" s="255"/>
      <c r="F614" s="255"/>
      <c r="G614" s="338"/>
      <c r="H614" s="155"/>
      <c r="I614" s="155"/>
      <c r="J614" s="155"/>
      <c r="K614" s="15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58"/>
      <c r="AA614" s="339"/>
      <c r="AB614" s="105"/>
      <c r="AC614" s="105"/>
      <c r="AD614" s="105"/>
      <c r="AE614" s="105"/>
      <c r="AF614" s="158"/>
      <c r="AG614" s="105"/>
      <c r="AH614" s="158"/>
      <c r="AI614" s="88"/>
      <c r="AJ614" s="88"/>
      <c r="AK614" s="131"/>
      <c r="AL614" s="131"/>
      <c r="AM614" s="131"/>
      <c r="AN614" s="131"/>
      <c r="AO614" s="131"/>
      <c r="AP614" s="88"/>
    </row>
    <row r="615">
      <c r="A615" s="155"/>
      <c r="B615" s="337"/>
      <c r="C615" s="340"/>
      <c r="D615" s="337"/>
      <c r="E615" s="255"/>
      <c r="F615" s="255"/>
      <c r="G615" s="338"/>
      <c r="H615" s="155"/>
      <c r="I615" s="155"/>
      <c r="J615" s="155"/>
      <c r="K615" s="15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58"/>
      <c r="AA615" s="339"/>
      <c r="AB615" s="105"/>
      <c r="AC615" s="105"/>
      <c r="AD615" s="105"/>
      <c r="AE615" s="105"/>
      <c r="AF615" s="158"/>
      <c r="AG615" s="105"/>
      <c r="AH615" s="158"/>
      <c r="AI615" s="88"/>
      <c r="AJ615" s="88"/>
      <c r="AK615" s="131"/>
      <c r="AL615" s="131"/>
      <c r="AM615" s="131"/>
      <c r="AN615" s="131"/>
      <c r="AO615" s="131"/>
      <c r="AP615" s="88"/>
    </row>
    <row r="616">
      <c r="A616" s="155"/>
      <c r="B616" s="337"/>
      <c r="C616" s="340"/>
      <c r="D616" s="337"/>
      <c r="E616" s="255"/>
      <c r="F616" s="255"/>
      <c r="G616" s="338"/>
      <c r="H616" s="155"/>
      <c r="I616" s="155"/>
      <c r="J616" s="155"/>
      <c r="K616" s="15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58"/>
      <c r="AA616" s="339"/>
      <c r="AB616" s="105"/>
      <c r="AC616" s="105"/>
      <c r="AD616" s="105"/>
      <c r="AE616" s="105"/>
      <c r="AF616" s="158"/>
      <c r="AG616" s="105"/>
      <c r="AH616" s="158"/>
      <c r="AI616" s="88"/>
      <c r="AJ616" s="88"/>
      <c r="AK616" s="131"/>
      <c r="AL616" s="131"/>
      <c r="AM616" s="131"/>
      <c r="AN616" s="131"/>
      <c r="AO616" s="131"/>
      <c r="AP616" s="88"/>
    </row>
    <row r="617">
      <c r="A617" s="155"/>
      <c r="B617" s="337"/>
      <c r="C617" s="340"/>
      <c r="D617" s="337"/>
      <c r="E617" s="255"/>
      <c r="F617" s="255"/>
      <c r="G617" s="338"/>
      <c r="H617" s="155"/>
      <c r="I617" s="155"/>
      <c r="J617" s="155"/>
      <c r="K617" s="15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58"/>
      <c r="AA617" s="339"/>
      <c r="AB617" s="105"/>
      <c r="AC617" s="105"/>
      <c r="AD617" s="105"/>
      <c r="AE617" s="105"/>
      <c r="AF617" s="158"/>
      <c r="AG617" s="105"/>
      <c r="AH617" s="158"/>
      <c r="AI617" s="88"/>
      <c r="AJ617" s="88"/>
      <c r="AK617" s="131"/>
      <c r="AL617" s="131"/>
      <c r="AM617" s="131"/>
      <c r="AN617" s="131"/>
      <c r="AO617" s="131"/>
      <c r="AP617" s="88"/>
    </row>
    <row r="618">
      <c r="A618" s="155"/>
      <c r="B618" s="337"/>
      <c r="C618" s="340"/>
      <c r="D618" s="337"/>
      <c r="E618" s="255"/>
      <c r="F618" s="255"/>
      <c r="G618" s="338"/>
      <c r="H618" s="155"/>
      <c r="I618" s="155"/>
      <c r="J618" s="155"/>
      <c r="K618" s="15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58"/>
      <c r="AA618" s="339"/>
      <c r="AB618" s="105"/>
      <c r="AC618" s="105"/>
      <c r="AD618" s="105"/>
      <c r="AE618" s="105"/>
      <c r="AF618" s="158"/>
      <c r="AG618" s="105"/>
      <c r="AH618" s="158"/>
      <c r="AI618" s="88"/>
      <c r="AJ618" s="88"/>
      <c r="AK618" s="131"/>
      <c r="AL618" s="131"/>
      <c r="AM618" s="131"/>
      <c r="AN618" s="131"/>
      <c r="AO618" s="131"/>
      <c r="AP618" s="88"/>
    </row>
    <row r="619">
      <c r="A619" s="155"/>
      <c r="B619" s="337"/>
      <c r="C619" s="340"/>
      <c r="D619" s="337"/>
      <c r="E619" s="255"/>
      <c r="F619" s="255"/>
      <c r="G619" s="338"/>
      <c r="H619" s="155"/>
      <c r="I619" s="155"/>
      <c r="J619" s="155"/>
      <c r="K619" s="15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58"/>
      <c r="AA619" s="339"/>
      <c r="AB619" s="105"/>
      <c r="AC619" s="105"/>
      <c r="AD619" s="105"/>
      <c r="AE619" s="105"/>
      <c r="AF619" s="158"/>
      <c r="AG619" s="105"/>
      <c r="AH619" s="158"/>
      <c r="AI619" s="88"/>
      <c r="AJ619" s="88"/>
      <c r="AK619" s="131"/>
      <c r="AL619" s="131"/>
      <c r="AM619" s="131"/>
      <c r="AN619" s="131"/>
      <c r="AO619" s="131"/>
      <c r="AP619" s="88"/>
    </row>
    <row r="620">
      <c r="A620" s="155"/>
      <c r="B620" s="337"/>
      <c r="C620" s="340"/>
      <c r="D620" s="337"/>
      <c r="E620" s="255"/>
      <c r="F620" s="255"/>
      <c r="G620" s="338"/>
      <c r="H620" s="155"/>
      <c r="I620" s="155"/>
      <c r="J620" s="155"/>
      <c r="K620" s="15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58"/>
      <c r="AA620" s="339"/>
      <c r="AB620" s="105"/>
      <c r="AC620" s="105"/>
      <c r="AD620" s="105"/>
      <c r="AE620" s="105"/>
      <c r="AF620" s="158"/>
      <c r="AG620" s="105"/>
      <c r="AH620" s="158"/>
      <c r="AI620" s="88"/>
      <c r="AJ620" s="88"/>
      <c r="AK620" s="131"/>
      <c r="AL620" s="131"/>
      <c r="AM620" s="131"/>
      <c r="AN620" s="131"/>
      <c r="AO620" s="131"/>
      <c r="AP620" s="88"/>
    </row>
    <row r="621">
      <c r="A621" s="155"/>
      <c r="B621" s="337"/>
      <c r="C621" s="340"/>
      <c r="D621" s="337"/>
      <c r="E621" s="255"/>
      <c r="F621" s="255"/>
      <c r="G621" s="338"/>
      <c r="H621" s="155"/>
      <c r="I621" s="155"/>
      <c r="J621" s="155"/>
      <c r="K621" s="15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58"/>
      <c r="AA621" s="339"/>
      <c r="AB621" s="105"/>
      <c r="AC621" s="105"/>
      <c r="AD621" s="105"/>
      <c r="AE621" s="105"/>
      <c r="AF621" s="158"/>
      <c r="AG621" s="105"/>
      <c r="AH621" s="158"/>
      <c r="AI621" s="88"/>
      <c r="AJ621" s="88"/>
      <c r="AK621" s="131"/>
      <c r="AL621" s="131"/>
      <c r="AM621" s="131"/>
      <c r="AN621" s="131"/>
      <c r="AO621" s="131"/>
      <c r="AP621" s="88"/>
    </row>
    <row r="622">
      <c r="A622" s="155"/>
      <c r="B622" s="337"/>
      <c r="C622" s="340"/>
      <c r="D622" s="337"/>
      <c r="E622" s="255"/>
      <c r="F622" s="255"/>
      <c r="G622" s="338"/>
      <c r="H622" s="155"/>
      <c r="I622" s="155"/>
      <c r="J622" s="155"/>
      <c r="K622" s="15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58"/>
      <c r="AA622" s="339"/>
      <c r="AB622" s="105"/>
      <c r="AC622" s="105"/>
      <c r="AD622" s="105"/>
      <c r="AE622" s="105"/>
      <c r="AF622" s="158"/>
      <c r="AG622" s="105"/>
      <c r="AH622" s="158"/>
      <c r="AI622" s="88"/>
      <c r="AJ622" s="88"/>
      <c r="AK622" s="131"/>
      <c r="AL622" s="131"/>
      <c r="AM622" s="131"/>
      <c r="AN622" s="131"/>
      <c r="AO622" s="131"/>
      <c r="AP622" s="88"/>
    </row>
    <row r="623">
      <c r="A623" s="155"/>
      <c r="B623" s="337"/>
      <c r="C623" s="340"/>
      <c r="D623" s="337"/>
      <c r="E623" s="255"/>
      <c r="F623" s="255"/>
      <c r="G623" s="338"/>
      <c r="H623" s="155"/>
      <c r="I623" s="155"/>
      <c r="J623" s="155"/>
      <c r="K623" s="15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58"/>
      <c r="AA623" s="339"/>
      <c r="AB623" s="105"/>
      <c r="AC623" s="105"/>
      <c r="AD623" s="105"/>
      <c r="AE623" s="105"/>
      <c r="AF623" s="158"/>
      <c r="AG623" s="105"/>
      <c r="AH623" s="158"/>
      <c r="AI623" s="88"/>
      <c r="AJ623" s="88"/>
      <c r="AK623" s="131"/>
      <c r="AL623" s="131"/>
      <c r="AM623" s="131"/>
      <c r="AN623" s="131"/>
      <c r="AO623" s="131"/>
      <c r="AP623" s="88"/>
    </row>
    <row r="624">
      <c r="A624" s="155"/>
      <c r="B624" s="337"/>
      <c r="C624" s="340"/>
      <c r="D624" s="337"/>
      <c r="E624" s="255"/>
      <c r="F624" s="255"/>
      <c r="G624" s="338"/>
      <c r="H624" s="155"/>
      <c r="I624" s="155"/>
      <c r="J624" s="155"/>
      <c r="K624" s="15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58"/>
      <c r="AA624" s="339"/>
      <c r="AB624" s="105"/>
      <c r="AC624" s="105"/>
      <c r="AD624" s="105"/>
      <c r="AE624" s="105"/>
      <c r="AF624" s="158"/>
      <c r="AG624" s="105"/>
      <c r="AH624" s="158"/>
      <c r="AI624" s="88"/>
      <c r="AJ624" s="88"/>
      <c r="AK624" s="131"/>
      <c r="AL624" s="131"/>
      <c r="AM624" s="131"/>
      <c r="AN624" s="131"/>
      <c r="AO624" s="131"/>
      <c r="AP624" s="88"/>
    </row>
    <row r="625">
      <c r="A625" s="155"/>
      <c r="B625" s="337"/>
      <c r="C625" s="340"/>
      <c r="D625" s="337"/>
      <c r="E625" s="255"/>
      <c r="F625" s="255"/>
      <c r="G625" s="338"/>
      <c r="H625" s="155"/>
      <c r="I625" s="155"/>
      <c r="J625" s="155"/>
      <c r="K625" s="15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58"/>
      <c r="AA625" s="339"/>
      <c r="AB625" s="105"/>
      <c r="AC625" s="105"/>
      <c r="AD625" s="105"/>
      <c r="AE625" s="105"/>
      <c r="AF625" s="158"/>
      <c r="AG625" s="105"/>
      <c r="AH625" s="158"/>
      <c r="AI625" s="88"/>
      <c r="AJ625" s="88"/>
      <c r="AK625" s="131"/>
      <c r="AL625" s="131"/>
      <c r="AM625" s="131"/>
      <c r="AN625" s="131"/>
      <c r="AO625" s="131"/>
      <c r="AP625" s="88"/>
    </row>
    <row r="626">
      <c r="A626" s="155"/>
      <c r="B626" s="337"/>
      <c r="C626" s="340"/>
      <c r="D626" s="337"/>
      <c r="E626" s="255"/>
      <c r="F626" s="255"/>
      <c r="G626" s="338"/>
      <c r="H626" s="155"/>
      <c r="I626" s="155"/>
      <c r="J626" s="155"/>
      <c r="K626" s="15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58"/>
      <c r="AA626" s="339"/>
      <c r="AB626" s="105"/>
      <c r="AC626" s="105"/>
      <c r="AD626" s="105"/>
      <c r="AE626" s="105"/>
      <c r="AF626" s="158"/>
      <c r="AG626" s="105"/>
      <c r="AH626" s="158"/>
      <c r="AI626" s="88"/>
      <c r="AJ626" s="88"/>
      <c r="AK626" s="131"/>
      <c r="AL626" s="131"/>
      <c r="AM626" s="131"/>
      <c r="AN626" s="131"/>
      <c r="AO626" s="131"/>
      <c r="AP626" s="88"/>
    </row>
    <row r="627">
      <c r="A627" s="155"/>
      <c r="B627" s="337"/>
      <c r="C627" s="340"/>
      <c r="D627" s="337"/>
      <c r="E627" s="255"/>
      <c r="F627" s="255"/>
      <c r="G627" s="338"/>
      <c r="H627" s="155"/>
      <c r="I627" s="155"/>
      <c r="J627" s="155"/>
      <c r="K627" s="15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58"/>
      <c r="AA627" s="339"/>
      <c r="AB627" s="105"/>
      <c r="AC627" s="105"/>
      <c r="AD627" s="105"/>
      <c r="AE627" s="105"/>
      <c r="AF627" s="158"/>
      <c r="AG627" s="105"/>
      <c r="AH627" s="158"/>
      <c r="AI627" s="88"/>
      <c r="AJ627" s="88"/>
      <c r="AK627" s="131"/>
      <c r="AL627" s="131"/>
      <c r="AM627" s="131"/>
      <c r="AN627" s="131"/>
      <c r="AO627" s="131"/>
      <c r="AP627" s="88"/>
    </row>
    <row r="628">
      <c r="A628" s="155"/>
      <c r="B628" s="337"/>
      <c r="C628" s="340"/>
      <c r="D628" s="337"/>
      <c r="E628" s="255"/>
      <c r="F628" s="255"/>
      <c r="G628" s="338"/>
      <c r="H628" s="155"/>
      <c r="I628" s="155"/>
      <c r="J628" s="155"/>
      <c r="K628" s="15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58"/>
      <c r="AA628" s="339"/>
      <c r="AB628" s="105"/>
      <c r="AC628" s="105"/>
      <c r="AD628" s="105"/>
      <c r="AE628" s="105"/>
      <c r="AF628" s="158"/>
      <c r="AG628" s="105"/>
      <c r="AH628" s="158"/>
      <c r="AI628" s="88"/>
      <c r="AJ628" s="88"/>
      <c r="AK628" s="131"/>
      <c r="AL628" s="131"/>
      <c r="AM628" s="131"/>
      <c r="AN628" s="131"/>
      <c r="AO628" s="131"/>
      <c r="AP628" s="88"/>
    </row>
    <row r="629">
      <c r="A629" s="155"/>
      <c r="B629" s="337"/>
      <c r="C629" s="340"/>
      <c r="D629" s="337"/>
      <c r="E629" s="255"/>
      <c r="F629" s="255"/>
      <c r="G629" s="338"/>
      <c r="H629" s="155"/>
      <c r="I629" s="155"/>
      <c r="J629" s="155"/>
      <c r="K629" s="15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58"/>
      <c r="AA629" s="339"/>
      <c r="AB629" s="105"/>
      <c r="AC629" s="105"/>
      <c r="AD629" s="105"/>
      <c r="AE629" s="105"/>
      <c r="AF629" s="158"/>
      <c r="AG629" s="105"/>
      <c r="AH629" s="158"/>
      <c r="AI629" s="88"/>
      <c r="AJ629" s="88"/>
      <c r="AK629" s="131"/>
      <c r="AL629" s="131"/>
      <c r="AM629" s="131"/>
      <c r="AN629" s="131"/>
      <c r="AO629" s="131"/>
      <c r="AP629" s="88"/>
    </row>
    <row r="630">
      <c r="A630" s="155"/>
      <c r="B630" s="337"/>
      <c r="C630" s="340"/>
      <c r="D630" s="337"/>
      <c r="E630" s="255"/>
      <c r="F630" s="255"/>
      <c r="G630" s="338"/>
      <c r="H630" s="155"/>
      <c r="I630" s="155"/>
      <c r="J630" s="155"/>
      <c r="K630" s="15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58"/>
      <c r="AA630" s="339"/>
      <c r="AB630" s="105"/>
      <c r="AC630" s="105"/>
      <c r="AD630" s="105"/>
      <c r="AE630" s="105"/>
      <c r="AF630" s="158"/>
      <c r="AG630" s="105"/>
      <c r="AH630" s="158"/>
      <c r="AI630" s="88"/>
      <c r="AJ630" s="88"/>
      <c r="AK630" s="131"/>
      <c r="AL630" s="131"/>
      <c r="AM630" s="131"/>
      <c r="AN630" s="131"/>
      <c r="AO630" s="131"/>
      <c r="AP630" s="88"/>
    </row>
    <row r="631">
      <c r="A631" s="155"/>
      <c r="B631" s="337"/>
      <c r="C631" s="340"/>
      <c r="D631" s="337"/>
      <c r="E631" s="255"/>
      <c r="F631" s="255"/>
      <c r="G631" s="338"/>
      <c r="H631" s="155"/>
      <c r="I631" s="155"/>
      <c r="J631" s="155"/>
      <c r="K631" s="15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58"/>
      <c r="AA631" s="339"/>
      <c r="AB631" s="105"/>
      <c r="AC631" s="105"/>
      <c r="AD631" s="105"/>
      <c r="AE631" s="105"/>
      <c r="AF631" s="158"/>
      <c r="AG631" s="105"/>
      <c r="AH631" s="158"/>
      <c r="AI631" s="88"/>
      <c r="AJ631" s="88"/>
      <c r="AK631" s="131"/>
      <c r="AL631" s="131"/>
      <c r="AM631" s="131"/>
      <c r="AN631" s="131"/>
      <c r="AO631" s="131"/>
      <c r="AP631" s="88"/>
    </row>
    <row r="632">
      <c r="A632" s="155"/>
      <c r="B632" s="337"/>
      <c r="C632" s="340"/>
      <c r="D632" s="337"/>
      <c r="E632" s="255"/>
      <c r="F632" s="255"/>
      <c r="G632" s="338"/>
      <c r="H632" s="155"/>
      <c r="I632" s="155"/>
      <c r="J632" s="155"/>
      <c r="K632" s="15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58"/>
      <c r="AA632" s="339"/>
      <c r="AB632" s="105"/>
      <c r="AC632" s="105"/>
      <c r="AD632" s="105"/>
      <c r="AE632" s="105"/>
      <c r="AF632" s="158"/>
      <c r="AG632" s="105"/>
      <c r="AH632" s="158"/>
      <c r="AI632" s="88"/>
      <c r="AJ632" s="88"/>
      <c r="AK632" s="131"/>
      <c r="AL632" s="131"/>
      <c r="AM632" s="131"/>
      <c r="AN632" s="131"/>
      <c r="AO632" s="131"/>
      <c r="AP632" s="88"/>
    </row>
    <row r="633">
      <c r="A633" s="155"/>
      <c r="B633" s="337"/>
      <c r="C633" s="340"/>
      <c r="D633" s="337"/>
      <c r="E633" s="255"/>
      <c r="F633" s="255"/>
      <c r="G633" s="338"/>
      <c r="H633" s="155"/>
      <c r="I633" s="155"/>
      <c r="J633" s="155"/>
      <c r="K633" s="15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58"/>
      <c r="AA633" s="339"/>
      <c r="AB633" s="105"/>
      <c r="AC633" s="105"/>
      <c r="AD633" s="105"/>
      <c r="AE633" s="105"/>
      <c r="AF633" s="158"/>
      <c r="AG633" s="105"/>
      <c r="AH633" s="158"/>
      <c r="AI633" s="88"/>
      <c r="AJ633" s="88"/>
      <c r="AK633" s="131"/>
      <c r="AL633" s="131"/>
      <c r="AM633" s="131"/>
      <c r="AN633" s="131"/>
      <c r="AO633" s="131"/>
      <c r="AP633" s="88"/>
    </row>
    <row r="634">
      <c r="A634" s="155"/>
      <c r="B634" s="337"/>
      <c r="C634" s="340"/>
      <c r="D634" s="337"/>
      <c r="E634" s="255"/>
      <c r="F634" s="255"/>
      <c r="G634" s="338"/>
      <c r="H634" s="155"/>
      <c r="I634" s="155"/>
      <c r="J634" s="155"/>
      <c r="K634" s="15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58"/>
      <c r="AA634" s="339"/>
      <c r="AB634" s="105"/>
      <c r="AC634" s="105"/>
      <c r="AD634" s="105"/>
      <c r="AE634" s="105"/>
      <c r="AF634" s="158"/>
      <c r="AG634" s="105"/>
      <c r="AH634" s="158"/>
      <c r="AI634" s="88"/>
      <c r="AJ634" s="88"/>
      <c r="AK634" s="131"/>
      <c r="AL634" s="131"/>
      <c r="AM634" s="131"/>
      <c r="AN634" s="131"/>
      <c r="AO634" s="131"/>
      <c r="AP634" s="88"/>
    </row>
    <row r="635">
      <c r="A635" s="155"/>
      <c r="B635" s="337"/>
      <c r="C635" s="340"/>
      <c r="D635" s="337"/>
      <c r="E635" s="255"/>
      <c r="F635" s="255"/>
      <c r="G635" s="338"/>
      <c r="H635" s="155"/>
      <c r="I635" s="155"/>
      <c r="J635" s="155"/>
      <c r="K635" s="15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58"/>
      <c r="AA635" s="339"/>
      <c r="AB635" s="105"/>
      <c r="AC635" s="105"/>
      <c r="AD635" s="105"/>
      <c r="AE635" s="105"/>
      <c r="AF635" s="158"/>
      <c r="AG635" s="105"/>
      <c r="AH635" s="158"/>
      <c r="AI635" s="88"/>
      <c r="AJ635" s="88"/>
      <c r="AK635" s="131"/>
      <c r="AL635" s="131"/>
      <c r="AM635" s="131"/>
      <c r="AN635" s="131"/>
      <c r="AO635" s="131"/>
      <c r="AP635" s="88"/>
    </row>
    <row r="636">
      <c r="A636" s="155"/>
      <c r="B636" s="337"/>
      <c r="C636" s="340"/>
      <c r="D636" s="337"/>
      <c r="E636" s="255"/>
      <c r="F636" s="255"/>
      <c r="G636" s="338"/>
      <c r="H636" s="155"/>
      <c r="I636" s="155"/>
      <c r="J636" s="155"/>
      <c r="K636" s="15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58"/>
      <c r="AA636" s="339"/>
      <c r="AB636" s="105"/>
      <c r="AC636" s="105"/>
      <c r="AD636" s="105"/>
      <c r="AE636" s="105"/>
      <c r="AF636" s="158"/>
      <c r="AG636" s="105"/>
      <c r="AH636" s="158"/>
      <c r="AI636" s="88"/>
      <c r="AJ636" s="88"/>
      <c r="AK636" s="131"/>
      <c r="AL636" s="131"/>
      <c r="AM636" s="131"/>
      <c r="AN636" s="131"/>
      <c r="AO636" s="131"/>
      <c r="AP636" s="88"/>
    </row>
    <row r="637">
      <c r="A637" s="155"/>
      <c r="B637" s="337"/>
      <c r="C637" s="340"/>
      <c r="D637" s="337"/>
      <c r="E637" s="255"/>
      <c r="F637" s="255"/>
      <c r="G637" s="338"/>
      <c r="H637" s="155"/>
      <c r="I637" s="155"/>
      <c r="J637" s="155"/>
      <c r="K637" s="15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58"/>
      <c r="AA637" s="339"/>
      <c r="AB637" s="105"/>
      <c r="AC637" s="105"/>
      <c r="AD637" s="105"/>
      <c r="AE637" s="105"/>
      <c r="AF637" s="158"/>
      <c r="AG637" s="105"/>
      <c r="AH637" s="158"/>
      <c r="AI637" s="88"/>
      <c r="AJ637" s="88"/>
      <c r="AK637" s="131"/>
      <c r="AL637" s="131"/>
      <c r="AM637" s="131"/>
      <c r="AN637" s="131"/>
      <c r="AO637" s="131"/>
      <c r="AP637" s="88"/>
    </row>
    <row r="638">
      <c r="A638" s="155"/>
      <c r="B638" s="337"/>
      <c r="C638" s="340"/>
      <c r="D638" s="337"/>
      <c r="E638" s="255"/>
      <c r="F638" s="255"/>
      <c r="G638" s="338"/>
      <c r="H638" s="155"/>
      <c r="I638" s="155"/>
      <c r="J638" s="155"/>
      <c r="K638" s="15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58"/>
      <c r="AA638" s="339"/>
      <c r="AB638" s="105"/>
      <c r="AC638" s="105"/>
      <c r="AD638" s="105"/>
      <c r="AE638" s="105"/>
      <c r="AF638" s="158"/>
      <c r="AG638" s="105"/>
      <c r="AH638" s="158"/>
      <c r="AI638" s="88"/>
      <c r="AJ638" s="88"/>
      <c r="AK638" s="131"/>
      <c r="AL638" s="131"/>
      <c r="AM638" s="131"/>
      <c r="AN638" s="131"/>
      <c r="AO638" s="131"/>
      <c r="AP638" s="88"/>
    </row>
    <row r="639">
      <c r="A639" s="155"/>
      <c r="B639" s="337"/>
      <c r="C639" s="340"/>
      <c r="D639" s="337"/>
      <c r="E639" s="255"/>
      <c r="F639" s="255"/>
      <c r="G639" s="338"/>
      <c r="H639" s="155"/>
      <c r="I639" s="155"/>
      <c r="J639" s="155"/>
      <c r="K639" s="15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58"/>
      <c r="AA639" s="339"/>
      <c r="AB639" s="105"/>
      <c r="AC639" s="105"/>
      <c r="AD639" s="105"/>
      <c r="AE639" s="105"/>
      <c r="AF639" s="158"/>
      <c r="AG639" s="105"/>
      <c r="AH639" s="158"/>
      <c r="AI639" s="88"/>
      <c r="AJ639" s="88"/>
      <c r="AK639" s="131"/>
      <c r="AL639" s="131"/>
      <c r="AM639" s="131"/>
      <c r="AN639" s="131"/>
      <c r="AO639" s="131"/>
      <c r="AP639" s="88"/>
    </row>
    <row r="640">
      <c r="A640" s="155"/>
      <c r="B640" s="337"/>
      <c r="C640" s="340"/>
      <c r="D640" s="337"/>
      <c r="E640" s="255"/>
      <c r="F640" s="255"/>
      <c r="G640" s="338"/>
      <c r="H640" s="155"/>
      <c r="I640" s="155"/>
      <c r="J640" s="155"/>
      <c r="K640" s="15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58"/>
      <c r="AA640" s="339"/>
      <c r="AB640" s="105"/>
      <c r="AC640" s="105"/>
      <c r="AD640" s="105"/>
      <c r="AE640" s="105"/>
      <c r="AF640" s="158"/>
      <c r="AG640" s="105"/>
      <c r="AH640" s="158"/>
      <c r="AI640" s="88"/>
      <c r="AJ640" s="88"/>
      <c r="AK640" s="131"/>
      <c r="AL640" s="131"/>
      <c r="AM640" s="131"/>
      <c r="AN640" s="131"/>
      <c r="AO640" s="131"/>
      <c r="AP640" s="88"/>
    </row>
    <row r="641">
      <c r="A641" s="155"/>
      <c r="B641" s="337"/>
      <c r="C641" s="340"/>
      <c r="D641" s="337"/>
      <c r="E641" s="255"/>
      <c r="F641" s="255"/>
      <c r="G641" s="338"/>
      <c r="H641" s="155"/>
      <c r="I641" s="155"/>
      <c r="J641" s="155"/>
      <c r="K641" s="15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58"/>
      <c r="AA641" s="339"/>
      <c r="AB641" s="105"/>
      <c r="AC641" s="105"/>
      <c r="AD641" s="105"/>
      <c r="AE641" s="105"/>
      <c r="AF641" s="158"/>
      <c r="AG641" s="105"/>
      <c r="AH641" s="158"/>
      <c r="AI641" s="88"/>
      <c r="AJ641" s="88"/>
      <c r="AK641" s="131"/>
      <c r="AL641" s="131"/>
      <c r="AM641" s="131"/>
      <c r="AN641" s="131"/>
      <c r="AO641" s="131"/>
      <c r="AP641" s="88"/>
    </row>
    <row r="642">
      <c r="A642" s="155"/>
      <c r="B642" s="337"/>
      <c r="C642" s="340"/>
      <c r="D642" s="337"/>
      <c r="E642" s="255"/>
      <c r="F642" s="255"/>
      <c r="G642" s="338"/>
      <c r="H642" s="155"/>
      <c r="I642" s="155"/>
      <c r="J642" s="155"/>
      <c r="K642" s="15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58"/>
      <c r="AA642" s="339"/>
      <c r="AB642" s="105"/>
      <c r="AC642" s="105"/>
      <c r="AD642" s="105"/>
      <c r="AE642" s="105"/>
      <c r="AF642" s="158"/>
      <c r="AG642" s="105"/>
      <c r="AH642" s="158"/>
      <c r="AI642" s="88"/>
      <c r="AJ642" s="88"/>
      <c r="AK642" s="131"/>
      <c r="AL642" s="131"/>
      <c r="AM642" s="131"/>
      <c r="AN642" s="131"/>
      <c r="AO642" s="131"/>
      <c r="AP642" s="88"/>
    </row>
    <row r="643">
      <c r="A643" s="155"/>
      <c r="B643" s="337"/>
      <c r="C643" s="340"/>
      <c r="D643" s="337"/>
      <c r="E643" s="255"/>
      <c r="F643" s="255"/>
      <c r="G643" s="338"/>
      <c r="H643" s="155"/>
      <c r="I643" s="155"/>
      <c r="J643" s="155"/>
      <c r="K643" s="15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58"/>
      <c r="AA643" s="339"/>
      <c r="AB643" s="105"/>
      <c r="AC643" s="105"/>
      <c r="AD643" s="105"/>
      <c r="AE643" s="105"/>
      <c r="AF643" s="158"/>
      <c r="AG643" s="105"/>
      <c r="AH643" s="158"/>
      <c r="AI643" s="88"/>
      <c r="AJ643" s="88"/>
      <c r="AK643" s="131"/>
      <c r="AL643" s="131"/>
      <c r="AM643" s="131"/>
      <c r="AN643" s="131"/>
      <c r="AO643" s="131"/>
      <c r="AP643" s="88"/>
    </row>
    <row r="644">
      <c r="A644" s="155"/>
      <c r="B644" s="337"/>
      <c r="C644" s="340"/>
      <c r="D644" s="337"/>
      <c r="E644" s="255"/>
      <c r="F644" s="255"/>
      <c r="G644" s="338"/>
      <c r="H644" s="155"/>
      <c r="I644" s="155"/>
      <c r="J644" s="155"/>
      <c r="K644" s="15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58"/>
      <c r="AA644" s="339"/>
      <c r="AB644" s="105"/>
      <c r="AC644" s="105"/>
      <c r="AD644" s="105"/>
      <c r="AE644" s="105"/>
      <c r="AF644" s="158"/>
      <c r="AG644" s="105"/>
      <c r="AH644" s="158"/>
      <c r="AI644" s="88"/>
      <c r="AJ644" s="88"/>
      <c r="AK644" s="131"/>
      <c r="AL644" s="131"/>
      <c r="AM644" s="131"/>
      <c r="AN644" s="131"/>
      <c r="AO644" s="131"/>
      <c r="AP644" s="88"/>
    </row>
    <row r="645">
      <c r="A645" s="155"/>
      <c r="B645" s="337"/>
      <c r="C645" s="340"/>
      <c r="D645" s="337"/>
      <c r="E645" s="255"/>
      <c r="F645" s="255"/>
      <c r="G645" s="338"/>
      <c r="H645" s="155"/>
      <c r="I645" s="155"/>
      <c r="J645" s="155"/>
      <c r="K645" s="15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58"/>
      <c r="AA645" s="339"/>
      <c r="AB645" s="105"/>
      <c r="AC645" s="105"/>
      <c r="AD645" s="105"/>
      <c r="AE645" s="105"/>
      <c r="AF645" s="158"/>
      <c r="AG645" s="105"/>
      <c r="AH645" s="158"/>
      <c r="AI645" s="88"/>
      <c r="AJ645" s="88"/>
      <c r="AK645" s="131"/>
      <c r="AL645" s="131"/>
      <c r="AM645" s="131"/>
      <c r="AN645" s="131"/>
      <c r="AO645" s="131"/>
      <c r="AP645" s="88"/>
    </row>
    <row r="646">
      <c r="A646" s="155"/>
      <c r="B646" s="337"/>
      <c r="C646" s="340"/>
      <c r="D646" s="337"/>
      <c r="E646" s="255"/>
      <c r="F646" s="255"/>
      <c r="G646" s="338"/>
      <c r="H646" s="155"/>
      <c r="I646" s="155"/>
      <c r="J646" s="155"/>
      <c r="K646" s="15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58"/>
      <c r="AA646" s="339"/>
      <c r="AB646" s="105"/>
      <c r="AC646" s="105"/>
      <c r="AD646" s="105"/>
      <c r="AE646" s="105"/>
      <c r="AF646" s="158"/>
      <c r="AG646" s="105"/>
      <c r="AH646" s="158"/>
      <c r="AI646" s="88"/>
      <c r="AJ646" s="88"/>
      <c r="AK646" s="131"/>
      <c r="AL646" s="131"/>
      <c r="AM646" s="131"/>
      <c r="AN646" s="131"/>
      <c r="AO646" s="131"/>
      <c r="AP646" s="88"/>
    </row>
    <row r="647">
      <c r="A647" s="155"/>
      <c r="B647" s="337"/>
      <c r="C647" s="340"/>
      <c r="D647" s="337"/>
      <c r="E647" s="255"/>
      <c r="F647" s="255"/>
      <c r="G647" s="338"/>
      <c r="H647" s="155"/>
      <c r="I647" s="155"/>
      <c r="J647" s="155"/>
      <c r="K647" s="15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58"/>
      <c r="AA647" s="339"/>
      <c r="AB647" s="105"/>
      <c r="AC647" s="105"/>
      <c r="AD647" s="105"/>
      <c r="AE647" s="105"/>
      <c r="AF647" s="158"/>
      <c r="AG647" s="105"/>
      <c r="AH647" s="158"/>
      <c r="AI647" s="88"/>
      <c r="AJ647" s="88"/>
      <c r="AK647" s="131"/>
      <c r="AL647" s="131"/>
      <c r="AM647" s="131"/>
      <c r="AN647" s="131"/>
      <c r="AO647" s="131"/>
      <c r="AP647" s="88"/>
    </row>
    <row r="648">
      <c r="A648" s="155"/>
      <c r="B648" s="337"/>
      <c r="C648" s="340"/>
      <c r="D648" s="337"/>
      <c r="E648" s="255"/>
      <c r="F648" s="255"/>
      <c r="G648" s="338"/>
      <c r="H648" s="155"/>
      <c r="I648" s="155"/>
      <c r="J648" s="155"/>
      <c r="K648" s="15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58"/>
      <c r="AA648" s="339"/>
      <c r="AB648" s="105"/>
      <c r="AC648" s="105"/>
      <c r="AD648" s="105"/>
      <c r="AE648" s="105"/>
      <c r="AF648" s="158"/>
      <c r="AG648" s="105"/>
      <c r="AH648" s="158"/>
      <c r="AI648" s="88"/>
      <c r="AJ648" s="88"/>
      <c r="AK648" s="131"/>
      <c r="AL648" s="131"/>
      <c r="AM648" s="131"/>
      <c r="AN648" s="131"/>
      <c r="AO648" s="131"/>
      <c r="AP648" s="88"/>
    </row>
    <row r="649">
      <c r="A649" s="155"/>
      <c r="B649" s="337"/>
      <c r="C649" s="340"/>
      <c r="D649" s="337"/>
      <c r="E649" s="255"/>
      <c r="F649" s="255"/>
      <c r="G649" s="338"/>
      <c r="H649" s="155"/>
      <c r="I649" s="155"/>
      <c r="J649" s="155"/>
      <c r="K649" s="15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58"/>
      <c r="AA649" s="339"/>
      <c r="AB649" s="105"/>
      <c r="AC649" s="105"/>
      <c r="AD649" s="105"/>
      <c r="AE649" s="105"/>
      <c r="AF649" s="158"/>
      <c r="AG649" s="105"/>
      <c r="AH649" s="158"/>
      <c r="AI649" s="88"/>
      <c r="AJ649" s="88"/>
      <c r="AK649" s="131"/>
      <c r="AL649" s="131"/>
      <c r="AM649" s="131"/>
      <c r="AN649" s="131"/>
      <c r="AO649" s="131"/>
      <c r="AP649" s="88"/>
    </row>
    <row r="650">
      <c r="A650" s="155"/>
      <c r="B650" s="337"/>
      <c r="C650" s="340"/>
      <c r="D650" s="337"/>
      <c r="E650" s="255"/>
      <c r="F650" s="255"/>
      <c r="G650" s="338"/>
      <c r="H650" s="155"/>
      <c r="I650" s="155"/>
      <c r="J650" s="155"/>
      <c r="K650" s="15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58"/>
      <c r="AA650" s="339"/>
      <c r="AB650" s="105"/>
      <c r="AC650" s="105"/>
      <c r="AD650" s="105"/>
      <c r="AE650" s="105"/>
      <c r="AF650" s="158"/>
      <c r="AG650" s="105"/>
      <c r="AH650" s="158"/>
      <c r="AI650" s="88"/>
      <c r="AJ650" s="88"/>
      <c r="AK650" s="131"/>
      <c r="AL650" s="131"/>
      <c r="AM650" s="131"/>
      <c r="AN650" s="131"/>
      <c r="AO650" s="131"/>
      <c r="AP650" s="88"/>
    </row>
    <row r="651">
      <c r="A651" s="155"/>
      <c r="B651" s="337"/>
      <c r="C651" s="340"/>
      <c r="D651" s="337"/>
      <c r="E651" s="255"/>
      <c r="F651" s="255"/>
      <c r="G651" s="338"/>
      <c r="H651" s="155"/>
      <c r="I651" s="155"/>
      <c r="J651" s="155"/>
      <c r="K651" s="15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58"/>
      <c r="AA651" s="339"/>
      <c r="AB651" s="105"/>
      <c r="AC651" s="105"/>
      <c r="AD651" s="105"/>
      <c r="AE651" s="105"/>
      <c r="AF651" s="158"/>
      <c r="AG651" s="105"/>
      <c r="AH651" s="158"/>
      <c r="AI651" s="88"/>
      <c r="AJ651" s="88"/>
      <c r="AK651" s="131"/>
      <c r="AL651" s="131"/>
      <c r="AM651" s="131"/>
      <c r="AN651" s="131"/>
      <c r="AO651" s="131"/>
      <c r="AP651" s="88"/>
    </row>
    <row r="652">
      <c r="A652" s="155"/>
      <c r="B652" s="337"/>
      <c r="C652" s="340"/>
      <c r="D652" s="337"/>
      <c r="E652" s="255"/>
      <c r="F652" s="255"/>
      <c r="G652" s="338"/>
      <c r="H652" s="155"/>
      <c r="I652" s="155"/>
      <c r="J652" s="155"/>
      <c r="K652" s="15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58"/>
      <c r="AA652" s="339"/>
      <c r="AB652" s="105"/>
      <c r="AC652" s="105"/>
      <c r="AD652" s="105"/>
      <c r="AE652" s="105"/>
      <c r="AF652" s="158"/>
      <c r="AG652" s="105"/>
      <c r="AH652" s="158"/>
      <c r="AI652" s="88"/>
      <c r="AJ652" s="88"/>
      <c r="AK652" s="131"/>
      <c r="AL652" s="131"/>
      <c r="AM652" s="131"/>
      <c r="AN652" s="131"/>
      <c r="AO652" s="131"/>
      <c r="AP652" s="88"/>
    </row>
    <row r="653">
      <c r="A653" s="155"/>
      <c r="B653" s="337"/>
      <c r="C653" s="340"/>
      <c r="D653" s="337"/>
      <c r="E653" s="255"/>
      <c r="F653" s="255"/>
      <c r="G653" s="338"/>
      <c r="H653" s="155"/>
      <c r="I653" s="155"/>
      <c r="J653" s="155"/>
      <c r="K653" s="15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58"/>
      <c r="AA653" s="339"/>
      <c r="AB653" s="105"/>
      <c r="AC653" s="105"/>
      <c r="AD653" s="105"/>
      <c r="AE653" s="105"/>
      <c r="AF653" s="158"/>
      <c r="AG653" s="105"/>
      <c r="AH653" s="158"/>
      <c r="AI653" s="88"/>
      <c r="AJ653" s="88"/>
      <c r="AK653" s="131"/>
      <c r="AL653" s="131"/>
      <c r="AM653" s="131"/>
      <c r="AN653" s="131"/>
      <c r="AO653" s="131"/>
      <c r="AP653" s="88"/>
    </row>
    <row r="654">
      <c r="A654" s="155"/>
      <c r="B654" s="337"/>
      <c r="C654" s="340"/>
      <c r="D654" s="337"/>
      <c r="E654" s="255"/>
      <c r="F654" s="255"/>
      <c r="G654" s="338"/>
      <c r="H654" s="155"/>
      <c r="I654" s="155"/>
      <c r="J654" s="155"/>
      <c r="K654" s="15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58"/>
      <c r="AA654" s="339"/>
      <c r="AB654" s="105"/>
      <c r="AC654" s="105"/>
      <c r="AD654" s="105"/>
      <c r="AE654" s="105"/>
      <c r="AF654" s="158"/>
      <c r="AG654" s="105"/>
      <c r="AH654" s="158"/>
      <c r="AI654" s="88"/>
      <c r="AJ654" s="88"/>
      <c r="AK654" s="131"/>
      <c r="AL654" s="131"/>
      <c r="AM654" s="131"/>
      <c r="AN654" s="131"/>
      <c r="AO654" s="131"/>
      <c r="AP654" s="88"/>
    </row>
    <row r="655">
      <c r="A655" s="155"/>
      <c r="B655" s="337"/>
      <c r="C655" s="340"/>
      <c r="D655" s="337"/>
      <c r="E655" s="255"/>
      <c r="F655" s="255"/>
      <c r="G655" s="338"/>
      <c r="H655" s="155"/>
      <c r="I655" s="155"/>
      <c r="J655" s="155"/>
      <c r="K655" s="15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58"/>
      <c r="AA655" s="339"/>
      <c r="AB655" s="105"/>
      <c r="AC655" s="105"/>
      <c r="AD655" s="105"/>
      <c r="AE655" s="105"/>
      <c r="AF655" s="158"/>
      <c r="AG655" s="105"/>
      <c r="AH655" s="158"/>
      <c r="AI655" s="88"/>
      <c r="AJ655" s="88"/>
      <c r="AK655" s="131"/>
      <c r="AL655" s="131"/>
      <c r="AM655" s="131"/>
      <c r="AN655" s="131"/>
      <c r="AO655" s="131"/>
      <c r="AP655" s="88"/>
    </row>
  </sheetData>
  <mergeCells count="12">
    <mergeCell ref="D1:D2"/>
    <mergeCell ref="B3:D3"/>
    <mergeCell ref="E3:G3"/>
    <mergeCell ref="B4:D4"/>
    <mergeCell ref="E4:G4"/>
    <mergeCell ref="F1:F2"/>
    <mergeCell ref="G1:G2"/>
    <mergeCell ref="H1:K1"/>
    <mergeCell ref="L1:O1"/>
    <mergeCell ref="P1:R1"/>
    <mergeCell ref="T1:Z1"/>
    <mergeCell ref="AA1:AH1"/>
  </mergeCells>
  <hyperlinks>
    <hyperlink r:id="rId2" ref="A1"/>
  </hyperlinks>
  <drawing r:id="rId3"/>
  <legacyDrawing r:id="rId4"/>
  <tableParts count="1">
    <tablePart r:id="rId6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1" max="1" width="5.63"/>
    <col customWidth="1" min="2" max="2" width="27.25"/>
    <col customWidth="1" min="3" max="3" width="32.13"/>
    <col customWidth="1" min="4" max="5" width="13.88"/>
    <col customWidth="1" min="6" max="6" width="12.13"/>
    <col customWidth="1" min="7" max="7" width="10.0"/>
    <col customWidth="1" min="8" max="11" width="9.75"/>
    <col customWidth="1" min="12" max="34" width="12.63"/>
    <col customWidth="1" min="35" max="36" width="15.13"/>
  </cols>
  <sheetData>
    <row r="1">
      <c r="A1" s="341" t="s">
        <v>3705</v>
      </c>
      <c r="B1" s="342" t="s">
        <v>2409</v>
      </c>
      <c r="C1" s="343" t="s">
        <v>2410</v>
      </c>
      <c r="D1" s="344" t="s">
        <v>2411</v>
      </c>
      <c r="E1" s="345" t="s">
        <v>2412</v>
      </c>
      <c r="F1" s="346" t="s">
        <v>2413</v>
      </c>
      <c r="G1" s="347" t="s">
        <v>2414</v>
      </c>
      <c r="H1" s="348" t="s">
        <v>2415</v>
      </c>
      <c r="I1" s="78"/>
      <c r="J1" s="78"/>
      <c r="K1" s="79"/>
      <c r="L1" s="349" t="s">
        <v>2416</v>
      </c>
      <c r="M1" s="78"/>
      <c r="N1" s="78"/>
      <c r="O1" s="79"/>
      <c r="P1" s="350" t="str">
        <f>'UG-CSE'!P1</f>
        <v>Softskill Sx</v>
      </c>
      <c r="Q1" s="78"/>
      <c r="R1" s="79"/>
      <c r="S1" s="351"/>
      <c r="T1" s="352" t="str">
        <f>'UG-CSE'!T1</f>
        <v>Core Cx</v>
      </c>
      <c r="U1" s="78"/>
      <c r="V1" s="78"/>
      <c r="W1" s="78"/>
      <c r="X1" s="78"/>
      <c r="Y1" s="78"/>
      <c r="Z1" s="79"/>
      <c r="AA1" s="353" t="str">
        <f>'UG-CSE'!AA1</f>
        <v>Programming Px</v>
      </c>
      <c r="AB1" s="78"/>
      <c r="AC1" s="78"/>
      <c r="AD1" s="78"/>
      <c r="AE1" s="78"/>
      <c r="AF1" s="78"/>
      <c r="AG1" s="78"/>
      <c r="AH1" s="79"/>
      <c r="AI1" s="354"/>
      <c r="AJ1" s="355"/>
      <c r="AK1" s="356" t="s">
        <v>2420</v>
      </c>
      <c r="AL1" s="356" t="s">
        <v>2421</v>
      </c>
      <c r="AM1" s="356" t="s">
        <v>2422</v>
      </c>
      <c r="AN1" s="356" t="s">
        <v>2423</v>
      </c>
      <c r="AO1" s="357" t="s">
        <v>2424</v>
      </c>
      <c r="AP1" s="358"/>
      <c r="AQ1" s="358"/>
      <c r="AR1" s="358"/>
    </row>
    <row r="2" ht="42.0" customHeight="1">
      <c r="A2" s="359"/>
      <c r="B2" s="342" t="s">
        <v>2425</v>
      </c>
      <c r="C2" s="343" t="s">
        <v>2426</v>
      </c>
      <c r="D2" s="89"/>
      <c r="E2" s="345" t="s">
        <v>2427</v>
      </c>
      <c r="F2" s="89"/>
      <c r="G2" s="89"/>
      <c r="H2" s="360" t="s">
        <v>2428</v>
      </c>
      <c r="I2" s="360" t="s">
        <v>2429</v>
      </c>
      <c r="J2" s="360" t="s">
        <v>2430</v>
      </c>
      <c r="K2" s="360" t="s">
        <v>2431</v>
      </c>
      <c r="L2" s="361" t="s">
        <v>2432</v>
      </c>
      <c r="M2" s="361" t="s">
        <v>2433</v>
      </c>
      <c r="N2" s="361" t="s">
        <v>2434</v>
      </c>
      <c r="O2" s="361" t="s">
        <v>2435</v>
      </c>
      <c r="P2" s="362" t="str">
        <f>'UG-CSE'!P2</f>
        <v>S1</v>
      </c>
      <c r="Q2" s="362" t="str">
        <f>'UG-CSE'!Q2</f>
        <v>S2</v>
      </c>
      <c r="R2" s="362" t="str">
        <f>'UG-CSE'!R2</f>
        <v>S3</v>
      </c>
      <c r="S2" s="362" t="s">
        <v>2439</v>
      </c>
      <c r="T2" s="363" t="str">
        <f>'UG-CSE'!T2</f>
        <v>C2 Odd</v>
      </c>
      <c r="U2" s="363" t="str">
        <f>'UG-CSE'!U2</f>
        <v>C2 Full</v>
      </c>
      <c r="V2" s="363" t="str">
        <f>'UG-CSE'!V2</f>
        <v>C3 Odd</v>
      </c>
      <c r="W2" s="363" t="str">
        <f>'UG-CSE'!W2</f>
        <v>C3 Full</v>
      </c>
      <c r="X2" s="363" t="str">
        <f>'UG-CSE'!X2</f>
        <v>C4 Odd</v>
      </c>
      <c r="Y2" s="363" t="str">
        <f>'UG-CSE'!Y2</f>
        <v>C4 Full</v>
      </c>
      <c r="Z2" s="363" t="str">
        <f>'UG-CSE'!Z2</f>
        <v>C5 Full</v>
      </c>
      <c r="AA2" s="364" t="str">
        <f>'UG-CSE'!AA2</f>
        <v>P1-C</v>
      </c>
      <c r="AB2" s="364" t="str">
        <f>'UG-CSE'!AB2</f>
        <v>P2-Python</v>
      </c>
      <c r="AC2" s="364" t="str">
        <f>'UG-CSE'!AC2</f>
        <v>P3-Python</v>
      </c>
      <c r="AD2" s="364" t="str">
        <f>'UG-CSE'!AD2</f>
        <v>P3-Java </v>
      </c>
      <c r="AE2" s="364" t="str">
        <f>'UG-CSE'!AE2</f>
        <v>P4-Programming part 1</v>
      </c>
      <c r="AF2" s="364" t="str">
        <f>'UG-CSE'!AF2</f>
        <v>P4-Programming part 2</v>
      </c>
      <c r="AG2" s="364" t="str">
        <f>'UG-CSE'!AG2</f>
        <v>P4-MAD/FSD</v>
      </c>
      <c r="AH2" s="365" t="str">
        <f>'UG-CSE'!AH2</f>
        <v>P4-DS</v>
      </c>
      <c r="AI2" s="364" t="s">
        <v>2455</v>
      </c>
      <c r="AJ2" s="95" t="s">
        <v>2456</v>
      </c>
      <c r="AK2" s="366" t="s">
        <v>2457</v>
      </c>
      <c r="AL2" s="366" t="s">
        <v>2457</v>
      </c>
      <c r="AM2" s="366" t="s">
        <v>2457</v>
      </c>
      <c r="AN2" s="366" t="s">
        <v>2457</v>
      </c>
      <c r="AO2" s="366" t="s">
        <v>2457</v>
      </c>
      <c r="AP2" s="367"/>
      <c r="AQ2" s="367"/>
      <c r="AR2" s="367"/>
    </row>
    <row r="3">
      <c r="A3" s="368"/>
      <c r="B3" s="369" t="s">
        <v>2458</v>
      </c>
      <c r="C3" s="196"/>
      <c r="D3" s="197"/>
      <c r="E3" s="370"/>
      <c r="F3" s="199"/>
      <c r="G3" s="200"/>
      <c r="H3" s="371">
        <v>100.0</v>
      </c>
      <c r="I3" s="371">
        <v>100.0</v>
      </c>
      <c r="J3" s="371">
        <v>100.0</v>
      </c>
      <c r="K3" s="371">
        <v>100.0</v>
      </c>
      <c r="L3" s="371">
        <v>100.0</v>
      </c>
      <c r="M3" s="371">
        <v>100.0</v>
      </c>
      <c r="N3" s="371">
        <v>100.0</v>
      </c>
      <c r="O3" s="371">
        <v>100.0</v>
      </c>
      <c r="P3" s="371">
        <v>100.0</v>
      </c>
      <c r="Q3" s="371">
        <v>100.0</v>
      </c>
      <c r="R3" s="371">
        <v>100.0</v>
      </c>
      <c r="S3" s="371">
        <v>100.0</v>
      </c>
      <c r="T3" s="371">
        <v>25.0</v>
      </c>
      <c r="U3" s="371">
        <v>25.0</v>
      </c>
      <c r="V3" s="371">
        <v>100.0</v>
      </c>
      <c r="W3" s="371">
        <v>100.0</v>
      </c>
      <c r="X3" s="371">
        <v>100.0</v>
      </c>
      <c r="Y3" s="371">
        <v>100.0</v>
      </c>
      <c r="Z3" s="371">
        <v>100.0</v>
      </c>
      <c r="AA3" s="371">
        <v>100.0</v>
      </c>
      <c r="AB3" s="371">
        <v>100.0</v>
      </c>
      <c r="AC3" s="371">
        <v>100.0</v>
      </c>
      <c r="AD3" s="371">
        <v>100.0</v>
      </c>
      <c r="AE3" s="371">
        <v>100.0</v>
      </c>
      <c r="AF3" s="371">
        <v>100.0</v>
      </c>
      <c r="AG3" s="371">
        <v>100.0</v>
      </c>
      <c r="AH3" s="371">
        <v>100.0</v>
      </c>
      <c r="AI3" s="372">
        <v>100.0</v>
      </c>
      <c r="AJ3" s="372"/>
      <c r="AK3" s="373"/>
      <c r="AL3" s="373"/>
      <c r="AM3" s="373"/>
      <c r="AN3" s="373"/>
      <c r="AO3" s="373"/>
      <c r="AP3" s="367"/>
      <c r="AQ3" s="367"/>
      <c r="AR3" s="367"/>
    </row>
    <row r="4">
      <c r="A4" s="368"/>
      <c r="B4" s="374" t="s">
        <v>2459</v>
      </c>
      <c r="D4" s="375"/>
      <c r="E4" s="376"/>
      <c r="F4" s="270"/>
      <c r="G4" s="271"/>
      <c r="H4" s="377">
        <v>65.0</v>
      </c>
      <c r="I4" s="377">
        <v>65.0</v>
      </c>
      <c r="J4" s="377">
        <v>70.0</v>
      </c>
      <c r="K4" s="377">
        <v>70.0</v>
      </c>
      <c r="L4" s="378">
        <v>50.0</v>
      </c>
      <c r="M4" s="378">
        <v>50.0</v>
      </c>
      <c r="N4" s="378">
        <v>50.0</v>
      </c>
      <c r="O4" s="379">
        <v>65.0</v>
      </c>
      <c r="P4" s="378">
        <v>50.0</v>
      </c>
      <c r="Q4" s="378">
        <v>50.0</v>
      </c>
      <c r="R4" s="378">
        <v>50.0</v>
      </c>
      <c r="S4" s="380">
        <v>50.0</v>
      </c>
      <c r="T4" s="380">
        <v>10.0</v>
      </c>
      <c r="U4" s="380">
        <v>10.0</v>
      </c>
      <c r="V4" s="380">
        <v>50.0</v>
      </c>
      <c r="W4" s="380">
        <v>50.0</v>
      </c>
      <c r="X4" s="378">
        <v>50.0</v>
      </c>
      <c r="Y4" s="378">
        <v>50.0</v>
      </c>
      <c r="Z4" s="381">
        <v>50.0</v>
      </c>
      <c r="AA4" s="378">
        <v>50.0</v>
      </c>
      <c r="AB4" s="378">
        <v>50.0</v>
      </c>
      <c r="AC4" s="378">
        <v>60.0</v>
      </c>
      <c r="AD4" s="378">
        <v>60.0</v>
      </c>
      <c r="AE4" s="380">
        <v>70.0</v>
      </c>
      <c r="AF4" s="380">
        <v>70.0</v>
      </c>
      <c r="AG4" s="380">
        <v>70.0</v>
      </c>
      <c r="AH4" s="382">
        <v>70.0</v>
      </c>
      <c r="AI4" s="372">
        <v>50.0</v>
      </c>
      <c r="AJ4" s="372"/>
      <c r="AK4" s="373"/>
      <c r="AL4" s="373"/>
      <c r="AM4" s="373"/>
      <c r="AN4" s="373"/>
      <c r="AO4" s="373"/>
      <c r="AP4" s="367"/>
      <c r="AQ4" s="367"/>
      <c r="AR4" s="367"/>
    </row>
    <row r="5">
      <c r="A5" s="383"/>
      <c r="B5" s="383" t="s">
        <v>3740</v>
      </c>
      <c r="C5" s="384" t="s">
        <v>3741</v>
      </c>
      <c r="D5" s="385" t="s">
        <v>1262</v>
      </c>
      <c r="E5" s="386"/>
      <c r="F5" s="386" t="s">
        <v>3742</v>
      </c>
      <c r="G5" s="387"/>
      <c r="H5" s="388">
        <v>63.0</v>
      </c>
      <c r="I5" s="388">
        <v>56.0</v>
      </c>
      <c r="J5" s="388">
        <v>51.5</v>
      </c>
      <c r="K5" s="389">
        <v>0.0</v>
      </c>
      <c r="L5" s="390">
        <f>VLOOKUP(D5,'A1 RETEST 5 DEC'!$1:$2096,2,FALSE)</f>
        <v>25</v>
      </c>
      <c r="M5" s="390">
        <f>VLOOKUP(D5,'A2 RETEST 4 DEC'!$1:$2096,2,FALSE)</f>
        <v>0</v>
      </c>
      <c r="N5" s="390" t="s">
        <v>2491</v>
      </c>
      <c r="O5" s="390"/>
      <c r="P5" s="391">
        <v>0.0</v>
      </c>
      <c r="Q5" s="391">
        <f>vlookup(D5,'S2'!A1:B1203,2,0)</f>
        <v>0</v>
      </c>
      <c r="R5" s="391">
        <f>ifna(vlookup(D5,'S3'!$1:$1311,2,False),0)</f>
        <v>0</v>
      </c>
      <c r="S5" s="391"/>
      <c r="T5" s="392">
        <v>14.0</v>
      </c>
      <c r="U5" s="392">
        <v>15.0</v>
      </c>
      <c r="V5" s="392">
        <v>70.0</v>
      </c>
      <c r="W5" s="392" t="s">
        <v>3716</v>
      </c>
      <c r="X5" s="393" t="s">
        <v>3716</v>
      </c>
      <c r="Y5" s="392" t="s">
        <v>3716</v>
      </c>
      <c r="Z5" s="394" t="s">
        <v>3716</v>
      </c>
      <c r="AA5" s="395"/>
      <c r="AB5" s="395">
        <v>57.25</v>
      </c>
      <c r="AC5" s="395">
        <v>0.0</v>
      </c>
      <c r="AD5" s="395">
        <v>0.0</v>
      </c>
      <c r="AE5" s="396">
        <v>0.0</v>
      </c>
      <c r="AF5" s="397"/>
      <c r="AG5" s="395" t="s">
        <v>2491</v>
      </c>
      <c r="AH5" s="397" t="s">
        <v>2491</v>
      </c>
      <c r="AI5" s="398"/>
      <c r="AJ5" s="398"/>
      <c r="AK5" s="399">
        <f t="shared" ref="AK5:AK72" si="1">IF(H5&gt;=$H$4, 
    IF(I5&gt;=$I$4, 
        IF(J5&gt;=$J$4, 
            IF(K5&gt;=$K$4, 4, 3), 
            2), 
        1), 
    0)
</f>
        <v>0</v>
      </c>
      <c r="AL5" s="399">
        <f t="shared" ref="AL5:AL72" si="2">IF(L5&gt;=$L$4, 
    IF(M5&gt;=$M$4, 
        IF(N5&gt;=$N$4, 
            IF(O5&gt;=$O$4, 4, 3), 
            2), 
        1), 
    0)
</f>
        <v>0</v>
      </c>
      <c r="AM5" s="400">
        <f t="shared" ref="AM5:AM72" si="3">IF(AND(U5&gt;=$U$4, W5&gt;=$W$4, Y5&gt;=$Y$4, Z5&lt;&gt;"", Z5&gt;=$Z$4), 5,
 IF(AND(U5&gt;=$U$4, W5&gt;=$W$4, Y5&gt;=$Y$4), 4,
  IF(AND(U5&gt;=$U$4, W5&gt;=$W$4), 3,
   IF(AND(T5&gt;=$T$4, U5&gt;=$U$4), 2,
    0
   )
  )
 )
)
</f>
        <v>5</v>
      </c>
      <c r="AN5" s="399" t="str">
        <f t="shared" ref="AN5:AN72" si="4">IF(AB5&gt;=$AB$4, 
    IF(OR(AC5&gt;=$AC$4, AD5&gt;=$AD$4), 
        IF(AND(AE5&gt;=$AE$4, AF5&gt;=$AF$4, OR(AG5&gt;=$AG$4, AH5&gt;=$AH$4)), "4", 
            IF(OR(AE5&gt;=$AE$4, AF5&gt;=$AF$4), "3.5", 
                "3")), 
        "2"), 
    "0")</f>
        <v>2</v>
      </c>
      <c r="AO5" s="399">
        <f t="shared" ref="AO5:AO72" si="5">IF(P5&gt;=$P$4, 
    IF(Q5&gt;=$Q$4, 
        IF(R5&gt;=$R$4, 
            IF(S5&gt;=$S$4, 4, 3), 
            2), 
        1), 
    0)
</f>
        <v>0</v>
      </c>
      <c r="AP5" s="367"/>
      <c r="AQ5" s="367"/>
      <c r="AR5" s="367"/>
    </row>
    <row r="6">
      <c r="A6" s="385">
        <v>1.0</v>
      </c>
      <c r="B6" s="401" t="s">
        <v>2101</v>
      </c>
      <c r="C6" s="401" t="s">
        <v>3006</v>
      </c>
      <c r="D6" s="402" t="str">
        <f>VLOOKUP(B6,USN!$1:$1088,2,FALSE)</f>
        <v>1CR23CD001</v>
      </c>
      <c r="E6" s="401">
        <v>7.088462345E9</v>
      </c>
      <c r="F6" s="401" t="s">
        <v>3743</v>
      </c>
      <c r="G6" s="387"/>
      <c r="H6" s="403">
        <v>83.0</v>
      </c>
      <c r="I6" s="403">
        <v>86.0</v>
      </c>
      <c r="J6" s="389">
        <f>VLOOKUP(D6,'L3'!$1:$2060,2,FALSE)</f>
        <v>84</v>
      </c>
      <c r="K6" s="389">
        <f>VLOOKUP(D6,'L4'!$1:$2059,2,FALSE)</f>
        <v>84</v>
      </c>
      <c r="L6" s="390">
        <f>VLOOKUP(D6,'A1 RETEST 5 DEC'!$1:$2096,2,FALSE)</f>
        <v>76</v>
      </c>
      <c r="M6" s="390">
        <f>VLOOKUP(D6,'A2 RETEST 4 DEC'!$1:$2096,2,FALSE)</f>
        <v>50</v>
      </c>
      <c r="N6" s="404">
        <v>66.0</v>
      </c>
      <c r="O6" s="390"/>
      <c r="P6" s="391">
        <f>IFNA(vlookup(D6,'S1'!$1:$1325,2,0),0)</f>
        <v>73</v>
      </c>
      <c r="Q6" s="391">
        <f>vlookup(D6,'S2'!A2:B1204,2,0)</f>
        <v>58</v>
      </c>
      <c r="R6" s="391">
        <f>ifna(vlookup(D6,'S3'!$1:$1311,2,False),0)</f>
        <v>94</v>
      </c>
      <c r="S6" s="391"/>
      <c r="T6" s="405">
        <v>12.0</v>
      </c>
      <c r="U6" s="392">
        <v>21.0</v>
      </c>
      <c r="V6" s="393">
        <v>90.0</v>
      </c>
      <c r="W6" s="393">
        <v>76.0</v>
      </c>
      <c r="X6" s="406">
        <v>80.0</v>
      </c>
      <c r="Y6" s="392"/>
      <c r="Z6" s="407"/>
      <c r="AA6" s="408">
        <v>100.0</v>
      </c>
      <c r="AB6" s="409">
        <v>99.0</v>
      </c>
      <c r="AC6" s="410">
        <v>0.0</v>
      </c>
      <c r="AD6" s="395">
        <v>60.0</v>
      </c>
      <c r="AE6" s="396">
        <v>84.0</v>
      </c>
      <c r="AF6" s="398"/>
      <c r="AG6" s="398">
        <v>88.0</v>
      </c>
      <c r="AH6" s="398"/>
      <c r="AI6" s="398"/>
      <c r="AJ6" s="398"/>
      <c r="AK6" s="399">
        <f t="shared" si="1"/>
        <v>4</v>
      </c>
      <c r="AL6" s="399">
        <f t="shared" si="2"/>
        <v>3</v>
      </c>
      <c r="AM6" s="400">
        <f t="shared" si="3"/>
        <v>3</v>
      </c>
      <c r="AN6" s="399" t="str">
        <f t="shared" si="4"/>
        <v>3.5</v>
      </c>
      <c r="AO6" s="399">
        <f t="shared" si="5"/>
        <v>3</v>
      </c>
      <c r="AP6" s="367"/>
      <c r="AQ6" s="367"/>
      <c r="AR6" s="367"/>
    </row>
    <row r="7">
      <c r="A7" s="385">
        <v>2.0</v>
      </c>
      <c r="B7" s="401" t="s">
        <v>2158</v>
      </c>
      <c r="C7" s="411" t="s">
        <v>3007</v>
      </c>
      <c r="D7" s="402" t="str">
        <f>VLOOKUP(B7,USN!$1:$1088,2,FALSE)</f>
        <v>1CR23CD002</v>
      </c>
      <c r="E7" s="401">
        <v>8.86738021E9</v>
      </c>
      <c r="F7" s="401" t="s">
        <v>3743</v>
      </c>
      <c r="G7" s="387"/>
      <c r="H7" s="403">
        <v>79.0</v>
      </c>
      <c r="I7" s="403">
        <v>80.0</v>
      </c>
      <c r="J7" s="389">
        <f>VLOOKUP(D7,'L3'!$1:$2060,2,FALSE)</f>
        <v>70</v>
      </c>
      <c r="K7" s="389">
        <f>VLOOKUP(D7,'L4'!$1:$2059,2,FALSE)</f>
        <v>70</v>
      </c>
      <c r="L7" s="390">
        <f>VLOOKUP(D7,'A1 RETEST 5 DEC'!$1:$2096,2,FALSE)</f>
        <v>50</v>
      </c>
      <c r="M7" s="390">
        <f>VLOOKUP(D7,'A2 RETEST 4 DEC'!$1:$2096,2,FALSE)</f>
        <v>50</v>
      </c>
      <c r="N7" s="404">
        <v>53.0</v>
      </c>
      <c r="O7" s="390"/>
      <c r="P7" s="391">
        <f>IFNA(vlookup(D7,'S1'!$1:$1325,2,0),0)</f>
        <v>50</v>
      </c>
      <c r="Q7" s="391">
        <f>vlookup(D7,'S2'!A3:B1205,2,0)</f>
        <v>55</v>
      </c>
      <c r="R7" s="391">
        <f>ifna(vlookup(D7,'S3'!$1:$1311,2,False),0)</f>
        <v>79</v>
      </c>
      <c r="S7" s="391"/>
      <c r="T7" s="392">
        <v>14.0</v>
      </c>
      <c r="U7" s="392">
        <v>17.0</v>
      </c>
      <c r="V7" s="393">
        <v>86.0</v>
      </c>
      <c r="W7" s="393">
        <v>78.0</v>
      </c>
      <c r="X7" s="406">
        <v>84.0</v>
      </c>
      <c r="Y7" s="392"/>
      <c r="Z7" s="407"/>
      <c r="AA7" s="408">
        <v>14.0</v>
      </c>
      <c r="AB7" s="409">
        <v>0.0</v>
      </c>
      <c r="AC7" s="410">
        <v>80.0</v>
      </c>
      <c r="AD7" s="395">
        <v>22.0</v>
      </c>
      <c r="AE7" s="396">
        <v>86.0</v>
      </c>
      <c r="AF7" s="398"/>
      <c r="AG7" s="398">
        <v>77.0</v>
      </c>
      <c r="AH7" s="398"/>
      <c r="AI7" s="398"/>
      <c r="AJ7" s="398"/>
      <c r="AK7" s="399">
        <f t="shared" si="1"/>
        <v>4</v>
      </c>
      <c r="AL7" s="399">
        <f t="shared" si="2"/>
        <v>3</v>
      </c>
      <c r="AM7" s="400">
        <f t="shared" si="3"/>
        <v>3</v>
      </c>
      <c r="AN7" s="399" t="str">
        <f t="shared" si="4"/>
        <v>0</v>
      </c>
      <c r="AO7" s="399">
        <f t="shared" si="5"/>
        <v>3</v>
      </c>
      <c r="AP7" s="367"/>
      <c r="AQ7" s="367"/>
      <c r="AR7" s="367"/>
    </row>
    <row r="8">
      <c r="A8" s="385">
        <v>3.0</v>
      </c>
      <c r="B8" s="401" t="s">
        <v>2102</v>
      </c>
      <c r="C8" s="401" t="s">
        <v>3744</v>
      </c>
      <c r="D8" s="402" t="str">
        <f>VLOOKUP(B8,USN!$1:$1088,2,FALSE)</f>
        <v>1CR23CD003</v>
      </c>
      <c r="E8" s="401">
        <v>8.986937824E9</v>
      </c>
      <c r="F8" s="401" t="s">
        <v>3743</v>
      </c>
      <c r="G8" s="387"/>
      <c r="H8" s="403">
        <v>92.0</v>
      </c>
      <c r="I8" s="403">
        <v>91.0</v>
      </c>
      <c r="J8" s="389">
        <f>VLOOKUP(D8,'L3'!$1:$2060,2,FALSE)</f>
        <v>70</v>
      </c>
      <c r="K8" s="389">
        <f>VLOOKUP(D8,'L4'!$1:$2059,2,FALSE)</f>
        <v>73</v>
      </c>
      <c r="L8" s="390">
        <f>VLOOKUP(D8,'A1 RETEST 5 DEC'!$1:$2096,2,FALSE)</f>
        <v>10</v>
      </c>
      <c r="M8" s="390">
        <f>VLOOKUP(D8,'A2 RETEST 4 DEC'!$1:$2096,2,FALSE)</f>
        <v>22</v>
      </c>
      <c r="N8" s="404">
        <v>12.0</v>
      </c>
      <c r="O8" s="390"/>
      <c r="P8" s="391">
        <f>IFNA(vlookup(D8,'S1'!$1:$1325,2,0),0)</f>
        <v>50</v>
      </c>
      <c r="Q8" s="391">
        <f>vlookup(D8,'S2'!A4:B1206,2,0)</f>
        <v>55</v>
      </c>
      <c r="R8" s="391">
        <f>ifna(vlookup(D8,'S3'!$1:$1311,2,False),0)</f>
        <v>0</v>
      </c>
      <c r="S8" s="391"/>
      <c r="T8" s="405">
        <v>10.0</v>
      </c>
      <c r="U8" s="392" t="s">
        <v>2477</v>
      </c>
      <c r="V8" s="392" t="s">
        <v>3716</v>
      </c>
      <c r="W8" s="393">
        <v>68.0</v>
      </c>
      <c r="X8" s="406">
        <v>0.0</v>
      </c>
      <c r="Y8" s="392"/>
      <c r="Z8" s="407"/>
      <c r="AA8" s="408">
        <v>80.0</v>
      </c>
      <c r="AB8" s="409">
        <v>97.0</v>
      </c>
      <c r="AC8" s="410">
        <v>37.0</v>
      </c>
      <c r="AD8" s="395">
        <v>27.0</v>
      </c>
      <c r="AE8" s="396">
        <v>59.0</v>
      </c>
      <c r="AF8" s="398"/>
      <c r="AG8" s="398">
        <v>45.0</v>
      </c>
      <c r="AH8" s="398"/>
      <c r="AI8" s="398"/>
      <c r="AJ8" s="398"/>
      <c r="AK8" s="399">
        <f t="shared" si="1"/>
        <v>4</v>
      </c>
      <c r="AL8" s="399">
        <f t="shared" si="2"/>
        <v>0</v>
      </c>
      <c r="AM8" s="400">
        <f t="shared" si="3"/>
        <v>3</v>
      </c>
      <c r="AN8" s="399" t="str">
        <f t="shared" si="4"/>
        <v>2</v>
      </c>
      <c r="AO8" s="399">
        <f t="shared" si="5"/>
        <v>2</v>
      </c>
      <c r="AP8" s="367"/>
      <c r="AQ8" s="367"/>
      <c r="AR8" s="367"/>
    </row>
    <row r="9">
      <c r="A9" s="385">
        <v>4.0</v>
      </c>
      <c r="B9" s="401" t="s">
        <v>2138</v>
      </c>
      <c r="C9" s="401" t="s">
        <v>3009</v>
      </c>
      <c r="D9" s="402" t="str">
        <f>VLOOKUP(B9,USN!$1:$1088,2,FALSE)</f>
        <v>1CR23CD004</v>
      </c>
      <c r="E9" s="401">
        <v>6.362633511E9</v>
      </c>
      <c r="F9" s="401" t="s">
        <v>3743</v>
      </c>
      <c r="G9" s="387"/>
      <c r="H9" s="403">
        <v>81.0</v>
      </c>
      <c r="I9" s="403">
        <v>84.0</v>
      </c>
      <c r="J9" s="389">
        <f>VLOOKUP(D9,'L3'!$1:$2060,2,FALSE)</f>
        <v>70</v>
      </c>
      <c r="K9" s="389">
        <f>VLOOKUP(D9,'L4'!$1:$2059,2,FALSE)</f>
        <v>81</v>
      </c>
      <c r="L9" s="390">
        <f>VLOOKUP(D9,'A1 RETEST 5 DEC'!$1:$2096,2,FALSE)</f>
        <v>50</v>
      </c>
      <c r="M9" s="390">
        <f>VLOOKUP(D9,'A2 RETEST 4 DEC'!$1:$2096,2,FALSE)</f>
        <v>57</v>
      </c>
      <c r="N9" s="404">
        <v>11.0</v>
      </c>
      <c r="O9" s="390"/>
      <c r="P9" s="391">
        <f>IFNA(vlookup(D9,'S1'!$1:$1325,2,0),0)</f>
        <v>87</v>
      </c>
      <c r="Q9" s="391">
        <f>vlookup(D9,'S2'!A5:B1207,2,0)</f>
        <v>60</v>
      </c>
      <c r="R9" s="391">
        <f>ifna(vlookup(D9,'S3'!$1:$1311,2,False),0)</f>
        <v>50</v>
      </c>
      <c r="S9" s="391"/>
      <c r="T9" s="405">
        <v>22.0</v>
      </c>
      <c r="U9" s="392">
        <v>21.0</v>
      </c>
      <c r="V9" s="393">
        <v>90.0</v>
      </c>
      <c r="W9" s="393">
        <v>78.0</v>
      </c>
      <c r="X9" s="406">
        <v>76.0</v>
      </c>
      <c r="Y9" s="392"/>
      <c r="Z9" s="407"/>
      <c r="AA9" s="408">
        <v>96.0</v>
      </c>
      <c r="AB9" s="409">
        <v>78.0</v>
      </c>
      <c r="AC9" s="410">
        <v>73.0</v>
      </c>
      <c r="AD9" s="395">
        <v>70.0</v>
      </c>
      <c r="AE9" s="396">
        <v>71.0</v>
      </c>
      <c r="AF9" s="398"/>
      <c r="AG9" s="398">
        <v>73.0</v>
      </c>
      <c r="AH9" s="398"/>
      <c r="AI9" s="398"/>
      <c r="AJ9" s="398"/>
      <c r="AK9" s="399">
        <f t="shared" si="1"/>
        <v>4</v>
      </c>
      <c r="AL9" s="399">
        <f t="shared" si="2"/>
        <v>2</v>
      </c>
      <c r="AM9" s="400">
        <f t="shared" si="3"/>
        <v>3</v>
      </c>
      <c r="AN9" s="399" t="str">
        <f t="shared" si="4"/>
        <v>3.5</v>
      </c>
      <c r="AO9" s="399">
        <f t="shared" si="5"/>
        <v>3</v>
      </c>
      <c r="AP9" s="367"/>
      <c r="AQ9" s="367"/>
      <c r="AR9" s="367"/>
    </row>
    <row r="10">
      <c r="A10" s="385">
        <v>5.0</v>
      </c>
      <c r="B10" s="401" t="s">
        <v>136</v>
      </c>
      <c r="C10" s="401" t="s">
        <v>3010</v>
      </c>
      <c r="D10" s="402" t="str">
        <f>VLOOKUP(B10,USN!$1:$1088,2,FALSE)</f>
        <v>1CR23CD005</v>
      </c>
      <c r="E10" s="401">
        <v>9.110652968E9</v>
      </c>
      <c r="F10" s="401" t="s">
        <v>3743</v>
      </c>
      <c r="G10" s="387"/>
      <c r="H10" s="403">
        <v>73.0</v>
      </c>
      <c r="I10" s="389">
        <v>65.0</v>
      </c>
      <c r="J10" s="389">
        <f>VLOOKUP(D10,'L3'!$1:$2060,2,FALSE)</f>
        <v>50</v>
      </c>
      <c r="K10" s="389">
        <f>VLOOKUP(D10,'L4'!$1:$2059,2,FALSE)</f>
        <v>45</v>
      </c>
      <c r="L10" s="390">
        <f>VLOOKUP(D10,'A1 RETEST 5 DEC'!$1:$2096,2,FALSE)</f>
        <v>35</v>
      </c>
      <c r="M10" s="390">
        <f>VLOOKUP(D10,'A2 RETEST 4 DEC'!$1:$2096,2,FALSE)</f>
        <v>25</v>
      </c>
      <c r="N10" s="404">
        <v>10.0</v>
      </c>
      <c r="O10" s="390"/>
      <c r="P10" s="391">
        <f>IFNA(vlookup(D10,'S1'!$1:$1325,2,0),0)</f>
        <v>0</v>
      </c>
      <c r="Q10" s="391">
        <f>vlookup(D10,'S2'!A6:B1208,2,0)</f>
        <v>0</v>
      </c>
      <c r="R10" s="391">
        <f>ifna(vlookup(D10,'S3'!$1:$1311,2,False),0)</f>
        <v>0</v>
      </c>
      <c r="S10" s="391"/>
      <c r="T10" s="405">
        <v>20.0</v>
      </c>
      <c r="U10" s="392">
        <v>20.0</v>
      </c>
      <c r="V10" s="393">
        <v>100.0</v>
      </c>
      <c r="W10" s="393">
        <v>78.0</v>
      </c>
      <c r="X10" s="406">
        <v>82.0</v>
      </c>
      <c r="Y10" s="392"/>
      <c r="Z10" s="407"/>
      <c r="AA10" s="408">
        <v>50.0</v>
      </c>
      <c r="AB10" s="409">
        <v>27.0</v>
      </c>
      <c r="AC10" s="410">
        <v>0.0</v>
      </c>
      <c r="AD10" s="395">
        <v>88.0</v>
      </c>
      <c r="AE10" s="396">
        <v>10.0</v>
      </c>
      <c r="AF10" s="398"/>
      <c r="AG10" s="398">
        <v>0.0</v>
      </c>
      <c r="AH10" s="398"/>
      <c r="AI10" s="398"/>
      <c r="AJ10" s="398"/>
      <c r="AK10" s="399">
        <f t="shared" si="1"/>
        <v>2</v>
      </c>
      <c r="AL10" s="399">
        <f t="shared" si="2"/>
        <v>0</v>
      </c>
      <c r="AM10" s="400">
        <f t="shared" si="3"/>
        <v>3</v>
      </c>
      <c r="AN10" s="399" t="str">
        <f t="shared" si="4"/>
        <v>0</v>
      </c>
      <c r="AO10" s="399">
        <f t="shared" si="5"/>
        <v>0</v>
      </c>
      <c r="AP10" s="367"/>
      <c r="AQ10" s="367"/>
      <c r="AR10" s="367"/>
    </row>
    <row r="11">
      <c r="A11" s="385">
        <v>6.0</v>
      </c>
      <c r="B11" s="401" t="s">
        <v>2103</v>
      </c>
      <c r="C11" s="401" t="s">
        <v>3011</v>
      </c>
      <c r="D11" s="402" t="str">
        <f>VLOOKUP(B11,USN!$1:$1088,2,FALSE)</f>
        <v>1CR23CD006</v>
      </c>
      <c r="E11" s="401">
        <v>8.597444545E9</v>
      </c>
      <c r="F11" s="401" t="s">
        <v>3743</v>
      </c>
      <c r="G11" s="387"/>
      <c r="H11" s="403">
        <v>86.0</v>
      </c>
      <c r="I11" s="403">
        <v>95.0</v>
      </c>
      <c r="J11" s="389">
        <f>VLOOKUP(D11,'L3'!$1:$2060,2,FALSE)</f>
        <v>80</v>
      </c>
      <c r="K11" s="389">
        <f>VLOOKUP(D11,'L4'!$1:$2059,2,FALSE)</f>
        <v>61</v>
      </c>
      <c r="L11" s="390">
        <f>VLOOKUP(D11,'A1 RETEST 5 DEC'!$1:$2096,2,FALSE)</f>
        <v>67</v>
      </c>
      <c r="M11" s="390">
        <f>VLOOKUP(D11,'A2 RETEST 4 DEC'!$1:$2096,2,FALSE)</f>
        <v>50</v>
      </c>
      <c r="N11" s="404">
        <v>0.0</v>
      </c>
      <c r="O11" s="390"/>
      <c r="P11" s="391">
        <f>IFNA(vlookup(D11,'S1'!$1:$1325,2,0),0)</f>
        <v>74</v>
      </c>
      <c r="Q11" s="391">
        <f>vlookup(D11,'S2'!A7:B1209,2,0)</f>
        <v>0</v>
      </c>
      <c r="R11" s="391">
        <f>ifna(vlookup(D11,'S3'!$1:$1311,2,False),0)</f>
        <v>0</v>
      </c>
      <c r="S11" s="391"/>
      <c r="T11" s="405">
        <v>17.0</v>
      </c>
      <c r="U11" s="392">
        <v>17.0</v>
      </c>
      <c r="V11" s="393">
        <v>66.0</v>
      </c>
      <c r="W11" s="393">
        <v>72.0</v>
      </c>
      <c r="X11" s="406">
        <v>42.0</v>
      </c>
      <c r="Y11" s="392"/>
      <c r="Z11" s="407"/>
      <c r="AA11" s="408">
        <v>100.0</v>
      </c>
      <c r="AB11" s="409">
        <v>100.0</v>
      </c>
      <c r="AC11" s="410">
        <v>69.0</v>
      </c>
      <c r="AD11" s="395">
        <v>66.0</v>
      </c>
      <c r="AE11" s="396">
        <v>10.0</v>
      </c>
      <c r="AF11" s="398"/>
      <c r="AG11" s="398">
        <v>0.0</v>
      </c>
      <c r="AH11" s="398"/>
      <c r="AI11" s="398"/>
      <c r="AJ11" s="398"/>
      <c r="AK11" s="399">
        <f t="shared" si="1"/>
        <v>3</v>
      </c>
      <c r="AL11" s="399">
        <f t="shared" si="2"/>
        <v>2</v>
      </c>
      <c r="AM11" s="400">
        <f t="shared" si="3"/>
        <v>3</v>
      </c>
      <c r="AN11" s="399" t="str">
        <f t="shared" si="4"/>
        <v>3</v>
      </c>
      <c r="AO11" s="399">
        <f t="shared" si="5"/>
        <v>1</v>
      </c>
      <c r="AP11" s="367"/>
      <c r="AQ11" s="367"/>
      <c r="AR11" s="367"/>
    </row>
    <row r="12">
      <c r="A12" s="385">
        <v>7.0</v>
      </c>
      <c r="B12" s="401" t="s">
        <v>2139</v>
      </c>
      <c r="C12" s="401" t="s">
        <v>3012</v>
      </c>
      <c r="D12" s="402" t="str">
        <f>VLOOKUP(B12,USN!$1:$1088,2,FALSE)</f>
        <v>1CR23CD007</v>
      </c>
      <c r="E12" s="401">
        <v>8.618989199E9</v>
      </c>
      <c r="F12" s="401" t="s">
        <v>3743</v>
      </c>
      <c r="G12" s="387"/>
      <c r="H12" s="403">
        <v>76.0</v>
      </c>
      <c r="I12" s="403">
        <v>85.0</v>
      </c>
      <c r="J12" s="389">
        <f>VLOOKUP(D12,'L3'!$1:$2060,2,FALSE)</f>
        <v>71</v>
      </c>
      <c r="K12" s="389">
        <f>VLOOKUP(D12,'L4'!$1:$2059,2,FALSE)</f>
        <v>72</v>
      </c>
      <c r="L12" s="390">
        <f>VLOOKUP(D12,'A1 RETEST 5 DEC'!$1:$2096,2,FALSE)</f>
        <v>50</v>
      </c>
      <c r="M12" s="390">
        <f>VLOOKUP(D12,'A2 RETEST 4 DEC'!$1:$2096,2,FALSE)</f>
        <v>35</v>
      </c>
      <c r="N12" s="404">
        <v>50.0</v>
      </c>
      <c r="O12" s="390"/>
      <c r="P12" s="391">
        <f>IFNA(vlookup(D12,'S1'!$1:$1325,2,0),0)</f>
        <v>73</v>
      </c>
      <c r="Q12" s="391">
        <f>vlookup(D12,'S2'!A8:B1210,2,0)</f>
        <v>60</v>
      </c>
      <c r="R12" s="391">
        <f>ifna(vlookup(D12,'S3'!$1:$1311,2,False),0)</f>
        <v>89</v>
      </c>
      <c r="S12" s="391"/>
      <c r="T12" s="405">
        <v>15.0</v>
      </c>
      <c r="U12" s="392">
        <v>14.0</v>
      </c>
      <c r="V12" s="393">
        <v>90.0</v>
      </c>
      <c r="W12" s="393">
        <v>84.0</v>
      </c>
      <c r="X12" s="406">
        <v>76.0</v>
      </c>
      <c r="Y12" s="392"/>
      <c r="Z12" s="407"/>
      <c r="AA12" s="408">
        <v>97.0</v>
      </c>
      <c r="AB12" s="409">
        <v>85.0</v>
      </c>
      <c r="AC12" s="410">
        <v>73.0</v>
      </c>
      <c r="AD12" s="395">
        <v>70.0</v>
      </c>
      <c r="AE12" s="396">
        <v>80.0</v>
      </c>
      <c r="AF12" s="398"/>
      <c r="AG12" s="398">
        <v>86.0</v>
      </c>
      <c r="AH12" s="398"/>
      <c r="AI12" s="398"/>
      <c r="AJ12" s="398"/>
      <c r="AK12" s="399">
        <f t="shared" si="1"/>
        <v>4</v>
      </c>
      <c r="AL12" s="399">
        <f t="shared" si="2"/>
        <v>1</v>
      </c>
      <c r="AM12" s="400">
        <f t="shared" si="3"/>
        <v>3</v>
      </c>
      <c r="AN12" s="399" t="str">
        <f t="shared" si="4"/>
        <v>3.5</v>
      </c>
      <c r="AO12" s="399">
        <f t="shared" si="5"/>
        <v>3</v>
      </c>
      <c r="AP12" s="367"/>
      <c r="AQ12" s="367"/>
      <c r="AR12" s="367"/>
    </row>
    <row r="13">
      <c r="A13" s="385">
        <v>8.0</v>
      </c>
      <c r="B13" s="401" t="s">
        <v>2152</v>
      </c>
      <c r="C13" s="401" t="s">
        <v>3745</v>
      </c>
      <c r="D13" s="402" t="str">
        <f>VLOOKUP(B13,USN!$1:$1088,2,FALSE)</f>
        <v>1CR23CD008</v>
      </c>
      <c r="E13" s="401">
        <v>9.686561639E9</v>
      </c>
      <c r="F13" s="401" t="s">
        <v>3743</v>
      </c>
      <c r="G13" s="387"/>
      <c r="H13" s="403">
        <v>85.0</v>
      </c>
      <c r="I13" s="403">
        <v>86.0</v>
      </c>
      <c r="J13" s="389">
        <f>VLOOKUP(D13,'L3'!$1:$2060,2,FALSE)</f>
        <v>86</v>
      </c>
      <c r="K13" s="389">
        <f>VLOOKUP(D13,'L4'!$1:$2059,2,FALSE)</f>
        <v>83</v>
      </c>
      <c r="L13" s="390">
        <f>VLOOKUP(D13,'A1 RETEST 5 DEC'!$1:$2096,2,FALSE)</f>
        <v>76</v>
      </c>
      <c r="M13" s="390">
        <f>VLOOKUP(D13,'A2 RETEST 4 DEC'!$1:$2096,2,FALSE)</f>
        <v>57</v>
      </c>
      <c r="N13" s="404">
        <v>51.0</v>
      </c>
      <c r="O13" s="390"/>
      <c r="P13" s="391">
        <f>IFNA(vlookup(D13,'S1'!$1:$1325,2,0),0)</f>
        <v>70</v>
      </c>
      <c r="Q13" s="391">
        <f>vlookup(D13,'S2'!A9:B1211,2,0)</f>
        <v>80</v>
      </c>
      <c r="R13" s="391">
        <f>ifna(vlookup(D13,'S3'!$1:$1311,2,False),0)</f>
        <v>93</v>
      </c>
      <c r="S13" s="391"/>
      <c r="T13" s="392">
        <v>15.0</v>
      </c>
      <c r="U13" s="392">
        <v>19.0</v>
      </c>
      <c r="V13" s="393">
        <v>76.0</v>
      </c>
      <c r="W13" s="393">
        <v>82.0</v>
      </c>
      <c r="X13" s="406">
        <v>70.0</v>
      </c>
      <c r="Y13" s="392"/>
      <c r="Z13" s="407"/>
      <c r="AA13" s="408">
        <v>41.0</v>
      </c>
      <c r="AB13" s="409">
        <v>93.0</v>
      </c>
      <c r="AC13" s="410">
        <v>100.0</v>
      </c>
      <c r="AD13" s="395">
        <v>60.0</v>
      </c>
      <c r="AE13" s="396">
        <v>86.0</v>
      </c>
      <c r="AF13" s="398"/>
      <c r="AG13" s="398">
        <v>86.0</v>
      </c>
      <c r="AH13" s="398"/>
      <c r="AI13" s="398"/>
      <c r="AJ13" s="398"/>
      <c r="AK13" s="399">
        <f t="shared" si="1"/>
        <v>4</v>
      </c>
      <c r="AL13" s="399">
        <f t="shared" si="2"/>
        <v>3</v>
      </c>
      <c r="AM13" s="400">
        <f t="shared" si="3"/>
        <v>3</v>
      </c>
      <c r="AN13" s="399" t="str">
        <f t="shared" si="4"/>
        <v>3.5</v>
      </c>
      <c r="AO13" s="399">
        <f t="shared" si="5"/>
        <v>3</v>
      </c>
      <c r="AP13" s="367"/>
      <c r="AQ13" s="367"/>
      <c r="AR13" s="367"/>
    </row>
    <row r="14">
      <c r="A14" s="385">
        <v>9.0</v>
      </c>
      <c r="B14" s="401" t="s">
        <v>2104</v>
      </c>
      <c r="C14" s="401" t="s">
        <v>3014</v>
      </c>
      <c r="D14" s="402" t="str">
        <f>VLOOKUP(B14,USN!$1:$1088,2,FALSE)</f>
        <v>1CR23CD009</v>
      </c>
      <c r="E14" s="401">
        <v>7.00472239E9</v>
      </c>
      <c r="F14" s="401" t="s">
        <v>3743</v>
      </c>
      <c r="G14" s="387"/>
      <c r="H14" s="403">
        <v>77.0</v>
      </c>
      <c r="I14" s="403">
        <v>75.0</v>
      </c>
      <c r="J14" s="389">
        <f>VLOOKUP(D14,'L3'!$1:$2060,2,FALSE)</f>
        <v>71</v>
      </c>
      <c r="K14" s="389">
        <f>VLOOKUP(D14,'L4'!$1:$2059,2,FALSE)</f>
        <v>84</v>
      </c>
      <c r="L14" s="390">
        <f>VLOOKUP(D14,'A1 RETEST 5 DEC'!$1:$2096,2,FALSE)</f>
        <v>57</v>
      </c>
      <c r="M14" s="390">
        <f>VLOOKUP(D14,'A2 RETEST 4 DEC'!$1:$2096,2,FALSE)</f>
        <v>54</v>
      </c>
      <c r="N14" s="404">
        <v>50.0</v>
      </c>
      <c r="O14" s="390"/>
      <c r="P14" s="391">
        <f>IFNA(vlookup(D14,'S1'!$1:$1325,2,0),0)</f>
        <v>73</v>
      </c>
      <c r="Q14" s="391">
        <f>vlookup(D14,'S2'!A10:B1212,2,0)</f>
        <v>55</v>
      </c>
      <c r="R14" s="391">
        <f>ifna(vlookup(D14,'S3'!$1:$1311,2,False),0)</f>
        <v>74</v>
      </c>
      <c r="S14" s="391"/>
      <c r="T14" s="405">
        <v>17.0</v>
      </c>
      <c r="U14" s="392">
        <v>17.0</v>
      </c>
      <c r="V14" s="393">
        <v>90.0</v>
      </c>
      <c r="W14" s="393">
        <v>84.0</v>
      </c>
      <c r="X14" s="406">
        <v>80.0</v>
      </c>
      <c r="Y14" s="392"/>
      <c r="Z14" s="407"/>
      <c r="AA14" s="408">
        <v>94.0</v>
      </c>
      <c r="AB14" s="409">
        <v>84.0</v>
      </c>
      <c r="AC14" s="410">
        <v>100.0</v>
      </c>
      <c r="AD14" s="395">
        <v>80.0</v>
      </c>
      <c r="AE14" s="396">
        <v>73.0</v>
      </c>
      <c r="AF14" s="398"/>
      <c r="AG14" s="398">
        <v>76.0</v>
      </c>
      <c r="AH14" s="398"/>
      <c r="AI14" s="398"/>
      <c r="AJ14" s="398"/>
      <c r="AK14" s="399">
        <f t="shared" si="1"/>
        <v>4</v>
      </c>
      <c r="AL14" s="399">
        <f t="shared" si="2"/>
        <v>3</v>
      </c>
      <c r="AM14" s="400">
        <f t="shared" si="3"/>
        <v>3</v>
      </c>
      <c r="AN14" s="399" t="str">
        <f t="shared" si="4"/>
        <v>3.5</v>
      </c>
      <c r="AO14" s="399">
        <f t="shared" si="5"/>
        <v>3</v>
      </c>
      <c r="AP14" s="367"/>
      <c r="AQ14" s="367"/>
      <c r="AR14" s="367"/>
    </row>
    <row r="15">
      <c r="A15" s="385">
        <v>10.0</v>
      </c>
      <c r="B15" s="401" t="s">
        <v>2161</v>
      </c>
      <c r="C15" s="401" t="s">
        <v>3015</v>
      </c>
      <c r="D15" s="402" t="str">
        <f>VLOOKUP(B15,USN!$1:$1088,2,FALSE)</f>
        <v>1CR23CD010</v>
      </c>
      <c r="E15" s="401">
        <v>6.363501118E9</v>
      </c>
      <c r="F15" s="401" t="s">
        <v>3746</v>
      </c>
      <c r="G15" s="387"/>
      <c r="H15" s="403">
        <v>88.0</v>
      </c>
      <c r="I15" s="403">
        <v>87.0</v>
      </c>
      <c r="J15" s="389">
        <f>VLOOKUP(D15,'L3'!$1:$2060,2,FALSE)</f>
        <v>72</v>
      </c>
      <c r="K15" s="389">
        <f>VLOOKUP(D15,'L4'!$1:$2059,2,FALSE)</f>
        <v>78</v>
      </c>
      <c r="L15" s="390">
        <f>VLOOKUP(D15,'A1 RETEST 5 DEC'!$1:$2096,2,FALSE)</f>
        <v>68</v>
      </c>
      <c r="M15" s="390">
        <f>VLOOKUP(D15,'A2 RETEST 4 DEC'!$1:$2096,2,FALSE)</f>
        <v>52</v>
      </c>
      <c r="N15" s="404">
        <v>55.0</v>
      </c>
      <c r="O15" s="390"/>
      <c r="P15" s="391">
        <f>IFNA(vlookup(D15,'S1'!$1:$1325,2,0),0)</f>
        <v>70</v>
      </c>
      <c r="Q15" s="391">
        <f>vlookup(D15,'S2'!A11:B1213,2,0)</f>
        <v>80</v>
      </c>
      <c r="R15" s="391">
        <f>ifna(vlookup(D15,'S3'!$1:$1311,2,False),0)</f>
        <v>90</v>
      </c>
      <c r="S15" s="391"/>
      <c r="T15" s="392">
        <v>13.0</v>
      </c>
      <c r="U15" s="392">
        <v>17.0</v>
      </c>
      <c r="V15" s="393">
        <v>84.0</v>
      </c>
      <c r="W15" s="393">
        <v>82.0</v>
      </c>
      <c r="X15" s="406">
        <v>86.0</v>
      </c>
      <c r="Y15" s="392"/>
      <c r="Z15" s="407"/>
      <c r="AA15" s="408">
        <v>95.0</v>
      </c>
      <c r="AB15" s="409">
        <v>100.0</v>
      </c>
      <c r="AC15" s="410">
        <v>73.0</v>
      </c>
      <c r="AD15" s="395">
        <v>70.0</v>
      </c>
      <c r="AE15" s="396">
        <v>84.0</v>
      </c>
      <c r="AF15" s="398"/>
      <c r="AG15" s="398">
        <v>81.0</v>
      </c>
      <c r="AH15" s="398"/>
      <c r="AI15" s="398"/>
      <c r="AJ15" s="398"/>
      <c r="AK15" s="399">
        <f t="shared" si="1"/>
        <v>4</v>
      </c>
      <c r="AL15" s="399">
        <f t="shared" si="2"/>
        <v>3</v>
      </c>
      <c r="AM15" s="400">
        <f t="shared" si="3"/>
        <v>3</v>
      </c>
      <c r="AN15" s="399" t="str">
        <f t="shared" si="4"/>
        <v>3.5</v>
      </c>
      <c r="AO15" s="399">
        <f t="shared" si="5"/>
        <v>3</v>
      </c>
      <c r="AP15" s="367"/>
      <c r="AQ15" s="367"/>
      <c r="AR15" s="367"/>
    </row>
    <row r="16">
      <c r="A16" s="385">
        <v>11.0</v>
      </c>
      <c r="B16" s="401" t="s">
        <v>2105</v>
      </c>
      <c r="C16" s="401" t="s">
        <v>3016</v>
      </c>
      <c r="D16" s="402" t="str">
        <f>VLOOKUP(B16,USN!$1:$1088,2,FALSE)</f>
        <v>1CR23CD011</v>
      </c>
      <c r="E16" s="401">
        <v>9.430855605E9</v>
      </c>
      <c r="F16" s="401" t="s">
        <v>3743</v>
      </c>
      <c r="G16" s="387"/>
      <c r="H16" s="403">
        <v>81.0</v>
      </c>
      <c r="I16" s="403">
        <v>88.0</v>
      </c>
      <c r="J16" s="389">
        <f>VLOOKUP(D16,'L3'!$1:$2060,2,FALSE)</f>
        <v>70</v>
      </c>
      <c r="K16" s="389">
        <f>VLOOKUP(D16,'L4'!$1:$2059,2,FALSE)</f>
        <v>70</v>
      </c>
      <c r="L16" s="390">
        <f>VLOOKUP(D16,'A1 RETEST 5 DEC'!$1:$2096,2,FALSE)</f>
        <v>58</v>
      </c>
      <c r="M16" s="390">
        <f>VLOOKUP(D16,'A2 RETEST 4 DEC'!$1:$2096,2,FALSE)</f>
        <v>50</v>
      </c>
      <c r="N16" s="404">
        <v>52.0</v>
      </c>
      <c r="O16" s="390"/>
      <c r="P16" s="391">
        <f>IFNA(vlookup(D16,'S1'!$1:$1325,2,0),0)</f>
        <v>50</v>
      </c>
      <c r="Q16" s="391">
        <f>vlookup(D16,'S2'!A12:B1214,2,0)</f>
        <v>50</v>
      </c>
      <c r="R16" s="391">
        <f>ifna(vlookup(D16,'S3'!$1:$1311,2,False),0)</f>
        <v>90</v>
      </c>
      <c r="S16" s="391"/>
      <c r="T16" s="405">
        <v>19.0</v>
      </c>
      <c r="U16" s="392">
        <v>18.0</v>
      </c>
      <c r="V16" s="393">
        <v>84.0</v>
      </c>
      <c r="W16" s="393">
        <v>74.0</v>
      </c>
      <c r="X16" s="406">
        <v>72.0</v>
      </c>
      <c r="Y16" s="392"/>
      <c r="Z16" s="407"/>
      <c r="AA16" s="408">
        <v>100.0</v>
      </c>
      <c r="AB16" s="409">
        <v>85.0</v>
      </c>
      <c r="AC16" s="410">
        <v>44.0</v>
      </c>
      <c r="AD16" s="395">
        <v>85.0</v>
      </c>
      <c r="AE16" s="396">
        <v>78.0</v>
      </c>
      <c r="AF16" s="398"/>
      <c r="AG16" s="398">
        <v>75.0</v>
      </c>
      <c r="AH16" s="398"/>
      <c r="AI16" s="398"/>
      <c r="AJ16" s="398"/>
      <c r="AK16" s="399">
        <f t="shared" si="1"/>
        <v>4</v>
      </c>
      <c r="AL16" s="399">
        <f t="shared" si="2"/>
        <v>3</v>
      </c>
      <c r="AM16" s="400">
        <f t="shared" si="3"/>
        <v>3</v>
      </c>
      <c r="AN16" s="399" t="str">
        <f t="shared" si="4"/>
        <v>3.5</v>
      </c>
      <c r="AO16" s="399">
        <f t="shared" si="5"/>
        <v>3</v>
      </c>
      <c r="AP16" s="367"/>
      <c r="AQ16" s="367"/>
      <c r="AR16" s="367"/>
    </row>
    <row r="17">
      <c r="A17" s="385">
        <v>12.0</v>
      </c>
      <c r="B17" s="401" t="s">
        <v>2162</v>
      </c>
      <c r="C17" s="401" t="s">
        <v>3747</v>
      </c>
      <c r="D17" s="402" t="str">
        <f>VLOOKUP(B17,USN!$1:$1088,2,FALSE)</f>
        <v>1CR23CD012</v>
      </c>
      <c r="E17" s="401" t="s">
        <v>3748</v>
      </c>
      <c r="F17" s="401" t="s">
        <v>3743</v>
      </c>
      <c r="G17" s="387"/>
      <c r="H17" s="403">
        <v>81.0</v>
      </c>
      <c r="I17" s="403">
        <v>80.0</v>
      </c>
      <c r="J17" s="389">
        <f>VLOOKUP(D17,'L3'!$1:$2060,2,FALSE)</f>
        <v>70</v>
      </c>
      <c r="K17" s="389">
        <f>VLOOKUP(D17,'L4'!$1:$2059,2,FALSE)</f>
        <v>70</v>
      </c>
      <c r="L17" s="390">
        <f>VLOOKUP(D17,'A1 RETEST 5 DEC'!$1:$2096,2,FALSE)</f>
        <v>50</v>
      </c>
      <c r="M17" s="390">
        <f>VLOOKUP(D17,'A2 RETEST 4 DEC'!$1:$2096,2,FALSE)</f>
        <v>1</v>
      </c>
      <c r="N17" s="404">
        <v>0.0</v>
      </c>
      <c r="O17" s="390"/>
      <c r="P17" s="391">
        <f>IFNA(vlookup(D17,'S1'!$1:$1325,2,0),0)</f>
        <v>0</v>
      </c>
      <c r="Q17" s="391">
        <f>vlookup(D17,'S2'!A13:B1215,2,0)</f>
        <v>0</v>
      </c>
      <c r="R17" s="391">
        <f>ifna(vlookup(D17,'S3'!$1:$1311,2,False),0)</f>
        <v>0</v>
      </c>
      <c r="S17" s="391"/>
      <c r="T17" s="392">
        <v>19.0</v>
      </c>
      <c r="U17" s="392">
        <v>17.0</v>
      </c>
      <c r="V17" s="393">
        <v>46.0</v>
      </c>
      <c r="W17" s="393">
        <v>78.0</v>
      </c>
      <c r="X17" s="406">
        <v>0.0</v>
      </c>
      <c r="Y17" s="392"/>
      <c r="Z17" s="407"/>
      <c r="AA17" s="408">
        <v>41.0</v>
      </c>
      <c r="AB17" s="409">
        <v>74.0</v>
      </c>
      <c r="AC17" s="410">
        <v>79.0</v>
      </c>
      <c r="AD17" s="395">
        <v>70.0</v>
      </c>
      <c r="AE17" s="396">
        <v>10.0</v>
      </c>
      <c r="AF17" s="398"/>
      <c r="AG17" s="398">
        <v>0.0</v>
      </c>
      <c r="AH17" s="398"/>
      <c r="AI17" s="398"/>
      <c r="AJ17" s="398"/>
      <c r="AK17" s="399">
        <f t="shared" si="1"/>
        <v>4</v>
      </c>
      <c r="AL17" s="399">
        <f t="shared" si="2"/>
        <v>1</v>
      </c>
      <c r="AM17" s="400">
        <f t="shared" si="3"/>
        <v>3</v>
      </c>
      <c r="AN17" s="399" t="str">
        <f t="shared" si="4"/>
        <v>3</v>
      </c>
      <c r="AO17" s="399">
        <f t="shared" si="5"/>
        <v>0</v>
      </c>
      <c r="AP17" s="367"/>
      <c r="AQ17" s="367"/>
      <c r="AR17" s="367"/>
    </row>
    <row r="18">
      <c r="A18" s="385">
        <v>13.0</v>
      </c>
      <c r="B18" s="401" t="s">
        <v>2106</v>
      </c>
      <c r="C18" s="401" t="s">
        <v>3018</v>
      </c>
      <c r="D18" s="402" t="str">
        <f>VLOOKUP(B18,USN!$1:$1088,2,FALSE)</f>
        <v>1CR23CD013</v>
      </c>
      <c r="E18" s="401">
        <v>6.366016741E9</v>
      </c>
      <c r="F18" s="401" t="s">
        <v>3743</v>
      </c>
      <c r="G18" s="387"/>
      <c r="H18" s="403">
        <v>80.0</v>
      </c>
      <c r="I18" s="403">
        <v>77.0</v>
      </c>
      <c r="J18" s="389">
        <f>VLOOKUP(D18,'L3'!$1:$2060,2,FALSE)</f>
        <v>51</v>
      </c>
      <c r="K18" s="389">
        <f>VLOOKUP(D18,'L4'!$1:$2059,2,FALSE)</f>
        <v>29</v>
      </c>
      <c r="L18" s="390">
        <f>VLOOKUP(D18,'A1 RETEST 5 DEC'!$1:$2096,2,FALSE)</f>
        <v>35</v>
      </c>
      <c r="M18" s="390">
        <f>VLOOKUP(D18,'A2 RETEST 4 DEC'!$1:$2096,2,FALSE)</f>
        <v>0</v>
      </c>
      <c r="N18" s="404">
        <v>0.0</v>
      </c>
      <c r="O18" s="390"/>
      <c r="P18" s="391">
        <f>IFNA(vlookup(D18,'S1'!$1:$1325,2,0),0)</f>
        <v>0</v>
      </c>
      <c r="Q18" s="391">
        <f>vlookup(D18,'S2'!A14:B1216,2,0)</f>
        <v>0</v>
      </c>
      <c r="R18" s="391">
        <f>ifna(vlookup(D18,'S3'!$1:$1311,2,False),0)</f>
        <v>0</v>
      </c>
      <c r="S18" s="391"/>
      <c r="T18" s="405">
        <v>11.0</v>
      </c>
      <c r="U18" s="392">
        <v>18.0</v>
      </c>
      <c r="V18" s="392" t="s">
        <v>3716</v>
      </c>
      <c r="W18" s="393" t="s">
        <v>3716</v>
      </c>
      <c r="X18" s="406">
        <v>80.0</v>
      </c>
      <c r="Y18" s="392"/>
      <c r="Z18" s="407"/>
      <c r="AA18" s="408">
        <v>56.0</v>
      </c>
      <c r="AB18" s="409">
        <v>98.0</v>
      </c>
      <c r="AC18" s="410">
        <v>0.0</v>
      </c>
      <c r="AD18" s="395">
        <v>0.0</v>
      </c>
      <c r="AE18" s="396">
        <v>10.0</v>
      </c>
      <c r="AF18" s="398"/>
      <c r="AG18" s="398">
        <v>0.0</v>
      </c>
      <c r="AH18" s="398"/>
      <c r="AI18" s="398"/>
      <c r="AJ18" s="398"/>
      <c r="AK18" s="399">
        <f t="shared" si="1"/>
        <v>2</v>
      </c>
      <c r="AL18" s="399">
        <f t="shared" si="2"/>
        <v>0</v>
      </c>
      <c r="AM18" s="400">
        <f t="shared" si="3"/>
        <v>3</v>
      </c>
      <c r="AN18" s="399" t="str">
        <f t="shared" si="4"/>
        <v>2</v>
      </c>
      <c r="AO18" s="399">
        <f t="shared" si="5"/>
        <v>0</v>
      </c>
      <c r="AP18" s="367"/>
      <c r="AQ18" s="367"/>
      <c r="AR18" s="367"/>
    </row>
    <row r="19">
      <c r="A19" s="385">
        <v>14.0</v>
      </c>
      <c r="B19" s="401" t="s">
        <v>2122</v>
      </c>
      <c r="C19" s="401" t="s">
        <v>3019</v>
      </c>
      <c r="D19" s="402" t="str">
        <f>VLOOKUP(B19,USN!$1:$1088,2,FALSE)</f>
        <v>1CR23CD014</v>
      </c>
      <c r="E19" s="401">
        <v>8.778036377E9</v>
      </c>
      <c r="F19" s="401" t="s">
        <v>3743</v>
      </c>
      <c r="G19" s="387"/>
      <c r="H19" s="403">
        <v>89.0</v>
      </c>
      <c r="I19" s="403">
        <v>87.0</v>
      </c>
      <c r="J19" s="389">
        <f>VLOOKUP(D19,'L3'!$1:$2060,2,FALSE)</f>
        <v>71</v>
      </c>
      <c r="K19" s="389">
        <f>VLOOKUP(D19,'L4'!$1:$2059,2,FALSE)</f>
        <v>78</v>
      </c>
      <c r="L19" s="390">
        <f>VLOOKUP(D19,'A1 RETEST 5 DEC'!$1:$2096,2,FALSE)</f>
        <v>50</v>
      </c>
      <c r="M19" s="390">
        <f>VLOOKUP(D19,'A2 RETEST 4 DEC'!$1:$2096,2,FALSE)</f>
        <v>50</v>
      </c>
      <c r="N19" s="404">
        <v>52.0</v>
      </c>
      <c r="O19" s="390"/>
      <c r="P19" s="391">
        <f>IFNA(vlookup(D19,'S1'!$1:$1325,2,0),0)</f>
        <v>50</v>
      </c>
      <c r="Q19" s="391">
        <f>vlookup(D19,'S2'!A15:B1217,2,0)</f>
        <v>72</v>
      </c>
      <c r="R19" s="391">
        <f>ifna(vlookup(D19,'S3'!$1:$1311,2,False),0)</f>
        <v>89</v>
      </c>
      <c r="S19" s="391"/>
      <c r="T19" s="405">
        <v>15.0</v>
      </c>
      <c r="U19" s="392">
        <v>21.0</v>
      </c>
      <c r="V19" s="393">
        <v>82.0</v>
      </c>
      <c r="W19" s="393">
        <v>86.0</v>
      </c>
      <c r="X19" s="406">
        <v>76.0</v>
      </c>
      <c r="Y19" s="392"/>
      <c r="Z19" s="407"/>
      <c r="AA19" s="408">
        <v>100.0</v>
      </c>
      <c r="AB19" s="409">
        <v>97.0</v>
      </c>
      <c r="AC19" s="410">
        <v>100.0</v>
      </c>
      <c r="AD19" s="395">
        <v>60.0</v>
      </c>
      <c r="AE19" s="396">
        <v>83.0</v>
      </c>
      <c r="AF19" s="398"/>
      <c r="AG19" s="398">
        <v>83.0</v>
      </c>
      <c r="AH19" s="398"/>
      <c r="AI19" s="398"/>
      <c r="AJ19" s="398"/>
      <c r="AK19" s="399">
        <f t="shared" si="1"/>
        <v>4</v>
      </c>
      <c r="AL19" s="399">
        <f t="shared" si="2"/>
        <v>3</v>
      </c>
      <c r="AM19" s="400">
        <f t="shared" si="3"/>
        <v>3</v>
      </c>
      <c r="AN19" s="399" t="str">
        <f t="shared" si="4"/>
        <v>3.5</v>
      </c>
      <c r="AO19" s="399">
        <f t="shared" si="5"/>
        <v>3</v>
      </c>
      <c r="AP19" s="367"/>
      <c r="AQ19" s="367"/>
      <c r="AR19" s="367"/>
    </row>
    <row r="20">
      <c r="A20" s="385">
        <v>15.0</v>
      </c>
      <c r="B20" s="401" t="s">
        <v>2107</v>
      </c>
      <c r="C20" s="401" t="s">
        <v>3020</v>
      </c>
      <c r="D20" s="402" t="str">
        <f>VLOOKUP(B20,USN!$1:$1088,2,FALSE)</f>
        <v>1CR23CD015</v>
      </c>
      <c r="E20" s="401">
        <v>7.499382831E9</v>
      </c>
      <c r="F20" s="401" t="s">
        <v>3743</v>
      </c>
      <c r="G20" s="387"/>
      <c r="H20" s="403">
        <v>80.0</v>
      </c>
      <c r="I20" s="403">
        <v>87.0</v>
      </c>
      <c r="J20" s="389">
        <f>VLOOKUP(D20,'L3'!$1:$2060,2,FALSE)</f>
        <v>70</v>
      </c>
      <c r="K20" s="389">
        <f>VLOOKUP(D20,'L4'!$1:$2059,2,FALSE)</f>
        <v>70</v>
      </c>
      <c r="L20" s="390">
        <f>VLOOKUP(D20,'A1 RETEST 5 DEC'!$1:$2096,2,FALSE)</f>
        <v>71</v>
      </c>
      <c r="M20" s="390">
        <f>VLOOKUP(D20,'A2 RETEST 4 DEC'!$1:$2096,2,FALSE)</f>
        <v>53</v>
      </c>
      <c r="N20" s="404">
        <v>61.0</v>
      </c>
      <c r="O20" s="390"/>
      <c r="P20" s="391">
        <f>IFNA(vlookup(D20,'S1'!$1:$1325,2,0),0)</f>
        <v>50</v>
      </c>
      <c r="Q20" s="391">
        <f>vlookup(D20,'S2'!A16:B1218,2,0)</f>
        <v>0</v>
      </c>
      <c r="R20" s="391">
        <f>ifna(vlookup(D20,'S3'!$1:$1311,2,False),0)</f>
        <v>0</v>
      </c>
      <c r="S20" s="391"/>
      <c r="T20" s="405">
        <v>13.0</v>
      </c>
      <c r="U20" s="392">
        <v>16.0</v>
      </c>
      <c r="V20" s="393">
        <v>74.0</v>
      </c>
      <c r="W20" s="393">
        <v>72.0</v>
      </c>
      <c r="X20" s="406">
        <v>76.0</v>
      </c>
      <c r="Y20" s="392"/>
      <c r="Z20" s="407"/>
      <c r="AA20" s="408">
        <v>66.0</v>
      </c>
      <c r="AB20" s="409">
        <v>68.0</v>
      </c>
      <c r="AC20" s="410">
        <v>79.0</v>
      </c>
      <c r="AD20" s="395">
        <v>17.0</v>
      </c>
      <c r="AE20" s="396">
        <v>56.0</v>
      </c>
      <c r="AF20" s="398"/>
      <c r="AG20" s="398">
        <v>78.0</v>
      </c>
      <c r="AH20" s="398"/>
      <c r="AI20" s="398"/>
      <c r="AJ20" s="398"/>
      <c r="AK20" s="399">
        <f t="shared" si="1"/>
        <v>4</v>
      </c>
      <c r="AL20" s="399">
        <f t="shared" si="2"/>
        <v>3</v>
      </c>
      <c r="AM20" s="400">
        <f t="shared" si="3"/>
        <v>3</v>
      </c>
      <c r="AN20" s="399" t="str">
        <f t="shared" si="4"/>
        <v>3</v>
      </c>
      <c r="AO20" s="399">
        <f t="shared" si="5"/>
        <v>1</v>
      </c>
      <c r="AP20" s="367"/>
      <c r="AQ20" s="367"/>
      <c r="AR20" s="367"/>
    </row>
    <row r="21">
      <c r="A21" s="385">
        <v>16.0</v>
      </c>
      <c r="B21" s="401" t="s">
        <v>2155</v>
      </c>
      <c r="C21" s="401" t="s">
        <v>3021</v>
      </c>
      <c r="D21" s="402" t="str">
        <f>VLOOKUP(B21,USN!$1:$1088,2,FALSE)</f>
        <v>1CR23CD016</v>
      </c>
      <c r="E21" s="401">
        <v>8.277674105E9</v>
      </c>
      <c r="F21" s="401" t="s">
        <v>3743</v>
      </c>
      <c r="G21" s="387"/>
      <c r="H21" s="403">
        <v>77.0</v>
      </c>
      <c r="I21" s="403">
        <v>81.0</v>
      </c>
      <c r="J21" s="389">
        <f>VLOOKUP(D21,'L3'!$1:$2060,2,FALSE)</f>
        <v>70</v>
      </c>
      <c r="K21" s="389">
        <f>VLOOKUP(D21,'L4'!$1:$2059,2,FALSE)</f>
        <v>70</v>
      </c>
      <c r="L21" s="390">
        <f>VLOOKUP(D21,'A1 RETEST 5 DEC'!$1:$2096,2,FALSE)</f>
        <v>50</v>
      </c>
      <c r="M21" s="390">
        <f>VLOOKUP(D21,'A2 RETEST 4 DEC'!$1:$2096,2,FALSE)</f>
        <v>53</v>
      </c>
      <c r="N21" s="404">
        <v>12.0</v>
      </c>
      <c r="O21" s="390"/>
      <c r="P21" s="391">
        <f>IFNA(vlookup(D21,'S1'!$1:$1325,2,0),0)</f>
        <v>70</v>
      </c>
      <c r="Q21" s="391">
        <f>vlookup(D21,'S2'!A17:B1219,2,0)</f>
        <v>60</v>
      </c>
      <c r="R21" s="391">
        <f>ifna(vlookup(D21,'S3'!$1:$1311,2,False),0)</f>
        <v>90</v>
      </c>
      <c r="S21" s="391"/>
      <c r="T21" s="392">
        <v>20.0</v>
      </c>
      <c r="U21" s="392">
        <v>13.0</v>
      </c>
      <c r="V21" s="393">
        <v>88.0</v>
      </c>
      <c r="W21" s="393">
        <v>76.0</v>
      </c>
      <c r="X21" s="406">
        <v>82.0</v>
      </c>
      <c r="Y21" s="392"/>
      <c r="Z21" s="407"/>
      <c r="AA21" s="408">
        <v>52.0</v>
      </c>
      <c r="AB21" s="409">
        <v>70.0</v>
      </c>
      <c r="AC21" s="410">
        <v>38.0</v>
      </c>
      <c r="AD21" s="395">
        <v>85.0</v>
      </c>
      <c r="AE21" s="396">
        <v>35.0</v>
      </c>
      <c r="AF21" s="398"/>
      <c r="AG21" s="398">
        <v>0.0</v>
      </c>
      <c r="AH21" s="398"/>
      <c r="AI21" s="398"/>
      <c r="AJ21" s="398"/>
      <c r="AK21" s="399">
        <f t="shared" si="1"/>
        <v>4</v>
      </c>
      <c r="AL21" s="399">
        <f t="shared" si="2"/>
        <v>2</v>
      </c>
      <c r="AM21" s="400">
        <f t="shared" si="3"/>
        <v>3</v>
      </c>
      <c r="AN21" s="399" t="str">
        <f t="shared" si="4"/>
        <v>3</v>
      </c>
      <c r="AO21" s="399">
        <f t="shared" si="5"/>
        <v>3</v>
      </c>
      <c r="AP21" s="367"/>
      <c r="AQ21" s="367"/>
      <c r="AR21" s="367"/>
    </row>
    <row r="22">
      <c r="A22" s="385">
        <v>17.0</v>
      </c>
      <c r="B22" s="401" t="s">
        <v>2160</v>
      </c>
      <c r="C22" s="411" t="s">
        <v>3022</v>
      </c>
      <c r="D22" s="402" t="str">
        <f>VLOOKUP(B22,USN!$1:$1088,2,FALSE)</f>
        <v>1CR23CD017</v>
      </c>
      <c r="E22" s="401">
        <v>7.01915137E9</v>
      </c>
      <c r="F22" s="401" t="s">
        <v>3743</v>
      </c>
      <c r="G22" s="387"/>
      <c r="H22" s="403">
        <v>86.0</v>
      </c>
      <c r="I22" s="403">
        <v>82.0</v>
      </c>
      <c r="J22" s="389">
        <f>VLOOKUP(D22,'L3'!$1:$2060,2,FALSE)</f>
        <v>70</v>
      </c>
      <c r="K22" s="389">
        <f>VLOOKUP(D22,'L4'!$1:$2059,2,FALSE)</f>
        <v>84</v>
      </c>
      <c r="L22" s="390">
        <f>VLOOKUP(D22,'A1 RETEST 5 DEC'!$1:$2096,2,FALSE)</f>
        <v>61</v>
      </c>
      <c r="M22" s="390">
        <f>VLOOKUP(D22,'A2 RETEST 4 DEC'!$1:$2096,2,FALSE)</f>
        <v>50</v>
      </c>
      <c r="N22" s="404">
        <v>50.0</v>
      </c>
      <c r="O22" s="390"/>
      <c r="P22" s="391">
        <f>IFNA(vlookup(D22,'S1'!$1:$1325,2,0),0)</f>
        <v>73</v>
      </c>
      <c r="Q22" s="391">
        <f>vlookup(D22,'S2'!A18:B1220,2,0)</f>
        <v>72</v>
      </c>
      <c r="R22" s="391">
        <f>ifna(vlookup(D22,'S3'!$1:$1311,2,False),0)</f>
        <v>89</v>
      </c>
      <c r="S22" s="391"/>
      <c r="T22" s="392">
        <v>15.0</v>
      </c>
      <c r="U22" s="392">
        <v>16.0</v>
      </c>
      <c r="V22" s="393">
        <v>74.0</v>
      </c>
      <c r="W22" s="393">
        <v>70.0</v>
      </c>
      <c r="X22" s="406">
        <v>84.0</v>
      </c>
      <c r="Y22" s="392"/>
      <c r="Z22" s="407"/>
      <c r="AA22" s="408">
        <v>82.0</v>
      </c>
      <c r="AB22" s="409">
        <v>82.0</v>
      </c>
      <c r="AC22" s="410">
        <v>77.0</v>
      </c>
      <c r="AD22" s="395">
        <v>85.0</v>
      </c>
      <c r="AE22" s="396">
        <v>77.0</v>
      </c>
      <c r="AF22" s="398"/>
      <c r="AG22" s="397">
        <v>70.0</v>
      </c>
      <c r="AH22" s="398"/>
      <c r="AI22" s="398"/>
      <c r="AJ22" s="398"/>
      <c r="AK22" s="399">
        <f t="shared" si="1"/>
        <v>4</v>
      </c>
      <c r="AL22" s="399">
        <f t="shared" si="2"/>
        <v>3</v>
      </c>
      <c r="AM22" s="400">
        <f t="shared" si="3"/>
        <v>3</v>
      </c>
      <c r="AN22" s="399" t="str">
        <f t="shared" si="4"/>
        <v>3.5</v>
      </c>
      <c r="AO22" s="399">
        <f t="shared" si="5"/>
        <v>3</v>
      </c>
      <c r="AP22" s="367"/>
      <c r="AQ22" s="367"/>
      <c r="AR22" s="367"/>
    </row>
    <row r="23">
      <c r="A23" s="385">
        <v>18.0</v>
      </c>
      <c r="B23" s="401" t="s">
        <v>2156</v>
      </c>
      <c r="C23" s="401" t="s">
        <v>3023</v>
      </c>
      <c r="D23" s="402" t="str">
        <f>VLOOKUP(B23,USN!$1:$1088,2,FALSE)</f>
        <v>1CR23CD018</v>
      </c>
      <c r="E23" s="401">
        <v>9.008116618E9</v>
      </c>
      <c r="F23" s="401" t="s">
        <v>3743</v>
      </c>
      <c r="G23" s="387"/>
      <c r="H23" s="403">
        <v>84.0</v>
      </c>
      <c r="I23" s="403">
        <v>78.0</v>
      </c>
      <c r="J23" s="389">
        <f>VLOOKUP(D23,'L3'!$1:$2060,2,FALSE)</f>
        <v>28</v>
      </c>
      <c r="K23" s="389">
        <f>VLOOKUP(D23,'L4'!$1:$2059,2,FALSE)</f>
        <v>4</v>
      </c>
      <c r="L23" s="390">
        <f>VLOOKUP(D23,'A1 RETEST 5 DEC'!$1:$2096,2,FALSE)</f>
        <v>50</v>
      </c>
      <c r="M23" s="390">
        <f>VLOOKUP(D23,'A2 RETEST 4 DEC'!$1:$2096,2,FALSE)</f>
        <v>0</v>
      </c>
      <c r="N23" s="404">
        <v>0.0</v>
      </c>
      <c r="O23" s="390"/>
      <c r="P23" s="391">
        <f>IFNA(vlookup(D23,'S1'!$1:$1325,2,0),0)</f>
        <v>0</v>
      </c>
      <c r="Q23" s="391">
        <f>vlookup(D23,'S2'!A19:B1221,2,0)</f>
        <v>0</v>
      </c>
      <c r="R23" s="391">
        <f>ifna(vlookup(D23,'S3'!$1:$1311,2,False),0)</f>
        <v>0</v>
      </c>
      <c r="S23" s="391"/>
      <c r="T23" s="392">
        <v>15.0</v>
      </c>
      <c r="U23" s="392">
        <v>15.0</v>
      </c>
      <c r="V23" s="393">
        <v>42.0</v>
      </c>
      <c r="W23" s="393" t="s">
        <v>3716</v>
      </c>
      <c r="X23" s="406">
        <v>0.0</v>
      </c>
      <c r="Y23" s="392"/>
      <c r="Z23" s="407"/>
      <c r="AA23" s="408">
        <v>24.0</v>
      </c>
      <c r="AB23" s="409">
        <v>75.0</v>
      </c>
      <c r="AC23" s="410">
        <v>0.0</v>
      </c>
      <c r="AD23" s="395">
        <v>0.0</v>
      </c>
      <c r="AE23" s="396">
        <v>14.0</v>
      </c>
      <c r="AF23" s="398"/>
      <c r="AG23" s="398">
        <v>0.0</v>
      </c>
      <c r="AH23" s="398"/>
      <c r="AI23" s="398"/>
      <c r="AJ23" s="398"/>
      <c r="AK23" s="399">
        <f t="shared" si="1"/>
        <v>2</v>
      </c>
      <c r="AL23" s="399">
        <f t="shared" si="2"/>
        <v>1</v>
      </c>
      <c r="AM23" s="400">
        <f t="shared" si="3"/>
        <v>3</v>
      </c>
      <c r="AN23" s="399" t="str">
        <f t="shared" si="4"/>
        <v>2</v>
      </c>
      <c r="AO23" s="399">
        <f t="shared" si="5"/>
        <v>0</v>
      </c>
      <c r="AP23" s="367"/>
      <c r="AQ23" s="367"/>
      <c r="AR23" s="367"/>
    </row>
    <row r="24">
      <c r="A24" s="385">
        <v>19.0</v>
      </c>
      <c r="B24" s="401" t="s">
        <v>2108</v>
      </c>
      <c r="C24" s="401" t="s">
        <v>3024</v>
      </c>
      <c r="D24" s="402" t="str">
        <f>VLOOKUP(B24,USN!$1:$1088,2,FALSE)</f>
        <v>1CR23CD019</v>
      </c>
      <c r="E24" s="401">
        <v>9.060636207E9</v>
      </c>
      <c r="F24" s="401" t="s">
        <v>3743</v>
      </c>
      <c r="G24" s="387"/>
      <c r="H24" s="403">
        <v>80.0</v>
      </c>
      <c r="I24" s="403">
        <v>74.0</v>
      </c>
      <c r="J24" s="389">
        <f>VLOOKUP(D24,'L3'!$1:$2060,2,FALSE)</f>
        <v>70</v>
      </c>
      <c r="K24" s="389">
        <f>VLOOKUP(D24,'L4'!$1:$2059,2,FALSE)</f>
        <v>72</v>
      </c>
      <c r="L24" s="390">
        <f>VLOOKUP(D24,'A1 RETEST 5 DEC'!$1:$2096,2,FALSE)</f>
        <v>50</v>
      </c>
      <c r="M24" s="390">
        <f>VLOOKUP(D24,'A2 RETEST 4 DEC'!$1:$2096,2,FALSE)</f>
        <v>50</v>
      </c>
      <c r="N24" s="404">
        <v>50.0</v>
      </c>
      <c r="O24" s="390"/>
      <c r="P24" s="391">
        <f>IFNA(vlookup(D24,'S1'!$1:$1325,2,0),0)</f>
        <v>73</v>
      </c>
      <c r="Q24" s="391">
        <f>vlookup(D24,'S2'!A20:B1222,2,0)</f>
        <v>60</v>
      </c>
      <c r="R24" s="391">
        <f>ifna(vlookup(D24,'S3'!$1:$1311,2,False),0)</f>
        <v>50</v>
      </c>
      <c r="S24" s="391"/>
      <c r="T24" s="405">
        <v>12.0</v>
      </c>
      <c r="U24" s="392">
        <v>20.0</v>
      </c>
      <c r="V24" s="393">
        <v>80.0</v>
      </c>
      <c r="W24" s="393">
        <v>78.0</v>
      </c>
      <c r="X24" s="406">
        <v>84.0</v>
      </c>
      <c r="Y24" s="392"/>
      <c r="Z24" s="407"/>
      <c r="AA24" s="408">
        <v>12.0</v>
      </c>
      <c r="AB24" s="409">
        <v>100.0</v>
      </c>
      <c r="AC24" s="410">
        <v>15.0</v>
      </c>
      <c r="AD24" s="395">
        <v>65.0</v>
      </c>
      <c r="AE24" s="396">
        <v>71.0</v>
      </c>
      <c r="AF24" s="398"/>
      <c r="AG24" s="398">
        <v>72.0</v>
      </c>
      <c r="AH24" s="398"/>
      <c r="AI24" s="398"/>
      <c r="AJ24" s="398"/>
      <c r="AK24" s="399">
        <f t="shared" si="1"/>
        <v>4</v>
      </c>
      <c r="AL24" s="399">
        <f t="shared" si="2"/>
        <v>3</v>
      </c>
      <c r="AM24" s="400">
        <f t="shared" si="3"/>
        <v>3</v>
      </c>
      <c r="AN24" s="399" t="str">
        <f t="shared" si="4"/>
        <v>3.5</v>
      </c>
      <c r="AO24" s="399">
        <f t="shared" si="5"/>
        <v>3</v>
      </c>
      <c r="AP24" s="367"/>
      <c r="AQ24" s="367"/>
      <c r="AR24" s="367"/>
    </row>
    <row r="25">
      <c r="A25" s="385">
        <v>20.0</v>
      </c>
      <c r="B25" s="401" t="s">
        <v>2147</v>
      </c>
      <c r="C25" s="401" t="s">
        <v>3749</v>
      </c>
      <c r="D25" s="402" t="str">
        <f>VLOOKUP(B25,USN!$1:$1088,2,FALSE)</f>
        <v>1CR23CD020</v>
      </c>
      <c r="E25" s="401">
        <v>6.386745282E9</v>
      </c>
      <c r="F25" s="401" t="s">
        <v>3743</v>
      </c>
      <c r="G25" s="387"/>
      <c r="H25" s="403">
        <v>79.0</v>
      </c>
      <c r="I25" s="403">
        <v>83.0</v>
      </c>
      <c r="J25" s="389">
        <f>VLOOKUP(D25,'L3'!$1:$2060,2,FALSE)</f>
        <v>77</v>
      </c>
      <c r="K25" s="389">
        <f>VLOOKUP(D25,'L4'!$1:$2059,2,FALSE)</f>
        <v>79</v>
      </c>
      <c r="L25" s="390">
        <f>VLOOKUP(D25,'A1 RETEST 5 DEC'!$1:$2096,2,FALSE)</f>
        <v>50</v>
      </c>
      <c r="M25" s="390">
        <f>VLOOKUP(D25,'A2 RETEST 4 DEC'!$1:$2096,2,FALSE)</f>
        <v>52</v>
      </c>
      <c r="N25" s="404">
        <v>53.0</v>
      </c>
      <c r="O25" s="390"/>
      <c r="P25" s="391">
        <f>IFNA(vlookup(D25,'S1'!$1:$1325,2,0),0)</f>
        <v>73</v>
      </c>
      <c r="Q25" s="391">
        <f>vlookup(D25,'S2'!A21:B1223,2,0)</f>
        <v>55</v>
      </c>
      <c r="R25" s="391">
        <f>ifna(vlookup(D25,'S3'!$1:$1311,2,False),0)</f>
        <v>87</v>
      </c>
      <c r="S25" s="391"/>
      <c r="T25" s="405">
        <v>14.0</v>
      </c>
      <c r="U25" s="392">
        <v>18.0</v>
      </c>
      <c r="V25" s="393">
        <v>82.0</v>
      </c>
      <c r="W25" s="393">
        <v>72.0</v>
      </c>
      <c r="X25" s="406">
        <v>86.0</v>
      </c>
      <c r="Y25" s="392"/>
      <c r="Z25" s="407"/>
      <c r="AA25" s="408">
        <v>90.0</v>
      </c>
      <c r="AB25" s="409">
        <v>85.0</v>
      </c>
      <c r="AC25" s="410">
        <v>90.0</v>
      </c>
      <c r="AD25" s="395">
        <v>41.0</v>
      </c>
      <c r="AE25" s="396">
        <v>72.0</v>
      </c>
      <c r="AF25" s="398"/>
      <c r="AG25" s="398">
        <v>78.0</v>
      </c>
      <c r="AH25" s="398"/>
      <c r="AI25" s="398"/>
      <c r="AJ25" s="398"/>
      <c r="AK25" s="399">
        <f t="shared" si="1"/>
        <v>4</v>
      </c>
      <c r="AL25" s="399">
        <f t="shared" si="2"/>
        <v>3</v>
      </c>
      <c r="AM25" s="400">
        <f t="shared" si="3"/>
        <v>3</v>
      </c>
      <c r="AN25" s="399" t="str">
        <f t="shared" si="4"/>
        <v>3.5</v>
      </c>
      <c r="AO25" s="399">
        <f t="shared" si="5"/>
        <v>3</v>
      </c>
      <c r="AP25" s="367"/>
      <c r="AQ25" s="367"/>
      <c r="AR25" s="367"/>
    </row>
    <row r="26">
      <c r="A26" s="385">
        <v>21.0</v>
      </c>
      <c r="B26" s="401" t="s">
        <v>2144</v>
      </c>
      <c r="C26" s="401" t="s">
        <v>3026</v>
      </c>
      <c r="D26" s="402" t="str">
        <f>VLOOKUP(B26,USN!$1:$1088,2,FALSE)</f>
        <v>1CR23CD021</v>
      </c>
      <c r="E26" s="401">
        <v>8.2175423E9</v>
      </c>
      <c r="F26" s="401" t="s">
        <v>3743</v>
      </c>
      <c r="G26" s="387"/>
      <c r="H26" s="403">
        <v>71.0</v>
      </c>
      <c r="I26" s="403">
        <v>73.0</v>
      </c>
      <c r="J26" s="389">
        <f>VLOOKUP(D26,'L3'!$1:$2060,2,FALSE)</f>
        <v>70</v>
      </c>
      <c r="K26" s="389">
        <f>VLOOKUP(D26,'L4'!$1:$2059,2,FALSE)</f>
        <v>70</v>
      </c>
      <c r="L26" s="390">
        <f>VLOOKUP(D26,'A1 RETEST 5 DEC'!$1:$2096,2,FALSE)</f>
        <v>50</v>
      </c>
      <c r="M26" s="390">
        <f>VLOOKUP(D26,'A2 RETEST 4 DEC'!$1:$2096,2,FALSE)</f>
        <v>19</v>
      </c>
      <c r="N26" s="404">
        <v>50.0</v>
      </c>
      <c r="O26" s="390"/>
      <c r="P26" s="391">
        <f>IFNA(vlookup(D26,'S1'!$1:$1325,2,0),0)</f>
        <v>50</v>
      </c>
      <c r="Q26" s="391">
        <f>vlookup(D26,'S2'!A22:B1224,2,0)</f>
        <v>56</v>
      </c>
      <c r="R26" s="391">
        <f>ifna(vlookup(D26,'S3'!$1:$1311,2,False),0)</f>
        <v>70</v>
      </c>
      <c r="S26" s="391"/>
      <c r="T26" s="405">
        <v>7.0</v>
      </c>
      <c r="U26" s="392">
        <v>17.0</v>
      </c>
      <c r="V26" s="393">
        <v>78.0</v>
      </c>
      <c r="W26" s="393">
        <v>78.0</v>
      </c>
      <c r="X26" s="406">
        <v>76.0</v>
      </c>
      <c r="Y26" s="392"/>
      <c r="Z26" s="407"/>
      <c r="AA26" s="408">
        <v>61.0</v>
      </c>
      <c r="AB26" s="409">
        <v>70.0</v>
      </c>
      <c r="AC26" s="410">
        <v>0.0</v>
      </c>
      <c r="AD26" s="395">
        <v>65.0</v>
      </c>
      <c r="AE26" s="396">
        <v>72.0</v>
      </c>
      <c r="AF26" s="398"/>
      <c r="AG26" s="398">
        <v>73.0</v>
      </c>
      <c r="AH26" s="398"/>
      <c r="AI26" s="398"/>
      <c r="AJ26" s="398"/>
      <c r="AK26" s="399">
        <f t="shared" si="1"/>
        <v>4</v>
      </c>
      <c r="AL26" s="399">
        <f t="shared" si="2"/>
        <v>1</v>
      </c>
      <c r="AM26" s="400">
        <f t="shared" si="3"/>
        <v>3</v>
      </c>
      <c r="AN26" s="399" t="str">
        <f t="shared" si="4"/>
        <v>3.5</v>
      </c>
      <c r="AO26" s="399">
        <f t="shared" si="5"/>
        <v>3</v>
      </c>
      <c r="AP26" s="367"/>
      <c r="AQ26" s="367"/>
      <c r="AR26" s="367"/>
    </row>
    <row r="27">
      <c r="A27" s="385">
        <v>22.0</v>
      </c>
      <c r="B27" s="385" t="s">
        <v>2140</v>
      </c>
      <c r="C27" s="401" t="s">
        <v>3029</v>
      </c>
      <c r="D27" s="402" t="str">
        <f>VLOOKUP(B27,USN!$1:$1088,2,FALSE)</f>
        <v>1CR23CD023</v>
      </c>
      <c r="E27" s="401">
        <v>6.361292045E9</v>
      </c>
      <c r="F27" s="401" t="s">
        <v>3743</v>
      </c>
      <c r="G27" s="387"/>
      <c r="H27" s="403">
        <v>84.0</v>
      </c>
      <c r="I27" s="403">
        <v>87.0</v>
      </c>
      <c r="J27" s="389">
        <f>VLOOKUP(D27,'L3'!$1:$2060,2,FALSE)</f>
        <v>70</v>
      </c>
      <c r="K27" s="389">
        <f>VLOOKUP(D27,'L4'!$1:$2059,2,FALSE)</f>
        <v>70</v>
      </c>
      <c r="L27" s="390">
        <f>VLOOKUP(D27,'A1 RETEST 5 DEC'!$1:$2096,2,FALSE)</f>
        <v>50</v>
      </c>
      <c r="M27" s="390">
        <f>VLOOKUP(D27,'A2 RETEST 4 DEC'!$1:$2096,2,FALSE)</f>
        <v>34</v>
      </c>
      <c r="N27" s="404">
        <v>51.0</v>
      </c>
      <c r="O27" s="390"/>
      <c r="P27" s="391">
        <f>IFNA(vlookup(D27,'S1'!$1:$1325,2,0),0)</f>
        <v>70</v>
      </c>
      <c r="Q27" s="391">
        <f>vlookup(D27,'S2'!A23:B1225,2,0)</f>
        <v>50</v>
      </c>
      <c r="R27" s="391">
        <f>ifna(vlookup(D27,'S3'!$1:$1311,2,False),0)</f>
        <v>83</v>
      </c>
      <c r="S27" s="391"/>
      <c r="T27" s="405">
        <v>17.0</v>
      </c>
      <c r="U27" s="392">
        <v>17.0</v>
      </c>
      <c r="V27" s="393">
        <v>82.0</v>
      </c>
      <c r="W27" s="393">
        <v>66.0</v>
      </c>
      <c r="X27" s="406">
        <v>82.0</v>
      </c>
      <c r="Y27" s="392"/>
      <c r="Z27" s="407"/>
      <c r="AA27" s="408">
        <v>63.0</v>
      </c>
      <c r="AB27" s="409">
        <v>100.0</v>
      </c>
      <c r="AC27" s="410">
        <v>80.0</v>
      </c>
      <c r="AD27" s="395">
        <v>66.0</v>
      </c>
      <c r="AE27" s="396">
        <v>72.0</v>
      </c>
      <c r="AF27" s="398"/>
      <c r="AG27" s="398">
        <v>85.0</v>
      </c>
      <c r="AH27" s="398"/>
      <c r="AI27" s="398"/>
      <c r="AJ27" s="398"/>
      <c r="AK27" s="399">
        <f t="shared" si="1"/>
        <v>4</v>
      </c>
      <c r="AL27" s="399">
        <f t="shared" si="2"/>
        <v>1</v>
      </c>
      <c r="AM27" s="400">
        <f t="shared" si="3"/>
        <v>3</v>
      </c>
      <c r="AN27" s="399" t="str">
        <f t="shared" si="4"/>
        <v>3.5</v>
      </c>
      <c r="AO27" s="399">
        <f t="shared" si="5"/>
        <v>3</v>
      </c>
      <c r="AP27" s="367"/>
      <c r="AQ27" s="367"/>
      <c r="AR27" s="367"/>
    </row>
    <row r="28">
      <c r="A28" s="385">
        <v>23.0</v>
      </c>
      <c r="B28" s="401" t="s">
        <v>2110</v>
      </c>
      <c r="C28" s="401" t="s">
        <v>3030</v>
      </c>
      <c r="D28" s="402" t="str">
        <f>VLOOKUP(B28,USN!$1:$1088,2,FALSE)</f>
        <v>1CR23CD024</v>
      </c>
      <c r="E28" s="401">
        <v>8.529863169E9</v>
      </c>
      <c r="F28" s="401" t="s">
        <v>3743</v>
      </c>
      <c r="G28" s="387"/>
      <c r="H28" s="403">
        <v>88.0</v>
      </c>
      <c r="I28" s="403">
        <v>85.0</v>
      </c>
      <c r="J28" s="389">
        <f>VLOOKUP(D28,'L3'!$1:$2060,2,FALSE)</f>
        <v>70</v>
      </c>
      <c r="K28" s="389">
        <f>VLOOKUP(D28,'L4'!$1:$2059,2,FALSE)</f>
        <v>70</v>
      </c>
      <c r="L28" s="390">
        <f>VLOOKUP(D28,'A1 RETEST 5 DEC'!$1:$2096,2,FALSE)</f>
        <v>68</v>
      </c>
      <c r="M28" s="390">
        <f>VLOOKUP(D28,'A2 RETEST 4 DEC'!$1:$2096,2,FALSE)</f>
        <v>17</v>
      </c>
      <c r="N28" s="404">
        <v>0.0</v>
      </c>
      <c r="O28" s="390"/>
      <c r="P28" s="391">
        <f>IFNA(vlookup(D28,'S1'!$1:$1325,2,0),0)</f>
        <v>0</v>
      </c>
      <c r="Q28" s="391">
        <f>vlookup(D28,'S2'!A24:B1226,2,0)</f>
        <v>0</v>
      </c>
      <c r="R28" s="391">
        <f>ifna(vlookup(D28,'S3'!$1:$1311,2,False),0)</f>
        <v>0</v>
      </c>
      <c r="S28" s="391"/>
      <c r="T28" s="405">
        <v>22.0</v>
      </c>
      <c r="U28" s="392">
        <v>19.0</v>
      </c>
      <c r="V28" s="393">
        <v>92.0</v>
      </c>
      <c r="W28" s="393">
        <v>78.0</v>
      </c>
      <c r="X28" s="406">
        <v>84.0</v>
      </c>
      <c r="Y28" s="392"/>
      <c r="Z28" s="407"/>
      <c r="AA28" s="408">
        <v>64.0</v>
      </c>
      <c r="AB28" s="409">
        <v>73.0</v>
      </c>
      <c r="AC28" s="410">
        <v>35.0</v>
      </c>
      <c r="AD28" s="395">
        <v>27.0</v>
      </c>
      <c r="AE28" s="396">
        <v>10.0</v>
      </c>
      <c r="AF28" s="398"/>
      <c r="AG28" s="398">
        <v>0.0</v>
      </c>
      <c r="AH28" s="398"/>
      <c r="AI28" s="398"/>
      <c r="AJ28" s="398"/>
      <c r="AK28" s="399">
        <f t="shared" si="1"/>
        <v>4</v>
      </c>
      <c r="AL28" s="399">
        <f t="shared" si="2"/>
        <v>1</v>
      </c>
      <c r="AM28" s="400">
        <f t="shared" si="3"/>
        <v>3</v>
      </c>
      <c r="AN28" s="399" t="str">
        <f t="shared" si="4"/>
        <v>2</v>
      </c>
      <c r="AO28" s="399">
        <f t="shared" si="5"/>
        <v>0</v>
      </c>
      <c r="AP28" s="367"/>
      <c r="AQ28" s="367"/>
      <c r="AR28" s="367"/>
    </row>
    <row r="29">
      <c r="A29" s="385">
        <v>24.0</v>
      </c>
      <c r="B29" s="401" t="s">
        <v>2111</v>
      </c>
      <c r="C29" s="401" t="s">
        <v>3031</v>
      </c>
      <c r="D29" s="402" t="str">
        <f>VLOOKUP(B29,USN!$1:$1088,2,FALSE)</f>
        <v>1CR23CD025</v>
      </c>
      <c r="E29" s="401">
        <v>6.36059046E9</v>
      </c>
      <c r="F29" s="401" t="s">
        <v>3743</v>
      </c>
      <c r="G29" s="387"/>
      <c r="H29" s="403">
        <v>85.0</v>
      </c>
      <c r="I29" s="403">
        <v>78.0</v>
      </c>
      <c r="J29" s="389">
        <f>VLOOKUP(D29,'L3'!$1:$2060,2,FALSE)</f>
        <v>70</v>
      </c>
      <c r="K29" s="389">
        <f>VLOOKUP(D29,'L4'!$1:$2059,2,FALSE)</f>
        <v>80</v>
      </c>
      <c r="L29" s="390">
        <f>VLOOKUP(D29,'A1 RETEST 5 DEC'!$1:$2096,2,FALSE)</f>
        <v>69</v>
      </c>
      <c r="M29" s="390">
        <f>VLOOKUP(D29,'A2 RETEST 4 DEC'!$1:$2096,2,FALSE)</f>
        <v>55</v>
      </c>
      <c r="N29" s="404">
        <v>50.0</v>
      </c>
      <c r="O29" s="390"/>
      <c r="P29" s="391">
        <f>IFNA(vlookup(D29,'S1'!$1:$1325,2,0),0)</f>
        <v>70</v>
      </c>
      <c r="Q29" s="391">
        <f>vlookup(D29,'S2'!A25:B1227,2,0)</f>
        <v>72</v>
      </c>
      <c r="R29" s="391">
        <f>ifna(vlookup(D29,'S3'!$1:$1311,2,False),0)</f>
        <v>92</v>
      </c>
      <c r="S29" s="391"/>
      <c r="T29" s="405">
        <v>15.0</v>
      </c>
      <c r="U29" s="392">
        <v>20.0</v>
      </c>
      <c r="V29" s="393">
        <v>80.0</v>
      </c>
      <c r="W29" s="393">
        <v>66.0</v>
      </c>
      <c r="X29" s="406">
        <v>76.0</v>
      </c>
      <c r="Y29" s="392"/>
      <c r="Z29" s="407"/>
      <c r="AA29" s="408">
        <v>84.0</v>
      </c>
      <c r="AB29" s="409">
        <v>83.0</v>
      </c>
      <c r="AC29" s="410">
        <v>84.0</v>
      </c>
      <c r="AD29" s="395">
        <v>60.0</v>
      </c>
      <c r="AE29" s="396">
        <v>73.0</v>
      </c>
      <c r="AF29" s="398"/>
      <c r="AG29" s="398">
        <v>79.0</v>
      </c>
      <c r="AH29" s="398"/>
      <c r="AI29" s="398"/>
      <c r="AJ29" s="398"/>
      <c r="AK29" s="399">
        <f t="shared" si="1"/>
        <v>4</v>
      </c>
      <c r="AL29" s="399">
        <f t="shared" si="2"/>
        <v>3</v>
      </c>
      <c r="AM29" s="400">
        <f t="shared" si="3"/>
        <v>3</v>
      </c>
      <c r="AN29" s="399" t="str">
        <f t="shared" si="4"/>
        <v>3.5</v>
      </c>
      <c r="AO29" s="399">
        <f t="shared" si="5"/>
        <v>3</v>
      </c>
      <c r="AP29" s="367"/>
      <c r="AQ29" s="367"/>
      <c r="AR29" s="367"/>
    </row>
    <row r="30">
      <c r="A30" s="385">
        <v>25.0</v>
      </c>
      <c r="B30" s="401" t="s">
        <v>2143</v>
      </c>
      <c r="C30" s="401" t="s">
        <v>3032</v>
      </c>
      <c r="D30" s="402" t="str">
        <f>VLOOKUP(B30,USN!$1:$1088,2,FALSE)</f>
        <v>1CR23CD026</v>
      </c>
      <c r="E30" s="401">
        <v>7.799608474E9</v>
      </c>
      <c r="F30" s="401" t="s">
        <v>3743</v>
      </c>
      <c r="G30" s="387"/>
      <c r="H30" s="403">
        <v>81.0</v>
      </c>
      <c r="I30" s="403">
        <v>84.0</v>
      </c>
      <c r="J30" s="389">
        <f>VLOOKUP(D30,'L3'!$1:$2060,2,FALSE)</f>
        <v>70</v>
      </c>
      <c r="K30" s="389">
        <f>VLOOKUP(D30,'L4'!$1:$2059,2,FALSE)</f>
        <v>70</v>
      </c>
      <c r="L30" s="390">
        <f>VLOOKUP(D30,'A1 RETEST 5 DEC'!$1:$2096,2,FALSE)</f>
        <v>50</v>
      </c>
      <c r="M30" s="390">
        <f>VLOOKUP(D30,'A2 RETEST 4 DEC'!$1:$2096,2,FALSE)</f>
        <v>50</v>
      </c>
      <c r="N30" s="404">
        <v>50.0</v>
      </c>
      <c r="O30" s="390"/>
      <c r="P30" s="391">
        <f>IFNA(vlookup(D30,'S1'!$1:$1325,2,0),0)</f>
        <v>50</v>
      </c>
      <c r="Q30" s="391">
        <f>vlookup(D30,'S2'!A26:B1228,2,0)</f>
        <v>50</v>
      </c>
      <c r="R30" s="391">
        <f>ifna(vlookup(D30,'S3'!$1:$1311,2,False),0)</f>
        <v>87</v>
      </c>
      <c r="S30" s="391"/>
      <c r="T30" s="405">
        <v>17.0</v>
      </c>
      <c r="U30" s="392">
        <v>16.0</v>
      </c>
      <c r="V30" s="393">
        <v>78.0</v>
      </c>
      <c r="W30" s="393">
        <v>68.0</v>
      </c>
      <c r="X30" s="406">
        <v>66.0</v>
      </c>
      <c r="Y30" s="392"/>
      <c r="Z30" s="407"/>
      <c r="AA30" s="408">
        <v>94.0</v>
      </c>
      <c r="AB30" s="409">
        <v>80.0</v>
      </c>
      <c r="AC30" s="410">
        <v>27.0</v>
      </c>
      <c r="AD30" s="395">
        <v>60.0</v>
      </c>
      <c r="AE30" s="396">
        <v>10.0</v>
      </c>
      <c r="AF30" s="398"/>
      <c r="AG30" s="398">
        <v>59.0</v>
      </c>
      <c r="AH30" s="398"/>
      <c r="AI30" s="398"/>
      <c r="AJ30" s="398"/>
      <c r="AK30" s="399">
        <f t="shared" si="1"/>
        <v>4</v>
      </c>
      <c r="AL30" s="399">
        <f t="shared" si="2"/>
        <v>3</v>
      </c>
      <c r="AM30" s="400">
        <f t="shared" si="3"/>
        <v>3</v>
      </c>
      <c r="AN30" s="399" t="str">
        <f t="shared" si="4"/>
        <v>3</v>
      </c>
      <c r="AO30" s="399">
        <f t="shared" si="5"/>
        <v>3</v>
      </c>
      <c r="AP30" s="367"/>
      <c r="AQ30" s="367"/>
      <c r="AR30" s="367"/>
    </row>
    <row r="31">
      <c r="A31" s="385">
        <v>26.0</v>
      </c>
      <c r="B31" s="401" t="s">
        <v>2148</v>
      </c>
      <c r="C31" s="401" t="s">
        <v>3033</v>
      </c>
      <c r="D31" s="402" t="str">
        <f>VLOOKUP(B31,USN!$1:$1088,2,FALSE)</f>
        <v>1CR23CD027</v>
      </c>
      <c r="E31" s="401">
        <v>7.619106554E9</v>
      </c>
      <c r="F31" s="401" t="s">
        <v>3743</v>
      </c>
      <c r="G31" s="387"/>
      <c r="H31" s="403">
        <v>87.0</v>
      </c>
      <c r="I31" s="403">
        <v>94.0</v>
      </c>
      <c r="J31" s="389">
        <f>VLOOKUP(D31,'L3'!$1:$2060,2,FALSE)</f>
        <v>70</v>
      </c>
      <c r="K31" s="389">
        <f>VLOOKUP(D31,'L4'!$1:$2059,2,FALSE)</f>
        <v>71</v>
      </c>
      <c r="L31" s="390">
        <f>VLOOKUP(D31,'A1 RETEST 5 DEC'!$1:$2096,2,FALSE)</f>
        <v>61</v>
      </c>
      <c r="M31" s="390">
        <f>VLOOKUP(D31,'A2 RETEST 4 DEC'!$1:$2096,2,FALSE)</f>
        <v>50</v>
      </c>
      <c r="N31" s="404">
        <v>51.0</v>
      </c>
      <c r="O31" s="390"/>
      <c r="P31" s="391">
        <f>IFNA(vlookup(D31,'S1'!$1:$1325,2,0),0)</f>
        <v>87</v>
      </c>
      <c r="Q31" s="391">
        <f>vlookup(D31,'S2'!A27:B1229,2,0)</f>
        <v>80</v>
      </c>
      <c r="R31" s="391">
        <f>ifna(vlookup(D31,'S3'!$1:$1311,2,False),0)</f>
        <v>94</v>
      </c>
      <c r="S31" s="391"/>
      <c r="T31" s="405">
        <v>18.0</v>
      </c>
      <c r="U31" s="392">
        <v>18.0</v>
      </c>
      <c r="V31" s="393">
        <v>82.0</v>
      </c>
      <c r="W31" s="393">
        <v>88.0</v>
      </c>
      <c r="X31" s="406">
        <v>88.0</v>
      </c>
      <c r="Y31" s="392"/>
      <c r="Z31" s="407"/>
      <c r="AA31" s="408">
        <v>98.0</v>
      </c>
      <c r="AB31" s="409">
        <v>100.0</v>
      </c>
      <c r="AC31" s="410">
        <v>100.0</v>
      </c>
      <c r="AD31" s="395">
        <v>47.0</v>
      </c>
      <c r="AE31" s="396">
        <v>87.0</v>
      </c>
      <c r="AF31" s="398"/>
      <c r="AG31" s="398">
        <v>86.0</v>
      </c>
      <c r="AH31" s="398"/>
      <c r="AI31" s="398"/>
      <c r="AJ31" s="398"/>
      <c r="AK31" s="399">
        <f t="shared" si="1"/>
        <v>4</v>
      </c>
      <c r="AL31" s="399">
        <f t="shared" si="2"/>
        <v>3</v>
      </c>
      <c r="AM31" s="400">
        <f t="shared" si="3"/>
        <v>3</v>
      </c>
      <c r="AN31" s="399" t="str">
        <f t="shared" si="4"/>
        <v>3.5</v>
      </c>
      <c r="AO31" s="399">
        <f t="shared" si="5"/>
        <v>3</v>
      </c>
      <c r="AP31" s="367"/>
      <c r="AQ31" s="367"/>
      <c r="AR31" s="367"/>
    </row>
    <row r="32">
      <c r="A32" s="385">
        <v>27.0</v>
      </c>
      <c r="B32" s="401" t="s">
        <v>2145</v>
      </c>
      <c r="C32" s="401" t="s">
        <v>3034</v>
      </c>
      <c r="D32" s="402" t="str">
        <f>VLOOKUP(B32,USN!$1:$1088,2,FALSE)</f>
        <v>1CR23CD028</v>
      </c>
      <c r="E32" s="401">
        <v>9.686502089E9</v>
      </c>
      <c r="F32" s="401" t="s">
        <v>3743</v>
      </c>
      <c r="G32" s="387"/>
      <c r="H32" s="403">
        <v>75.0</v>
      </c>
      <c r="I32" s="403">
        <v>80.0</v>
      </c>
      <c r="J32" s="389">
        <f>VLOOKUP(D32,'L3'!$1:$2060,2,FALSE)</f>
        <v>57</v>
      </c>
      <c r="K32" s="389">
        <f>VLOOKUP(D32,'L4'!$1:$2059,2,FALSE)</f>
        <v>70</v>
      </c>
      <c r="L32" s="390">
        <f>VLOOKUP(D32,'A1 RETEST 5 DEC'!$1:$2096,2,FALSE)</f>
        <v>50</v>
      </c>
      <c r="M32" s="390">
        <f>VLOOKUP(D32,'A2 RETEST 4 DEC'!$1:$2096,2,FALSE)</f>
        <v>50</v>
      </c>
      <c r="N32" s="404">
        <v>50.0</v>
      </c>
      <c r="O32" s="390"/>
      <c r="P32" s="391">
        <f>IFNA(vlookup(D32,'S1'!$1:$1325,2,0),0)</f>
        <v>77</v>
      </c>
      <c r="Q32" s="391">
        <f>vlookup(D32,'S2'!A28:B1230,2,0)</f>
        <v>72</v>
      </c>
      <c r="R32" s="391">
        <f>ifna(vlookup(D32,'S3'!$1:$1311,2,False),0)</f>
        <v>50</v>
      </c>
      <c r="S32" s="391"/>
      <c r="T32" s="405">
        <v>10.0</v>
      </c>
      <c r="U32" s="392">
        <v>20.0</v>
      </c>
      <c r="V32" s="393">
        <v>66.0</v>
      </c>
      <c r="W32" s="393">
        <v>90.0</v>
      </c>
      <c r="X32" s="406">
        <v>76.0</v>
      </c>
      <c r="Y32" s="392"/>
      <c r="Z32" s="407"/>
      <c r="AA32" s="408">
        <v>0.0</v>
      </c>
      <c r="AB32" s="409">
        <v>50.0</v>
      </c>
      <c r="AC32" s="410">
        <v>90.0</v>
      </c>
      <c r="AD32" s="395">
        <v>2.0</v>
      </c>
      <c r="AE32" s="396">
        <v>70.0</v>
      </c>
      <c r="AF32" s="398"/>
      <c r="AG32" s="397">
        <v>70.0</v>
      </c>
      <c r="AH32" s="398"/>
      <c r="AI32" s="398"/>
      <c r="AJ32" s="398"/>
      <c r="AK32" s="399">
        <f t="shared" si="1"/>
        <v>2</v>
      </c>
      <c r="AL32" s="399">
        <f t="shared" si="2"/>
        <v>3</v>
      </c>
      <c r="AM32" s="400">
        <f t="shared" si="3"/>
        <v>3</v>
      </c>
      <c r="AN32" s="399" t="str">
        <f t="shared" si="4"/>
        <v>3.5</v>
      </c>
      <c r="AO32" s="399">
        <f t="shared" si="5"/>
        <v>3</v>
      </c>
      <c r="AP32" s="367"/>
      <c r="AQ32" s="367"/>
      <c r="AR32" s="367"/>
    </row>
    <row r="33">
      <c r="A33" s="385">
        <v>28.0</v>
      </c>
      <c r="B33" s="401" t="s">
        <v>2112</v>
      </c>
      <c r="C33" s="401" t="s">
        <v>3035</v>
      </c>
      <c r="D33" s="402" t="str">
        <f>VLOOKUP(B33,USN!$1:$1088,2,FALSE)</f>
        <v>1CR23CD029</v>
      </c>
      <c r="E33" s="401">
        <v>7.258821117E9</v>
      </c>
      <c r="F33" s="401" t="s">
        <v>3743</v>
      </c>
      <c r="G33" s="387"/>
      <c r="H33" s="403">
        <v>82.0</v>
      </c>
      <c r="I33" s="403">
        <v>91.0</v>
      </c>
      <c r="J33" s="389">
        <f>VLOOKUP(D33,'L3'!$1:$2060,2,FALSE)</f>
        <v>70</v>
      </c>
      <c r="K33" s="389">
        <f>VLOOKUP(D33,'L4'!$1:$2059,2,FALSE)</f>
        <v>70</v>
      </c>
      <c r="L33" s="390">
        <f>VLOOKUP(D33,'A1 RETEST 5 DEC'!$1:$2096,2,FALSE)</f>
        <v>75</v>
      </c>
      <c r="M33" s="390">
        <f>VLOOKUP(D33,'A2 RETEST 4 DEC'!$1:$2096,2,FALSE)</f>
        <v>58</v>
      </c>
      <c r="N33" s="404">
        <v>56.0</v>
      </c>
      <c r="O33" s="390"/>
      <c r="P33" s="391">
        <f>IFNA(vlookup(D33,'S1'!$1:$1325,2,0),0)</f>
        <v>50</v>
      </c>
      <c r="Q33" s="391">
        <f>vlookup(D33,'S2'!A29:B1231,2,0)</f>
        <v>0</v>
      </c>
      <c r="R33" s="391">
        <f>ifna(vlookup(D33,'S3'!$1:$1311,2,False),0)</f>
        <v>0</v>
      </c>
      <c r="S33" s="391"/>
      <c r="T33" s="405">
        <v>12.0</v>
      </c>
      <c r="U33" s="392">
        <v>19.0</v>
      </c>
      <c r="V33" s="393">
        <v>80.0</v>
      </c>
      <c r="W33" s="393">
        <v>92.0</v>
      </c>
      <c r="X33" s="406">
        <v>84.0</v>
      </c>
      <c r="Y33" s="392"/>
      <c r="Z33" s="407"/>
      <c r="AA33" s="408">
        <v>88.0</v>
      </c>
      <c r="AB33" s="409">
        <v>63.0</v>
      </c>
      <c r="AC33" s="410">
        <v>72.0</v>
      </c>
      <c r="AD33" s="395">
        <v>33.0</v>
      </c>
      <c r="AE33" s="396">
        <v>83.0</v>
      </c>
      <c r="AF33" s="398"/>
      <c r="AG33" s="398">
        <v>84.0</v>
      </c>
      <c r="AH33" s="398"/>
      <c r="AI33" s="398"/>
      <c r="AJ33" s="398"/>
      <c r="AK33" s="399">
        <f t="shared" si="1"/>
        <v>4</v>
      </c>
      <c r="AL33" s="399">
        <f t="shared" si="2"/>
        <v>3</v>
      </c>
      <c r="AM33" s="400">
        <f t="shared" si="3"/>
        <v>3</v>
      </c>
      <c r="AN33" s="399" t="str">
        <f t="shared" si="4"/>
        <v>3.5</v>
      </c>
      <c r="AO33" s="399">
        <f t="shared" si="5"/>
        <v>1</v>
      </c>
      <c r="AP33" s="367"/>
      <c r="AQ33" s="367"/>
      <c r="AR33" s="367"/>
    </row>
    <row r="34">
      <c r="A34" s="385">
        <v>29.0</v>
      </c>
      <c r="B34" s="401" t="s">
        <v>2113</v>
      </c>
      <c r="C34" s="401" t="s">
        <v>3036</v>
      </c>
      <c r="D34" s="402" t="str">
        <f>VLOOKUP(B34,USN!$1:$1088,2,FALSE)</f>
        <v>1CR23CD030</v>
      </c>
      <c r="E34" s="401">
        <v>8.296341123E9</v>
      </c>
      <c r="F34" s="401" t="s">
        <v>3743</v>
      </c>
      <c r="G34" s="387"/>
      <c r="H34" s="403">
        <v>85.0</v>
      </c>
      <c r="I34" s="403">
        <v>93.0</v>
      </c>
      <c r="J34" s="389">
        <f>VLOOKUP(D34,'L3'!$1:$2060,2,FALSE)</f>
        <v>70</v>
      </c>
      <c r="K34" s="389">
        <f>VLOOKUP(D34,'L4'!$1:$2059,2,FALSE)</f>
        <v>83</v>
      </c>
      <c r="L34" s="390">
        <f>VLOOKUP(D34,'A1 RETEST 5 DEC'!$1:$2096,2,FALSE)</f>
        <v>50</v>
      </c>
      <c r="M34" s="390">
        <f>VLOOKUP(D34,'A2 RETEST 4 DEC'!$1:$2096,2,FALSE)</f>
        <v>50</v>
      </c>
      <c r="N34" s="404">
        <v>50.0</v>
      </c>
      <c r="O34" s="390"/>
      <c r="P34" s="391">
        <f>IFNA(vlookup(D34,'S1'!$1:$1325,2,0),0)</f>
        <v>78</v>
      </c>
      <c r="Q34" s="391">
        <f>vlookup(D34,'S2'!A30:B1232,2,0)</f>
        <v>72</v>
      </c>
      <c r="R34" s="391">
        <f>ifna(vlookup(D34,'S3'!$1:$1311,2,False),0)</f>
        <v>92</v>
      </c>
      <c r="S34" s="391"/>
      <c r="T34" s="405">
        <v>10.0</v>
      </c>
      <c r="U34" s="392">
        <v>13.0</v>
      </c>
      <c r="V34" s="393">
        <v>68.0</v>
      </c>
      <c r="W34" s="393">
        <v>76.0</v>
      </c>
      <c r="X34" s="406">
        <v>78.0</v>
      </c>
      <c r="Y34" s="392"/>
      <c r="Z34" s="407"/>
      <c r="AA34" s="408">
        <v>86.0</v>
      </c>
      <c r="AB34" s="409">
        <v>100.0</v>
      </c>
      <c r="AC34" s="410">
        <v>65.0</v>
      </c>
      <c r="AD34" s="395">
        <v>47.0</v>
      </c>
      <c r="AE34" s="396">
        <v>83.0</v>
      </c>
      <c r="AF34" s="398"/>
      <c r="AG34" s="398">
        <v>82.0</v>
      </c>
      <c r="AH34" s="398"/>
      <c r="AI34" s="398"/>
      <c r="AJ34" s="398"/>
      <c r="AK34" s="399">
        <f t="shared" si="1"/>
        <v>4</v>
      </c>
      <c r="AL34" s="399">
        <f t="shared" si="2"/>
        <v>3</v>
      </c>
      <c r="AM34" s="400">
        <f t="shared" si="3"/>
        <v>3</v>
      </c>
      <c r="AN34" s="399" t="str">
        <f t="shared" si="4"/>
        <v>3.5</v>
      </c>
      <c r="AO34" s="399">
        <f t="shared" si="5"/>
        <v>3</v>
      </c>
      <c r="AP34" s="367"/>
      <c r="AQ34" s="367"/>
      <c r="AR34" s="367"/>
    </row>
    <row r="35">
      <c r="A35" s="385">
        <v>30.0</v>
      </c>
      <c r="B35" s="401" t="s">
        <v>2159</v>
      </c>
      <c r="C35" s="411" t="s">
        <v>3037</v>
      </c>
      <c r="D35" s="402" t="str">
        <f>VLOOKUP(B35,USN!$1:$1088,2,FALSE)</f>
        <v>1CR23CD031</v>
      </c>
      <c r="E35" s="401">
        <v>9.380437951E9</v>
      </c>
      <c r="F35" s="401" t="s">
        <v>3743</v>
      </c>
      <c r="G35" s="387"/>
      <c r="H35" s="403">
        <v>78.0</v>
      </c>
      <c r="I35" s="403">
        <v>86.0</v>
      </c>
      <c r="J35" s="389">
        <f>VLOOKUP(D35,'L3'!$1:$2060,2,FALSE)</f>
        <v>70</v>
      </c>
      <c r="K35" s="389">
        <f>VLOOKUP(D35,'L4'!$1:$2059,2,FALSE)</f>
        <v>70</v>
      </c>
      <c r="L35" s="390">
        <f>VLOOKUP(D35,'A1 RETEST 5 DEC'!$1:$2096,2,FALSE)</f>
        <v>61</v>
      </c>
      <c r="M35" s="390">
        <f>VLOOKUP(D35,'A2 RETEST 4 DEC'!$1:$2096,2,FALSE)</f>
        <v>50</v>
      </c>
      <c r="N35" s="404">
        <v>0.0</v>
      </c>
      <c r="O35" s="390"/>
      <c r="P35" s="391">
        <f>IFNA(vlookup(D35,'S1'!$1:$1325,2,0),0)</f>
        <v>50</v>
      </c>
      <c r="Q35" s="391">
        <f>vlookup(D35,'S2'!A31:B1233,2,0)</f>
        <v>50</v>
      </c>
      <c r="R35" s="391">
        <f>ifna(vlookup(D35,'S3'!$1:$1311,2,False),0)</f>
        <v>0</v>
      </c>
      <c r="S35" s="391"/>
      <c r="T35" s="392">
        <v>21.0</v>
      </c>
      <c r="U35" s="392">
        <v>20.0</v>
      </c>
      <c r="V35" s="393">
        <v>90.0</v>
      </c>
      <c r="W35" s="393">
        <v>86.0</v>
      </c>
      <c r="X35" s="406">
        <v>84.0</v>
      </c>
      <c r="Y35" s="392"/>
      <c r="Z35" s="407"/>
      <c r="AA35" s="408">
        <v>84.0</v>
      </c>
      <c r="AB35" s="409">
        <v>93.0</v>
      </c>
      <c r="AC35" s="410">
        <v>17.0</v>
      </c>
      <c r="AD35" s="395">
        <v>65.0</v>
      </c>
      <c r="AE35" s="396">
        <v>10.0</v>
      </c>
      <c r="AF35" s="398"/>
      <c r="AG35" s="398">
        <v>80.0</v>
      </c>
      <c r="AH35" s="398"/>
      <c r="AI35" s="398"/>
      <c r="AJ35" s="398"/>
      <c r="AK35" s="399">
        <f t="shared" si="1"/>
        <v>4</v>
      </c>
      <c r="AL35" s="399">
        <f t="shared" si="2"/>
        <v>2</v>
      </c>
      <c r="AM35" s="400">
        <f t="shared" si="3"/>
        <v>3</v>
      </c>
      <c r="AN35" s="399" t="str">
        <f t="shared" si="4"/>
        <v>3</v>
      </c>
      <c r="AO35" s="399">
        <f t="shared" si="5"/>
        <v>2</v>
      </c>
      <c r="AP35" s="367"/>
      <c r="AQ35" s="367"/>
      <c r="AR35" s="367"/>
    </row>
    <row r="36">
      <c r="A36" s="385">
        <v>31.0</v>
      </c>
      <c r="B36" s="401" t="s">
        <v>2115</v>
      </c>
      <c r="C36" s="401" t="s">
        <v>3039</v>
      </c>
      <c r="D36" s="402" t="str">
        <f>VLOOKUP(B36,USN!$1:$1088,2,FALSE)</f>
        <v>1CR23CD033</v>
      </c>
      <c r="E36" s="401">
        <v>7.676801411E9</v>
      </c>
      <c r="F36" s="401" t="s">
        <v>3743</v>
      </c>
      <c r="G36" s="387"/>
      <c r="H36" s="403">
        <v>83.0</v>
      </c>
      <c r="I36" s="403">
        <v>78.0</v>
      </c>
      <c r="J36" s="389">
        <f>VLOOKUP(D36,'L3'!$1:$2060,2,FALSE)</f>
        <v>70</v>
      </c>
      <c r="K36" s="389">
        <f>VLOOKUP(D36,'L4'!$1:$2059,2,FALSE)</f>
        <v>70</v>
      </c>
      <c r="L36" s="390">
        <f>VLOOKUP(D36,'A1 RETEST 5 DEC'!$1:$2096,2,FALSE)</f>
        <v>50</v>
      </c>
      <c r="M36" s="390">
        <f>VLOOKUP(D36,'A2 RETEST 4 DEC'!$1:$2096,2,FALSE)</f>
        <v>50</v>
      </c>
      <c r="N36" s="404">
        <v>51.0</v>
      </c>
      <c r="O36" s="390"/>
      <c r="P36" s="391">
        <f>IFNA(vlookup(D36,'S1'!$1:$1325,2,0),0)</f>
        <v>78</v>
      </c>
      <c r="Q36" s="391">
        <f>vlookup(D36,'S2'!A32:B1234,2,0)</f>
        <v>72</v>
      </c>
      <c r="R36" s="391">
        <f>ifna(vlookup(D36,'S3'!$1:$1311,2,False),0)</f>
        <v>89</v>
      </c>
      <c r="S36" s="391"/>
      <c r="T36" s="405">
        <v>15.0</v>
      </c>
      <c r="U36" s="392">
        <v>18.0</v>
      </c>
      <c r="V36" s="393">
        <v>96.0</v>
      </c>
      <c r="W36" s="393">
        <v>88.0</v>
      </c>
      <c r="X36" s="406">
        <v>72.0</v>
      </c>
      <c r="Y36" s="392"/>
      <c r="Z36" s="407"/>
      <c r="AA36" s="408">
        <v>84.0</v>
      </c>
      <c r="AB36" s="409">
        <v>93.0</v>
      </c>
      <c r="AC36" s="410">
        <v>100.0</v>
      </c>
      <c r="AD36" s="395">
        <v>60.0</v>
      </c>
      <c r="AE36" s="396">
        <v>100.0</v>
      </c>
      <c r="AF36" s="398"/>
      <c r="AG36" s="398">
        <v>77.0</v>
      </c>
      <c r="AH36" s="398"/>
      <c r="AI36" s="398"/>
      <c r="AJ36" s="398"/>
      <c r="AK36" s="399">
        <f t="shared" si="1"/>
        <v>4</v>
      </c>
      <c r="AL36" s="399">
        <f t="shared" si="2"/>
        <v>3</v>
      </c>
      <c r="AM36" s="400">
        <f t="shared" si="3"/>
        <v>3</v>
      </c>
      <c r="AN36" s="399" t="str">
        <f t="shared" si="4"/>
        <v>3.5</v>
      </c>
      <c r="AO36" s="399">
        <f t="shared" si="5"/>
        <v>3</v>
      </c>
      <c r="AP36" s="367"/>
      <c r="AQ36" s="367"/>
      <c r="AR36" s="367"/>
    </row>
    <row r="37">
      <c r="A37" s="385">
        <v>32.0</v>
      </c>
      <c r="B37" s="401" t="s">
        <v>2116</v>
      </c>
      <c r="C37" s="401" t="s">
        <v>3040</v>
      </c>
      <c r="D37" s="402" t="str">
        <f>VLOOKUP(B37,USN!$1:$1088,2,FALSE)</f>
        <v>1CR23CD034</v>
      </c>
      <c r="E37" s="401">
        <v>6.266070339E9</v>
      </c>
      <c r="F37" s="401" t="s">
        <v>3743</v>
      </c>
      <c r="G37" s="387"/>
      <c r="H37" s="403">
        <v>72.0</v>
      </c>
      <c r="I37" s="403">
        <v>73.0</v>
      </c>
      <c r="J37" s="389">
        <f>VLOOKUP(D37,'L3'!$1:$2060,2,FALSE)</f>
        <v>70</v>
      </c>
      <c r="K37" s="389">
        <f>VLOOKUP(D37,'L4'!$1:$2059,2,FALSE)</f>
        <v>70</v>
      </c>
      <c r="L37" s="390">
        <f>VLOOKUP(D37,'A1 RETEST 5 DEC'!$1:$2096,2,FALSE)</f>
        <v>50</v>
      </c>
      <c r="M37" s="390">
        <f>VLOOKUP(D37,'A2 RETEST 4 DEC'!$1:$2096,2,FALSE)</f>
        <v>17</v>
      </c>
      <c r="N37" s="404">
        <v>48.0</v>
      </c>
      <c r="O37" s="390"/>
      <c r="P37" s="391">
        <f>IFNA(vlookup(D37,'S1'!$1:$1325,2,0),0)</f>
        <v>50</v>
      </c>
      <c r="Q37" s="391">
        <f>vlookup(D37,'S2'!A33:B1235,2,0)</f>
        <v>50</v>
      </c>
      <c r="R37" s="391">
        <f>ifna(vlookup(D37,'S3'!$1:$1311,2,False),0)</f>
        <v>87</v>
      </c>
      <c r="S37" s="391"/>
      <c r="T37" s="405">
        <v>22.0</v>
      </c>
      <c r="U37" s="392">
        <v>16.0</v>
      </c>
      <c r="V37" s="393">
        <v>70.0</v>
      </c>
      <c r="W37" s="393">
        <v>74.0</v>
      </c>
      <c r="X37" s="406">
        <v>74.0</v>
      </c>
      <c r="Y37" s="392"/>
      <c r="Z37" s="407"/>
      <c r="AA37" s="408">
        <v>74.0</v>
      </c>
      <c r="AB37" s="409">
        <v>43.0</v>
      </c>
      <c r="AC37" s="410">
        <v>90.0</v>
      </c>
      <c r="AD37" s="395">
        <v>42.0</v>
      </c>
      <c r="AE37" s="396">
        <v>75.0</v>
      </c>
      <c r="AF37" s="398"/>
      <c r="AG37" s="398">
        <v>83.0</v>
      </c>
      <c r="AH37" s="398"/>
      <c r="AI37" s="398"/>
      <c r="AJ37" s="398"/>
      <c r="AK37" s="399">
        <f t="shared" si="1"/>
        <v>4</v>
      </c>
      <c r="AL37" s="399">
        <f t="shared" si="2"/>
        <v>1</v>
      </c>
      <c r="AM37" s="400">
        <f t="shared" si="3"/>
        <v>3</v>
      </c>
      <c r="AN37" s="399" t="str">
        <f t="shared" si="4"/>
        <v>0</v>
      </c>
      <c r="AO37" s="399">
        <f t="shared" si="5"/>
        <v>3</v>
      </c>
      <c r="AP37" s="367"/>
      <c r="AQ37" s="367"/>
      <c r="AR37" s="367"/>
    </row>
    <row r="38">
      <c r="A38" s="385">
        <v>33.0</v>
      </c>
      <c r="B38" s="401" t="s">
        <v>2117</v>
      </c>
      <c r="C38" s="401" t="s">
        <v>3041</v>
      </c>
      <c r="D38" s="402" t="str">
        <f>VLOOKUP(B38,USN!$1:$1088,2,FALSE)</f>
        <v>1CR23CD035</v>
      </c>
      <c r="E38" s="401">
        <v>8.710030521E9</v>
      </c>
      <c r="F38" s="401" t="s">
        <v>3743</v>
      </c>
      <c r="G38" s="387"/>
      <c r="H38" s="403">
        <v>79.0</v>
      </c>
      <c r="I38" s="403">
        <v>84.0</v>
      </c>
      <c r="J38" s="389">
        <f>VLOOKUP(D38,'L3'!$1:$2060,2,FALSE)</f>
        <v>79</v>
      </c>
      <c r="K38" s="389">
        <f>VLOOKUP(D38,'L4'!$1:$2059,2,FALSE)</f>
        <v>74</v>
      </c>
      <c r="L38" s="390">
        <f>VLOOKUP(D38,'A1 RETEST 5 DEC'!$1:$2096,2,FALSE)</f>
        <v>59</v>
      </c>
      <c r="M38" s="390">
        <f>VLOOKUP(D38,'A2 RETEST 4 DEC'!$1:$2096,2,FALSE)</f>
        <v>50</v>
      </c>
      <c r="N38" s="404">
        <v>53.0</v>
      </c>
      <c r="O38" s="390"/>
      <c r="P38" s="391">
        <f>IFNA(vlookup(D38,'S1'!$1:$1325,2,0),0)</f>
        <v>73</v>
      </c>
      <c r="Q38" s="391">
        <f>vlookup(D38,'S2'!A34:B1236,2,0)</f>
        <v>55</v>
      </c>
      <c r="R38" s="391">
        <f>ifna(vlookup(D38,'S3'!$1:$1311,2,False),0)</f>
        <v>94</v>
      </c>
      <c r="S38" s="391"/>
      <c r="T38" s="405">
        <v>10.0</v>
      </c>
      <c r="U38" s="392">
        <v>17.0</v>
      </c>
      <c r="V38" s="393">
        <v>76.0</v>
      </c>
      <c r="W38" s="393">
        <v>74.0</v>
      </c>
      <c r="X38" s="406">
        <v>78.0</v>
      </c>
      <c r="Y38" s="392"/>
      <c r="Z38" s="407"/>
      <c r="AA38" s="408">
        <v>94.0</v>
      </c>
      <c r="AB38" s="409">
        <v>95.0</v>
      </c>
      <c r="AC38" s="410">
        <v>100.0</v>
      </c>
      <c r="AD38" s="395">
        <v>80.0</v>
      </c>
      <c r="AE38" s="396">
        <v>73.0</v>
      </c>
      <c r="AF38" s="398"/>
      <c r="AG38" s="398">
        <v>89.0</v>
      </c>
      <c r="AH38" s="398"/>
      <c r="AI38" s="398"/>
      <c r="AJ38" s="398"/>
      <c r="AK38" s="399">
        <f t="shared" si="1"/>
        <v>4</v>
      </c>
      <c r="AL38" s="399">
        <f t="shared" si="2"/>
        <v>3</v>
      </c>
      <c r="AM38" s="400">
        <f t="shared" si="3"/>
        <v>3</v>
      </c>
      <c r="AN38" s="399" t="str">
        <f t="shared" si="4"/>
        <v>3.5</v>
      </c>
      <c r="AO38" s="399">
        <f t="shared" si="5"/>
        <v>3</v>
      </c>
      <c r="AP38" s="367"/>
      <c r="AQ38" s="367"/>
      <c r="AR38" s="367"/>
    </row>
    <row r="39">
      <c r="A39" s="385">
        <v>34.0</v>
      </c>
      <c r="B39" s="401" t="s">
        <v>2118</v>
      </c>
      <c r="C39" s="401" t="s">
        <v>3042</v>
      </c>
      <c r="D39" s="402" t="str">
        <f>VLOOKUP(B39,USN!$1:$1088,2,FALSE)</f>
        <v>1CR23CD036</v>
      </c>
      <c r="E39" s="401">
        <v>8.421071928E9</v>
      </c>
      <c r="F39" s="401" t="s">
        <v>3743</v>
      </c>
      <c r="G39" s="387"/>
      <c r="H39" s="403">
        <v>77.0</v>
      </c>
      <c r="I39" s="403">
        <v>79.0</v>
      </c>
      <c r="J39" s="389">
        <f>VLOOKUP(D39,'L3'!$1:$2060,2,FALSE)</f>
        <v>70</v>
      </c>
      <c r="K39" s="389">
        <f>VLOOKUP(D39,'L4'!$1:$2059,2,FALSE)</f>
        <v>70</v>
      </c>
      <c r="L39" s="390">
        <f>VLOOKUP(D39,'A1 RETEST 5 DEC'!$1:$2096,2,FALSE)</f>
        <v>50</v>
      </c>
      <c r="M39" s="390">
        <f>VLOOKUP(D39,'A2 RETEST 4 DEC'!$1:$2096,2,FALSE)</f>
        <v>51</v>
      </c>
      <c r="N39" s="404">
        <v>50.0</v>
      </c>
      <c r="O39" s="390"/>
      <c r="P39" s="391">
        <f>IFNA(vlookup(D39,'S1'!$1:$1325,2,0),0)</f>
        <v>50</v>
      </c>
      <c r="Q39" s="391">
        <f>vlookup(D39,'S2'!A35:B1237,2,0)</f>
        <v>50</v>
      </c>
      <c r="R39" s="391">
        <f>ifna(vlookup(D39,'S3'!$1:$1311,2,False),0)</f>
        <v>93</v>
      </c>
      <c r="S39" s="391"/>
      <c r="T39" s="405">
        <v>10.0</v>
      </c>
      <c r="U39" s="392">
        <v>16.0</v>
      </c>
      <c r="V39" s="393">
        <v>82.0</v>
      </c>
      <c r="W39" s="393">
        <v>68.0</v>
      </c>
      <c r="X39" s="406">
        <v>74.0</v>
      </c>
      <c r="Y39" s="392"/>
      <c r="Z39" s="407"/>
      <c r="AA39" s="408">
        <v>16.0</v>
      </c>
      <c r="AB39" s="409">
        <v>100.0</v>
      </c>
      <c r="AC39" s="410">
        <v>44.0</v>
      </c>
      <c r="AD39" s="395">
        <v>85.0</v>
      </c>
      <c r="AE39" s="396">
        <v>84.0</v>
      </c>
      <c r="AF39" s="398"/>
      <c r="AG39" s="398">
        <v>84.0</v>
      </c>
      <c r="AH39" s="398"/>
      <c r="AI39" s="398"/>
      <c r="AJ39" s="398"/>
      <c r="AK39" s="399">
        <f t="shared" si="1"/>
        <v>4</v>
      </c>
      <c r="AL39" s="399">
        <f t="shared" si="2"/>
        <v>3</v>
      </c>
      <c r="AM39" s="400">
        <f t="shared" si="3"/>
        <v>3</v>
      </c>
      <c r="AN39" s="399" t="str">
        <f t="shared" si="4"/>
        <v>3.5</v>
      </c>
      <c r="AO39" s="399">
        <f t="shared" si="5"/>
        <v>3</v>
      </c>
      <c r="AP39" s="367"/>
      <c r="AQ39" s="367"/>
      <c r="AR39" s="367"/>
    </row>
    <row r="40">
      <c r="A40" s="385">
        <v>35.0</v>
      </c>
      <c r="B40" s="401" t="s">
        <v>2119</v>
      </c>
      <c r="C40" s="401" t="s">
        <v>3043</v>
      </c>
      <c r="D40" s="402" t="str">
        <f>VLOOKUP(B40,USN!$1:$1088,2,FALSE)</f>
        <v>1CR23CD037</v>
      </c>
      <c r="E40" s="401" t="s">
        <v>3750</v>
      </c>
      <c r="F40" s="401" t="s">
        <v>3743</v>
      </c>
      <c r="G40" s="387"/>
      <c r="H40" s="403">
        <v>90.0</v>
      </c>
      <c r="I40" s="403">
        <v>89.0</v>
      </c>
      <c r="J40" s="389">
        <f>VLOOKUP(D40,'L3'!$1:$2060,2,FALSE)</f>
        <v>76</v>
      </c>
      <c r="K40" s="389">
        <f>VLOOKUP(D40,'L4'!$1:$2059,2,FALSE)</f>
        <v>86</v>
      </c>
      <c r="L40" s="390">
        <f>VLOOKUP(D40,'A1 RETEST 5 DEC'!$1:$2096,2,FALSE)</f>
        <v>56</v>
      </c>
      <c r="M40" s="390">
        <f>VLOOKUP(D40,'A2 RETEST 4 DEC'!$1:$2096,2,FALSE)</f>
        <v>59</v>
      </c>
      <c r="N40" s="404">
        <v>60.0</v>
      </c>
      <c r="O40" s="390"/>
      <c r="P40" s="391">
        <f>IFNA(vlookup(D40,'S1'!$1:$1325,2,0),0)</f>
        <v>73</v>
      </c>
      <c r="Q40" s="391">
        <f>vlookup(D40,'S2'!A36:B1238,2,0)</f>
        <v>55</v>
      </c>
      <c r="R40" s="391">
        <f>ifna(vlookup(D40,'S3'!$1:$1311,2,False),0)</f>
        <v>74</v>
      </c>
      <c r="S40" s="391"/>
      <c r="T40" s="405">
        <v>20.0</v>
      </c>
      <c r="U40" s="392">
        <v>18.0</v>
      </c>
      <c r="V40" s="393">
        <v>88.0</v>
      </c>
      <c r="W40" s="393">
        <v>90.0</v>
      </c>
      <c r="X40" s="406">
        <v>90.0</v>
      </c>
      <c r="Y40" s="392"/>
      <c r="Z40" s="407"/>
      <c r="AA40" s="408">
        <v>100.0</v>
      </c>
      <c r="AB40" s="409">
        <v>98.0</v>
      </c>
      <c r="AC40" s="410">
        <v>100.0</v>
      </c>
      <c r="AD40" s="395">
        <v>80.0</v>
      </c>
      <c r="AE40" s="396">
        <v>74.0</v>
      </c>
      <c r="AF40" s="398"/>
      <c r="AG40" s="398">
        <v>82.0</v>
      </c>
      <c r="AH40" s="398"/>
      <c r="AI40" s="398"/>
      <c r="AJ40" s="398"/>
      <c r="AK40" s="399">
        <f t="shared" si="1"/>
        <v>4</v>
      </c>
      <c r="AL40" s="399">
        <f t="shared" si="2"/>
        <v>3</v>
      </c>
      <c r="AM40" s="400">
        <f t="shared" si="3"/>
        <v>3</v>
      </c>
      <c r="AN40" s="399" t="str">
        <f t="shared" si="4"/>
        <v>3.5</v>
      </c>
      <c r="AO40" s="399">
        <f t="shared" si="5"/>
        <v>3</v>
      </c>
      <c r="AP40" s="367"/>
      <c r="AQ40" s="367"/>
      <c r="AR40" s="367"/>
    </row>
    <row r="41">
      <c r="A41" s="385">
        <v>36.0</v>
      </c>
      <c r="B41" s="401" t="s">
        <v>2120</v>
      </c>
      <c r="C41" s="401" t="s">
        <v>3044</v>
      </c>
      <c r="D41" s="402" t="str">
        <f>VLOOKUP(B41,USN!$1:$1088,2,FALSE)</f>
        <v>1CR23CD038</v>
      </c>
      <c r="E41" s="401">
        <v>8.986841757E9</v>
      </c>
      <c r="F41" s="401" t="s">
        <v>3743</v>
      </c>
      <c r="G41" s="387"/>
      <c r="H41" s="403">
        <v>83.0</v>
      </c>
      <c r="I41" s="403">
        <v>85.0</v>
      </c>
      <c r="J41" s="389">
        <f>VLOOKUP(D41,'L3'!$1:$2060,2,FALSE)</f>
        <v>70</v>
      </c>
      <c r="K41" s="389">
        <f>VLOOKUP(D41,'L4'!$1:$2059,2,FALSE)</f>
        <v>77</v>
      </c>
      <c r="L41" s="390">
        <f>VLOOKUP(D41,'A1 RETEST 5 DEC'!$1:$2096,2,FALSE)</f>
        <v>78</v>
      </c>
      <c r="M41" s="390">
        <f>VLOOKUP(D41,'A2 RETEST 4 DEC'!$1:$2096,2,FALSE)</f>
        <v>52</v>
      </c>
      <c r="N41" s="404">
        <v>63.0</v>
      </c>
      <c r="O41" s="390"/>
      <c r="P41" s="391">
        <f>IFNA(vlookup(D41,'S1'!$1:$1325,2,0),0)</f>
        <v>0</v>
      </c>
      <c r="Q41" s="391">
        <f>vlookup(D41,'S2'!A37:B1239,2,0)</f>
        <v>0</v>
      </c>
      <c r="R41" s="391">
        <f>ifna(vlookup(D41,'S3'!$1:$1311,2,False),0)</f>
        <v>0</v>
      </c>
      <c r="S41" s="391"/>
      <c r="T41" s="405">
        <v>14.0</v>
      </c>
      <c r="U41" s="392">
        <v>22.0</v>
      </c>
      <c r="V41" s="393">
        <v>84.0</v>
      </c>
      <c r="W41" s="393">
        <v>76.0</v>
      </c>
      <c r="X41" s="406">
        <v>60.0</v>
      </c>
      <c r="Y41" s="392"/>
      <c r="Z41" s="407"/>
      <c r="AA41" s="408">
        <v>68.0</v>
      </c>
      <c r="AB41" s="409">
        <v>97.0</v>
      </c>
      <c r="AC41" s="410">
        <v>2.0</v>
      </c>
      <c r="AD41" s="395">
        <v>1.0</v>
      </c>
      <c r="AE41" s="396">
        <v>10.0</v>
      </c>
      <c r="AF41" s="398"/>
      <c r="AG41" s="398">
        <v>0.0</v>
      </c>
      <c r="AH41" s="398"/>
      <c r="AI41" s="398"/>
      <c r="AJ41" s="398"/>
      <c r="AK41" s="399">
        <f t="shared" si="1"/>
        <v>4</v>
      </c>
      <c r="AL41" s="399">
        <f t="shared" si="2"/>
        <v>3</v>
      </c>
      <c r="AM41" s="400">
        <f t="shared" si="3"/>
        <v>3</v>
      </c>
      <c r="AN41" s="399" t="str">
        <f t="shared" si="4"/>
        <v>2</v>
      </c>
      <c r="AO41" s="399">
        <f t="shared" si="5"/>
        <v>0</v>
      </c>
      <c r="AP41" s="367"/>
      <c r="AQ41" s="367"/>
      <c r="AR41" s="367"/>
    </row>
    <row r="42">
      <c r="A42" s="385">
        <v>37.0</v>
      </c>
      <c r="B42" s="401" t="s">
        <v>2121</v>
      </c>
      <c r="C42" s="401" t="s">
        <v>3045</v>
      </c>
      <c r="D42" s="402" t="str">
        <f>VLOOKUP(B42,USN!$1:$1088,2,FALSE)</f>
        <v>1CR23CD039</v>
      </c>
      <c r="E42" s="401">
        <v>8.553908764E9</v>
      </c>
      <c r="F42" s="401" t="s">
        <v>3743</v>
      </c>
      <c r="G42" s="387"/>
      <c r="H42" s="403">
        <v>85.0</v>
      </c>
      <c r="I42" s="403">
        <v>84.0</v>
      </c>
      <c r="J42" s="389">
        <f>VLOOKUP(D42,'L3'!$1:$2060,2,FALSE)</f>
        <v>70</v>
      </c>
      <c r="K42" s="389">
        <f>VLOOKUP(D42,'L4'!$1:$2059,2,FALSE)</f>
        <v>70</v>
      </c>
      <c r="L42" s="390">
        <f>VLOOKUP(D42,'A1 RETEST 5 DEC'!$1:$2096,2,FALSE)</f>
        <v>50</v>
      </c>
      <c r="M42" s="390">
        <f>VLOOKUP(D42,'A2 RETEST 4 DEC'!$1:$2096,2,FALSE)</f>
        <v>50</v>
      </c>
      <c r="N42" s="404">
        <v>50.0</v>
      </c>
      <c r="O42" s="390"/>
      <c r="P42" s="391">
        <f>IFNA(vlookup(D42,'S1'!$1:$1325,2,0),0)</f>
        <v>70</v>
      </c>
      <c r="Q42" s="391">
        <f>vlookup(D42,'S2'!A38:B1240,2,0)</f>
        <v>80</v>
      </c>
      <c r="R42" s="391">
        <f>ifna(vlookup(D42,'S3'!$1:$1311,2,False),0)</f>
        <v>93</v>
      </c>
      <c r="S42" s="391"/>
      <c r="T42" s="405">
        <v>14.0</v>
      </c>
      <c r="U42" s="392">
        <v>18.0</v>
      </c>
      <c r="V42" s="393">
        <v>78.0</v>
      </c>
      <c r="W42" s="393">
        <v>94.0</v>
      </c>
      <c r="X42" s="406">
        <v>88.0</v>
      </c>
      <c r="Y42" s="392"/>
      <c r="Z42" s="407"/>
      <c r="AA42" s="408">
        <v>94.0</v>
      </c>
      <c r="AB42" s="409">
        <v>93.0</v>
      </c>
      <c r="AC42" s="410">
        <v>90.0</v>
      </c>
      <c r="AD42" s="395">
        <v>70.0</v>
      </c>
      <c r="AE42" s="396">
        <v>84.0</v>
      </c>
      <c r="AF42" s="398"/>
      <c r="AG42" s="398">
        <v>80.0</v>
      </c>
      <c r="AH42" s="398"/>
      <c r="AI42" s="398"/>
      <c r="AJ42" s="398"/>
      <c r="AK42" s="399">
        <f t="shared" si="1"/>
        <v>4</v>
      </c>
      <c r="AL42" s="399">
        <f t="shared" si="2"/>
        <v>3</v>
      </c>
      <c r="AM42" s="400">
        <f t="shared" si="3"/>
        <v>3</v>
      </c>
      <c r="AN42" s="399" t="str">
        <f t="shared" si="4"/>
        <v>3.5</v>
      </c>
      <c r="AO42" s="399">
        <f t="shared" si="5"/>
        <v>3</v>
      </c>
      <c r="AP42" s="367"/>
      <c r="AQ42" s="367"/>
      <c r="AR42" s="367"/>
    </row>
    <row r="43">
      <c r="A43" s="385">
        <v>38.0</v>
      </c>
      <c r="B43" s="401" t="s">
        <v>2146</v>
      </c>
      <c r="C43" s="401" t="s">
        <v>3046</v>
      </c>
      <c r="D43" s="402" t="str">
        <f>VLOOKUP(B43,USN!$1:$1088,2,FALSE)</f>
        <v>1CR23CD040</v>
      </c>
      <c r="E43" s="401">
        <v>6.305883047E9</v>
      </c>
      <c r="F43" s="401" t="s">
        <v>3743</v>
      </c>
      <c r="G43" s="387"/>
      <c r="H43" s="403">
        <v>70.0</v>
      </c>
      <c r="I43" s="389">
        <v>70.0</v>
      </c>
      <c r="J43" s="389">
        <f>VLOOKUP(D43,'L3'!$1:$2060,2,FALSE)</f>
        <v>56</v>
      </c>
      <c r="K43" s="389">
        <f>VLOOKUP(D43,'L4'!$1:$2059,2,FALSE)</f>
        <v>70</v>
      </c>
      <c r="L43" s="390">
        <f>VLOOKUP(D43,'A1 RETEST 5 DEC'!$1:$2096,2,FALSE)</f>
        <v>29</v>
      </c>
      <c r="M43" s="390">
        <f>VLOOKUP(D43,'A2 RETEST 4 DEC'!$1:$2096,2,FALSE)</f>
        <v>6</v>
      </c>
      <c r="N43" s="404">
        <v>0.0</v>
      </c>
      <c r="O43" s="390"/>
      <c r="P43" s="391">
        <f>IFNA(vlookup(D43,'S1'!$1:$1325,2,0),0)</f>
        <v>70</v>
      </c>
      <c r="Q43" s="391">
        <f>vlookup(D43,'S2'!A39:B1241,2,0)</f>
        <v>0</v>
      </c>
      <c r="R43" s="391">
        <f>ifna(vlookup(D43,'S3'!$1:$1311,2,False),0)</f>
        <v>0</v>
      </c>
      <c r="S43" s="391"/>
      <c r="T43" s="405">
        <v>22.0</v>
      </c>
      <c r="U43" s="392">
        <v>18.0</v>
      </c>
      <c r="V43" s="393">
        <v>82.0</v>
      </c>
      <c r="W43" s="393">
        <v>72.0</v>
      </c>
      <c r="X43" s="406">
        <v>64.0</v>
      </c>
      <c r="Y43" s="392"/>
      <c r="Z43" s="407"/>
      <c r="AA43" s="408"/>
      <c r="AB43" s="409">
        <v>48.0</v>
      </c>
      <c r="AC43" s="410">
        <v>0.0</v>
      </c>
      <c r="AD43" s="395">
        <v>1.0</v>
      </c>
      <c r="AE43" s="396">
        <v>10.0</v>
      </c>
      <c r="AF43" s="398"/>
      <c r="AG43" s="398">
        <v>23.0</v>
      </c>
      <c r="AH43" s="398"/>
      <c r="AI43" s="398"/>
      <c r="AJ43" s="398"/>
      <c r="AK43" s="399">
        <f t="shared" si="1"/>
        <v>2</v>
      </c>
      <c r="AL43" s="399">
        <f t="shared" si="2"/>
        <v>0</v>
      </c>
      <c r="AM43" s="400">
        <f t="shared" si="3"/>
        <v>3</v>
      </c>
      <c r="AN43" s="399" t="str">
        <f t="shared" si="4"/>
        <v>0</v>
      </c>
      <c r="AO43" s="399">
        <f t="shared" si="5"/>
        <v>1</v>
      </c>
      <c r="AP43" s="367"/>
      <c r="AQ43" s="367"/>
      <c r="AR43" s="367"/>
    </row>
    <row r="44">
      <c r="A44" s="385">
        <v>39.0</v>
      </c>
      <c r="B44" s="401" t="s">
        <v>2123</v>
      </c>
      <c r="C44" s="401" t="s">
        <v>3047</v>
      </c>
      <c r="D44" s="402" t="str">
        <f>VLOOKUP(B44,USN!$1:$1088,2,FALSE)</f>
        <v>1CR23CD041</v>
      </c>
      <c r="E44" s="401">
        <v>8.088551459E9</v>
      </c>
      <c r="F44" s="401" t="s">
        <v>3743</v>
      </c>
      <c r="G44" s="387"/>
      <c r="H44" s="403">
        <v>80.0</v>
      </c>
      <c r="I44" s="403">
        <v>83.0</v>
      </c>
      <c r="J44" s="389">
        <f>VLOOKUP(D44,'L3'!$1:$2060,2,FALSE)</f>
        <v>70</v>
      </c>
      <c r="K44" s="389">
        <f>VLOOKUP(D44,'L4'!$1:$2059,2,FALSE)</f>
        <v>70</v>
      </c>
      <c r="L44" s="390">
        <f>VLOOKUP(D44,'A1 RETEST 5 DEC'!$1:$2096,2,FALSE)</f>
        <v>50</v>
      </c>
      <c r="M44" s="390">
        <f>VLOOKUP(D44,'A2 RETEST 4 DEC'!$1:$2096,2,FALSE)</f>
        <v>50</v>
      </c>
      <c r="N44" s="404">
        <v>8.0</v>
      </c>
      <c r="O44" s="390"/>
      <c r="P44" s="391">
        <f>IFNA(vlookup(D44,'S1'!$1:$1325,2,0),0)</f>
        <v>77</v>
      </c>
      <c r="Q44" s="391">
        <f>vlookup(D44,'S2'!A40:B1242,2,0)</f>
        <v>50</v>
      </c>
      <c r="R44" s="391">
        <f>ifna(vlookup(D44,'S3'!$1:$1311,2,False),0)</f>
        <v>70</v>
      </c>
      <c r="S44" s="391"/>
      <c r="T44" s="405">
        <v>11.0</v>
      </c>
      <c r="U44" s="392">
        <v>13.0</v>
      </c>
      <c r="V44" s="393">
        <v>80.0</v>
      </c>
      <c r="W44" s="393">
        <v>68.0</v>
      </c>
      <c r="X44" s="406">
        <v>66.0</v>
      </c>
      <c r="Y44" s="392"/>
      <c r="Z44" s="407"/>
      <c r="AA44" s="408">
        <v>51.2</v>
      </c>
      <c r="AB44" s="409">
        <v>52.0</v>
      </c>
      <c r="AC44" s="410">
        <v>85.0</v>
      </c>
      <c r="AD44" s="395">
        <v>0.0</v>
      </c>
      <c r="AE44" s="396">
        <v>10.0</v>
      </c>
      <c r="AF44" s="398"/>
      <c r="AG44" s="398">
        <v>71.0</v>
      </c>
      <c r="AH44" s="398"/>
      <c r="AI44" s="398"/>
      <c r="AJ44" s="398"/>
      <c r="AK44" s="399">
        <f t="shared" si="1"/>
        <v>4</v>
      </c>
      <c r="AL44" s="399">
        <f t="shared" si="2"/>
        <v>2</v>
      </c>
      <c r="AM44" s="400">
        <f t="shared" si="3"/>
        <v>3</v>
      </c>
      <c r="AN44" s="399" t="str">
        <f t="shared" si="4"/>
        <v>3</v>
      </c>
      <c r="AO44" s="399">
        <f t="shared" si="5"/>
        <v>3</v>
      </c>
      <c r="AP44" s="367"/>
      <c r="AQ44" s="367"/>
      <c r="AR44" s="367"/>
    </row>
    <row r="45">
      <c r="A45" s="385">
        <v>40.0</v>
      </c>
      <c r="B45" s="401" t="s">
        <v>2141</v>
      </c>
      <c r="C45" s="401" t="s">
        <v>3048</v>
      </c>
      <c r="D45" s="402" t="str">
        <f>VLOOKUP(B45,USN!$1:$1088,2,FALSE)</f>
        <v>1CR23CD042</v>
      </c>
      <c r="E45" s="401">
        <v>7.676921343E9</v>
      </c>
      <c r="F45" s="401" t="s">
        <v>3743</v>
      </c>
      <c r="G45" s="387"/>
      <c r="H45" s="403">
        <v>75.0</v>
      </c>
      <c r="I45" s="403">
        <v>80.0</v>
      </c>
      <c r="J45" s="389">
        <f>VLOOKUP(D45,'L3'!$1:$2060,2,FALSE)</f>
        <v>70</v>
      </c>
      <c r="K45" s="389">
        <f>VLOOKUP(D45,'L4'!$1:$2059,2,FALSE)</f>
        <v>70</v>
      </c>
      <c r="L45" s="390">
        <f>VLOOKUP(D45,'A1 RETEST 5 DEC'!$1:$2096,2,FALSE)</f>
        <v>50</v>
      </c>
      <c r="M45" s="390">
        <f>VLOOKUP(D45,'A2 RETEST 4 DEC'!$1:$2096,2,FALSE)</f>
        <v>25</v>
      </c>
      <c r="N45" s="404">
        <v>6.0</v>
      </c>
      <c r="O45" s="390"/>
      <c r="P45" s="391">
        <f>IFNA(vlookup(D45,'S1'!$1:$1325,2,0),0)</f>
        <v>77</v>
      </c>
      <c r="Q45" s="391">
        <f>vlookup(D45,'S2'!A41:B1243,2,0)</f>
        <v>50</v>
      </c>
      <c r="R45" s="391">
        <f>ifna(vlookup(D45,'S3'!$1:$1311,2,False),0)</f>
        <v>0</v>
      </c>
      <c r="S45" s="391"/>
      <c r="T45" s="405">
        <v>19.0</v>
      </c>
      <c r="U45" s="392">
        <v>19.0</v>
      </c>
      <c r="V45" s="393">
        <v>72.0</v>
      </c>
      <c r="W45" s="393">
        <v>60.0</v>
      </c>
      <c r="X45" s="406">
        <v>78.0</v>
      </c>
      <c r="Y45" s="392"/>
      <c r="Z45" s="407"/>
      <c r="AA45" s="408"/>
      <c r="AB45" s="409">
        <v>80.0</v>
      </c>
      <c r="AC45" s="410">
        <v>100.0</v>
      </c>
      <c r="AD45" s="395">
        <v>0.0</v>
      </c>
      <c r="AE45" s="396">
        <v>10.0</v>
      </c>
      <c r="AF45" s="398"/>
      <c r="AG45" s="398">
        <v>10.0</v>
      </c>
      <c r="AH45" s="398"/>
      <c r="AI45" s="398"/>
      <c r="AJ45" s="398"/>
      <c r="AK45" s="399">
        <f t="shared" si="1"/>
        <v>4</v>
      </c>
      <c r="AL45" s="399">
        <f t="shared" si="2"/>
        <v>1</v>
      </c>
      <c r="AM45" s="400">
        <f t="shared" si="3"/>
        <v>3</v>
      </c>
      <c r="AN45" s="399" t="str">
        <f t="shared" si="4"/>
        <v>3</v>
      </c>
      <c r="AO45" s="399">
        <f t="shared" si="5"/>
        <v>2</v>
      </c>
      <c r="AP45" s="367"/>
      <c r="AQ45" s="367"/>
      <c r="AR45" s="367"/>
    </row>
    <row r="46">
      <c r="A46" s="385">
        <v>41.0</v>
      </c>
      <c r="B46" s="401" t="s">
        <v>2124</v>
      </c>
      <c r="C46" s="401" t="s">
        <v>3049</v>
      </c>
      <c r="D46" s="402" t="str">
        <f>VLOOKUP(B46,USN!$1:$1088,2,FALSE)</f>
        <v>1CR23CD043</v>
      </c>
      <c r="E46" s="401">
        <v>8.897282666E9</v>
      </c>
      <c r="F46" s="401" t="s">
        <v>3743</v>
      </c>
      <c r="G46" s="387"/>
      <c r="H46" s="403">
        <v>76.0</v>
      </c>
      <c r="I46" s="403">
        <v>79.0</v>
      </c>
      <c r="J46" s="389">
        <f>VLOOKUP(D46,'L3'!$1:$2060,2,FALSE)</f>
        <v>70</v>
      </c>
      <c r="K46" s="389">
        <f>VLOOKUP(D46,'L4'!$1:$2059,2,FALSE)</f>
        <v>74</v>
      </c>
      <c r="L46" s="390">
        <f>VLOOKUP(D46,'A1 RETEST 5 DEC'!$1:$2096,2,FALSE)</f>
        <v>50</v>
      </c>
      <c r="M46" s="390">
        <f>VLOOKUP(D46,'A2 RETEST 4 DEC'!$1:$2096,2,FALSE)</f>
        <v>23</v>
      </c>
      <c r="N46" s="404">
        <v>12.0</v>
      </c>
      <c r="O46" s="390"/>
      <c r="P46" s="391">
        <f>IFNA(vlookup(D46,'S1'!$1:$1325,2,0),0)</f>
        <v>73</v>
      </c>
      <c r="Q46" s="391">
        <f>vlookup(D46,'S2'!A42:B1244,2,0)</f>
        <v>55</v>
      </c>
      <c r="R46" s="391">
        <f>ifna(vlookup(D46,'S3'!$1:$1311,2,False),0)</f>
        <v>92</v>
      </c>
      <c r="S46" s="391"/>
      <c r="T46" s="405">
        <v>18.0</v>
      </c>
      <c r="U46" s="392">
        <v>18.0</v>
      </c>
      <c r="V46" s="393">
        <v>70.0</v>
      </c>
      <c r="W46" s="393">
        <v>62.0</v>
      </c>
      <c r="X46" s="406">
        <v>72.0</v>
      </c>
      <c r="Y46" s="392"/>
      <c r="Z46" s="407"/>
      <c r="AA46" s="408">
        <v>63.0</v>
      </c>
      <c r="AB46" s="409">
        <v>64.0</v>
      </c>
      <c r="AC46" s="410">
        <v>7.0</v>
      </c>
      <c r="AD46" s="395">
        <v>12.0</v>
      </c>
      <c r="AE46" s="396">
        <v>10.0</v>
      </c>
      <c r="AF46" s="398"/>
      <c r="AG46" s="398">
        <v>71.0</v>
      </c>
      <c r="AH46" s="398"/>
      <c r="AI46" s="398"/>
      <c r="AJ46" s="398"/>
      <c r="AK46" s="399">
        <f t="shared" si="1"/>
        <v>4</v>
      </c>
      <c r="AL46" s="399">
        <f t="shared" si="2"/>
        <v>1</v>
      </c>
      <c r="AM46" s="400">
        <f t="shared" si="3"/>
        <v>3</v>
      </c>
      <c r="AN46" s="399" t="str">
        <f t="shared" si="4"/>
        <v>2</v>
      </c>
      <c r="AO46" s="399">
        <f t="shared" si="5"/>
        <v>3</v>
      </c>
      <c r="AP46" s="367"/>
      <c r="AQ46" s="367"/>
      <c r="AR46" s="367"/>
    </row>
    <row r="47">
      <c r="A47" s="385">
        <v>42.0</v>
      </c>
      <c r="B47" s="401" t="s">
        <v>2125</v>
      </c>
      <c r="C47" s="401" t="s">
        <v>3050</v>
      </c>
      <c r="D47" s="402" t="str">
        <f>VLOOKUP(B47,USN!$1:$1088,2,FALSE)</f>
        <v>1CR23CD044</v>
      </c>
      <c r="E47" s="401">
        <v>9.380388648E9</v>
      </c>
      <c r="F47" s="401" t="s">
        <v>3743</v>
      </c>
      <c r="G47" s="387"/>
      <c r="H47" s="403">
        <v>81.0</v>
      </c>
      <c r="I47" s="403">
        <v>81.0</v>
      </c>
      <c r="J47" s="389">
        <f>VLOOKUP(D47,'L3'!$1:$2060,2,FALSE)</f>
        <v>70</v>
      </c>
      <c r="K47" s="389">
        <f>VLOOKUP(D47,'L4'!$1:$2059,2,FALSE)</f>
        <v>81</v>
      </c>
      <c r="L47" s="390">
        <f>VLOOKUP(D47,'A1 RETEST 5 DEC'!$1:$2096,2,FALSE)</f>
        <v>35</v>
      </c>
      <c r="M47" s="390">
        <f>VLOOKUP(D47,'A2 RETEST 4 DEC'!$1:$2096,2,FALSE)</f>
        <v>33</v>
      </c>
      <c r="N47" s="404">
        <v>0.0</v>
      </c>
      <c r="O47" s="390"/>
      <c r="P47" s="391">
        <f>IFNA(vlookup(D47,'S1'!$1:$1325,2,0),0)</f>
        <v>50</v>
      </c>
      <c r="Q47" s="391">
        <f>vlookup(D47,'S2'!A43:B1245,2,0)</f>
        <v>0</v>
      </c>
      <c r="R47" s="391">
        <f>ifna(vlookup(D47,'S3'!$1:$1311,2,False),0)</f>
        <v>0</v>
      </c>
      <c r="S47" s="391"/>
      <c r="T47" s="405">
        <v>16.0</v>
      </c>
      <c r="U47" s="392">
        <v>17.0</v>
      </c>
      <c r="V47" s="393">
        <v>42.0</v>
      </c>
      <c r="W47" s="393">
        <v>24.0</v>
      </c>
      <c r="X47" s="412" t="s">
        <v>3717</v>
      </c>
      <c r="Y47" s="392"/>
      <c r="Z47" s="407"/>
      <c r="AA47" s="408">
        <v>58.0</v>
      </c>
      <c r="AB47" s="409">
        <v>90.0</v>
      </c>
      <c r="AC47" s="410">
        <v>56.0</v>
      </c>
      <c r="AD47" s="395">
        <v>2.0</v>
      </c>
      <c r="AE47" s="396">
        <v>10.0</v>
      </c>
      <c r="AF47" s="398"/>
      <c r="AG47" s="398">
        <v>15.0</v>
      </c>
      <c r="AH47" s="398"/>
      <c r="AI47" s="398"/>
      <c r="AJ47" s="398"/>
      <c r="AK47" s="399">
        <f t="shared" si="1"/>
        <v>4</v>
      </c>
      <c r="AL47" s="399">
        <f t="shared" si="2"/>
        <v>0</v>
      </c>
      <c r="AM47" s="400">
        <f t="shared" si="3"/>
        <v>2</v>
      </c>
      <c r="AN47" s="399" t="str">
        <f t="shared" si="4"/>
        <v>2</v>
      </c>
      <c r="AO47" s="399">
        <f t="shared" si="5"/>
        <v>1</v>
      </c>
      <c r="AP47" s="367"/>
      <c r="AQ47" s="367"/>
      <c r="AR47" s="367"/>
    </row>
    <row r="48">
      <c r="A48" s="385">
        <v>43.0</v>
      </c>
      <c r="B48" s="401" t="s">
        <v>2127</v>
      </c>
      <c r="C48" s="401" t="s">
        <v>3052</v>
      </c>
      <c r="D48" s="402" t="str">
        <f>VLOOKUP(B48,USN!$1:$1088,2,FALSE)</f>
        <v>1CR23CD046</v>
      </c>
      <c r="E48" s="401">
        <v>9.90245946E9</v>
      </c>
      <c r="F48" s="401" t="s">
        <v>3743</v>
      </c>
      <c r="G48" s="387"/>
      <c r="H48" s="403">
        <v>85.0</v>
      </c>
      <c r="I48" s="403">
        <v>89.0</v>
      </c>
      <c r="J48" s="389">
        <f>VLOOKUP(D48,'L3'!$1:$2060,2,FALSE)</f>
        <v>74</v>
      </c>
      <c r="K48" s="389">
        <f>VLOOKUP(D48,'L4'!$1:$2059,2,FALSE)</f>
        <v>86</v>
      </c>
      <c r="L48" s="390">
        <f>VLOOKUP(D48,'A1 RETEST 5 DEC'!$1:$2096,2,FALSE)</f>
        <v>80</v>
      </c>
      <c r="M48" s="390">
        <f>VLOOKUP(D48,'A2 RETEST 4 DEC'!$1:$2096,2,FALSE)</f>
        <v>77</v>
      </c>
      <c r="N48" s="404">
        <v>66.0</v>
      </c>
      <c r="O48" s="390"/>
      <c r="P48" s="391">
        <f>IFNA(vlookup(D48,'S1'!$1:$1325,2,0),0)</f>
        <v>78</v>
      </c>
      <c r="Q48" s="391">
        <f>vlookup(D48,'S2'!A44:B1246,2,0)</f>
        <v>72</v>
      </c>
      <c r="R48" s="391">
        <f>ifna(vlookup(D48,'S3'!$1:$1311,2,False),0)</f>
        <v>85</v>
      </c>
      <c r="S48" s="391"/>
      <c r="T48" s="405">
        <v>13.0</v>
      </c>
      <c r="U48" s="392">
        <v>16.0</v>
      </c>
      <c r="V48" s="393">
        <v>78.0</v>
      </c>
      <c r="W48" s="393">
        <v>70.0</v>
      </c>
      <c r="X48" s="406">
        <v>72.0</v>
      </c>
      <c r="Y48" s="392"/>
      <c r="Z48" s="407"/>
      <c r="AA48" s="408">
        <v>97.0</v>
      </c>
      <c r="AB48" s="409">
        <v>100.0</v>
      </c>
      <c r="AC48" s="410">
        <v>98.0</v>
      </c>
      <c r="AD48" s="395">
        <v>80.0</v>
      </c>
      <c r="AE48" s="396">
        <v>70.0</v>
      </c>
      <c r="AF48" s="398"/>
      <c r="AG48" s="398">
        <v>73.0</v>
      </c>
      <c r="AH48" s="398"/>
      <c r="AI48" s="398"/>
      <c r="AJ48" s="398"/>
      <c r="AK48" s="399">
        <f t="shared" si="1"/>
        <v>4</v>
      </c>
      <c r="AL48" s="399">
        <f t="shared" si="2"/>
        <v>3</v>
      </c>
      <c r="AM48" s="400">
        <f t="shared" si="3"/>
        <v>3</v>
      </c>
      <c r="AN48" s="399" t="str">
        <f t="shared" si="4"/>
        <v>3.5</v>
      </c>
      <c r="AO48" s="399">
        <f t="shared" si="5"/>
        <v>3</v>
      </c>
      <c r="AP48" s="367"/>
      <c r="AQ48" s="367"/>
      <c r="AR48" s="367"/>
    </row>
    <row r="49">
      <c r="A49" s="385">
        <v>44.0</v>
      </c>
      <c r="B49" s="401" t="s">
        <v>2128</v>
      </c>
      <c r="C49" s="401" t="s">
        <v>3053</v>
      </c>
      <c r="D49" s="402" t="str">
        <f>VLOOKUP(B49,USN!$1:$1088,2,FALSE)</f>
        <v>1CR23CD047</v>
      </c>
      <c r="E49" s="401">
        <v>9.482452588E9</v>
      </c>
      <c r="F49" s="401" t="s">
        <v>3743</v>
      </c>
      <c r="G49" s="387"/>
      <c r="H49" s="403">
        <v>88.0</v>
      </c>
      <c r="I49" s="403">
        <v>86.0</v>
      </c>
      <c r="J49" s="389">
        <f>VLOOKUP(D49,'L3'!$1:$2060,2,FALSE)</f>
        <v>74</v>
      </c>
      <c r="K49" s="389">
        <f>VLOOKUP(D49,'L4'!$1:$2059,2,FALSE)</f>
        <v>75</v>
      </c>
      <c r="L49" s="390">
        <f>VLOOKUP(D49,'A1 RETEST 5 DEC'!$1:$2096,2,FALSE)</f>
        <v>50</v>
      </c>
      <c r="M49" s="390">
        <f>VLOOKUP(D49,'A2 RETEST 4 DEC'!$1:$2096,2,FALSE)</f>
        <v>27</v>
      </c>
      <c r="N49" s="404">
        <v>50.0</v>
      </c>
      <c r="O49" s="390"/>
      <c r="P49" s="391">
        <f>IFNA(vlookup(D49,'S1'!$1:$1325,2,0),0)</f>
        <v>73</v>
      </c>
      <c r="Q49" s="391">
        <f>vlookup(D49,'S2'!A45:B1247,2,0)</f>
        <v>60</v>
      </c>
      <c r="R49" s="391">
        <f>ifna(vlookup(D49,'S3'!$1:$1311,2,False),0)</f>
        <v>90</v>
      </c>
      <c r="S49" s="391"/>
      <c r="T49" s="405">
        <v>22.0</v>
      </c>
      <c r="U49" s="392">
        <v>16.0</v>
      </c>
      <c r="V49" s="393">
        <v>88.0</v>
      </c>
      <c r="W49" s="393">
        <v>98.0</v>
      </c>
      <c r="X49" s="406">
        <v>68.0</v>
      </c>
      <c r="Y49" s="392"/>
      <c r="Z49" s="407"/>
      <c r="AA49" s="408">
        <v>86.0</v>
      </c>
      <c r="AB49" s="409">
        <v>90.0</v>
      </c>
      <c r="AC49" s="410">
        <v>79.0</v>
      </c>
      <c r="AD49" s="395">
        <v>92.0</v>
      </c>
      <c r="AE49" s="396">
        <v>83.0</v>
      </c>
      <c r="AF49" s="398"/>
      <c r="AG49" s="398">
        <v>79.0</v>
      </c>
      <c r="AH49" s="398"/>
      <c r="AI49" s="398"/>
      <c r="AJ49" s="398"/>
      <c r="AK49" s="399">
        <f t="shared" si="1"/>
        <v>4</v>
      </c>
      <c r="AL49" s="399">
        <f t="shared" si="2"/>
        <v>1</v>
      </c>
      <c r="AM49" s="400">
        <f t="shared" si="3"/>
        <v>3</v>
      </c>
      <c r="AN49" s="399" t="str">
        <f t="shared" si="4"/>
        <v>3.5</v>
      </c>
      <c r="AO49" s="399">
        <f t="shared" si="5"/>
        <v>3</v>
      </c>
      <c r="AP49" s="367"/>
      <c r="AQ49" s="367"/>
      <c r="AR49" s="367"/>
    </row>
    <row r="50">
      <c r="A50" s="385">
        <v>45.0</v>
      </c>
      <c r="B50" s="401" t="s">
        <v>2129</v>
      </c>
      <c r="C50" s="401" t="s">
        <v>3054</v>
      </c>
      <c r="D50" s="402" t="str">
        <f>VLOOKUP(B50,USN!$1:$1088,2,FALSE)</f>
        <v>1CR23CD048</v>
      </c>
      <c r="E50" s="401">
        <v>6.360049012E9</v>
      </c>
      <c r="F50" s="401" t="s">
        <v>3743</v>
      </c>
      <c r="G50" s="387"/>
      <c r="H50" s="403">
        <v>77.0</v>
      </c>
      <c r="I50" s="403">
        <v>80.0</v>
      </c>
      <c r="J50" s="389">
        <f>VLOOKUP(D50,'L3'!$1:$2060,2,FALSE)</f>
        <v>70</v>
      </c>
      <c r="K50" s="389">
        <f>VLOOKUP(D50,'L4'!$1:$2059,2,FALSE)</f>
        <v>70</v>
      </c>
      <c r="L50" s="390">
        <f>VLOOKUP(D50,'A1 RETEST 5 DEC'!$1:$2096,2,FALSE)</f>
        <v>50</v>
      </c>
      <c r="M50" s="390">
        <f>VLOOKUP(D50,'A2 RETEST 4 DEC'!$1:$2096,2,FALSE)</f>
        <v>50</v>
      </c>
      <c r="N50" s="404">
        <v>50.0</v>
      </c>
      <c r="O50" s="390"/>
      <c r="P50" s="391">
        <f>IFNA(vlookup(D50,'S1'!$1:$1325,2,0),0)</f>
        <v>50</v>
      </c>
      <c r="Q50" s="391">
        <f>vlookup(D50,'S2'!A46:B1248,2,0)</f>
        <v>50</v>
      </c>
      <c r="R50" s="391">
        <f>ifna(vlookup(D50,'S3'!$1:$1311,2,False),0)</f>
        <v>82</v>
      </c>
      <c r="S50" s="391"/>
      <c r="T50" s="405">
        <v>16.0</v>
      </c>
      <c r="U50" s="392">
        <v>21.0</v>
      </c>
      <c r="V50" s="393">
        <v>92.0</v>
      </c>
      <c r="W50" s="393">
        <v>82.0</v>
      </c>
      <c r="X50" s="406">
        <v>84.0</v>
      </c>
      <c r="Y50" s="392"/>
      <c r="Z50" s="407"/>
      <c r="AA50" s="408">
        <v>37.0</v>
      </c>
      <c r="AB50" s="409">
        <v>58.0</v>
      </c>
      <c r="AC50" s="410">
        <v>60.0</v>
      </c>
      <c r="AD50" s="395">
        <v>1.0</v>
      </c>
      <c r="AE50" s="396">
        <v>70.0</v>
      </c>
      <c r="AF50" s="398"/>
      <c r="AG50" s="398">
        <v>75.0</v>
      </c>
      <c r="AH50" s="398"/>
      <c r="AI50" s="398"/>
      <c r="AJ50" s="398"/>
      <c r="AK50" s="399">
        <f t="shared" si="1"/>
        <v>4</v>
      </c>
      <c r="AL50" s="399">
        <f t="shared" si="2"/>
        <v>3</v>
      </c>
      <c r="AM50" s="400">
        <f t="shared" si="3"/>
        <v>3</v>
      </c>
      <c r="AN50" s="399" t="str">
        <f t="shared" si="4"/>
        <v>3.5</v>
      </c>
      <c r="AO50" s="399">
        <f t="shared" si="5"/>
        <v>3</v>
      </c>
      <c r="AP50" s="367"/>
      <c r="AQ50" s="367"/>
      <c r="AR50" s="367"/>
    </row>
    <row r="51">
      <c r="A51" s="385">
        <v>46.0</v>
      </c>
      <c r="B51" s="401" t="s">
        <v>2130</v>
      </c>
      <c r="C51" s="401" t="s">
        <v>3055</v>
      </c>
      <c r="D51" s="402" t="str">
        <f>VLOOKUP(B51,USN!$1:$1088,2,FALSE)</f>
        <v>1CR23CD049</v>
      </c>
      <c r="E51" s="401">
        <v>7.899422347E9</v>
      </c>
      <c r="F51" s="401" t="s">
        <v>3743</v>
      </c>
      <c r="G51" s="387"/>
      <c r="H51" s="403">
        <v>73.0</v>
      </c>
      <c r="I51" s="403">
        <v>71.0</v>
      </c>
      <c r="J51" s="389">
        <f>VLOOKUP(D51,'L3'!$1:$2060,2,FALSE)</f>
        <v>70</v>
      </c>
      <c r="K51" s="389">
        <f>VLOOKUP(D51,'L4'!$1:$2059,2,FALSE)</f>
        <v>70</v>
      </c>
      <c r="L51" s="390">
        <f>VLOOKUP(D51,'A1 RETEST 5 DEC'!$1:$2096,2,FALSE)</f>
        <v>50</v>
      </c>
      <c r="M51" s="390">
        <f>VLOOKUP(D51,'A2 RETEST 4 DEC'!$1:$2096,2,FALSE)</f>
        <v>16</v>
      </c>
      <c r="N51" s="404">
        <v>32.0</v>
      </c>
      <c r="O51" s="390"/>
      <c r="P51" s="391">
        <f>IFNA(vlookup(D51,'S1'!$1:$1325,2,0),0)</f>
        <v>73</v>
      </c>
      <c r="Q51" s="391">
        <f>vlookup(D51,'S2'!A47:B1249,2,0)</f>
        <v>56</v>
      </c>
      <c r="R51" s="391">
        <f>ifna(vlookup(D51,'S3'!$1:$1311,2,False),0)</f>
        <v>75</v>
      </c>
      <c r="S51" s="391"/>
      <c r="T51" s="405">
        <v>19.0</v>
      </c>
      <c r="U51" s="392">
        <v>16.0</v>
      </c>
      <c r="V51" s="393">
        <v>32.0</v>
      </c>
      <c r="W51" s="393">
        <v>78.0</v>
      </c>
      <c r="X51" s="406">
        <v>76.0</v>
      </c>
      <c r="Y51" s="392"/>
      <c r="Z51" s="407"/>
      <c r="AA51" s="408">
        <v>81.0</v>
      </c>
      <c r="AB51" s="409">
        <v>88.0</v>
      </c>
      <c r="AC51" s="410">
        <v>62.0</v>
      </c>
      <c r="AD51" s="395">
        <v>0.0</v>
      </c>
      <c r="AE51" s="396">
        <v>80.0</v>
      </c>
      <c r="AF51" s="398"/>
      <c r="AG51" s="398">
        <v>79.0</v>
      </c>
      <c r="AH51" s="398"/>
      <c r="AI51" s="398"/>
      <c r="AJ51" s="398"/>
      <c r="AK51" s="399">
        <f t="shared" si="1"/>
        <v>4</v>
      </c>
      <c r="AL51" s="399">
        <f t="shared" si="2"/>
        <v>1</v>
      </c>
      <c r="AM51" s="400">
        <f t="shared" si="3"/>
        <v>3</v>
      </c>
      <c r="AN51" s="399" t="str">
        <f t="shared" si="4"/>
        <v>3.5</v>
      </c>
      <c r="AO51" s="399">
        <f t="shared" si="5"/>
        <v>3</v>
      </c>
      <c r="AP51" s="367"/>
      <c r="AQ51" s="367"/>
      <c r="AR51" s="367"/>
    </row>
    <row r="52">
      <c r="A52" s="385">
        <v>47.0</v>
      </c>
      <c r="B52" s="401" t="s">
        <v>2131</v>
      </c>
      <c r="C52" s="401" t="s">
        <v>3056</v>
      </c>
      <c r="D52" s="402" t="str">
        <f>VLOOKUP(B52,USN!$1:$1088,2,FALSE)</f>
        <v>1CR23CD050</v>
      </c>
      <c r="E52" s="401">
        <v>8.903988165E9</v>
      </c>
      <c r="F52" s="401" t="s">
        <v>3743</v>
      </c>
      <c r="G52" s="387"/>
      <c r="H52" s="403">
        <v>81.0</v>
      </c>
      <c r="I52" s="403">
        <v>86.0</v>
      </c>
      <c r="J52" s="389">
        <f>VLOOKUP(D52,'L3'!$1:$2060,2,FALSE)</f>
        <v>78</v>
      </c>
      <c r="K52" s="389">
        <f>VLOOKUP(D52,'L4'!$1:$2059,2,FALSE)</f>
        <v>70</v>
      </c>
      <c r="L52" s="390">
        <f>VLOOKUP(D52,'A1 RETEST 5 DEC'!$1:$2096,2,FALSE)</f>
        <v>52</v>
      </c>
      <c r="M52" s="390">
        <f>VLOOKUP(D52,'A2 RETEST 4 DEC'!$1:$2096,2,FALSE)</f>
        <v>31</v>
      </c>
      <c r="N52" s="404">
        <v>17.0</v>
      </c>
      <c r="O52" s="390"/>
      <c r="P52" s="391">
        <f>IFNA(vlookup(D52,'S1'!$1:$1325,2,0),0)</f>
        <v>73</v>
      </c>
      <c r="Q52" s="391">
        <f>vlookup(D52,'S2'!A48:B1250,2,0)</f>
        <v>55</v>
      </c>
      <c r="R52" s="391">
        <f>ifna(vlookup(D52,'S3'!$1:$1311,2,False),0)</f>
        <v>0</v>
      </c>
      <c r="S52" s="391"/>
      <c r="T52" s="405">
        <v>19.0</v>
      </c>
      <c r="U52" s="392">
        <v>15.0</v>
      </c>
      <c r="V52" s="393">
        <v>68.0</v>
      </c>
      <c r="W52" s="393">
        <v>76.0</v>
      </c>
      <c r="X52" s="406">
        <v>72.0</v>
      </c>
      <c r="Y52" s="392"/>
      <c r="Z52" s="407"/>
      <c r="AA52" s="408">
        <v>41.0</v>
      </c>
      <c r="AB52" s="409">
        <v>89.0</v>
      </c>
      <c r="AC52" s="410">
        <v>80.0</v>
      </c>
      <c r="AD52" s="395">
        <v>18.0</v>
      </c>
      <c r="AE52" s="396">
        <v>87.0</v>
      </c>
      <c r="AF52" s="398"/>
      <c r="AG52" s="398">
        <v>71.0</v>
      </c>
      <c r="AH52" s="398"/>
      <c r="AI52" s="398"/>
      <c r="AJ52" s="398"/>
      <c r="AK52" s="399">
        <f t="shared" si="1"/>
        <v>4</v>
      </c>
      <c r="AL52" s="399">
        <f t="shared" si="2"/>
        <v>1</v>
      </c>
      <c r="AM52" s="400">
        <f t="shared" si="3"/>
        <v>3</v>
      </c>
      <c r="AN52" s="399" t="str">
        <f t="shared" si="4"/>
        <v>3.5</v>
      </c>
      <c r="AO52" s="399">
        <f t="shared" si="5"/>
        <v>2</v>
      </c>
      <c r="AP52" s="367"/>
      <c r="AQ52" s="367"/>
      <c r="AR52" s="367"/>
    </row>
    <row r="53">
      <c r="A53" s="385">
        <v>48.0</v>
      </c>
      <c r="B53" s="401" t="s">
        <v>2151</v>
      </c>
      <c r="C53" s="401" t="s">
        <v>3751</v>
      </c>
      <c r="D53" s="402" t="str">
        <f>VLOOKUP(B53,USN!$1:$1088,2,FALSE)</f>
        <v>1CR23CD051</v>
      </c>
      <c r="E53" s="401">
        <v>9.886416668E9</v>
      </c>
      <c r="F53" s="401" t="s">
        <v>3743</v>
      </c>
      <c r="G53" s="387"/>
      <c r="H53" s="403">
        <v>91.0</v>
      </c>
      <c r="I53" s="403">
        <v>92.0</v>
      </c>
      <c r="J53" s="389">
        <f>VLOOKUP(D53,'L3'!$1:$2060,2,FALSE)</f>
        <v>83</v>
      </c>
      <c r="K53" s="389">
        <f>VLOOKUP(D53,'L4'!$1:$2059,2,FALSE)</f>
        <v>83</v>
      </c>
      <c r="L53" s="390">
        <f>VLOOKUP(D53,'A1 RETEST 5 DEC'!$1:$2096,2,FALSE)</f>
        <v>52</v>
      </c>
      <c r="M53" s="390">
        <f>VLOOKUP(D53,'A2 RETEST 4 DEC'!$1:$2096,2,FALSE)</f>
        <v>50</v>
      </c>
      <c r="N53" s="404">
        <v>50.0</v>
      </c>
      <c r="O53" s="390"/>
      <c r="P53" s="391">
        <f>IFNA(vlookup(D53,'S1'!$1:$1325,2,0),0)</f>
        <v>74</v>
      </c>
      <c r="Q53" s="391">
        <f>vlookup(D53,'S2'!A49:B1251,2,0)</f>
        <v>55</v>
      </c>
      <c r="R53" s="391">
        <f>ifna(vlookup(D53,'S3'!$1:$1311,2,False),0)</f>
        <v>74</v>
      </c>
      <c r="S53" s="391"/>
      <c r="T53" s="405">
        <v>13.0</v>
      </c>
      <c r="U53" s="392">
        <v>18.0</v>
      </c>
      <c r="V53" s="393">
        <v>42.0</v>
      </c>
      <c r="W53" s="393">
        <v>90.0</v>
      </c>
      <c r="X53" s="406">
        <v>88.0</v>
      </c>
      <c r="Y53" s="392"/>
      <c r="Z53" s="407"/>
      <c r="AA53" s="408"/>
      <c r="AB53" s="409">
        <v>93.0</v>
      </c>
      <c r="AC53" s="410">
        <v>100.0</v>
      </c>
      <c r="AD53" s="395">
        <v>80.0</v>
      </c>
      <c r="AE53" s="396">
        <v>80.0</v>
      </c>
      <c r="AF53" s="398"/>
      <c r="AG53" s="398">
        <v>75.0</v>
      </c>
      <c r="AH53" s="398"/>
      <c r="AI53" s="398"/>
      <c r="AJ53" s="398"/>
      <c r="AK53" s="399">
        <f t="shared" si="1"/>
        <v>4</v>
      </c>
      <c r="AL53" s="399">
        <f t="shared" si="2"/>
        <v>3</v>
      </c>
      <c r="AM53" s="400">
        <f t="shared" si="3"/>
        <v>3</v>
      </c>
      <c r="AN53" s="399" t="str">
        <f t="shared" si="4"/>
        <v>3.5</v>
      </c>
      <c r="AO53" s="399">
        <f t="shared" si="5"/>
        <v>3</v>
      </c>
      <c r="AP53" s="367"/>
      <c r="AQ53" s="367"/>
      <c r="AR53" s="367"/>
    </row>
    <row r="54">
      <c r="A54" s="385">
        <v>49.0</v>
      </c>
      <c r="B54" s="401" t="s">
        <v>2132</v>
      </c>
      <c r="C54" s="401" t="s">
        <v>3058</v>
      </c>
      <c r="D54" s="402" t="str">
        <f>VLOOKUP(B54,USN!$1:$1088,2,FALSE)</f>
        <v>1CR23CD052</v>
      </c>
      <c r="E54" s="401">
        <v>8.894184955E9</v>
      </c>
      <c r="F54" s="401" t="s">
        <v>3743</v>
      </c>
      <c r="G54" s="387"/>
      <c r="H54" s="403">
        <v>82.0</v>
      </c>
      <c r="I54" s="403">
        <v>84.0</v>
      </c>
      <c r="J54" s="389">
        <f>VLOOKUP(D54,'L3'!$1:$2060,2,FALSE)</f>
        <v>70</v>
      </c>
      <c r="K54" s="389">
        <f>VLOOKUP(D54,'L4'!$1:$2059,2,FALSE)</f>
        <v>70</v>
      </c>
      <c r="L54" s="390">
        <f>VLOOKUP(D54,'A1 RETEST 5 DEC'!$1:$2096,2,FALSE)</f>
        <v>50</v>
      </c>
      <c r="M54" s="390">
        <f>VLOOKUP(D54,'A2 RETEST 4 DEC'!$1:$2096,2,FALSE)</f>
        <v>50</v>
      </c>
      <c r="N54" s="404">
        <v>50.0</v>
      </c>
      <c r="O54" s="390"/>
      <c r="P54" s="391">
        <f>IFNA(vlookup(D54,'S1'!$1:$1325,2,0),0)</f>
        <v>50</v>
      </c>
      <c r="Q54" s="391">
        <f>vlookup(D54,'S2'!A50:B1252,2,0)</f>
        <v>80</v>
      </c>
      <c r="R54" s="391">
        <f>ifna(vlookup(D54,'S3'!$1:$1311,2,False),0)</f>
        <v>81</v>
      </c>
      <c r="S54" s="391"/>
      <c r="T54" s="405">
        <v>19.0</v>
      </c>
      <c r="U54" s="392">
        <v>18.0</v>
      </c>
      <c r="V54" s="393">
        <v>84.0</v>
      </c>
      <c r="W54" s="393">
        <v>72.0</v>
      </c>
      <c r="X54" s="406">
        <v>82.0</v>
      </c>
      <c r="Y54" s="392"/>
      <c r="Z54" s="407"/>
      <c r="AA54" s="408">
        <v>88.0</v>
      </c>
      <c r="AB54" s="409">
        <v>84.0</v>
      </c>
      <c r="AC54" s="410">
        <v>64.0</v>
      </c>
      <c r="AD54" s="395">
        <v>38.0</v>
      </c>
      <c r="AE54" s="396">
        <v>85.0</v>
      </c>
      <c r="AF54" s="398"/>
      <c r="AG54" s="398">
        <v>71.0</v>
      </c>
      <c r="AH54" s="398"/>
      <c r="AI54" s="398"/>
      <c r="AJ54" s="398"/>
      <c r="AK54" s="399">
        <f t="shared" si="1"/>
        <v>4</v>
      </c>
      <c r="AL54" s="399">
        <f t="shared" si="2"/>
        <v>3</v>
      </c>
      <c r="AM54" s="400">
        <f t="shared" si="3"/>
        <v>3</v>
      </c>
      <c r="AN54" s="399" t="str">
        <f t="shared" si="4"/>
        <v>3.5</v>
      </c>
      <c r="AO54" s="399">
        <f t="shared" si="5"/>
        <v>3</v>
      </c>
      <c r="AP54" s="367"/>
      <c r="AQ54" s="367"/>
      <c r="AR54" s="367"/>
    </row>
    <row r="55">
      <c r="A55" s="385">
        <v>50.0</v>
      </c>
      <c r="B55" s="401" t="s">
        <v>2133</v>
      </c>
      <c r="C55" s="401" t="s">
        <v>3752</v>
      </c>
      <c r="D55" s="402" t="str">
        <f>VLOOKUP(B55,USN!$1:$1088,2,FALSE)</f>
        <v>1CR23CD053</v>
      </c>
      <c r="E55" s="401">
        <v>9.074335718E9</v>
      </c>
      <c r="F55" s="401" t="s">
        <v>3743</v>
      </c>
      <c r="G55" s="387"/>
      <c r="H55" s="403">
        <v>81.0</v>
      </c>
      <c r="I55" s="403">
        <v>85.0</v>
      </c>
      <c r="J55" s="389">
        <f>VLOOKUP(D55,'L3'!$1:$2060,2,FALSE)</f>
        <v>70</v>
      </c>
      <c r="K55" s="389">
        <f>VLOOKUP(D55,'L4'!$1:$2059,2,FALSE)</f>
        <v>70</v>
      </c>
      <c r="L55" s="390">
        <f>VLOOKUP(D55,'A1 RETEST 5 DEC'!$1:$2096,2,FALSE)</f>
        <v>50</v>
      </c>
      <c r="M55" s="390">
        <f>VLOOKUP(D55,'A2 RETEST 4 DEC'!$1:$2096,2,FALSE)</f>
        <v>20</v>
      </c>
      <c r="N55" s="404">
        <v>7.0</v>
      </c>
      <c r="O55" s="390"/>
      <c r="P55" s="391">
        <f>IFNA(vlookup(D55,'S1'!$1:$1325,2,0),0)</f>
        <v>50</v>
      </c>
      <c r="Q55" s="391">
        <f>vlookup(D55,'S2'!A51:B1253,2,0)</f>
        <v>50</v>
      </c>
      <c r="R55" s="391">
        <f>ifna(vlookup(D55,'S3'!$1:$1311,2,False),0)</f>
        <v>0</v>
      </c>
      <c r="S55" s="391"/>
      <c r="T55" s="405">
        <v>15.0</v>
      </c>
      <c r="U55" s="392" t="s">
        <v>2477</v>
      </c>
      <c r="V55" s="393">
        <v>80.0</v>
      </c>
      <c r="W55" s="393">
        <v>70.0</v>
      </c>
      <c r="X55" s="406">
        <v>86.0</v>
      </c>
      <c r="Y55" s="392"/>
      <c r="Z55" s="407"/>
      <c r="AA55" s="408">
        <v>54.0</v>
      </c>
      <c r="AB55" s="409">
        <v>78.0</v>
      </c>
      <c r="AC55" s="410">
        <v>28.0</v>
      </c>
      <c r="AD55" s="395">
        <v>0.0</v>
      </c>
      <c r="AE55" s="396">
        <v>76.0</v>
      </c>
      <c r="AF55" s="398"/>
      <c r="AG55" s="398">
        <v>10.0</v>
      </c>
      <c r="AH55" s="398"/>
      <c r="AI55" s="398"/>
      <c r="AJ55" s="398"/>
      <c r="AK55" s="399">
        <f t="shared" si="1"/>
        <v>4</v>
      </c>
      <c r="AL55" s="399">
        <f t="shared" si="2"/>
        <v>1</v>
      </c>
      <c r="AM55" s="400">
        <f t="shared" si="3"/>
        <v>3</v>
      </c>
      <c r="AN55" s="399" t="str">
        <f t="shared" si="4"/>
        <v>2</v>
      </c>
      <c r="AO55" s="399">
        <f t="shared" si="5"/>
        <v>2</v>
      </c>
      <c r="AP55" s="367"/>
      <c r="AQ55" s="367"/>
      <c r="AR55" s="367"/>
    </row>
    <row r="56">
      <c r="A56" s="385">
        <v>51.0</v>
      </c>
      <c r="B56" s="401" t="s">
        <v>2157</v>
      </c>
      <c r="C56" s="411" t="s">
        <v>3061</v>
      </c>
      <c r="D56" s="402" t="str">
        <f>VLOOKUP(B56,USN!$1:$1088,2,FALSE)</f>
        <v>1CR23CD055</v>
      </c>
      <c r="E56" s="401">
        <v>6.361167314E9</v>
      </c>
      <c r="F56" s="401" t="s">
        <v>3743</v>
      </c>
      <c r="G56" s="387"/>
      <c r="H56" s="403">
        <v>89.0</v>
      </c>
      <c r="I56" s="403">
        <v>84.0</v>
      </c>
      <c r="J56" s="389">
        <f>VLOOKUP(D56,'L3'!$1:$2060,2,FALSE)</f>
        <v>70</v>
      </c>
      <c r="K56" s="389">
        <f>VLOOKUP(D56,'L4'!$1:$2059,2,FALSE)</f>
        <v>74</v>
      </c>
      <c r="L56" s="390">
        <f>VLOOKUP(D56,'A1 RETEST 5 DEC'!$1:$2096,2,FALSE)</f>
        <v>63</v>
      </c>
      <c r="M56" s="390">
        <f>VLOOKUP(D56,'A2 RETEST 4 DEC'!$1:$2096,2,FALSE)</f>
        <v>64</v>
      </c>
      <c r="N56" s="404">
        <v>74.0</v>
      </c>
      <c r="O56" s="390"/>
      <c r="P56" s="391">
        <f>IFNA(vlookup(D56,'S1'!$1:$1325,2,0),0)</f>
        <v>50</v>
      </c>
      <c r="Q56" s="391">
        <f>vlookup(D56,'S2'!A52:B1254,2,0)</f>
        <v>50</v>
      </c>
      <c r="R56" s="391">
        <f>ifna(vlookup(D56,'S3'!$1:$1311,2,False),0)</f>
        <v>84</v>
      </c>
      <c r="S56" s="391"/>
      <c r="T56" s="392">
        <v>10.0</v>
      </c>
      <c r="U56" s="392">
        <v>19.0</v>
      </c>
      <c r="V56" s="393">
        <v>86.0</v>
      </c>
      <c r="W56" s="393">
        <v>78.0</v>
      </c>
      <c r="X56" s="393">
        <v>76.0</v>
      </c>
      <c r="Y56" s="392"/>
      <c r="Z56" s="407"/>
      <c r="AA56" s="408"/>
      <c r="AB56" s="409">
        <v>93.0</v>
      </c>
      <c r="AC56" s="410">
        <v>100.0</v>
      </c>
      <c r="AD56" s="395">
        <v>41.0</v>
      </c>
      <c r="AE56" s="396">
        <v>70.0</v>
      </c>
      <c r="AF56" s="398"/>
      <c r="AG56" s="398">
        <v>83.0</v>
      </c>
      <c r="AH56" s="398"/>
      <c r="AI56" s="398"/>
      <c r="AJ56" s="398"/>
      <c r="AK56" s="399">
        <f t="shared" si="1"/>
        <v>4</v>
      </c>
      <c r="AL56" s="399">
        <f t="shared" si="2"/>
        <v>3</v>
      </c>
      <c r="AM56" s="400">
        <f t="shared" si="3"/>
        <v>3</v>
      </c>
      <c r="AN56" s="399" t="str">
        <f t="shared" si="4"/>
        <v>3.5</v>
      </c>
      <c r="AO56" s="399">
        <f t="shared" si="5"/>
        <v>3</v>
      </c>
      <c r="AP56" s="367"/>
      <c r="AQ56" s="367"/>
      <c r="AR56" s="367"/>
    </row>
    <row r="57">
      <c r="A57" s="385">
        <v>52.0</v>
      </c>
      <c r="B57" s="401" t="s">
        <v>2149</v>
      </c>
      <c r="C57" s="401" t="s">
        <v>3063</v>
      </c>
      <c r="D57" s="402" t="str">
        <f>VLOOKUP(B57,USN!$1:$1088,2,FALSE)</f>
        <v>1CR23CD057</v>
      </c>
      <c r="E57" s="401">
        <v>8.310083789E9</v>
      </c>
      <c r="F57" s="401" t="s">
        <v>3743</v>
      </c>
      <c r="G57" s="387"/>
      <c r="H57" s="403">
        <v>87.0</v>
      </c>
      <c r="I57" s="403">
        <v>91.0</v>
      </c>
      <c r="J57" s="389">
        <f>VLOOKUP(D57,'L3'!$1:$2060,2,FALSE)</f>
        <v>77</v>
      </c>
      <c r="K57" s="389">
        <f>VLOOKUP(D57,'L4'!$1:$2059,2,FALSE)</f>
        <v>75</v>
      </c>
      <c r="L57" s="390">
        <f>VLOOKUP(D57,'A1 RETEST 5 DEC'!$1:$2096,2,FALSE)</f>
        <v>62</v>
      </c>
      <c r="M57" s="390">
        <f>VLOOKUP(D57,'A2 RETEST 4 DEC'!$1:$2096,2,FALSE)</f>
        <v>50</v>
      </c>
      <c r="N57" s="404">
        <v>67.0</v>
      </c>
      <c r="O57" s="390"/>
      <c r="P57" s="391">
        <f>IFNA(vlookup(D57,'S1'!$1:$1325,2,0),0)</f>
        <v>87</v>
      </c>
      <c r="Q57" s="391">
        <f>vlookup(D57,'S2'!A53:B1255,2,0)</f>
        <v>80</v>
      </c>
      <c r="R57" s="391">
        <f>ifna(vlookup(D57,'S3'!$1:$1311,2,False),0)</f>
        <v>93</v>
      </c>
      <c r="S57" s="391"/>
      <c r="T57" s="405">
        <v>13.0</v>
      </c>
      <c r="U57" s="392">
        <v>19.0</v>
      </c>
      <c r="V57" s="393">
        <v>72.0</v>
      </c>
      <c r="W57" s="393">
        <v>80.0</v>
      </c>
      <c r="X57" s="406">
        <v>88.0</v>
      </c>
      <c r="Y57" s="392"/>
      <c r="Z57" s="407"/>
      <c r="AA57" s="408"/>
      <c r="AB57" s="409">
        <v>100.0</v>
      </c>
      <c r="AC57" s="410">
        <v>90.0</v>
      </c>
      <c r="AD57" s="395">
        <v>60.0</v>
      </c>
      <c r="AE57" s="396">
        <v>82.0</v>
      </c>
      <c r="AF57" s="398"/>
      <c r="AG57" s="398">
        <v>90.0</v>
      </c>
      <c r="AH57" s="398"/>
      <c r="AI57" s="398"/>
      <c r="AJ57" s="398"/>
      <c r="AK57" s="399">
        <f t="shared" si="1"/>
        <v>4</v>
      </c>
      <c r="AL57" s="399">
        <f t="shared" si="2"/>
        <v>3</v>
      </c>
      <c r="AM57" s="400">
        <f t="shared" si="3"/>
        <v>3</v>
      </c>
      <c r="AN57" s="399" t="str">
        <f t="shared" si="4"/>
        <v>3.5</v>
      </c>
      <c r="AO57" s="399">
        <f t="shared" si="5"/>
        <v>3</v>
      </c>
      <c r="AP57" s="367"/>
      <c r="AQ57" s="367"/>
      <c r="AR57" s="367"/>
    </row>
    <row r="58">
      <c r="A58" s="385">
        <v>53.0</v>
      </c>
      <c r="B58" s="401" t="s">
        <v>2153</v>
      </c>
      <c r="C58" s="401" t="s">
        <v>3064</v>
      </c>
      <c r="D58" s="402" t="str">
        <f>VLOOKUP(B58,USN!$1:$1088,2,FALSE)</f>
        <v>1CR23CD058</v>
      </c>
      <c r="E58" s="401">
        <v>9.035779733E9</v>
      </c>
      <c r="F58" s="401" t="s">
        <v>3743</v>
      </c>
      <c r="G58" s="387"/>
      <c r="H58" s="403">
        <v>80.0</v>
      </c>
      <c r="I58" s="403">
        <v>81.0</v>
      </c>
      <c r="J58" s="389">
        <f>VLOOKUP(D58,'L3'!$1:$2060,2,FALSE)</f>
        <v>70</v>
      </c>
      <c r="K58" s="389">
        <f>VLOOKUP(D58,'L4'!$1:$2059,2,FALSE)</f>
        <v>61</v>
      </c>
      <c r="L58" s="390">
        <f>VLOOKUP(D58,'A1 RETEST 5 DEC'!$1:$2096,2,FALSE)</f>
        <v>44</v>
      </c>
      <c r="M58" s="390">
        <f>VLOOKUP(D58,'A2 RETEST 4 DEC'!$1:$2096,2,FALSE)</f>
        <v>33</v>
      </c>
      <c r="N58" s="404">
        <v>3.0</v>
      </c>
      <c r="O58" s="390"/>
      <c r="P58" s="391">
        <f>IFNA(vlookup(D58,'S1'!$1:$1325,2,0),0)</f>
        <v>0</v>
      </c>
      <c r="Q58" s="391">
        <f>vlookup(D58,'S2'!A54:B1256,2,0)</f>
        <v>0</v>
      </c>
      <c r="R58" s="391">
        <f>ifna(vlookup(D58,'S3'!$1:$1311,2,False),0)</f>
        <v>45</v>
      </c>
      <c r="S58" s="391"/>
      <c r="T58" s="392">
        <v>19.0</v>
      </c>
      <c r="U58" s="392">
        <v>22.0</v>
      </c>
      <c r="V58" s="393">
        <v>61.0</v>
      </c>
      <c r="W58" s="393">
        <v>82.0</v>
      </c>
      <c r="X58" s="406">
        <v>66.0</v>
      </c>
      <c r="Y58" s="392"/>
      <c r="Z58" s="407"/>
      <c r="AA58" s="408"/>
      <c r="AB58" s="409">
        <v>79.0</v>
      </c>
      <c r="AC58" s="410">
        <v>0.0</v>
      </c>
      <c r="AD58" s="395">
        <v>0.0</v>
      </c>
      <c r="AE58" s="396">
        <v>10.0</v>
      </c>
      <c r="AF58" s="398"/>
      <c r="AG58" s="398">
        <v>0.0</v>
      </c>
      <c r="AH58" s="398"/>
      <c r="AI58" s="398"/>
      <c r="AJ58" s="398"/>
      <c r="AK58" s="399">
        <f t="shared" si="1"/>
        <v>3</v>
      </c>
      <c r="AL58" s="399">
        <f t="shared" si="2"/>
        <v>0</v>
      </c>
      <c r="AM58" s="400">
        <f t="shared" si="3"/>
        <v>3</v>
      </c>
      <c r="AN58" s="399" t="str">
        <f t="shared" si="4"/>
        <v>2</v>
      </c>
      <c r="AO58" s="399">
        <f t="shared" si="5"/>
        <v>0</v>
      </c>
      <c r="AP58" s="367"/>
      <c r="AQ58" s="367"/>
      <c r="AR58" s="367"/>
    </row>
    <row r="59">
      <c r="A59" s="385">
        <v>54.0</v>
      </c>
      <c r="B59" s="401" t="s">
        <v>2135</v>
      </c>
      <c r="C59" s="401" t="s">
        <v>3065</v>
      </c>
      <c r="D59" s="402" t="str">
        <f>VLOOKUP(B59,USN!$1:$1088,2,FALSE)</f>
        <v>1CR23CD059</v>
      </c>
      <c r="E59" s="401">
        <v>6.371715868E9</v>
      </c>
      <c r="F59" s="401" t="s">
        <v>3743</v>
      </c>
      <c r="G59" s="387"/>
      <c r="H59" s="403">
        <v>84.0</v>
      </c>
      <c r="I59" s="403">
        <v>86.0</v>
      </c>
      <c r="J59" s="389">
        <f>VLOOKUP(D59,'L3'!$1:$2060,2,FALSE)</f>
        <v>71</v>
      </c>
      <c r="K59" s="389">
        <f>VLOOKUP(D59,'L4'!$1:$2059,2,FALSE)</f>
        <v>80</v>
      </c>
      <c r="L59" s="390">
        <f>VLOOKUP(D59,'A1 RETEST 5 DEC'!$1:$2096,2,FALSE)</f>
        <v>77</v>
      </c>
      <c r="M59" s="390">
        <f>VLOOKUP(D59,'A2 RETEST 4 DEC'!$1:$2096,2,FALSE)</f>
        <v>50</v>
      </c>
      <c r="N59" s="404">
        <v>59.0</v>
      </c>
      <c r="O59" s="390"/>
      <c r="P59" s="391">
        <f>IFNA(vlookup(D59,'S1'!$1:$1325,2,0),0)</f>
        <v>50</v>
      </c>
      <c r="Q59" s="391">
        <f>vlookup(D59,'S2'!A55:B1257,2,0)</f>
        <v>55</v>
      </c>
      <c r="R59" s="391">
        <f>ifna(vlookup(D59,'S3'!$1:$1311,2,False),0)</f>
        <v>95</v>
      </c>
      <c r="S59" s="391"/>
      <c r="T59" s="392">
        <v>12.0</v>
      </c>
      <c r="U59" s="392">
        <v>22.0</v>
      </c>
      <c r="V59" s="393">
        <v>94.0</v>
      </c>
      <c r="W59" s="393">
        <v>72.0</v>
      </c>
      <c r="X59" s="406">
        <v>78.0</v>
      </c>
      <c r="Y59" s="392"/>
      <c r="Z59" s="407"/>
      <c r="AA59" s="408">
        <v>98.0</v>
      </c>
      <c r="AB59" s="409">
        <v>100.0</v>
      </c>
      <c r="AC59" s="410">
        <v>100.0</v>
      </c>
      <c r="AD59" s="395">
        <v>90.0</v>
      </c>
      <c r="AE59" s="396">
        <v>84.0</v>
      </c>
      <c r="AF59" s="398"/>
      <c r="AG59" s="398">
        <v>80.0</v>
      </c>
      <c r="AH59" s="398"/>
      <c r="AI59" s="398"/>
      <c r="AJ59" s="398"/>
      <c r="AK59" s="399">
        <f t="shared" si="1"/>
        <v>4</v>
      </c>
      <c r="AL59" s="399">
        <f t="shared" si="2"/>
        <v>3</v>
      </c>
      <c r="AM59" s="400">
        <f t="shared" si="3"/>
        <v>3</v>
      </c>
      <c r="AN59" s="399" t="str">
        <f t="shared" si="4"/>
        <v>3.5</v>
      </c>
      <c r="AO59" s="399">
        <f t="shared" si="5"/>
        <v>3</v>
      </c>
      <c r="AP59" s="367"/>
      <c r="AQ59" s="367"/>
      <c r="AR59" s="367"/>
    </row>
    <row r="60">
      <c r="A60" s="385">
        <v>55.0</v>
      </c>
      <c r="B60" s="401" t="s">
        <v>2142</v>
      </c>
      <c r="C60" s="401" t="s">
        <v>3066</v>
      </c>
      <c r="D60" s="402" t="str">
        <f>VLOOKUP(B60,USN!$1:$1088,2,FALSE)</f>
        <v>1CR23CD060</v>
      </c>
      <c r="E60" s="401">
        <v>7.019558838E9</v>
      </c>
      <c r="F60" s="401" t="s">
        <v>3743</v>
      </c>
      <c r="G60" s="387"/>
      <c r="H60" s="403">
        <v>91.0</v>
      </c>
      <c r="I60" s="403">
        <v>92.0</v>
      </c>
      <c r="J60" s="389">
        <f>VLOOKUP(D60,'L3'!$1:$2060,2,FALSE)</f>
        <v>71</v>
      </c>
      <c r="K60" s="389">
        <f>VLOOKUP(D60,'L4'!$1:$2059,2,FALSE)</f>
        <v>72</v>
      </c>
      <c r="L60" s="390">
        <f>VLOOKUP(D60,'A1 RETEST 5 DEC'!$1:$2096,2,FALSE)</f>
        <v>77</v>
      </c>
      <c r="M60" s="390">
        <f>VLOOKUP(D60,'A2 RETEST 4 DEC'!$1:$2096,2,FALSE)</f>
        <v>50</v>
      </c>
      <c r="N60" s="404">
        <v>54.0</v>
      </c>
      <c r="O60" s="390"/>
      <c r="P60" s="391">
        <f>IFNA(vlookup(D60,'S1'!$1:$1325,2,0),0)</f>
        <v>87</v>
      </c>
      <c r="Q60" s="391">
        <f>vlookup(D60,'S2'!A56:B1258,2,0)</f>
        <v>50</v>
      </c>
      <c r="R60" s="391">
        <f>ifna(vlookup(D60,'S3'!$1:$1311,2,False),0)</f>
        <v>88</v>
      </c>
      <c r="S60" s="391"/>
      <c r="T60" s="405">
        <v>21.0</v>
      </c>
      <c r="U60" s="392">
        <v>13.0</v>
      </c>
      <c r="V60" s="393">
        <v>70.0</v>
      </c>
      <c r="W60" s="393">
        <v>72.0</v>
      </c>
      <c r="X60" s="406">
        <v>86.0</v>
      </c>
      <c r="Y60" s="392"/>
      <c r="Z60" s="407"/>
      <c r="AA60" s="408">
        <v>50.0</v>
      </c>
      <c r="AB60" s="409">
        <v>40.0</v>
      </c>
      <c r="AC60" s="410">
        <v>29.0</v>
      </c>
      <c r="AD60" s="395">
        <v>85.0</v>
      </c>
      <c r="AE60" s="396">
        <v>70.0</v>
      </c>
      <c r="AF60" s="398"/>
      <c r="AG60" s="398">
        <v>81.0</v>
      </c>
      <c r="AH60" s="398"/>
      <c r="AI60" s="398"/>
      <c r="AJ60" s="398"/>
      <c r="AK60" s="399">
        <f t="shared" si="1"/>
        <v>4</v>
      </c>
      <c r="AL60" s="399">
        <f t="shared" si="2"/>
        <v>3</v>
      </c>
      <c r="AM60" s="400">
        <f t="shared" si="3"/>
        <v>3</v>
      </c>
      <c r="AN60" s="399" t="str">
        <f t="shared" si="4"/>
        <v>0</v>
      </c>
      <c r="AO60" s="399">
        <f t="shared" si="5"/>
        <v>3</v>
      </c>
      <c r="AP60" s="367"/>
      <c r="AQ60" s="367"/>
      <c r="AR60" s="367"/>
    </row>
    <row r="61">
      <c r="A61" s="385">
        <v>56.0</v>
      </c>
      <c r="B61" s="401" t="s">
        <v>2136</v>
      </c>
      <c r="C61" s="401" t="s">
        <v>3753</v>
      </c>
      <c r="D61" s="402" t="str">
        <f>VLOOKUP(B61,USN!$1:$1088,2,FALSE)</f>
        <v>1CR23CD061</v>
      </c>
      <c r="E61" s="401">
        <v>9.606990322E9</v>
      </c>
      <c r="F61" s="401" t="s">
        <v>3743</v>
      </c>
      <c r="G61" s="387"/>
      <c r="H61" s="403">
        <v>82.0</v>
      </c>
      <c r="I61" s="403">
        <v>77.0</v>
      </c>
      <c r="J61" s="389">
        <f>VLOOKUP(D61,'L3'!$1:$2060,2,FALSE)</f>
        <v>70</v>
      </c>
      <c r="K61" s="389">
        <f>VLOOKUP(D61,'L4'!$1:$2059,2,FALSE)</f>
        <v>70</v>
      </c>
      <c r="L61" s="390">
        <f>VLOOKUP(D61,'A1 RETEST 5 DEC'!$1:$2096,2,FALSE)</f>
        <v>35</v>
      </c>
      <c r="M61" s="390">
        <f>VLOOKUP(D61,'A2 RETEST 4 DEC'!$1:$2096,2,FALSE)</f>
        <v>15</v>
      </c>
      <c r="N61" s="404">
        <v>0.0</v>
      </c>
      <c r="O61" s="390"/>
      <c r="P61" s="391">
        <f>IFNA(vlookup(D61,'S1'!$1:$1325,2,0),0)</f>
        <v>77</v>
      </c>
      <c r="Q61" s="391">
        <f>vlookup(D61,'S2'!A57:B1259,2,0)</f>
        <v>50</v>
      </c>
      <c r="R61" s="391">
        <f>ifna(vlookup(D61,'S3'!$1:$1311,2,False),0)</f>
        <v>0</v>
      </c>
      <c r="S61" s="391"/>
      <c r="T61" s="405">
        <v>16.0</v>
      </c>
      <c r="U61" s="392">
        <v>19.0</v>
      </c>
      <c r="V61" s="393">
        <v>86.0</v>
      </c>
      <c r="W61" s="393">
        <v>72.0</v>
      </c>
      <c r="X61" s="406">
        <v>80.0</v>
      </c>
      <c r="Y61" s="392"/>
      <c r="Z61" s="407"/>
      <c r="AA61" s="408">
        <v>62.0</v>
      </c>
      <c r="AB61" s="409">
        <v>85.0</v>
      </c>
      <c r="AC61" s="410">
        <v>0.0</v>
      </c>
      <c r="AD61" s="395">
        <v>0.0</v>
      </c>
      <c r="AE61" s="396">
        <v>10.0</v>
      </c>
      <c r="AF61" s="398"/>
      <c r="AG61" s="398">
        <v>0.0</v>
      </c>
      <c r="AH61" s="398"/>
      <c r="AI61" s="398"/>
      <c r="AJ61" s="398"/>
      <c r="AK61" s="399">
        <f t="shared" si="1"/>
        <v>4</v>
      </c>
      <c r="AL61" s="399">
        <f t="shared" si="2"/>
        <v>0</v>
      </c>
      <c r="AM61" s="400">
        <f t="shared" si="3"/>
        <v>3</v>
      </c>
      <c r="AN61" s="399" t="str">
        <f t="shared" si="4"/>
        <v>2</v>
      </c>
      <c r="AO61" s="399">
        <f t="shared" si="5"/>
        <v>2</v>
      </c>
      <c r="AP61" s="367"/>
      <c r="AQ61" s="367"/>
      <c r="AR61" s="367"/>
    </row>
    <row r="62">
      <c r="A62" s="385">
        <v>57.0</v>
      </c>
      <c r="B62" s="401" t="s">
        <v>2137</v>
      </c>
      <c r="C62" s="401" t="s">
        <v>3068</v>
      </c>
      <c r="D62" s="402" t="str">
        <f>VLOOKUP(B62,USN!$1:$1088,2,FALSE)</f>
        <v>1CR23CD062</v>
      </c>
      <c r="E62" s="401">
        <v>9.845541178E9</v>
      </c>
      <c r="F62" s="401" t="s">
        <v>3743</v>
      </c>
      <c r="G62" s="387"/>
      <c r="H62" s="403">
        <v>75.0</v>
      </c>
      <c r="I62" s="403">
        <v>72.0</v>
      </c>
      <c r="J62" s="389">
        <f>VLOOKUP(D62,'L3'!$1:$2060,2,FALSE)</f>
        <v>71</v>
      </c>
      <c r="K62" s="389">
        <f>VLOOKUP(D62,'L4'!$1:$2059,2,FALSE)</f>
        <v>70</v>
      </c>
      <c r="L62" s="390">
        <f>VLOOKUP(D62,'A1 RETEST 5 DEC'!$1:$2096,2,FALSE)</f>
        <v>43</v>
      </c>
      <c r="M62" s="390">
        <f>VLOOKUP(D62,'A2 RETEST 4 DEC'!$1:$2096,2,FALSE)</f>
        <v>7</v>
      </c>
      <c r="N62" s="404">
        <v>0.0</v>
      </c>
      <c r="O62" s="390"/>
      <c r="P62" s="391">
        <f>IFNA(vlookup(D62,'S1'!$1:$1325,2,0),0)</f>
        <v>73</v>
      </c>
      <c r="Q62" s="391">
        <f>vlookup(D62,'S2'!A58:B1260,2,0)</f>
        <v>0</v>
      </c>
      <c r="R62" s="391">
        <f>ifna(vlookup(D62,'S3'!$1:$1311,2,False),0)</f>
        <v>0</v>
      </c>
      <c r="S62" s="391"/>
      <c r="T62" s="405">
        <v>16.0</v>
      </c>
      <c r="U62" s="392">
        <v>17.0</v>
      </c>
      <c r="V62" s="393">
        <v>56.0</v>
      </c>
      <c r="W62" s="393">
        <v>60.0</v>
      </c>
      <c r="X62" s="406">
        <v>74.0</v>
      </c>
      <c r="Y62" s="392"/>
      <c r="Z62" s="407"/>
      <c r="AA62" s="408">
        <v>66.0</v>
      </c>
      <c r="AB62" s="409">
        <v>65.0</v>
      </c>
      <c r="AC62" s="410">
        <v>0.0</v>
      </c>
      <c r="AD62" s="395">
        <v>3.0</v>
      </c>
      <c r="AE62" s="396">
        <v>10.0</v>
      </c>
      <c r="AF62" s="398"/>
      <c r="AG62" s="398">
        <v>39.0</v>
      </c>
      <c r="AH62" s="398"/>
      <c r="AI62" s="398"/>
      <c r="AJ62" s="398"/>
      <c r="AK62" s="399">
        <f t="shared" si="1"/>
        <v>4</v>
      </c>
      <c r="AL62" s="399">
        <f t="shared" si="2"/>
        <v>0</v>
      </c>
      <c r="AM62" s="400">
        <f t="shared" si="3"/>
        <v>3</v>
      </c>
      <c r="AN62" s="399" t="str">
        <f t="shared" si="4"/>
        <v>2</v>
      </c>
      <c r="AO62" s="399">
        <f t="shared" si="5"/>
        <v>1</v>
      </c>
      <c r="AP62" s="367"/>
      <c r="AQ62" s="367"/>
      <c r="AR62" s="367"/>
    </row>
    <row r="63">
      <c r="A63" s="385">
        <v>58.0</v>
      </c>
      <c r="B63" s="401" t="s">
        <v>2150</v>
      </c>
      <c r="C63" s="401" t="s">
        <v>3069</v>
      </c>
      <c r="D63" s="402" t="str">
        <f>VLOOKUP(B63,USN!$1:$1088,2,FALSE)</f>
        <v>1CR23CD063</v>
      </c>
      <c r="E63" s="401">
        <v>9.141571675E9</v>
      </c>
      <c r="F63" s="401" t="s">
        <v>3743</v>
      </c>
      <c r="G63" s="387"/>
      <c r="H63" s="403">
        <v>90.0</v>
      </c>
      <c r="I63" s="403">
        <v>87.0</v>
      </c>
      <c r="J63" s="389">
        <f>VLOOKUP(D63,'L3'!$1:$2060,2,FALSE)</f>
        <v>73</v>
      </c>
      <c r="K63" s="389">
        <f>VLOOKUP(D63,'L4'!$1:$2059,2,FALSE)</f>
        <v>70</v>
      </c>
      <c r="L63" s="390">
        <f>VLOOKUP(D63,'A1 RETEST 5 DEC'!$1:$2096,2,FALSE)</f>
        <v>50</v>
      </c>
      <c r="M63" s="390">
        <f>VLOOKUP(D63,'A2 RETEST 4 DEC'!$1:$2096,2,FALSE)</f>
        <v>50</v>
      </c>
      <c r="N63" s="404">
        <v>50.0</v>
      </c>
      <c r="O63" s="390"/>
      <c r="P63" s="391">
        <f>IFNA(vlookup(D63,'S1'!$1:$1325,2,0),0)</f>
        <v>73</v>
      </c>
      <c r="Q63" s="391">
        <f>vlookup(D63,'S2'!A59:B1261,2,0)</f>
        <v>60</v>
      </c>
      <c r="R63" s="391">
        <f>ifna(vlookup(D63,'S3'!$1:$1311,2,False),0)</f>
        <v>95</v>
      </c>
      <c r="S63" s="391"/>
      <c r="T63" s="405">
        <v>18.0</v>
      </c>
      <c r="U63" s="392">
        <v>15.0</v>
      </c>
      <c r="V63" s="393">
        <v>58.0</v>
      </c>
      <c r="W63" s="393">
        <v>74.0</v>
      </c>
      <c r="X63" s="406">
        <v>82.0</v>
      </c>
      <c r="Y63" s="392"/>
      <c r="Z63" s="407"/>
      <c r="AA63" s="408">
        <v>83.8</v>
      </c>
      <c r="AB63" s="409">
        <v>97.0</v>
      </c>
      <c r="AC63" s="410">
        <v>98.0</v>
      </c>
      <c r="AD63" s="395">
        <v>64.0</v>
      </c>
      <c r="AE63" s="396">
        <v>77.0</v>
      </c>
      <c r="AF63" s="398"/>
      <c r="AG63" s="398">
        <v>80.0</v>
      </c>
      <c r="AH63" s="398"/>
      <c r="AI63" s="398"/>
      <c r="AJ63" s="398"/>
      <c r="AK63" s="399">
        <f t="shared" si="1"/>
        <v>4</v>
      </c>
      <c r="AL63" s="399">
        <f t="shared" si="2"/>
        <v>3</v>
      </c>
      <c r="AM63" s="400">
        <f t="shared" si="3"/>
        <v>3</v>
      </c>
      <c r="AN63" s="399" t="str">
        <f t="shared" si="4"/>
        <v>3.5</v>
      </c>
      <c r="AO63" s="399">
        <f t="shared" si="5"/>
        <v>3</v>
      </c>
      <c r="AP63" s="367"/>
      <c r="AQ63" s="367"/>
      <c r="AR63" s="367"/>
    </row>
    <row r="64">
      <c r="A64" s="385">
        <v>63.0</v>
      </c>
      <c r="B64" s="383" t="s">
        <v>3070</v>
      </c>
      <c r="C64" s="413" t="s">
        <v>3071</v>
      </c>
      <c r="D64" s="413" t="s">
        <v>1259</v>
      </c>
      <c r="E64" s="386">
        <v>9.395221233E9</v>
      </c>
      <c r="F64" s="386" t="s">
        <v>3743</v>
      </c>
      <c r="G64" s="386"/>
      <c r="H64" s="389">
        <v>88.0</v>
      </c>
      <c r="I64" s="389">
        <v>90.0</v>
      </c>
      <c r="J64" s="389">
        <f>VLOOKUP(D64,'L3'!$1:$2060,2,FALSE)</f>
        <v>74.5</v>
      </c>
      <c r="K64" s="389">
        <f>VLOOKUP(D64,'L4'!$1:$2059,2,FALSE)</f>
        <v>73</v>
      </c>
      <c r="L64" s="390">
        <f>VLOOKUP(D64,'A1 RETEST 5 DEC'!$1:$2096,2,FALSE)</f>
        <v>50</v>
      </c>
      <c r="M64" s="390">
        <f>VLOOKUP(D64,'A2 RETEST 4 DEC'!$1:$2096,2,FALSE)</f>
        <v>50</v>
      </c>
      <c r="N64" s="404">
        <v>57.0</v>
      </c>
      <c r="O64" s="390"/>
      <c r="P64" s="391">
        <f>IFNA(vlookup(D64,'S1'!$1:$1325,2,0),0)</f>
        <v>84</v>
      </c>
      <c r="Q64" s="391">
        <f>vlookup(D64,'S2'!A60:B1262,2,0)</f>
        <v>54</v>
      </c>
      <c r="R64" s="391">
        <f>ifna(vlookup(D64,'S3'!$1:$1311,2,False),0)</f>
        <v>94</v>
      </c>
      <c r="S64" s="391"/>
      <c r="T64" s="392">
        <v>13.0</v>
      </c>
      <c r="U64" s="392">
        <v>15.0</v>
      </c>
      <c r="V64" s="393">
        <v>94.0</v>
      </c>
      <c r="W64" s="393">
        <v>92.0</v>
      </c>
      <c r="X64" s="406">
        <v>82.0</v>
      </c>
      <c r="Y64" s="392"/>
      <c r="Z64" s="407"/>
      <c r="AA64" s="395"/>
      <c r="AB64" s="395">
        <v>95.0</v>
      </c>
      <c r="AC64" s="395">
        <v>29.0</v>
      </c>
      <c r="AD64" s="395">
        <v>100.0</v>
      </c>
      <c r="AE64" s="396">
        <v>79.0</v>
      </c>
      <c r="AF64" s="398"/>
      <c r="AG64" s="398">
        <v>85.0</v>
      </c>
      <c r="AH64" s="398"/>
      <c r="AI64" s="398"/>
      <c r="AJ64" s="398"/>
      <c r="AK64" s="399">
        <f t="shared" si="1"/>
        <v>4</v>
      </c>
      <c r="AL64" s="399">
        <f t="shared" si="2"/>
        <v>3</v>
      </c>
      <c r="AM64" s="400">
        <f t="shared" si="3"/>
        <v>3</v>
      </c>
      <c r="AN64" s="399" t="str">
        <f t="shared" si="4"/>
        <v>3.5</v>
      </c>
      <c r="AO64" s="399">
        <f t="shared" si="5"/>
        <v>3</v>
      </c>
      <c r="AP64" s="367"/>
      <c r="AQ64" s="367"/>
      <c r="AR64" s="367"/>
    </row>
    <row r="65">
      <c r="A65" s="385">
        <v>64.0</v>
      </c>
      <c r="B65" s="383" t="s">
        <v>3072</v>
      </c>
      <c r="C65" s="413" t="s">
        <v>3073</v>
      </c>
      <c r="D65" s="413" t="s">
        <v>1260</v>
      </c>
      <c r="E65" s="386">
        <v>8.073470854E9</v>
      </c>
      <c r="F65" s="386" t="s">
        <v>3743</v>
      </c>
      <c r="G65" s="386"/>
      <c r="H65" s="389">
        <v>80.0</v>
      </c>
      <c r="I65" s="389">
        <v>86.0</v>
      </c>
      <c r="J65" s="389">
        <f>VLOOKUP(D65,'L3'!$1:$2060,2,FALSE)</f>
        <v>70</v>
      </c>
      <c r="K65" s="389">
        <f>VLOOKUP(D65,'L4'!$1:$2059,2,FALSE)</f>
        <v>73</v>
      </c>
      <c r="L65" s="390">
        <f>VLOOKUP(D65,'A1 RETEST 5 DEC'!$1:$2096,2,FALSE)</f>
        <v>50</v>
      </c>
      <c r="M65" s="390">
        <f>VLOOKUP(D65,'A2 RETEST 4 DEC'!$1:$2096,2,FALSE)</f>
        <v>50</v>
      </c>
      <c r="N65" s="404">
        <v>55.0</v>
      </c>
      <c r="O65" s="390"/>
      <c r="P65" s="391">
        <f>IFNA(vlookup(D65,'S1'!$1:$1325,2,0),0)</f>
        <v>75</v>
      </c>
      <c r="Q65" s="391">
        <f>vlookup(D65,'S2'!A61:B1263,2,0)</f>
        <v>56</v>
      </c>
      <c r="R65" s="391">
        <f>ifna(vlookup(D65,'S3'!$1:$1311,2,False),0)</f>
        <v>92</v>
      </c>
      <c r="S65" s="391"/>
      <c r="T65" s="392">
        <v>20.0</v>
      </c>
      <c r="U65" s="392">
        <v>21.0</v>
      </c>
      <c r="V65" s="393">
        <v>88.0</v>
      </c>
      <c r="W65" s="393">
        <v>94.0</v>
      </c>
      <c r="X65" s="406">
        <v>82.0</v>
      </c>
      <c r="Y65" s="392"/>
      <c r="Z65" s="407"/>
      <c r="AA65" s="395"/>
      <c r="AB65" s="395">
        <v>100.0</v>
      </c>
      <c r="AC65" s="395">
        <v>78.0</v>
      </c>
      <c r="AD65" s="395">
        <v>86.0</v>
      </c>
      <c r="AE65" s="396">
        <v>72.0</v>
      </c>
      <c r="AF65" s="398"/>
      <c r="AG65" s="398">
        <v>82.0</v>
      </c>
      <c r="AH65" s="398"/>
      <c r="AI65" s="398"/>
      <c r="AJ65" s="398"/>
      <c r="AK65" s="399">
        <f t="shared" si="1"/>
        <v>4</v>
      </c>
      <c r="AL65" s="399">
        <f t="shared" si="2"/>
        <v>3</v>
      </c>
      <c r="AM65" s="400">
        <f t="shared" si="3"/>
        <v>3</v>
      </c>
      <c r="AN65" s="399" t="str">
        <f t="shared" si="4"/>
        <v>3.5</v>
      </c>
      <c r="AO65" s="399">
        <f t="shared" si="5"/>
        <v>3</v>
      </c>
      <c r="AP65" s="367"/>
      <c r="AQ65" s="367"/>
      <c r="AR65" s="367"/>
    </row>
    <row r="66">
      <c r="A66" s="385">
        <v>65.0</v>
      </c>
      <c r="B66" s="383" t="s">
        <v>3074</v>
      </c>
      <c r="C66" s="413" t="s">
        <v>3075</v>
      </c>
      <c r="D66" s="413" t="s">
        <v>1261</v>
      </c>
      <c r="E66" s="386">
        <v>8.210829896E9</v>
      </c>
      <c r="F66" s="386" t="s">
        <v>3743</v>
      </c>
      <c r="G66" s="386"/>
      <c r="H66" s="389">
        <v>81.0</v>
      </c>
      <c r="I66" s="389">
        <v>80.0</v>
      </c>
      <c r="J66" s="389">
        <f>VLOOKUP(D66,'L3'!$1:$2060,2,FALSE)</f>
        <v>70</v>
      </c>
      <c r="K66" s="389">
        <f>VLOOKUP(D66,'L4'!$1:$2059,2,FALSE)</f>
        <v>70</v>
      </c>
      <c r="L66" s="390">
        <f>VLOOKUP(D66,'A1 RETEST 5 DEC'!$1:$2096,2,FALSE)</f>
        <v>50</v>
      </c>
      <c r="M66" s="390">
        <f>VLOOKUP(D66,'A2 RETEST 4 DEC'!$1:$2096,2,FALSE)</f>
        <v>28</v>
      </c>
      <c r="N66" s="404">
        <v>52.0</v>
      </c>
      <c r="O66" s="390"/>
      <c r="P66" s="391">
        <f>IFNA(vlookup(D66,'S1'!$1:$1325,2,0),0)</f>
        <v>50</v>
      </c>
      <c r="Q66" s="391">
        <f>vlookup(D66,'S2'!A62:B1264,2,0)</f>
        <v>50</v>
      </c>
      <c r="R66" s="391">
        <f>ifna(vlookup(D66,'S3'!$1:$1311,2,False),0)</f>
        <v>90</v>
      </c>
      <c r="S66" s="391"/>
      <c r="T66" s="392">
        <v>14.0</v>
      </c>
      <c r="U66" s="392">
        <v>20.0</v>
      </c>
      <c r="V66" s="393">
        <v>82.0</v>
      </c>
      <c r="W66" s="392">
        <v>80.0</v>
      </c>
      <c r="X66" s="406">
        <v>74.0</v>
      </c>
      <c r="Y66" s="392"/>
      <c r="Z66" s="407"/>
      <c r="AA66" s="395"/>
      <c r="AB66" s="395">
        <v>68.0</v>
      </c>
      <c r="AC66" s="395">
        <v>35.0</v>
      </c>
      <c r="AD66" s="395">
        <v>80.0</v>
      </c>
      <c r="AE66" s="396">
        <v>70.0</v>
      </c>
      <c r="AF66" s="398"/>
      <c r="AG66" s="398">
        <v>81.0</v>
      </c>
      <c r="AH66" s="398"/>
      <c r="AI66" s="398"/>
      <c r="AJ66" s="398"/>
      <c r="AK66" s="399">
        <f t="shared" si="1"/>
        <v>4</v>
      </c>
      <c r="AL66" s="399">
        <f t="shared" si="2"/>
        <v>1</v>
      </c>
      <c r="AM66" s="400">
        <f t="shared" si="3"/>
        <v>3</v>
      </c>
      <c r="AN66" s="399" t="str">
        <f t="shared" si="4"/>
        <v>3.5</v>
      </c>
      <c r="AO66" s="399">
        <f t="shared" si="5"/>
        <v>3</v>
      </c>
      <c r="AP66" s="367"/>
      <c r="AQ66" s="367"/>
      <c r="AR66" s="367"/>
    </row>
    <row r="67">
      <c r="A67" s="385">
        <v>62.0</v>
      </c>
      <c r="B67" s="386" t="s">
        <v>56</v>
      </c>
      <c r="C67" s="414" t="s">
        <v>3645</v>
      </c>
      <c r="D67" s="385" t="s">
        <v>1268</v>
      </c>
      <c r="E67" s="386">
        <v>9.242124991E9</v>
      </c>
      <c r="F67" s="386" t="s">
        <v>3743</v>
      </c>
      <c r="G67" s="387"/>
      <c r="H67" s="389">
        <v>70.0</v>
      </c>
      <c r="I67" s="389">
        <v>70.0</v>
      </c>
      <c r="J67" s="389">
        <f>VLOOKUP(D67,'L3'!$1:$2060,2,FALSE)</f>
        <v>70</v>
      </c>
      <c r="K67" s="389">
        <f>VLOOKUP(D67,'L4'!$1:$2059,2,FALSE)</f>
        <v>70</v>
      </c>
      <c r="L67" s="390">
        <f>VLOOKUP(D67,'A1 RETEST 5 DEC'!$1:$2096,2,FALSE)</f>
        <v>24</v>
      </c>
      <c r="M67" s="390">
        <f>VLOOKUP(D67,'A2 RETEST 4 DEC'!$1:$2096,2,FALSE)</f>
        <v>14</v>
      </c>
      <c r="N67" s="404">
        <v>4.5</v>
      </c>
      <c r="O67" s="390"/>
      <c r="P67" s="391">
        <f>IFNA(vlookup(D67,'S1'!$1:$1325,2,0),0)</f>
        <v>0</v>
      </c>
      <c r="Q67" s="391">
        <f>vlookup(D67,'S2'!A63:B1265,2,0)</f>
        <v>0</v>
      </c>
      <c r="R67" s="391">
        <f>ifna(vlookup(D67,'S3'!$1:$1311,2,False),0)</f>
        <v>79</v>
      </c>
      <c r="S67" s="391"/>
      <c r="T67" s="392"/>
      <c r="U67" s="392"/>
      <c r="V67" s="393">
        <v>82.0</v>
      </c>
      <c r="W67" s="392">
        <v>74.0</v>
      </c>
      <c r="X67" s="406">
        <v>84.0</v>
      </c>
      <c r="Y67" s="392"/>
      <c r="Z67" s="407"/>
      <c r="AA67" s="395"/>
      <c r="AB67" s="395">
        <v>60.0</v>
      </c>
      <c r="AC67" s="395">
        <v>60.0</v>
      </c>
      <c r="AD67" s="395">
        <v>10.0</v>
      </c>
      <c r="AE67" s="396">
        <v>70.0</v>
      </c>
      <c r="AF67" s="398"/>
      <c r="AG67" s="398">
        <v>72.0</v>
      </c>
      <c r="AH67" s="398"/>
      <c r="AI67" s="398"/>
      <c r="AJ67" s="398"/>
      <c r="AK67" s="399">
        <f t="shared" si="1"/>
        <v>4</v>
      </c>
      <c r="AL67" s="399">
        <f t="shared" si="2"/>
        <v>0</v>
      </c>
      <c r="AM67" s="400">
        <f t="shared" si="3"/>
        <v>0</v>
      </c>
      <c r="AN67" s="399" t="str">
        <f t="shared" si="4"/>
        <v>3.5</v>
      </c>
      <c r="AO67" s="399">
        <f t="shared" si="5"/>
        <v>0</v>
      </c>
      <c r="AP67" s="367"/>
      <c r="AQ67" s="367"/>
      <c r="AR67" s="367"/>
    </row>
    <row r="68">
      <c r="A68" s="385">
        <v>59.0</v>
      </c>
      <c r="B68" s="383" t="s">
        <v>45</v>
      </c>
      <c r="C68" s="414" t="s">
        <v>3646</v>
      </c>
      <c r="D68" s="413" t="s">
        <v>1264</v>
      </c>
      <c r="E68" s="386">
        <v>9.380919907E9</v>
      </c>
      <c r="F68" s="386" t="s">
        <v>3743</v>
      </c>
      <c r="G68" s="387"/>
      <c r="H68" s="389">
        <v>70.0</v>
      </c>
      <c r="I68" s="389">
        <v>70.0</v>
      </c>
      <c r="J68" s="389">
        <f>VLOOKUP(D68,'L3'!$1:$2060,2,FALSE)</f>
        <v>70</v>
      </c>
      <c r="K68" s="389">
        <f>VLOOKUP(D68,'L4'!$1:$2059,2,FALSE)</f>
        <v>70</v>
      </c>
      <c r="L68" s="390">
        <f>VLOOKUP(D68,'A1 RETEST 5 DEC'!$1:$2096,2,FALSE)</f>
        <v>21</v>
      </c>
      <c r="M68" s="390">
        <f>VLOOKUP(D68,'A2 RETEST 4 DEC'!$1:$2096,2,FALSE)</f>
        <v>25</v>
      </c>
      <c r="N68" s="404">
        <v>3.25</v>
      </c>
      <c r="O68" s="390"/>
      <c r="P68" s="391">
        <f>IFNA(vlookup(D68,'S1'!$1:$1325,2,0),0)</f>
        <v>50</v>
      </c>
      <c r="Q68" s="391">
        <f>vlookup(D68,'S2'!A64:B1266,2,0)</f>
        <v>50</v>
      </c>
      <c r="R68" s="391">
        <f>ifna(vlookup(D68,'S3'!$1:$1311,2,False),0)</f>
        <v>80</v>
      </c>
      <c r="S68" s="391"/>
      <c r="T68" s="392"/>
      <c r="U68" s="392"/>
      <c r="V68" s="393">
        <v>88.0</v>
      </c>
      <c r="W68" s="393">
        <v>72.0</v>
      </c>
      <c r="X68" s="406">
        <v>76.0</v>
      </c>
      <c r="Y68" s="392"/>
      <c r="Z68" s="407"/>
      <c r="AA68" s="395"/>
      <c r="AB68" s="395">
        <v>80.0</v>
      </c>
      <c r="AC68" s="395">
        <v>80.0</v>
      </c>
      <c r="AD68" s="395">
        <v>0.0</v>
      </c>
      <c r="AE68" s="396">
        <v>70.0</v>
      </c>
      <c r="AF68" s="398"/>
      <c r="AG68" s="397">
        <v>72.0</v>
      </c>
      <c r="AH68" s="398"/>
      <c r="AI68" s="398"/>
      <c r="AJ68" s="398"/>
      <c r="AK68" s="399">
        <f t="shared" si="1"/>
        <v>4</v>
      </c>
      <c r="AL68" s="399">
        <f t="shared" si="2"/>
        <v>0</v>
      </c>
      <c r="AM68" s="400">
        <f t="shared" si="3"/>
        <v>0</v>
      </c>
      <c r="AN68" s="399" t="str">
        <f t="shared" si="4"/>
        <v>3.5</v>
      </c>
      <c r="AO68" s="399">
        <f t="shared" si="5"/>
        <v>3</v>
      </c>
      <c r="AP68" s="367"/>
      <c r="AQ68" s="367"/>
      <c r="AR68" s="367"/>
    </row>
    <row r="69">
      <c r="A69" s="385">
        <v>60.0</v>
      </c>
      <c r="B69" s="386" t="s">
        <v>64</v>
      </c>
      <c r="C69" s="414" t="s">
        <v>3647</v>
      </c>
      <c r="D69" s="413" t="s">
        <v>1265</v>
      </c>
      <c r="E69" s="386">
        <v>6.360083447E9</v>
      </c>
      <c r="F69" s="386" t="s">
        <v>3743</v>
      </c>
      <c r="G69" s="387"/>
      <c r="H69" s="389">
        <f>VLOOKUP(B69,'L1 '!$1:$1000,2,FALSE)</f>
        <v>52</v>
      </c>
      <c r="I69" s="403">
        <f>VLOOKUP(B69,'L2'!$1:$1000,2,FALSE)</f>
        <v>48</v>
      </c>
      <c r="J69" s="389">
        <f>VLOOKUP(D69,'L3'!$1:$2060,2,FALSE)</f>
        <v>77</v>
      </c>
      <c r="K69" s="389">
        <f>VLOOKUP(D69,'L4'!$1:$2059,2,FALSE)</f>
        <v>60</v>
      </c>
      <c r="L69" s="390">
        <f>VLOOKUP(D69,'A1 RETEST 5 DEC'!$1:$2096,2,FALSE)</f>
        <v>21</v>
      </c>
      <c r="M69" s="390">
        <f>VLOOKUP(D69,'A2 RETEST 4 DEC'!$1:$2096,2,FALSE)</f>
        <v>12</v>
      </c>
      <c r="N69" s="404">
        <v>6.25</v>
      </c>
      <c r="O69" s="390"/>
      <c r="P69" s="391">
        <f>IFNA(vlookup(D69,'S1'!$1:$1325,2,0),0)</f>
        <v>0</v>
      </c>
      <c r="Q69" s="391">
        <f>vlookup(D69,'S2'!A65:B1267,2,0)</f>
        <v>0</v>
      </c>
      <c r="R69" s="391">
        <f>ifna(vlookup(D69,'S3'!$1:$1311,2,False),0)</f>
        <v>0</v>
      </c>
      <c r="S69" s="391"/>
      <c r="T69" s="392"/>
      <c r="U69" s="392"/>
      <c r="V69" s="393">
        <v>73.0</v>
      </c>
      <c r="W69" s="393">
        <v>78.0</v>
      </c>
      <c r="X69" s="406">
        <v>80.0</v>
      </c>
      <c r="Y69" s="392"/>
      <c r="Z69" s="407"/>
      <c r="AA69" s="395"/>
      <c r="AB69" s="395">
        <v>0.0</v>
      </c>
      <c r="AC69" s="395">
        <v>0.0</v>
      </c>
      <c r="AD69" s="395">
        <v>0.0</v>
      </c>
      <c r="AE69" s="396">
        <v>10.0</v>
      </c>
      <c r="AF69" s="398"/>
      <c r="AG69" s="398">
        <v>0.0</v>
      </c>
      <c r="AH69" s="398"/>
      <c r="AI69" s="398"/>
      <c r="AJ69" s="398"/>
      <c r="AK69" s="399">
        <f t="shared" si="1"/>
        <v>0</v>
      </c>
      <c r="AL69" s="399">
        <f t="shared" si="2"/>
        <v>0</v>
      </c>
      <c r="AM69" s="400">
        <f t="shared" si="3"/>
        <v>0</v>
      </c>
      <c r="AN69" s="399" t="str">
        <f t="shared" si="4"/>
        <v>0</v>
      </c>
      <c r="AO69" s="399">
        <f t="shared" si="5"/>
        <v>0</v>
      </c>
      <c r="AP69" s="367"/>
      <c r="AQ69" s="367"/>
      <c r="AR69" s="367"/>
    </row>
    <row r="70">
      <c r="A70" s="385">
        <v>66.0</v>
      </c>
      <c r="B70" s="383" t="s">
        <v>24</v>
      </c>
      <c r="C70" s="413" t="s">
        <v>3648</v>
      </c>
      <c r="D70" s="413" t="s">
        <v>1263</v>
      </c>
      <c r="E70" s="386">
        <v>6.362567417E9</v>
      </c>
      <c r="F70" s="386" t="s">
        <v>3743</v>
      </c>
      <c r="G70" s="387"/>
      <c r="H70" s="389">
        <f>VLOOKUP(B70,'L1 '!$1:$1000,2,FALSE)</f>
        <v>80</v>
      </c>
      <c r="I70" s="389">
        <v>70.0</v>
      </c>
      <c r="J70" s="389">
        <f>VLOOKUP(D70,'L3'!$1:$2060,2,FALSE)</f>
        <v>70</v>
      </c>
      <c r="K70" s="389">
        <f>VLOOKUP(D70,'L4'!$1:$2059,2,FALSE)</f>
        <v>70</v>
      </c>
      <c r="L70" s="390">
        <f>VLOOKUP(D70,'A1 RETEST 5 DEC'!$1:$2096,2,FALSE)</f>
        <v>55</v>
      </c>
      <c r="M70" s="390">
        <f>VLOOKUP(D70,'A2 RETEST 4 DEC'!$1:$2096,2,FALSE)</f>
        <v>6</v>
      </c>
      <c r="N70" s="404">
        <v>7.25</v>
      </c>
      <c r="O70" s="390"/>
      <c r="P70" s="391">
        <f>IFNA(vlookup(D70,'S1'!$1:$1325,2,0),0)</f>
        <v>50</v>
      </c>
      <c r="Q70" s="391">
        <f>vlookup(D70,'S2'!A66:B1268,2,0)</f>
        <v>50</v>
      </c>
      <c r="R70" s="391">
        <f>ifna(vlookup(D70,'S3'!$1:$1311,2,False),0)</f>
        <v>74</v>
      </c>
      <c r="S70" s="391"/>
      <c r="T70" s="392"/>
      <c r="U70" s="392"/>
      <c r="V70" s="393">
        <v>86.0</v>
      </c>
      <c r="W70" s="392" t="s">
        <v>3716</v>
      </c>
      <c r="X70" s="406">
        <v>84.0</v>
      </c>
      <c r="Y70" s="392"/>
      <c r="Z70" s="407"/>
      <c r="AA70" s="395"/>
      <c r="AB70" s="395">
        <v>41.0</v>
      </c>
      <c r="AC70" s="395">
        <v>41.0</v>
      </c>
      <c r="AD70" s="395">
        <v>2.0</v>
      </c>
      <c r="AE70" s="396">
        <v>77.0</v>
      </c>
      <c r="AF70" s="398"/>
      <c r="AG70" s="398">
        <v>82.0</v>
      </c>
      <c r="AH70" s="398"/>
      <c r="AI70" s="398"/>
      <c r="AJ70" s="398"/>
      <c r="AK70" s="399">
        <f t="shared" si="1"/>
        <v>4</v>
      </c>
      <c r="AL70" s="399">
        <f t="shared" si="2"/>
        <v>1</v>
      </c>
      <c r="AM70" s="400">
        <f t="shared" si="3"/>
        <v>0</v>
      </c>
      <c r="AN70" s="399" t="str">
        <f t="shared" si="4"/>
        <v>0</v>
      </c>
      <c r="AO70" s="399">
        <f t="shared" si="5"/>
        <v>3</v>
      </c>
      <c r="AP70" s="367"/>
      <c r="AQ70" s="367"/>
      <c r="AR70" s="367"/>
    </row>
    <row r="71">
      <c r="A71" s="385">
        <v>67.0</v>
      </c>
      <c r="B71" s="383" t="s">
        <v>28</v>
      </c>
      <c r="C71" s="413" t="s">
        <v>3649</v>
      </c>
      <c r="D71" s="413" t="s">
        <v>1266</v>
      </c>
      <c r="E71" s="386">
        <v>9.886637713E9</v>
      </c>
      <c r="F71" s="386" t="s">
        <v>3743</v>
      </c>
      <c r="G71" s="387"/>
      <c r="H71" s="389">
        <f>VLOOKUP(B71,'L1 '!$1:$1000,2,FALSE)</f>
        <v>72</v>
      </c>
      <c r="I71" s="389">
        <v>70.0</v>
      </c>
      <c r="J71" s="389">
        <f>VLOOKUP(D71,'L3'!$1:$2060,2,FALSE)</f>
        <v>70</v>
      </c>
      <c r="K71" s="389">
        <f>VLOOKUP(D71,'L4'!$1:$2059,2,FALSE)</f>
        <v>71</v>
      </c>
      <c r="L71" s="390">
        <f>VLOOKUP(D71,'A1 RETEST 5 DEC'!$1:$2096,2,FALSE)</f>
        <v>75</v>
      </c>
      <c r="M71" s="390">
        <f>VLOOKUP(D71,'A2 RETEST 4 DEC'!$1:$2096,2,FALSE)</f>
        <v>50</v>
      </c>
      <c r="N71" s="404">
        <v>9.5</v>
      </c>
      <c r="O71" s="390"/>
      <c r="P71" s="391">
        <f>IFNA(vlookup(D71,'S1'!$1:$1325,2,0),0)</f>
        <v>50</v>
      </c>
      <c r="Q71" s="391">
        <f>vlookup(D71,'S2'!A67:B1269,2,0)</f>
        <v>50</v>
      </c>
      <c r="R71" s="391">
        <f>ifna(vlookup(D71,'S3'!$1:$1311,2,False),0)</f>
        <v>79</v>
      </c>
      <c r="S71" s="391"/>
      <c r="T71" s="392"/>
      <c r="U71" s="392"/>
      <c r="V71" s="393">
        <v>84.0</v>
      </c>
      <c r="W71" s="392">
        <v>84.0</v>
      </c>
      <c r="X71" s="406">
        <v>78.0</v>
      </c>
      <c r="Y71" s="392"/>
      <c r="Z71" s="407"/>
      <c r="AA71" s="395"/>
      <c r="AB71" s="395">
        <v>37.0</v>
      </c>
      <c r="AC71" s="395">
        <v>37.0</v>
      </c>
      <c r="AD71" s="395">
        <v>78.0</v>
      </c>
      <c r="AE71" s="396">
        <v>40.0</v>
      </c>
      <c r="AF71" s="398"/>
      <c r="AG71" s="398">
        <v>83.0</v>
      </c>
      <c r="AH71" s="398"/>
      <c r="AI71" s="398"/>
      <c r="AJ71" s="398"/>
      <c r="AK71" s="399">
        <f t="shared" si="1"/>
        <v>4</v>
      </c>
      <c r="AL71" s="399">
        <f t="shared" si="2"/>
        <v>2</v>
      </c>
      <c r="AM71" s="400">
        <f t="shared" si="3"/>
        <v>0</v>
      </c>
      <c r="AN71" s="399" t="str">
        <f t="shared" si="4"/>
        <v>0</v>
      </c>
      <c r="AO71" s="399">
        <f t="shared" si="5"/>
        <v>3</v>
      </c>
      <c r="AP71" s="367"/>
      <c r="AQ71" s="367"/>
      <c r="AR71" s="367"/>
    </row>
    <row r="72">
      <c r="A72" s="385">
        <v>61.0</v>
      </c>
      <c r="B72" s="386" t="s">
        <v>114</v>
      </c>
      <c r="C72" s="414" t="s">
        <v>3650</v>
      </c>
      <c r="D72" s="413" t="s">
        <v>1267</v>
      </c>
      <c r="E72" s="386">
        <v>9.986364066E9</v>
      </c>
      <c r="F72" s="386" t="s">
        <v>3743</v>
      </c>
      <c r="G72" s="387"/>
      <c r="H72" s="389">
        <v>70.0</v>
      </c>
      <c r="I72" s="389">
        <v>70.0</v>
      </c>
      <c r="J72" s="389">
        <f>VLOOKUP(D72,'L3'!$1:$2060,2,FALSE)</f>
        <v>70</v>
      </c>
      <c r="K72" s="389">
        <f>VLOOKUP(D72,'L4'!$1:$2059,2,FALSE)</f>
        <v>70</v>
      </c>
      <c r="L72" s="390">
        <f>VLOOKUP(D72,'A1 RETEST 5 DEC'!$1:$2096,2,FALSE)</f>
        <v>5</v>
      </c>
      <c r="M72" s="390">
        <f>VLOOKUP(D72,'A2 RETEST 4 DEC'!$1:$2096,2,FALSE)</f>
        <v>1</v>
      </c>
      <c r="N72" s="404">
        <v>21.5</v>
      </c>
      <c r="O72" s="390"/>
      <c r="P72" s="391">
        <f>IFNA(vlookup(D72,'S1'!$1:$1325,2,0),0)</f>
        <v>0</v>
      </c>
      <c r="Q72" s="391">
        <f>vlookup(D72,'S2'!A68:B1270,2,0)</f>
        <v>0</v>
      </c>
      <c r="R72" s="391">
        <f>ifna(vlookup(D72,'S3'!$1:$1311,2,False),0)</f>
        <v>83</v>
      </c>
      <c r="S72" s="391"/>
      <c r="T72" s="392"/>
      <c r="U72" s="392"/>
      <c r="V72" s="393">
        <v>83.0</v>
      </c>
      <c r="W72" s="392">
        <v>72.0</v>
      </c>
      <c r="X72" s="406">
        <v>86.0</v>
      </c>
      <c r="Y72" s="392"/>
      <c r="Z72" s="407"/>
      <c r="AA72" s="395"/>
      <c r="AB72" s="395">
        <v>69.0</v>
      </c>
      <c r="AC72" s="395">
        <v>69.0</v>
      </c>
      <c r="AD72" s="395">
        <v>1.0</v>
      </c>
      <c r="AE72" s="396">
        <v>15.0</v>
      </c>
      <c r="AF72" s="398"/>
      <c r="AG72" s="398">
        <v>48.0</v>
      </c>
      <c r="AH72" s="398"/>
      <c r="AI72" s="398"/>
      <c r="AJ72" s="398"/>
      <c r="AK72" s="399">
        <f t="shared" si="1"/>
        <v>4</v>
      </c>
      <c r="AL72" s="399">
        <f t="shared" si="2"/>
        <v>0</v>
      </c>
      <c r="AM72" s="400">
        <f t="shared" si="3"/>
        <v>0</v>
      </c>
      <c r="AN72" s="399" t="str">
        <f t="shared" si="4"/>
        <v>3</v>
      </c>
      <c r="AO72" s="399">
        <f t="shared" si="5"/>
        <v>0</v>
      </c>
      <c r="AP72" s="367"/>
      <c r="AQ72" s="367"/>
      <c r="AR72" s="367"/>
    </row>
    <row r="73">
      <c r="A73" s="415"/>
      <c r="B73" s="415"/>
      <c r="C73" s="416"/>
      <c r="D73" s="417"/>
      <c r="E73" s="418"/>
      <c r="F73" s="418"/>
      <c r="G73" s="367"/>
      <c r="H73" s="418"/>
      <c r="I73" s="419"/>
      <c r="J73" s="418"/>
      <c r="K73" s="418"/>
      <c r="L73" s="420"/>
      <c r="M73" s="420"/>
      <c r="N73" s="420"/>
      <c r="O73" s="420"/>
      <c r="P73" s="420"/>
      <c r="Q73" s="420"/>
      <c r="R73" s="420"/>
      <c r="S73" s="420"/>
      <c r="T73" s="420"/>
      <c r="U73" s="420"/>
      <c r="V73" s="420"/>
      <c r="W73" s="420"/>
      <c r="X73" s="420"/>
      <c r="Y73" s="420"/>
      <c r="Z73" s="367"/>
      <c r="AA73" s="420"/>
      <c r="AB73" s="420"/>
      <c r="AC73" s="420"/>
      <c r="AD73" s="420"/>
      <c r="AE73" s="396" t="str">
        <f t="shared" ref="AE73:AE159" si="6">IFERROR(VLOOKUP(D73,'p4'!A:G,7,FALSE),"")</f>
        <v/>
      </c>
      <c r="AF73" s="367"/>
      <c r="AG73" s="421"/>
      <c r="AH73" s="367"/>
      <c r="AI73" s="367"/>
      <c r="AJ73" s="367"/>
      <c r="AK73" s="358"/>
      <c r="AL73" s="358"/>
      <c r="AM73" s="358"/>
      <c r="AN73" s="358"/>
      <c r="AO73" s="358"/>
      <c r="AP73" s="367"/>
      <c r="AQ73" s="367"/>
      <c r="AR73" s="367"/>
    </row>
    <row r="74">
      <c r="A74" s="415"/>
      <c r="B74" s="415"/>
      <c r="C74" s="416"/>
      <c r="D74" s="417"/>
      <c r="E74" s="418"/>
      <c r="F74" s="418"/>
      <c r="G74" s="367"/>
      <c r="H74" s="418"/>
      <c r="I74" s="419"/>
      <c r="J74" s="418"/>
      <c r="K74" s="418"/>
      <c r="L74" s="420"/>
      <c r="M74" s="420"/>
      <c r="N74" s="420"/>
      <c r="O74" s="420"/>
      <c r="P74" s="420"/>
      <c r="Q74" s="420"/>
      <c r="R74" s="420"/>
      <c r="S74" s="420"/>
      <c r="T74" s="420"/>
      <c r="U74" s="420"/>
      <c r="V74" s="420"/>
      <c r="W74" s="420"/>
      <c r="X74" s="420"/>
      <c r="Y74" s="420"/>
      <c r="Z74" s="367"/>
      <c r="AA74" s="420"/>
      <c r="AB74" s="420"/>
      <c r="AC74" s="420"/>
      <c r="AD74" s="420"/>
      <c r="AE74" s="396" t="str">
        <f t="shared" si="6"/>
        <v/>
      </c>
      <c r="AF74" s="367"/>
      <c r="AG74" s="421"/>
      <c r="AH74" s="367"/>
      <c r="AI74" s="367"/>
      <c r="AJ74" s="367"/>
      <c r="AK74" s="358"/>
      <c r="AL74" s="358"/>
      <c r="AM74" s="358"/>
      <c r="AN74" s="358"/>
      <c r="AO74" s="358"/>
      <c r="AP74" s="367"/>
      <c r="AQ74" s="367"/>
      <c r="AR74" s="367"/>
    </row>
    <row r="75">
      <c r="A75" s="415"/>
      <c r="B75" s="415"/>
      <c r="C75" s="416"/>
      <c r="D75" s="417"/>
      <c r="E75" s="418"/>
      <c r="F75" s="418"/>
      <c r="G75" s="367"/>
      <c r="H75" s="418"/>
      <c r="I75" s="419"/>
      <c r="J75" s="418"/>
      <c r="K75" s="418"/>
      <c r="L75" s="420"/>
      <c r="M75" s="420"/>
      <c r="N75" s="420"/>
      <c r="O75" s="420"/>
      <c r="P75" s="420"/>
      <c r="Q75" s="420"/>
      <c r="R75" s="420"/>
      <c r="S75" s="420"/>
      <c r="T75" s="420"/>
      <c r="U75" s="420"/>
      <c r="V75" s="420"/>
      <c r="W75" s="420"/>
      <c r="X75" s="420"/>
      <c r="Y75" s="420"/>
      <c r="Z75" s="367"/>
      <c r="AA75" s="420"/>
      <c r="AB75" s="420"/>
      <c r="AC75" s="420"/>
      <c r="AD75" s="420"/>
      <c r="AE75" s="396" t="str">
        <f t="shared" si="6"/>
        <v/>
      </c>
      <c r="AF75" s="367"/>
      <c r="AG75" s="421"/>
      <c r="AH75" s="367"/>
      <c r="AI75" s="367"/>
      <c r="AJ75" s="367"/>
      <c r="AK75" s="358"/>
      <c r="AL75" s="358"/>
      <c r="AM75" s="358"/>
      <c r="AN75" s="358"/>
      <c r="AO75" s="358"/>
      <c r="AP75" s="367"/>
      <c r="AQ75" s="367"/>
      <c r="AR75" s="367"/>
    </row>
    <row r="76">
      <c r="A76" s="415"/>
      <c r="B76" s="415"/>
      <c r="C76" s="416"/>
      <c r="D76" s="417"/>
      <c r="E76" s="418"/>
      <c r="F76" s="418"/>
      <c r="G76" s="367"/>
      <c r="H76" s="418"/>
      <c r="I76" s="419"/>
      <c r="J76" s="418"/>
      <c r="K76" s="418"/>
      <c r="L76" s="420"/>
      <c r="M76" s="420"/>
      <c r="N76" s="420"/>
      <c r="O76" s="420"/>
      <c r="P76" s="420"/>
      <c r="Q76" s="420"/>
      <c r="R76" s="420"/>
      <c r="S76" s="420"/>
      <c r="T76" s="420"/>
      <c r="U76" s="420"/>
      <c r="V76" s="420"/>
      <c r="W76" s="420"/>
      <c r="X76" s="420"/>
      <c r="Y76" s="420"/>
      <c r="Z76" s="367"/>
      <c r="AA76" s="420"/>
      <c r="AB76" s="420"/>
      <c r="AC76" s="420"/>
      <c r="AD76" s="420"/>
      <c r="AE76" s="396" t="str">
        <f t="shared" si="6"/>
        <v/>
      </c>
      <c r="AF76" s="367"/>
      <c r="AG76" s="420"/>
      <c r="AH76" s="367"/>
      <c r="AI76" s="367"/>
      <c r="AJ76" s="367"/>
      <c r="AK76" s="358"/>
      <c r="AL76" s="358"/>
      <c r="AM76" s="358"/>
      <c r="AN76" s="358"/>
      <c r="AO76" s="358"/>
      <c r="AP76" s="367"/>
      <c r="AQ76" s="367"/>
      <c r="AR76" s="367"/>
    </row>
    <row r="77">
      <c r="A77" s="415"/>
      <c r="B77" s="415"/>
      <c r="C77" s="416"/>
      <c r="D77" s="417"/>
      <c r="E77" s="418"/>
      <c r="F77" s="418"/>
      <c r="G77" s="367"/>
      <c r="H77" s="418"/>
      <c r="I77" s="419"/>
      <c r="J77" s="418"/>
      <c r="K77" s="418"/>
      <c r="L77" s="420"/>
      <c r="M77" s="420"/>
      <c r="N77" s="420"/>
      <c r="O77" s="420"/>
      <c r="P77" s="420"/>
      <c r="Q77" s="420"/>
      <c r="R77" s="420"/>
      <c r="S77" s="420"/>
      <c r="T77" s="420"/>
      <c r="U77" s="420"/>
      <c r="V77" s="420"/>
      <c r="W77" s="420"/>
      <c r="X77" s="420"/>
      <c r="Y77" s="420"/>
      <c r="Z77" s="367"/>
      <c r="AA77" s="420"/>
      <c r="AB77" s="420"/>
      <c r="AC77" s="420"/>
      <c r="AD77" s="420"/>
      <c r="AE77" s="396" t="str">
        <f t="shared" si="6"/>
        <v/>
      </c>
      <c r="AF77" s="367"/>
      <c r="AG77" s="420"/>
      <c r="AH77" s="367"/>
      <c r="AI77" s="367"/>
      <c r="AJ77" s="367"/>
      <c r="AK77" s="358"/>
      <c r="AL77" s="358"/>
      <c r="AM77" s="358"/>
      <c r="AN77" s="358"/>
      <c r="AO77" s="358"/>
      <c r="AP77" s="367"/>
      <c r="AQ77" s="367"/>
      <c r="AR77" s="367"/>
    </row>
    <row r="78">
      <c r="A78" s="415"/>
      <c r="B78" s="415"/>
      <c r="C78" s="416"/>
      <c r="D78" s="417"/>
      <c r="E78" s="418"/>
      <c r="F78" s="418"/>
      <c r="G78" s="367"/>
      <c r="H78" s="418"/>
      <c r="I78" s="419"/>
      <c r="J78" s="418"/>
      <c r="K78" s="418"/>
      <c r="L78" s="420"/>
      <c r="M78" s="420"/>
      <c r="N78" s="420"/>
      <c r="O78" s="420"/>
      <c r="P78" s="420"/>
      <c r="Q78" s="420"/>
      <c r="R78" s="420"/>
      <c r="S78" s="420"/>
      <c r="T78" s="420"/>
      <c r="U78" s="420"/>
      <c r="V78" s="420"/>
      <c r="W78" s="420"/>
      <c r="X78" s="420"/>
      <c r="Y78" s="420"/>
      <c r="Z78" s="367"/>
      <c r="AA78" s="420"/>
      <c r="AB78" s="420"/>
      <c r="AC78" s="420"/>
      <c r="AD78" s="420"/>
      <c r="AE78" s="396" t="str">
        <f t="shared" si="6"/>
        <v/>
      </c>
      <c r="AF78" s="367"/>
      <c r="AG78" s="420"/>
      <c r="AH78" s="367"/>
      <c r="AI78" s="367"/>
      <c r="AJ78" s="367"/>
      <c r="AK78" s="358"/>
      <c r="AL78" s="358"/>
      <c r="AM78" s="358"/>
      <c r="AN78" s="358"/>
      <c r="AO78" s="358"/>
      <c r="AP78" s="367"/>
      <c r="AQ78" s="367"/>
      <c r="AR78" s="367"/>
    </row>
    <row r="79">
      <c r="A79" s="415"/>
      <c r="B79" s="415"/>
      <c r="C79" s="416"/>
      <c r="D79" s="417"/>
      <c r="E79" s="418"/>
      <c r="F79" s="418"/>
      <c r="G79" s="367"/>
      <c r="H79" s="418"/>
      <c r="I79" s="419"/>
      <c r="J79" s="418"/>
      <c r="K79" s="418"/>
      <c r="L79" s="420"/>
      <c r="M79" s="420"/>
      <c r="N79" s="420"/>
      <c r="O79" s="420"/>
      <c r="P79" s="420"/>
      <c r="Q79" s="420"/>
      <c r="R79" s="420"/>
      <c r="S79" s="420"/>
      <c r="T79" s="420"/>
      <c r="U79" s="420"/>
      <c r="V79" s="420"/>
      <c r="W79" s="420"/>
      <c r="X79" s="420"/>
      <c r="Y79" s="420"/>
      <c r="Z79" s="367"/>
      <c r="AA79" s="420"/>
      <c r="AB79" s="420"/>
      <c r="AC79" s="420"/>
      <c r="AD79" s="420"/>
      <c r="AE79" s="396" t="str">
        <f t="shared" si="6"/>
        <v/>
      </c>
      <c r="AF79" s="367"/>
      <c r="AG79" s="420"/>
      <c r="AH79" s="367"/>
      <c r="AI79" s="367"/>
      <c r="AJ79" s="367"/>
      <c r="AK79" s="358"/>
      <c r="AL79" s="358"/>
      <c r="AM79" s="358"/>
      <c r="AN79" s="358"/>
      <c r="AO79" s="358"/>
      <c r="AP79" s="367"/>
      <c r="AQ79" s="367"/>
      <c r="AR79" s="367"/>
    </row>
    <row r="80">
      <c r="A80" s="415"/>
      <c r="B80" s="415"/>
      <c r="C80" s="416"/>
      <c r="D80" s="417"/>
      <c r="E80" s="418"/>
      <c r="F80" s="418"/>
      <c r="G80" s="367"/>
      <c r="H80" s="418"/>
      <c r="I80" s="419"/>
      <c r="J80" s="418"/>
      <c r="K80" s="418"/>
      <c r="L80" s="420"/>
      <c r="M80" s="420"/>
      <c r="N80" s="420"/>
      <c r="O80" s="420"/>
      <c r="P80" s="420"/>
      <c r="Q80" s="420"/>
      <c r="R80" s="420"/>
      <c r="S80" s="420"/>
      <c r="T80" s="420"/>
      <c r="U80" s="420"/>
      <c r="V80" s="420"/>
      <c r="W80" s="420"/>
      <c r="X80" s="420"/>
      <c r="Y80" s="420"/>
      <c r="Z80" s="367"/>
      <c r="AA80" s="420"/>
      <c r="AB80" s="420"/>
      <c r="AC80" s="420"/>
      <c r="AD80" s="420"/>
      <c r="AE80" s="396" t="str">
        <f t="shared" si="6"/>
        <v/>
      </c>
      <c r="AF80" s="367"/>
      <c r="AG80" s="420"/>
      <c r="AH80" s="367"/>
      <c r="AI80" s="367"/>
      <c r="AJ80" s="367"/>
      <c r="AK80" s="358"/>
      <c r="AL80" s="358"/>
      <c r="AM80" s="358"/>
      <c r="AN80" s="358"/>
      <c r="AO80" s="358"/>
      <c r="AP80" s="367"/>
      <c r="AQ80" s="367"/>
      <c r="AR80" s="367"/>
    </row>
    <row r="81">
      <c r="A81" s="415"/>
      <c r="B81" s="415"/>
      <c r="C81" s="416"/>
      <c r="D81" s="417"/>
      <c r="E81" s="418"/>
      <c r="F81" s="418"/>
      <c r="G81" s="367"/>
      <c r="H81" s="418"/>
      <c r="I81" s="418"/>
      <c r="J81" s="418"/>
      <c r="K81" s="418"/>
      <c r="L81" s="420"/>
      <c r="M81" s="420"/>
      <c r="N81" s="420"/>
      <c r="O81" s="420"/>
      <c r="P81" s="420"/>
      <c r="Q81" s="420"/>
      <c r="R81" s="420"/>
      <c r="S81" s="420"/>
      <c r="T81" s="420"/>
      <c r="U81" s="420"/>
      <c r="V81" s="420"/>
      <c r="W81" s="420"/>
      <c r="X81" s="420"/>
      <c r="Y81" s="420"/>
      <c r="Z81" s="367"/>
      <c r="AA81" s="420"/>
      <c r="AB81" s="420"/>
      <c r="AC81" s="420"/>
      <c r="AD81" s="420"/>
      <c r="AE81" s="396" t="str">
        <f t="shared" si="6"/>
        <v/>
      </c>
      <c r="AF81" s="367"/>
      <c r="AG81" s="420"/>
      <c r="AH81" s="367"/>
      <c r="AI81" s="367"/>
      <c r="AJ81" s="367"/>
      <c r="AK81" s="358"/>
      <c r="AL81" s="358"/>
      <c r="AM81" s="358"/>
      <c r="AN81" s="358"/>
      <c r="AO81" s="358"/>
      <c r="AP81" s="367"/>
      <c r="AQ81" s="367"/>
      <c r="AR81" s="367"/>
    </row>
    <row r="82">
      <c r="A82" s="415"/>
      <c r="B82" s="415"/>
      <c r="C82" s="416"/>
      <c r="D82" s="417"/>
      <c r="E82" s="418"/>
      <c r="F82" s="418"/>
      <c r="G82" s="367"/>
      <c r="H82" s="418"/>
      <c r="I82" s="418"/>
      <c r="J82" s="418"/>
      <c r="K82" s="418"/>
      <c r="L82" s="420"/>
      <c r="M82" s="420"/>
      <c r="N82" s="420"/>
      <c r="O82" s="420"/>
      <c r="P82" s="420"/>
      <c r="Q82" s="420"/>
      <c r="R82" s="420"/>
      <c r="S82" s="420"/>
      <c r="T82" s="420"/>
      <c r="U82" s="420"/>
      <c r="V82" s="420"/>
      <c r="W82" s="420"/>
      <c r="X82" s="420"/>
      <c r="Y82" s="420"/>
      <c r="Z82" s="367"/>
      <c r="AA82" s="420"/>
      <c r="AB82" s="420"/>
      <c r="AC82" s="420"/>
      <c r="AD82" s="420"/>
      <c r="AE82" s="396" t="str">
        <f t="shared" si="6"/>
        <v/>
      </c>
      <c r="AF82" s="367"/>
      <c r="AG82" s="420"/>
      <c r="AH82" s="367"/>
      <c r="AI82" s="367"/>
      <c r="AJ82" s="367"/>
      <c r="AK82" s="358"/>
      <c r="AL82" s="358"/>
      <c r="AM82" s="358"/>
      <c r="AN82" s="358"/>
      <c r="AO82" s="358"/>
      <c r="AP82" s="367"/>
      <c r="AQ82" s="367"/>
      <c r="AR82" s="367"/>
    </row>
    <row r="83">
      <c r="A83" s="415"/>
      <c r="B83" s="415"/>
      <c r="C83" s="416"/>
      <c r="D83" s="417"/>
      <c r="E83" s="418"/>
      <c r="F83" s="418"/>
      <c r="G83" s="367"/>
      <c r="H83" s="418"/>
      <c r="I83" s="418"/>
      <c r="J83" s="418"/>
      <c r="K83" s="418"/>
      <c r="L83" s="420"/>
      <c r="M83" s="420"/>
      <c r="N83" s="420"/>
      <c r="O83" s="420"/>
      <c r="P83" s="420"/>
      <c r="Q83" s="420"/>
      <c r="R83" s="420"/>
      <c r="S83" s="420"/>
      <c r="T83" s="420"/>
      <c r="U83" s="420"/>
      <c r="V83" s="420"/>
      <c r="W83" s="420"/>
      <c r="X83" s="420"/>
      <c r="Y83" s="420"/>
      <c r="Z83" s="367"/>
      <c r="AA83" s="420"/>
      <c r="AB83" s="420"/>
      <c r="AC83" s="420"/>
      <c r="AD83" s="420"/>
      <c r="AE83" s="396" t="str">
        <f t="shared" si="6"/>
        <v/>
      </c>
      <c r="AF83" s="367"/>
      <c r="AG83" s="420"/>
      <c r="AH83" s="367"/>
      <c r="AI83" s="367"/>
      <c r="AJ83" s="367"/>
      <c r="AK83" s="358"/>
      <c r="AL83" s="358"/>
      <c r="AM83" s="358"/>
      <c r="AN83" s="358"/>
      <c r="AO83" s="358"/>
      <c r="AP83" s="367"/>
      <c r="AQ83" s="367"/>
      <c r="AR83" s="367"/>
    </row>
    <row r="84">
      <c r="A84" s="415"/>
      <c r="B84" s="415"/>
      <c r="C84" s="416"/>
      <c r="D84" s="417"/>
      <c r="E84" s="418"/>
      <c r="F84" s="418"/>
      <c r="G84" s="367"/>
      <c r="H84" s="418"/>
      <c r="I84" s="418"/>
      <c r="J84" s="418"/>
      <c r="K84" s="418"/>
      <c r="L84" s="420"/>
      <c r="M84" s="420"/>
      <c r="N84" s="420"/>
      <c r="O84" s="420"/>
      <c r="P84" s="420"/>
      <c r="Q84" s="420"/>
      <c r="R84" s="420"/>
      <c r="S84" s="420"/>
      <c r="T84" s="420"/>
      <c r="U84" s="420"/>
      <c r="V84" s="420"/>
      <c r="W84" s="420"/>
      <c r="X84" s="420"/>
      <c r="Y84" s="420"/>
      <c r="Z84" s="367"/>
      <c r="AA84" s="420"/>
      <c r="AB84" s="420"/>
      <c r="AC84" s="420"/>
      <c r="AD84" s="420"/>
      <c r="AE84" s="396" t="str">
        <f t="shared" si="6"/>
        <v/>
      </c>
      <c r="AF84" s="367"/>
      <c r="AG84" s="420"/>
      <c r="AH84" s="367"/>
      <c r="AI84" s="367"/>
      <c r="AJ84" s="367"/>
      <c r="AK84" s="358"/>
      <c r="AL84" s="358"/>
      <c r="AM84" s="358"/>
      <c r="AN84" s="358"/>
      <c r="AO84" s="358"/>
      <c r="AP84" s="367"/>
      <c r="AQ84" s="367"/>
      <c r="AR84" s="367"/>
    </row>
    <row r="85">
      <c r="A85" s="415"/>
      <c r="B85" s="415"/>
      <c r="C85" s="416"/>
      <c r="D85" s="417"/>
      <c r="E85" s="418"/>
      <c r="F85" s="418"/>
      <c r="G85" s="367"/>
      <c r="H85" s="418"/>
      <c r="I85" s="418"/>
      <c r="J85" s="418"/>
      <c r="K85" s="418"/>
      <c r="L85" s="420"/>
      <c r="M85" s="420"/>
      <c r="N85" s="420"/>
      <c r="O85" s="420"/>
      <c r="P85" s="420"/>
      <c r="Q85" s="420"/>
      <c r="R85" s="420"/>
      <c r="S85" s="420"/>
      <c r="T85" s="420"/>
      <c r="U85" s="420"/>
      <c r="V85" s="420"/>
      <c r="W85" s="420"/>
      <c r="X85" s="420"/>
      <c r="Y85" s="420"/>
      <c r="Z85" s="367"/>
      <c r="AA85" s="420"/>
      <c r="AB85" s="420"/>
      <c r="AC85" s="420"/>
      <c r="AD85" s="420"/>
      <c r="AE85" s="396" t="str">
        <f t="shared" si="6"/>
        <v/>
      </c>
      <c r="AF85" s="367"/>
      <c r="AG85" s="420"/>
      <c r="AH85" s="367"/>
      <c r="AI85" s="367"/>
      <c r="AJ85" s="367"/>
      <c r="AK85" s="358"/>
      <c r="AL85" s="358"/>
      <c r="AM85" s="358"/>
      <c r="AN85" s="358"/>
      <c r="AO85" s="358"/>
      <c r="AP85" s="367"/>
      <c r="AQ85" s="367"/>
      <c r="AR85" s="367"/>
    </row>
    <row r="86">
      <c r="A86" s="415"/>
      <c r="B86" s="415"/>
      <c r="C86" s="416"/>
      <c r="D86" s="417"/>
      <c r="E86" s="418"/>
      <c r="F86" s="418"/>
      <c r="G86" s="367"/>
      <c r="H86" s="418"/>
      <c r="I86" s="418"/>
      <c r="J86" s="418"/>
      <c r="K86" s="418"/>
      <c r="L86" s="420"/>
      <c r="M86" s="420"/>
      <c r="N86" s="420"/>
      <c r="O86" s="420"/>
      <c r="P86" s="420"/>
      <c r="Q86" s="420"/>
      <c r="R86" s="420"/>
      <c r="S86" s="420"/>
      <c r="T86" s="420"/>
      <c r="U86" s="420"/>
      <c r="V86" s="420"/>
      <c r="W86" s="420"/>
      <c r="X86" s="420"/>
      <c r="Y86" s="420"/>
      <c r="Z86" s="367"/>
      <c r="AA86" s="420"/>
      <c r="AB86" s="420"/>
      <c r="AC86" s="420"/>
      <c r="AD86" s="420"/>
      <c r="AE86" s="396" t="str">
        <f t="shared" si="6"/>
        <v/>
      </c>
      <c r="AF86" s="367"/>
      <c r="AG86" s="420"/>
      <c r="AH86" s="367"/>
      <c r="AI86" s="367"/>
      <c r="AJ86" s="367"/>
      <c r="AK86" s="358"/>
      <c r="AL86" s="358"/>
      <c r="AM86" s="358"/>
      <c r="AN86" s="358"/>
      <c r="AO86" s="358"/>
      <c r="AP86" s="367"/>
      <c r="AQ86" s="367"/>
      <c r="AR86" s="367"/>
    </row>
    <row r="87">
      <c r="A87" s="415"/>
      <c r="B87" s="415"/>
      <c r="C87" s="416"/>
      <c r="D87" s="417"/>
      <c r="E87" s="418"/>
      <c r="F87" s="418"/>
      <c r="G87" s="367"/>
      <c r="H87" s="418"/>
      <c r="I87" s="418"/>
      <c r="J87" s="418"/>
      <c r="K87" s="418"/>
      <c r="L87" s="420"/>
      <c r="M87" s="420"/>
      <c r="N87" s="420"/>
      <c r="O87" s="420"/>
      <c r="P87" s="420"/>
      <c r="Q87" s="420"/>
      <c r="R87" s="420"/>
      <c r="S87" s="420"/>
      <c r="T87" s="420"/>
      <c r="U87" s="420"/>
      <c r="V87" s="420"/>
      <c r="W87" s="420"/>
      <c r="X87" s="420"/>
      <c r="Y87" s="420"/>
      <c r="Z87" s="367"/>
      <c r="AA87" s="420"/>
      <c r="AB87" s="420"/>
      <c r="AC87" s="420"/>
      <c r="AD87" s="420"/>
      <c r="AE87" s="396" t="str">
        <f t="shared" si="6"/>
        <v/>
      </c>
      <c r="AF87" s="367"/>
      <c r="AG87" s="420"/>
      <c r="AH87" s="367"/>
      <c r="AI87" s="367"/>
      <c r="AJ87" s="367"/>
      <c r="AK87" s="358"/>
      <c r="AL87" s="358"/>
      <c r="AM87" s="358"/>
      <c r="AN87" s="358"/>
      <c r="AO87" s="358"/>
      <c r="AP87" s="367"/>
      <c r="AQ87" s="367"/>
      <c r="AR87" s="367"/>
    </row>
    <row r="88">
      <c r="A88" s="415"/>
      <c r="B88" s="415"/>
      <c r="C88" s="416"/>
      <c r="D88" s="417"/>
      <c r="E88" s="418"/>
      <c r="F88" s="418"/>
      <c r="G88" s="367"/>
      <c r="H88" s="418"/>
      <c r="I88" s="418"/>
      <c r="J88" s="418"/>
      <c r="K88" s="418"/>
      <c r="L88" s="420"/>
      <c r="M88" s="420"/>
      <c r="N88" s="420"/>
      <c r="O88" s="420"/>
      <c r="P88" s="420"/>
      <c r="Q88" s="420"/>
      <c r="R88" s="420"/>
      <c r="S88" s="420"/>
      <c r="T88" s="420"/>
      <c r="U88" s="420"/>
      <c r="V88" s="420"/>
      <c r="W88" s="420"/>
      <c r="X88" s="420"/>
      <c r="Y88" s="420"/>
      <c r="Z88" s="367"/>
      <c r="AA88" s="420"/>
      <c r="AB88" s="420"/>
      <c r="AC88" s="420"/>
      <c r="AD88" s="420"/>
      <c r="AE88" s="396" t="str">
        <f t="shared" si="6"/>
        <v/>
      </c>
      <c r="AF88" s="367"/>
      <c r="AG88" s="420"/>
      <c r="AH88" s="367"/>
      <c r="AI88" s="367"/>
      <c r="AJ88" s="367"/>
      <c r="AK88" s="358"/>
      <c r="AL88" s="358"/>
      <c r="AM88" s="358"/>
      <c r="AN88" s="358"/>
      <c r="AO88" s="358"/>
      <c r="AP88" s="367"/>
      <c r="AQ88" s="367"/>
      <c r="AR88" s="367"/>
    </row>
    <row r="89">
      <c r="A89" s="415"/>
      <c r="B89" s="415"/>
      <c r="C89" s="416"/>
      <c r="D89" s="417"/>
      <c r="E89" s="418"/>
      <c r="F89" s="418"/>
      <c r="G89" s="367"/>
      <c r="H89" s="418"/>
      <c r="I89" s="418"/>
      <c r="J89" s="418"/>
      <c r="K89" s="418"/>
      <c r="L89" s="420"/>
      <c r="M89" s="420"/>
      <c r="N89" s="420"/>
      <c r="O89" s="420"/>
      <c r="P89" s="420"/>
      <c r="Q89" s="420"/>
      <c r="R89" s="420"/>
      <c r="S89" s="420"/>
      <c r="T89" s="420"/>
      <c r="U89" s="420"/>
      <c r="V89" s="420"/>
      <c r="W89" s="420"/>
      <c r="X89" s="420"/>
      <c r="Y89" s="420"/>
      <c r="Z89" s="367"/>
      <c r="AA89" s="420"/>
      <c r="AB89" s="420"/>
      <c r="AC89" s="420"/>
      <c r="AD89" s="420"/>
      <c r="AE89" s="396" t="str">
        <f t="shared" si="6"/>
        <v/>
      </c>
      <c r="AF89" s="367"/>
      <c r="AG89" s="420"/>
      <c r="AH89" s="367"/>
      <c r="AI89" s="367"/>
      <c r="AJ89" s="367"/>
      <c r="AK89" s="358"/>
      <c r="AL89" s="358"/>
      <c r="AM89" s="358"/>
      <c r="AN89" s="358"/>
      <c r="AO89" s="358"/>
      <c r="AP89" s="367"/>
      <c r="AQ89" s="367"/>
      <c r="AR89" s="367"/>
    </row>
    <row r="90">
      <c r="A90" s="415"/>
      <c r="B90" s="415"/>
      <c r="C90" s="416"/>
      <c r="D90" s="417"/>
      <c r="E90" s="418"/>
      <c r="F90" s="418"/>
      <c r="G90" s="367"/>
      <c r="H90" s="418"/>
      <c r="I90" s="418"/>
      <c r="J90" s="418"/>
      <c r="K90" s="418"/>
      <c r="L90" s="420"/>
      <c r="M90" s="420"/>
      <c r="N90" s="420"/>
      <c r="O90" s="420"/>
      <c r="P90" s="420"/>
      <c r="Q90" s="420"/>
      <c r="R90" s="420"/>
      <c r="S90" s="420"/>
      <c r="T90" s="420"/>
      <c r="U90" s="420"/>
      <c r="V90" s="420"/>
      <c r="W90" s="420"/>
      <c r="X90" s="420"/>
      <c r="Y90" s="420"/>
      <c r="Z90" s="367"/>
      <c r="AA90" s="420"/>
      <c r="AB90" s="420"/>
      <c r="AC90" s="420"/>
      <c r="AD90" s="420"/>
      <c r="AE90" s="396" t="str">
        <f t="shared" si="6"/>
        <v/>
      </c>
      <c r="AF90" s="367"/>
      <c r="AG90" s="420"/>
      <c r="AH90" s="367"/>
      <c r="AI90" s="367"/>
      <c r="AJ90" s="367"/>
      <c r="AK90" s="358"/>
      <c r="AL90" s="358"/>
      <c r="AM90" s="358"/>
      <c r="AN90" s="358"/>
      <c r="AO90" s="358"/>
      <c r="AP90" s="367"/>
      <c r="AQ90" s="367"/>
      <c r="AR90" s="367"/>
    </row>
    <row r="91">
      <c r="A91" s="415"/>
      <c r="B91" s="415"/>
      <c r="C91" s="416"/>
      <c r="D91" s="417"/>
      <c r="E91" s="418"/>
      <c r="F91" s="418"/>
      <c r="G91" s="367"/>
      <c r="H91" s="418"/>
      <c r="I91" s="418"/>
      <c r="J91" s="418"/>
      <c r="K91" s="418"/>
      <c r="L91" s="420"/>
      <c r="M91" s="420"/>
      <c r="N91" s="420"/>
      <c r="O91" s="420"/>
      <c r="P91" s="420"/>
      <c r="Q91" s="420"/>
      <c r="R91" s="420"/>
      <c r="S91" s="420"/>
      <c r="T91" s="420"/>
      <c r="U91" s="420"/>
      <c r="V91" s="420"/>
      <c r="W91" s="420"/>
      <c r="X91" s="420"/>
      <c r="Y91" s="420"/>
      <c r="Z91" s="367"/>
      <c r="AA91" s="420"/>
      <c r="AB91" s="420"/>
      <c r="AC91" s="420"/>
      <c r="AD91" s="420"/>
      <c r="AE91" s="396" t="str">
        <f t="shared" si="6"/>
        <v/>
      </c>
      <c r="AF91" s="367"/>
      <c r="AG91" s="420"/>
      <c r="AH91" s="367"/>
      <c r="AI91" s="367"/>
      <c r="AJ91" s="367"/>
      <c r="AK91" s="358"/>
      <c r="AL91" s="358"/>
      <c r="AM91" s="358"/>
      <c r="AN91" s="358"/>
      <c r="AO91" s="358"/>
      <c r="AP91" s="367"/>
      <c r="AQ91" s="367"/>
      <c r="AR91" s="367"/>
    </row>
    <row r="92">
      <c r="A92" s="415"/>
      <c r="B92" s="415"/>
      <c r="C92" s="416"/>
      <c r="D92" s="417"/>
      <c r="E92" s="418"/>
      <c r="F92" s="418"/>
      <c r="G92" s="367"/>
      <c r="H92" s="418"/>
      <c r="I92" s="418"/>
      <c r="J92" s="418"/>
      <c r="K92" s="418"/>
      <c r="L92" s="420"/>
      <c r="M92" s="420"/>
      <c r="N92" s="420"/>
      <c r="O92" s="420"/>
      <c r="P92" s="420"/>
      <c r="Q92" s="420"/>
      <c r="R92" s="420"/>
      <c r="S92" s="420"/>
      <c r="T92" s="420"/>
      <c r="U92" s="420"/>
      <c r="V92" s="420"/>
      <c r="W92" s="420"/>
      <c r="X92" s="420"/>
      <c r="Y92" s="420"/>
      <c r="Z92" s="367"/>
      <c r="AA92" s="420"/>
      <c r="AB92" s="420"/>
      <c r="AC92" s="420"/>
      <c r="AD92" s="420"/>
      <c r="AE92" s="396" t="str">
        <f t="shared" si="6"/>
        <v/>
      </c>
      <c r="AF92" s="367"/>
      <c r="AG92" s="420"/>
      <c r="AH92" s="367"/>
      <c r="AI92" s="367"/>
      <c r="AJ92" s="367"/>
      <c r="AK92" s="358"/>
      <c r="AL92" s="358"/>
      <c r="AM92" s="358"/>
      <c r="AN92" s="358"/>
      <c r="AO92" s="358"/>
      <c r="AP92" s="367"/>
      <c r="AQ92" s="367"/>
      <c r="AR92" s="367"/>
    </row>
    <row r="93">
      <c r="A93" s="415"/>
      <c r="B93" s="415"/>
      <c r="C93" s="416"/>
      <c r="D93" s="417"/>
      <c r="E93" s="418"/>
      <c r="F93" s="418"/>
      <c r="G93" s="367"/>
      <c r="H93" s="418"/>
      <c r="I93" s="418"/>
      <c r="J93" s="418"/>
      <c r="K93" s="418"/>
      <c r="L93" s="420"/>
      <c r="M93" s="420"/>
      <c r="N93" s="420"/>
      <c r="O93" s="420"/>
      <c r="P93" s="420"/>
      <c r="Q93" s="420"/>
      <c r="R93" s="420"/>
      <c r="S93" s="420"/>
      <c r="T93" s="420"/>
      <c r="U93" s="420"/>
      <c r="V93" s="420"/>
      <c r="W93" s="420"/>
      <c r="X93" s="420"/>
      <c r="Y93" s="420"/>
      <c r="Z93" s="367"/>
      <c r="AA93" s="420"/>
      <c r="AB93" s="420"/>
      <c r="AC93" s="420"/>
      <c r="AD93" s="420"/>
      <c r="AE93" s="396" t="str">
        <f t="shared" si="6"/>
        <v/>
      </c>
      <c r="AF93" s="367"/>
      <c r="AG93" s="420"/>
      <c r="AH93" s="367"/>
      <c r="AI93" s="367"/>
      <c r="AJ93" s="367"/>
      <c r="AK93" s="358"/>
      <c r="AL93" s="358"/>
      <c r="AM93" s="358"/>
      <c r="AN93" s="358"/>
      <c r="AO93" s="358"/>
      <c r="AP93" s="367"/>
      <c r="AQ93" s="367"/>
      <c r="AR93" s="367"/>
    </row>
    <row r="94">
      <c r="A94" s="415"/>
      <c r="B94" s="415"/>
      <c r="C94" s="416"/>
      <c r="D94" s="417"/>
      <c r="E94" s="418"/>
      <c r="F94" s="418"/>
      <c r="G94" s="367"/>
      <c r="H94" s="418"/>
      <c r="I94" s="418"/>
      <c r="J94" s="418"/>
      <c r="K94" s="418"/>
      <c r="L94" s="420"/>
      <c r="M94" s="420"/>
      <c r="N94" s="420"/>
      <c r="O94" s="420"/>
      <c r="P94" s="420"/>
      <c r="Q94" s="420"/>
      <c r="R94" s="420"/>
      <c r="S94" s="420"/>
      <c r="T94" s="420"/>
      <c r="U94" s="420"/>
      <c r="V94" s="420"/>
      <c r="W94" s="420"/>
      <c r="X94" s="420"/>
      <c r="Y94" s="420"/>
      <c r="Z94" s="367"/>
      <c r="AA94" s="420"/>
      <c r="AB94" s="420"/>
      <c r="AC94" s="420"/>
      <c r="AD94" s="420"/>
      <c r="AE94" s="396" t="str">
        <f t="shared" si="6"/>
        <v/>
      </c>
      <c r="AF94" s="367"/>
      <c r="AG94" s="420"/>
      <c r="AH94" s="367"/>
      <c r="AI94" s="367"/>
      <c r="AJ94" s="367"/>
      <c r="AK94" s="358"/>
      <c r="AL94" s="358"/>
      <c r="AM94" s="358"/>
      <c r="AN94" s="358"/>
      <c r="AO94" s="358"/>
      <c r="AP94" s="367"/>
      <c r="AQ94" s="367"/>
      <c r="AR94" s="367"/>
    </row>
    <row r="95">
      <c r="A95" s="415"/>
      <c r="B95" s="415"/>
      <c r="C95" s="416"/>
      <c r="D95" s="417"/>
      <c r="E95" s="418"/>
      <c r="F95" s="418"/>
      <c r="G95" s="367"/>
      <c r="H95" s="418"/>
      <c r="I95" s="418"/>
      <c r="J95" s="418"/>
      <c r="K95" s="418"/>
      <c r="L95" s="420"/>
      <c r="M95" s="420"/>
      <c r="N95" s="420"/>
      <c r="O95" s="420"/>
      <c r="P95" s="420"/>
      <c r="Q95" s="420"/>
      <c r="R95" s="420"/>
      <c r="S95" s="420"/>
      <c r="T95" s="420"/>
      <c r="U95" s="420"/>
      <c r="V95" s="420"/>
      <c r="W95" s="420"/>
      <c r="X95" s="420"/>
      <c r="Y95" s="420"/>
      <c r="Z95" s="367"/>
      <c r="AA95" s="420"/>
      <c r="AB95" s="420"/>
      <c r="AC95" s="420"/>
      <c r="AD95" s="420"/>
      <c r="AE95" s="396" t="str">
        <f t="shared" si="6"/>
        <v/>
      </c>
      <c r="AF95" s="367"/>
      <c r="AG95" s="420"/>
      <c r="AH95" s="367"/>
      <c r="AI95" s="367"/>
      <c r="AJ95" s="367"/>
      <c r="AK95" s="358"/>
      <c r="AL95" s="358"/>
      <c r="AM95" s="358"/>
      <c r="AN95" s="358"/>
      <c r="AO95" s="358"/>
      <c r="AP95" s="367"/>
      <c r="AQ95" s="367"/>
      <c r="AR95" s="367"/>
    </row>
    <row r="96">
      <c r="A96" s="415"/>
      <c r="B96" s="415"/>
      <c r="C96" s="416"/>
      <c r="D96" s="417"/>
      <c r="E96" s="418"/>
      <c r="F96" s="418"/>
      <c r="G96" s="367"/>
      <c r="H96" s="418"/>
      <c r="I96" s="418"/>
      <c r="J96" s="418"/>
      <c r="K96" s="418"/>
      <c r="L96" s="420"/>
      <c r="M96" s="420"/>
      <c r="N96" s="420"/>
      <c r="O96" s="420"/>
      <c r="P96" s="420"/>
      <c r="Q96" s="420"/>
      <c r="R96" s="420"/>
      <c r="S96" s="420"/>
      <c r="T96" s="420"/>
      <c r="U96" s="420"/>
      <c r="V96" s="420"/>
      <c r="W96" s="420"/>
      <c r="X96" s="420"/>
      <c r="Y96" s="420"/>
      <c r="Z96" s="367"/>
      <c r="AA96" s="420"/>
      <c r="AB96" s="420"/>
      <c r="AC96" s="420"/>
      <c r="AD96" s="420"/>
      <c r="AE96" s="396" t="str">
        <f t="shared" si="6"/>
        <v/>
      </c>
      <c r="AF96" s="367"/>
      <c r="AG96" s="420"/>
      <c r="AH96" s="367"/>
      <c r="AI96" s="367"/>
      <c r="AJ96" s="367"/>
      <c r="AK96" s="358"/>
      <c r="AL96" s="358"/>
      <c r="AM96" s="358"/>
      <c r="AN96" s="358"/>
      <c r="AO96" s="358"/>
      <c r="AP96" s="367"/>
      <c r="AQ96" s="367"/>
      <c r="AR96" s="367"/>
    </row>
    <row r="97">
      <c r="A97" s="415"/>
      <c r="B97" s="415"/>
      <c r="C97" s="416"/>
      <c r="D97" s="417"/>
      <c r="E97" s="418"/>
      <c r="F97" s="418"/>
      <c r="G97" s="367"/>
      <c r="H97" s="418"/>
      <c r="I97" s="418"/>
      <c r="J97" s="418"/>
      <c r="K97" s="418"/>
      <c r="L97" s="420"/>
      <c r="M97" s="420"/>
      <c r="N97" s="420"/>
      <c r="O97" s="420"/>
      <c r="P97" s="420"/>
      <c r="Q97" s="420"/>
      <c r="R97" s="420"/>
      <c r="S97" s="420"/>
      <c r="T97" s="420"/>
      <c r="U97" s="420"/>
      <c r="V97" s="420"/>
      <c r="W97" s="420"/>
      <c r="X97" s="420"/>
      <c r="Y97" s="420"/>
      <c r="Z97" s="367"/>
      <c r="AA97" s="420"/>
      <c r="AB97" s="420"/>
      <c r="AC97" s="420"/>
      <c r="AD97" s="420"/>
      <c r="AE97" s="396" t="str">
        <f t="shared" si="6"/>
        <v/>
      </c>
      <c r="AF97" s="367"/>
      <c r="AG97" s="420"/>
      <c r="AH97" s="367"/>
      <c r="AI97" s="367"/>
      <c r="AJ97" s="367"/>
      <c r="AK97" s="358"/>
      <c r="AL97" s="358"/>
      <c r="AM97" s="358"/>
      <c r="AN97" s="358"/>
      <c r="AO97" s="358"/>
      <c r="AP97" s="367"/>
      <c r="AQ97" s="367"/>
      <c r="AR97" s="367"/>
    </row>
    <row r="98">
      <c r="A98" s="415"/>
      <c r="B98" s="415"/>
      <c r="C98" s="416"/>
      <c r="D98" s="417"/>
      <c r="E98" s="418"/>
      <c r="F98" s="418"/>
      <c r="G98" s="367"/>
      <c r="H98" s="418"/>
      <c r="I98" s="418"/>
      <c r="J98" s="418"/>
      <c r="K98" s="418"/>
      <c r="L98" s="420"/>
      <c r="M98" s="420"/>
      <c r="N98" s="420"/>
      <c r="O98" s="420"/>
      <c r="P98" s="420"/>
      <c r="Q98" s="420"/>
      <c r="R98" s="420"/>
      <c r="S98" s="420"/>
      <c r="T98" s="420"/>
      <c r="U98" s="420"/>
      <c r="V98" s="420"/>
      <c r="W98" s="420"/>
      <c r="X98" s="420"/>
      <c r="Y98" s="420"/>
      <c r="Z98" s="367"/>
      <c r="AA98" s="420"/>
      <c r="AB98" s="420"/>
      <c r="AC98" s="420"/>
      <c r="AD98" s="420"/>
      <c r="AE98" s="396" t="str">
        <f t="shared" si="6"/>
        <v/>
      </c>
      <c r="AF98" s="367"/>
      <c r="AG98" s="420"/>
      <c r="AH98" s="367"/>
      <c r="AI98" s="367"/>
      <c r="AJ98" s="367"/>
      <c r="AK98" s="358"/>
      <c r="AL98" s="358"/>
      <c r="AM98" s="358"/>
      <c r="AN98" s="358"/>
      <c r="AO98" s="358"/>
      <c r="AP98" s="367"/>
      <c r="AQ98" s="367"/>
      <c r="AR98" s="367"/>
    </row>
    <row r="99">
      <c r="A99" s="415"/>
      <c r="B99" s="415"/>
      <c r="C99" s="416"/>
      <c r="D99" s="417"/>
      <c r="E99" s="418"/>
      <c r="F99" s="418"/>
      <c r="G99" s="367"/>
      <c r="H99" s="418"/>
      <c r="I99" s="418"/>
      <c r="J99" s="418"/>
      <c r="K99" s="418"/>
      <c r="L99" s="420"/>
      <c r="M99" s="420"/>
      <c r="N99" s="420"/>
      <c r="O99" s="420"/>
      <c r="P99" s="420"/>
      <c r="Q99" s="420"/>
      <c r="R99" s="420"/>
      <c r="S99" s="420"/>
      <c r="T99" s="420"/>
      <c r="U99" s="420"/>
      <c r="V99" s="420"/>
      <c r="W99" s="420"/>
      <c r="X99" s="420"/>
      <c r="Y99" s="420"/>
      <c r="Z99" s="367"/>
      <c r="AA99" s="420"/>
      <c r="AB99" s="420"/>
      <c r="AC99" s="420"/>
      <c r="AD99" s="420"/>
      <c r="AE99" s="396" t="str">
        <f t="shared" si="6"/>
        <v/>
      </c>
      <c r="AF99" s="367"/>
      <c r="AG99" s="420"/>
      <c r="AH99" s="367"/>
      <c r="AI99" s="367"/>
      <c r="AJ99" s="367"/>
      <c r="AK99" s="358"/>
      <c r="AL99" s="358"/>
      <c r="AM99" s="358"/>
      <c r="AN99" s="358"/>
      <c r="AO99" s="358"/>
      <c r="AP99" s="367"/>
      <c r="AQ99" s="367"/>
      <c r="AR99" s="367"/>
    </row>
    <row r="100">
      <c r="A100" s="415"/>
      <c r="B100" s="415"/>
      <c r="C100" s="416"/>
      <c r="D100" s="417"/>
      <c r="E100" s="418"/>
      <c r="F100" s="418"/>
      <c r="G100" s="367"/>
      <c r="H100" s="418"/>
      <c r="I100" s="418"/>
      <c r="J100" s="418"/>
      <c r="K100" s="418"/>
      <c r="L100" s="420"/>
      <c r="M100" s="420"/>
      <c r="N100" s="420"/>
      <c r="O100" s="420"/>
      <c r="P100" s="420"/>
      <c r="Q100" s="420"/>
      <c r="R100" s="420"/>
      <c r="S100" s="420"/>
      <c r="T100" s="420"/>
      <c r="U100" s="420"/>
      <c r="V100" s="420"/>
      <c r="W100" s="420"/>
      <c r="X100" s="420"/>
      <c r="Y100" s="420"/>
      <c r="Z100" s="367"/>
      <c r="AA100" s="420"/>
      <c r="AB100" s="420"/>
      <c r="AC100" s="420"/>
      <c r="AD100" s="420"/>
      <c r="AE100" s="396" t="str">
        <f t="shared" si="6"/>
        <v/>
      </c>
      <c r="AF100" s="367"/>
      <c r="AG100" s="420"/>
      <c r="AH100" s="367"/>
      <c r="AI100" s="367"/>
      <c r="AJ100" s="367"/>
      <c r="AK100" s="358"/>
      <c r="AL100" s="358"/>
      <c r="AM100" s="358"/>
      <c r="AN100" s="358"/>
      <c r="AO100" s="358"/>
      <c r="AP100" s="367"/>
      <c r="AQ100" s="367"/>
      <c r="AR100" s="367"/>
    </row>
    <row r="101">
      <c r="A101" s="415"/>
      <c r="B101" s="415"/>
      <c r="C101" s="416"/>
      <c r="D101" s="417"/>
      <c r="E101" s="418"/>
      <c r="F101" s="418"/>
      <c r="G101" s="367"/>
      <c r="H101" s="418"/>
      <c r="I101" s="418"/>
      <c r="J101" s="418"/>
      <c r="K101" s="418"/>
      <c r="L101" s="420"/>
      <c r="M101" s="420"/>
      <c r="N101" s="420"/>
      <c r="O101" s="420"/>
      <c r="P101" s="420"/>
      <c r="Q101" s="420"/>
      <c r="R101" s="420"/>
      <c r="S101" s="420"/>
      <c r="T101" s="420"/>
      <c r="U101" s="420"/>
      <c r="V101" s="420"/>
      <c r="W101" s="420"/>
      <c r="X101" s="420"/>
      <c r="Y101" s="420"/>
      <c r="Z101" s="367"/>
      <c r="AA101" s="420"/>
      <c r="AB101" s="420"/>
      <c r="AC101" s="420"/>
      <c r="AD101" s="420"/>
      <c r="AE101" s="396" t="str">
        <f t="shared" si="6"/>
        <v/>
      </c>
      <c r="AF101" s="367"/>
      <c r="AG101" s="420"/>
      <c r="AH101" s="367"/>
      <c r="AI101" s="367"/>
      <c r="AJ101" s="367"/>
      <c r="AK101" s="358"/>
      <c r="AL101" s="358"/>
      <c r="AM101" s="358"/>
      <c r="AN101" s="358"/>
      <c r="AO101" s="358"/>
      <c r="AP101" s="367"/>
      <c r="AQ101" s="367"/>
      <c r="AR101" s="367"/>
    </row>
    <row r="102">
      <c r="A102" s="415"/>
      <c r="B102" s="415"/>
      <c r="C102" s="416"/>
      <c r="D102" s="417"/>
      <c r="E102" s="418"/>
      <c r="F102" s="418"/>
      <c r="G102" s="367"/>
      <c r="H102" s="418"/>
      <c r="I102" s="418"/>
      <c r="J102" s="418"/>
      <c r="K102" s="418"/>
      <c r="L102" s="420"/>
      <c r="M102" s="420"/>
      <c r="N102" s="420"/>
      <c r="O102" s="420"/>
      <c r="P102" s="420"/>
      <c r="Q102" s="420"/>
      <c r="R102" s="420"/>
      <c r="S102" s="420"/>
      <c r="T102" s="420"/>
      <c r="U102" s="420"/>
      <c r="V102" s="420"/>
      <c r="W102" s="420"/>
      <c r="X102" s="420"/>
      <c r="Y102" s="420"/>
      <c r="Z102" s="367"/>
      <c r="AA102" s="420"/>
      <c r="AB102" s="420"/>
      <c r="AC102" s="420"/>
      <c r="AD102" s="420"/>
      <c r="AE102" s="396" t="str">
        <f t="shared" si="6"/>
        <v/>
      </c>
      <c r="AF102" s="367"/>
      <c r="AG102" s="420"/>
      <c r="AH102" s="367"/>
      <c r="AI102" s="367"/>
      <c r="AJ102" s="367"/>
      <c r="AK102" s="358"/>
      <c r="AL102" s="358"/>
      <c r="AM102" s="358"/>
      <c r="AN102" s="358"/>
      <c r="AO102" s="358"/>
      <c r="AP102" s="367"/>
      <c r="AQ102" s="367"/>
      <c r="AR102" s="367"/>
    </row>
    <row r="103">
      <c r="A103" s="415"/>
      <c r="B103" s="415"/>
      <c r="C103" s="416"/>
      <c r="D103" s="417"/>
      <c r="E103" s="418"/>
      <c r="F103" s="418"/>
      <c r="G103" s="367"/>
      <c r="H103" s="418"/>
      <c r="I103" s="418"/>
      <c r="J103" s="418"/>
      <c r="K103" s="418"/>
      <c r="L103" s="420"/>
      <c r="M103" s="420"/>
      <c r="N103" s="420"/>
      <c r="O103" s="420"/>
      <c r="P103" s="420"/>
      <c r="Q103" s="420"/>
      <c r="R103" s="420"/>
      <c r="S103" s="420"/>
      <c r="T103" s="420"/>
      <c r="U103" s="420"/>
      <c r="V103" s="420"/>
      <c r="W103" s="420"/>
      <c r="X103" s="420"/>
      <c r="Y103" s="420"/>
      <c r="Z103" s="367"/>
      <c r="AA103" s="420"/>
      <c r="AB103" s="420"/>
      <c r="AC103" s="420"/>
      <c r="AD103" s="420"/>
      <c r="AE103" s="396" t="str">
        <f t="shared" si="6"/>
        <v/>
      </c>
      <c r="AF103" s="367"/>
      <c r="AG103" s="420"/>
      <c r="AH103" s="367"/>
      <c r="AI103" s="367"/>
      <c r="AJ103" s="367"/>
      <c r="AK103" s="358"/>
      <c r="AL103" s="358"/>
      <c r="AM103" s="358"/>
      <c r="AN103" s="358"/>
      <c r="AO103" s="358"/>
      <c r="AP103" s="367"/>
      <c r="AQ103" s="367"/>
      <c r="AR103" s="367"/>
    </row>
    <row r="104">
      <c r="A104" s="415"/>
      <c r="B104" s="415"/>
      <c r="C104" s="416"/>
      <c r="D104" s="417"/>
      <c r="E104" s="418"/>
      <c r="F104" s="418"/>
      <c r="G104" s="367"/>
      <c r="H104" s="418"/>
      <c r="I104" s="418"/>
      <c r="J104" s="418"/>
      <c r="K104" s="418"/>
      <c r="L104" s="420"/>
      <c r="M104" s="420"/>
      <c r="N104" s="420"/>
      <c r="O104" s="420"/>
      <c r="P104" s="420"/>
      <c r="Q104" s="420"/>
      <c r="R104" s="420"/>
      <c r="S104" s="420"/>
      <c r="T104" s="420"/>
      <c r="U104" s="420"/>
      <c r="V104" s="420"/>
      <c r="W104" s="420"/>
      <c r="X104" s="420"/>
      <c r="Y104" s="420"/>
      <c r="Z104" s="367"/>
      <c r="AA104" s="420"/>
      <c r="AB104" s="420"/>
      <c r="AC104" s="420"/>
      <c r="AD104" s="420"/>
      <c r="AE104" s="396" t="str">
        <f t="shared" si="6"/>
        <v/>
      </c>
      <c r="AF104" s="367"/>
      <c r="AG104" s="420"/>
      <c r="AH104" s="367"/>
      <c r="AI104" s="367"/>
      <c r="AJ104" s="367"/>
      <c r="AK104" s="358"/>
      <c r="AL104" s="358"/>
      <c r="AM104" s="358"/>
      <c r="AN104" s="358"/>
      <c r="AO104" s="358"/>
      <c r="AP104" s="367"/>
      <c r="AQ104" s="367"/>
      <c r="AR104" s="367"/>
    </row>
    <row r="105">
      <c r="A105" s="415"/>
      <c r="B105" s="415"/>
      <c r="C105" s="416"/>
      <c r="D105" s="417"/>
      <c r="E105" s="418"/>
      <c r="F105" s="418"/>
      <c r="G105" s="367"/>
      <c r="H105" s="418"/>
      <c r="I105" s="418"/>
      <c r="J105" s="418"/>
      <c r="K105" s="418"/>
      <c r="L105" s="420"/>
      <c r="M105" s="420"/>
      <c r="N105" s="420"/>
      <c r="O105" s="420"/>
      <c r="P105" s="420"/>
      <c r="Q105" s="420"/>
      <c r="R105" s="420"/>
      <c r="S105" s="420"/>
      <c r="T105" s="420"/>
      <c r="U105" s="420"/>
      <c r="V105" s="420"/>
      <c r="W105" s="420"/>
      <c r="X105" s="420"/>
      <c r="Y105" s="420"/>
      <c r="Z105" s="367"/>
      <c r="AA105" s="420"/>
      <c r="AB105" s="420"/>
      <c r="AC105" s="420"/>
      <c r="AD105" s="420"/>
      <c r="AE105" s="396" t="str">
        <f t="shared" si="6"/>
        <v/>
      </c>
      <c r="AF105" s="367"/>
      <c r="AG105" s="420"/>
      <c r="AH105" s="367"/>
      <c r="AI105" s="367"/>
      <c r="AJ105" s="367"/>
      <c r="AK105" s="358"/>
      <c r="AL105" s="358"/>
      <c r="AM105" s="358"/>
      <c r="AN105" s="358"/>
      <c r="AO105" s="358"/>
      <c r="AP105" s="367"/>
      <c r="AQ105" s="367"/>
      <c r="AR105" s="367"/>
    </row>
    <row r="106">
      <c r="A106" s="415"/>
      <c r="B106" s="415"/>
      <c r="C106" s="416"/>
      <c r="D106" s="417"/>
      <c r="E106" s="418"/>
      <c r="F106" s="418"/>
      <c r="G106" s="367"/>
      <c r="H106" s="418"/>
      <c r="I106" s="418"/>
      <c r="J106" s="418"/>
      <c r="K106" s="418"/>
      <c r="L106" s="420"/>
      <c r="M106" s="420"/>
      <c r="N106" s="420"/>
      <c r="O106" s="420"/>
      <c r="P106" s="420"/>
      <c r="Q106" s="420"/>
      <c r="R106" s="420"/>
      <c r="S106" s="420"/>
      <c r="T106" s="420"/>
      <c r="U106" s="420"/>
      <c r="V106" s="420"/>
      <c r="W106" s="420"/>
      <c r="X106" s="420"/>
      <c r="Y106" s="420"/>
      <c r="Z106" s="367"/>
      <c r="AA106" s="420"/>
      <c r="AB106" s="420"/>
      <c r="AC106" s="420"/>
      <c r="AD106" s="420"/>
      <c r="AE106" s="396" t="str">
        <f t="shared" si="6"/>
        <v/>
      </c>
      <c r="AF106" s="367"/>
      <c r="AG106" s="420"/>
      <c r="AH106" s="367"/>
      <c r="AI106" s="367"/>
      <c r="AJ106" s="367"/>
      <c r="AK106" s="358"/>
      <c r="AL106" s="358"/>
      <c r="AM106" s="358"/>
      <c r="AN106" s="358"/>
      <c r="AO106" s="358"/>
      <c r="AP106" s="367"/>
      <c r="AQ106" s="367"/>
      <c r="AR106" s="367"/>
    </row>
    <row r="107">
      <c r="A107" s="415"/>
      <c r="B107" s="415"/>
      <c r="C107" s="416"/>
      <c r="D107" s="417"/>
      <c r="E107" s="418"/>
      <c r="F107" s="418"/>
      <c r="G107" s="367"/>
      <c r="H107" s="418"/>
      <c r="I107" s="418"/>
      <c r="J107" s="418"/>
      <c r="K107" s="418"/>
      <c r="L107" s="420"/>
      <c r="M107" s="420"/>
      <c r="N107" s="420"/>
      <c r="O107" s="420"/>
      <c r="P107" s="420"/>
      <c r="Q107" s="420"/>
      <c r="R107" s="420"/>
      <c r="S107" s="420"/>
      <c r="T107" s="420"/>
      <c r="U107" s="420"/>
      <c r="V107" s="420"/>
      <c r="W107" s="420"/>
      <c r="X107" s="420"/>
      <c r="Y107" s="420"/>
      <c r="Z107" s="367"/>
      <c r="AA107" s="420"/>
      <c r="AB107" s="420"/>
      <c r="AC107" s="420"/>
      <c r="AD107" s="420"/>
      <c r="AE107" s="396" t="str">
        <f t="shared" si="6"/>
        <v/>
      </c>
      <c r="AF107" s="367"/>
      <c r="AG107" s="420"/>
      <c r="AH107" s="367"/>
      <c r="AI107" s="367"/>
      <c r="AJ107" s="367"/>
      <c r="AK107" s="358"/>
      <c r="AL107" s="358"/>
      <c r="AM107" s="358"/>
      <c r="AN107" s="358"/>
      <c r="AO107" s="358"/>
      <c r="AP107" s="367"/>
      <c r="AQ107" s="367"/>
      <c r="AR107" s="367"/>
    </row>
    <row r="108">
      <c r="A108" s="415"/>
      <c r="B108" s="415"/>
      <c r="C108" s="416"/>
      <c r="D108" s="417"/>
      <c r="E108" s="418"/>
      <c r="F108" s="418"/>
      <c r="G108" s="367"/>
      <c r="H108" s="418"/>
      <c r="I108" s="418"/>
      <c r="J108" s="418"/>
      <c r="K108" s="418"/>
      <c r="L108" s="420"/>
      <c r="M108" s="420"/>
      <c r="N108" s="420"/>
      <c r="O108" s="420"/>
      <c r="P108" s="420"/>
      <c r="Q108" s="420"/>
      <c r="R108" s="420"/>
      <c r="S108" s="420"/>
      <c r="T108" s="420"/>
      <c r="U108" s="420"/>
      <c r="V108" s="420"/>
      <c r="W108" s="420"/>
      <c r="X108" s="420"/>
      <c r="Y108" s="420"/>
      <c r="Z108" s="367"/>
      <c r="AA108" s="420"/>
      <c r="AB108" s="420"/>
      <c r="AC108" s="420"/>
      <c r="AD108" s="420"/>
      <c r="AE108" s="396" t="str">
        <f t="shared" si="6"/>
        <v/>
      </c>
      <c r="AF108" s="367"/>
      <c r="AG108" s="420"/>
      <c r="AH108" s="367"/>
      <c r="AI108" s="367"/>
      <c r="AJ108" s="367"/>
      <c r="AK108" s="358"/>
      <c r="AL108" s="358"/>
      <c r="AM108" s="358"/>
      <c r="AN108" s="358"/>
      <c r="AO108" s="358"/>
      <c r="AP108" s="367"/>
      <c r="AQ108" s="367"/>
      <c r="AR108" s="367"/>
    </row>
    <row r="109">
      <c r="A109" s="415"/>
      <c r="B109" s="415"/>
      <c r="C109" s="416"/>
      <c r="D109" s="417"/>
      <c r="E109" s="418"/>
      <c r="F109" s="418"/>
      <c r="G109" s="367"/>
      <c r="H109" s="418"/>
      <c r="I109" s="418"/>
      <c r="J109" s="418"/>
      <c r="K109" s="418"/>
      <c r="L109" s="420"/>
      <c r="M109" s="420"/>
      <c r="N109" s="420"/>
      <c r="O109" s="420"/>
      <c r="P109" s="420"/>
      <c r="Q109" s="420"/>
      <c r="R109" s="420"/>
      <c r="S109" s="420"/>
      <c r="T109" s="420"/>
      <c r="U109" s="420"/>
      <c r="V109" s="420"/>
      <c r="W109" s="420"/>
      <c r="X109" s="420"/>
      <c r="Y109" s="420"/>
      <c r="Z109" s="367"/>
      <c r="AA109" s="420"/>
      <c r="AB109" s="420"/>
      <c r="AC109" s="420"/>
      <c r="AD109" s="420"/>
      <c r="AE109" s="396" t="str">
        <f t="shared" si="6"/>
        <v/>
      </c>
      <c r="AF109" s="367"/>
      <c r="AG109" s="420"/>
      <c r="AH109" s="367"/>
      <c r="AI109" s="367"/>
      <c r="AJ109" s="367"/>
      <c r="AK109" s="358"/>
      <c r="AL109" s="358"/>
      <c r="AM109" s="358"/>
      <c r="AN109" s="358"/>
      <c r="AO109" s="358"/>
      <c r="AP109" s="367"/>
      <c r="AQ109" s="367"/>
      <c r="AR109" s="367"/>
    </row>
    <row r="110">
      <c r="A110" s="415"/>
      <c r="B110" s="415"/>
      <c r="C110" s="416"/>
      <c r="D110" s="417"/>
      <c r="E110" s="418"/>
      <c r="F110" s="418"/>
      <c r="G110" s="367"/>
      <c r="H110" s="418"/>
      <c r="I110" s="418"/>
      <c r="J110" s="418"/>
      <c r="K110" s="418"/>
      <c r="L110" s="420"/>
      <c r="M110" s="420"/>
      <c r="N110" s="420"/>
      <c r="O110" s="420"/>
      <c r="P110" s="420"/>
      <c r="Q110" s="420"/>
      <c r="R110" s="420"/>
      <c r="S110" s="420"/>
      <c r="T110" s="420"/>
      <c r="U110" s="420"/>
      <c r="V110" s="420"/>
      <c r="W110" s="420"/>
      <c r="X110" s="420"/>
      <c r="Y110" s="420"/>
      <c r="Z110" s="367"/>
      <c r="AA110" s="420"/>
      <c r="AB110" s="420"/>
      <c r="AC110" s="420"/>
      <c r="AD110" s="420"/>
      <c r="AE110" s="396" t="str">
        <f t="shared" si="6"/>
        <v/>
      </c>
      <c r="AF110" s="367"/>
      <c r="AG110" s="420"/>
      <c r="AH110" s="367"/>
      <c r="AI110" s="367"/>
      <c r="AJ110" s="367"/>
      <c r="AK110" s="358"/>
      <c r="AL110" s="358"/>
      <c r="AM110" s="358"/>
      <c r="AN110" s="358"/>
      <c r="AO110" s="358"/>
      <c r="AP110" s="367"/>
      <c r="AQ110" s="367"/>
      <c r="AR110" s="367"/>
    </row>
    <row r="111">
      <c r="A111" s="415"/>
      <c r="B111" s="415"/>
      <c r="C111" s="416"/>
      <c r="D111" s="417"/>
      <c r="E111" s="418"/>
      <c r="F111" s="418"/>
      <c r="G111" s="367"/>
      <c r="H111" s="418"/>
      <c r="I111" s="418"/>
      <c r="J111" s="418"/>
      <c r="K111" s="418"/>
      <c r="L111" s="420"/>
      <c r="M111" s="420"/>
      <c r="N111" s="420"/>
      <c r="O111" s="420"/>
      <c r="P111" s="420"/>
      <c r="Q111" s="420"/>
      <c r="R111" s="420"/>
      <c r="S111" s="420"/>
      <c r="T111" s="420"/>
      <c r="U111" s="420"/>
      <c r="V111" s="420"/>
      <c r="W111" s="420"/>
      <c r="X111" s="420"/>
      <c r="Y111" s="420"/>
      <c r="Z111" s="367"/>
      <c r="AA111" s="420"/>
      <c r="AB111" s="420"/>
      <c r="AC111" s="420"/>
      <c r="AD111" s="420"/>
      <c r="AE111" s="396" t="str">
        <f t="shared" si="6"/>
        <v/>
      </c>
      <c r="AF111" s="367"/>
      <c r="AG111" s="420"/>
      <c r="AH111" s="367"/>
      <c r="AI111" s="367"/>
      <c r="AJ111" s="367"/>
      <c r="AK111" s="358"/>
      <c r="AL111" s="358"/>
      <c r="AM111" s="358"/>
      <c r="AN111" s="358"/>
      <c r="AO111" s="358"/>
      <c r="AP111" s="367"/>
      <c r="AQ111" s="367"/>
      <c r="AR111" s="367"/>
    </row>
    <row r="112">
      <c r="A112" s="415"/>
      <c r="B112" s="415"/>
      <c r="C112" s="416"/>
      <c r="D112" s="417"/>
      <c r="E112" s="418"/>
      <c r="F112" s="418"/>
      <c r="G112" s="367"/>
      <c r="H112" s="418"/>
      <c r="I112" s="418"/>
      <c r="J112" s="418"/>
      <c r="K112" s="418"/>
      <c r="L112" s="420"/>
      <c r="M112" s="420"/>
      <c r="N112" s="420"/>
      <c r="O112" s="420"/>
      <c r="P112" s="420"/>
      <c r="Q112" s="420"/>
      <c r="R112" s="420"/>
      <c r="S112" s="420"/>
      <c r="T112" s="420"/>
      <c r="U112" s="420"/>
      <c r="V112" s="420"/>
      <c r="W112" s="420"/>
      <c r="X112" s="420"/>
      <c r="Y112" s="420"/>
      <c r="Z112" s="367"/>
      <c r="AA112" s="420"/>
      <c r="AB112" s="420"/>
      <c r="AC112" s="420"/>
      <c r="AD112" s="420"/>
      <c r="AE112" s="396" t="str">
        <f t="shared" si="6"/>
        <v/>
      </c>
      <c r="AF112" s="367"/>
      <c r="AG112" s="420"/>
      <c r="AH112" s="367"/>
      <c r="AI112" s="367"/>
      <c r="AJ112" s="367"/>
      <c r="AK112" s="358"/>
      <c r="AL112" s="358"/>
      <c r="AM112" s="358"/>
      <c r="AN112" s="358"/>
      <c r="AO112" s="358"/>
      <c r="AP112" s="367"/>
      <c r="AQ112" s="367"/>
      <c r="AR112" s="367"/>
    </row>
    <row r="113">
      <c r="A113" s="415"/>
      <c r="B113" s="415"/>
      <c r="C113" s="416"/>
      <c r="D113" s="417"/>
      <c r="E113" s="418"/>
      <c r="F113" s="418"/>
      <c r="G113" s="367"/>
      <c r="H113" s="418"/>
      <c r="I113" s="418"/>
      <c r="J113" s="418"/>
      <c r="K113" s="418"/>
      <c r="L113" s="420"/>
      <c r="M113" s="420"/>
      <c r="N113" s="420"/>
      <c r="O113" s="420"/>
      <c r="P113" s="420"/>
      <c r="Q113" s="420"/>
      <c r="R113" s="420"/>
      <c r="S113" s="420"/>
      <c r="T113" s="420"/>
      <c r="U113" s="420"/>
      <c r="V113" s="420"/>
      <c r="W113" s="420"/>
      <c r="X113" s="420"/>
      <c r="Y113" s="420"/>
      <c r="Z113" s="367"/>
      <c r="AA113" s="420"/>
      <c r="AB113" s="420"/>
      <c r="AC113" s="420"/>
      <c r="AD113" s="420"/>
      <c r="AE113" s="396" t="str">
        <f t="shared" si="6"/>
        <v/>
      </c>
      <c r="AF113" s="367"/>
      <c r="AG113" s="420"/>
      <c r="AH113" s="367"/>
      <c r="AI113" s="367"/>
      <c r="AJ113" s="367"/>
      <c r="AK113" s="358"/>
      <c r="AL113" s="358"/>
      <c r="AM113" s="358"/>
      <c r="AN113" s="358"/>
      <c r="AO113" s="358"/>
      <c r="AP113" s="367"/>
      <c r="AQ113" s="367"/>
      <c r="AR113" s="367"/>
    </row>
    <row r="114">
      <c r="A114" s="415"/>
      <c r="B114" s="415"/>
      <c r="C114" s="416"/>
      <c r="D114" s="417"/>
      <c r="E114" s="418"/>
      <c r="F114" s="418"/>
      <c r="G114" s="367"/>
      <c r="H114" s="418"/>
      <c r="I114" s="418"/>
      <c r="J114" s="418"/>
      <c r="K114" s="418"/>
      <c r="L114" s="420"/>
      <c r="M114" s="420"/>
      <c r="N114" s="420"/>
      <c r="O114" s="420"/>
      <c r="P114" s="420"/>
      <c r="Q114" s="420"/>
      <c r="R114" s="420"/>
      <c r="S114" s="420"/>
      <c r="T114" s="420"/>
      <c r="U114" s="420"/>
      <c r="V114" s="420"/>
      <c r="W114" s="420"/>
      <c r="X114" s="420"/>
      <c r="Y114" s="420"/>
      <c r="Z114" s="367"/>
      <c r="AA114" s="420"/>
      <c r="AB114" s="420"/>
      <c r="AC114" s="420"/>
      <c r="AD114" s="420"/>
      <c r="AE114" s="396" t="str">
        <f t="shared" si="6"/>
        <v/>
      </c>
      <c r="AF114" s="367"/>
      <c r="AG114" s="420"/>
      <c r="AH114" s="367"/>
      <c r="AI114" s="367"/>
      <c r="AJ114" s="367"/>
      <c r="AK114" s="358"/>
      <c r="AL114" s="358"/>
      <c r="AM114" s="358"/>
      <c r="AN114" s="358"/>
      <c r="AO114" s="358"/>
      <c r="AP114" s="367"/>
      <c r="AQ114" s="367"/>
      <c r="AR114" s="367"/>
    </row>
    <row r="115">
      <c r="A115" s="415"/>
      <c r="B115" s="415"/>
      <c r="C115" s="416"/>
      <c r="D115" s="417"/>
      <c r="E115" s="418"/>
      <c r="F115" s="418"/>
      <c r="G115" s="367"/>
      <c r="H115" s="418"/>
      <c r="I115" s="418"/>
      <c r="J115" s="418"/>
      <c r="K115" s="418"/>
      <c r="L115" s="420"/>
      <c r="M115" s="420"/>
      <c r="N115" s="420"/>
      <c r="O115" s="420"/>
      <c r="P115" s="420"/>
      <c r="Q115" s="420"/>
      <c r="R115" s="420"/>
      <c r="S115" s="420"/>
      <c r="T115" s="420"/>
      <c r="U115" s="420"/>
      <c r="V115" s="420"/>
      <c r="W115" s="420"/>
      <c r="X115" s="420"/>
      <c r="Y115" s="420"/>
      <c r="Z115" s="367"/>
      <c r="AA115" s="420"/>
      <c r="AB115" s="420"/>
      <c r="AC115" s="420"/>
      <c r="AD115" s="420"/>
      <c r="AE115" s="396" t="str">
        <f t="shared" si="6"/>
        <v/>
      </c>
      <c r="AF115" s="367"/>
      <c r="AG115" s="420"/>
      <c r="AH115" s="367"/>
      <c r="AI115" s="367"/>
      <c r="AJ115" s="367"/>
      <c r="AK115" s="358"/>
      <c r="AL115" s="358"/>
      <c r="AM115" s="358"/>
      <c r="AN115" s="358"/>
      <c r="AO115" s="358"/>
      <c r="AP115" s="367"/>
      <c r="AQ115" s="367"/>
      <c r="AR115" s="367"/>
    </row>
    <row r="116">
      <c r="A116" s="415"/>
      <c r="B116" s="415"/>
      <c r="C116" s="416"/>
      <c r="D116" s="417"/>
      <c r="E116" s="418"/>
      <c r="F116" s="418"/>
      <c r="G116" s="367"/>
      <c r="H116" s="418"/>
      <c r="I116" s="418"/>
      <c r="J116" s="418"/>
      <c r="K116" s="418"/>
      <c r="L116" s="420"/>
      <c r="M116" s="420"/>
      <c r="N116" s="420"/>
      <c r="O116" s="420"/>
      <c r="P116" s="420"/>
      <c r="Q116" s="420"/>
      <c r="R116" s="420"/>
      <c r="S116" s="420"/>
      <c r="T116" s="420"/>
      <c r="U116" s="420"/>
      <c r="V116" s="420"/>
      <c r="W116" s="420"/>
      <c r="X116" s="420"/>
      <c r="Y116" s="420"/>
      <c r="Z116" s="367"/>
      <c r="AA116" s="420"/>
      <c r="AB116" s="420"/>
      <c r="AC116" s="420"/>
      <c r="AD116" s="420"/>
      <c r="AE116" s="396" t="str">
        <f t="shared" si="6"/>
        <v/>
      </c>
      <c r="AF116" s="367"/>
      <c r="AG116" s="420"/>
      <c r="AH116" s="367"/>
      <c r="AI116" s="367"/>
      <c r="AJ116" s="367"/>
      <c r="AK116" s="358"/>
      <c r="AL116" s="358"/>
      <c r="AM116" s="358"/>
      <c r="AN116" s="358"/>
      <c r="AO116" s="358"/>
      <c r="AP116" s="367"/>
      <c r="AQ116" s="367"/>
      <c r="AR116" s="367"/>
    </row>
    <row r="117">
      <c r="A117" s="415"/>
      <c r="B117" s="415"/>
      <c r="C117" s="416"/>
      <c r="D117" s="417"/>
      <c r="E117" s="418"/>
      <c r="F117" s="418"/>
      <c r="G117" s="367"/>
      <c r="H117" s="418"/>
      <c r="I117" s="418"/>
      <c r="J117" s="418"/>
      <c r="K117" s="418"/>
      <c r="L117" s="420"/>
      <c r="M117" s="420"/>
      <c r="N117" s="420"/>
      <c r="O117" s="420"/>
      <c r="P117" s="420"/>
      <c r="Q117" s="420"/>
      <c r="R117" s="420"/>
      <c r="S117" s="420"/>
      <c r="T117" s="420"/>
      <c r="U117" s="420"/>
      <c r="V117" s="420"/>
      <c r="W117" s="420"/>
      <c r="X117" s="420"/>
      <c r="Y117" s="420"/>
      <c r="Z117" s="367"/>
      <c r="AA117" s="420"/>
      <c r="AB117" s="420"/>
      <c r="AC117" s="420"/>
      <c r="AD117" s="420"/>
      <c r="AE117" s="396" t="str">
        <f t="shared" si="6"/>
        <v/>
      </c>
      <c r="AF117" s="367"/>
      <c r="AG117" s="420"/>
      <c r="AH117" s="367"/>
      <c r="AI117" s="367"/>
      <c r="AJ117" s="367"/>
      <c r="AK117" s="358"/>
      <c r="AL117" s="358"/>
      <c r="AM117" s="358"/>
      <c r="AN117" s="358"/>
      <c r="AO117" s="358"/>
      <c r="AP117" s="367"/>
      <c r="AQ117" s="367"/>
      <c r="AR117" s="367"/>
    </row>
    <row r="118">
      <c r="A118" s="415"/>
      <c r="B118" s="415"/>
      <c r="C118" s="416"/>
      <c r="D118" s="417"/>
      <c r="E118" s="418"/>
      <c r="F118" s="418"/>
      <c r="G118" s="367"/>
      <c r="H118" s="418"/>
      <c r="I118" s="418"/>
      <c r="J118" s="418"/>
      <c r="K118" s="418"/>
      <c r="L118" s="420"/>
      <c r="M118" s="420"/>
      <c r="N118" s="420"/>
      <c r="O118" s="420"/>
      <c r="P118" s="420"/>
      <c r="Q118" s="420"/>
      <c r="R118" s="420"/>
      <c r="S118" s="420"/>
      <c r="T118" s="420"/>
      <c r="U118" s="420"/>
      <c r="V118" s="420"/>
      <c r="W118" s="420"/>
      <c r="X118" s="420"/>
      <c r="Y118" s="420"/>
      <c r="Z118" s="367"/>
      <c r="AA118" s="420"/>
      <c r="AB118" s="420"/>
      <c r="AC118" s="420"/>
      <c r="AD118" s="420"/>
      <c r="AE118" s="396" t="str">
        <f t="shared" si="6"/>
        <v/>
      </c>
      <c r="AF118" s="367"/>
      <c r="AG118" s="420"/>
      <c r="AH118" s="367"/>
      <c r="AI118" s="367"/>
      <c r="AJ118" s="367"/>
      <c r="AK118" s="358"/>
      <c r="AL118" s="358"/>
      <c r="AM118" s="358"/>
      <c r="AN118" s="358"/>
      <c r="AO118" s="358"/>
      <c r="AP118" s="367"/>
      <c r="AQ118" s="367"/>
      <c r="AR118" s="367"/>
    </row>
    <row r="119">
      <c r="A119" s="415"/>
      <c r="B119" s="415"/>
      <c r="C119" s="416"/>
      <c r="D119" s="417"/>
      <c r="E119" s="418"/>
      <c r="F119" s="418"/>
      <c r="G119" s="367"/>
      <c r="H119" s="418"/>
      <c r="I119" s="418"/>
      <c r="J119" s="418"/>
      <c r="K119" s="418"/>
      <c r="L119" s="420"/>
      <c r="M119" s="420"/>
      <c r="N119" s="420"/>
      <c r="O119" s="420"/>
      <c r="P119" s="420"/>
      <c r="Q119" s="420"/>
      <c r="R119" s="420"/>
      <c r="S119" s="420"/>
      <c r="T119" s="420"/>
      <c r="U119" s="420"/>
      <c r="V119" s="420"/>
      <c r="W119" s="420"/>
      <c r="X119" s="420"/>
      <c r="Y119" s="420"/>
      <c r="Z119" s="367"/>
      <c r="AA119" s="420"/>
      <c r="AB119" s="420"/>
      <c r="AC119" s="420"/>
      <c r="AD119" s="420"/>
      <c r="AE119" s="396" t="str">
        <f t="shared" si="6"/>
        <v/>
      </c>
      <c r="AF119" s="367"/>
      <c r="AG119" s="420"/>
      <c r="AH119" s="367"/>
      <c r="AI119" s="367"/>
      <c r="AJ119" s="367"/>
      <c r="AK119" s="358"/>
      <c r="AL119" s="358"/>
      <c r="AM119" s="358"/>
      <c r="AN119" s="358"/>
      <c r="AO119" s="358"/>
      <c r="AP119" s="367"/>
      <c r="AQ119" s="367"/>
      <c r="AR119" s="367"/>
    </row>
    <row r="120">
      <c r="A120" s="415"/>
      <c r="B120" s="415"/>
      <c r="C120" s="416"/>
      <c r="D120" s="417"/>
      <c r="E120" s="418"/>
      <c r="F120" s="418"/>
      <c r="G120" s="367"/>
      <c r="H120" s="418"/>
      <c r="I120" s="418"/>
      <c r="J120" s="418"/>
      <c r="K120" s="418"/>
      <c r="L120" s="420"/>
      <c r="M120" s="420"/>
      <c r="N120" s="420"/>
      <c r="O120" s="420"/>
      <c r="P120" s="420"/>
      <c r="Q120" s="420"/>
      <c r="R120" s="420"/>
      <c r="S120" s="420"/>
      <c r="T120" s="420"/>
      <c r="U120" s="420"/>
      <c r="V120" s="420"/>
      <c r="W120" s="420"/>
      <c r="X120" s="420"/>
      <c r="Y120" s="420"/>
      <c r="Z120" s="367"/>
      <c r="AA120" s="420"/>
      <c r="AB120" s="420"/>
      <c r="AC120" s="420"/>
      <c r="AD120" s="420"/>
      <c r="AE120" s="396" t="str">
        <f t="shared" si="6"/>
        <v/>
      </c>
      <c r="AF120" s="367"/>
      <c r="AG120" s="420"/>
      <c r="AH120" s="367"/>
      <c r="AI120" s="367"/>
      <c r="AJ120" s="367"/>
      <c r="AK120" s="358"/>
      <c r="AL120" s="358"/>
      <c r="AM120" s="358"/>
      <c r="AN120" s="358"/>
      <c r="AO120" s="358"/>
      <c r="AP120" s="367"/>
      <c r="AQ120" s="367"/>
      <c r="AR120" s="367"/>
    </row>
    <row r="121">
      <c r="A121" s="415"/>
      <c r="B121" s="415"/>
      <c r="C121" s="416"/>
      <c r="D121" s="417"/>
      <c r="E121" s="418"/>
      <c r="F121" s="418"/>
      <c r="G121" s="367"/>
      <c r="H121" s="418"/>
      <c r="I121" s="418"/>
      <c r="J121" s="418"/>
      <c r="K121" s="418"/>
      <c r="L121" s="420"/>
      <c r="M121" s="420"/>
      <c r="N121" s="420"/>
      <c r="O121" s="420"/>
      <c r="P121" s="420"/>
      <c r="Q121" s="420"/>
      <c r="R121" s="420"/>
      <c r="S121" s="420"/>
      <c r="T121" s="420"/>
      <c r="U121" s="420"/>
      <c r="V121" s="420"/>
      <c r="W121" s="420"/>
      <c r="X121" s="420"/>
      <c r="Y121" s="420"/>
      <c r="Z121" s="367"/>
      <c r="AA121" s="420"/>
      <c r="AB121" s="420"/>
      <c r="AC121" s="420"/>
      <c r="AD121" s="420"/>
      <c r="AE121" s="396" t="str">
        <f t="shared" si="6"/>
        <v/>
      </c>
      <c r="AF121" s="367"/>
      <c r="AG121" s="420"/>
      <c r="AH121" s="367"/>
      <c r="AI121" s="367"/>
      <c r="AJ121" s="367"/>
      <c r="AK121" s="358"/>
      <c r="AL121" s="358"/>
      <c r="AM121" s="358"/>
      <c r="AN121" s="358"/>
      <c r="AO121" s="358"/>
      <c r="AP121" s="367"/>
      <c r="AQ121" s="367"/>
      <c r="AR121" s="367"/>
    </row>
    <row r="122">
      <c r="A122" s="415"/>
      <c r="B122" s="415"/>
      <c r="C122" s="416"/>
      <c r="D122" s="417"/>
      <c r="E122" s="418"/>
      <c r="F122" s="418"/>
      <c r="G122" s="367"/>
      <c r="H122" s="418"/>
      <c r="I122" s="418"/>
      <c r="J122" s="418"/>
      <c r="K122" s="418"/>
      <c r="L122" s="420"/>
      <c r="M122" s="420"/>
      <c r="N122" s="420"/>
      <c r="O122" s="420"/>
      <c r="P122" s="420"/>
      <c r="Q122" s="420"/>
      <c r="R122" s="420"/>
      <c r="S122" s="420"/>
      <c r="T122" s="420"/>
      <c r="U122" s="420"/>
      <c r="V122" s="420"/>
      <c r="W122" s="420"/>
      <c r="X122" s="420"/>
      <c r="Y122" s="420"/>
      <c r="Z122" s="367"/>
      <c r="AA122" s="420"/>
      <c r="AB122" s="420"/>
      <c r="AC122" s="420"/>
      <c r="AD122" s="420"/>
      <c r="AE122" s="396" t="str">
        <f t="shared" si="6"/>
        <v/>
      </c>
      <c r="AF122" s="367"/>
      <c r="AG122" s="420"/>
      <c r="AH122" s="367"/>
      <c r="AI122" s="367"/>
      <c r="AJ122" s="367"/>
      <c r="AK122" s="358"/>
      <c r="AL122" s="358"/>
      <c r="AM122" s="358"/>
      <c r="AN122" s="358"/>
      <c r="AO122" s="358"/>
      <c r="AP122" s="367"/>
      <c r="AQ122" s="367"/>
      <c r="AR122" s="367"/>
    </row>
    <row r="123">
      <c r="A123" s="418"/>
      <c r="B123" s="418"/>
      <c r="C123" s="417"/>
      <c r="D123" s="417"/>
      <c r="E123" s="418"/>
      <c r="F123" s="418"/>
      <c r="G123" s="367"/>
      <c r="H123" s="418"/>
      <c r="I123" s="418"/>
      <c r="J123" s="418"/>
      <c r="K123" s="418"/>
      <c r="L123" s="420"/>
      <c r="M123" s="420"/>
      <c r="N123" s="420"/>
      <c r="O123" s="420"/>
      <c r="P123" s="420"/>
      <c r="Q123" s="420"/>
      <c r="R123" s="420"/>
      <c r="S123" s="420"/>
      <c r="T123" s="420"/>
      <c r="U123" s="420"/>
      <c r="V123" s="420"/>
      <c r="W123" s="420"/>
      <c r="X123" s="420"/>
      <c r="Y123" s="420"/>
      <c r="Z123" s="367"/>
      <c r="AA123" s="420"/>
      <c r="AB123" s="420"/>
      <c r="AC123" s="420"/>
      <c r="AD123" s="420"/>
      <c r="AE123" s="396" t="str">
        <f t="shared" si="6"/>
        <v/>
      </c>
      <c r="AF123" s="367"/>
      <c r="AG123" s="420"/>
      <c r="AH123" s="367"/>
      <c r="AI123" s="367"/>
      <c r="AJ123" s="367"/>
      <c r="AK123" s="358"/>
      <c r="AL123" s="358"/>
      <c r="AM123" s="358"/>
      <c r="AN123" s="358"/>
      <c r="AO123" s="358"/>
      <c r="AP123" s="367"/>
      <c r="AQ123" s="367"/>
      <c r="AR123" s="367"/>
    </row>
    <row r="124">
      <c r="A124" s="418"/>
      <c r="B124" s="418"/>
      <c r="C124" s="417"/>
      <c r="D124" s="417"/>
      <c r="E124" s="418"/>
      <c r="F124" s="418"/>
      <c r="G124" s="367"/>
      <c r="H124" s="418"/>
      <c r="I124" s="418"/>
      <c r="J124" s="418"/>
      <c r="K124" s="418"/>
      <c r="L124" s="420"/>
      <c r="M124" s="420"/>
      <c r="N124" s="420"/>
      <c r="O124" s="420"/>
      <c r="P124" s="420"/>
      <c r="Q124" s="420"/>
      <c r="R124" s="420"/>
      <c r="S124" s="420"/>
      <c r="T124" s="420"/>
      <c r="U124" s="420"/>
      <c r="V124" s="420"/>
      <c r="W124" s="420"/>
      <c r="X124" s="420"/>
      <c r="Y124" s="420"/>
      <c r="Z124" s="367"/>
      <c r="AA124" s="420"/>
      <c r="AB124" s="420"/>
      <c r="AC124" s="420"/>
      <c r="AD124" s="420"/>
      <c r="AE124" s="396" t="str">
        <f t="shared" si="6"/>
        <v/>
      </c>
      <c r="AF124" s="367"/>
      <c r="AG124" s="420"/>
      <c r="AH124" s="367"/>
      <c r="AI124" s="367"/>
      <c r="AJ124" s="367"/>
      <c r="AK124" s="358"/>
      <c r="AL124" s="358"/>
      <c r="AM124" s="358"/>
      <c r="AN124" s="358"/>
      <c r="AO124" s="358"/>
      <c r="AP124" s="367"/>
      <c r="AQ124" s="367"/>
      <c r="AR124" s="367"/>
    </row>
    <row r="125">
      <c r="A125" s="418"/>
      <c r="B125" s="418"/>
      <c r="C125" s="417"/>
      <c r="D125" s="417"/>
      <c r="E125" s="418"/>
      <c r="F125" s="418"/>
      <c r="G125" s="367"/>
      <c r="H125" s="418"/>
      <c r="I125" s="418"/>
      <c r="J125" s="418"/>
      <c r="K125" s="418"/>
      <c r="L125" s="420"/>
      <c r="M125" s="420"/>
      <c r="N125" s="420"/>
      <c r="O125" s="420"/>
      <c r="P125" s="420"/>
      <c r="Q125" s="420"/>
      <c r="R125" s="420"/>
      <c r="S125" s="420"/>
      <c r="T125" s="420"/>
      <c r="U125" s="420"/>
      <c r="V125" s="420"/>
      <c r="W125" s="420"/>
      <c r="X125" s="420"/>
      <c r="Y125" s="420"/>
      <c r="Z125" s="367"/>
      <c r="AA125" s="420"/>
      <c r="AB125" s="420"/>
      <c r="AC125" s="420"/>
      <c r="AD125" s="420"/>
      <c r="AE125" s="396" t="str">
        <f t="shared" si="6"/>
        <v/>
      </c>
      <c r="AF125" s="367"/>
      <c r="AG125" s="420"/>
      <c r="AH125" s="367"/>
      <c r="AI125" s="367"/>
      <c r="AJ125" s="367"/>
      <c r="AK125" s="358"/>
      <c r="AL125" s="358"/>
      <c r="AM125" s="358"/>
      <c r="AN125" s="358"/>
      <c r="AO125" s="358"/>
      <c r="AP125" s="367"/>
      <c r="AQ125" s="367"/>
      <c r="AR125" s="367"/>
    </row>
    <row r="126">
      <c r="A126" s="415"/>
      <c r="B126" s="415"/>
      <c r="C126" s="416"/>
      <c r="D126" s="417"/>
      <c r="E126" s="418"/>
      <c r="F126" s="418"/>
      <c r="G126" s="367"/>
      <c r="H126" s="418"/>
      <c r="I126" s="418"/>
      <c r="J126" s="418"/>
      <c r="K126" s="418"/>
      <c r="L126" s="420"/>
      <c r="M126" s="420"/>
      <c r="N126" s="420"/>
      <c r="O126" s="420"/>
      <c r="P126" s="420"/>
      <c r="Q126" s="420"/>
      <c r="R126" s="420"/>
      <c r="S126" s="420"/>
      <c r="T126" s="420"/>
      <c r="U126" s="420"/>
      <c r="V126" s="420"/>
      <c r="W126" s="420"/>
      <c r="X126" s="420"/>
      <c r="Y126" s="420"/>
      <c r="Z126" s="367"/>
      <c r="AA126" s="420"/>
      <c r="AB126" s="420"/>
      <c r="AC126" s="420"/>
      <c r="AD126" s="420"/>
      <c r="AE126" s="396" t="str">
        <f t="shared" si="6"/>
        <v/>
      </c>
      <c r="AF126" s="367"/>
      <c r="AG126" s="420"/>
      <c r="AH126" s="367"/>
      <c r="AI126" s="367"/>
      <c r="AJ126" s="367"/>
      <c r="AK126" s="358"/>
      <c r="AL126" s="358"/>
      <c r="AM126" s="358"/>
      <c r="AN126" s="358"/>
      <c r="AO126" s="358"/>
      <c r="AP126" s="367"/>
      <c r="AQ126" s="367"/>
      <c r="AR126" s="367"/>
    </row>
    <row r="127">
      <c r="A127" s="415"/>
      <c r="B127" s="415"/>
      <c r="C127" s="416"/>
      <c r="D127" s="417"/>
      <c r="E127" s="418"/>
      <c r="F127" s="418"/>
      <c r="G127" s="367"/>
      <c r="H127" s="418"/>
      <c r="I127" s="418"/>
      <c r="J127" s="418"/>
      <c r="K127" s="418"/>
      <c r="L127" s="420"/>
      <c r="M127" s="420"/>
      <c r="N127" s="420"/>
      <c r="O127" s="420"/>
      <c r="P127" s="420"/>
      <c r="Q127" s="420"/>
      <c r="R127" s="420"/>
      <c r="S127" s="420"/>
      <c r="T127" s="420"/>
      <c r="U127" s="420"/>
      <c r="V127" s="420"/>
      <c r="W127" s="420"/>
      <c r="X127" s="420"/>
      <c r="Y127" s="420"/>
      <c r="Z127" s="367"/>
      <c r="AA127" s="420"/>
      <c r="AB127" s="420"/>
      <c r="AC127" s="420"/>
      <c r="AD127" s="420"/>
      <c r="AE127" s="396" t="str">
        <f t="shared" si="6"/>
        <v/>
      </c>
      <c r="AF127" s="367"/>
      <c r="AG127" s="420"/>
      <c r="AH127" s="367"/>
      <c r="AI127" s="367"/>
      <c r="AJ127" s="367"/>
      <c r="AK127" s="358"/>
      <c r="AL127" s="358"/>
      <c r="AM127" s="358"/>
      <c r="AN127" s="358"/>
      <c r="AO127" s="358"/>
      <c r="AP127" s="367"/>
      <c r="AQ127" s="367"/>
      <c r="AR127" s="367"/>
    </row>
    <row r="128">
      <c r="A128" s="415"/>
      <c r="B128" s="415"/>
      <c r="C128" s="416"/>
      <c r="D128" s="417"/>
      <c r="E128" s="418"/>
      <c r="F128" s="418"/>
      <c r="G128" s="367"/>
      <c r="H128" s="418"/>
      <c r="I128" s="418"/>
      <c r="J128" s="418"/>
      <c r="K128" s="418"/>
      <c r="L128" s="420"/>
      <c r="M128" s="420"/>
      <c r="N128" s="420"/>
      <c r="O128" s="420"/>
      <c r="P128" s="420"/>
      <c r="Q128" s="420"/>
      <c r="R128" s="420"/>
      <c r="S128" s="420"/>
      <c r="T128" s="420"/>
      <c r="U128" s="420"/>
      <c r="V128" s="420"/>
      <c r="W128" s="420"/>
      <c r="X128" s="420"/>
      <c r="Y128" s="420"/>
      <c r="Z128" s="367"/>
      <c r="AA128" s="420"/>
      <c r="AB128" s="420"/>
      <c r="AC128" s="420"/>
      <c r="AD128" s="420"/>
      <c r="AE128" s="396" t="str">
        <f t="shared" si="6"/>
        <v/>
      </c>
      <c r="AF128" s="367"/>
      <c r="AG128" s="420"/>
      <c r="AH128" s="367"/>
      <c r="AI128" s="367"/>
      <c r="AJ128" s="367"/>
      <c r="AK128" s="358"/>
      <c r="AL128" s="358"/>
      <c r="AM128" s="358"/>
      <c r="AN128" s="358"/>
      <c r="AO128" s="358"/>
      <c r="AP128" s="367"/>
      <c r="AQ128" s="367"/>
      <c r="AR128" s="367"/>
    </row>
    <row r="129">
      <c r="A129" s="415"/>
      <c r="B129" s="415"/>
      <c r="C129" s="416"/>
      <c r="D129" s="417"/>
      <c r="E129" s="418"/>
      <c r="F129" s="418"/>
      <c r="G129" s="367"/>
      <c r="H129" s="418"/>
      <c r="I129" s="418"/>
      <c r="J129" s="418"/>
      <c r="K129" s="418"/>
      <c r="L129" s="420"/>
      <c r="M129" s="420"/>
      <c r="N129" s="420"/>
      <c r="O129" s="420"/>
      <c r="P129" s="420"/>
      <c r="Q129" s="420"/>
      <c r="R129" s="420"/>
      <c r="S129" s="420"/>
      <c r="T129" s="420"/>
      <c r="U129" s="420"/>
      <c r="V129" s="420"/>
      <c r="W129" s="420"/>
      <c r="X129" s="420"/>
      <c r="Y129" s="420"/>
      <c r="Z129" s="367"/>
      <c r="AA129" s="420"/>
      <c r="AB129" s="420"/>
      <c r="AC129" s="420"/>
      <c r="AD129" s="420"/>
      <c r="AE129" s="396" t="str">
        <f t="shared" si="6"/>
        <v/>
      </c>
      <c r="AF129" s="367"/>
      <c r="AG129" s="420"/>
      <c r="AH129" s="367"/>
      <c r="AI129" s="367"/>
      <c r="AJ129" s="367"/>
      <c r="AK129" s="358"/>
      <c r="AL129" s="358"/>
      <c r="AM129" s="358"/>
      <c r="AN129" s="358"/>
      <c r="AO129" s="358"/>
      <c r="AP129" s="367"/>
      <c r="AQ129" s="367"/>
      <c r="AR129" s="367"/>
    </row>
    <row r="130">
      <c r="A130" s="415"/>
      <c r="B130" s="415"/>
      <c r="C130" s="416"/>
      <c r="D130" s="417"/>
      <c r="E130" s="418"/>
      <c r="F130" s="418"/>
      <c r="G130" s="367"/>
      <c r="H130" s="418"/>
      <c r="I130" s="418"/>
      <c r="J130" s="418"/>
      <c r="K130" s="418"/>
      <c r="L130" s="420"/>
      <c r="M130" s="420"/>
      <c r="N130" s="420"/>
      <c r="O130" s="420"/>
      <c r="P130" s="420"/>
      <c r="Q130" s="420"/>
      <c r="R130" s="420"/>
      <c r="S130" s="420"/>
      <c r="T130" s="420"/>
      <c r="U130" s="420"/>
      <c r="V130" s="420"/>
      <c r="W130" s="420"/>
      <c r="X130" s="420"/>
      <c r="Y130" s="420"/>
      <c r="Z130" s="367"/>
      <c r="AA130" s="420"/>
      <c r="AB130" s="420"/>
      <c r="AC130" s="420"/>
      <c r="AD130" s="420"/>
      <c r="AE130" s="396" t="str">
        <f t="shared" si="6"/>
        <v/>
      </c>
      <c r="AF130" s="367"/>
      <c r="AG130" s="420"/>
      <c r="AH130" s="367"/>
      <c r="AI130" s="367"/>
      <c r="AJ130" s="367"/>
      <c r="AK130" s="358"/>
      <c r="AL130" s="358"/>
      <c r="AM130" s="358"/>
      <c r="AN130" s="358"/>
      <c r="AO130" s="358"/>
      <c r="AP130" s="367"/>
      <c r="AQ130" s="367"/>
      <c r="AR130" s="367"/>
    </row>
    <row r="131">
      <c r="A131" s="415"/>
      <c r="B131" s="415"/>
      <c r="C131" s="416"/>
      <c r="D131" s="417"/>
      <c r="E131" s="418"/>
      <c r="F131" s="418"/>
      <c r="G131" s="367"/>
      <c r="H131" s="418"/>
      <c r="I131" s="418"/>
      <c r="J131" s="418"/>
      <c r="K131" s="418"/>
      <c r="L131" s="420"/>
      <c r="M131" s="420"/>
      <c r="N131" s="420"/>
      <c r="O131" s="420"/>
      <c r="P131" s="420"/>
      <c r="Q131" s="420"/>
      <c r="R131" s="420"/>
      <c r="S131" s="420"/>
      <c r="T131" s="420"/>
      <c r="U131" s="420"/>
      <c r="V131" s="420"/>
      <c r="W131" s="420"/>
      <c r="X131" s="420"/>
      <c r="Y131" s="420"/>
      <c r="Z131" s="367"/>
      <c r="AA131" s="420"/>
      <c r="AB131" s="420"/>
      <c r="AC131" s="420"/>
      <c r="AD131" s="420"/>
      <c r="AE131" s="396" t="str">
        <f t="shared" si="6"/>
        <v/>
      </c>
      <c r="AF131" s="367"/>
      <c r="AG131" s="420"/>
      <c r="AH131" s="367"/>
      <c r="AI131" s="367"/>
      <c r="AJ131" s="367"/>
      <c r="AK131" s="358"/>
      <c r="AL131" s="358"/>
      <c r="AM131" s="358"/>
      <c r="AN131" s="358"/>
      <c r="AO131" s="358"/>
      <c r="AP131" s="367"/>
      <c r="AQ131" s="367"/>
      <c r="AR131" s="367"/>
    </row>
    <row r="132">
      <c r="A132" s="415"/>
      <c r="B132" s="415"/>
      <c r="C132" s="416"/>
      <c r="D132" s="417"/>
      <c r="E132" s="418"/>
      <c r="F132" s="418"/>
      <c r="G132" s="367"/>
      <c r="H132" s="418"/>
      <c r="I132" s="418"/>
      <c r="J132" s="418"/>
      <c r="K132" s="418"/>
      <c r="L132" s="420"/>
      <c r="M132" s="420"/>
      <c r="N132" s="420"/>
      <c r="O132" s="420"/>
      <c r="P132" s="420"/>
      <c r="Q132" s="420"/>
      <c r="R132" s="420"/>
      <c r="S132" s="420"/>
      <c r="T132" s="420"/>
      <c r="U132" s="420"/>
      <c r="V132" s="420"/>
      <c r="W132" s="420"/>
      <c r="X132" s="420"/>
      <c r="Y132" s="420"/>
      <c r="Z132" s="367"/>
      <c r="AA132" s="420"/>
      <c r="AB132" s="420"/>
      <c r="AC132" s="420"/>
      <c r="AD132" s="420"/>
      <c r="AE132" s="396" t="str">
        <f t="shared" si="6"/>
        <v/>
      </c>
      <c r="AF132" s="367"/>
      <c r="AG132" s="420"/>
      <c r="AH132" s="367"/>
      <c r="AI132" s="367"/>
      <c r="AJ132" s="367"/>
      <c r="AK132" s="358"/>
      <c r="AL132" s="358"/>
      <c r="AM132" s="358"/>
      <c r="AN132" s="358"/>
      <c r="AO132" s="358"/>
      <c r="AP132" s="367"/>
      <c r="AQ132" s="367"/>
      <c r="AR132" s="367"/>
    </row>
    <row r="133">
      <c r="A133" s="415"/>
      <c r="B133" s="415"/>
      <c r="C133" s="416"/>
      <c r="D133" s="417"/>
      <c r="E133" s="418"/>
      <c r="F133" s="418"/>
      <c r="G133" s="367"/>
      <c r="H133" s="418"/>
      <c r="I133" s="418"/>
      <c r="J133" s="418"/>
      <c r="K133" s="418"/>
      <c r="L133" s="420"/>
      <c r="M133" s="420"/>
      <c r="N133" s="420"/>
      <c r="O133" s="420"/>
      <c r="P133" s="420"/>
      <c r="Q133" s="420"/>
      <c r="R133" s="420"/>
      <c r="S133" s="420"/>
      <c r="T133" s="420"/>
      <c r="U133" s="420"/>
      <c r="V133" s="420"/>
      <c r="W133" s="420"/>
      <c r="X133" s="420"/>
      <c r="Y133" s="420"/>
      <c r="Z133" s="367"/>
      <c r="AA133" s="420"/>
      <c r="AB133" s="420"/>
      <c r="AC133" s="420"/>
      <c r="AD133" s="420"/>
      <c r="AE133" s="396" t="str">
        <f t="shared" si="6"/>
        <v/>
      </c>
      <c r="AF133" s="367"/>
      <c r="AG133" s="420"/>
      <c r="AH133" s="367"/>
      <c r="AI133" s="367"/>
      <c r="AJ133" s="367"/>
      <c r="AK133" s="358"/>
      <c r="AL133" s="358"/>
      <c r="AM133" s="358"/>
      <c r="AN133" s="358"/>
      <c r="AO133" s="358"/>
      <c r="AP133" s="367"/>
      <c r="AQ133" s="367"/>
      <c r="AR133" s="367"/>
    </row>
    <row r="134">
      <c r="A134" s="415"/>
      <c r="B134" s="415"/>
      <c r="C134" s="416"/>
      <c r="D134" s="417"/>
      <c r="E134" s="418"/>
      <c r="F134" s="418"/>
      <c r="G134" s="367"/>
      <c r="H134" s="418"/>
      <c r="I134" s="418"/>
      <c r="J134" s="418"/>
      <c r="K134" s="418"/>
      <c r="L134" s="420"/>
      <c r="M134" s="420"/>
      <c r="N134" s="420"/>
      <c r="O134" s="420"/>
      <c r="P134" s="420"/>
      <c r="Q134" s="420"/>
      <c r="R134" s="420"/>
      <c r="S134" s="420"/>
      <c r="T134" s="420"/>
      <c r="U134" s="420"/>
      <c r="V134" s="420"/>
      <c r="W134" s="420"/>
      <c r="X134" s="420"/>
      <c r="Y134" s="420"/>
      <c r="Z134" s="367"/>
      <c r="AA134" s="420"/>
      <c r="AB134" s="420"/>
      <c r="AC134" s="420"/>
      <c r="AD134" s="420"/>
      <c r="AE134" s="396" t="str">
        <f t="shared" si="6"/>
        <v/>
      </c>
      <c r="AF134" s="367"/>
      <c r="AG134" s="420"/>
      <c r="AH134" s="367"/>
      <c r="AI134" s="367"/>
      <c r="AJ134" s="367"/>
      <c r="AK134" s="358"/>
      <c r="AL134" s="358"/>
      <c r="AM134" s="358"/>
      <c r="AN134" s="358"/>
      <c r="AO134" s="358"/>
      <c r="AP134" s="367"/>
      <c r="AQ134" s="367"/>
      <c r="AR134" s="367"/>
    </row>
    <row r="135">
      <c r="A135" s="415"/>
      <c r="B135" s="415"/>
      <c r="C135" s="416"/>
      <c r="D135" s="417"/>
      <c r="E135" s="418"/>
      <c r="F135" s="418"/>
      <c r="G135" s="367"/>
      <c r="H135" s="418"/>
      <c r="I135" s="418"/>
      <c r="J135" s="418"/>
      <c r="K135" s="418"/>
      <c r="L135" s="420"/>
      <c r="M135" s="420"/>
      <c r="N135" s="420"/>
      <c r="O135" s="420"/>
      <c r="P135" s="420"/>
      <c r="Q135" s="420"/>
      <c r="R135" s="420"/>
      <c r="S135" s="420"/>
      <c r="T135" s="420"/>
      <c r="U135" s="420"/>
      <c r="V135" s="420"/>
      <c r="W135" s="420"/>
      <c r="X135" s="420"/>
      <c r="Y135" s="420"/>
      <c r="Z135" s="367"/>
      <c r="AA135" s="420"/>
      <c r="AB135" s="420"/>
      <c r="AC135" s="420"/>
      <c r="AD135" s="420"/>
      <c r="AE135" s="396" t="str">
        <f t="shared" si="6"/>
        <v/>
      </c>
      <c r="AF135" s="367"/>
      <c r="AG135" s="420"/>
      <c r="AH135" s="367"/>
      <c r="AI135" s="367"/>
      <c r="AJ135" s="367"/>
      <c r="AK135" s="358"/>
      <c r="AL135" s="358"/>
      <c r="AM135" s="358"/>
      <c r="AN135" s="358"/>
      <c r="AO135" s="358"/>
      <c r="AP135" s="367"/>
      <c r="AQ135" s="367"/>
      <c r="AR135" s="367"/>
    </row>
    <row r="136">
      <c r="A136" s="415"/>
      <c r="B136" s="415"/>
      <c r="C136" s="416"/>
      <c r="D136" s="417"/>
      <c r="E136" s="418"/>
      <c r="F136" s="418"/>
      <c r="G136" s="367"/>
      <c r="H136" s="418"/>
      <c r="I136" s="418"/>
      <c r="J136" s="418"/>
      <c r="K136" s="418"/>
      <c r="L136" s="420"/>
      <c r="M136" s="420"/>
      <c r="N136" s="420"/>
      <c r="O136" s="420"/>
      <c r="P136" s="420"/>
      <c r="Q136" s="420"/>
      <c r="R136" s="420"/>
      <c r="S136" s="420"/>
      <c r="T136" s="420"/>
      <c r="U136" s="420"/>
      <c r="V136" s="420"/>
      <c r="W136" s="420"/>
      <c r="X136" s="420"/>
      <c r="Y136" s="420"/>
      <c r="Z136" s="367"/>
      <c r="AA136" s="420"/>
      <c r="AB136" s="420"/>
      <c r="AC136" s="420"/>
      <c r="AD136" s="420"/>
      <c r="AE136" s="396" t="str">
        <f t="shared" si="6"/>
        <v/>
      </c>
      <c r="AF136" s="367"/>
      <c r="AG136" s="420"/>
      <c r="AH136" s="367"/>
      <c r="AI136" s="367"/>
      <c r="AJ136" s="367"/>
      <c r="AK136" s="358"/>
      <c r="AL136" s="358"/>
      <c r="AM136" s="358"/>
      <c r="AN136" s="358"/>
      <c r="AO136" s="358"/>
      <c r="AP136" s="367"/>
      <c r="AQ136" s="367"/>
      <c r="AR136" s="367"/>
    </row>
    <row r="137">
      <c r="A137" s="415"/>
      <c r="B137" s="415"/>
      <c r="C137" s="416"/>
      <c r="D137" s="417"/>
      <c r="E137" s="418"/>
      <c r="F137" s="418"/>
      <c r="G137" s="367"/>
      <c r="H137" s="418"/>
      <c r="I137" s="418"/>
      <c r="J137" s="418"/>
      <c r="K137" s="418"/>
      <c r="L137" s="420"/>
      <c r="M137" s="420"/>
      <c r="N137" s="420"/>
      <c r="O137" s="420"/>
      <c r="P137" s="420"/>
      <c r="Q137" s="420"/>
      <c r="R137" s="420"/>
      <c r="S137" s="420"/>
      <c r="T137" s="420"/>
      <c r="U137" s="420"/>
      <c r="V137" s="420"/>
      <c r="W137" s="420"/>
      <c r="X137" s="420"/>
      <c r="Y137" s="420"/>
      <c r="Z137" s="367"/>
      <c r="AA137" s="420"/>
      <c r="AB137" s="420"/>
      <c r="AC137" s="420"/>
      <c r="AD137" s="420"/>
      <c r="AE137" s="396" t="str">
        <f t="shared" si="6"/>
        <v/>
      </c>
      <c r="AF137" s="367"/>
      <c r="AG137" s="420"/>
      <c r="AH137" s="367"/>
      <c r="AI137" s="367"/>
      <c r="AJ137" s="367"/>
      <c r="AK137" s="358"/>
      <c r="AL137" s="358"/>
      <c r="AM137" s="358"/>
      <c r="AN137" s="358"/>
      <c r="AO137" s="358"/>
      <c r="AP137" s="367"/>
      <c r="AQ137" s="367"/>
      <c r="AR137" s="367"/>
    </row>
    <row r="138">
      <c r="A138" s="415"/>
      <c r="B138" s="415"/>
      <c r="C138" s="416"/>
      <c r="D138" s="417"/>
      <c r="E138" s="418"/>
      <c r="F138" s="418"/>
      <c r="G138" s="367"/>
      <c r="H138" s="418"/>
      <c r="I138" s="418"/>
      <c r="J138" s="418"/>
      <c r="K138" s="418"/>
      <c r="L138" s="420"/>
      <c r="M138" s="420"/>
      <c r="N138" s="420"/>
      <c r="O138" s="420"/>
      <c r="P138" s="420"/>
      <c r="Q138" s="420"/>
      <c r="R138" s="420"/>
      <c r="S138" s="420"/>
      <c r="T138" s="420"/>
      <c r="U138" s="420"/>
      <c r="V138" s="420"/>
      <c r="W138" s="420"/>
      <c r="X138" s="420"/>
      <c r="Y138" s="420"/>
      <c r="Z138" s="367"/>
      <c r="AA138" s="420"/>
      <c r="AB138" s="420"/>
      <c r="AC138" s="420"/>
      <c r="AD138" s="420"/>
      <c r="AE138" s="396" t="str">
        <f t="shared" si="6"/>
        <v/>
      </c>
      <c r="AF138" s="367"/>
      <c r="AG138" s="420"/>
      <c r="AH138" s="367"/>
      <c r="AI138" s="367"/>
      <c r="AJ138" s="367"/>
      <c r="AK138" s="358"/>
      <c r="AL138" s="358"/>
      <c r="AM138" s="358"/>
      <c r="AN138" s="358"/>
      <c r="AO138" s="358"/>
      <c r="AP138" s="367"/>
      <c r="AQ138" s="367"/>
      <c r="AR138" s="367"/>
    </row>
    <row r="139">
      <c r="A139" s="415"/>
      <c r="B139" s="415"/>
      <c r="C139" s="416"/>
      <c r="D139" s="417"/>
      <c r="E139" s="418"/>
      <c r="F139" s="418"/>
      <c r="G139" s="367"/>
      <c r="H139" s="418"/>
      <c r="I139" s="418"/>
      <c r="J139" s="418"/>
      <c r="K139" s="418"/>
      <c r="L139" s="420"/>
      <c r="M139" s="420"/>
      <c r="N139" s="420"/>
      <c r="O139" s="420"/>
      <c r="P139" s="420"/>
      <c r="Q139" s="420"/>
      <c r="R139" s="420"/>
      <c r="S139" s="420"/>
      <c r="T139" s="420"/>
      <c r="U139" s="420"/>
      <c r="V139" s="420"/>
      <c r="W139" s="420"/>
      <c r="X139" s="420"/>
      <c r="Y139" s="420"/>
      <c r="Z139" s="367"/>
      <c r="AA139" s="420"/>
      <c r="AB139" s="420"/>
      <c r="AC139" s="420"/>
      <c r="AD139" s="420"/>
      <c r="AE139" s="396" t="str">
        <f t="shared" si="6"/>
        <v/>
      </c>
      <c r="AF139" s="367"/>
      <c r="AG139" s="420"/>
      <c r="AH139" s="367"/>
      <c r="AI139" s="367"/>
      <c r="AJ139" s="367"/>
      <c r="AK139" s="358"/>
      <c r="AL139" s="358"/>
      <c r="AM139" s="358"/>
      <c r="AN139" s="358"/>
      <c r="AO139" s="358"/>
      <c r="AP139" s="367"/>
      <c r="AQ139" s="367"/>
      <c r="AR139" s="367"/>
    </row>
    <row r="140">
      <c r="A140" s="415"/>
      <c r="B140" s="415"/>
      <c r="C140" s="416"/>
      <c r="D140" s="417"/>
      <c r="E140" s="418"/>
      <c r="F140" s="418"/>
      <c r="G140" s="367"/>
      <c r="H140" s="418"/>
      <c r="I140" s="418"/>
      <c r="J140" s="418"/>
      <c r="K140" s="418"/>
      <c r="L140" s="420"/>
      <c r="M140" s="420"/>
      <c r="N140" s="420"/>
      <c r="O140" s="420"/>
      <c r="P140" s="420"/>
      <c r="Q140" s="420"/>
      <c r="R140" s="420"/>
      <c r="S140" s="420"/>
      <c r="T140" s="420"/>
      <c r="U140" s="420"/>
      <c r="V140" s="420"/>
      <c r="W140" s="420"/>
      <c r="X140" s="420"/>
      <c r="Y140" s="420"/>
      <c r="Z140" s="367"/>
      <c r="AA140" s="420"/>
      <c r="AB140" s="420"/>
      <c r="AC140" s="420"/>
      <c r="AD140" s="420"/>
      <c r="AE140" s="396" t="str">
        <f t="shared" si="6"/>
        <v/>
      </c>
      <c r="AF140" s="367"/>
      <c r="AG140" s="420"/>
      <c r="AH140" s="367"/>
      <c r="AI140" s="367"/>
      <c r="AJ140" s="367"/>
      <c r="AK140" s="358"/>
      <c r="AL140" s="358"/>
      <c r="AM140" s="358"/>
      <c r="AN140" s="358"/>
      <c r="AO140" s="358"/>
      <c r="AP140" s="367"/>
      <c r="AQ140" s="367"/>
      <c r="AR140" s="367"/>
    </row>
    <row r="141">
      <c r="A141" s="415"/>
      <c r="B141" s="415"/>
      <c r="C141" s="416"/>
      <c r="D141" s="417"/>
      <c r="E141" s="418"/>
      <c r="F141" s="418"/>
      <c r="G141" s="367"/>
      <c r="H141" s="418"/>
      <c r="I141" s="418"/>
      <c r="J141" s="418"/>
      <c r="K141" s="418"/>
      <c r="L141" s="420"/>
      <c r="M141" s="420"/>
      <c r="N141" s="420"/>
      <c r="O141" s="420"/>
      <c r="P141" s="420"/>
      <c r="Q141" s="420"/>
      <c r="R141" s="420"/>
      <c r="S141" s="420"/>
      <c r="T141" s="420"/>
      <c r="U141" s="420"/>
      <c r="V141" s="420"/>
      <c r="W141" s="420"/>
      <c r="X141" s="420"/>
      <c r="Y141" s="420"/>
      <c r="Z141" s="367"/>
      <c r="AA141" s="420"/>
      <c r="AB141" s="420"/>
      <c r="AC141" s="420"/>
      <c r="AD141" s="420"/>
      <c r="AE141" s="396" t="str">
        <f t="shared" si="6"/>
        <v/>
      </c>
      <c r="AF141" s="367"/>
      <c r="AG141" s="420"/>
      <c r="AH141" s="367"/>
      <c r="AI141" s="367"/>
      <c r="AJ141" s="367"/>
      <c r="AK141" s="358"/>
      <c r="AL141" s="358"/>
      <c r="AM141" s="358"/>
      <c r="AN141" s="358"/>
      <c r="AO141" s="358"/>
      <c r="AP141" s="367"/>
      <c r="AQ141" s="367"/>
      <c r="AR141" s="367"/>
    </row>
    <row r="142">
      <c r="A142" s="415"/>
      <c r="B142" s="415"/>
      <c r="C142" s="416"/>
      <c r="D142" s="417"/>
      <c r="E142" s="418"/>
      <c r="F142" s="418"/>
      <c r="G142" s="367"/>
      <c r="H142" s="418"/>
      <c r="I142" s="418"/>
      <c r="J142" s="418"/>
      <c r="K142" s="418"/>
      <c r="L142" s="420"/>
      <c r="M142" s="420"/>
      <c r="N142" s="420"/>
      <c r="O142" s="420"/>
      <c r="P142" s="420"/>
      <c r="Q142" s="420"/>
      <c r="R142" s="420"/>
      <c r="S142" s="420"/>
      <c r="T142" s="420"/>
      <c r="U142" s="420"/>
      <c r="V142" s="420"/>
      <c r="W142" s="420"/>
      <c r="X142" s="420"/>
      <c r="Y142" s="420"/>
      <c r="Z142" s="367"/>
      <c r="AA142" s="420"/>
      <c r="AB142" s="420"/>
      <c r="AC142" s="420"/>
      <c r="AD142" s="420"/>
      <c r="AE142" s="396" t="str">
        <f t="shared" si="6"/>
        <v/>
      </c>
      <c r="AF142" s="367"/>
      <c r="AG142" s="420"/>
      <c r="AH142" s="367"/>
      <c r="AI142" s="367"/>
      <c r="AJ142" s="367"/>
      <c r="AK142" s="358"/>
      <c r="AL142" s="358"/>
      <c r="AM142" s="358"/>
      <c r="AN142" s="358"/>
      <c r="AO142" s="358"/>
      <c r="AP142" s="367"/>
      <c r="AQ142" s="367"/>
      <c r="AR142" s="367"/>
    </row>
    <row r="143">
      <c r="A143" s="415"/>
      <c r="B143" s="415"/>
      <c r="C143" s="416"/>
      <c r="D143" s="417"/>
      <c r="E143" s="418"/>
      <c r="F143" s="418"/>
      <c r="G143" s="367"/>
      <c r="H143" s="418"/>
      <c r="I143" s="418"/>
      <c r="J143" s="418"/>
      <c r="K143" s="418"/>
      <c r="L143" s="420"/>
      <c r="M143" s="420"/>
      <c r="N143" s="420"/>
      <c r="O143" s="420"/>
      <c r="P143" s="420"/>
      <c r="Q143" s="420"/>
      <c r="R143" s="420"/>
      <c r="S143" s="420"/>
      <c r="T143" s="420"/>
      <c r="U143" s="420"/>
      <c r="V143" s="420"/>
      <c r="W143" s="420"/>
      <c r="X143" s="420"/>
      <c r="Y143" s="420"/>
      <c r="Z143" s="367"/>
      <c r="AA143" s="420"/>
      <c r="AB143" s="420"/>
      <c r="AC143" s="420"/>
      <c r="AD143" s="420"/>
      <c r="AE143" s="396" t="str">
        <f t="shared" si="6"/>
        <v/>
      </c>
      <c r="AF143" s="367"/>
      <c r="AG143" s="420"/>
      <c r="AH143" s="367"/>
      <c r="AI143" s="367"/>
      <c r="AJ143" s="367"/>
      <c r="AK143" s="358"/>
      <c r="AL143" s="358"/>
      <c r="AM143" s="358"/>
      <c r="AN143" s="358"/>
      <c r="AO143" s="358"/>
      <c r="AP143" s="367"/>
      <c r="AQ143" s="367"/>
      <c r="AR143" s="367"/>
    </row>
    <row r="144">
      <c r="A144" s="415"/>
      <c r="B144" s="415"/>
      <c r="C144" s="416"/>
      <c r="D144" s="417"/>
      <c r="E144" s="418"/>
      <c r="F144" s="418"/>
      <c r="G144" s="367"/>
      <c r="H144" s="418"/>
      <c r="I144" s="418"/>
      <c r="J144" s="418"/>
      <c r="K144" s="418"/>
      <c r="L144" s="420"/>
      <c r="M144" s="420"/>
      <c r="N144" s="420"/>
      <c r="O144" s="420"/>
      <c r="P144" s="420"/>
      <c r="Q144" s="420"/>
      <c r="R144" s="420"/>
      <c r="S144" s="420"/>
      <c r="T144" s="420"/>
      <c r="U144" s="420"/>
      <c r="V144" s="420"/>
      <c r="W144" s="420"/>
      <c r="X144" s="420"/>
      <c r="Y144" s="420"/>
      <c r="Z144" s="367"/>
      <c r="AA144" s="420"/>
      <c r="AB144" s="420"/>
      <c r="AC144" s="420"/>
      <c r="AD144" s="420"/>
      <c r="AE144" s="396" t="str">
        <f t="shared" si="6"/>
        <v/>
      </c>
      <c r="AF144" s="367"/>
      <c r="AG144" s="420"/>
      <c r="AH144" s="367"/>
      <c r="AI144" s="367"/>
      <c r="AJ144" s="367"/>
      <c r="AK144" s="358"/>
      <c r="AL144" s="358"/>
      <c r="AM144" s="358"/>
      <c r="AN144" s="358"/>
      <c r="AO144" s="358"/>
      <c r="AP144" s="367"/>
      <c r="AQ144" s="367"/>
      <c r="AR144" s="367"/>
    </row>
    <row r="145">
      <c r="A145" s="415"/>
      <c r="B145" s="415"/>
      <c r="C145" s="416"/>
      <c r="D145" s="417"/>
      <c r="E145" s="418"/>
      <c r="F145" s="418"/>
      <c r="G145" s="367"/>
      <c r="H145" s="418"/>
      <c r="I145" s="418"/>
      <c r="J145" s="418"/>
      <c r="K145" s="418"/>
      <c r="L145" s="420"/>
      <c r="M145" s="420"/>
      <c r="N145" s="420"/>
      <c r="O145" s="420"/>
      <c r="P145" s="420"/>
      <c r="Q145" s="420"/>
      <c r="R145" s="420"/>
      <c r="S145" s="420"/>
      <c r="T145" s="420"/>
      <c r="U145" s="420"/>
      <c r="V145" s="420"/>
      <c r="W145" s="420"/>
      <c r="X145" s="420"/>
      <c r="Y145" s="420"/>
      <c r="Z145" s="367"/>
      <c r="AA145" s="420"/>
      <c r="AB145" s="420"/>
      <c r="AC145" s="420"/>
      <c r="AD145" s="420"/>
      <c r="AE145" s="396" t="str">
        <f t="shared" si="6"/>
        <v/>
      </c>
      <c r="AF145" s="367"/>
      <c r="AG145" s="420"/>
      <c r="AH145" s="367"/>
      <c r="AI145" s="367"/>
      <c r="AJ145" s="367"/>
      <c r="AK145" s="358"/>
      <c r="AL145" s="358"/>
      <c r="AM145" s="358"/>
      <c r="AN145" s="358"/>
      <c r="AO145" s="358"/>
      <c r="AP145" s="367"/>
      <c r="AQ145" s="367"/>
      <c r="AR145" s="367"/>
    </row>
    <row r="146">
      <c r="A146" s="415"/>
      <c r="B146" s="415"/>
      <c r="C146" s="416"/>
      <c r="D146" s="417"/>
      <c r="E146" s="418"/>
      <c r="F146" s="418"/>
      <c r="G146" s="367"/>
      <c r="H146" s="418"/>
      <c r="I146" s="418"/>
      <c r="J146" s="418"/>
      <c r="K146" s="418"/>
      <c r="L146" s="420"/>
      <c r="M146" s="420"/>
      <c r="N146" s="420"/>
      <c r="O146" s="420"/>
      <c r="P146" s="420"/>
      <c r="Q146" s="420"/>
      <c r="R146" s="420"/>
      <c r="S146" s="420"/>
      <c r="T146" s="420"/>
      <c r="U146" s="420"/>
      <c r="V146" s="420"/>
      <c r="W146" s="420"/>
      <c r="X146" s="420"/>
      <c r="Y146" s="420"/>
      <c r="Z146" s="367"/>
      <c r="AA146" s="420"/>
      <c r="AB146" s="420"/>
      <c r="AC146" s="420"/>
      <c r="AD146" s="420"/>
      <c r="AE146" s="396" t="str">
        <f t="shared" si="6"/>
        <v/>
      </c>
      <c r="AF146" s="367"/>
      <c r="AG146" s="420"/>
      <c r="AH146" s="367"/>
      <c r="AI146" s="367"/>
      <c r="AJ146" s="367"/>
      <c r="AK146" s="358"/>
      <c r="AL146" s="358"/>
      <c r="AM146" s="358"/>
      <c r="AN146" s="358"/>
      <c r="AO146" s="358"/>
      <c r="AP146" s="367"/>
      <c r="AQ146" s="367"/>
      <c r="AR146" s="367"/>
    </row>
    <row r="147">
      <c r="A147" s="415"/>
      <c r="B147" s="415"/>
      <c r="C147" s="416"/>
      <c r="D147" s="417"/>
      <c r="E147" s="418"/>
      <c r="F147" s="418"/>
      <c r="G147" s="367"/>
      <c r="H147" s="418"/>
      <c r="I147" s="418"/>
      <c r="J147" s="418"/>
      <c r="K147" s="418"/>
      <c r="L147" s="420"/>
      <c r="M147" s="420"/>
      <c r="N147" s="420"/>
      <c r="O147" s="420"/>
      <c r="P147" s="420"/>
      <c r="Q147" s="420"/>
      <c r="R147" s="420"/>
      <c r="S147" s="420"/>
      <c r="T147" s="420"/>
      <c r="U147" s="420"/>
      <c r="V147" s="420"/>
      <c r="W147" s="420"/>
      <c r="X147" s="420"/>
      <c r="Y147" s="420"/>
      <c r="Z147" s="367"/>
      <c r="AA147" s="420"/>
      <c r="AB147" s="420"/>
      <c r="AC147" s="420"/>
      <c r="AD147" s="420"/>
      <c r="AE147" s="396" t="str">
        <f t="shared" si="6"/>
        <v/>
      </c>
      <c r="AF147" s="367"/>
      <c r="AG147" s="420"/>
      <c r="AH147" s="367"/>
      <c r="AI147" s="367"/>
      <c r="AJ147" s="367"/>
      <c r="AK147" s="358"/>
      <c r="AL147" s="358"/>
      <c r="AM147" s="358"/>
      <c r="AN147" s="358"/>
      <c r="AO147" s="358"/>
      <c r="AP147" s="367"/>
      <c r="AQ147" s="367"/>
      <c r="AR147" s="367"/>
    </row>
    <row r="148">
      <c r="A148" s="415"/>
      <c r="B148" s="415"/>
      <c r="C148" s="416"/>
      <c r="D148" s="417"/>
      <c r="E148" s="418"/>
      <c r="F148" s="418"/>
      <c r="G148" s="367"/>
      <c r="H148" s="418"/>
      <c r="I148" s="418"/>
      <c r="J148" s="418"/>
      <c r="K148" s="418"/>
      <c r="L148" s="420"/>
      <c r="M148" s="420"/>
      <c r="N148" s="420"/>
      <c r="O148" s="420"/>
      <c r="P148" s="420"/>
      <c r="Q148" s="420"/>
      <c r="R148" s="420"/>
      <c r="S148" s="420"/>
      <c r="T148" s="420"/>
      <c r="U148" s="420"/>
      <c r="V148" s="420"/>
      <c r="W148" s="420"/>
      <c r="X148" s="420"/>
      <c r="Y148" s="420"/>
      <c r="Z148" s="367"/>
      <c r="AA148" s="420"/>
      <c r="AB148" s="420"/>
      <c r="AC148" s="420"/>
      <c r="AD148" s="420"/>
      <c r="AE148" s="396" t="str">
        <f t="shared" si="6"/>
        <v/>
      </c>
      <c r="AF148" s="367"/>
      <c r="AG148" s="420"/>
      <c r="AH148" s="367"/>
      <c r="AI148" s="367"/>
      <c r="AJ148" s="367"/>
      <c r="AK148" s="358"/>
      <c r="AL148" s="358"/>
      <c r="AM148" s="358"/>
      <c r="AN148" s="358"/>
      <c r="AO148" s="358"/>
      <c r="AP148" s="367"/>
      <c r="AQ148" s="367"/>
      <c r="AR148" s="367"/>
    </row>
    <row r="149">
      <c r="A149" s="415"/>
      <c r="B149" s="415"/>
      <c r="C149" s="416"/>
      <c r="D149" s="417"/>
      <c r="E149" s="418"/>
      <c r="F149" s="418"/>
      <c r="G149" s="367"/>
      <c r="H149" s="418"/>
      <c r="I149" s="418"/>
      <c r="J149" s="418"/>
      <c r="K149" s="418"/>
      <c r="L149" s="420"/>
      <c r="M149" s="420"/>
      <c r="N149" s="420"/>
      <c r="O149" s="420"/>
      <c r="P149" s="420"/>
      <c r="Q149" s="420"/>
      <c r="R149" s="420"/>
      <c r="S149" s="420"/>
      <c r="T149" s="420"/>
      <c r="U149" s="420"/>
      <c r="V149" s="420"/>
      <c r="W149" s="420"/>
      <c r="X149" s="420"/>
      <c r="Y149" s="420"/>
      <c r="Z149" s="367"/>
      <c r="AA149" s="420"/>
      <c r="AB149" s="420"/>
      <c r="AC149" s="420"/>
      <c r="AD149" s="420"/>
      <c r="AE149" s="396" t="str">
        <f t="shared" si="6"/>
        <v/>
      </c>
      <c r="AF149" s="367"/>
      <c r="AG149" s="420"/>
      <c r="AH149" s="367"/>
      <c r="AI149" s="367"/>
      <c r="AJ149" s="367"/>
      <c r="AK149" s="358"/>
      <c r="AL149" s="358"/>
      <c r="AM149" s="358"/>
      <c r="AN149" s="358"/>
      <c r="AO149" s="358"/>
      <c r="AP149" s="367"/>
      <c r="AQ149" s="367"/>
      <c r="AR149" s="367"/>
    </row>
    <row r="150">
      <c r="A150" s="415"/>
      <c r="B150" s="415"/>
      <c r="C150" s="416"/>
      <c r="D150" s="417"/>
      <c r="E150" s="418"/>
      <c r="F150" s="418"/>
      <c r="G150" s="367"/>
      <c r="H150" s="418"/>
      <c r="I150" s="418"/>
      <c r="J150" s="418"/>
      <c r="K150" s="418"/>
      <c r="L150" s="420"/>
      <c r="M150" s="420"/>
      <c r="N150" s="420"/>
      <c r="O150" s="420"/>
      <c r="P150" s="420"/>
      <c r="Q150" s="420"/>
      <c r="R150" s="420"/>
      <c r="S150" s="420"/>
      <c r="T150" s="420"/>
      <c r="U150" s="420"/>
      <c r="V150" s="420"/>
      <c r="W150" s="420"/>
      <c r="X150" s="420"/>
      <c r="Y150" s="420"/>
      <c r="Z150" s="367"/>
      <c r="AA150" s="420"/>
      <c r="AB150" s="420"/>
      <c r="AC150" s="420"/>
      <c r="AD150" s="420"/>
      <c r="AE150" s="396" t="str">
        <f t="shared" si="6"/>
        <v/>
      </c>
      <c r="AF150" s="367"/>
      <c r="AG150" s="420"/>
      <c r="AH150" s="367"/>
      <c r="AI150" s="367"/>
      <c r="AJ150" s="367"/>
      <c r="AK150" s="358"/>
      <c r="AL150" s="358"/>
      <c r="AM150" s="358"/>
      <c r="AN150" s="358"/>
      <c r="AO150" s="358"/>
      <c r="AP150" s="367"/>
      <c r="AQ150" s="367"/>
      <c r="AR150" s="367"/>
    </row>
    <row r="151">
      <c r="A151" s="415"/>
      <c r="B151" s="415"/>
      <c r="C151" s="416"/>
      <c r="D151" s="417"/>
      <c r="E151" s="418"/>
      <c r="F151" s="418"/>
      <c r="G151" s="367"/>
      <c r="H151" s="418"/>
      <c r="I151" s="418"/>
      <c r="J151" s="418"/>
      <c r="K151" s="418"/>
      <c r="L151" s="420"/>
      <c r="M151" s="420"/>
      <c r="N151" s="420"/>
      <c r="O151" s="420"/>
      <c r="P151" s="420"/>
      <c r="Q151" s="420"/>
      <c r="R151" s="420"/>
      <c r="S151" s="420"/>
      <c r="T151" s="420"/>
      <c r="U151" s="420"/>
      <c r="V151" s="420"/>
      <c r="W151" s="420"/>
      <c r="X151" s="420"/>
      <c r="Y151" s="420"/>
      <c r="Z151" s="367"/>
      <c r="AA151" s="420"/>
      <c r="AB151" s="420"/>
      <c r="AC151" s="420"/>
      <c r="AD151" s="420"/>
      <c r="AE151" s="396" t="str">
        <f t="shared" si="6"/>
        <v/>
      </c>
      <c r="AF151" s="367"/>
      <c r="AG151" s="420"/>
      <c r="AH151" s="367"/>
      <c r="AI151" s="367"/>
      <c r="AJ151" s="367"/>
      <c r="AK151" s="358"/>
      <c r="AL151" s="358"/>
      <c r="AM151" s="358"/>
      <c r="AN151" s="358"/>
      <c r="AO151" s="358"/>
      <c r="AP151" s="367"/>
      <c r="AQ151" s="367"/>
      <c r="AR151" s="367"/>
    </row>
    <row r="152">
      <c r="A152" s="415"/>
      <c r="B152" s="415"/>
      <c r="C152" s="416"/>
      <c r="D152" s="417"/>
      <c r="E152" s="418"/>
      <c r="F152" s="418"/>
      <c r="G152" s="367"/>
      <c r="H152" s="418"/>
      <c r="I152" s="418"/>
      <c r="J152" s="418"/>
      <c r="K152" s="418"/>
      <c r="L152" s="420"/>
      <c r="M152" s="420"/>
      <c r="N152" s="420"/>
      <c r="O152" s="420"/>
      <c r="P152" s="420"/>
      <c r="Q152" s="420"/>
      <c r="R152" s="420"/>
      <c r="S152" s="420"/>
      <c r="T152" s="420"/>
      <c r="U152" s="420"/>
      <c r="V152" s="420"/>
      <c r="W152" s="420"/>
      <c r="X152" s="420"/>
      <c r="Y152" s="420"/>
      <c r="Z152" s="367"/>
      <c r="AA152" s="420"/>
      <c r="AB152" s="420"/>
      <c r="AC152" s="420"/>
      <c r="AD152" s="420"/>
      <c r="AE152" s="396" t="str">
        <f t="shared" si="6"/>
        <v/>
      </c>
      <c r="AF152" s="367"/>
      <c r="AG152" s="420"/>
      <c r="AH152" s="367"/>
      <c r="AI152" s="367"/>
      <c r="AJ152" s="367"/>
      <c r="AK152" s="358"/>
      <c r="AL152" s="358"/>
      <c r="AM152" s="358"/>
      <c r="AN152" s="358"/>
      <c r="AO152" s="358"/>
      <c r="AP152" s="367"/>
      <c r="AQ152" s="367"/>
      <c r="AR152" s="367"/>
    </row>
    <row r="153">
      <c r="A153" s="415"/>
      <c r="B153" s="415"/>
      <c r="C153" s="416"/>
      <c r="D153" s="417"/>
      <c r="E153" s="418"/>
      <c r="F153" s="418"/>
      <c r="G153" s="367"/>
      <c r="H153" s="418"/>
      <c r="I153" s="418"/>
      <c r="J153" s="418"/>
      <c r="K153" s="418"/>
      <c r="L153" s="420"/>
      <c r="M153" s="420"/>
      <c r="N153" s="420"/>
      <c r="O153" s="420"/>
      <c r="P153" s="420"/>
      <c r="Q153" s="420"/>
      <c r="R153" s="420"/>
      <c r="S153" s="420"/>
      <c r="T153" s="420"/>
      <c r="U153" s="420"/>
      <c r="V153" s="420"/>
      <c r="W153" s="420"/>
      <c r="X153" s="420"/>
      <c r="Y153" s="420"/>
      <c r="Z153" s="367"/>
      <c r="AA153" s="420"/>
      <c r="AB153" s="420"/>
      <c r="AC153" s="420"/>
      <c r="AD153" s="420"/>
      <c r="AE153" s="396" t="str">
        <f t="shared" si="6"/>
        <v/>
      </c>
      <c r="AF153" s="367"/>
      <c r="AG153" s="420"/>
      <c r="AH153" s="367"/>
      <c r="AI153" s="367"/>
      <c r="AJ153" s="367"/>
      <c r="AK153" s="358"/>
      <c r="AL153" s="358"/>
      <c r="AM153" s="358"/>
      <c r="AN153" s="358"/>
      <c r="AO153" s="358"/>
      <c r="AP153" s="367"/>
      <c r="AQ153" s="367"/>
      <c r="AR153" s="367"/>
    </row>
    <row r="154">
      <c r="A154" s="415"/>
      <c r="B154" s="415"/>
      <c r="C154" s="416"/>
      <c r="D154" s="417"/>
      <c r="E154" s="418"/>
      <c r="F154" s="418"/>
      <c r="G154" s="367"/>
      <c r="H154" s="418"/>
      <c r="I154" s="418"/>
      <c r="J154" s="418"/>
      <c r="K154" s="418"/>
      <c r="L154" s="420"/>
      <c r="M154" s="420"/>
      <c r="N154" s="420"/>
      <c r="O154" s="420"/>
      <c r="P154" s="420"/>
      <c r="Q154" s="420"/>
      <c r="R154" s="420"/>
      <c r="S154" s="420"/>
      <c r="T154" s="420"/>
      <c r="U154" s="420"/>
      <c r="V154" s="420"/>
      <c r="W154" s="420"/>
      <c r="X154" s="420"/>
      <c r="Y154" s="420"/>
      <c r="Z154" s="367"/>
      <c r="AA154" s="420"/>
      <c r="AB154" s="420"/>
      <c r="AC154" s="420"/>
      <c r="AD154" s="420"/>
      <c r="AE154" s="396" t="str">
        <f t="shared" si="6"/>
        <v/>
      </c>
      <c r="AF154" s="367"/>
      <c r="AG154" s="420"/>
      <c r="AH154" s="367"/>
      <c r="AI154" s="367"/>
      <c r="AJ154" s="367"/>
      <c r="AK154" s="358"/>
      <c r="AL154" s="358"/>
      <c r="AM154" s="358"/>
      <c r="AN154" s="358"/>
      <c r="AO154" s="358"/>
      <c r="AP154" s="367"/>
      <c r="AQ154" s="367"/>
      <c r="AR154" s="367"/>
    </row>
    <row r="155">
      <c r="A155" s="415"/>
      <c r="B155" s="415"/>
      <c r="C155" s="416"/>
      <c r="D155" s="417"/>
      <c r="E155" s="418"/>
      <c r="F155" s="418"/>
      <c r="G155" s="367"/>
      <c r="H155" s="418"/>
      <c r="I155" s="418"/>
      <c r="J155" s="418"/>
      <c r="K155" s="418"/>
      <c r="L155" s="420"/>
      <c r="M155" s="420"/>
      <c r="N155" s="420"/>
      <c r="O155" s="420"/>
      <c r="P155" s="420"/>
      <c r="Q155" s="420"/>
      <c r="R155" s="420"/>
      <c r="S155" s="420"/>
      <c r="T155" s="420"/>
      <c r="U155" s="420"/>
      <c r="V155" s="420"/>
      <c r="W155" s="420"/>
      <c r="X155" s="420"/>
      <c r="Y155" s="420"/>
      <c r="Z155" s="367"/>
      <c r="AA155" s="420"/>
      <c r="AB155" s="420"/>
      <c r="AC155" s="420"/>
      <c r="AD155" s="420"/>
      <c r="AE155" s="396" t="str">
        <f t="shared" si="6"/>
        <v/>
      </c>
      <c r="AF155" s="367"/>
      <c r="AG155" s="420"/>
      <c r="AH155" s="367"/>
      <c r="AI155" s="367"/>
      <c r="AJ155" s="367"/>
      <c r="AK155" s="358"/>
      <c r="AL155" s="358"/>
      <c r="AM155" s="358"/>
      <c r="AN155" s="358"/>
      <c r="AO155" s="358"/>
      <c r="AP155" s="367"/>
      <c r="AQ155" s="367"/>
      <c r="AR155" s="367"/>
    </row>
    <row r="156">
      <c r="A156" s="415"/>
      <c r="B156" s="415"/>
      <c r="C156" s="416"/>
      <c r="D156" s="417"/>
      <c r="E156" s="418"/>
      <c r="F156" s="418"/>
      <c r="G156" s="367"/>
      <c r="H156" s="418"/>
      <c r="I156" s="418"/>
      <c r="J156" s="418"/>
      <c r="K156" s="418"/>
      <c r="L156" s="420"/>
      <c r="M156" s="420"/>
      <c r="N156" s="420"/>
      <c r="O156" s="420"/>
      <c r="P156" s="420"/>
      <c r="Q156" s="420"/>
      <c r="R156" s="420"/>
      <c r="S156" s="420"/>
      <c r="T156" s="420"/>
      <c r="U156" s="420"/>
      <c r="V156" s="420"/>
      <c r="W156" s="420"/>
      <c r="X156" s="420"/>
      <c r="Y156" s="420"/>
      <c r="Z156" s="367"/>
      <c r="AA156" s="420"/>
      <c r="AB156" s="420"/>
      <c r="AC156" s="420"/>
      <c r="AD156" s="420"/>
      <c r="AE156" s="396" t="str">
        <f t="shared" si="6"/>
        <v/>
      </c>
      <c r="AF156" s="367"/>
      <c r="AG156" s="420"/>
      <c r="AH156" s="367"/>
      <c r="AI156" s="367"/>
      <c r="AJ156" s="367"/>
      <c r="AK156" s="358"/>
      <c r="AL156" s="358"/>
      <c r="AM156" s="358"/>
      <c r="AN156" s="358"/>
      <c r="AO156" s="358"/>
      <c r="AP156" s="367"/>
      <c r="AQ156" s="367"/>
      <c r="AR156" s="367"/>
    </row>
    <row r="157">
      <c r="A157" s="415"/>
      <c r="B157" s="415"/>
      <c r="C157" s="416"/>
      <c r="D157" s="417"/>
      <c r="E157" s="418"/>
      <c r="F157" s="418"/>
      <c r="G157" s="367"/>
      <c r="H157" s="418"/>
      <c r="I157" s="418"/>
      <c r="J157" s="418"/>
      <c r="K157" s="418"/>
      <c r="L157" s="420"/>
      <c r="M157" s="420"/>
      <c r="N157" s="420"/>
      <c r="O157" s="420"/>
      <c r="P157" s="420"/>
      <c r="Q157" s="420"/>
      <c r="R157" s="420"/>
      <c r="S157" s="420"/>
      <c r="T157" s="420"/>
      <c r="U157" s="420"/>
      <c r="V157" s="420"/>
      <c r="W157" s="420"/>
      <c r="X157" s="420"/>
      <c r="Y157" s="420"/>
      <c r="Z157" s="367"/>
      <c r="AA157" s="420"/>
      <c r="AB157" s="420"/>
      <c r="AC157" s="420"/>
      <c r="AD157" s="420"/>
      <c r="AE157" s="396" t="str">
        <f t="shared" si="6"/>
        <v/>
      </c>
      <c r="AF157" s="367"/>
      <c r="AG157" s="420"/>
      <c r="AH157" s="367"/>
      <c r="AI157" s="367"/>
      <c r="AJ157" s="367"/>
      <c r="AK157" s="358"/>
      <c r="AL157" s="358"/>
      <c r="AM157" s="358"/>
      <c r="AN157" s="358"/>
      <c r="AO157" s="358"/>
      <c r="AP157" s="367"/>
      <c r="AQ157" s="367"/>
      <c r="AR157" s="367"/>
    </row>
    <row r="158">
      <c r="A158" s="415"/>
      <c r="B158" s="415"/>
      <c r="C158" s="416"/>
      <c r="D158" s="417"/>
      <c r="E158" s="418"/>
      <c r="F158" s="418"/>
      <c r="G158" s="367"/>
      <c r="H158" s="418"/>
      <c r="I158" s="418"/>
      <c r="J158" s="418"/>
      <c r="K158" s="418"/>
      <c r="L158" s="420"/>
      <c r="M158" s="420"/>
      <c r="N158" s="420"/>
      <c r="O158" s="420"/>
      <c r="P158" s="420"/>
      <c r="Q158" s="420"/>
      <c r="R158" s="420"/>
      <c r="S158" s="420"/>
      <c r="T158" s="420"/>
      <c r="U158" s="420"/>
      <c r="V158" s="420"/>
      <c r="W158" s="420"/>
      <c r="X158" s="420"/>
      <c r="Y158" s="420"/>
      <c r="Z158" s="367"/>
      <c r="AA158" s="420"/>
      <c r="AB158" s="420"/>
      <c r="AC158" s="420"/>
      <c r="AD158" s="420"/>
      <c r="AE158" s="396" t="str">
        <f t="shared" si="6"/>
        <v/>
      </c>
      <c r="AF158" s="367"/>
      <c r="AG158" s="420"/>
      <c r="AH158" s="367"/>
      <c r="AI158" s="367"/>
      <c r="AJ158" s="367"/>
      <c r="AK158" s="358"/>
      <c r="AL158" s="358"/>
      <c r="AM158" s="358"/>
      <c r="AN158" s="358"/>
      <c r="AO158" s="358"/>
      <c r="AP158" s="367"/>
      <c r="AQ158" s="367"/>
      <c r="AR158" s="367"/>
    </row>
    <row r="159">
      <c r="A159" s="415"/>
      <c r="B159" s="415"/>
      <c r="C159" s="416"/>
      <c r="D159" s="417"/>
      <c r="E159" s="418"/>
      <c r="F159" s="418"/>
      <c r="G159" s="367"/>
      <c r="H159" s="418"/>
      <c r="I159" s="418"/>
      <c r="J159" s="418"/>
      <c r="K159" s="418"/>
      <c r="L159" s="420"/>
      <c r="M159" s="420"/>
      <c r="N159" s="420"/>
      <c r="O159" s="420"/>
      <c r="P159" s="420"/>
      <c r="Q159" s="420"/>
      <c r="R159" s="420"/>
      <c r="S159" s="420"/>
      <c r="T159" s="420"/>
      <c r="U159" s="420"/>
      <c r="V159" s="420"/>
      <c r="W159" s="420"/>
      <c r="X159" s="420"/>
      <c r="Y159" s="420"/>
      <c r="Z159" s="367"/>
      <c r="AA159" s="420"/>
      <c r="AB159" s="420"/>
      <c r="AC159" s="420"/>
      <c r="AD159" s="420"/>
      <c r="AE159" s="396" t="str">
        <f t="shared" si="6"/>
        <v/>
      </c>
      <c r="AF159" s="367"/>
      <c r="AG159" s="420"/>
      <c r="AH159" s="367"/>
      <c r="AI159" s="367"/>
      <c r="AJ159" s="367"/>
      <c r="AK159" s="358"/>
      <c r="AL159" s="358"/>
      <c r="AM159" s="358"/>
      <c r="AN159" s="358"/>
      <c r="AO159" s="358"/>
      <c r="AP159" s="367"/>
      <c r="AQ159" s="367"/>
      <c r="AR159" s="367"/>
    </row>
    <row r="160">
      <c r="A160" s="415"/>
      <c r="B160" s="415"/>
      <c r="C160" s="416"/>
      <c r="D160" s="417"/>
      <c r="E160" s="418"/>
      <c r="F160" s="418"/>
      <c r="G160" s="367"/>
      <c r="H160" s="418"/>
      <c r="I160" s="418"/>
      <c r="J160" s="418"/>
      <c r="K160" s="418"/>
      <c r="L160" s="420"/>
      <c r="M160" s="420"/>
      <c r="N160" s="420"/>
      <c r="O160" s="420"/>
      <c r="P160" s="420"/>
      <c r="Q160" s="420"/>
      <c r="R160" s="420"/>
      <c r="S160" s="420"/>
      <c r="T160" s="420"/>
      <c r="U160" s="420"/>
      <c r="V160" s="420"/>
      <c r="W160" s="420"/>
      <c r="X160" s="420"/>
      <c r="Y160" s="420"/>
      <c r="Z160" s="367"/>
      <c r="AA160" s="420"/>
      <c r="AB160" s="420"/>
      <c r="AC160" s="420"/>
      <c r="AD160" s="420"/>
      <c r="AE160" s="420"/>
      <c r="AF160" s="367"/>
      <c r="AG160" s="420"/>
      <c r="AH160" s="367"/>
      <c r="AI160" s="367"/>
      <c r="AJ160" s="367"/>
      <c r="AK160" s="358"/>
      <c r="AL160" s="358"/>
      <c r="AM160" s="358"/>
      <c r="AN160" s="358"/>
      <c r="AO160" s="358"/>
      <c r="AP160" s="367"/>
      <c r="AQ160" s="367"/>
      <c r="AR160" s="367"/>
    </row>
    <row r="161">
      <c r="A161" s="415"/>
      <c r="B161" s="415"/>
      <c r="C161" s="416"/>
      <c r="D161" s="417"/>
      <c r="E161" s="418"/>
      <c r="F161" s="418"/>
      <c r="G161" s="367"/>
      <c r="H161" s="418"/>
      <c r="I161" s="418"/>
      <c r="J161" s="418"/>
      <c r="K161" s="418"/>
      <c r="L161" s="420"/>
      <c r="M161" s="420"/>
      <c r="N161" s="420"/>
      <c r="O161" s="420"/>
      <c r="P161" s="420"/>
      <c r="Q161" s="420"/>
      <c r="R161" s="420"/>
      <c r="S161" s="420"/>
      <c r="T161" s="420"/>
      <c r="U161" s="420"/>
      <c r="V161" s="420"/>
      <c r="W161" s="420"/>
      <c r="X161" s="420"/>
      <c r="Y161" s="420"/>
      <c r="Z161" s="367"/>
      <c r="AA161" s="420"/>
      <c r="AB161" s="420"/>
      <c r="AC161" s="420"/>
      <c r="AD161" s="420"/>
      <c r="AE161" s="420"/>
      <c r="AF161" s="367"/>
      <c r="AG161" s="420"/>
      <c r="AH161" s="367"/>
      <c r="AI161" s="367"/>
      <c r="AJ161" s="367"/>
      <c r="AK161" s="358"/>
      <c r="AL161" s="358"/>
      <c r="AM161" s="358"/>
      <c r="AN161" s="358"/>
      <c r="AO161" s="358"/>
      <c r="AP161" s="367"/>
      <c r="AQ161" s="367"/>
      <c r="AR161" s="367"/>
    </row>
    <row r="162">
      <c r="A162" s="415"/>
      <c r="B162" s="415"/>
      <c r="C162" s="416"/>
      <c r="D162" s="417"/>
      <c r="E162" s="418"/>
      <c r="F162" s="418"/>
      <c r="G162" s="367"/>
      <c r="H162" s="418"/>
      <c r="I162" s="418"/>
      <c r="J162" s="418"/>
      <c r="K162" s="418"/>
      <c r="L162" s="420"/>
      <c r="M162" s="420"/>
      <c r="N162" s="420"/>
      <c r="O162" s="420"/>
      <c r="P162" s="420"/>
      <c r="Q162" s="420"/>
      <c r="R162" s="420"/>
      <c r="S162" s="420"/>
      <c r="T162" s="420"/>
      <c r="U162" s="420"/>
      <c r="V162" s="420"/>
      <c r="W162" s="420"/>
      <c r="X162" s="420"/>
      <c r="Y162" s="420"/>
      <c r="Z162" s="367"/>
      <c r="AA162" s="420"/>
      <c r="AB162" s="420"/>
      <c r="AC162" s="420"/>
      <c r="AD162" s="420"/>
      <c r="AE162" s="420"/>
      <c r="AF162" s="367"/>
      <c r="AG162" s="420"/>
      <c r="AH162" s="367"/>
      <c r="AI162" s="367"/>
      <c r="AJ162" s="367"/>
      <c r="AK162" s="358"/>
      <c r="AL162" s="358"/>
      <c r="AM162" s="358"/>
      <c r="AN162" s="358"/>
      <c r="AO162" s="358"/>
      <c r="AP162" s="367"/>
      <c r="AQ162" s="367"/>
      <c r="AR162" s="367"/>
    </row>
    <row r="163">
      <c r="A163" s="415"/>
      <c r="B163" s="415"/>
      <c r="C163" s="416"/>
      <c r="D163" s="417"/>
      <c r="E163" s="418"/>
      <c r="F163" s="418"/>
      <c r="G163" s="367"/>
      <c r="H163" s="418"/>
      <c r="I163" s="418"/>
      <c r="J163" s="418"/>
      <c r="K163" s="418"/>
      <c r="L163" s="420"/>
      <c r="M163" s="420"/>
      <c r="N163" s="420"/>
      <c r="O163" s="420"/>
      <c r="P163" s="420"/>
      <c r="Q163" s="420"/>
      <c r="R163" s="420"/>
      <c r="S163" s="420"/>
      <c r="T163" s="420"/>
      <c r="U163" s="420"/>
      <c r="V163" s="420"/>
      <c r="W163" s="420"/>
      <c r="X163" s="420"/>
      <c r="Y163" s="420"/>
      <c r="Z163" s="367"/>
      <c r="AA163" s="420"/>
      <c r="AB163" s="420"/>
      <c r="AC163" s="420"/>
      <c r="AD163" s="420"/>
      <c r="AE163" s="420"/>
      <c r="AF163" s="367"/>
      <c r="AG163" s="420"/>
      <c r="AH163" s="367"/>
      <c r="AI163" s="367"/>
      <c r="AJ163" s="367"/>
      <c r="AK163" s="358"/>
      <c r="AL163" s="358"/>
      <c r="AM163" s="358"/>
      <c r="AN163" s="358"/>
      <c r="AO163" s="358"/>
      <c r="AP163" s="367"/>
      <c r="AQ163" s="367"/>
      <c r="AR163" s="367"/>
    </row>
    <row r="164">
      <c r="A164" s="415"/>
      <c r="B164" s="415"/>
      <c r="C164" s="416"/>
      <c r="D164" s="417"/>
      <c r="E164" s="418"/>
      <c r="F164" s="418"/>
      <c r="G164" s="367"/>
      <c r="H164" s="418"/>
      <c r="I164" s="418"/>
      <c r="J164" s="418"/>
      <c r="K164" s="418"/>
      <c r="L164" s="420"/>
      <c r="M164" s="420"/>
      <c r="N164" s="420"/>
      <c r="O164" s="420"/>
      <c r="P164" s="420"/>
      <c r="Q164" s="420"/>
      <c r="R164" s="420"/>
      <c r="S164" s="420"/>
      <c r="T164" s="420"/>
      <c r="U164" s="420"/>
      <c r="V164" s="420"/>
      <c r="W164" s="420"/>
      <c r="X164" s="420"/>
      <c r="Y164" s="420"/>
      <c r="Z164" s="367"/>
      <c r="AA164" s="420"/>
      <c r="AB164" s="420"/>
      <c r="AC164" s="420"/>
      <c r="AD164" s="420"/>
      <c r="AE164" s="420"/>
      <c r="AF164" s="367"/>
      <c r="AG164" s="420"/>
      <c r="AH164" s="367"/>
      <c r="AI164" s="367"/>
      <c r="AJ164" s="367"/>
      <c r="AK164" s="358"/>
      <c r="AL164" s="358"/>
      <c r="AM164" s="358"/>
      <c r="AN164" s="358"/>
      <c r="AO164" s="358"/>
      <c r="AP164" s="367"/>
      <c r="AQ164" s="367"/>
      <c r="AR164" s="367"/>
    </row>
    <row r="165">
      <c r="A165" s="415"/>
      <c r="B165" s="415"/>
      <c r="C165" s="416"/>
      <c r="D165" s="417"/>
      <c r="E165" s="418"/>
      <c r="F165" s="418"/>
      <c r="G165" s="367"/>
      <c r="H165" s="418"/>
      <c r="I165" s="418"/>
      <c r="J165" s="418"/>
      <c r="K165" s="418"/>
      <c r="L165" s="420"/>
      <c r="M165" s="420"/>
      <c r="N165" s="420"/>
      <c r="O165" s="420"/>
      <c r="P165" s="420"/>
      <c r="Q165" s="420"/>
      <c r="R165" s="420"/>
      <c r="S165" s="420"/>
      <c r="T165" s="420"/>
      <c r="U165" s="420"/>
      <c r="V165" s="420"/>
      <c r="W165" s="420"/>
      <c r="X165" s="420"/>
      <c r="Y165" s="420"/>
      <c r="Z165" s="367"/>
      <c r="AA165" s="420"/>
      <c r="AB165" s="420"/>
      <c r="AC165" s="420"/>
      <c r="AD165" s="420"/>
      <c r="AE165" s="420"/>
      <c r="AF165" s="367"/>
      <c r="AG165" s="420"/>
      <c r="AH165" s="367"/>
      <c r="AI165" s="367"/>
      <c r="AJ165" s="367"/>
      <c r="AK165" s="358"/>
      <c r="AL165" s="358"/>
      <c r="AM165" s="358"/>
      <c r="AN165" s="358"/>
      <c r="AO165" s="358"/>
      <c r="AP165" s="367"/>
      <c r="AQ165" s="367"/>
      <c r="AR165" s="367"/>
    </row>
    <row r="166">
      <c r="A166" s="415"/>
      <c r="B166" s="415"/>
      <c r="C166" s="416"/>
      <c r="D166" s="417"/>
      <c r="E166" s="418"/>
      <c r="F166" s="418"/>
      <c r="G166" s="367"/>
      <c r="H166" s="418"/>
      <c r="I166" s="418"/>
      <c r="J166" s="418"/>
      <c r="K166" s="418"/>
      <c r="L166" s="420"/>
      <c r="M166" s="420"/>
      <c r="N166" s="420"/>
      <c r="O166" s="420"/>
      <c r="P166" s="420"/>
      <c r="Q166" s="420"/>
      <c r="R166" s="420"/>
      <c r="S166" s="420"/>
      <c r="T166" s="420"/>
      <c r="U166" s="420"/>
      <c r="V166" s="420"/>
      <c r="W166" s="420"/>
      <c r="X166" s="420"/>
      <c r="Y166" s="420"/>
      <c r="Z166" s="367"/>
      <c r="AA166" s="420"/>
      <c r="AB166" s="420"/>
      <c r="AC166" s="420"/>
      <c r="AD166" s="420"/>
      <c r="AE166" s="420"/>
      <c r="AF166" s="367"/>
      <c r="AG166" s="420"/>
      <c r="AH166" s="367"/>
      <c r="AI166" s="367"/>
      <c r="AJ166" s="367"/>
      <c r="AK166" s="358"/>
      <c r="AL166" s="358"/>
      <c r="AM166" s="358"/>
      <c r="AN166" s="358"/>
      <c r="AO166" s="358"/>
      <c r="AP166" s="367"/>
      <c r="AQ166" s="367"/>
      <c r="AR166" s="367"/>
    </row>
    <row r="167">
      <c r="A167" s="415"/>
      <c r="B167" s="415"/>
      <c r="C167" s="416"/>
      <c r="D167" s="417"/>
      <c r="E167" s="418"/>
      <c r="F167" s="418"/>
      <c r="G167" s="367"/>
      <c r="H167" s="418"/>
      <c r="I167" s="418"/>
      <c r="J167" s="418"/>
      <c r="K167" s="418"/>
      <c r="L167" s="420"/>
      <c r="M167" s="420"/>
      <c r="N167" s="420"/>
      <c r="O167" s="420"/>
      <c r="P167" s="420"/>
      <c r="Q167" s="420"/>
      <c r="R167" s="420"/>
      <c r="S167" s="420"/>
      <c r="T167" s="420"/>
      <c r="U167" s="420"/>
      <c r="V167" s="420"/>
      <c r="W167" s="420"/>
      <c r="X167" s="420"/>
      <c r="Y167" s="420"/>
      <c r="Z167" s="367"/>
      <c r="AA167" s="420"/>
      <c r="AB167" s="420"/>
      <c r="AC167" s="420"/>
      <c r="AD167" s="420"/>
      <c r="AE167" s="420"/>
      <c r="AF167" s="367"/>
      <c r="AG167" s="420"/>
      <c r="AH167" s="367"/>
      <c r="AI167" s="367"/>
      <c r="AJ167" s="367"/>
      <c r="AK167" s="358"/>
      <c r="AL167" s="358"/>
      <c r="AM167" s="358"/>
      <c r="AN167" s="358"/>
      <c r="AO167" s="358"/>
      <c r="AP167" s="367"/>
      <c r="AQ167" s="367"/>
      <c r="AR167" s="367"/>
    </row>
    <row r="168">
      <c r="A168" s="415"/>
      <c r="B168" s="415"/>
      <c r="C168" s="416"/>
      <c r="D168" s="417"/>
      <c r="E168" s="418"/>
      <c r="F168" s="418"/>
      <c r="G168" s="367"/>
      <c r="H168" s="418"/>
      <c r="I168" s="418"/>
      <c r="J168" s="418"/>
      <c r="K168" s="418"/>
      <c r="L168" s="420"/>
      <c r="M168" s="420"/>
      <c r="N168" s="420"/>
      <c r="O168" s="420"/>
      <c r="P168" s="420"/>
      <c r="Q168" s="420"/>
      <c r="R168" s="420"/>
      <c r="S168" s="420"/>
      <c r="T168" s="420"/>
      <c r="U168" s="420"/>
      <c r="V168" s="420"/>
      <c r="W168" s="420"/>
      <c r="X168" s="420"/>
      <c r="Y168" s="420"/>
      <c r="Z168" s="367"/>
      <c r="AA168" s="420"/>
      <c r="AB168" s="420"/>
      <c r="AC168" s="420"/>
      <c r="AD168" s="420"/>
      <c r="AE168" s="420"/>
      <c r="AF168" s="367"/>
      <c r="AG168" s="420"/>
      <c r="AH168" s="367"/>
      <c r="AI168" s="367"/>
      <c r="AJ168" s="367"/>
      <c r="AK168" s="358"/>
      <c r="AL168" s="358"/>
      <c r="AM168" s="358"/>
      <c r="AN168" s="358"/>
      <c r="AO168" s="358"/>
      <c r="AP168" s="367"/>
      <c r="AQ168" s="367"/>
      <c r="AR168" s="367"/>
    </row>
    <row r="169">
      <c r="A169" s="415"/>
      <c r="B169" s="415"/>
      <c r="C169" s="416"/>
      <c r="D169" s="417"/>
      <c r="E169" s="418"/>
      <c r="F169" s="418"/>
      <c r="G169" s="367"/>
      <c r="H169" s="418"/>
      <c r="I169" s="418"/>
      <c r="J169" s="418"/>
      <c r="K169" s="418"/>
      <c r="L169" s="420"/>
      <c r="M169" s="420"/>
      <c r="N169" s="420"/>
      <c r="O169" s="420"/>
      <c r="P169" s="420"/>
      <c r="Q169" s="420"/>
      <c r="R169" s="420"/>
      <c r="S169" s="420"/>
      <c r="T169" s="420"/>
      <c r="U169" s="420"/>
      <c r="V169" s="420"/>
      <c r="W169" s="420"/>
      <c r="X169" s="420"/>
      <c r="Y169" s="420"/>
      <c r="Z169" s="367"/>
      <c r="AA169" s="420"/>
      <c r="AB169" s="420"/>
      <c r="AC169" s="420"/>
      <c r="AD169" s="420"/>
      <c r="AE169" s="420"/>
      <c r="AF169" s="367"/>
      <c r="AG169" s="420"/>
      <c r="AH169" s="367"/>
      <c r="AI169" s="367"/>
      <c r="AJ169" s="367"/>
      <c r="AK169" s="358"/>
      <c r="AL169" s="358"/>
      <c r="AM169" s="358"/>
      <c r="AN169" s="358"/>
      <c r="AO169" s="358"/>
      <c r="AP169" s="367"/>
      <c r="AQ169" s="367"/>
      <c r="AR169" s="367"/>
    </row>
    <row r="170">
      <c r="A170" s="415"/>
      <c r="B170" s="415"/>
      <c r="C170" s="416"/>
      <c r="D170" s="417"/>
      <c r="E170" s="418"/>
      <c r="F170" s="418"/>
      <c r="G170" s="367"/>
      <c r="H170" s="418"/>
      <c r="I170" s="418"/>
      <c r="J170" s="418"/>
      <c r="K170" s="418"/>
      <c r="L170" s="420"/>
      <c r="M170" s="420"/>
      <c r="N170" s="420"/>
      <c r="O170" s="420"/>
      <c r="P170" s="420"/>
      <c r="Q170" s="420"/>
      <c r="R170" s="420"/>
      <c r="S170" s="420"/>
      <c r="T170" s="420"/>
      <c r="U170" s="420"/>
      <c r="V170" s="420"/>
      <c r="W170" s="420"/>
      <c r="X170" s="420"/>
      <c r="Y170" s="420"/>
      <c r="Z170" s="367"/>
      <c r="AA170" s="420"/>
      <c r="AB170" s="420"/>
      <c r="AC170" s="420"/>
      <c r="AD170" s="420"/>
      <c r="AE170" s="420"/>
      <c r="AF170" s="367"/>
      <c r="AG170" s="420"/>
      <c r="AH170" s="367"/>
      <c r="AI170" s="367"/>
      <c r="AJ170" s="367"/>
      <c r="AK170" s="358"/>
      <c r="AL170" s="358"/>
      <c r="AM170" s="358"/>
      <c r="AN170" s="358"/>
      <c r="AO170" s="358"/>
      <c r="AP170" s="367"/>
      <c r="AQ170" s="367"/>
      <c r="AR170" s="367"/>
    </row>
    <row r="171">
      <c r="A171" s="415"/>
      <c r="B171" s="415"/>
      <c r="C171" s="416"/>
      <c r="D171" s="417"/>
      <c r="E171" s="418"/>
      <c r="F171" s="418"/>
      <c r="G171" s="367"/>
      <c r="H171" s="418"/>
      <c r="I171" s="418"/>
      <c r="J171" s="418"/>
      <c r="K171" s="418"/>
      <c r="L171" s="420"/>
      <c r="M171" s="420"/>
      <c r="N171" s="420"/>
      <c r="O171" s="420"/>
      <c r="P171" s="420"/>
      <c r="Q171" s="420"/>
      <c r="R171" s="420"/>
      <c r="S171" s="420"/>
      <c r="T171" s="420"/>
      <c r="U171" s="420"/>
      <c r="V171" s="420"/>
      <c r="W171" s="420"/>
      <c r="X171" s="420"/>
      <c r="Y171" s="420"/>
      <c r="Z171" s="367"/>
      <c r="AA171" s="420"/>
      <c r="AB171" s="420"/>
      <c r="AC171" s="420"/>
      <c r="AD171" s="420"/>
      <c r="AE171" s="420"/>
      <c r="AF171" s="367"/>
      <c r="AG171" s="420"/>
      <c r="AH171" s="367"/>
      <c r="AI171" s="367"/>
      <c r="AJ171" s="367"/>
      <c r="AK171" s="358"/>
      <c r="AL171" s="358"/>
      <c r="AM171" s="358"/>
      <c r="AN171" s="358"/>
      <c r="AO171" s="358"/>
      <c r="AP171" s="367"/>
      <c r="AQ171" s="367"/>
      <c r="AR171" s="367"/>
    </row>
    <row r="172">
      <c r="A172" s="415"/>
      <c r="B172" s="415"/>
      <c r="C172" s="416"/>
      <c r="D172" s="417"/>
      <c r="E172" s="418"/>
      <c r="F172" s="418"/>
      <c r="G172" s="367"/>
      <c r="H172" s="418"/>
      <c r="I172" s="418"/>
      <c r="J172" s="418"/>
      <c r="K172" s="418"/>
      <c r="L172" s="420"/>
      <c r="M172" s="420"/>
      <c r="N172" s="420"/>
      <c r="O172" s="420"/>
      <c r="P172" s="420"/>
      <c r="Q172" s="420"/>
      <c r="R172" s="420"/>
      <c r="S172" s="420"/>
      <c r="T172" s="420"/>
      <c r="U172" s="420"/>
      <c r="V172" s="420"/>
      <c r="W172" s="420"/>
      <c r="X172" s="420"/>
      <c r="Y172" s="420"/>
      <c r="Z172" s="367"/>
      <c r="AA172" s="420"/>
      <c r="AB172" s="420"/>
      <c r="AC172" s="420"/>
      <c r="AD172" s="420"/>
      <c r="AE172" s="420"/>
      <c r="AF172" s="367"/>
      <c r="AG172" s="420"/>
      <c r="AH172" s="367"/>
      <c r="AI172" s="367"/>
      <c r="AJ172" s="367"/>
      <c r="AK172" s="358"/>
      <c r="AL172" s="358"/>
      <c r="AM172" s="358"/>
      <c r="AN172" s="358"/>
      <c r="AO172" s="358"/>
      <c r="AP172" s="367"/>
      <c r="AQ172" s="367"/>
      <c r="AR172" s="367"/>
    </row>
    <row r="173">
      <c r="A173" s="415"/>
      <c r="B173" s="415"/>
      <c r="C173" s="416"/>
      <c r="D173" s="417"/>
      <c r="E173" s="418"/>
      <c r="F173" s="418"/>
      <c r="G173" s="367"/>
      <c r="H173" s="418"/>
      <c r="I173" s="418"/>
      <c r="J173" s="418"/>
      <c r="K173" s="418"/>
      <c r="L173" s="420"/>
      <c r="M173" s="420"/>
      <c r="N173" s="420"/>
      <c r="O173" s="420"/>
      <c r="P173" s="420"/>
      <c r="Q173" s="420"/>
      <c r="R173" s="420"/>
      <c r="S173" s="420"/>
      <c r="T173" s="420"/>
      <c r="U173" s="420"/>
      <c r="V173" s="420"/>
      <c r="W173" s="420"/>
      <c r="X173" s="420"/>
      <c r="Y173" s="420"/>
      <c r="Z173" s="367"/>
      <c r="AA173" s="420"/>
      <c r="AB173" s="420"/>
      <c r="AC173" s="420"/>
      <c r="AD173" s="420"/>
      <c r="AE173" s="420"/>
      <c r="AF173" s="367"/>
      <c r="AG173" s="420"/>
      <c r="AH173" s="367"/>
      <c r="AI173" s="367"/>
      <c r="AJ173" s="367"/>
      <c r="AK173" s="358"/>
      <c r="AL173" s="358"/>
      <c r="AM173" s="358"/>
      <c r="AN173" s="358"/>
      <c r="AO173" s="358"/>
      <c r="AP173" s="367"/>
      <c r="AQ173" s="367"/>
      <c r="AR173" s="367"/>
    </row>
    <row r="174">
      <c r="A174" s="415"/>
      <c r="B174" s="415"/>
      <c r="C174" s="416"/>
      <c r="D174" s="417"/>
      <c r="E174" s="418"/>
      <c r="F174" s="418"/>
      <c r="G174" s="367"/>
      <c r="H174" s="418"/>
      <c r="I174" s="418"/>
      <c r="J174" s="418"/>
      <c r="K174" s="418"/>
      <c r="L174" s="420"/>
      <c r="M174" s="420"/>
      <c r="N174" s="420"/>
      <c r="O174" s="420"/>
      <c r="P174" s="420"/>
      <c r="Q174" s="420"/>
      <c r="R174" s="420"/>
      <c r="S174" s="420"/>
      <c r="T174" s="420"/>
      <c r="U174" s="420"/>
      <c r="V174" s="420"/>
      <c r="W174" s="420"/>
      <c r="X174" s="420"/>
      <c r="Y174" s="420"/>
      <c r="Z174" s="367"/>
      <c r="AA174" s="420"/>
      <c r="AB174" s="420"/>
      <c r="AC174" s="420"/>
      <c r="AD174" s="420"/>
      <c r="AE174" s="420"/>
      <c r="AF174" s="367"/>
      <c r="AG174" s="420"/>
      <c r="AH174" s="367"/>
      <c r="AI174" s="367"/>
      <c r="AJ174" s="367"/>
      <c r="AK174" s="358"/>
      <c r="AL174" s="358"/>
      <c r="AM174" s="358"/>
      <c r="AN174" s="358"/>
      <c r="AO174" s="358"/>
      <c r="AP174" s="367"/>
      <c r="AQ174" s="367"/>
      <c r="AR174" s="367"/>
    </row>
    <row r="175">
      <c r="A175" s="415"/>
      <c r="B175" s="415"/>
      <c r="C175" s="416"/>
      <c r="D175" s="417"/>
      <c r="E175" s="418"/>
      <c r="F175" s="418"/>
      <c r="G175" s="367"/>
      <c r="H175" s="418"/>
      <c r="I175" s="418"/>
      <c r="J175" s="418"/>
      <c r="K175" s="418"/>
      <c r="L175" s="420"/>
      <c r="M175" s="420"/>
      <c r="N175" s="420"/>
      <c r="O175" s="420"/>
      <c r="P175" s="420"/>
      <c r="Q175" s="420"/>
      <c r="R175" s="420"/>
      <c r="S175" s="420"/>
      <c r="T175" s="420"/>
      <c r="U175" s="420"/>
      <c r="V175" s="420"/>
      <c r="W175" s="420"/>
      <c r="X175" s="420"/>
      <c r="Y175" s="420"/>
      <c r="Z175" s="367"/>
      <c r="AA175" s="420"/>
      <c r="AB175" s="420"/>
      <c r="AC175" s="420"/>
      <c r="AD175" s="420"/>
      <c r="AE175" s="420"/>
      <c r="AF175" s="367"/>
      <c r="AG175" s="420"/>
      <c r="AH175" s="367"/>
      <c r="AI175" s="367"/>
      <c r="AJ175" s="367"/>
      <c r="AK175" s="358"/>
      <c r="AL175" s="358"/>
      <c r="AM175" s="358"/>
      <c r="AN175" s="358"/>
      <c r="AO175" s="358"/>
      <c r="AP175" s="367"/>
      <c r="AQ175" s="367"/>
      <c r="AR175" s="367"/>
    </row>
    <row r="176">
      <c r="A176" s="415"/>
      <c r="B176" s="415"/>
      <c r="C176" s="416"/>
      <c r="D176" s="417"/>
      <c r="E176" s="418"/>
      <c r="F176" s="418"/>
      <c r="G176" s="367"/>
      <c r="H176" s="418"/>
      <c r="I176" s="418"/>
      <c r="J176" s="418"/>
      <c r="K176" s="418"/>
      <c r="L176" s="420"/>
      <c r="M176" s="420"/>
      <c r="N176" s="420"/>
      <c r="O176" s="420"/>
      <c r="P176" s="420"/>
      <c r="Q176" s="420"/>
      <c r="R176" s="420"/>
      <c r="S176" s="420"/>
      <c r="T176" s="420"/>
      <c r="U176" s="420"/>
      <c r="V176" s="420"/>
      <c r="W176" s="420"/>
      <c r="X176" s="420"/>
      <c r="Y176" s="420"/>
      <c r="Z176" s="367"/>
      <c r="AA176" s="420"/>
      <c r="AB176" s="420"/>
      <c r="AC176" s="420"/>
      <c r="AD176" s="420"/>
      <c r="AE176" s="420"/>
      <c r="AF176" s="367"/>
      <c r="AG176" s="420"/>
      <c r="AH176" s="367"/>
      <c r="AI176" s="367"/>
      <c r="AJ176" s="367"/>
      <c r="AK176" s="358"/>
      <c r="AL176" s="358"/>
      <c r="AM176" s="358"/>
      <c r="AN176" s="358"/>
      <c r="AO176" s="358"/>
      <c r="AP176" s="367"/>
      <c r="AQ176" s="367"/>
      <c r="AR176" s="367"/>
    </row>
    <row r="177">
      <c r="A177" s="415"/>
      <c r="B177" s="415"/>
      <c r="C177" s="416"/>
      <c r="D177" s="417"/>
      <c r="E177" s="418"/>
      <c r="F177" s="418"/>
      <c r="G177" s="367"/>
      <c r="H177" s="418"/>
      <c r="I177" s="418"/>
      <c r="J177" s="418"/>
      <c r="K177" s="418"/>
      <c r="L177" s="420"/>
      <c r="M177" s="420"/>
      <c r="N177" s="420"/>
      <c r="O177" s="420"/>
      <c r="P177" s="420"/>
      <c r="Q177" s="420"/>
      <c r="R177" s="420"/>
      <c r="S177" s="420"/>
      <c r="T177" s="420"/>
      <c r="U177" s="420"/>
      <c r="V177" s="420"/>
      <c r="W177" s="420"/>
      <c r="X177" s="420"/>
      <c r="Y177" s="420"/>
      <c r="Z177" s="367"/>
      <c r="AA177" s="420"/>
      <c r="AB177" s="420"/>
      <c r="AC177" s="420"/>
      <c r="AD177" s="420"/>
      <c r="AE177" s="420"/>
      <c r="AF177" s="367"/>
      <c r="AG177" s="420"/>
      <c r="AH177" s="367"/>
      <c r="AI177" s="367"/>
      <c r="AJ177" s="367"/>
      <c r="AK177" s="358"/>
      <c r="AL177" s="358"/>
      <c r="AM177" s="358"/>
      <c r="AN177" s="358"/>
      <c r="AO177" s="358"/>
      <c r="AP177" s="367"/>
      <c r="AQ177" s="367"/>
      <c r="AR177" s="367"/>
    </row>
    <row r="178">
      <c r="A178" s="415"/>
      <c r="B178" s="415"/>
      <c r="C178" s="416"/>
      <c r="D178" s="417"/>
      <c r="E178" s="418"/>
      <c r="F178" s="418"/>
      <c r="G178" s="367"/>
      <c r="H178" s="418"/>
      <c r="I178" s="418"/>
      <c r="J178" s="418"/>
      <c r="K178" s="418"/>
      <c r="L178" s="420"/>
      <c r="M178" s="420"/>
      <c r="N178" s="420"/>
      <c r="O178" s="420"/>
      <c r="P178" s="420"/>
      <c r="Q178" s="420"/>
      <c r="R178" s="420"/>
      <c r="S178" s="420"/>
      <c r="T178" s="420"/>
      <c r="U178" s="420"/>
      <c r="V178" s="420"/>
      <c r="W178" s="420"/>
      <c r="X178" s="420"/>
      <c r="Y178" s="420"/>
      <c r="Z178" s="367"/>
      <c r="AA178" s="420"/>
      <c r="AB178" s="420"/>
      <c r="AC178" s="420"/>
      <c r="AD178" s="420"/>
      <c r="AE178" s="420"/>
      <c r="AF178" s="367"/>
      <c r="AG178" s="420"/>
      <c r="AH178" s="367"/>
      <c r="AI178" s="367"/>
      <c r="AJ178" s="367"/>
      <c r="AK178" s="358"/>
      <c r="AL178" s="358"/>
      <c r="AM178" s="358"/>
      <c r="AN178" s="358"/>
      <c r="AO178" s="358"/>
      <c r="AP178" s="367"/>
      <c r="AQ178" s="367"/>
      <c r="AR178" s="367"/>
    </row>
    <row r="179">
      <c r="A179" s="415"/>
      <c r="B179" s="415"/>
      <c r="C179" s="416"/>
      <c r="D179" s="417"/>
      <c r="E179" s="418"/>
      <c r="F179" s="418"/>
      <c r="G179" s="367"/>
      <c r="H179" s="418"/>
      <c r="I179" s="418"/>
      <c r="J179" s="418"/>
      <c r="K179" s="418"/>
      <c r="L179" s="420"/>
      <c r="M179" s="420"/>
      <c r="N179" s="420"/>
      <c r="O179" s="420"/>
      <c r="P179" s="420"/>
      <c r="Q179" s="420"/>
      <c r="R179" s="420"/>
      <c r="S179" s="420"/>
      <c r="T179" s="420"/>
      <c r="U179" s="420"/>
      <c r="V179" s="420"/>
      <c r="W179" s="420"/>
      <c r="X179" s="420"/>
      <c r="Y179" s="420"/>
      <c r="Z179" s="367"/>
      <c r="AA179" s="420"/>
      <c r="AB179" s="420"/>
      <c r="AC179" s="420"/>
      <c r="AD179" s="420"/>
      <c r="AE179" s="420"/>
      <c r="AF179" s="367"/>
      <c r="AG179" s="420"/>
      <c r="AH179" s="367"/>
      <c r="AI179" s="367"/>
      <c r="AJ179" s="367"/>
      <c r="AK179" s="358"/>
      <c r="AL179" s="358"/>
      <c r="AM179" s="358"/>
      <c r="AN179" s="358"/>
      <c r="AO179" s="358"/>
      <c r="AP179" s="367"/>
      <c r="AQ179" s="367"/>
      <c r="AR179" s="367"/>
    </row>
    <row r="180">
      <c r="A180" s="415"/>
      <c r="B180" s="415"/>
      <c r="C180" s="416"/>
      <c r="D180" s="417"/>
      <c r="E180" s="418"/>
      <c r="F180" s="418"/>
      <c r="G180" s="367"/>
      <c r="H180" s="418"/>
      <c r="I180" s="418"/>
      <c r="J180" s="418"/>
      <c r="K180" s="418"/>
      <c r="L180" s="420"/>
      <c r="M180" s="420"/>
      <c r="N180" s="420"/>
      <c r="O180" s="420"/>
      <c r="P180" s="420"/>
      <c r="Q180" s="420"/>
      <c r="R180" s="420"/>
      <c r="S180" s="420"/>
      <c r="T180" s="420"/>
      <c r="U180" s="420"/>
      <c r="V180" s="420"/>
      <c r="W180" s="420"/>
      <c r="X180" s="420"/>
      <c r="Y180" s="420"/>
      <c r="Z180" s="367"/>
      <c r="AA180" s="420"/>
      <c r="AB180" s="420"/>
      <c r="AC180" s="420"/>
      <c r="AD180" s="420"/>
      <c r="AE180" s="420"/>
      <c r="AF180" s="367"/>
      <c r="AG180" s="420"/>
      <c r="AH180" s="367"/>
      <c r="AI180" s="367"/>
      <c r="AJ180" s="367"/>
      <c r="AK180" s="358"/>
      <c r="AL180" s="358"/>
      <c r="AM180" s="358"/>
      <c r="AN180" s="358"/>
      <c r="AO180" s="358"/>
      <c r="AP180" s="367"/>
      <c r="AQ180" s="367"/>
      <c r="AR180" s="367"/>
    </row>
    <row r="181">
      <c r="A181" s="418"/>
      <c r="B181" s="418"/>
      <c r="C181" s="417"/>
      <c r="D181" s="417"/>
      <c r="E181" s="418"/>
      <c r="F181" s="418"/>
      <c r="G181" s="367"/>
      <c r="H181" s="418"/>
      <c r="I181" s="418"/>
      <c r="J181" s="418"/>
      <c r="K181" s="418"/>
      <c r="L181" s="420"/>
      <c r="M181" s="420"/>
      <c r="N181" s="420"/>
      <c r="O181" s="420"/>
      <c r="P181" s="420"/>
      <c r="Q181" s="420"/>
      <c r="R181" s="420"/>
      <c r="S181" s="420"/>
      <c r="T181" s="420"/>
      <c r="U181" s="420"/>
      <c r="V181" s="420"/>
      <c r="W181" s="420"/>
      <c r="X181" s="420"/>
      <c r="Y181" s="420"/>
      <c r="Z181" s="367"/>
      <c r="AA181" s="420"/>
      <c r="AB181" s="420"/>
      <c r="AC181" s="420"/>
      <c r="AD181" s="420"/>
      <c r="AE181" s="420"/>
      <c r="AF181" s="367"/>
      <c r="AG181" s="420"/>
      <c r="AH181" s="367"/>
      <c r="AI181" s="367"/>
      <c r="AJ181" s="367"/>
      <c r="AK181" s="358"/>
      <c r="AL181" s="358"/>
      <c r="AM181" s="358"/>
      <c r="AN181" s="358"/>
      <c r="AO181" s="358"/>
      <c r="AP181" s="367"/>
      <c r="AQ181" s="367"/>
      <c r="AR181" s="367"/>
    </row>
    <row r="182">
      <c r="A182" s="418"/>
      <c r="B182" s="418"/>
      <c r="C182" s="417"/>
      <c r="D182" s="417"/>
      <c r="E182" s="418"/>
      <c r="F182" s="418"/>
      <c r="G182" s="367"/>
      <c r="H182" s="418"/>
      <c r="I182" s="418"/>
      <c r="J182" s="418"/>
      <c r="K182" s="418"/>
      <c r="L182" s="420"/>
      <c r="M182" s="420"/>
      <c r="N182" s="420"/>
      <c r="O182" s="420"/>
      <c r="P182" s="420"/>
      <c r="Q182" s="420"/>
      <c r="R182" s="420"/>
      <c r="S182" s="420"/>
      <c r="T182" s="420"/>
      <c r="U182" s="420"/>
      <c r="V182" s="420"/>
      <c r="W182" s="420"/>
      <c r="X182" s="420"/>
      <c r="Y182" s="420"/>
      <c r="Z182" s="367"/>
      <c r="AA182" s="420"/>
      <c r="AB182" s="420"/>
      <c r="AC182" s="420"/>
      <c r="AD182" s="420"/>
      <c r="AE182" s="420"/>
      <c r="AF182" s="367"/>
      <c r="AG182" s="420"/>
      <c r="AH182" s="367"/>
      <c r="AI182" s="367"/>
      <c r="AJ182" s="367"/>
      <c r="AK182" s="358"/>
      <c r="AL182" s="358"/>
      <c r="AM182" s="358"/>
      <c r="AN182" s="358"/>
      <c r="AO182" s="358"/>
      <c r="AP182" s="367"/>
      <c r="AQ182" s="367"/>
      <c r="AR182" s="367"/>
    </row>
    <row r="183">
      <c r="A183" s="418"/>
      <c r="B183" s="418"/>
      <c r="C183" s="417"/>
      <c r="D183" s="417"/>
      <c r="E183" s="418"/>
      <c r="F183" s="418"/>
      <c r="G183" s="367"/>
      <c r="H183" s="418"/>
      <c r="I183" s="418"/>
      <c r="J183" s="418"/>
      <c r="K183" s="418"/>
      <c r="L183" s="420"/>
      <c r="M183" s="420"/>
      <c r="N183" s="420"/>
      <c r="O183" s="420"/>
      <c r="P183" s="420"/>
      <c r="Q183" s="420"/>
      <c r="R183" s="420"/>
      <c r="S183" s="420"/>
      <c r="T183" s="420"/>
      <c r="U183" s="420"/>
      <c r="V183" s="420"/>
      <c r="W183" s="420"/>
      <c r="X183" s="420"/>
      <c r="Y183" s="420"/>
      <c r="Z183" s="367"/>
      <c r="AA183" s="420"/>
      <c r="AB183" s="420"/>
      <c r="AC183" s="420"/>
      <c r="AD183" s="420"/>
      <c r="AE183" s="420"/>
      <c r="AF183" s="367"/>
      <c r="AG183" s="420"/>
      <c r="AH183" s="367"/>
      <c r="AI183" s="367"/>
      <c r="AJ183" s="367"/>
      <c r="AK183" s="358"/>
      <c r="AL183" s="358"/>
      <c r="AM183" s="358"/>
      <c r="AN183" s="358"/>
      <c r="AO183" s="358"/>
      <c r="AP183" s="367"/>
      <c r="AQ183" s="367"/>
      <c r="AR183" s="367"/>
    </row>
    <row r="184">
      <c r="A184" s="418"/>
      <c r="B184" s="418"/>
      <c r="C184" s="417"/>
      <c r="D184" s="417"/>
      <c r="E184" s="418"/>
      <c r="F184" s="418"/>
      <c r="G184" s="367"/>
      <c r="H184" s="418"/>
      <c r="I184" s="418"/>
      <c r="J184" s="418"/>
      <c r="K184" s="418"/>
      <c r="L184" s="420"/>
      <c r="M184" s="420"/>
      <c r="N184" s="420"/>
      <c r="O184" s="420"/>
      <c r="P184" s="420"/>
      <c r="Q184" s="420"/>
      <c r="R184" s="420"/>
      <c r="S184" s="420"/>
      <c r="T184" s="420"/>
      <c r="U184" s="420"/>
      <c r="V184" s="420"/>
      <c r="W184" s="420"/>
      <c r="X184" s="420"/>
      <c r="Y184" s="420"/>
      <c r="Z184" s="367"/>
      <c r="AA184" s="420"/>
      <c r="AB184" s="420"/>
      <c r="AC184" s="420"/>
      <c r="AD184" s="420"/>
      <c r="AE184" s="420"/>
      <c r="AF184" s="367"/>
      <c r="AG184" s="420"/>
      <c r="AH184" s="367"/>
      <c r="AI184" s="367"/>
      <c r="AJ184" s="367"/>
      <c r="AK184" s="358"/>
      <c r="AL184" s="358"/>
      <c r="AM184" s="358"/>
      <c r="AN184" s="358"/>
      <c r="AO184" s="358"/>
      <c r="AP184" s="367"/>
      <c r="AQ184" s="367"/>
      <c r="AR184" s="367"/>
    </row>
    <row r="185">
      <c r="A185" s="418"/>
      <c r="B185" s="418"/>
      <c r="C185" s="417"/>
      <c r="D185" s="417"/>
      <c r="E185" s="418"/>
      <c r="F185" s="418"/>
      <c r="G185" s="367"/>
      <c r="H185" s="418"/>
      <c r="I185" s="418"/>
      <c r="J185" s="418"/>
      <c r="K185" s="418"/>
      <c r="L185" s="420"/>
      <c r="M185" s="420"/>
      <c r="N185" s="420"/>
      <c r="O185" s="420"/>
      <c r="P185" s="420"/>
      <c r="Q185" s="420"/>
      <c r="R185" s="420"/>
      <c r="S185" s="420"/>
      <c r="T185" s="420"/>
      <c r="U185" s="420"/>
      <c r="V185" s="420"/>
      <c r="W185" s="420"/>
      <c r="X185" s="420"/>
      <c r="Y185" s="420"/>
      <c r="Z185" s="367"/>
      <c r="AA185" s="420"/>
      <c r="AB185" s="420"/>
      <c r="AC185" s="420"/>
      <c r="AD185" s="420"/>
      <c r="AE185" s="420"/>
      <c r="AF185" s="367"/>
      <c r="AG185" s="420"/>
      <c r="AH185" s="367"/>
      <c r="AI185" s="367"/>
      <c r="AJ185" s="367"/>
      <c r="AK185" s="358"/>
      <c r="AL185" s="358"/>
      <c r="AM185" s="358"/>
      <c r="AN185" s="358"/>
      <c r="AO185" s="358"/>
      <c r="AP185" s="367"/>
      <c r="AQ185" s="367"/>
      <c r="AR185" s="367"/>
    </row>
    <row r="186">
      <c r="A186" s="418"/>
      <c r="B186" s="418"/>
      <c r="C186" s="417"/>
      <c r="D186" s="417"/>
      <c r="E186" s="418"/>
      <c r="F186" s="418"/>
      <c r="G186" s="367"/>
      <c r="H186" s="418"/>
      <c r="I186" s="418"/>
      <c r="J186" s="418"/>
      <c r="K186" s="418"/>
      <c r="L186" s="420"/>
      <c r="M186" s="420"/>
      <c r="N186" s="420"/>
      <c r="O186" s="420"/>
      <c r="P186" s="420"/>
      <c r="Q186" s="420"/>
      <c r="R186" s="420"/>
      <c r="S186" s="420"/>
      <c r="T186" s="420"/>
      <c r="U186" s="420"/>
      <c r="V186" s="420"/>
      <c r="W186" s="420"/>
      <c r="X186" s="420"/>
      <c r="Y186" s="420"/>
      <c r="Z186" s="367"/>
      <c r="AA186" s="420"/>
      <c r="AB186" s="420"/>
      <c r="AC186" s="420"/>
      <c r="AD186" s="420"/>
      <c r="AE186" s="420"/>
      <c r="AF186" s="367"/>
      <c r="AG186" s="420"/>
      <c r="AH186" s="367"/>
      <c r="AI186" s="367"/>
      <c r="AJ186" s="367"/>
      <c r="AK186" s="358"/>
      <c r="AL186" s="358"/>
      <c r="AM186" s="358"/>
      <c r="AN186" s="358"/>
      <c r="AO186" s="358"/>
      <c r="AP186" s="367"/>
      <c r="AQ186" s="367"/>
      <c r="AR186" s="367"/>
    </row>
    <row r="187">
      <c r="A187" s="418"/>
      <c r="B187" s="418"/>
      <c r="C187" s="417"/>
      <c r="D187" s="417"/>
      <c r="E187" s="418"/>
      <c r="F187" s="418"/>
      <c r="G187" s="367"/>
      <c r="H187" s="418"/>
      <c r="I187" s="418"/>
      <c r="J187" s="418"/>
      <c r="K187" s="418"/>
      <c r="L187" s="420"/>
      <c r="M187" s="420"/>
      <c r="N187" s="420"/>
      <c r="O187" s="420"/>
      <c r="P187" s="420"/>
      <c r="Q187" s="420"/>
      <c r="R187" s="420"/>
      <c r="S187" s="420"/>
      <c r="T187" s="420"/>
      <c r="U187" s="420"/>
      <c r="V187" s="420"/>
      <c r="W187" s="420"/>
      <c r="X187" s="420"/>
      <c r="Y187" s="420"/>
      <c r="Z187" s="367"/>
      <c r="AA187" s="420"/>
      <c r="AB187" s="420"/>
      <c r="AC187" s="420"/>
      <c r="AD187" s="420"/>
      <c r="AE187" s="420"/>
      <c r="AF187" s="367"/>
      <c r="AG187" s="420"/>
      <c r="AH187" s="367"/>
      <c r="AI187" s="367"/>
      <c r="AJ187" s="367"/>
      <c r="AK187" s="358"/>
      <c r="AL187" s="358"/>
      <c r="AM187" s="358"/>
      <c r="AN187" s="358"/>
      <c r="AO187" s="358"/>
      <c r="AP187" s="367"/>
      <c r="AQ187" s="367"/>
      <c r="AR187" s="367"/>
    </row>
    <row r="188">
      <c r="A188" s="418"/>
      <c r="B188" s="418"/>
      <c r="C188" s="417"/>
      <c r="D188" s="417"/>
      <c r="E188" s="418"/>
      <c r="F188" s="418"/>
      <c r="G188" s="367"/>
      <c r="H188" s="418"/>
      <c r="I188" s="418"/>
      <c r="J188" s="418"/>
      <c r="K188" s="418"/>
      <c r="L188" s="420"/>
      <c r="M188" s="420"/>
      <c r="N188" s="420"/>
      <c r="O188" s="420"/>
      <c r="P188" s="420"/>
      <c r="Q188" s="420"/>
      <c r="R188" s="420"/>
      <c r="S188" s="420"/>
      <c r="T188" s="420"/>
      <c r="U188" s="420"/>
      <c r="V188" s="420"/>
      <c r="W188" s="420"/>
      <c r="X188" s="420"/>
      <c r="Y188" s="420"/>
      <c r="Z188" s="367"/>
      <c r="AA188" s="420"/>
      <c r="AB188" s="420"/>
      <c r="AC188" s="420"/>
      <c r="AD188" s="420"/>
      <c r="AE188" s="420"/>
      <c r="AF188" s="367"/>
      <c r="AG188" s="420"/>
      <c r="AH188" s="367"/>
      <c r="AI188" s="367"/>
      <c r="AJ188" s="367"/>
      <c r="AK188" s="358"/>
      <c r="AL188" s="358"/>
      <c r="AM188" s="358"/>
      <c r="AN188" s="358"/>
      <c r="AO188" s="358"/>
      <c r="AP188" s="367"/>
      <c r="AQ188" s="367"/>
      <c r="AR188" s="367"/>
    </row>
    <row r="189">
      <c r="A189" s="418"/>
      <c r="B189" s="418"/>
      <c r="C189" s="417"/>
      <c r="D189" s="417"/>
      <c r="E189" s="418"/>
      <c r="F189" s="418"/>
      <c r="G189" s="367"/>
      <c r="H189" s="418"/>
      <c r="I189" s="418"/>
      <c r="J189" s="418"/>
      <c r="K189" s="418"/>
      <c r="L189" s="420"/>
      <c r="M189" s="420"/>
      <c r="N189" s="420"/>
      <c r="O189" s="420"/>
      <c r="P189" s="420"/>
      <c r="Q189" s="420"/>
      <c r="R189" s="420"/>
      <c r="S189" s="420"/>
      <c r="T189" s="420"/>
      <c r="U189" s="420"/>
      <c r="V189" s="420"/>
      <c r="W189" s="420"/>
      <c r="X189" s="420"/>
      <c r="Y189" s="420"/>
      <c r="Z189" s="367"/>
      <c r="AA189" s="420"/>
      <c r="AB189" s="420"/>
      <c r="AC189" s="420"/>
      <c r="AD189" s="420"/>
      <c r="AE189" s="420"/>
      <c r="AF189" s="367"/>
      <c r="AG189" s="420"/>
      <c r="AH189" s="367"/>
      <c r="AI189" s="367"/>
      <c r="AJ189" s="367"/>
      <c r="AK189" s="358"/>
      <c r="AL189" s="358"/>
      <c r="AM189" s="358"/>
      <c r="AN189" s="358"/>
      <c r="AO189" s="358"/>
      <c r="AP189" s="367"/>
      <c r="AQ189" s="367"/>
      <c r="AR189" s="367"/>
    </row>
    <row r="190">
      <c r="A190" s="418"/>
      <c r="B190" s="418"/>
      <c r="C190" s="417"/>
      <c r="D190" s="417"/>
      <c r="E190" s="418"/>
      <c r="F190" s="418"/>
      <c r="G190" s="367"/>
      <c r="H190" s="418"/>
      <c r="I190" s="418"/>
      <c r="J190" s="418"/>
      <c r="K190" s="418"/>
      <c r="L190" s="420"/>
      <c r="M190" s="420"/>
      <c r="N190" s="420"/>
      <c r="O190" s="420"/>
      <c r="P190" s="420"/>
      <c r="Q190" s="420"/>
      <c r="R190" s="420"/>
      <c r="S190" s="420"/>
      <c r="T190" s="420"/>
      <c r="U190" s="420"/>
      <c r="V190" s="420"/>
      <c r="W190" s="420"/>
      <c r="X190" s="420"/>
      <c r="Y190" s="420"/>
      <c r="Z190" s="367"/>
      <c r="AA190" s="420"/>
      <c r="AB190" s="420"/>
      <c r="AC190" s="420"/>
      <c r="AD190" s="420"/>
      <c r="AE190" s="420"/>
      <c r="AF190" s="367"/>
      <c r="AG190" s="420"/>
      <c r="AH190" s="367"/>
      <c r="AI190" s="367"/>
      <c r="AJ190" s="367"/>
      <c r="AK190" s="358"/>
      <c r="AL190" s="358"/>
      <c r="AM190" s="358"/>
      <c r="AN190" s="358"/>
      <c r="AO190" s="358"/>
      <c r="AP190" s="367"/>
      <c r="AQ190" s="367"/>
      <c r="AR190" s="367"/>
    </row>
    <row r="191">
      <c r="A191" s="418"/>
      <c r="B191" s="418"/>
      <c r="C191" s="417"/>
      <c r="D191" s="417"/>
      <c r="E191" s="418"/>
      <c r="F191" s="418"/>
      <c r="G191" s="367"/>
      <c r="H191" s="418"/>
      <c r="I191" s="418"/>
      <c r="J191" s="418"/>
      <c r="K191" s="418"/>
      <c r="L191" s="420"/>
      <c r="M191" s="420"/>
      <c r="N191" s="420"/>
      <c r="O191" s="420"/>
      <c r="P191" s="420"/>
      <c r="Q191" s="420"/>
      <c r="R191" s="420"/>
      <c r="S191" s="420"/>
      <c r="T191" s="420"/>
      <c r="U191" s="420"/>
      <c r="V191" s="420"/>
      <c r="W191" s="420"/>
      <c r="X191" s="420"/>
      <c r="Y191" s="420"/>
      <c r="Z191" s="367"/>
      <c r="AA191" s="420"/>
      <c r="AB191" s="420"/>
      <c r="AC191" s="420"/>
      <c r="AD191" s="420"/>
      <c r="AE191" s="420"/>
      <c r="AF191" s="367"/>
      <c r="AG191" s="420"/>
      <c r="AH191" s="367"/>
      <c r="AI191" s="367"/>
      <c r="AJ191" s="367"/>
      <c r="AK191" s="358"/>
      <c r="AL191" s="358"/>
      <c r="AM191" s="358"/>
      <c r="AN191" s="358"/>
      <c r="AO191" s="358"/>
      <c r="AP191" s="367"/>
      <c r="AQ191" s="367"/>
      <c r="AR191" s="367"/>
    </row>
    <row r="192">
      <c r="A192" s="418"/>
      <c r="B192" s="418"/>
      <c r="C192" s="417"/>
      <c r="D192" s="417"/>
      <c r="E192" s="418"/>
      <c r="F192" s="418"/>
      <c r="G192" s="367"/>
      <c r="H192" s="418"/>
      <c r="I192" s="418"/>
      <c r="J192" s="418"/>
      <c r="K192" s="418"/>
      <c r="L192" s="420"/>
      <c r="M192" s="420"/>
      <c r="N192" s="420"/>
      <c r="O192" s="420"/>
      <c r="P192" s="420"/>
      <c r="Q192" s="420"/>
      <c r="R192" s="420"/>
      <c r="S192" s="420"/>
      <c r="T192" s="420"/>
      <c r="U192" s="420"/>
      <c r="V192" s="420"/>
      <c r="W192" s="420"/>
      <c r="X192" s="420"/>
      <c r="Y192" s="420"/>
      <c r="Z192" s="367"/>
      <c r="AA192" s="420"/>
      <c r="AB192" s="420"/>
      <c r="AC192" s="420"/>
      <c r="AD192" s="420"/>
      <c r="AE192" s="420"/>
      <c r="AF192" s="367"/>
      <c r="AG192" s="420"/>
      <c r="AH192" s="367"/>
      <c r="AI192" s="367"/>
      <c r="AJ192" s="367"/>
      <c r="AK192" s="358"/>
      <c r="AL192" s="358"/>
      <c r="AM192" s="358"/>
      <c r="AN192" s="358"/>
      <c r="AO192" s="358"/>
      <c r="AP192" s="367"/>
      <c r="AQ192" s="367"/>
      <c r="AR192" s="367"/>
    </row>
    <row r="193">
      <c r="A193" s="418"/>
      <c r="B193" s="418"/>
      <c r="C193" s="417"/>
      <c r="D193" s="417"/>
      <c r="E193" s="418"/>
      <c r="F193" s="418"/>
      <c r="G193" s="367"/>
      <c r="H193" s="418"/>
      <c r="I193" s="418"/>
      <c r="J193" s="418"/>
      <c r="K193" s="418"/>
      <c r="L193" s="420"/>
      <c r="M193" s="420"/>
      <c r="N193" s="420"/>
      <c r="O193" s="420"/>
      <c r="P193" s="420"/>
      <c r="Q193" s="420"/>
      <c r="R193" s="420"/>
      <c r="S193" s="420"/>
      <c r="T193" s="420"/>
      <c r="U193" s="420"/>
      <c r="V193" s="420"/>
      <c r="W193" s="420"/>
      <c r="X193" s="420"/>
      <c r="Y193" s="420"/>
      <c r="Z193" s="367"/>
      <c r="AA193" s="420"/>
      <c r="AB193" s="420"/>
      <c r="AC193" s="420"/>
      <c r="AD193" s="420"/>
      <c r="AE193" s="420"/>
      <c r="AF193" s="367"/>
      <c r="AG193" s="420"/>
      <c r="AH193" s="367"/>
      <c r="AI193" s="367"/>
      <c r="AJ193" s="367"/>
      <c r="AK193" s="358"/>
      <c r="AL193" s="358"/>
      <c r="AM193" s="358"/>
      <c r="AN193" s="358"/>
      <c r="AO193" s="358"/>
      <c r="AP193" s="367"/>
      <c r="AQ193" s="367"/>
      <c r="AR193" s="367"/>
    </row>
    <row r="194">
      <c r="A194" s="418"/>
      <c r="B194" s="418"/>
      <c r="C194" s="417"/>
      <c r="D194" s="417"/>
      <c r="E194" s="418"/>
      <c r="F194" s="418"/>
      <c r="G194" s="367"/>
      <c r="H194" s="418"/>
      <c r="I194" s="418"/>
      <c r="J194" s="418"/>
      <c r="K194" s="418"/>
      <c r="L194" s="420"/>
      <c r="M194" s="420"/>
      <c r="N194" s="420"/>
      <c r="O194" s="420"/>
      <c r="P194" s="420"/>
      <c r="Q194" s="420"/>
      <c r="R194" s="420"/>
      <c r="S194" s="420"/>
      <c r="T194" s="420"/>
      <c r="U194" s="420"/>
      <c r="V194" s="420"/>
      <c r="W194" s="420"/>
      <c r="X194" s="420"/>
      <c r="Y194" s="420"/>
      <c r="Z194" s="367"/>
      <c r="AA194" s="420"/>
      <c r="AB194" s="420"/>
      <c r="AC194" s="420"/>
      <c r="AD194" s="420"/>
      <c r="AE194" s="420"/>
      <c r="AF194" s="367"/>
      <c r="AG194" s="420"/>
      <c r="AH194" s="367"/>
      <c r="AI194" s="367"/>
      <c r="AJ194" s="367"/>
      <c r="AK194" s="358"/>
      <c r="AL194" s="358"/>
      <c r="AM194" s="358"/>
      <c r="AN194" s="358"/>
      <c r="AO194" s="358"/>
      <c r="AP194" s="367"/>
      <c r="AQ194" s="367"/>
      <c r="AR194" s="367"/>
    </row>
    <row r="195">
      <c r="A195" s="418"/>
      <c r="B195" s="418"/>
      <c r="C195" s="417"/>
      <c r="D195" s="417"/>
      <c r="E195" s="418"/>
      <c r="F195" s="418"/>
      <c r="G195" s="367"/>
      <c r="H195" s="418"/>
      <c r="I195" s="418"/>
      <c r="J195" s="418"/>
      <c r="K195" s="418"/>
      <c r="L195" s="420"/>
      <c r="M195" s="420"/>
      <c r="N195" s="420"/>
      <c r="O195" s="420"/>
      <c r="P195" s="420"/>
      <c r="Q195" s="420"/>
      <c r="R195" s="420"/>
      <c r="S195" s="420"/>
      <c r="T195" s="420"/>
      <c r="U195" s="420"/>
      <c r="V195" s="420"/>
      <c r="W195" s="420"/>
      <c r="X195" s="420"/>
      <c r="Y195" s="420"/>
      <c r="Z195" s="367"/>
      <c r="AA195" s="420"/>
      <c r="AB195" s="420"/>
      <c r="AC195" s="420"/>
      <c r="AD195" s="420"/>
      <c r="AE195" s="420"/>
      <c r="AF195" s="367"/>
      <c r="AG195" s="420"/>
      <c r="AH195" s="367"/>
      <c r="AI195" s="367"/>
      <c r="AJ195" s="367"/>
      <c r="AK195" s="358"/>
      <c r="AL195" s="358"/>
      <c r="AM195" s="358"/>
      <c r="AN195" s="358"/>
      <c r="AO195" s="358"/>
      <c r="AP195" s="367"/>
      <c r="AQ195" s="367"/>
      <c r="AR195" s="367"/>
    </row>
    <row r="196">
      <c r="A196" s="418"/>
      <c r="B196" s="418"/>
      <c r="C196" s="417"/>
      <c r="D196" s="417"/>
      <c r="E196" s="418"/>
      <c r="F196" s="418"/>
      <c r="G196" s="367"/>
      <c r="H196" s="418"/>
      <c r="I196" s="418"/>
      <c r="J196" s="418"/>
      <c r="K196" s="418"/>
      <c r="L196" s="420"/>
      <c r="M196" s="420"/>
      <c r="N196" s="420"/>
      <c r="O196" s="420"/>
      <c r="P196" s="420"/>
      <c r="Q196" s="420"/>
      <c r="R196" s="420"/>
      <c r="S196" s="420"/>
      <c r="T196" s="420"/>
      <c r="U196" s="420"/>
      <c r="V196" s="420"/>
      <c r="W196" s="420"/>
      <c r="X196" s="420"/>
      <c r="Y196" s="420"/>
      <c r="Z196" s="367"/>
      <c r="AA196" s="420"/>
      <c r="AB196" s="420"/>
      <c r="AC196" s="420"/>
      <c r="AD196" s="420"/>
      <c r="AE196" s="420"/>
      <c r="AF196" s="367"/>
      <c r="AG196" s="420"/>
      <c r="AH196" s="367"/>
      <c r="AI196" s="367"/>
      <c r="AJ196" s="367"/>
      <c r="AK196" s="358"/>
      <c r="AL196" s="358"/>
      <c r="AM196" s="358"/>
      <c r="AN196" s="358"/>
      <c r="AO196" s="358"/>
      <c r="AP196" s="367"/>
      <c r="AQ196" s="367"/>
      <c r="AR196" s="367"/>
    </row>
    <row r="197">
      <c r="A197" s="418"/>
      <c r="B197" s="418"/>
      <c r="C197" s="417"/>
      <c r="D197" s="417"/>
      <c r="E197" s="418"/>
      <c r="F197" s="418"/>
      <c r="G197" s="367"/>
      <c r="H197" s="418"/>
      <c r="I197" s="418"/>
      <c r="J197" s="418"/>
      <c r="K197" s="418"/>
      <c r="L197" s="420"/>
      <c r="M197" s="420"/>
      <c r="N197" s="420"/>
      <c r="O197" s="420"/>
      <c r="P197" s="420"/>
      <c r="Q197" s="420"/>
      <c r="R197" s="420"/>
      <c r="S197" s="420"/>
      <c r="T197" s="420"/>
      <c r="U197" s="420"/>
      <c r="V197" s="420"/>
      <c r="W197" s="420"/>
      <c r="X197" s="420"/>
      <c r="Y197" s="420"/>
      <c r="Z197" s="367"/>
      <c r="AA197" s="420"/>
      <c r="AB197" s="420"/>
      <c r="AC197" s="420"/>
      <c r="AD197" s="420"/>
      <c r="AE197" s="420"/>
      <c r="AF197" s="367"/>
      <c r="AG197" s="420"/>
      <c r="AH197" s="367"/>
      <c r="AI197" s="367"/>
      <c r="AJ197" s="367"/>
      <c r="AK197" s="358"/>
      <c r="AL197" s="358"/>
      <c r="AM197" s="358"/>
      <c r="AN197" s="358"/>
      <c r="AO197" s="358"/>
      <c r="AP197" s="367"/>
      <c r="AQ197" s="367"/>
      <c r="AR197" s="367"/>
    </row>
    <row r="198">
      <c r="A198" s="418"/>
      <c r="B198" s="418"/>
      <c r="C198" s="417"/>
      <c r="D198" s="417"/>
      <c r="E198" s="418"/>
      <c r="F198" s="418"/>
      <c r="G198" s="367"/>
      <c r="H198" s="418"/>
      <c r="I198" s="418"/>
      <c r="J198" s="418"/>
      <c r="K198" s="418"/>
      <c r="L198" s="420"/>
      <c r="M198" s="420"/>
      <c r="N198" s="420"/>
      <c r="O198" s="420"/>
      <c r="P198" s="420"/>
      <c r="Q198" s="420"/>
      <c r="R198" s="420"/>
      <c r="S198" s="420"/>
      <c r="T198" s="420"/>
      <c r="U198" s="420"/>
      <c r="V198" s="420"/>
      <c r="W198" s="420"/>
      <c r="X198" s="420"/>
      <c r="Y198" s="420"/>
      <c r="Z198" s="367"/>
      <c r="AA198" s="420"/>
      <c r="AB198" s="420"/>
      <c r="AC198" s="420"/>
      <c r="AD198" s="420"/>
      <c r="AE198" s="420"/>
      <c r="AF198" s="367"/>
      <c r="AG198" s="420"/>
      <c r="AH198" s="367"/>
      <c r="AI198" s="367"/>
      <c r="AJ198" s="367"/>
      <c r="AK198" s="358"/>
      <c r="AL198" s="358"/>
      <c r="AM198" s="358"/>
      <c r="AN198" s="358"/>
      <c r="AO198" s="358"/>
      <c r="AP198" s="367"/>
      <c r="AQ198" s="367"/>
      <c r="AR198" s="367"/>
    </row>
    <row r="199">
      <c r="A199" s="418"/>
      <c r="B199" s="418"/>
      <c r="C199" s="417"/>
      <c r="D199" s="417"/>
      <c r="E199" s="418"/>
      <c r="F199" s="418"/>
      <c r="G199" s="367"/>
      <c r="H199" s="418"/>
      <c r="I199" s="418"/>
      <c r="J199" s="418"/>
      <c r="K199" s="418"/>
      <c r="L199" s="420"/>
      <c r="M199" s="420"/>
      <c r="N199" s="420"/>
      <c r="O199" s="420"/>
      <c r="P199" s="420"/>
      <c r="Q199" s="420"/>
      <c r="R199" s="420"/>
      <c r="S199" s="420"/>
      <c r="T199" s="420"/>
      <c r="U199" s="420"/>
      <c r="V199" s="420"/>
      <c r="W199" s="420"/>
      <c r="X199" s="420"/>
      <c r="Y199" s="420"/>
      <c r="Z199" s="367"/>
      <c r="AA199" s="420"/>
      <c r="AB199" s="420"/>
      <c r="AC199" s="420"/>
      <c r="AD199" s="420"/>
      <c r="AE199" s="420"/>
      <c r="AF199" s="367"/>
      <c r="AG199" s="420"/>
      <c r="AH199" s="367"/>
      <c r="AI199" s="367"/>
      <c r="AJ199" s="367"/>
      <c r="AK199" s="358"/>
      <c r="AL199" s="358"/>
      <c r="AM199" s="358"/>
      <c r="AN199" s="358"/>
      <c r="AO199" s="358"/>
      <c r="AP199" s="367"/>
      <c r="AQ199" s="367"/>
      <c r="AR199" s="367"/>
    </row>
    <row r="200">
      <c r="A200" s="418"/>
      <c r="B200" s="418"/>
      <c r="C200" s="417"/>
      <c r="D200" s="417"/>
      <c r="E200" s="418"/>
      <c r="F200" s="418"/>
      <c r="G200" s="367"/>
      <c r="H200" s="418"/>
      <c r="I200" s="418"/>
      <c r="J200" s="418"/>
      <c r="K200" s="418"/>
      <c r="L200" s="420"/>
      <c r="M200" s="420"/>
      <c r="N200" s="420"/>
      <c r="O200" s="420"/>
      <c r="P200" s="420"/>
      <c r="Q200" s="420"/>
      <c r="R200" s="420"/>
      <c r="S200" s="420"/>
      <c r="T200" s="420"/>
      <c r="U200" s="420"/>
      <c r="V200" s="420"/>
      <c r="W200" s="420"/>
      <c r="X200" s="420"/>
      <c r="Y200" s="420"/>
      <c r="Z200" s="367"/>
      <c r="AA200" s="420"/>
      <c r="AB200" s="420"/>
      <c r="AC200" s="420"/>
      <c r="AD200" s="420"/>
      <c r="AE200" s="420"/>
      <c r="AF200" s="367"/>
      <c r="AG200" s="420"/>
      <c r="AH200" s="367"/>
      <c r="AI200" s="367"/>
      <c r="AJ200" s="367"/>
      <c r="AK200" s="358"/>
      <c r="AL200" s="358"/>
      <c r="AM200" s="358"/>
      <c r="AN200" s="358"/>
      <c r="AO200" s="358"/>
      <c r="AP200" s="367"/>
      <c r="AQ200" s="367"/>
      <c r="AR200" s="367"/>
    </row>
    <row r="201">
      <c r="A201" s="418"/>
      <c r="B201" s="418"/>
      <c r="C201" s="417"/>
      <c r="D201" s="417"/>
      <c r="E201" s="418"/>
      <c r="F201" s="418"/>
      <c r="G201" s="367"/>
      <c r="H201" s="418"/>
      <c r="I201" s="418"/>
      <c r="J201" s="418"/>
      <c r="K201" s="418"/>
      <c r="L201" s="420"/>
      <c r="M201" s="420"/>
      <c r="N201" s="420"/>
      <c r="O201" s="420"/>
      <c r="P201" s="420"/>
      <c r="Q201" s="420"/>
      <c r="R201" s="420"/>
      <c r="S201" s="420"/>
      <c r="T201" s="420"/>
      <c r="U201" s="420"/>
      <c r="V201" s="420"/>
      <c r="W201" s="420"/>
      <c r="X201" s="420"/>
      <c r="Y201" s="420"/>
      <c r="Z201" s="367"/>
      <c r="AA201" s="420"/>
      <c r="AB201" s="420"/>
      <c r="AC201" s="420"/>
      <c r="AD201" s="420"/>
      <c r="AE201" s="420"/>
      <c r="AF201" s="367"/>
      <c r="AG201" s="420"/>
      <c r="AH201" s="367"/>
      <c r="AI201" s="367"/>
      <c r="AJ201" s="367"/>
      <c r="AK201" s="358"/>
      <c r="AL201" s="358"/>
      <c r="AM201" s="358"/>
      <c r="AN201" s="358"/>
      <c r="AO201" s="358"/>
      <c r="AP201" s="367"/>
      <c r="AQ201" s="367"/>
      <c r="AR201" s="367"/>
    </row>
    <row r="202">
      <c r="A202" s="418"/>
      <c r="B202" s="418"/>
      <c r="C202" s="417"/>
      <c r="D202" s="417"/>
      <c r="E202" s="418"/>
      <c r="F202" s="418"/>
      <c r="G202" s="367"/>
      <c r="H202" s="418"/>
      <c r="I202" s="418"/>
      <c r="J202" s="418"/>
      <c r="K202" s="418"/>
      <c r="L202" s="420"/>
      <c r="M202" s="420"/>
      <c r="N202" s="420"/>
      <c r="O202" s="420"/>
      <c r="P202" s="420"/>
      <c r="Q202" s="420"/>
      <c r="R202" s="420"/>
      <c r="S202" s="420"/>
      <c r="T202" s="420"/>
      <c r="U202" s="420"/>
      <c r="V202" s="420"/>
      <c r="W202" s="420"/>
      <c r="X202" s="420"/>
      <c r="Y202" s="420"/>
      <c r="Z202" s="367"/>
      <c r="AA202" s="420"/>
      <c r="AB202" s="420"/>
      <c r="AC202" s="420"/>
      <c r="AD202" s="420"/>
      <c r="AE202" s="420"/>
      <c r="AF202" s="367"/>
      <c r="AG202" s="420"/>
      <c r="AH202" s="367"/>
      <c r="AI202" s="367"/>
      <c r="AJ202" s="367"/>
      <c r="AK202" s="358"/>
      <c r="AL202" s="358"/>
      <c r="AM202" s="358"/>
      <c r="AN202" s="358"/>
      <c r="AO202" s="358"/>
      <c r="AP202" s="367"/>
      <c r="AQ202" s="367"/>
      <c r="AR202" s="367"/>
    </row>
    <row r="203">
      <c r="A203" s="418"/>
      <c r="B203" s="418"/>
      <c r="C203" s="417"/>
      <c r="D203" s="417"/>
      <c r="E203" s="418"/>
      <c r="F203" s="418"/>
      <c r="G203" s="367"/>
      <c r="H203" s="418"/>
      <c r="I203" s="418"/>
      <c r="J203" s="418"/>
      <c r="K203" s="418"/>
      <c r="L203" s="420"/>
      <c r="M203" s="420"/>
      <c r="N203" s="420"/>
      <c r="O203" s="420"/>
      <c r="P203" s="420"/>
      <c r="Q203" s="420"/>
      <c r="R203" s="420"/>
      <c r="S203" s="420"/>
      <c r="T203" s="420"/>
      <c r="U203" s="420"/>
      <c r="V203" s="420"/>
      <c r="W203" s="420"/>
      <c r="X203" s="420"/>
      <c r="Y203" s="420"/>
      <c r="Z203" s="367"/>
      <c r="AA203" s="420"/>
      <c r="AB203" s="420"/>
      <c r="AC203" s="420"/>
      <c r="AD203" s="420"/>
      <c r="AE203" s="420"/>
      <c r="AF203" s="367"/>
      <c r="AG203" s="420"/>
      <c r="AH203" s="367"/>
      <c r="AI203" s="367"/>
      <c r="AJ203" s="367"/>
      <c r="AK203" s="358"/>
      <c r="AL203" s="358"/>
      <c r="AM203" s="358"/>
      <c r="AN203" s="358"/>
      <c r="AO203" s="358"/>
      <c r="AP203" s="367"/>
      <c r="AQ203" s="367"/>
      <c r="AR203" s="367"/>
    </row>
    <row r="204">
      <c r="A204" s="418"/>
      <c r="B204" s="418"/>
      <c r="C204" s="417"/>
      <c r="D204" s="417"/>
      <c r="E204" s="418"/>
      <c r="F204" s="418"/>
      <c r="G204" s="367"/>
      <c r="H204" s="418"/>
      <c r="I204" s="418"/>
      <c r="J204" s="418"/>
      <c r="K204" s="418"/>
      <c r="L204" s="420"/>
      <c r="M204" s="420"/>
      <c r="N204" s="420"/>
      <c r="O204" s="420"/>
      <c r="P204" s="420"/>
      <c r="Q204" s="420"/>
      <c r="R204" s="420"/>
      <c r="S204" s="420"/>
      <c r="T204" s="420"/>
      <c r="U204" s="420"/>
      <c r="V204" s="420"/>
      <c r="W204" s="420"/>
      <c r="X204" s="420"/>
      <c r="Y204" s="420"/>
      <c r="Z204" s="367"/>
      <c r="AA204" s="420"/>
      <c r="AB204" s="420"/>
      <c r="AC204" s="420"/>
      <c r="AD204" s="420"/>
      <c r="AE204" s="420"/>
      <c r="AF204" s="367"/>
      <c r="AG204" s="420"/>
      <c r="AH204" s="367"/>
      <c r="AI204" s="367"/>
      <c r="AJ204" s="367"/>
      <c r="AK204" s="358"/>
      <c r="AL204" s="358"/>
      <c r="AM204" s="358"/>
      <c r="AN204" s="358"/>
      <c r="AO204" s="358"/>
      <c r="AP204" s="367"/>
      <c r="AQ204" s="367"/>
      <c r="AR204" s="367"/>
    </row>
    <row r="205">
      <c r="A205" s="418"/>
      <c r="B205" s="418"/>
      <c r="C205" s="417"/>
      <c r="D205" s="417"/>
      <c r="E205" s="418"/>
      <c r="F205" s="418"/>
      <c r="G205" s="367"/>
      <c r="H205" s="418"/>
      <c r="I205" s="418"/>
      <c r="J205" s="418"/>
      <c r="K205" s="418"/>
      <c r="L205" s="420"/>
      <c r="M205" s="420"/>
      <c r="N205" s="420"/>
      <c r="O205" s="420"/>
      <c r="P205" s="420"/>
      <c r="Q205" s="420"/>
      <c r="R205" s="420"/>
      <c r="S205" s="420"/>
      <c r="T205" s="420"/>
      <c r="U205" s="420"/>
      <c r="V205" s="420"/>
      <c r="W205" s="420"/>
      <c r="X205" s="420"/>
      <c r="Y205" s="420"/>
      <c r="Z205" s="367"/>
      <c r="AA205" s="420"/>
      <c r="AB205" s="420"/>
      <c r="AC205" s="420"/>
      <c r="AD205" s="420"/>
      <c r="AE205" s="420"/>
      <c r="AF205" s="367"/>
      <c r="AG205" s="420"/>
      <c r="AH205" s="367"/>
      <c r="AI205" s="367"/>
      <c r="AJ205" s="367"/>
      <c r="AK205" s="358"/>
      <c r="AL205" s="358"/>
      <c r="AM205" s="358"/>
      <c r="AN205" s="358"/>
      <c r="AO205" s="358"/>
      <c r="AP205" s="367"/>
      <c r="AQ205" s="367"/>
      <c r="AR205" s="367"/>
    </row>
    <row r="206">
      <c r="A206" s="418"/>
      <c r="B206" s="418"/>
      <c r="C206" s="417"/>
      <c r="D206" s="417"/>
      <c r="E206" s="418"/>
      <c r="F206" s="418"/>
      <c r="G206" s="367"/>
      <c r="H206" s="418"/>
      <c r="I206" s="418"/>
      <c r="J206" s="418"/>
      <c r="K206" s="418"/>
      <c r="L206" s="420"/>
      <c r="M206" s="420"/>
      <c r="N206" s="420"/>
      <c r="O206" s="420"/>
      <c r="P206" s="420"/>
      <c r="Q206" s="420"/>
      <c r="R206" s="420"/>
      <c r="S206" s="420"/>
      <c r="T206" s="420"/>
      <c r="U206" s="420"/>
      <c r="V206" s="420"/>
      <c r="W206" s="420"/>
      <c r="X206" s="420"/>
      <c r="Y206" s="420"/>
      <c r="Z206" s="367"/>
      <c r="AA206" s="420"/>
      <c r="AB206" s="420"/>
      <c r="AC206" s="420"/>
      <c r="AD206" s="420"/>
      <c r="AE206" s="420"/>
      <c r="AF206" s="367"/>
      <c r="AG206" s="420"/>
      <c r="AH206" s="367"/>
      <c r="AI206" s="367"/>
      <c r="AJ206" s="367"/>
      <c r="AK206" s="358"/>
      <c r="AL206" s="358"/>
      <c r="AM206" s="358"/>
      <c r="AN206" s="358"/>
      <c r="AO206" s="358"/>
      <c r="AP206" s="367"/>
      <c r="AQ206" s="367"/>
      <c r="AR206" s="367"/>
    </row>
    <row r="207">
      <c r="A207" s="418"/>
      <c r="B207" s="418"/>
      <c r="C207" s="417"/>
      <c r="D207" s="417"/>
      <c r="E207" s="418"/>
      <c r="F207" s="418"/>
      <c r="G207" s="367"/>
      <c r="H207" s="418"/>
      <c r="I207" s="418"/>
      <c r="J207" s="418"/>
      <c r="K207" s="418"/>
      <c r="L207" s="420"/>
      <c r="M207" s="420"/>
      <c r="N207" s="420"/>
      <c r="O207" s="420"/>
      <c r="P207" s="420"/>
      <c r="Q207" s="420"/>
      <c r="R207" s="420"/>
      <c r="S207" s="420"/>
      <c r="T207" s="420"/>
      <c r="U207" s="420"/>
      <c r="V207" s="420"/>
      <c r="W207" s="420"/>
      <c r="X207" s="420"/>
      <c r="Y207" s="420"/>
      <c r="Z207" s="367"/>
      <c r="AA207" s="420"/>
      <c r="AB207" s="420"/>
      <c r="AC207" s="420"/>
      <c r="AD207" s="420"/>
      <c r="AE207" s="420"/>
      <c r="AF207" s="367"/>
      <c r="AG207" s="420"/>
      <c r="AH207" s="367"/>
      <c r="AI207" s="367"/>
      <c r="AJ207" s="367"/>
      <c r="AK207" s="358"/>
      <c r="AL207" s="358"/>
      <c r="AM207" s="358"/>
      <c r="AN207" s="358"/>
      <c r="AO207" s="358"/>
      <c r="AP207" s="367"/>
      <c r="AQ207" s="367"/>
      <c r="AR207" s="367"/>
    </row>
    <row r="208">
      <c r="A208" s="418"/>
      <c r="B208" s="418"/>
      <c r="C208" s="417"/>
      <c r="D208" s="417"/>
      <c r="E208" s="418"/>
      <c r="F208" s="418"/>
      <c r="G208" s="367"/>
      <c r="H208" s="418"/>
      <c r="I208" s="418"/>
      <c r="J208" s="418"/>
      <c r="K208" s="418"/>
      <c r="L208" s="420"/>
      <c r="M208" s="420"/>
      <c r="N208" s="420"/>
      <c r="O208" s="420"/>
      <c r="P208" s="420"/>
      <c r="Q208" s="420"/>
      <c r="R208" s="420"/>
      <c r="S208" s="420"/>
      <c r="T208" s="420"/>
      <c r="U208" s="420"/>
      <c r="V208" s="420"/>
      <c r="W208" s="420"/>
      <c r="X208" s="420"/>
      <c r="Y208" s="420"/>
      <c r="Z208" s="367"/>
      <c r="AA208" s="420"/>
      <c r="AB208" s="420"/>
      <c r="AC208" s="420"/>
      <c r="AD208" s="420"/>
      <c r="AE208" s="420"/>
      <c r="AF208" s="367"/>
      <c r="AG208" s="420"/>
      <c r="AH208" s="367"/>
      <c r="AI208" s="367"/>
      <c r="AJ208" s="367"/>
      <c r="AK208" s="358"/>
      <c r="AL208" s="358"/>
      <c r="AM208" s="358"/>
      <c r="AN208" s="358"/>
      <c r="AO208" s="358"/>
      <c r="AP208" s="367"/>
      <c r="AQ208" s="367"/>
      <c r="AR208" s="367"/>
    </row>
    <row r="209">
      <c r="A209" s="418"/>
      <c r="B209" s="418"/>
      <c r="C209" s="417"/>
      <c r="D209" s="417"/>
      <c r="E209" s="418"/>
      <c r="F209" s="418"/>
      <c r="G209" s="367"/>
      <c r="H209" s="418"/>
      <c r="I209" s="418"/>
      <c r="J209" s="418"/>
      <c r="K209" s="418"/>
      <c r="L209" s="420"/>
      <c r="M209" s="420"/>
      <c r="N209" s="420"/>
      <c r="O209" s="420"/>
      <c r="P209" s="420"/>
      <c r="Q209" s="420"/>
      <c r="R209" s="420"/>
      <c r="S209" s="420"/>
      <c r="T209" s="420"/>
      <c r="U209" s="420"/>
      <c r="V209" s="420"/>
      <c r="W209" s="420"/>
      <c r="X209" s="420"/>
      <c r="Y209" s="420"/>
      <c r="Z209" s="367"/>
      <c r="AA209" s="420"/>
      <c r="AB209" s="420"/>
      <c r="AC209" s="420"/>
      <c r="AD209" s="420"/>
      <c r="AE209" s="420"/>
      <c r="AF209" s="367"/>
      <c r="AG209" s="420"/>
      <c r="AH209" s="367"/>
      <c r="AI209" s="367"/>
      <c r="AJ209" s="367"/>
      <c r="AK209" s="358"/>
      <c r="AL209" s="358"/>
      <c r="AM209" s="358"/>
      <c r="AN209" s="358"/>
      <c r="AO209" s="358"/>
      <c r="AP209" s="367"/>
      <c r="AQ209" s="367"/>
      <c r="AR209" s="367"/>
    </row>
    <row r="210">
      <c r="A210" s="418"/>
      <c r="B210" s="418"/>
      <c r="C210" s="417"/>
      <c r="D210" s="417"/>
      <c r="E210" s="418"/>
      <c r="F210" s="418"/>
      <c r="G210" s="367"/>
      <c r="H210" s="418"/>
      <c r="I210" s="418"/>
      <c r="J210" s="418"/>
      <c r="K210" s="418"/>
      <c r="L210" s="420"/>
      <c r="M210" s="420"/>
      <c r="N210" s="420"/>
      <c r="O210" s="420"/>
      <c r="P210" s="420"/>
      <c r="Q210" s="420"/>
      <c r="R210" s="420"/>
      <c r="S210" s="420"/>
      <c r="T210" s="420"/>
      <c r="U210" s="420"/>
      <c r="V210" s="420"/>
      <c r="W210" s="420"/>
      <c r="X210" s="420"/>
      <c r="Y210" s="420"/>
      <c r="Z210" s="367"/>
      <c r="AA210" s="420"/>
      <c r="AB210" s="420"/>
      <c r="AC210" s="420"/>
      <c r="AD210" s="420"/>
      <c r="AE210" s="420"/>
      <c r="AF210" s="367"/>
      <c r="AG210" s="420"/>
      <c r="AH210" s="367"/>
      <c r="AI210" s="367"/>
      <c r="AJ210" s="367"/>
      <c r="AK210" s="358"/>
      <c r="AL210" s="358"/>
      <c r="AM210" s="358"/>
      <c r="AN210" s="358"/>
      <c r="AO210" s="358"/>
      <c r="AP210" s="367"/>
      <c r="AQ210" s="367"/>
      <c r="AR210" s="367"/>
    </row>
    <row r="211">
      <c r="A211" s="418"/>
      <c r="B211" s="418"/>
      <c r="C211" s="417"/>
      <c r="D211" s="417"/>
      <c r="E211" s="418"/>
      <c r="F211" s="418"/>
      <c r="G211" s="367"/>
      <c r="H211" s="418"/>
      <c r="I211" s="418"/>
      <c r="J211" s="418"/>
      <c r="K211" s="418"/>
      <c r="L211" s="420"/>
      <c r="M211" s="420"/>
      <c r="N211" s="420"/>
      <c r="O211" s="420"/>
      <c r="P211" s="420"/>
      <c r="Q211" s="420"/>
      <c r="R211" s="420"/>
      <c r="S211" s="420"/>
      <c r="T211" s="420"/>
      <c r="U211" s="420"/>
      <c r="V211" s="420"/>
      <c r="W211" s="420"/>
      <c r="X211" s="420"/>
      <c r="Y211" s="420"/>
      <c r="Z211" s="367"/>
      <c r="AA211" s="420"/>
      <c r="AB211" s="420"/>
      <c r="AC211" s="420"/>
      <c r="AD211" s="420"/>
      <c r="AE211" s="420"/>
      <c r="AF211" s="367"/>
      <c r="AG211" s="420"/>
      <c r="AH211" s="367"/>
      <c r="AI211" s="367"/>
      <c r="AJ211" s="367"/>
      <c r="AK211" s="358"/>
      <c r="AL211" s="358"/>
      <c r="AM211" s="358"/>
      <c r="AN211" s="358"/>
      <c r="AO211" s="358"/>
      <c r="AP211" s="367"/>
      <c r="AQ211" s="367"/>
      <c r="AR211" s="367"/>
    </row>
    <row r="212">
      <c r="A212" s="418"/>
      <c r="B212" s="418"/>
      <c r="C212" s="417"/>
      <c r="D212" s="417"/>
      <c r="E212" s="418"/>
      <c r="F212" s="418"/>
      <c r="G212" s="367"/>
      <c r="H212" s="418"/>
      <c r="I212" s="418"/>
      <c r="J212" s="418"/>
      <c r="K212" s="418"/>
      <c r="L212" s="420"/>
      <c r="M212" s="420"/>
      <c r="N212" s="420"/>
      <c r="O212" s="420"/>
      <c r="P212" s="420"/>
      <c r="Q212" s="420"/>
      <c r="R212" s="420"/>
      <c r="S212" s="420"/>
      <c r="T212" s="420"/>
      <c r="U212" s="420"/>
      <c r="V212" s="420"/>
      <c r="W212" s="420"/>
      <c r="X212" s="420"/>
      <c r="Y212" s="420"/>
      <c r="Z212" s="367"/>
      <c r="AA212" s="420"/>
      <c r="AB212" s="420"/>
      <c r="AC212" s="420"/>
      <c r="AD212" s="420"/>
      <c r="AE212" s="420"/>
      <c r="AF212" s="367"/>
      <c r="AG212" s="420"/>
      <c r="AH212" s="367"/>
      <c r="AI212" s="367"/>
      <c r="AJ212" s="367"/>
      <c r="AK212" s="358"/>
      <c r="AL212" s="358"/>
      <c r="AM212" s="358"/>
      <c r="AN212" s="358"/>
      <c r="AO212" s="358"/>
      <c r="AP212" s="367"/>
      <c r="AQ212" s="367"/>
      <c r="AR212" s="367"/>
    </row>
    <row r="213">
      <c r="A213" s="418"/>
      <c r="B213" s="418"/>
      <c r="C213" s="417"/>
      <c r="D213" s="417"/>
      <c r="E213" s="418"/>
      <c r="F213" s="418"/>
      <c r="G213" s="367"/>
      <c r="H213" s="418"/>
      <c r="I213" s="418"/>
      <c r="J213" s="418"/>
      <c r="K213" s="418"/>
      <c r="L213" s="420"/>
      <c r="M213" s="420"/>
      <c r="N213" s="420"/>
      <c r="O213" s="420"/>
      <c r="P213" s="420"/>
      <c r="Q213" s="420"/>
      <c r="R213" s="420"/>
      <c r="S213" s="420"/>
      <c r="T213" s="420"/>
      <c r="U213" s="420"/>
      <c r="V213" s="420"/>
      <c r="W213" s="420"/>
      <c r="X213" s="420"/>
      <c r="Y213" s="420"/>
      <c r="Z213" s="367"/>
      <c r="AA213" s="420"/>
      <c r="AB213" s="420"/>
      <c r="AC213" s="420"/>
      <c r="AD213" s="420"/>
      <c r="AE213" s="420"/>
      <c r="AF213" s="367"/>
      <c r="AG213" s="420"/>
      <c r="AH213" s="367"/>
      <c r="AI213" s="367"/>
      <c r="AJ213" s="367"/>
      <c r="AK213" s="358"/>
      <c r="AL213" s="358"/>
      <c r="AM213" s="358"/>
      <c r="AN213" s="358"/>
      <c r="AO213" s="358"/>
      <c r="AP213" s="367"/>
      <c r="AQ213" s="367"/>
      <c r="AR213" s="367"/>
    </row>
    <row r="214">
      <c r="A214" s="418"/>
      <c r="B214" s="418"/>
      <c r="C214" s="417"/>
      <c r="D214" s="417"/>
      <c r="E214" s="418"/>
      <c r="F214" s="418"/>
      <c r="G214" s="367"/>
      <c r="H214" s="418"/>
      <c r="I214" s="418"/>
      <c r="J214" s="418"/>
      <c r="K214" s="418"/>
      <c r="L214" s="420"/>
      <c r="M214" s="420"/>
      <c r="N214" s="420"/>
      <c r="O214" s="420"/>
      <c r="P214" s="420"/>
      <c r="Q214" s="420"/>
      <c r="R214" s="420"/>
      <c r="S214" s="420"/>
      <c r="T214" s="420"/>
      <c r="U214" s="420"/>
      <c r="V214" s="420"/>
      <c r="W214" s="420"/>
      <c r="X214" s="420"/>
      <c r="Y214" s="420"/>
      <c r="Z214" s="367"/>
      <c r="AA214" s="420"/>
      <c r="AB214" s="420"/>
      <c r="AC214" s="420"/>
      <c r="AD214" s="420"/>
      <c r="AE214" s="420"/>
      <c r="AF214" s="367"/>
      <c r="AG214" s="420"/>
      <c r="AH214" s="367"/>
      <c r="AI214" s="367"/>
      <c r="AJ214" s="367"/>
      <c r="AK214" s="358"/>
      <c r="AL214" s="358"/>
      <c r="AM214" s="358"/>
      <c r="AN214" s="358"/>
      <c r="AO214" s="358"/>
      <c r="AP214" s="367"/>
      <c r="AQ214" s="367"/>
      <c r="AR214" s="367"/>
    </row>
    <row r="215">
      <c r="A215" s="418"/>
      <c r="B215" s="418"/>
      <c r="C215" s="417"/>
      <c r="D215" s="417"/>
      <c r="E215" s="418"/>
      <c r="F215" s="418"/>
      <c r="G215" s="367"/>
      <c r="H215" s="418"/>
      <c r="I215" s="418"/>
      <c r="J215" s="418"/>
      <c r="K215" s="418"/>
      <c r="L215" s="420"/>
      <c r="M215" s="420"/>
      <c r="N215" s="420"/>
      <c r="O215" s="420"/>
      <c r="P215" s="420"/>
      <c r="Q215" s="420"/>
      <c r="R215" s="420"/>
      <c r="S215" s="420"/>
      <c r="T215" s="420"/>
      <c r="U215" s="420"/>
      <c r="V215" s="420"/>
      <c r="W215" s="420"/>
      <c r="X215" s="420"/>
      <c r="Y215" s="420"/>
      <c r="Z215" s="367"/>
      <c r="AA215" s="420"/>
      <c r="AB215" s="420"/>
      <c r="AC215" s="420"/>
      <c r="AD215" s="420"/>
      <c r="AE215" s="420"/>
      <c r="AF215" s="367"/>
      <c r="AG215" s="420"/>
      <c r="AH215" s="367"/>
      <c r="AI215" s="367"/>
      <c r="AJ215" s="367"/>
      <c r="AK215" s="358"/>
      <c r="AL215" s="358"/>
      <c r="AM215" s="358"/>
      <c r="AN215" s="358"/>
      <c r="AO215" s="358"/>
      <c r="AP215" s="367"/>
      <c r="AQ215" s="367"/>
      <c r="AR215" s="367"/>
    </row>
    <row r="216">
      <c r="A216" s="418"/>
      <c r="B216" s="418"/>
      <c r="C216" s="417"/>
      <c r="D216" s="417"/>
      <c r="E216" s="418"/>
      <c r="F216" s="418"/>
      <c r="G216" s="367"/>
      <c r="H216" s="418"/>
      <c r="I216" s="418"/>
      <c r="J216" s="418"/>
      <c r="K216" s="418"/>
      <c r="L216" s="420"/>
      <c r="M216" s="420"/>
      <c r="N216" s="420"/>
      <c r="O216" s="420"/>
      <c r="P216" s="420"/>
      <c r="Q216" s="420"/>
      <c r="R216" s="420"/>
      <c r="S216" s="420"/>
      <c r="T216" s="420"/>
      <c r="U216" s="420"/>
      <c r="V216" s="420"/>
      <c r="W216" s="420"/>
      <c r="X216" s="420"/>
      <c r="Y216" s="420"/>
      <c r="Z216" s="367"/>
      <c r="AA216" s="420"/>
      <c r="AB216" s="420"/>
      <c r="AC216" s="420"/>
      <c r="AD216" s="420"/>
      <c r="AE216" s="420"/>
      <c r="AF216" s="367"/>
      <c r="AG216" s="420"/>
      <c r="AH216" s="367"/>
      <c r="AI216" s="367"/>
      <c r="AJ216" s="367"/>
      <c r="AK216" s="358"/>
      <c r="AL216" s="358"/>
      <c r="AM216" s="358"/>
      <c r="AN216" s="358"/>
      <c r="AO216" s="358"/>
      <c r="AP216" s="367"/>
      <c r="AQ216" s="367"/>
      <c r="AR216" s="367"/>
    </row>
    <row r="217">
      <c r="A217" s="418"/>
      <c r="B217" s="418"/>
      <c r="C217" s="417"/>
      <c r="D217" s="417"/>
      <c r="E217" s="418"/>
      <c r="F217" s="418"/>
      <c r="G217" s="367"/>
      <c r="H217" s="418"/>
      <c r="I217" s="418"/>
      <c r="J217" s="418"/>
      <c r="K217" s="418"/>
      <c r="L217" s="420"/>
      <c r="M217" s="420"/>
      <c r="N217" s="420"/>
      <c r="O217" s="420"/>
      <c r="P217" s="420"/>
      <c r="Q217" s="420"/>
      <c r="R217" s="420"/>
      <c r="S217" s="420"/>
      <c r="T217" s="420"/>
      <c r="U217" s="420"/>
      <c r="V217" s="420"/>
      <c r="W217" s="420"/>
      <c r="X217" s="420"/>
      <c r="Y217" s="420"/>
      <c r="Z217" s="367"/>
      <c r="AA217" s="420"/>
      <c r="AB217" s="420"/>
      <c r="AC217" s="420"/>
      <c r="AD217" s="420"/>
      <c r="AE217" s="420"/>
      <c r="AF217" s="367"/>
      <c r="AG217" s="420"/>
      <c r="AH217" s="367"/>
      <c r="AI217" s="367"/>
      <c r="AJ217" s="367"/>
      <c r="AK217" s="358"/>
      <c r="AL217" s="358"/>
      <c r="AM217" s="358"/>
      <c r="AN217" s="358"/>
      <c r="AO217" s="358"/>
      <c r="AP217" s="367"/>
      <c r="AQ217" s="367"/>
      <c r="AR217" s="367"/>
    </row>
    <row r="218">
      <c r="A218" s="418"/>
      <c r="B218" s="418"/>
      <c r="C218" s="417"/>
      <c r="D218" s="417"/>
      <c r="E218" s="418"/>
      <c r="F218" s="418"/>
      <c r="G218" s="367"/>
      <c r="H218" s="418"/>
      <c r="I218" s="418"/>
      <c r="J218" s="418"/>
      <c r="K218" s="418"/>
      <c r="L218" s="420"/>
      <c r="M218" s="420"/>
      <c r="N218" s="420"/>
      <c r="O218" s="420"/>
      <c r="P218" s="420"/>
      <c r="Q218" s="420"/>
      <c r="R218" s="420"/>
      <c r="S218" s="420"/>
      <c r="T218" s="420"/>
      <c r="U218" s="420"/>
      <c r="V218" s="420"/>
      <c r="W218" s="420"/>
      <c r="X218" s="420"/>
      <c r="Y218" s="420"/>
      <c r="Z218" s="367"/>
      <c r="AA218" s="420"/>
      <c r="AB218" s="420"/>
      <c r="AC218" s="420"/>
      <c r="AD218" s="420"/>
      <c r="AE218" s="420"/>
      <c r="AF218" s="367"/>
      <c r="AG218" s="420"/>
      <c r="AH218" s="367"/>
      <c r="AI218" s="367"/>
      <c r="AJ218" s="367"/>
      <c r="AK218" s="358"/>
      <c r="AL218" s="358"/>
      <c r="AM218" s="358"/>
      <c r="AN218" s="358"/>
      <c r="AO218" s="358"/>
      <c r="AP218" s="367"/>
      <c r="AQ218" s="367"/>
      <c r="AR218" s="367"/>
    </row>
    <row r="219">
      <c r="A219" s="418"/>
      <c r="B219" s="418"/>
      <c r="C219" s="417"/>
      <c r="D219" s="417"/>
      <c r="E219" s="418"/>
      <c r="F219" s="418"/>
      <c r="G219" s="367"/>
      <c r="H219" s="418"/>
      <c r="I219" s="418"/>
      <c r="J219" s="418"/>
      <c r="K219" s="418"/>
      <c r="L219" s="420"/>
      <c r="M219" s="420"/>
      <c r="N219" s="420"/>
      <c r="O219" s="420"/>
      <c r="P219" s="420"/>
      <c r="Q219" s="420"/>
      <c r="R219" s="420"/>
      <c r="S219" s="420"/>
      <c r="T219" s="420"/>
      <c r="U219" s="420"/>
      <c r="V219" s="420"/>
      <c r="W219" s="420"/>
      <c r="X219" s="420"/>
      <c r="Y219" s="420"/>
      <c r="Z219" s="367"/>
      <c r="AA219" s="420"/>
      <c r="AB219" s="420"/>
      <c r="AC219" s="420"/>
      <c r="AD219" s="420"/>
      <c r="AE219" s="420"/>
      <c r="AF219" s="367"/>
      <c r="AG219" s="420"/>
      <c r="AH219" s="367"/>
      <c r="AI219" s="367"/>
      <c r="AJ219" s="367"/>
      <c r="AK219" s="358"/>
      <c r="AL219" s="358"/>
      <c r="AM219" s="358"/>
      <c r="AN219" s="358"/>
      <c r="AO219" s="358"/>
      <c r="AP219" s="367"/>
      <c r="AQ219" s="367"/>
      <c r="AR219" s="367"/>
    </row>
    <row r="220">
      <c r="A220" s="418"/>
      <c r="B220" s="418"/>
      <c r="C220" s="417"/>
      <c r="D220" s="417"/>
      <c r="E220" s="418"/>
      <c r="F220" s="418"/>
      <c r="G220" s="367"/>
      <c r="H220" s="418"/>
      <c r="I220" s="418"/>
      <c r="J220" s="418"/>
      <c r="K220" s="418"/>
      <c r="L220" s="420"/>
      <c r="M220" s="420"/>
      <c r="N220" s="420"/>
      <c r="O220" s="420"/>
      <c r="P220" s="420"/>
      <c r="Q220" s="420"/>
      <c r="R220" s="420"/>
      <c r="S220" s="420"/>
      <c r="T220" s="420"/>
      <c r="U220" s="420"/>
      <c r="V220" s="420"/>
      <c r="W220" s="420"/>
      <c r="X220" s="420"/>
      <c r="Y220" s="420"/>
      <c r="Z220" s="367"/>
      <c r="AA220" s="420"/>
      <c r="AB220" s="420"/>
      <c r="AC220" s="420"/>
      <c r="AD220" s="420"/>
      <c r="AE220" s="420"/>
      <c r="AF220" s="367"/>
      <c r="AG220" s="420"/>
      <c r="AH220" s="367"/>
      <c r="AI220" s="367"/>
      <c r="AJ220" s="367"/>
      <c r="AK220" s="358"/>
      <c r="AL220" s="358"/>
      <c r="AM220" s="358"/>
      <c r="AN220" s="358"/>
      <c r="AO220" s="358"/>
      <c r="AP220" s="367"/>
      <c r="AQ220" s="367"/>
      <c r="AR220" s="367"/>
    </row>
    <row r="221">
      <c r="A221" s="418"/>
      <c r="B221" s="418"/>
      <c r="C221" s="417"/>
      <c r="D221" s="417"/>
      <c r="E221" s="418"/>
      <c r="F221" s="418"/>
      <c r="G221" s="367"/>
      <c r="H221" s="418"/>
      <c r="I221" s="418"/>
      <c r="J221" s="418"/>
      <c r="K221" s="418"/>
      <c r="L221" s="420"/>
      <c r="M221" s="420"/>
      <c r="N221" s="420"/>
      <c r="O221" s="420"/>
      <c r="P221" s="420"/>
      <c r="Q221" s="420"/>
      <c r="R221" s="420"/>
      <c r="S221" s="420"/>
      <c r="T221" s="420"/>
      <c r="U221" s="420"/>
      <c r="V221" s="420"/>
      <c r="W221" s="420"/>
      <c r="X221" s="420"/>
      <c r="Y221" s="420"/>
      <c r="Z221" s="367"/>
      <c r="AA221" s="420"/>
      <c r="AB221" s="420"/>
      <c r="AC221" s="420"/>
      <c r="AD221" s="420"/>
      <c r="AE221" s="420"/>
      <c r="AF221" s="367"/>
      <c r="AG221" s="420"/>
      <c r="AH221" s="367"/>
      <c r="AI221" s="367"/>
      <c r="AJ221" s="367"/>
      <c r="AK221" s="358"/>
      <c r="AL221" s="358"/>
      <c r="AM221" s="358"/>
      <c r="AN221" s="358"/>
      <c r="AO221" s="358"/>
      <c r="AP221" s="367"/>
      <c r="AQ221" s="367"/>
      <c r="AR221" s="367"/>
    </row>
    <row r="222">
      <c r="A222" s="418"/>
      <c r="B222" s="418"/>
      <c r="C222" s="417"/>
      <c r="D222" s="417"/>
      <c r="E222" s="418"/>
      <c r="F222" s="418"/>
      <c r="G222" s="367"/>
      <c r="H222" s="418"/>
      <c r="I222" s="418"/>
      <c r="J222" s="418"/>
      <c r="K222" s="418"/>
      <c r="L222" s="420"/>
      <c r="M222" s="420"/>
      <c r="N222" s="420"/>
      <c r="O222" s="420"/>
      <c r="P222" s="420"/>
      <c r="Q222" s="420"/>
      <c r="R222" s="420"/>
      <c r="S222" s="420"/>
      <c r="T222" s="420"/>
      <c r="U222" s="420"/>
      <c r="V222" s="420"/>
      <c r="W222" s="420"/>
      <c r="X222" s="420"/>
      <c r="Y222" s="420"/>
      <c r="Z222" s="367"/>
      <c r="AA222" s="420"/>
      <c r="AB222" s="420"/>
      <c r="AC222" s="420"/>
      <c r="AD222" s="420"/>
      <c r="AE222" s="420"/>
      <c r="AF222" s="367"/>
      <c r="AG222" s="420"/>
      <c r="AH222" s="367"/>
      <c r="AI222" s="367"/>
      <c r="AJ222" s="367"/>
      <c r="AK222" s="358"/>
      <c r="AL222" s="358"/>
      <c r="AM222" s="358"/>
      <c r="AN222" s="358"/>
      <c r="AO222" s="358"/>
      <c r="AP222" s="367"/>
      <c r="AQ222" s="367"/>
      <c r="AR222" s="367"/>
    </row>
    <row r="223">
      <c r="A223" s="418"/>
      <c r="B223" s="418"/>
      <c r="C223" s="417"/>
      <c r="D223" s="417"/>
      <c r="E223" s="418"/>
      <c r="F223" s="418"/>
      <c r="G223" s="367"/>
      <c r="H223" s="418"/>
      <c r="I223" s="418"/>
      <c r="J223" s="418"/>
      <c r="K223" s="418"/>
      <c r="L223" s="420"/>
      <c r="M223" s="420"/>
      <c r="N223" s="420"/>
      <c r="O223" s="420"/>
      <c r="P223" s="420"/>
      <c r="Q223" s="420"/>
      <c r="R223" s="420"/>
      <c r="S223" s="420"/>
      <c r="T223" s="420"/>
      <c r="U223" s="420"/>
      <c r="V223" s="420"/>
      <c r="W223" s="420"/>
      <c r="X223" s="420"/>
      <c r="Y223" s="420"/>
      <c r="Z223" s="367"/>
      <c r="AA223" s="420"/>
      <c r="AB223" s="420"/>
      <c r="AC223" s="420"/>
      <c r="AD223" s="420"/>
      <c r="AE223" s="420"/>
      <c r="AF223" s="367"/>
      <c r="AG223" s="420"/>
      <c r="AH223" s="367"/>
      <c r="AI223" s="367"/>
      <c r="AJ223" s="367"/>
      <c r="AK223" s="358"/>
      <c r="AL223" s="358"/>
      <c r="AM223" s="358"/>
      <c r="AN223" s="358"/>
      <c r="AO223" s="358"/>
      <c r="AP223" s="367"/>
      <c r="AQ223" s="367"/>
      <c r="AR223" s="367"/>
    </row>
    <row r="224">
      <c r="A224" s="418"/>
      <c r="B224" s="418"/>
      <c r="C224" s="417"/>
      <c r="D224" s="417"/>
      <c r="E224" s="418"/>
      <c r="F224" s="418"/>
      <c r="G224" s="367"/>
      <c r="H224" s="418"/>
      <c r="I224" s="418"/>
      <c r="J224" s="418"/>
      <c r="K224" s="418"/>
      <c r="L224" s="420"/>
      <c r="M224" s="420"/>
      <c r="N224" s="420"/>
      <c r="O224" s="420"/>
      <c r="P224" s="420"/>
      <c r="Q224" s="420"/>
      <c r="R224" s="420"/>
      <c r="S224" s="420"/>
      <c r="T224" s="420"/>
      <c r="U224" s="420"/>
      <c r="V224" s="420"/>
      <c r="W224" s="420"/>
      <c r="X224" s="420"/>
      <c r="Y224" s="420"/>
      <c r="Z224" s="367"/>
      <c r="AA224" s="420"/>
      <c r="AB224" s="420"/>
      <c r="AC224" s="420"/>
      <c r="AD224" s="420"/>
      <c r="AE224" s="420"/>
      <c r="AF224" s="367"/>
      <c r="AG224" s="420"/>
      <c r="AH224" s="367"/>
      <c r="AI224" s="367"/>
      <c r="AJ224" s="367"/>
      <c r="AK224" s="358"/>
      <c r="AL224" s="358"/>
      <c r="AM224" s="358"/>
      <c r="AN224" s="358"/>
      <c r="AO224" s="358"/>
      <c r="AP224" s="367"/>
      <c r="AQ224" s="367"/>
      <c r="AR224" s="367"/>
    </row>
    <row r="225">
      <c r="A225" s="418"/>
      <c r="B225" s="418"/>
      <c r="C225" s="417"/>
      <c r="D225" s="417"/>
      <c r="E225" s="418"/>
      <c r="F225" s="418"/>
      <c r="G225" s="367"/>
      <c r="H225" s="418"/>
      <c r="I225" s="418"/>
      <c r="J225" s="418"/>
      <c r="K225" s="418"/>
      <c r="L225" s="420"/>
      <c r="M225" s="420"/>
      <c r="N225" s="420"/>
      <c r="O225" s="420"/>
      <c r="P225" s="420"/>
      <c r="Q225" s="420"/>
      <c r="R225" s="420"/>
      <c r="S225" s="420"/>
      <c r="T225" s="420"/>
      <c r="U225" s="420"/>
      <c r="V225" s="420"/>
      <c r="W225" s="420"/>
      <c r="X225" s="420"/>
      <c r="Y225" s="420"/>
      <c r="Z225" s="367"/>
      <c r="AA225" s="420"/>
      <c r="AB225" s="420"/>
      <c r="AC225" s="420"/>
      <c r="AD225" s="420"/>
      <c r="AE225" s="420"/>
      <c r="AF225" s="367"/>
      <c r="AG225" s="420"/>
      <c r="AH225" s="367"/>
      <c r="AI225" s="367"/>
      <c r="AJ225" s="367"/>
      <c r="AK225" s="358"/>
      <c r="AL225" s="358"/>
      <c r="AM225" s="358"/>
      <c r="AN225" s="358"/>
      <c r="AO225" s="358"/>
      <c r="AP225" s="367"/>
      <c r="AQ225" s="367"/>
      <c r="AR225" s="367"/>
    </row>
    <row r="226">
      <c r="A226" s="418"/>
      <c r="B226" s="418"/>
      <c r="C226" s="417"/>
      <c r="D226" s="417"/>
      <c r="E226" s="418"/>
      <c r="F226" s="418"/>
      <c r="G226" s="367"/>
      <c r="H226" s="418"/>
      <c r="I226" s="418"/>
      <c r="J226" s="418"/>
      <c r="K226" s="418"/>
      <c r="L226" s="420"/>
      <c r="M226" s="420"/>
      <c r="N226" s="420"/>
      <c r="O226" s="420"/>
      <c r="P226" s="420"/>
      <c r="Q226" s="420"/>
      <c r="R226" s="420"/>
      <c r="S226" s="420"/>
      <c r="T226" s="420"/>
      <c r="U226" s="420"/>
      <c r="V226" s="420"/>
      <c r="W226" s="420"/>
      <c r="X226" s="420"/>
      <c r="Y226" s="420"/>
      <c r="Z226" s="367"/>
      <c r="AA226" s="420"/>
      <c r="AB226" s="420"/>
      <c r="AC226" s="420"/>
      <c r="AD226" s="420"/>
      <c r="AE226" s="420"/>
      <c r="AF226" s="367"/>
      <c r="AG226" s="420"/>
      <c r="AH226" s="367"/>
      <c r="AI226" s="367"/>
      <c r="AJ226" s="367"/>
      <c r="AK226" s="358"/>
      <c r="AL226" s="358"/>
      <c r="AM226" s="358"/>
      <c r="AN226" s="358"/>
      <c r="AO226" s="358"/>
      <c r="AP226" s="367"/>
      <c r="AQ226" s="367"/>
      <c r="AR226" s="367"/>
    </row>
    <row r="227">
      <c r="A227" s="418"/>
      <c r="B227" s="418"/>
      <c r="C227" s="417"/>
      <c r="D227" s="417"/>
      <c r="E227" s="418"/>
      <c r="F227" s="418"/>
      <c r="G227" s="367"/>
      <c r="H227" s="418"/>
      <c r="I227" s="418"/>
      <c r="J227" s="418"/>
      <c r="K227" s="418"/>
      <c r="L227" s="420"/>
      <c r="M227" s="420"/>
      <c r="N227" s="420"/>
      <c r="O227" s="420"/>
      <c r="P227" s="420"/>
      <c r="Q227" s="420"/>
      <c r="R227" s="420"/>
      <c r="S227" s="420"/>
      <c r="T227" s="420"/>
      <c r="U227" s="420"/>
      <c r="V227" s="420"/>
      <c r="W227" s="420"/>
      <c r="X227" s="420"/>
      <c r="Y227" s="420"/>
      <c r="Z227" s="367"/>
      <c r="AA227" s="420"/>
      <c r="AB227" s="420"/>
      <c r="AC227" s="420"/>
      <c r="AD227" s="420"/>
      <c r="AE227" s="420"/>
      <c r="AF227" s="367"/>
      <c r="AG227" s="420"/>
      <c r="AH227" s="367"/>
      <c r="AI227" s="367"/>
      <c r="AJ227" s="367"/>
      <c r="AK227" s="358"/>
      <c r="AL227" s="358"/>
      <c r="AM227" s="358"/>
      <c r="AN227" s="358"/>
      <c r="AO227" s="358"/>
      <c r="AP227" s="367"/>
      <c r="AQ227" s="367"/>
      <c r="AR227" s="367"/>
    </row>
    <row r="228">
      <c r="A228" s="418"/>
      <c r="B228" s="418"/>
      <c r="C228" s="417"/>
      <c r="D228" s="417"/>
      <c r="E228" s="418"/>
      <c r="F228" s="418"/>
      <c r="G228" s="367"/>
      <c r="H228" s="418"/>
      <c r="I228" s="418"/>
      <c r="J228" s="418"/>
      <c r="K228" s="418"/>
      <c r="L228" s="420"/>
      <c r="M228" s="420"/>
      <c r="N228" s="420"/>
      <c r="O228" s="420"/>
      <c r="P228" s="420"/>
      <c r="Q228" s="420"/>
      <c r="R228" s="420"/>
      <c r="S228" s="420"/>
      <c r="T228" s="420"/>
      <c r="U228" s="420"/>
      <c r="V228" s="420"/>
      <c r="W228" s="420"/>
      <c r="X228" s="420"/>
      <c r="Y228" s="420"/>
      <c r="Z228" s="367"/>
      <c r="AA228" s="420"/>
      <c r="AB228" s="420"/>
      <c r="AC228" s="420"/>
      <c r="AD228" s="420"/>
      <c r="AE228" s="420"/>
      <c r="AF228" s="367"/>
      <c r="AG228" s="420"/>
      <c r="AH228" s="367"/>
      <c r="AI228" s="367"/>
      <c r="AJ228" s="367"/>
      <c r="AK228" s="358"/>
      <c r="AL228" s="358"/>
      <c r="AM228" s="358"/>
      <c r="AN228" s="358"/>
      <c r="AO228" s="358"/>
      <c r="AP228" s="367"/>
      <c r="AQ228" s="367"/>
      <c r="AR228" s="367"/>
    </row>
    <row r="229">
      <c r="A229" s="418"/>
      <c r="B229" s="418"/>
      <c r="C229" s="417"/>
      <c r="D229" s="417"/>
      <c r="E229" s="418"/>
      <c r="F229" s="418"/>
      <c r="G229" s="367"/>
      <c r="H229" s="418"/>
      <c r="I229" s="418"/>
      <c r="J229" s="418"/>
      <c r="K229" s="418"/>
      <c r="L229" s="420"/>
      <c r="M229" s="420"/>
      <c r="N229" s="420"/>
      <c r="O229" s="420"/>
      <c r="P229" s="420"/>
      <c r="Q229" s="420"/>
      <c r="R229" s="420"/>
      <c r="S229" s="420"/>
      <c r="T229" s="420"/>
      <c r="U229" s="420"/>
      <c r="V229" s="420"/>
      <c r="W229" s="420"/>
      <c r="X229" s="420"/>
      <c r="Y229" s="420"/>
      <c r="Z229" s="367"/>
      <c r="AA229" s="420"/>
      <c r="AB229" s="420"/>
      <c r="AC229" s="420"/>
      <c r="AD229" s="420"/>
      <c r="AE229" s="420"/>
      <c r="AF229" s="367"/>
      <c r="AG229" s="420"/>
      <c r="AH229" s="367"/>
      <c r="AI229" s="367"/>
      <c r="AJ229" s="367"/>
      <c r="AK229" s="358"/>
      <c r="AL229" s="358"/>
      <c r="AM229" s="358"/>
      <c r="AN229" s="358"/>
      <c r="AO229" s="358"/>
      <c r="AP229" s="367"/>
      <c r="AQ229" s="367"/>
      <c r="AR229" s="367"/>
    </row>
    <row r="230">
      <c r="A230" s="418"/>
      <c r="B230" s="418"/>
      <c r="C230" s="417"/>
      <c r="D230" s="417"/>
      <c r="E230" s="418"/>
      <c r="F230" s="418"/>
      <c r="G230" s="367"/>
      <c r="H230" s="418"/>
      <c r="I230" s="418"/>
      <c r="J230" s="418"/>
      <c r="K230" s="418"/>
      <c r="L230" s="420"/>
      <c r="M230" s="420"/>
      <c r="N230" s="420"/>
      <c r="O230" s="420"/>
      <c r="P230" s="420"/>
      <c r="Q230" s="420"/>
      <c r="R230" s="420"/>
      <c r="S230" s="420"/>
      <c r="T230" s="420"/>
      <c r="U230" s="420"/>
      <c r="V230" s="420"/>
      <c r="W230" s="420"/>
      <c r="X230" s="420"/>
      <c r="Y230" s="420"/>
      <c r="Z230" s="367"/>
      <c r="AA230" s="420"/>
      <c r="AB230" s="420"/>
      <c r="AC230" s="420"/>
      <c r="AD230" s="420"/>
      <c r="AE230" s="420"/>
      <c r="AF230" s="367"/>
      <c r="AG230" s="420"/>
      <c r="AH230" s="367"/>
      <c r="AI230" s="367"/>
      <c r="AJ230" s="367"/>
      <c r="AK230" s="358"/>
      <c r="AL230" s="358"/>
      <c r="AM230" s="358"/>
      <c r="AN230" s="358"/>
      <c r="AO230" s="358"/>
      <c r="AP230" s="367"/>
      <c r="AQ230" s="367"/>
      <c r="AR230" s="367"/>
    </row>
    <row r="231">
      <c r="A231" s="418"/>
      <c r="B231" s="418"/>
      <c r="C231" s="417"/>
      <c r="D231" s="417"/>
      <c r="E231" s="418"/>
      <c r="F231" s="418"/>
      <c r="G231" s="367"/>
      <c r="H231" s="418"/>
      <c r="I231" s="418"/>
      <c r="J231" s="418"/>
      <c r="K231" s="418"/>
      <c r="L231" s="420"/>
      <c r="M231" s="420"/>
      <c r="N231" s="420"/>
      <c r="O231" s="420"/>
      <c r="P231" s="420"/>
      <c r="Q231" s="420"/>
      <c r="R231" s="420"/>
      <c r="S231" s="420"/>
      <c r="T231" s="420"/>
      <c r="U231" s="420"/>
      <c r="V231" s="420"/>
      <c r="W231" s="420"/>
      <c r="X231" s="420"/>
      <c r="Y231" s="420"/>
      <c r="Z231" s="367"/>
      <c r="AA231" s="420"/>
      <c r="AB231" s="420"/>
      <c r="AC231" s="420"/>
      <c r="AD231" s="420"/>
      <c r="AE231" s="420"/>
      <c r="AF231" s="367"/>
      <c r="AG231" s="420"/>
      <c r="AH231" s="367"/>
      <c r="AI231" s="367"/>
      <c r="AJ231" s="367"/>
      <c r="AK231" s="358"/>
      <c r="AL231" s="358"/>
      <c r="AM231" s="358"/>
      <c r="AN231" s="358"/>
      <c r="AO231" s="358"/>
      <c r="AP231" s="367"/>
      <c r="AQ231" s="367"/>
      <c r="AR231" s="367"/>
    </row>
    <row r="232">
      <c r="A232" s="418"/>
      <c r="B232" s="418"/>
      <c r="C232" s="417"/>
      <c r="D232" s="417"/>
      <c r="E232" s="418"/>
      <c r="F232" s="418"/>
      <c r="G232" s="367"/>
      <c r="H232" s="418"/>
      <c r="I232" s="418"/>
      <c r="J232" s="418"/>
      <c r="K232" s="418"/>
      <c r="L232" s="420"/>
      <c r="M232" s="420"/>
      <c r="N232" s="420"/>
      <c r="O232" s="420"/>
      <c r="P232" s="420"/>
      <c r="Q232" s="420"/>
      <c r="R232" s="420"/>
      <c r="S232" s="420"/>
      <c r="T232" s="420"/>
      <c r="U232" s="420"/>
      <c r="V232" s="420"/>
      <c r="W232" s="420"/>
      <c r="X232" s="420"/>
      <c r="Y232" s="420"/>
      <c r="Z232" s="367"/>
      <c r="AA232" s="420"/>
      <c r="AB232" s="420"/>
      <c r="AC232" s="420"/>
      <c r="AD232" s="420"/>
      <c r="AE232" s="420"/>
      <c r="AF232" s="367"/>
      <c r="AG232" s="420"/>
      <c r="AH232" s="367"/>
      <c r="AI232" s="367"/>
      <c r="AJ232" s="367"/>
      <c r="AK232" s="358"/>
      <c r="AL232" s="358"/>
      <c r="AM232" s="358"/>
      <c r="AN232" s="358"/>
      <c r="AO232" s="358"/>
      <c r="AP232" s="367"/>
      <c r="AQ232" s="367"/>
      <c r="AR232" s="367"/>
    </row>
    <row r="233">
      <c r="A233" s="418"/>
      <c r="B233" s="418"/>
      <c r="C233" s="417"/>
      <c r="D233" s="417"/>
      <c r="E233" s="418"/>
      <c r="F233" s="418"/>
      <c r="G233" s="367"/>
      <c r="H233" s="418"/>
      <c r="I233" s="418"/>
      <c r="J233" s="418"/>
      <c r="K233" s="418"/>
      <c r="L233" s="420"/>
      <c r="M233" s="420"/>
      <c r="N233" s="420"/>
      <c r="O233" s="420"/>
      <c r="P233" s="420"/>
      <c r="Q233" s="420"/>
      <c r="R233" s="420"/>
      <c r="S233" s="420"/>
      <c r="T233" s="420"/>
      <c r="U233" s="420"/>
      <c r="V233" s="420"/>
      <c r="W233" s="420"/>
      <c r="X233" s="420"/>
      <c r="Y233" s="420"/>
      <c r="Z233" s="367"/>
      <c r="AA233" s="420"/>
      <c r="AB233" s="420"/>
      <c r="AC233" s="420"/>
      <c r="AD233" s="420"/>
      <c r="AE233" s="420"/>
      <c r="AF233" s="367"/>
      <c r="AG233" s="420"/>
      <c r="AH233" s="367"/>
      <c r="AI233" s="367"/>
      <c r="AJ233" s="367"/>
      <c r="AK233" s="358"/>
      <c r="AL233" s="358"/>
      <c r="AM233" s="358"/>
      <c r="AN233" s="358"/>
      <c r="AO233" s="358"/>
      <c r="AP233" s="367"/>
      <c r="AQ233" s="367"/>
      <c r="AR233" s="367"/>
    </row>
    <row r="234">
      <c r="A234" s="418"/>
      <c r="B234" s="418"/>
      <c r="C234" s="417"/>
      <c r="D234" s="417"/>
      <c r="E234" s="418"/>
      <c r="F234" s="418"/>
      <c r="G234" s="367"/>
      <c r="H234" s="418"/>
      <c r="I234" s="418"/>
      <c r="J234" s="418"/>
      <c r="K234" s="418"/>
      <c r="L234" s="420"/>
      <c r="M234" s="420"/>
      <c r="N234" s="420"/>
      <c r="O234" s="420"/>
      <c r="P234" s="420"/>
      <c r="Q234" s="420"/>
      <c r="R234" s="420"/>
      <c r="S234" s="420"/>
      <c r="T234" s="420"/>
      <c r="U234" s="420"/>
      <c r="V234" s="420"/>
      <c r="W234" s="420"/>
      <c r="X234" s="420"/>
      <c r="Y234" s="420"/>
      <c r="Z234" s="367"/>
      <c r="AA234" s="420"/>
      <c r="AB234" s="420"/>
      <c r="AC234" s="420"/>
      <c r="AD234" s="420"/>
      <c r="AE234" s="420"/>
      <c r="AF234" s="367"/>
      <c r="AG234" s="420"/>
      <c r="AH234" s="367"/>
      <c r="AI234" s="367"/>
      <c r="AJ234" s="367"/>
      <c r="AK234" s="358"/>
      <c r="AL234" s="358"/>
      <c r="AM234" s="358"/>
      <c r="AN234" s="358"/>
      <c r="AO234" s="358"/>
      <c r="AP234" s="367"/>
      <c r="AQ234" s="367"/>
      <c r="AR234" s="367"/>
    </row>
    <row r="235">
      <c r="A235" s="418"/>
      <c r="B235" s="418"/>
      <c r="C235" s="417"/>
      <c r="D235" s="417"/>
      <c r="E235" s="418"/>
      <c r="F235" s="418"/>
      <c r="G235" s="367"/>
      <c r="H235" s="418"/>
      <c r="I235" s="418"/>
      <c r="J235" s="418"/>
      <c r="K235" s="418"/>
      <c r="L235" s="420"/>
      <c r="M235" s="420"/>
      <c r="N235" s="420"/>
      <c r="O235" s="420"/>
      <c r="P235" s="420"/>
      <c r="Q235" s="420"/>
      <c r="R235" s="420"/>
      <c r="S235" s="420"/>
      <c r="T235" s="420"/>
      <c r="U235" s="420"/>
      <c r="V235" s="420"/>
      <c r="W235" s="420"/>
      <c r="X235" s="420"/>
      <c r="Y235" s="420"/>
      <c r="Z235" s="367"/>
      <c r="AA235" s="420"/>
      <c r="AB235" s="420"/>
      <c r="AC235" s="420"/>
      <c r="AD235" s="420"/>
      <c r="AE235" s="420"/>
      <c r="AF235" s="367"/>
      <c r="AG235" s="420"/>
      <c r="AH235" s="367"/>
      <c r="AI235" s="367"/>
      <c r="AJ235" s="367"/>
      <c r="AK235" s="358"/>
      <c r="AL235" s="358"/>
      <c r="AM235" s="358"/>
      <c r="AN235" s="358"/>
      <c r="AO235" s="358"/>
      <c r="AP235" s="367"/>
      <c r="AQ235" s="367"/>
      <c r="AR235" s="367"/>
    </row>
    <row r="236">
      <c r="A236" s="418"/>
      <c r="B236" s="418"/>
      <c r="C236" s="417"/>
      <c r="D236" s="417"/>
      <c r="E236" s="418"/>
      <c r="F236" s="418"/>
      <c r="G236" s="367"/>
      <c r="H236" s="418"/>
      <c r="I236" s="418"/>
      <c r="J236" s="418"/>
      <c r="K236" s="418"/>
      <c r="L236" s="420"/>
      <c r="M236" s="420"/>
      <c r="N236" s="420"/>
      <c r="O236" s="420"/>
      <c r="P236" s="420"/>
      <c r="Q236" s="420"/>
      <c r="R236" s="420"/>
      <c r="S236" s="420"/>
      <c r="T236" s="420"/>
      <c r="U236" s="420"/>
      <c r="V236" s="420"/>
      <c r="W236" s="420"/>
      <c r="X236" s="420"/>
      <c r="Y236" s="420"/>
      <c r="Z236" s="367"/>
      <c r="AA236" s="420"/>
      <c r="AB236" s="420"/>
      <c r="AC236" s="420"/>
      <c r="AD236" s="420"/>
      <c r="AE236" s="420"/>
      <c r="AF236" s="367"/>
      <c r="AG236" s="420"/>
      <c r="AH236" s="367"/>
      <c r="AI236" s="367"/>
      <c r="AJ236" s="367"/>
      <c r="AK236" s="358"/>
      <c r="AL236" s="358"/>
      <c r="AM236" s="358"/>
      <c r="AN236" s="358"/>
      <c r="AO236" s="358"/>
      <c r="AP236" s="367"/>
      <c r="AQ236" s="367"/>
      <c r="AR236" s="367"/>
    </row>
    <row r="237">
      <c r="A237" s="418"/>
      <c r="B237" s="418"/>
      <c r="C237" s="417"/>
      <c r="D237" s="417"/>
      <c r="E237" s="418"/>
      <c r="F237" s="418"/>
      <c r="G237" s="367"/>
      <c r="H237" s="418"/>
      <c r="I237" s="418"/>
      <c r="J237" s="418"/>
      <c r="K237" s="418"/>
      <c r="L237" s="420"/>
      <c r="M237" s="420"/>
      <c r="N237" s="420"/>
      <c r="O237" s="420"/>
      <c r="P237" s="420"/>
      <c r="Q237" s="420"/>
      <c r="R237" s="420"/>
      <c r="S237" s="420"/>
      <c r="T237" s="420"/>
      <c r="U237" s="420"/>
      <c r="V237" s="420"/>
      <c r="W237" s="420"/>
      <c r="X237" s="420"/>
      <c r="Y237" s="420"/>
      <c r="Z237" s="367"/>
      <c r="AA237" s="420"/>
      <c r="AB237" s="420"/>
      <c r="AC237" s="420"/>
      <c r="AD237" s="420"/>
      <c r="AE237" s="420"/>
      <c r="AF237" s="367"/>
      <c r="AG237" s="420"/>
      <c r="AH237" s="367"/>
      <c r="AI237" s="367"/>
      <c r="AJ237" s="367"/>
      <c r="AK237" s="358"/>
      <c r="AL237" s="358"/>
      <c r="AM237" s="358"/>
      <c r="AN237" s="358"/>
      <c r="AO237" s="358"/>
      <c r="AP237" s="367"/>
      <c r="AQ237" s="367"/>
      <c r="AR237" s="367"/>
    </row>
    <row r="238">
      <c r="A238" s="418"/>
      <c r="B238" s="418"/>
      <c r="C238" s="417"/>
      <c r="D238" s="417"/>
      <c r="E238" s="418"/>
      <c r="F238" s="418"/>
      <c r="G238" s="367"/>
      <c r="H238" s="418"/>
      <c r="I238" s="418"/>
      <c r="J238" s="418"/>
      <c r="K238" s="418"/>
      <c r="L238" s="420"/>
      <c r="M238" s="420"/>
      <c r="N238" s="420"/>
      <c r="O238" s="420"/>
      <c r="P238" s="420"/>
      <c r="Q238" s="420"/>
      <c r="R238" s="420"/>
      <c r="S238" s="420"/>
      <c r="T238" s="420"/>
      <c r="U238" s="420"/>
      <c r="V238" s="420"/>
      <c r="W238" s="420"/>
      <c r="X238" s="420"/>
      <c r="Y238" s="420"/>
      <c r="Z238" s="367"/>
      <c r="AA238" s="420"/>
      <c r="AB238" s="420"/>
      <c r="AC238" s="420"/>
      <c r="AD238" s="420"/>
      <c r="AE238" s="420"/>
      <c r="AF238" s="367"/>
      <c r="AG238" s="420"/>
      <c r="AH238" s="367"/>
      <c r="AI238" s="367"/>
      <c r="AJ238" s="367"/>
      <c r="AK238" s="358"/>
      <c r="AL238" s="358"/>
      <c r="AM238" s="358"/>
      <c r="AN238" s="358"/>
      <c r="AO238" s="358"/>
      <c r="AP238" s="367"/>
      <c r="AQ238" s="367"/>
      <c r="AR238" s="367"/>
    </row>
    <row r="239">
      <c r="A239" s="418"/>
      <c r="B239" s="418"/>
      <c r="C239" s="417"/>
      <c r="D239" s="417"/>
      <c r="E239" s="418"/>
      <c r="F239" s="418"/>
      <c r="G239" s="367"/>
      <c r="H239" s="418"/>
      <c r="I239" s="418"/>
      <c r="J239" s="418"/>
      <c r="K239" s="418"/>
      <c r="L239" s="420"/>
      <c r="M239" s="420"/>
      <c r="N239" s="420"/>
      <c r="O239" s="420"/>
      <c r="P239" s="420"/>
      <c r="Q239" s="420"/>
      <c r="R239" s="420"/>
      <c r="S239" s="420"/>
      <c r="T239" s="420"/>
      <c r="U239" s="420"/>
      <c r="V239" s="420"/>
      <c r="W239" s="420"/>
      <c r="X239" s="420"/>
      <c r="Y239" s="420"/>
      <c r="Z239" s="367"/>
      <c r="AA239" s="420"/>
      <c r="AB239" s="420"/>
      <c r="AC239" s="420"/>
      <c r="AD239" s="420"/>
      <c r="AE239" s="420"/>
      <c r="AF239" s="367"/>
      <c r="AG239" s="420"/>
      <c r="AH239" s="367"/>
      <c r="AI239" s="367"/>
      <c r="AJ239" s="367"/>
      <c r="AK239" s="358"/>
      <c r="AL239" s="358"/>
      <c r="AM239" s="358"/>
      <c r="AN239" s="358"/>
      <c r="AO239" s="358"/>
      <c r="AP239" s="367"/>
      <c r="AQ239" s="367"/>
      <c r="AR239" s="367"/>
    </row>
    <row r="240">
      <c r="A240" s="418"/>
      <c r="B240" s="418"/>
      <c r="C240" s="417"/>
      <c r="D240" s="417"/>
      <c r="E240" s="418"/>
      <c r="F240" s="418"/>
      <c r="G240" s="367"/>
      <c r="H240" s="418"/>
      <c r="I240" s="418"/>
      <c r="J240" s="418"/>
      <c r="K240" s="418"/>
      <c r="L240" s="420"/>
      <c r="M240" s="420"/>
      <c r="N240" s="420"/>
      <c r="O240" s="420"/>
      <c r="P240" s="420"/>
      <c r="Q240" s="420"/>
      <c r="R240" s="420"/>
      <c r="S240" s="420"/>
      <c r="T240" s="420"/>
      <c r="U240" s="420"/>
      <c r="V240" s="420"/>
      <c r="W240" s="420"/>
      <c r="X240" s="420"/>
      <c r="Y240" s="420"/>
      <c r="Z240" s="367"/>
      <c r="AA240" s="420"/>
      <c r="AB240" s="420"/>
      <c r="AC240" s="420"/>
      <c r="AD240" s="420"/>
      <c r="AE240" s="420"/>
      <c r="AF240" s="367"/>
      <c r="AG240" s="420"/>
      <c r="AH240" s="367"/>
      <c r="AI240" s="367"/>
      <c r="AJ240" s="367"/>
      <c r="AK240" s="358"/>
      <c r="AL240" s="358"/>
      <c r="AM240" s="358"/>
      <c r="AN240" s="358"/>
      <c r="AO240" s="358"/>
      <c r="AP240" s="367"/>
      <c r="AQ240" s="367"/>
      <c r="AR240" s="367"/>
    </row>
    <row r="241">
      <c r="A241" s="418"/>
      <c r="B241" s="418"/>
      <c r="C241" s="417"/>
      <c r="D241" s="417"/>
      <c r="E241" s="418"/>
      <c r="F241" s="418"/>
      <c r="G241" s="367"/>
      <c r="H241" s="418"/>
      <c r="I241" s="418"/>
      <c r="J241" s="418"/>
      <c r="K241" s="418"/>
      <c r="L241" s="420"/>
      <c r="M241" s="420"/>
      <c r="N241" s="420"/>
      <c r="O241" s="420"/>
      <c r="P241" s="420"/>
      <c r="Q241" s="420"/>
      <c r="R241" s="420"/>
      <c r="S241" s="420"/>
      <c r="T241" s="420"/>
      <c r="U241" s="420"/>
      <c r="V241" s="420"/>
      <c r="W241" s="420"/>
      <c r="X241" s="420"/>
      <c r="Y241" s="420"/>
      <c r="Z241" s="367"/>
      <c r="AA241" s="420"/>
      <c r="AB241" s="420"/>
      <c r="AC241" s="420"/>
      <c r="AD241" s="420"/>
      <c r="AE241" s="420"/>
      <c r="AF241" s="367"/>
      <c r="AG241" s="420"/>
      <c r="AH241" s="367"/>
      <c r="AI241" s="367"/>
      <c r="AJ241" s="367"/>
      <c r="AK241" s="358"/>
      <c r="AL241" s="358"/>
      <c r="AM241" s="358"/>
      <c r="AN241" s="358"/>
      <c r="AO241" s="358"/>
      <c r="AP241" s="367"/>
      <c r="AQ241" s="367"/>
      <c r="AR241" s="367"/>
    </row>
    <row r="242">
      <c r="A242" s="418"/>
      <c r="B242" s="418"/>
      <c r="C242" s="417"/>
      <c r="D242" s="417"/>
      <c r="E242" s="418"/>
      <c r="F242" s="418"/>
      <c r="G242" s="367"/>
      <c r="H242" s="418"/>
      <c r="I242" s="418"/>
      <c r="J242" s="418"/>
      <c r="K242" s="418"/>
      <c r="L242" s="420"/>
      <c r="M242" s="420"/>
      <c r="N242" s="420"/>
      <c r="O242" s="420"/>
      <c r="P242" s="420"/>
      <c r="Q242" s="420"/>
      <c r="R242" s="420"/>
      <c r="S242" s="420"/>
      <c r="T242" s="420"/>
      <c r="U242" s="420"/>
      <c r="V242" s="420"/>
      <c r="W242" s="420"/>
      <c r="X242" s="420"/>
      <c r="Y242" s="420"/>
      <c r="Z242" s="367"/>
      <c r="AA242" s="420"/>
      <c r="AB242" s="420"/>
      <c r="AC242" s="420"/>
      <c r="AD242" s="420"/>
      <c r="AE242" s="420"/>
      <c r="AF242" s="367"/>
      <c r="AG242" s="420"/>
      <c r="AH242" s="367"/>
      <c r="AI242" s="367"/>
      <c r="AJ242" s="367"/>
      <c r="AK242" s="358"/>
      <c r="AL242" s="358"/>
      <c r="AM242" s="358"/>
      <c r="AN242" s="358"/>
      <c r="AO242" s="358"/>
      <c r="AP242" s="367"/>
      <c r="AQ242" s="367"/>
      <c r="AR242" s="367"/>
    </row>
    <row r="243">
      <c r="A243" s="418"/>
      <c r="B243" s="418"/>
      <c r="C243" s="417"/>
      <c r="D243" s="417"/>
      <c r="E243" s="418"/>
      <c r="F243" s="418"/>
      <c r="G243" s="367"/>
      <c r="H243" s="418"/>
      <c r="I243" s="418"/>
      <c r="J243" s="418"/>
      <c r="K243" s="418"/>
      <c r="L243" s="420"/>
      <c r="M243" s="420"/>
      <c r="N243" s="420"/>
      <c r="O243" s="420"/>
      <c r="P243" s="420"/>
      <c r="Q243" s="420"/>
      <c r="R243" s="420"/>
      <c r="S243" s="420"/>
      <c r="T243" s="420"/>
      <c r="U243" s="420"/>
      <c r="V243" s="420"/>
      <c r="W243" s="420"/>
      <c r="X243" s="420"/>
      <c r="Y243" s="420"/>
      <c r="Z243" s="367"/>
      <c r="AA243" s="420"/>
      <c r="AB243" s="420"/>
      <c r="AC243" s="420"/>
      <c r="AD243" s="420"/>
      <c r="AE243" s="420"/>
      <c r="AF243" s="367"/>
      <c r="AG243" s="420"/>
      <c r="AH243" s="367"/>
      <c r="AI243" s="367"/>
      <c r="AJ243" s="367"/>
      <c r="AK243" s="358"/>
      <c r="AL243" s="358"/>
      <c r="AM243" s="358"/>
      <c r="AN243" s="358"/>
      <c r="AO243" s="358"/>
      <c r="AP243" s="367"/>
      <c r="AQ243" s="367"/>
      <c r="AR243" s="367"/>
    </row>
    <row r="244">
      <c r="A244" s="418"/>
      <c r="B244" s="418"/>
      <c r="C244" s="417"/>
      <c r="D244" s="417"/>
      <c r="E244" s="418"/>
      <c r="F244" s="418"/>
      <c r="G244" s="367"/>
      <c r="H244" s="418"/>
      <c r="I244" s="418"/>
      <c r="J244" s="418"/>
      <c r="K244" s="418"/>
      <c r="L244" s="420"/>
      <c r="M244" s="420"/>
      <c r="N244" s="420"/>
      <c r="O244" s="420"/>
      <c r="P244" s="420"/>
      <c r="Q244" s="420"/>
      <c r="R244" s="420"/>
      <c r="S244" s="420"/>
      <c r="T244" s="420"/>
      <c r="U244" s="420"/>
      <c r="V244" s="420"/>
      <c r="W244" s="420"/>
      <c r="X244" s="420"/>
      <c r="Y244" s="420"/>
      <c r="Z244" s="367"/>
      <c r="AA244" s="420"/>
      <c r="AB244" s="420"/>
      <c r="AC244" s="420"/>
      <c r="AD244" s="420"/>
      <c r="AE244" s="420"/>
      <c r="AF244" s="367"/>
      <c r="AG244" s="420"/>
      <c r="AH244" s="367"/>
      <c r="AI244" s="367"/>
      <c r="AJ244" s="367"/>
      <c r="AK244" s="358"/>
      <c r="AL244" s="358"/>
      <c r="AM244" s="358"/>
      <c r="AN244" s="358"/>
      <c r="AO244" s="358"/>
      <c r="AP244" s="367"/>
      <c r="AQ244" s="367"/>
      <c r="AR244" s="367"/>
    </row>
    <row r="245">
      <c r="A245" s="418"/>
      <c r="B245" s="418"/>
      <c r="C245" s="417"/>
      <c r="D245" s="417"/>
      <c r="E245" s="418"/>
      <c r="F245" s="418"/>
      <c r="G245" s="367"/>
      <c r="H245" s="418"/>
      <c r="I245" s="418"/>
      <c r="J245" s="418"/>
      <c r="K245" s="418"/>
      <c r="L245" s="420"/>
      <c r="M245" s="420"/>
      <c r="N245" s="420"/>
      <c r="O245" s="420"/>
      <c r="P245" s="420"/>
      <c r="Q245" s="420"/>
      <c r="R245" s="420"/>
      <c r="S245" s="420"/>
      <c r="T245" s="420"/>
      <c r="U245" s="420"/>
      <c r="V245" s="420"/>
      <c r="W245" s="420"/>
      <c r="X245" s="420"/>
      <c r="Y245" s="420"/>
      <c r="Z245" s="367"/>
      <c r="AA245" s="420"/>
      <c r="AB245" s="420"/>
      <c r="AC245" s="420"/>
      <c r="AD245" s="420"/>
      <c r="AE245" s="420"/>
      <c r="AF245" s="367"/>
      <c r="AG245" s="420"/>
      <c r="AH245" s="367"/>
      <c r="AI245" s="367"/>
      <c r="AJ245" s="367"/>
      <c r="AK245" s="358"/>
      <c r="AL245" s="358"/>
      <c r="AM245" s="358"/>
      <c r="AN245" s="358"/>
      <c r="AO245" s="358"/>
      <c r="AP245" s="367"/>
      <c r="AQ245" s="367"/>
      <c r="AR245" s="367"/>
    </row>
    <row r="246">
      <c r="A246" s="418"/>
      <c r="B246" s="418"/>
      <c r="C246" s="417"/>
      <c r="D246" s="417"/>
      <c r="E246" s="418"/>
      <c r="F246" s="418"/>
      <c r="G246" s="367"/>
      <c r="H246" s="418"/>
      <c r="I246" s="418"/>
      <c r="J246" s="418"/>
      <c r="K246" s="418"/>
      <c r="L246" s="420"/>
      <c r="M246" s="420"/>
      <c r="N246" s="420"/>
      <c r="O246" s="420"/>
      <c r="P246" s="420"/>
      <c r="Q246" s="420"/>
      <c r="R246" s="420"/>
      <c r="S246" s="420"/>
      <c r="T246" s="420"/>
      <c r="U246" s="420"/>
      <c r="V246" s="420"/>
      <c r="W246" s="420"/>
      <c r="X246" s="420"/>
      <c r="Y246" s="420"/>
      <c r="Z246" s="367"/>
      <c r="AA246" s="420"/>
      <c r="AB246" s="420"/>
      <c r="AC246" s="420"/>
      <c r="AD246" s="420"/>
      <c r="AE246" s="420"/>
      <c r="AF246" s="367"/>
      <c r="AG246" s="420"/>
      <c r="AH246" s="367"/>
      <c r="AI246" s="367"/>
      <c r="AJ246" s="367"/>
      <c r="AK246" s="358"/>
      <c r="AL246" s="358"/>
      <c r="AM246" s="358"/>
      <c r="AN246" s="358"/>
      <c r="AO246" s="358"/>
      <c r="AP246" s="367"/>
      <c r="AQ246" s="367"/>
      <c r="AR246" s="367"/>
    </row>
    <row r="247">
      <c r="A247" s="418"/>
      <c r="B247" s="418"/>
      <c r="C247" s="417"/>
      <c r="D247" s="417"/>
      <c r="E247" s="418"/>
      <c r="F247" s="418"/>
      <c r="G247" s="367"/>
      <c r="H247" s="418"/>
      <c r="I247" s="418"/>
      <c r="J247" s="418"/>
      <c r="K247" s="418"/>
      <c r="L247" s="420"/>
      <c r="M247" s="420"/>
      <c r="N247" s="420"/>
      <c r="O247" s="420"/>
      <c r="P247" s="420"/>
      <c r="Q247" s="420"/>
      <c r="R247" s="420"/>
      <c r="S247" s="420"/>
      <c r="T247" s="420"/>
      <c r="U247" s="420"/>
      <c r="V247" s="420"/>
      <c r="W247" s="420"/>
      <c r="X247" s="420"/>
      <c r="Y247" s="420"/>
      <c r="Z247" s="367"/>
      <c r="AA247" s="420"/>
      <c r="AB247" s="420"/>
      <c r="AC247" s="420"/>
      <c r="AD247" s="420"/>
      <c r="AE247" s="420"/>
      <c r="AF247" s="367"/>
      <c r="AG247" s="420"/>
      <c r="AH247" s="367"/>
      <c r="AI247" s="367"/>
      <c r="AJ247" s="367"/>
      <c r="AK247" s="358"/>
      <c r="AL247" s="358"/>
      <c r="AM247" s="358"/>
      <c r="AN247" s="358"/>
      <c r="AO247" s="358"/>
      <c r="AP247" s="367"/>
      <c r="AQ247" s="367"/>
      <c r="AR247" s="367"/>
    </row>
    <row r="248">
      <c r="A248" s="418"/>
      <c r="B248" s="418"/>
      <c r="C248" s="417"/>
      <c r="D248" s="417"/>
      <c r="E248" s="418"/>
      <c r="F248" s="418"/>
      <c r="G248" s="367"/>
      <c r="H248" s="418"/>
      <c r="I248" s="418"/>
      <c r="J248" s="418"/>
      <c r="K248" s="418"/>
      <c r="L248" s="420"/>
      <c r="M248" s="420"/>
      <c r="N248" s="420"/>
      <c r="O248" s="420"/>
      <c r="P248" s="420"/>
      <c r="Q248" s="420"/>
      <c r="R248" s="420"/>
      <c r="S248" s="420"/>
      <c r="T248" s="420"/>
      <c r="U248" s="420"/>
      <c r="V248" s="420"/>
      <c r="W248" s="420"/>
      <c r="X248" s="420"/>
      <c r="Y248" s="420"/>
      <c r="Z248" s="367"/>
      <c r="AA248" s="420"/>
      <c r="AB248" s="420"/>
      <c r="AC248" s="420"/>
      <c r="AD248" s="420"/>
      <c r="AE248" s="420"/>
      <c r="AF248" s="367"/>
      <c r="AG248" s="420"/>
      <c r="AH248" s="367"/>
      <c r="AI248" s="367"/>
      <c r="AJ248" s="367"/>
      <c r="AK248" s="358"/>
      <c r="AL248" s="358"/>
      <c r="AM248" s="358"/>
      <c r="AN248" s="358"/>
      <c r="AO248" s="358"/>
      <c r="AP248" s="367"/>
      <c r="AQ248" s="367"/>
      <c r="AR248" s="367"/>
    </row>
    <row r="249">
      <c r="A249" s="418"/>
      <c r="B249" s="418"/>
      <c r="C249" s="417"/>
      <c r="D249" s="417"/>
      <c r="E249" s="418"/>
      <c r="F249" s="418"/>
      <c r="G249" s="367"/>
      <c r="H249" s="418"/>
      <c r="I249" s="418"/>
      <c r="J249" s="418"/>
      <c r="K249" s="418"/>
      <c r="L249" s="420"/>
      <c r="M249" s="420"/>
      <c r="N249" s="420"/>
      <c r="O249" s="420"/>
      <c r="P249" s="420"/>
      <c r="Q249" s="420"/>
      <c r="R249" s="420"/>
      <c r="S249" s="420"/>
      <c r="T249" s="420"/>
      <c r="U249" s="420"/>
      <c r="V249" s="420"/>
      <c r="W249" s="420"/>
      <c r="X249" s="420"/>
      <c r="Y249" s="420"/>
      <c r="Z249" s="367"/>
      <c r="AA249" s="420"/>
      <c r="AB249" s="420"/>
      <c r="AC249" s="420"/>
      <c r="AD249" s="420"/>
      <c r="AE249" s="420"/>
      <c r="AF249" s="367"/>
      <c r="AG249" s="420"/>
      <c r="AH249" s="367"/>
      <c r="AI249" s="367"/>
      <c r="AJ249" s="367"/>
      <c r="AK249" s="358"/>
      <c r="AL249" s="358"/>
      <c r="AM249" s="358"/>
      <c r="AN249" s="358"/>
      <c r="AO249" s="358"/>
      <c r="AP249" s="367"/>
      <c r="AQ249" s="367"/>
      <c r="AR249" s="367"/>
    </row>
    <row r="250">
      <c r="A250" s="418"/>
      <c r="B250" s="418"/>
      <c r="C250" s="417"/>
      <c r="D250" s="417"/>
      <c r="E250" s="418"/>
      <c r="F250" s="418"/>
      <c r="G250" s="367"/>
      <c r="H250" s="418"/>
      <c r="I250" s="418"/>
      <c r="J250" s="418"/>
      <c r="K250" s="418"/>
      <c r="L250" s="420"/>
      <c r="M250" s="420"/>
      <c r="N250" s="420"/>
      <c r="O250" s="420"/>
      <c r="P250" s="420"/>
      <c r="Q250" s="420"/>
      <c r="R250" s="420"/>
      <c r="S250" s="420"/>
      <c r="T250" s="420"/>
      <c r="U250" s="420"/>
      <c r="V250" s="420"/>
      <c r="W250" s="420"/>
      <c r="X250" s="420"/>
      <c r="Y250" s="420"/>
      <c r="Z250" s="367"/>
      <c r="AA250" s="420"/>
      <c r="AB250" s="420"/>
      <c r="AC250" s="420"/>
      <c r="AD250" s="420"/>
      <c r="AE250" s="420"/>
      <c r="AF250" s="367"/>
      <c r="AG250" s="420"/>
      <c r="AH250" s="367"/>
      <c r="AI250" s="367"/>
      <c r="AJ250" s="367"/>
      <c r="AK250" s="358"/>
      <c r="AL250" s="358"/>
      <c r="AM250" s="358"/>
      <c r="AN250" s="358"/>
      <c r="AO250" s="358"/>
      <c r="AP250" s="367"/>
      <c r="AQ250" s="367"/>
      <c r="AR250" s="367"/>
    </row>
    <row r="251">
      <c r="A251" s="418"/>
      <c r="B251" s="418"/>
      <c r="C251" s="417"/>
      <c r="D251" s="417"/>
      <c r="E251" s="418"/>
      <c r="F251" s="418"/>
      <c r="G251" s="367"/>
      <c r="H251" s="418"/>
      <c r="I251" s="418"/>
      <c r="J251" s="418"/>
      <c r="K251" s="418"/>
      <c r="L251" s="420"/>
      <c r="M251" s="420"/>
      <c r="N251" s="420"/>
      <c r="O251" s="420"/>
      <c r="P251" s="420"/>
      <c r="Q251" s="420"/>
      <c r="R251" s="420"/>
      <c r="S251" s="420"/>
      <c r="T251" s="420"/>
      <c r="U251" s="420"/>
      <c r="V251" s="420"/>
      <c r="W251" s="420"/>
      <c r="X251" s="420"/>
      <c r="Y251" s="420"/>
      <c r="Z251" s="367"/>
      <c r="AA251" s="420"/>
      <c r="AB251" s="420"/>
      <c r="AC251" s="420"/>
      <c r="AD251" s="420"/>
      <c r="AE251" s="420"/>
      <c r="AF251" s="367"/>
      <c r="AG251" s="420"/>
      <c r="AH251" s="367"/>
      <c r="AI251" s="367"/>
      <c r="AJ251" s="367"/>
      <c r="AK251" s="358"/>
      <c r="AL251" s="358"/>
      <c r="AM251" s="358"/>
      <c r="AN251" s="358"/>
      <c r="AO251" s="358"/>
      <c r="AP251" s="367"/>
      <c r="AQ251" s="367"/>
      <c r="AR251" s="367"/>
    </row>
    <row r="252">
      <c r="A252" s="418"/>
      <c r="B252" s="418"/>
      <c r="C252" s="417"/>
      <c r="D252" s="417"/>
      <c r="E252" s="418"/>
      <c r="F252" s="418"/>
      <c r="G252" s="367"/>
      <c r="H252" s="418"/>
      <c r="I252" s="418"/>
      <c r="J252" s="418"/>
      <c r="K252" s="418"/>
      <c r="L252" s="420"/>
      <c r="M252" s="420"/>
      <c r="N252" s="420"/>
      <c r="O252" s="420"/>
      <c r="P252" s="420"/>
      <c r="Q252" s="420"/>
      <c r="R252" s="420"/>
      <c r="S252" s="420"/>
      <c r="T252" s="420"/>
      <c r="U252" s="420"/>
      <c r="V252" s="420"/>
      <c r="W252" s="420"/>
      <c r="X252" s="420"/>
      <c r="Y252" s="420"/>
      <c r="Z252" s="367"/>
      <c r="AA252" s="420"/>
      <c r="AB252" s="420"/>
      <c r="AC252" s="420"/>
      <c r="AD252" s="420"/>
      <c r="AE252" s="420"/>
      <c r="AF252" s="367"/>
      <c r="AG252" s="420"/>
      <c r="AH252" s="367"/>
      <c r="AI252" s="367"/>
      <c r="AJ252" s="367"/>
      <c r="AK252" s="358"/>
      <c r="AL252" s="358"/>
      <c r="AM252" s="358"/>
      <c r="AN252" s="358"/>
      <c r="AO252" s="358"/>
      <c r="AP252" s="367"/>
      <c r="AQ252" s="367"/>
      <c r="AR252" s="367"/>
    </row>
    <row r="253">
      <c r="A253" s="418"/>
      <c r="B253" s="418"/>
      <c r="C253" s="417"/>
      <c r="D253" s="417"/>
      <c r="E253" s="418"/>
      <c r="F253" s="418"/>
      <c r="G253" s="367"/>
      <c r="H253" s="418"/>
      <c r="I253" s="418"/>
      <c r="J253" s="418"/>
      <c r="K253" s="418"/>
      <c r="L253" s="420"/>
      <c r="M253" s="420"/>
      <c r="N253" s="420"/>
      <c r="O253" s="420"/>
      <c r="P253" s="420"/>
      <c r="Q253" s="420"/>
      <c r="R253" s="420"/>
      <c r="S253" s="420"/>
      <c r="T253" s="420"/>
      <c r="U253" s="420"/>
      <c r="V253" s="420"/>
      <c r="W253" s="420"/>
      <c r="X253" s="420"/>
      <c r="Y253" s="420"/>
      <c r="Z253" s="367"/>
      <c r="AA253" s="420"/>
      <c r="AB253" s="420"/>
      <c r="AC253" s="420"/>
      <c r="AD253" s="420"/>
      <c r="AE253" s="420"/>
      <c r="AF253" s="367"/>
      <c r="AG253" s="420"/>
      <c r="AH253" s="367"/>
      <c r="AI253" s="367"/>
      <c r="AJ253" s="367"/>
      <c r="AK253" s="358"/>
      <c r="AL253" s="358"/>
      <c r="AM253" s="358"/>
      <c r="AN253" s="358"/>
      <c r="AO253" s="358"/>
      <c r="AP253" s="367"/>
      <c r="AQ253" s="367"/>
      <c r="AR253" s="367"/>
    </row>
    <row r="254">
      <c r="A254" s="418"/>
      <c r="B254" s="418"/>
      <c r="C254" s="417"/>
      <c r="D254" s="417"/>
      <c r="E254" s="418"/>
      <c r="F254" s="418"/>
      <c r="G254" s="367"/>
      <c r="H254" s="418"/>
      <c r="I254" s="418"/>
      <c r="J254" s="418"/>
      <c r="K254" s="418"/>
      <c r="L254" s="420"/>
      <c r="M254" s="420"/>
      <c r="N254" s="420"/>
      <c r="O254" s="420"/>
      <c r="P254" s="420"/>
      <c r="Q254" s="420"/>
      <c r="R254" s="420"/>
      <c r="S254" s="420"/>
      <c r="T254" s="420"/>
      <c r="U254" s="420"/>
      <c r="V254" s="420"/>
      <c r="W254" s="420"/>
      <c r="X254" s="420"/>
      <c r="Y254" s="420"/>
      <c r="Z254" s="367"/>
      <c r="AA254" s="420"/>
      <c r="AB254" s="420"/>
      <c r="AC254" s="420"/>
      <c r="AD254" s="420"/>
      <c r="AE254" s="420"/>
      <c r="AF254" s="367"/>
      <c r="AG254" s="420"/>
      <c r="AH254" s="367"/>
      <c r="AI254" s="367"/>
      <c r="AJ254" s="367"/>
      <c r="AK254" s="358"/>
      <c r="AL254" s="358"/>
      <c r="AM254" s="358"/>
      <c r="AN254" s="358"/>
      <c r="AO254" s="358"/>
      <c r="AP254" s="367"/>
      <c r="AQ254" s="367"/>
      <c r="AR254" s="367"/>
    </row>
    <row r="255">
      <c r="A255" s="418"/>
      <c r="B255" s="418"/>
      <c r="C255" s="417"/>
      <c r="D255" s="417"/>
      <c r="E255" s="418"/>
      <c r="F255" s="418"/>
      <c r="G255" s="367"/>
      <c r="H255" s="418"/>
      <c r="I255" s="418"/>
      <c r="J255" s="418"/>
      <c r="K255" s="418"/>
      <c r="L255" s="420"/>
      <c r="M255" s="420"/>
      <c r="N255" s="420"/>
      <c r="O255" s="420"/>
      <c r="P255" s="420"/>
      <c r="Q255" s="420"/>
      <c r="R255" s="420"/>
      <c r="S255" s="420"/>
      <c r="T255" s="420"/>
      <c r="U255" s="420"/>
      <c r="V255" s="420"/>
      <c r="W255" s="420"/>
      <c r="X255" s="420"/>
      <c r="Y255" s="420"/>
      <c r="Z255" s="367"/>
      <c r="AA255" s="420"/>
      <c r="AB255" s="420"/>
      <c r="AC255" s="420"/>
      <c r="AD255" s="420"/>
      <c r="AE255" s="420"/>
      <c r="AF255" s="367"/>
      <c r="AG255" s="420"/>
      <c r="AH255" s="367"/>
      <c r="AI255" s="367"/>
      <c r="AJ255" s="367"/>
      <c r="AK255" s="358"/>
      <c r="AL255" s="358"/>
      <c r="AM255" s="358"/>
      <c r="AN255" s="358"/>
      <c r="AO255" s="358"/>
      <c r="AP255" s="367"/>
      <c r="AQ255" s="367"/>
      <c r="AR255" s="367"/>
    </row>
    <row r="256">
      <c r="A256" s="418"/>
      <c r="B256" s="418"/>
      <c r="C256" s="417"/>
      <c r="D256" s="417"/>
      <c r="E256" s="418"/>
      <c r="F256" s="418"/>
      <c r="G256" s="367"/>
      <c r="H256" s="418"/>
      <c r="I256" s="418"/>
      <c r="J256" s="418"/>
      <c r="K256" s="418"/>
      <c r="L256" s="420"/>
      <c r="M256" s="420"/>
      <c r="N256" s="420"/>
      <c r="O256" s="420"/>
      <c r="P256" s="420"/>
      <c r="Q256" s="420"/>
      <c r="R256" s="420"/>
      <c r="S256" s="420"/>
      <c r="T256" s="420"/>
      <c r="U256" s="420"/>
      <c r="V256" s="420"/>
      <c r="W256" s="420"/>
      <c r="X256" s="420"/>
      <c r="Y256" s="420"/>
      <c r="Z256" s="367"/>
      <c r="AA256" s="420"/>
      <c r="AB256" s="420"/>
      <c r="AC256" s="420"/>
      <c r="AD256" s="420"/>
      <c r="AE256" s="420"/>
      <c r="AF256" s="367"/>
      <c r="AG256" s="420"/>
      <c r="AH256" s="367"/>
      <c r="AI256" s="367"/>
      <c r="AJ256" s="367"/>
      <c r="AK256" s="358"/>
      <c r="AL256" s="358"/>
      <c r="AM256" s="358"/>
      <c r="AN256" s="358"/>
      <c r="AO256" s="358"/>
      <c r="AP256" s="367"/>
      <c r="AQ256" s="367"/>
      <c r="AR256" s="367"/>
    </row>
    <row r="257">
      <c r="A257" s="418"/>
      <c r="B257" s="418"/>
      <c r="C257" s="417"/>
      <c r="D257" s="417"/>
      <c r="E257" s="418"/>
      <c r="F257" s="418"/>
      <c r="G257" s="367"/>
      <c r="H257" s="418"/>
      <c r="I257" s="418"/>
      <c r="J257" s="418"/>
      <c r="K257" s="418"/>
      <c r="L257" s="420"/>
      <c r="M257" s="420"/>
      <c r="N257" s="420"/>
      <c r="O257" s="420"/>
      <c r="P257" s="420"/>
      <c r="Q257" s="420"/>
      <c r="R257" s="420"/>
      <c r="S257" s="420"/>
      <c r="T257" s="420"/>
      <c r="U257" s="420"/>
      <c r="V257" s="420"/>
      <c r="W257" s="420"/>
      <c r="X257" s="420"/>
      <c r="Y257" s="420"/>
      <c r="Z257" s="367"/>
      <c r="AA257" s="420"/>
      <c r="AB257" s="420"/>
      <c r="AC257" s="420"/>
      <c r="AD257" s="420"/>
      <c r="AE257" s="420"/>
      <c r="AF257" s="367"/>
      <c r="AG257" s="420"/>
      <c r="AH257" s="367"/>
      <c r="AI257" s="367"/>
      <c r="AJ257" s="367"/>
      <c r="AK257" s="358"/>
      <c r="AL257" s="358"/>
      <c r="AM257" s="358"/>
      <c r="AN257" s="358"/>
      <c r="AO257" s="358"/>
      <c r="AP257" s="367"/>
      <c r="AQ257" s="367"/>
      <c r="AR257" s="367"/>
    </row>
    <row r="258">
      <c r="A258" s="418"/>
      <c r="B258" s="418"/>
      <c r="C258" s="417"/>
      <c r="D258" s="417"/>
      <c r="E258" s="418"/>
      <c r="F258" s="418"/>
      <c r="G258" s="367"/>
      <c r="H258" s="418"/>
      <c r="I258" s="418"/>
      <c r="J258" s="418"/>
      <c r="K258" s="418"/>
      <c r="L258" s="420"/>
      <c r="M258" s="420"/>
      <c r="N258" s="420"/>
      <c r="O258" s="420"/>
      <c r="P258" s="420"/>
      <c r="Q258" s="420"/>
      <c r="R258" s="420"/>
      <c r="S258" s="420"/>
      <c r="T258" s="420"/>
      <c r="U258" s="420"/>
      <c r="V258" s="420"/>
      <c r="W258" s="420"/>
      <c r="X258" s="420"/>
      <c r="Y258" s="420"/>
      <c r="Z258" s="367"/>
      <c r="AA258" s="420"/>
      <c r="AB258" s="420"/>
      <c r="AC258" s="420"/>
      <c r="AD258" s="420"/>
      <c r="AE258" s="420"/>
      <c r="AF258" s="367"/>
      <c r="AG258" s="420"/>
      <c r="AH258" s="367"/>
      <c r="AI258" s="367"/>
      <c r="AJ258" s="367"/>
      <c r="AK258" s="358"/>
      <c r="AL258" s="358"/>
      <c r="AM258" s="358"/>
      <c r="AN258" s="358"/>
      <c r="AO258" s="358"/>
      <c r="AP258" s="367"/>
      <c r="AQ258" s="367"/>
      <c r="AR258" s="367"/>
    </row>
    <row r="259">
      <c r="A259" s="418"/>
      <c r="B259" s="418"/>
      <c r="C259" s="417"/>
      <c r="D259" s="417"/>
      <c r="E259" s="418"/>
      <c r="F259" s="418"/>
      <c r="G259" s="367"/>
      <c r="H259" s="418"/>
      <c r="I259" s="418"/>
      <c r="J259" s="418"/>
      <c r="K259" s="418"/>
      <c r="L259" s="420"/>
      <c r="M259" s="420"/>
      <c r="N259" s="420"/>
      <c r="O259" s="420"/>
      <c r="P259" s="420"/>
      <c r="Q259" s="420"/>
      <c r="R259" s="420"/>
      <c r="S259" s="420"/>
      <c r="T259" s="420"/>
      <c r="U259" s="420"/>
      <c r="V259" s="420"/>
      <c r="W259" s="420"/>
      <c r="X259" s="420"/>
      <c r="Y259" s="420"/>
      <c r="Z259" s="367"/>
      <c r="AA259" s="420"/>
      <c r="AB259" s="420"/>
      <c r="AC259" s="420"/>
      <c r="AD259" s="420"/>
      <c r="AE259" s="420"/>
      <c r="AF259" s="367"/>
      <c r="AG259" s="420"/>
      <c r="AH259" s="367"/>
      <c r="AI259" s="367"/>
      <c r="AJ259" s="367"/>
      <c r="AK259" s="358"/>
      <c r="AL259" s="358"/>
      <c r="AM259" s="358"/>
      <c r="AN259" s="358"/>
      <c r="AO259" s="358"/>
      <c r="AP259" s="367"/>
      <c r="AQ259" s="367"/>
      <c r="AR259" s="367"/>
    </row>
    <row r="260">
      <c r="A260" s="418"/>
      <c r="B260" s="418"/>
      <c r="C260" s="417"/>
      <c r="D260" s="417"/>
      <c r="E260" s="418"/>
      <c r="F260" s="418"/>
      <c r="G260" s="367"/>
      <c r="H260" s="418"/>
      <c r="I260" s="418"/>
      <c r="J260" s="418"/>
      <c r="K260" s="418"/>
      <c r="L260" s="420"/>
      <c r="M260" s="420"/>
      <c r="N260" s="420"/>
      <c r="O260" s="420"/>
      <c r="P260" s="420"/>
      <c r="Q260" s="420"/>
      <c r="R260" s="420"/>
      <c r="S260" s="420"/>
      <c r="T260" s="420"/>
      <c r="U260" s="420"/>
      <c r="V260" s="420"/>
      <c r="W260" s="420"/>
      <c r="X260" s="420"/>
      <c r="Y260" s="420"/>
      <c r="Z260" s="367"/>
      <c r="AA260" s="420"/>
      <c r="AB260" s="420"/>
      <c r="AC260" s="420"/>
      <c r="AD260" s="420"/>
      <c r="AE260" s="420"/>
      <c r="AF260" s="367"/>
      <c r="AG260" s="420"/>
      <c r="AH260" s="367"/>
      <c r="AI260" s="367"/>
      <c r="AJ260" s="367"/>
      <c r="AK260" s="358"/>
      <c r="AL260" s="358"/>
      <c r="AM260" s="358"/>
      <c r="AN260" s="358"/>
      <c r="AO260" s="358"/>
      <c r="AP260" s="367"/>
      <c r="AQ260" s="367"/>
      <c r="AR260" s="367"/>
    </row>
    <row r="261">
      <c r="A261" s="418"/>
      <c r="B261" s="418"/>
      <c r="C261" s="417"/>
      <c r="D261" s="417"/>
      <c r="E261" s="418"/>
      <c r="F261" s="418"/>
      <c r="G261" s="367"/>
      <c r="H261" s="418"/>
      <c r="I261" s="418"/>
      <c r="J261" s="418"/>
      <c r="K261" s="418"/>
      <c r="L261" s="420"/>
      <c r="M261" s="420"/>
      <c r="N261" s="420"/>
      <c r="O261" s="420"/>
      <c r="P261" s="420"/>
      <c r="Q261" s="420"/>
      <c r="R261" s="420"/>
      <c r="S261" s="420"/>
      <c r="T261" s="420"/>
      <c r="U261" s="420"/>
      <c r="V261" s="420"/>
      <c r="W261" s="420"/>
      <c r="X261" s="420"/>
      <c r="Y261" s="420"/>
      <c r="Z261" s="367"/>
      <c r="AA261" s="420"/>
      <c r="AB261" s="420"/>
      <c r="AC261" s="420"/>
      <c r="AD261" s="420"/>
      <c r="AE261" s="420"/>
      <c r="AF261" s="367"/>
      <c r="AG261" s="420"/>
      <c r="AH261" s="367"/>
      <c r="AI261" s="367"/>
      <c r="AJ261" s="367"/>
      <c r="AK261" s="358"/>
      <c r="AL261" s="358"/>
      <c r="AM261" s="358"/>
      <c r="AN261" s="358"/>
      <c r="AO261" s="358"/>
      <c r="AP261" s="367"/>
      <c r="AQ261" s="367"/>
      <c r="AR261" s="367"/>
    </row>
    <row r="262">
      <c r="A262" s="418"/>
      <c r="B262" s="418"/>
      <c r="C262" s="417"/>
      <c r="D262" s="417"/>
      <c r="E262" s="418"/>
      <c r="F262" s="418"/>
      <c r="G262" s="367"/>
      <c r="H262" s="418"/>
      <c r="I262" s="418"/>
      <c r="J262" s="418"/>
      <c r="K262" s="418"/>
      <c r="L262" s="420"/>
      <c r="M262" s="420"/>
      <c r="N262" s="420"/>
      <c r="O262" s="420"/>
      <c r="P262" s="420"/>
      <c r="Q262" s="420"/>
      <c r="R262" s="420"/>
      <c r="S262" s="420"/>
      <c r="T262" s="420"/>
      <c r="U262" s="420"/>
      <c r="V262" s="420"/>
      <c r="W262" s="420"/>
      <c r="X262" s="420"/>
      <c r="Y262" s="420"/>
      <c r="Z262" s="367"/>
      <c r="AA262" s="420"/>
      <c r="AB262" s="420"/>
      <c r="AC262" s="420"/>
      <c r="AD262" s="420"/>
      <c r="AE262" s="420"/>
      <c r="AF262" s="367"/>
      <c r="AG262" s="420"/>
      <c r="AH262" s="367"/>
      <c r="AI262" s="367"/>
      <c r="AJ262" s="367"/>
      <c r="AK262" s="358"/>
      <c r="AL262" s="358"/>
      <c r="AM262" s="358"/>
      <c r="AN262" s="358"/>
      <c r="AO262" s="358"/>
      <c r="AP262" s="367"/>
      <c r="AQ262" s="367"/>
      <c r="AR262" s="367"/>
    </row>
    <row r="263">
      <c r="A263" s="418"/>
      <c r="B263" s="418"/>
      <c r="C263" s="417"/>
      <c r="D263" s="417"/>
      <c r="E263" s="418"/>
      <c r="F263" s="418"/>
      <c r="G263" s="367"/>
      <c r="H263" s="418"/>
      <c r="I263" s="418"/>
      <c r="J263" s="418"/>
      <c r="K263" s="418"/>
      <c r="L263" s="420"/>
      <c r="M263" s="420"/>
      <c r="N263" s="420"/>
      <c r="O263" s="420"/>
      <c r="P263" s="420"/>
      <c r="Q263" s="420"/>
      <c r="R263" s="420"/>
      <c r="S263" s="420"/>
      <c r="T263" s="420"/>
      <c r="U263" s="420"/>
      <c r="V263" s="420"/>
      <c r="W263" s="420"/>
      <c r="X263" s="420"/>
      <c r="Y263" s="420"/>
      <c r="Z263" s="367"/>
      <c r="AA263" s="420"/>
      <c r="AB263" s="420"/>
      <c r="AC263" s="420"/>
      <c r="AD263" s="420"/>
      <c r="AE263" s="420"/>
      <c r="AF263" s="367"/>
      <c r="AG263" s="420"/>
      <c r="AH263" s="367"/>
      <c r="AI263" s="367"/>
      <c r="AJ263" s="367"/>
      <c r="AK263" s="358"/>
      <c r="AL263" s="358"/>
      <c r="AM263" s="358"/>
      <c r="AN263" s="358"/>
      <c r="AO263" s="358"/>
      <c r="AP263" s="367"/>
      <c r="AQ263" s="367"/>
      <c r="AR263" s="367"/>
    </row>
    <row r="264">
      <c r="A264" s="418"/>
      <c r="B264" s="418"/>
      <c r="C264" s="417"/>
      <c r="D264" s="417"/>
      <c r="E264" s="418"/>
      <c r="F264" s="418"/>
      <c r="G264" s="367"/>
      <c r="H264" s="418"/>
      <c r="I264" s="418"/>
      <c r="J264" s="418"/>
      <c r="K264" s="418"/>
      <c r="L264" s="420"/>
      <c r="M264" s="420"/>
      <c r="N264" s="420"/>
      <c r="O264" s="420"/>
      <c r="P264" s="420"/>
      <c r="Q264" s="420"/>
      <c r="R264" s="420"/>
      <c r="S264" s="420"/>
      <c r="T264" s="420"/>
      <c r="U264" s="420"/>
      <c r="V264" s="420"/>
      <c r="W264" s="420"/>
      <c r="X264" s="420"/>
      <c r="Y264" s="420"/>
      <c r="Z264" s="367"/>
      <c r="AA264" s="420"/>
      <c r="AB264" s="420"/>
      <c r="AC264" s="420"/>
      <c r="AD264" s="420"/>
      <c r="AE264" s="420"/>
      <c r="AF264" s="367"/>
      <c r="AG264" s="420"/>
      <c r="AH264" s="367"/>
      <c r="AI264" s="367"/>
      <c r="AJ264" s="367"/>
      <c r="AK264" s="358"/>
      <c r="AL264" s="358"/>
      <c r="AM264" s="358"/>
      <c r="AN264" s="358"/>
      <c r="AO264" s="358"/>
      <c r="AP264" s="367"/>
      <c r="AQ264" s="367"/>
      <c r="AR264" s="367"/>
    </row>
    <row r="265">
      <c r="A265" s="418"/>
      <c r="B265" s="418"/>
      <c r="C265" s="417"/>
      <c r="D265" s="417"/>
      <c r="E265" s="418"/>
      <c r="F265" s="418"/>
      <c r="G265" s="367"/>
      <c r="H265" s="418"/>
      <c r="I265" s="418"/>
      <c r="J265" s="418"/>
      <c r="K265" s="418"/>
      <c r="L265" s="420"/>
      <c r="M265" s="420"/>
      <c r="N265" s="420"/>
      <c r="O265" s="420"/>
      <c r="P265" s="420"/>
      <c r="Q265" s="420"/>
      <c r="R265" s="420"/>
      <c r="S265" s="420"/>
      <c r="T265" s="420"/>
      <c r="U265" s="420"/>
      <c r="V265" s="420"/>
      <c r="W265" s="420"/>
      <c r="X265" s="420"/>
      <c r="Y265" s="420"/>
      <c r="Z265" s="367"/>
      <c r="AA265" s="420"/>
      <c r="AB265" s="420"/>
      <c r="AC265" s="420"/>
      <c r="AD265" s="420"/>
      <c r="AE265" s="420"/>
      <c r="AF265" s="367"/>
      <c r="AG265" s="420"/>
      <c r="AH265" s="367"/>
      <c r="AI265" s="367"/>
      <c r="AJ265" s="367"/>
      <c r="AK265" s="358"/>
      <c r="AL265" s="358"/>
      <c r="AM265" s="358"/>
      <c r="AN265" s="358"/>
      <c r="AO265" s="358"/>
      <c r="AP265" s="367"/>
      <c r="AQ265" s="367"/>
      <c r="AR265" s="367"/>
    </row>
    <row r="266">
      <c r="A266" s="418"/>
      <c r="B266" s="418"/>
      <c r="C266" s="417"/>
      <c r="D266" s="417"/>
      <c r="E266" s="418"/>
      <c r="F266" s="418"/>
      <c r="G266" s="367"/>
      <c r="H266" s="418"/>
      <c r="I266" s="418"/>
      <c r="J266" s="418"/>
      <c r="K266" s="418"/>
      <c r="L266" s="420"/>
      <c r="M266" s="420"/>
      <c r="N266" s="420"/>
      <c r="O266" s="420"/>
      <c r="P266" s="420"/>
      <c r="Q266" s="420"/>
      <c r="R266" s="420"/>
      <c r="S266" s="420"/>
      <c r="T266" s="420"/>
      <c r="U266" s="420"/>
      <c r="V266" s="420"/>
      <c r="W266" s="420"/>
      <c r="X266" s="420"/>
      <c r="Y266" s="420"/>
      <c r="Z266" s="367"/>
      <c r="AA266" s="420"/>
      <c r="AB266" s="420"/>
      <c r="AC266" s="420"/>
      <c r="AD266" s="420"/>
      <c r="AE266" s="420"/>
      <c r="AF266" s="367"/>
      <c r="AG266" s="420"/>
      <c r="AH266" s="367"/>
      <c r="AI266" s="367"/>
      <c r="AJ266" s="367"/>
      <c r="AK266" s="358"/>
      <c r="AL266" s="358"/>
      <c r="AM266" s="358"/>
      <c r="AN266" s="358"/>
      <c r="AO266" s="358"/>
      <c r="AP266" s="367"/>
      <c r="AQ266" s="367"/>
      <c r="AR266" s="367"/>
    </row>
    <row r="267">
      <c r="A267" s="418"/>
      <c r="B267" s="418"/>
      <c r="C267" s="417"/>
      <c r="D267" s="417"/>
      <c r="E267" s="418"/>
      <c r="F267" s="418"/>
      <c r="G267" s="367"/>
      <c r="H267" s="418"/>
      <c r="I267" s="418"/>
      <c r="J267" s="418"/>
      <c r="K267" s="418"/>
      <c r="L267" s="420"/>
      <c r="M267" s="420"/>
      <c r="N267" s="420"/>
      <c r="O267" s="420"/>
      <c r="P267" s="420"/>
      <c r="Q267" s="420"/>
      <c r="R267" s="420"/>
      <c r="S267" s="420"/>
      <c r="T267" s="420"/>
      <c r="U267" s="420"/>
      <c r="V267" s="420"/>
      <c r="W267" s="420"/>
      <c r="X267" s="420"/>
      <c r="Y267" s="420"/>
      <c r="Z267" s="367"/>
      <c r="AA267" s="420"/>
      <c r="AB267" s="420"/>
      <c r="AC267" s="420"/>
      <c r="AD267" s="420"/>
      <c r="AE267" s="420"/>
      <c r="AF267" s="367"/>
      <c r="AG267" s="420"/>
      <c r="AH267" s="367"/>
      <c r="AI267" s="367"/>
      <c r="AJ267" s="367"/>
      <c r="AK267" s="358"/>
      <c r="AL267" s="358"/>
      <c r="AM267" s="358"/>
      <c r="AN267" s="358"/>
      <c r="AO267" s="358"/>
      <c r="AP267" s="367"/>
      <c r="AQ267" s="367"/>
      <c r="AR267" s="367"/>
    </row>
    <row r="268">
      <c r="A268" s="418"/>
      <c r="B268" s="418"/>
      <c r="C268" s="417"/>
      <c r="D268" s="417"/>
      <c r="E268" s="418"/>
      <c r="F268" s="418"/>
      <c r="G268" s="367"/>
      <c r="H268" s="418"/>
      <c r="I268" s="418"/>
      <c r="J268" s="418"/>
      <c r="K268" s="418"/>
      <c r="L268" s="420"/>
      <c r="M268" s="420"/>
      <c r="N268" s="420"/>
      <c r="O268" s="420"/>
      <c r="P268" s="420"/>
      <c r="Q268" s="420"/>
      <c r="R268" s="420"/>
      <c r="S268" s="420"/>
      <c r="T268" s="420"/>
      <c r="U268" s="420"/>
      <c r="V268" s="420"/>
      <c r="W268" s="420"/>
      <c r="X268" s="420"/>
      <c r="Y268" s="420"/>
      <c r="Z268" s="367"/>
      <c r="AA268" s="420"/>
      <c r="AB268" s="420"/>
      <c r="AC268" s="420"/>
      <c r="AD268" s="420"/>
      <c r="AE268" s="420"/>
      <c r="AF268" s="367"/>
      <c r="AG268" s="420"/>
      <c r="AH268" s="367"/>
      <c r="AI268" s="367"/>
      <c r="AJ268" s="367"/>
      <c r="AK268" s="358"/>
      <c r="AL268" s="358"/>
      <c r="AM268" s="358"/>
      <c r="AN268" s="358"/>
      <c r="AO268" s="358"/>
      <c r="AP268" s="367"/>
      <c r="AQ268" s="367"/>
      <c r="AR268" s="367"/>
    </row>
    <row r="269">
      <c r="A269" s="418"/>
      <c r="B269" s="418"/>
      <c r="C269" s="417"/>
      <c r="D269" s="417"/>
      <c r="E269" s="418"/>
      <c r="F269" s="418"/>
      <c r="G269" s="367"/>
      <c r="H269" s="418"/>
      <c r="I269" s="418"/>
      <c r="J269" s="418"/>
      <c r="K269" s="418"/>
      <c r="L269" s="420"/>
      <c r="M269" s="420"/>
      <c r="N269" s="420"/>
      <c r="O269" s="420"/>
      <c r="P269" s="420"/>
      <c r="Q269" s="420"/>
      <c r="R269" s="420"/>
      <c r="S269" s="420"/>
      <c r="T269" s="420"/>
      <c r="U269" s="420"/>
      <c r="V269" s="420"/>
      <c r="W269" s="420"/>
      <c r="X269" s="420"/>
      <c r="Y269" s="420"/>
      <c r="Z269" s="367"/>
      <c r="AA269" s="420"/>
      <c r="AB269" s="420"/>
      <c r="AC269" s="420"/>
      <c r="AD269" s="420"/>
      <c r="AE269" s="420"/>
      <c r="AF269" s="367"/>
      <c r="AG269" s="420"/>
      <c r="AH269" s="367"/>
      <c r="AI269" s="367"/>
      <c r="AJ269" s="367"/>
      <c r="AK269" s="358"/>
      <c r="AL269" s="358"/>
      <c r="AM269" s="358"/>
      <c r="AN269" s="358"/>
      <c r="AO269" s="358"/>
      <c r="AP269" s="367"/>
      <c r="AQ269" s="367"/>
      <c r="AR269" s="367"/>
    </row>
    <row r="270">
      <c r="A270" s="418"/>
      <c r="B270" s="418"/>
      <c r="C270" s="417"/>
      <c r="D270" s="417"/>
      <c r="E270" s="418"/>
      <c r="F270" s="418"/>
      <c r="G270" s="367"/>
      <c r="H270" s="418"/>
      <c r="I270" s="418"/>
      <c r="J270" s="418"/>
      <c r="K270" s="418"/>
      <c r="L270" s="420"/>
      <c r="M270" s="420"/>
      <c r="N270" s="420"/>
      <c r="O270" s="420"/>
      <c r="P270" s="420"/>
      <c r="Q270" s="420"/>
      <c r="R270" s="420"/>
      <c r="S270" s="420"/>
      <c r="T270" s="420"/>
      <c r="U270" s="420"/>
      <c r="V270" s="420"/>
      <c r="W270" s="420"/>
      <c r="X270" s="420"/>
      <c r="Y270" s="420"/>
      <c r="Z270" s="367"/>
      <c r="AA270" s="420"/>
      <c r="AB270" s="420"/>
      <c r="AC270" s="420"/>
      <c r="AD270" s="420"/>
      <c r="AE270" s="420"/>
      <c r="AF270" s="367"/>
      <c r="AG270" s="420"/>
      <c r="AH270" s="367"/>
      <c r="AI270" s="367"/>
      <c r="AJ270" s="367"/>
      <c r="AK270" s="358"/>
      <c r="AL270" s="358"/>
      <c r="AM270" s="358"/>
      <c r="AN270" s="358"/>
      <c r="AO270" s="358"/>
      <c r="AP270" s="367"/>
      <c r="AQ270" s="367"/>
      <c r="AR270" s="367"/>
    </row>
    <row r="271">
      <c r="A271" s="418"/>
      <c r="B271" s="418"/>
      <c r="C271" s="417"/>
      <c r="D271" s="417"/>
      <c r="E271" s="418"/>
      <c r="F271" s="418"/>
      <c r="G271" s="367"/>
      <c r="H271" s="418"/>
      <c r="I271" s="418"/>
      <c r="J271" s="418"/>
      <c r="K271" s="418"/>
      <c r="L271" s="420"/>
      <c r="M271" s="420"/>
      <c r="N271" s="420"/>
      <c r="O271" s="420"/>
      <c r="P271" s="420"/>
      <c r="Q271" s="420"/>
      <c r="R271" s="420"/>
      <c r="S271" s="420"/>
      <c r="T271" s="420"/>
      <c r="U271" s="420"/>
      <c r="V271" s="420"/>
      <c r="W271" s="420"/>
      <c r="X271" s="420"/>
      <c r="Y271" s="420"/>
      <c r="Z271" s="367"/>
      <c r="AA271" s="420"/>
      <c r="AB271" s="420"/>
      <c r="AC271" s="420"/>
      <c r="AD271" s="420"/>
      <c r="AE271" s="420"/>
      <c r="AF271" s="367"/>
      <c r="AG271" s="420"/>
      <c r="AH271" s="367"/>
      <c r="AI271" s="367"/>
      <c r="AJ271" s="367"/>
      <c r="AK271" s="358"/>
      <c r="AL271" s="358"/>
      <c r="AM271" s="358"/>
      <c r="AN271" s="358"/>
      <c r="AO271" s="358"/>
      <c r="AP271" s="367"/>
      <c r="AQ271" s="367"/>
      <c r="AR271" s="367"/>
    </row>
    <row r="272">
      <c r="A272" s="418"/>
      <c r="B272" s="418"/>
      <c r="C272" s="417"/>
      <c r="D272" s="417"/>
      <c r="E272" s="418"/>
      <c r="F272" s="418"/>
      <c r="G272" s="367"/>
      <c r="H272" s="418"/>
      <c r="I272" s="418"/>
      <c r="J272" s="418"/>
      <c r="K272" s="418"/>
      <c r="L272" s="420"/>
      <c r="M272" s="420"/>
      <c r="N272" s="420"/>
      <c r="O272" s="420"/>
      <c r="P272" s="420"/>
      <c r="Q272" s="420"/>
      <c r="R272" s="420"/>
      <c r="S272" s="420"/>
      <c r="T272" s="420"/>
      <c r="U272" s="420"/>
      <c r="V272" s="420"/>
      <c r="W272" s="420"/>
      <c r="X272" s="420"/>
      <c r="Y272" s="420"/>
      <c r="Z272" s="367"/>
      <c r="AA272" s="420"/>
      <c r="AB272" s="420"/>
      <c r="AC272" s="420"/>
      <c r="AD272" s="420"/>
      <c r="AE272" s="420"/>
      <c r="AF272" s="367"/>
      <c r="AG272" s="420"/>
      <c r="AH272" s="367"/>
      <c r="AI272" s="367"/>
      <c r="AJ272" s="367"/>
      <c r="AK272" s="358"/>
      <c r="AL272" s="358"/>
      <c r="AM272" s="358"/>
      <c r="AN272" s="358"/>
      <c r="AO272" s="358"/>
      <c r="AP272" s="367"/>
      <c r="AQ272" s="367"/>
      <c r="AR272" s="367"/>
    </row>
    <row r="273">
      <c r="A273" s="418"/>
      <c r="B273" s="418"/>
      <c r="C273" s="417"/>
      <c r="D273" s="417"/>
      <c r="E273" s="418"/>
      <c r="F273" s="418"/>
      <c r="G273" s="367"/>
      <c r="H273" s="418"/>
      <c r="I273" s="418"/>
      <c r="J273" s="418"/>
      <c r="K273" s="418"/>
      <c r="L273" s="420"/>
      <c r="M273" s="420"/>
      <c r="N273" s="420"/>
      <c r="O273" s="420"/>
      <c r="P273" s="420"/>
      <c r="Q273" s="420"/>
      <c r="R273" s="420"/>
      <c r="S273" s="420"/>
      <c r="T273" s="420"/>
      <c r="U273" s="420"/>
      <c r="V273" s="420"/>
      <c r="W273" s="420"/>
      <c r="X273" s="420"/>
      <c r="Y273" s="420"/>
      <c r="Z273" s="367"/>
      <c r="AA273" s="420"/>
      <c r="AB273" s="420"/>
      <c r="AC273" s="420"/>
      <c r="AD273" s="420"/>
      <c r="AE273" s="420"/>
      <c r="AF273" s="367"/>
      <c r="AG273" s="420"/>
      <c r="AH273" s="367"/>
      <c r="AI273" s="367"/>
      <c r="AJ273" s="367"/>
      <c r="AK273" s="358"/>
      <c r="AL273" s="358"/>
      <c r="AM273" s="358"/>
      <c r="AN273" s="358"/>
      <c r="AO273" s="358"/>
      <c r="AP273" s="367"/>
      <c r="AQ273" s="367"/>
      <c r="AR273" s="367"/>
    </row>
    <row r="274">
      <c r="A274" s="418"/>
      <c r="B274" s="418"/>
      <c r="C274" s="417"/>
      <c r="D274" s="417"/>
      <c r="E274" s="418"/>
      <c r="F274" s="418"/>
      <c r="G274" s="367"/>
      <c r="H274" s="418"/>
      <c r="I274" s="418"/>
      <c r="J274" s="418"/>
      <c r="K274" s="418"/>
      <c r="L274" s="420"/>
      <c r="M274" s="420"/>
      <c r="N274" s="420"/>
      <c r="O274" s="420"/>
      <c r="P274" s="420"/>
      <c r="Q274" s="420"/>
      <c r="R274" s="420"/>
      <c r="S274" s="420"/>
      <c r="T274" s="420"/>
      <c r="U274" s="420"/>
      <c r="V274" s="420"/>
      <c r="W274" s="420"/>
      <c r="X274" s="420"/>
      <c r="Y274" s="420"/>
      <c r="Z274" s="367"/>
      <c r="AA274" s="420"/>
      <c r="AB274" s="420"/>
      <c r="AC274" s="420"/>
      <c r="AD274" s="420"/>
      <c r="AE274" s="420"/>
      <c r="AF274" s="367"/>
      <c r="AG274" s="420"/>
      <c r="AH274" s="367"/>
      <c r="AI274" s="367"/>
      <c r="AJ274" s="367"/>
      <c r="AK274" s="358"/>
      <c r="AL274" s="358"/>
      <c r="AM274" s="358"/>
      <c r="AN274" s="358"/>
      <c r="AO274" s="358"/>
      <c r="AP274" s="367"/>
      <c r="AQ274" s="367"/>
      <c r="AR274" s="367"/>
    </row>
    <row r="275">
      <c r="A275" s="418"/>
      <c r="B275" s="418"/>
      <c r="C275" s="417"/>
      <c r="D275" s="417"/>
      <c r="E275" s="418"/>
      <c r="F275" s="418"/>
      <c r="G275" s="367"/>
      <c r="H275" s="418"/>
      <c r="I275" s="418"/>
      <c r="J275" s="418"/>
      <c r="K275" s="418"/>
      <c r="L275" s="420"/>
      <c r="M275" s="420"/>
      <c r="N275" s="420"/>
      <c r="O275" s="420"/>
      <c r="P275" s="420"/>
      <c r="Q275" s="420"/>
      <c r="R275" s="420"/>
      <c r="S275" s="420"/>
      <c r="T275" s="420"/>
      <c r="U275" s="420"/>
      <c r="V275" s="420"/>
      <c r="W275" s="420"/>
      <c r="X275" s="420"/>
      <c r="Y275" s="420"/>
      <c r="Z275" s="367"/>
      <c r="AA275" s="420"/>
      <c r="AB275" s="420"/>
      <c r="AC275" s="420"/>
      <c r="AD275" s="420"/>
      <c r="AE275" s="420"/>
      <c r="AF275" s="367"/>
      <c r="AG275" s="420"/>
      <c r="AH275" s="367"/>
      <c r="AI275" s="367"/>
      <c r="AJ275" s="367"/>
      <c r="AK275" s="358"/>
      <c r="AL275" s="358"/>
      <c r="AM275" s="358"/>
      <c r="AN275" s="358"/>
      <c r="AO275" s="358"/>
      <c r="AP275" s="367"/>
      <c r="AQ275" s="367"/>
      <c r="AR275" s="367"/>
    </row>
    <row r="276">
      <c r="A276" s="418"/>
      <c r="B276" s="418"/>
      <c r="C276" s="417"/>
      <c r="D276" s="417"/>
      <c r="E276" s="418"/>
      <c r="F276" s="418"/>
      <c r="G276" s="367"/>
      <c r="H276" s="418"/>
      <c r="I276" s="418"/>
      <c r="J276" s="418"/>
      <c r="K276" s="418"/>
      <c r="L276" s="420"/>
      <c r="M276" s="420"/>
      <c r="N276" s="420"/>
      <c r="O276" s="420"/>
      <c r="P276" s="420"/>
      <c r="Q276" s="420"/>
      <c r="R276" s="420"/>
      <c r="S276" s="420"/>
      <c r="T276" s="420"/>
      <c r="U276" s="420"/>
      <c r="V276" s="420"/>
      <c r="W276" s="420"/>
      <c r="X276" s="420"/>
      <c r="Y276" s="420"/>
      <c r="Z276" s="367"/>
      <c r="AA276" s="420"/>
      <c r="AB276" s="420"/>
      <c r="AC276" s="420"/>
      <c r="AD276" s="420"/>
      <c r="AE276" s="420"/>
      <c r="AF276" s="367"/>
      <c r="AG276" s="420"/>
      <c r="AH276" s="367"/>
      <c r="AI276" s="367"/>
      <c r="AJ276" s="367"/>
      <c r="AK276" s="358"/>
      <c r="AL276" s="358"/>
      <c r="AM276" s="358"/>
      <c r="AN276" s="358"/>
      <c r="AO276" s="358"/>
      <c r="AP276" s="367"/>
      <c r="AQ276" s="367"/>
      <c r="AR276" s="367"/>
    </row>
    <row r="277">
      <c r="A277" s="418"/>
      <c r="B277" s="418"/>
      <c r="C277" s="417"/>
      <c r="D277" s="417"/>
      <c r="E277" s="418"/>
      <c r="F277" s="418"/>
      <c r="G277" s="367"/>
      <c r="H277" s="418"/>
      <c r="I277" s="418"/>
      <c r="J277" s="418"/>
      <c r="K277" s="418"/>
      <c r="L277" s="420"/>
      <c r="M277" s="420"/>
      <c r="N277" s="420"/>
      <c r="O277" s="420"/>
      <c r="P277" s="420"/>
      <c r="Q277" s="420"/>
      <c r="R277" s="420"/>
      <c r="S277" s="420"/>
      <c r="T277" s="420"/>
      <c r="U277" s="420"/>
      <c r="V277" s="420"/>
      <c r="W277" s="420"/>
      <c r="X277" s="420"/>
      <c r="Y277" s="420"/>
      <c r="Z277" s="367"/>
      <c r="AA277" s="420"/>
      <c r="AB277" s="420"/>
      <c r="AC277" s="420"/>
      <c r="AD277" s="420"/>
      <c r="AE277" s="420"/>
      <c r="AF277" s="367"/>
      <c r="AG277" s="420"/>
      <c r="AH277" s="367"/>
      <c r="AI277" s="367"/>
      <c r="AJ277" s="367"/>
      <c r="AK277" s="358"/>
      <c r="AL277" s="358"/>
      <c r="AM277" s="358"/>
      <c r="AN277" s="358"/>
      <c r="AO277" s="358"/>
      <c r="AP277" s="367"/>
      <c r="AQ277" s="367"/>
      <c r="AR277" s="367"/>
    </row>
    <row r="278">
      <c r="A278" s="418"/>
      <c r="B278" s="418"/>
      <c r="C278" s="417"/>
      <c r="D278" s="417"/>
      <c r="E278" s="418"/>
      <c r="F278" s="418"/>
      <c r="G278" s="367"/>
      <c r="H278" s="418"/>
      <c r="I278" s="418"/>
      <c r="J278" s="418"/>
      <c r="K278" s="418"/>
      <c r="L278" s="420"/>
      <c r="M278" s="420"/>
      <c r="N278" s="420"/>
      <c r="O278" s="420"/>
      <c r="P278" s="420"/>
      <c r="Q278" s="420"/>
      <c r="R278" s="420"/>
      <c r="S278" s="420"/>
      <c r="T278" s="420"/>
      <c r="U278" s="420"/>
      <c r="V278" s="420"/>
      <c r="W278" s="420"/>
      <c r="X278" s="420"/>
      <c r="Y278" s="420"/>
      <c r="Z278" s="367"/>
      <c r="AA278" s="420"/>
      <c r="AB278" s="420"/>
      <c r="AC278" s="420"/>
      <c r="AD278" s="420"/>
      <c r="AE278" s="420"/>
      <c r="AF278" s="367"/>
      <c r="AG278" s="420"/>
      <c r="AH278" s="367"/>
      <c r="AI278" s="367"/>
      <c r="AJ278" s="367"/>
      <c r="AK278" s="358"/>
      <c r="AL278" s="358"/>
      <c r="AM278" s="358"/>
      <c r="AN278" s="358"/>
      <c r="AO278" s="358"/>
      <c r="AP278" s="367"/>
      <c r="AQ278" s="367"/>
      <c r="AR278" s="367"/>
    </row>
    <row r="279">
      <c r="A279" s="418"/>
      <c r="B279" s="418"/>
      <c r="C279" s="417"/>
      <c r="D279" s="417"/>
      <c r="E279" s="418"/>
      <c r="F279" s="418"/>
      <c r="G279" s="367"/>
      <c r="H279" s="418"/>
      <c r="I279" s="418"/>
      <c r="J279" s="418"/>
      <c r="K279" s="418"/>
      <c r="L279" s="420"/>
      <c r="M279" s="420"/>
      <c r="N279" s="420"/>
      <c r="O279" s="420"/>
      <c r="P279" s="420"/>
      <c r="Q279" s="420"/>
      <c r="R279" s="420"/>
      <c r="S279" s="420"/>
      <c r="T279" s="420"/>
      <c r="U279" s="420"/>
      <c r="V279" s="420"/>
      <c r="W279" s="420"/>
      <c r="X279" s="420"/>
      <c r="Y279" s="420"/>
      <c r="Z279" s="367"/>
      <c r="AA279" s="420"/>
      <c r="AB279" s="420"/>
      <c r="AC279" s="420"/>
      <c r="AD279" s="420"/>
      <c r="AE279" s="420"/>
      <c r="AF279" s="367"/>
      <c r="AG279" s="420"/>
      <c r="AH279" s="367"/>
      <c r="AI279" s="367"/>
      <c r="AJ279" s="367"/>
      <c r="AK279" s="358"/>
      <c r="AL279" s="358"/>
      <c r="AM279" s="358"/>
      <c r="AN279" s="358"/>
      <c r="AO279" s="358"/>
      <c r="AP279" s="367"/>
      <c r="AQ279" s="367"/>
      <c r="AR279" s="367"/>
    </row>
    <row r="280">
      <c r="A280" s="418"/>
      <c r="B280" s="418"/>
      <c r="C280" s="417"/>
      <c r="D280" s="417"/>
      <c r="E280" s="418"/>
      <c r="F280" s="418"/>
      <c r="G280" s="367"/>
      <c r="H280" s="418"/>
      <c r="I280" s="418"/>
      <c r="J280" s="418"/>
      <c r="K280" s="418"/>
      <c r="L280" s="420"/>
      <c r="M280" s="420"/>
      <c r="N280" s="420"/>
      <c r="O280" s="420"/>
      <c r="P280" s="420"/>
      <c r="Q280" s="420"/>
      <c r="R280" s="420"/>
      <c r="S280" s="420"/>
      <c r="T280" s="420"/>
      <c r="U280" s="420"/>
      <c r="V280" s="420"/>
      <c r="W280" s="420"/>
      <c r="X280" s="420"/>
      <c r="Y280" s="420"/>
      <c r="Z280" s="367"/>
      <c r="AA280" s="420"/>
      <c r="AB280" s="420"/>
      <c r="AC280" s="420"/>
      <c r="AD280" s="420"/>
      <c r="AE280" s="420"/>
      <c r="AF280" s="367"/>
      <c r="AG280" s="420"/>
      <c r="AH280" s="367"/>
      <c r="AI280" s="367"/>
      <c r="AJ280" s="367"/>
      <c r="AK280" s="358"/>
      <c r="AL280" s="358"/>
      <c r="AM280" s="358"/>
      <c r="AN280" s="358"/>
      <c r="AO280" s="358"/>
      <c r="AP280" s="367"/>
      <c r="AQ280" s="367"/>
      <c r="AR280" s="367"/>
    </row>
    <row r="281">
      <c r="A281" s="418"/>
      <c r="B281" s="418"/>
      <c r="C281" s="417"/>
      <c r="D281" s="417"/>
      <c r="E281" s="418"/>
      <c r="F281" s="418"/>
      <c r="G281" s="367"/>
      <c r="H281" s="418"/>
      <c r="I281" s="418"/>
      <c r="J281" s="418"/>
      <c r="K281" s="418"/>
      <c r="L281" s="420"/>
      <c r="M281" s="420"/>
      <c r="N281" s="420"/>
      <c r="O281" s="420"/>
      <c r="P281" s="420"/>
      <c r="Q281" s="420"/>
      <c r="R281" s="420"/>
      <c r="S281" s="420"/>
      <c r="T281" s="420"/>
      <c r="U281" s="420"/>
      <c r="V281" s="420"/>
      <c r="W281" s="420"/>
      <c r="X281" s="420"/>
      <c r="Y281" s="420"/>
      <c r="Z281" s="367"/>
      <c r="AA281" s="420"/>
      <c r="AB281" s="420"/>
      <c r="AC281" s="420"/>
      <c r="AD281" s="420"/>
      <c r="AE281" s="420"/>
      <c r="AF281" s="367"/>
      <c r="AG281" s="420"/>
      <c r="AH281" s="367"/>
      <c r="AI281" s="367"/>
      <c r="AJ281" s="367"/>
      <c r="AK281" s="358"/>
      <c r="AL281" s="358"/>
      <c r="AM281" s="358"/>
      <c r="AN281" s="358"/>
      <c r="AO281" s="358"/>
      <c r="AP281" s="367"/>
      <c r="AQ281" s="367"/>
      <c r="AR281" s="367"/>
    </row>
    <row r="282">
      <c r="A282" s="418"/>
      <c r="B282" s="418"/>
      <c r="C282" s="417"/>
      <c r="D282" s="417"/>
      <c r="E282" s="418"/>
      <c r="F282" s="418"/>
      <c r="G282" s="367"/>
      <c r="H282" s="418"/>
      <c r="I282" s="418"/>
      <c r="J282" s="418"/>
      <c r="K282" s="418"/>
      <c r="L282" s="420"/>
      <c r="M282" s="420"/>
      <c r="N282" s="420"/>
      <c r="O282" s="420"/>
      <c r="P282" s="420"/>
      <c r="Q282" s="420"/>
      <c r="R282" s="420"/>
      <c r="S282" s="420"/>
      <c r="T282" s="420"/>
      <c r="U282" s="420"/>
      <c r="V282" s="420"/>
      <c r="W282" s="420"/>
      <c r="X282" s="420"/>
      <c r="Y282" s="420"/>
      <c r="Z282" s="367"/>
      <c r="AA282" s="420"/>
      <c r="AB282" s="420"/>
      <c r="AC282" s="420"/>
      <c r="AD282" s="420"/>
      <c r="AE282" s="420"/>
      <c r="AF282" s="367"/>
      <c r="AG282" s="420"/>
      <c r="AH282" s="367"/>
      <c r="AI282" s="367"/>
      <c r="AJ282" s="367"/>
      <c r="AK282" s="358"/>
      <c r="AL282" s="358"/>
      <c r="AM282" s="358"/>
      <c r="AN282" s="358"/>
      <c r="AO282" s="358"/>
      <c r="AP282" s="367"/>
      <c r="AQ282" s="367"/>
      <c r="AR282" s="367"/>
    </row>
    <row r="283">
      <c r="A283" s="418"/>
      <c r="B283" s="418"/>
      <c r="C283" s="417"/>
      <c r="D283" s="417"/>
      <c r="E283" s="418"/>
      <c r="F283" s="418"/>
      <c r="G283" s="367"/>
      <c r="H283" s="418"/>
      <c r="I283" s="418"/>
      <c r="J283" s="418"/>
      <c r="K283" s="418"/>
      <c r="L283" s="420"/>
      <c r="M283" s="420"/>
      <c r="N283" s="420"/>
      <c r="O283" s="420"/>
      <c r="P283" s="420"/>
      <c r="Q283" s="420"/>
      <c r="R283" s="420"/>
      <c r="S283" s="420"/>
      <c r="T283" s="420"/>
      <c r="U283" s="420"/>
      <c r="V283" s="420"/>
      <c r="W283" s="420"/>
      <c r="X283" s="420"/>
      <c r="Y283" s="420"/>
      <c r="Z283" s="367"/>
      <c r="AA283" s="420"/>
      <c r="AB283" s="420"/>
      <c r="AC283" s="420"/>
      <c r="AD283" s="420"/>
      <c r="AE283" s="420"/>
      <c r="AF283" s="367"/>
      <c r="AG283" s="420"/>
      <c r="AH283" s="367"/>
      <c r="AI283" s="367"/>
      <c r="AJ283" s="367"/>
      <c r="AK283" s="358"/>
      <c r="AL283" s="358"/>
      <c r="AM283" s="358"/>
      <c r="AN283" s="358"/>
      <c r="AO283" s="358"/>
      <c r="AP283" s="367"/>
      <c r="AQ283" s="367"/>
      <c r="AR283" s="367"/>
    </row>
    <row r="284">
      <c r="A284" s="418"/>
      <c r="B284" s="418"/>
      <c r="C284" s="417"/>
      <c r="D284" s="417"/>
      <c r="E284" s="418"/>
      <c r="F284" s="418"/>
      <c r="G284" s="367"/>
      <c r="H284" s="418"/>
      <c r="I284" s="418"/>
      <c r="J284" s="418"/>
      <c r="K284" s="418"/>
      <c r="L284" s="420"/>
      <c r="M284" s="420"/>
      <c r="N284" s="420"/>
      <c r="O284" s="420"/>
      <c r="P284" s="420"/>
      <c r="Q284" s="420"/>
      <c r="R284" s="420"/>
      <c r="S284" s="420"/>
      <c r="T284" s="420"/>
      <c r="U284" s="420"/>
      <c r="V284" s="420"/>
      <c r="W284" s="420"/>
      <c r="X284" s="420"/>
      <c r="Y284" s="420"/>
      <c r="Z284" s="367"/>
      <c r="AA284" s="420"/>
      <c r="AB284" s="420"/>
      <c r="AC284" s="420"/>
      <c r="AD284" s="420"/>
      <c r="AE284" s="420"/>
      <c r="AF284" s="367"/>
      <c r="AG284" s="420"/>
      <c r="AH284" s="367"/>
      <c r="AI284" s="367"/>
      <c r="AJ284" s="367"/>
      <c r="AK284" s="358"/>
      <c r="AL284" s="358"/>
      <c r="AM284" s="358"/>
      <c r="AN284" s="358"/>
      <c r="AO284" s="358"/>
      <c r="AP284" s="367"/>
      <c r="AQ284" s="367"/>
      <c r="AR284" s="367"/>
    </row>
    <row r="285">
      <c r="A285" s="418"/>
      <c r="B285" s="418"/>
      <c r="C285" s="417"/>
      <c r="D285" s="417"/>
      <c r="E285" s="418"/>
      <c r="F285" s="418"/>
      <c r="G285" s="367"/>
      <c r="H285" s="418"/>
      <c r="I285" s="418"/>
      <c r="J285" s="418"/>
      <c r="K285" s="418"/>
      <c r="L285" s="420"/>
      <c r="M285" s="420"/>
      <c r="N285" s="420"/>
      <c r="O285" s="420"/>
      <c r="P285" s="420"/>
      <c r="Q285" s="420"/>
      <c r="R285" s="420"/>
      <c r="S285" s="420"/>
      <c r="T285" s="420"/>
      <c r="U285" s="420"/>
      <c r="V285" s="420"/>
      <c r="W285" s="420"/>
      <c r="X285" s="420"/>
      <c r="Y285" s="420"/>
      <c r="Z285" s="367"/>
      <c r="AA285" s="420"/>
      <c r="AB285" s="420"/>
      <c r="AC285" s="420"/>
      <c r="AD285" s="420"/>
      <c r="AE285" s="420"/>
      <c r="AF285" s="367"/>
      <c r="AG285" s="420"/>
      <c r="AH285" s="367"/>
      <c r="AI285" s="367"/>
      <c r="AJ285" s="367"/>
      <c r="AK285" s="358"/>
      <c r="AL285" s="358"/>
      <c r="AM285" s="358"/>
      <c r="AN285" s="358"/>
      <c r="AO285" s="358"/>
      <c r="AP285" s="367"/>
      <c r="AQ285" s="367"/>
      <c r="AR285" s="367"/>
    </row>
    <row r="286">
      <c r="A286" s="418"/>
      <c r="B286" s="418"/>
      <c r="C286" s="417"/>
      <c r="D286" s="417"/>
      <c r="E286" s="418"/>
      <c r="F286" s="418"/>
      <c r="G286" s="367"/>
      <c r="H286" s="418"/>
      <c r="I286" s="418"/>
      <c r="J286" s="418"/>
      <c r="K286" s="418"/>
      <c r="L286" s="420"/>
      <c r="M286" s="420"/>
      <c r="N286" s="420"/>
      <c r="O286" s="420"/>
      <c r="P286" s="420"/>
      <c r="Q286" s="420"/>
      <c r="R286" s="420"/>
      <c r="S286" s="420"/>
      <c r="T286" s="420"/>
      <c r="U286" s="420"/>
      <c r="V286" s="420"/>
      <c r="W286" s="420"/>
      <c r="X286" s="420"/>
      <c r="Y286" s="420"/>
      <c r="Z286" s="367"/>
      <c r="AA286" s="420"/>
      <c r="AB286" s="420"/>
      <c r="AC286" s="420"/>
      <c r="AD286" s="420"/>
      <c r="AE286" s="420"/>
      <c r="AF286" s="367"/>
      <c r="AG286" s="420"/>
      <c r="AH286" s="367"/>
      <c r="AI286" s="367"/>
      <c r="AJ286" s="367"/>
      <c r="AK286" s="358"/>
      <c r="AL286" s="358"/>
      <c r="AM286" s="358"/>
      <c r="AN286" s="358"/>
      <c r="AO286" s="358"/>
      <c r="AP286" s="367"/>
      <c r="AQ286" s="367"/>
      <c r="AR286" s="367"/>
    </row>
    <row r="287">
      <c r="A287" s="418"/>
      <c r="B287" s="418"/>
      <c r="C287" s="417"/>
      <c r="D287" s="417"/>
      <c r="E287" s="418"/>
      <c r="F287" s="418"/>
      <c r="G287" s="367"/>
      <c r="H287" s="418"/>
      <c r="I287" s="418"/>
      <c r="J287" s="418"/>
      <c r="K287" s="418"/>
      <c r="L287" s="420"/>
      <c r="M287" s="420"/>
      <c r="N287" s="420"/>
      <c r="O287" s="420"/>
      <c r="P287" s="420"/>
      <c r="Q287" s="420"/>
      <c r="R287" s="420"/>
      <c r="S287" s="420"/>
      <c r="T287" s="420"/>
      <c r="U287" s="420"/>
      <c r="V287" s="420"/>
      <c r="W287" s="420"/>
      <c r="X287" s="420"/>
      <c r="Y287" s="420"/>
      <c r="Z287" s="367"/>
      <c r="AA287" s="420"/>
      <c r="AB287" s="420"/>
      <c r="AC287" s="420"/>
      <c r="AD287" s="420"/>
      <c r="AE287" s="420"/>
      <c r="AF287" s="367"/>
      <c r="AG287" s="420"/>
      <c r="AH287" s="367"/>
      <c r="AI287" s="367"/>
      <c r="AJ287" s="367"/>
      <c r="AK287" s="358"/>
      <c r="AL287" s="358"/>
      <c r="AM287" s="358"/>
      <c r="AN287" s="358"/>
      <c r="AO287" s="358"/>
      <c r="AP287" s="367"/>
      <c r="AQ287" s="367"/>
      <c r="AR287" s="367"/>
    </row>
    <row r="288">
      <c r="A288" s="418"/>
      <c r="B288" s="418"/>
      <c r="C288" s="417"/>
      <c r="D288" s="417"/>
      <c r="E288" s="418"/>
      <c r="F288" s="418"/>
      <c r="G288" s="367"/>
      <c r="H288" s="418"/>
      <c r="I288" s="418"/>
      <c r="J288" s="418"/>
      <c r="K288" s="418"/>
      <c r="L288" s="420"/>
      <c r="M288" s="420"/>
      <c r="N288" s="420"/>
      <c r="O288" s="420"/>
      <c r="P288" s="420"/>
      <c r="Q288" s="420"/>
      <c r="R288" s="420"/>
      <c r="S288" s="420"/>
      <c r="T288" s="420"/>
      <c r="U288" s="420"/>
      <c r="V288" s="420"/>
      <c r="W288" s="420"/>
      <c r="X288" s="420"/>
      <c r="Y288" s="420"/>
      <c r="Z288" s="367"/>
      <c r="AA288" s="420"/>
      <c r="AB288" s="420"/>
      <c r="AC288" s="420"/>
      <c r="AD288" s="420"/>
      <c r="AE288" s="420"/>
      <c r="AF288" s="367"/>
      <c r="AG288" s="420"/>
      <c r="AH288" s="367"/>
      <c r="AI288" s="367"/>
      <c r="AJ288" s="367"/>
      <c r="AK288" s="358"/>
      <c r="AL288" s="358"/>
      <c r="AM288" s="358"/>
      <c r="AN288" s="358"/>
      <c r="AO288" s="358"/>
      <c r="AP288" s="367"/>
      <c r="AQ288" s="367"/>
      <c r="AR288" s="367"/>
    </row>
    <row r="289">
      <c r="A289" s="418"/>
      <c r="B289" s="418"/>
      <c r="C289" s="417"/>
      <c r="D289" s="417"/>
      <c r="E289" s="418"/>
      <c r="F289" s="418"/>
      <c r="G289" s="367"/>
      <c r="H289" s="418"/>
      <c r="I289" s="418"/>
      <c r="J289" s="418"/>
      <c r="K289" s="418"/>
      <c r="L289" s="420"/>
      <c r="M289" s="420"/>
      <c r="N289" s="420"/>
      <c r="O289" s="420"/>
      <c r="P289" s="420"/>
      <c r="Q289" s="420"/>
      <c r="R289" s="420"/>
      <c r="S289" s="420"/>
      <c r="T289" s="420"/>
      <c r="U289" s="420"/>
      <c r="V289" s="420"/>
      <c r="W289" s="420"/>
      <c r="X289" s="420"/>
      <c r="Y289" s="420"/>
      <c r="Z289" s="367"/>
      <c r="AA289" s="420"/>
      <c r="AB289" s="420"/>
      <c r="AC289" s="420"/>
      <c r="AD289" s="420"/>
      <c r="AE289" s="420"/>
      <c r="AF289" s="367"/>
      <c r="AG289" s="420"/>
      <c r="AH289" s="367"/>
      <c r="AI289" s="367"/>
      <c r="AJ289" s="367"/>
      <c r="AK289" s="358"/>
      <c r="AL289" s="358"/>
      <c r="AM289" s="358"/>
      <c r="AN289" s="358"/>
      <c r="AO289" s="358"/>
      <c r="AP289" s="367"/>
      <c r="AQ289" s="367"/>
      <c r="AR289" s="367"/>
    </row>
    <row r="290">
      <c r="A290" s="418"/>
      <c r="B290" s="418"/>
      <c r="C290" s="417"/>
      <c r="D290" s="417"/>
      <c r="E290" s="418"/>
      <c r="F290" s="418"/>
      <c r="G290" s="367"/>
      <c r="H290" s="418"/>
      <c r="I290" s="418"/>
      <c r="J290" s="418"/>
      <c r="K290" s="418"/>
      <c r="L290" s="420"/>
      <c r="M290" s="420"/>
      <c r="N290" s="420"/>
      <c r="O290" s="420"/>
      <c r="P290" s="420"/>
      <c r="Q290" s="420"/>
      <c r="R290" s="420"/>
      <c r="S290" s="420"/>
      <c r="T290" s="420"/>
      <c r="U290" s="420"/>
      <c r="V290" s="420"/>
      <c r="W290" s="420"/>
      <c r="X290" s="420"/>
      <c r="Y290" s="420"/>
      <c r="Z290" s="367"/>
      <c r="AA290" s="420"/>
      <c r="AB290" s="420"/>
      <c r="AC290" s="420"/>
      <c r="AD290" s="420"/>
      <c r="AE290" s="420"/>
      <c r="AF290" s="367"/>
      <c r="AG290" s="420"/>
      <c r="AH290" s="367"/>
      <c r="AI290" s="367"/>
      <c r="AJ290" s="367"/>
      <c r="AK290" s="358"/>
      <c r="AL290" s="358"/>
      <c r="AM290" s="358"/>
      <c r="AN290" s="358"/>
      <c r="AO290" s="358"/>
      <c r="AP290" s="367"/>
      <c r="AQ290" s="367"/>
      <c r="AR290" s="367"/>
    </row>
    <row r="291">
      <c r="A291" s="418"/>
      <c r="B291" s="418"/>
      <c r="C291" s="417"/>
      <c r="D291" s="417"/>
      <c r="E291" s="418"/>
      <c r="F291" s="418"/>
      <c r="G291" s="367"/>
      <c r="H291" s="418"/>
      <c r="I291" s="418"/>
      <c r="J291" s="418"/>
      <c r="K291" s="418"/>
      <c r="L291" s="420"/>
      <c r="M291" s="420"/>
      <c r="N291" s="420"/>
      <c r="O291" s="420"/>
      <c r="P291" s="420"/>
      <c r="Q291" s="420"/>
      <c r="R291" s="420"/>
      <c r="S291" s="420"/>
      <c r="T291" s="420"/>
      <c r="U291" s="420"/>
      <c r="V291" s="420"/>
      <c r="W291" s="420"/>
      <c r="X291" s="420"/>
      <c r="Y291" s="420"/>
      <c r="Z291" s="367"/>
      <c r="AA291" s="420"/>
      <c r="AB291" s="420"/>
      <c r="AC291" s="420"/>
      <c r="AD291" s="420"/>
      <c r="AE291" s="420"/>
      <c r="AF291" s="367"/>
      <c r="AG291" s="420"/>
      <c r="AH291" s="367"/>
      <c r="AI291" s="367"/>
      <c r="AJ291" s="367"/>
      <c r="AK291" s="358"/>
      <c r="AL291" s="358"/>
      <c r="AM291" s="358"/>
      <c r="AN291" s="358"/>
      <c r="AO291" s="358"/>
      <c r="AP291" s="367"/>
      <c r="AQ291" s="367"/>
      <c r="AR291" s="367"/>
    </row>
    <row r="292">
      <c r="A292" s="418"/>
      <c r="B292" s="418"/>
      <c r="C292" s="417"/>
      <c r="D292" s="417"/>
      <c r="E292" s="418"/>
      <c r="F292" s="418"/>
      <c r="G292" s="367"/>
      <c r="H292" s="418"/>
      <c r="I292" s="418"/>
      <c r="J292" s="418"/>
      <c r="K292" s="418"/>
      <c r="L292" s="420"/>
      <c r="M292" s="420"/>
      <c r="N292" s="420"/>
      <c r="O292" s="420"/>
      <c r="P292" s="420"/>
      <c r="Q292" s="420"/>
      <c r="R292" s="420"/>
      <c r="S292" s="420"/>
      <c r="T292" s="420"/>
      <c r="U292" s="420"/>
      <c r="V292" s="420"/>
      <c r="W292" s="420"/>
      <c r="X292" s="420"/>
      <c r="Y292" s="420"/>
      <c r="Z292" s="367"/>
      <c r="AA292" s="420"/>
      <c r="AB292" s="420"/>
      <c r="AC292" s="420"/>
      <c r="AD292" s="420"/>
      <c r="AE292" s="420"/>
      <c r="AF292" s="367"/>
      <c r="AG292" s="420"/>
      <c r="AH292" s="367"/>
      <c r="AI292" s="367"/>
      <c r="AJ292" s="367"/>
      <c r="AK292" s="358"/>
      <c r="AL292" s="358"/>
      <c r="AM292" s="358"/>
      <c r="AN292" s="358"/>
      <c r="AO292" s="358"/>
      <c r="AP292" s="367"/>
      <c r="AQ292" s="367"/>
      <c r="AR292" s="367"/>
    </row>
    <row r="293">
      <c r="A293" s="418"/>
      <c r="B293" s="418"/>
      <c r="C293" s="417"/>
      <c r="D293" s="417"/>
      <c r="E293" s="418"/>
      <c r="F293" s="418"/>
      <c r="G293" s="367"/>
      <c r="H293" s="418"/>
      <c r="I293" s="418"/>
      <c r="J293" s="418"/>
      <c r="K293" s="418"/>
      <c r="L293" s="420"/>
      <c r="M293" s="420"/>
      <c r="N293" s="420"/>
      <c r="O293" s="420"/>
      <c r="P293" s="420"/>
      <c r="Q293" s="420"/>
      <c r="R293" s="420"/>
      <c r="S293" s="420"/>
      <c r="T293" s="420"/>
      <c r="U293" s="420"/>
      <c r="V293" s="420"/>
      <c r="W293" s="420"/>
      <c r="X293" s="420"/>
      <c r="Y293" s="420"/>
      <c r="Z293" s="367"/>
      <c r="AA293" s="420"/>
      <c r="AB293" s="420"/>
      <c r="AC293" s="420"/>
      <c r="AD293" s="420"/>
      <c r="AE293" s="420"/>
      <c r="AF293" s="367"/>
      <c r="AG293" s="420"/>
      <c r="AH293" s="367"/>
      <c r="AI293" s="367"/>
      <c r="AJ293" s="367"/>
      <c r="AK293" s="358"/>
      <c r="AL293" s="358"/>
      <c r="AM293" s="358"/>
      <c r="AN293" s="358"/>
      <c r="AO293" s="358"/>
      <c r="AP293" s="367"/>
      <c r="AQ293" s="367"/>
      <c r="AR293" s="367"/>
    </row>
    <row r="294">
      <c r="A294" s="418"/>
      <c r="B294" s="418"/>
      <c r="C294" s="417"/>
      <c r="D294" s="417"/>
      <c r="E294" s="418"/>
      <c r="F294" s="418"/>
      <c r="G294" s="367"/>
      <c r="H294" s="418"/>
      <c r="I294" s="418"/>
      <c r="J294" s="418"/>
      <c r="K294" s="418"/>
      <c r="L294" s="420"/>
      <c r="M294" s="420"/>
      <c r="N294" s="420"/>
      <c r="O294" s="420"/>
      <c r="P294" s="420"/>
      <c r="Q294" s="420"/>
      <c r="R294" s="420"/>
      <c r="S294" s="420"/>
      <c r="T294" s="420"/>
      <c r="U294" s="420"/>
      <c r="V294" s="420"/>
      <c r="W294" s="420"/>
      <c r="X294" s="420"/>
      <c r="Y294" s="420"/>
      <c r="Z294" s="367"/>
      <c r="AA294" s="420"/>
      <c r="AB294" s="420"/>
      <c r="AC294" s="420"/>
      <c r="AD294" s="420"/>
      <c r="AE294" s="420"/>
      <c r="AF294" s="367"/>
      <c r="AG294" s="420"/>
      <c r="AH294" s="367"/>
      <c r="AI294" s="367"/>
      <c r="AJ294" s="367"/>
      <c r="AK294" s="358"/>
      <c r="AL294" s="358"/>
      <c r="AM294" s="358"/>
      <c r="AN294" s="358"/>
      <c r="AO294" s="358"/>
      <c r="AP294" s="367"/>
      <c r="AQ294" s="367"/>
      <c r="AR294" s="367"/>
    </row>
    <row r="295">
      <c r="A295" s="418"/>
      <c r="B295" s="418"/>
      <c r="C295" s="417"/>
      <c r="D295" s="417"/>
      <c r="E295" s="418"/>
      <c r="F295" s="418"/>
      <c r="G295" s="367"/>
      <c r="H295" s="418"/>
      <c r="I295" s="418"/>
      <c r="J295" s="418"/>
      <c r="K295" s="418"/>
      <c r="L295" s="420"/>
      <c r="M295" s="420"/>
      <c r="N295" s="420"/>
      <c r="O295" s="420"/>
      <c r="P295" s="420"/>
      <c r="Q295" s="420"/>
      <c r="R295" s="420"/>
      <c r="S295" s="420"/>
      <c r="T295" s="420"/>
      <c r="U295" s="420"/>
      <c r="V295" s="420"/>
      <c r="W295" s="420"/>
      <c r="X295" s="420"/>
      <c r="Y295" s="420"/>
      <c r="Z295" s="367"/>
      <c r="AA295" s="420"/>
      <c r="AB295" s="420"/>
      <c r="AC295" s="420"/>
      <c r="AD295" s="420"/>
      <c r="AE295" s="420"/>
      <c r="AF295" s="367"/>
      <c r="AG295" s="420"/>
      <c r="AH295" s="367"/>
      <c r="AI295" s="367"/>
      <c r="AJ295" s="367"/>
      <c r="AK295" s="358"/>
      <c r="AL295" s="358"/>
      <c r="AM295" s="358"/>
      <c r="AN295" s="358"/>
      <c r="AO295" s="358"/>
      <c r="AP295" s="367"/>
      <c r="AQ295" s="367"/>
      <c r="AR295" s="367"/>
    </row>
    <row r="296">
      <c r="A296" s="418"/>
      <c r="B296" s="418"/>
      <c r="C296" s="417"/>
      <c r="D296" s="417"/>
      <c r="E296" s="418"/>
      <c r="F296" s="418"/>
      <c r="G296" s="367"/>
      <c r="H296" s="418"/>
      <c r="I296" s="418"/>
      <c r="J296" s="418"/>
      <c r="K296" s="418"/>
      <c r="L296" s="420"/>
      <c r="M296" s="420"/>
      <c r="N296" s="420"/>
      <c r="O296" s="420"/>
      <c r="P296" s="420"/>
      <c r="Q296" s="420"/>
      <c r="R296" s="420"/>
      <c r="S296" s="420"/>
      <c r="T296" s="420"/>
      <c r="U296" s="420"/>
      <c r="V296" s="420"/>
      <c r="W296" s="420"/>
      <c r="X296" s="420"/>
      <c r="Y296" s="420"/>
      <c r="Z296" s="367"/>
      <c r="AA296" s="420"/>
      <c r="AB296" s="420"/>
      <c r="AC296" s="420"/>
      <c r="AD296" s="420"/>
      <c r="AE296" s="420"/>
      <c r="AF296" s="367"/>
      <c r="AG296" s="420"/>
      <c r="AH296" s="367"/>
      <c r="AI296" s="367"/>
      <c r="AJ296" s="367"/>
      <c r="AK296" s="358"/>
      <c r="AL296" s="358"/>
      <c r="AM296" s="358"/>
      <c r="AN296" s="358"/>
      <c r="AO296" s="358"/>
      <c r="AP296" s="367"/>
      <c r="AQ296" s="367"/>
      <c r="AR296" s="367"/>
    </row>
    <row r="297">
      <c r="A297" s="418"/>
      <c r="B297" s="418"/>
      <c r="C297" s="417"/>
      <c r="D297" s="417"/>
      <c r="E297" s="418"/>
      <c r="F297" s="418"/>
      <c r="G297" s="367"/>
      <c r="H297" s="418"/>
      <c r="I297" s="418"/>
      <c r="J297" s="418"/>
      <c r="K297" s="418"/>
      <c r="L297" s="420"/>
      <c r="M297" s="420"/>
      <c r="N297" s="420"/>
      <c r="O297" s="420"/>
      <c r="P297" s="420"/>
      <c r="Q297" s="420"/>
      <c r="R297" s="420"/>
      <c r="S297" s="420"/>
      <c r="T297" s="420"/>
      <c r="U297" s="420"/>
      <c r="V297" s="420"/>
      <c r="W297" s="420"/>
      <c r="X297" s="420"/>
      <c r="Y297" s="420"/>
      <c r="Z297" s="367"/>
      <c r="AA297" s="420"/>
      <c r="AB297" s="420"/>
      <c r="AC297" s="420"/>
      <c r="AD297" s="420"/>
      <c r="AE297" s="420"/>
      <c r="AF297" s="367"/>
      <c r="AG297" s="420"/>
      <c r="AH297" s="367"/>
      <c r="AI297" s="367"/>
      <c r="AJ297" s="367"/>
      <c r="AK297" s="358"/>
      <c r="AL297" s="358"/>
      <c r="AM297" s="358"/>
      <c r="AN297" s="358"/>
      <c r="AO297" s="358"/>
      <c r="AP297" s="367"/>
      <c r="AQ297" s="367"/>
      <c r="AR297" s="367"/>
    </row>
    <row r="298">
      <c r="A298" s="418"/>
      <c r="B298" s="418"/>
      <c r="C298" s="417"/>
      <c r="D298" s="417"/>
      <c r="E298" s="418"/>
      <c r="F298" s="418"/>
      <c r="G298" s="367"/>
      <c r="H298" s="418"/>
      <c r="I298" s="418"/>
      <c r="J298" s="418"/>
      <c r="K298" s="418"/>
      <c r="L298" s="420"/>
      <c r="M298" s="420"/>
      <c r="N298" s="420"/>
      <c r="O298" s="420"/>
      <c r="P298" s="420"/>
      <c r="Q298" s="420"/>
      <c r="R298" s="420"/>
      <c r="S298" s="420"/>
      <c r="T298" s="420"/>
      <c r="U298" s="420"/>
      <c r="V298" s="420"/>
      <c r="W298" s="420"/>
      <c r="X298" s="420"/>
      <c r="Y298" s="420"/>
      <c r="Z298" s="367"/>
      <c r="AA298" s="420"/>
      <c r="AB298" s="420"/>
      <c r="AC298" s="420"/>
      <c r="AD298" s="420"/>
      <c r="AE298" s="420"/>
      <c r="AF298" s="367"/>
      <c r="AG298" s="420"/>
      <c r="AH298" s="367"/>
      <c r="AI298" s="367"/>
      <c r="AJ298" s="367"/>
      <c r="AK298" s="358"/>
      <c r="AL298" s="358"/>
      <c r="AM298" s="358"/>
      <c r="AN298" s="358"/>
      <c r="AO298" s="358"/>
      <c r="AP298" s="367"/>
      <c r="AQ298" s="367"/>
      <c r="AR298" s="367"/>
    </row>
    <row r="299">
      <c r="A299" s="418"/>
      <c r="B299" s="418"/>
      <c r="C299" s="417"/>
      <c r="D299" s="417"/>
      <c r="E299" s="418"/>
      <c r="F299" s="418"/>
      <c r="G299" s="367"/>
      <c r="H299" s="418"/>
      <c r="I299" s="418"/>
      <c r="J299" s="418"/>
      <c r="K299" s="418"/>
      <c r="L299" s="420"/>
      <c r="M299" s="420"/>
      <c r="N299" s="420"/>
      <c r="O299" s="420"/>
      <c r="P299" s="420"/>
      <c r="Q299" s="420"/>
      <c r="R299" s="420"/>
      <c r="S299" s="420"/>
      <c r="T299" s="420"/>
      <c r="U299" s="420"/>
      <c r="V299" s="420"/>
      <c r="W299" s="420"/>
      <c r="X299" s="420"/>
      <c r="Y299" s="420"/>
      <c r="Z299" s="367"/>
      <c r="AA299" s="420"/>
      <c r="AB299" s="420"/>
      <c r="AC299" s="420"/>
      <c r="AD299" s="420"/>
      <c r="AE299" s="420"/>
      <c r="AF299" s="367"/>
      <c r="AG299" s="420"/>
      <c r="AH299" s="367"/>
      <c r="AI299" s="367"/>
      <c r="AJ299" s="367"/>
      <c r="AK299" s="358"/>
      <c r="AL299" s="358"/>
      <c r="AM299" s="358"/>
      <c r="AN299" s="358"/>
      <c r="AO299" s="358"/>
      <c r="AP299" s="367"/>
      <c r="AQ299" s="367"/>
      <c r="AR299" s="367"/>
    </row>
    <row r="300">
      <c r="A300" s="418"/>
      <c r="B300" s="418"/>
      <c r="C300" s="417"/>
      <c r="D300" s="417"/>
      <c r="E300" s="418"/>
      <c r="F300" s="418"/>
      <c r="G300" s="367"/>
      <c r="H300" s="418"/>
      <c r="I300" s="418"/>
      <c r="J300" s="418"/>
      <c r="K300" s="418"/>
      <c r="L300" s="420"/>
      <c r="M300" s="420"/>
      <c r="N300" s="420"/>
      <c r="O300" s="420"/>
      <c r="P300" s="420"/>
      <c r="Q300" s="420"/>
      <c r="R300" s="420"/>
      <c r="S300" s="420"/>
      <c r="T300" s="420"/>
      <c r="U300" s="420"/>
      <c r="V300" s="420"/>
      <c r="W300" s="420"/>
      <c r="X300" s="420"/>
      <c r="Y300" s="420"/>
      <c r="Z300" s="367"/>
      <c r="AA300" s="420"/>
      <c r="AB300" s="420"/>
      <c r="AC300" s="420"/>
      <c r="AD300" s="420"/>
      <c r="AE300" s="420"/>
      <c r="AF300" s="367"/>
      <c r="AG300" s="420"/>
      <c r="AH300" s="367"/>
      <c r="AI300" s="367"/>
      <c r="AJ300" s="367"/>
      <c r="AK300" s="358"/>
      <c r="AL300" s="358"/>
      <c r="AM300" s="358"/>
      <c r="AN300" s="358"/>
      <c r="AO300" s="358"/>
      <c r="AP300" s="367"/>
      <c r="AQ300" s="367"/>
      <c r="AR300" s="367"/>
    </row>
    <row r="301">
      <c r="A301" s="418"/>
      <c r="B301" s="418"/>
      <c r="C301" s="417"/>
      <c r="D301" s="417"/>
      <c r="E301" s="418"/>
      <c r="F301" s="418"/>
      <c r="G301" s="367"/>
      <c r="H301" s="418"/>
      <c r="I301" s="418"/>
      <c r="J301" s="418"/>
      <c r="K301" s="418"/>
      <c r="L301" s="420"/>
      <c r="M301" s="420"/>
      <c r="N301" s="420"/>
      <c r="O301" s="420"/>
      <c r="P301" s="420"/>
      <c r="Q301" s="420"/>
      <c r="R301" s="420"/>
      <c r="S301" s="420"/>
      <c r="T301" s="420"/>
      <c r="U301" s="420"/>
      <c r="V301" s="420"/>
      <c r="W301" s="420"/>
      <c r="X301" s="420"/>
      <c r="Y301" s="420"/>
      <c r="Z301" s="367"/>
      <c r="AA301" s="420"/>
      <c r="AB301" s="420"/>
      <c r="AC301" s="420"/>
      <c r="AD301" s="420"/>
      <c r="AE301" s="420"/>
      <c r="AF301" s="367"/>
      <c r="AG301" s="420"/>
      <c r="AH301" s="367"/>
      <c r="AI301" s="367"/>
      <c r="AJ301" s="367"/>
      <c r="AK301" s="358"/>
      <c r="AL301" s="358"/>
      <c r="AM301" s="358"/>
      <c r="AN301" s="358"/>
      <c r="AO301" s="358"/>
      <c r="AP301" s="367"/>
      <c r="AQ301" s="367"/>
      <c r="AR301" s="367"/>
    </row>
    <row r="302">
      <c r="A302" s="418"/>
      <c r="B302" s="418"/>
      <c r="C302" s="417"/>
      <c r="D302" s="417"/>
      <c r="E302" s="418"/>
      <c r="F302" s="418"/>
      <c r="G302" s="367"/>
      <c r="H302" s="418"/>
      <c r="I302" s="418"/>
      <c r="J302" s="418"/>
      <c r="K302" s="418"/>
      <c r="L302" s="420"/>
      <c r="M302" s="420"/>
      <c r="N302" s="420"/>
      <c r="O302" s="420"/>
      <c r="P302" s="420"/>
      <c r="Q302" s="420"/>
      <c r="R302" s="420"/>
      <c r="S302" s="420"/>
      <c r="T302" s="420"/>
      <c r="U302" s="420"/>
      <c r="V302" s="420"/>
      <c r="W302" s="420"/>
      <c r="X302" s="420"/>
      <c r="Y302" s="420"/>
      <c r="Z302" s="367"/>
      <c r="AA302" s="420"/>
      <c r="AB302" s="420"/>
      <c r="AC302" s="420"/>
      <c r="AD302" s="420"/>
      <c r="AE302" s="420"/>
      <c r="AF302" s="367"/>
      <c r="AG302" s="420"/>
      <c r="AH302" s="367"/>
      <c r="AI302" s="367"/>
      <c r="AJ302" s="367"/>
      <c r="AK302" s="358"/>
      <c r="AL302" s="358"/>
      <c r="AM302" s="358"/>
      <c r="AN302" s="358"/>
      <c r="AO302" s="358"/>
      <c r="AP302" s="367"/>
      <c r="AQ302" s="367"/>
      <c r="AR302" s="367"/>
    </row>
    <row r="303">
      <c r="A303" s="418"/>
      <c r="B303" s="418"/>
      <c r="C303" s="417"/>
      <c r="D303" s="417"/>
      <c r="E303" s="418"/>
      <c r="F303" s="418"/>
      <c r="G303" s="367"/>
      <c r="H303" s="418"/>
      <c r="I303" s="418"/>
      <c r="J303" s="418"/>
      <c r="K303" s="418"/>
      <c r="L303" s="420"/>
      <c r="M303" s="420"/>
      <c r="N303" s="420"/>
      <c r="O303" s="420"/>
      <c r="P303" s="420"/>
      <c r="Q303" s="420"/>
      <c r="R303" s="420"/>
      <c r="S303" s="420"/>
      <c r="T303" s="420"/>
      <c r="U303" s="420"/>
      <c r="V303" s="420"/>
      <c r="W303" s="420"/>
      <c r="X303" s="420"/>
      <c r="Y303" s="420"/>
      <c r="Z303" s="367"/>
      <c r="AA303" s="420"/>
      <c r="AB303" s="420"/>
      <c r="AC303" s="420"/>
      <c r="AD303" s="420"/>
      <c r="AE303" s="420"/>
      <c r="AF303" s="367"/>
      <c r="AG303" s="420"/>
      <c r="AH303" s="367"/>
      <c r="AI303" s="367"/>
      <c r="AJ303" s="367"/>
      <c r="AK303" s="358"/>
      <c r="AL303" s="358"/>
      <c r="AM303" s="358"/>
      <c r="AN303" s="358"/>
      <c r="AO303" s="358"/>
      <c r="AP303" s="367"/>
      <c r="AQ303" s="367"/>
      <c r="AR303" s="367"/>
    </row>
    <row r="304">
      <c r="A304" s="418"/>
      <c r="B304" s="418"/>
      <c r="C304" s="417"/>
      <c r="D304" s="417"/>
      <c r="E304" s="418"/>
      <c r="F304" s="418"/>
      <c r="G304" s="367"/>
      <c r="H304" s="418"/>
      <c r="I304" s="418"/>
      <c r="J304" s="418"/>
      <c r="K304" s="418"/>
      <c r="L304" s="420"/>
      <c r="M304" s="420"/>
      <c r="N304" s="420"/>
      <c r="O304" s="420"/>
      <c r="P304" s="420"/>
      <c r="Q304" s="420"/>
      <c r="R304" s="420"/>
      <c r="S304" s="420"/>
      <c r="T304" s="420"/>
      <c r="U304" s="420"/>
      <c r="V304" s="420"/>
      <c r="W304" s="420"/>
      <c r="X304" s="420"/>
      <c r="Y304" s="420"/>
      <c r="Z304" s="367"/>
      <c r="AA304" s="420"/>
      <c r="AB304" s="420"/>
      <c r="AC304" s="420"/>
      <c r="AD304" s="420"/>
      <c r="AE304" s="420"/>
      <c r="AF304" s="367"/>
      <c r="AG304" s="420"/>
      <c r="AH304" s="367"/>
      <c r="AI304" s="367"/>
      <c r="AJ304" s="367"/>
      <c r="AK304" s="358"/>
      <c r="AL304" s="358"/>
      <c r="AM304" s="358"/>
      <c r="AN304" s="358"/>
      <c r="AO304" s="358"/>
      <c r="AP304" s="367"/>
      <c r="AQ304" s="367"/>
      <c r="AR304" s="367"/>
    </row>
    <row r="305">
      <c r="A305" s="418"/>
      <c r="B305" s="418"/>
      <c r="C305" s="417"/>
      <c r="D305" s="417"/>
      <c r="E305" s="418"/>
      <c r="F305" s="418"/>
      <c r="G305" s="367"/>
      <c r="H305" s="418"/>
      <c r="I305" s="418"/>
      <c r="J305" s="418"/>
      <c r="K305" s="418"/>
      <c r="L305" s="420"/>
      <c r="M305" s="420"/>
      <c r="N305" s="420"/>
      <c r="O305" s="420"/>
      <c r="P305" s="420"/>
      <c r="Q305" s="420"/>
      <c r="R305" s="420"/>
      <c r="S305" s="420"/>
      <c r="T305" s="420"/>
      <c r="U305" s="420"/>
      <c r="V305" s="420"/>
      <c r="W305" s="420"/>
      <c r="X305" s="420"/>
      <c r="Y305" s="420"/>
      <c r="Z305" s="367"/>
      <c r="AA305" s="420"/>
      <c r="AB305" s="420"/>
      <c r="AC305" s="420"/>
      <c r="AD305" s="420"/>
      <c r="AE305" s="420"/>
      <c r="AF305" s="367"/>
      <c r="AG305" s="420"/>
      <c r="AH305" s="367"/>
      <c r="AI305" s="367"/>
      <c r="AJ305" s="367"/>
      <c r="AK305" s="358"/>
      <c r="AL305" s="358"/>
      <c r="AM305" s="358"/>
      <c r="AN305" s="358"/>
      <c r="AO305" s="358"/>
      <c r="AP305" s="367"/>
      <c r="AQ305" s="367"/>
      <c r="AR305" s="367"/>
    </row>
    <row r="306">
      <c r="A306" s="418"/>
      <c r="B306" s="418"/>
      <c r="C306" s="417"/>
      <c r="D306" s="417"/>
      <c r="E306" s="418"/>
      <c r="F306" s="418"/>
      <c r="G306" s="367"/>
      <c r="H306" s="418"/>
      <c r="I306" s="418"/>
      <c r="J306" s="418"/>
      <c r="K306" s="418"/>
      <c r="L306" s="420"/>
      <c r="M306" s="420"/>
      <c r="N306" s="420"/>
      <c r="O306" s="420"/>
      <c r="P306" s="420"/>
      <c r="Q306" s="420"/>
      <c r="R306" s="420"/>
      <c r="S306" s="420"/>
      <c r="T306" s="420"/>
      <c r="U306" s="420"/>
      <c r="V306" s="420"/>
      <c r="W306" s="420"/>
      <c r="X306" s="420"/>
      <c r="Y306" s="420"/>
      <c r="Z306" s="367"/>
      <c r="AA306" s="420"/>
      <c r="AB306" s="420"/>
      <c r="AC306" s="420"/>
      <c r="AD306" s="420"/>
      <c r="AE306" s="420"/>
      <c r="AF306" s="367"/>
      <c r="AG306" s="420"/>
      <c r="AH306" s="367"/>
      <c r="AI306" s="367"/>
      <c r="AJ306" s="367"/>
      <c r="AK306" s="358"/>
      <c r="AL306" s="358"/>
      <c r="AM306" s="358"/>
      <c r="AN306" s="358"/>
      <c r="AO306" s="358"/>
      <c r="AP306" s="367"/>
      <c r="AQ306" s="367"/>
      <c r="AR306" s="367"/>
    </row>
    <row r="307">
      <c r="A307" s="418"/>
      <c r="B307" s="418"/>
      <c r="C307" s="417"/>
      <c r="D307" s="417"/>
      <c r="E307" s="418"/>
      <c r="F307" s="418"/>
      <c r="G307" s="367"/>
      <c r="H307" s="418"/>
      <c r="I307" s="418"/>
      <c r="J307" s="418"/>
      <c r="K307" s="418"/>
      <c r="L307" s="420"/>
      <c r="M307" s="420"/>
      <c r="N307" s="420"/>
      <c r="O307" s="420"/>
      <c r="P307" s="420"/>
      <c r="Q307" s="420"/>
      <c r="R307" s="420"/>
      <c r="S307" s="420"/>
      <c r="T307" s="420"/>
      <c r="U307" s="420"/>
      <c r="V307" s="420"/>
      <c r="W307" s="420"/>
      <c r="X307" s="420"/>
      <c r="Y307" s="420"/>
      <c r="Z307" s="367"/>
      <c r="AA307" s="420"/>
      <c r="AB307" s="420"/>
      <c r="AC307" s="420"/>
      <c r="AD307" s="420"/>
      <c r="AE307" s="420"/>
      <c r="AF307" s="367"/>
      <c r="AG307" s="420"/>
      <c r="AH307" s="367"/>
      <c r="AI307" s="367"/>
      <c r="AJ307" s="367"/>
      <c r="AK307" s="358"/>
      <c r="AL307" s="358"/>
      <c r="AM307" s="358"/>
      <c r="AN307" s="358"/>
      <c r="AO307" s="358"/>
      <c r="AP307" s="367"/>
      <c r="AQ307" s="367"/>
      <c r="AR307" s="367"/>
    </row>
    <row r="308">
      <c r="A308" s="418"/>
      <c r="B308" s="418"/>
      <c r="C308" s="417"/>
      <c r="D308" s="417"/>
      <c r="E308" s="418"/>
      <c r="F308" s="418"/>
      <c r="G308" s="367"/>
      <c r="H308" s="418"/>
      <c r="I308" s="418"/>
      <c r="J308" s="418"/>
      <c r="K308" s="418"/>
      <c r="L308" s="420"/>
      <c r="M308" s="420"/>
      <c r="N308" s="420"/>
      <c r="O308" s="420"/>
      <c r="P308" s="420"/>
      <c r="Q308" s="420"/>
      <c r="R308" s="420"/>
      <c r="S308" s="420"/>
      <c r="T308" s="420"/>
      <c r="U308" s="420"/>
      <c r="V308" s="420"/>
      <c r="W308" s="420"/>
      <c r="X308" s="420"/>
      <c r="Y308" s="420"/>
      <c r="Z308" s="367"/>
      <c r="AA308" s="420"/>
      <c r="AB308" s="420"/>
      <c r="AC308" s="420"/>
      <c r="AD308" s="420"/>
      <c r="AE308" s="420"/>
      <c r="AF308" s="367"/>
      <c r="AG308" s="420"/>
      <c r="AH308" s="367"/>
      <c r="AI308" s="367"/>
      <c r="AJ308" s="367"/>
      <c r="AK308" s="358"/>
      <c r="AL308" s="358"/>
      <c r="AM308" s="358"/>
      <c r="AN308" s="358"/>
      <c r="AO308" s="358"/>
      <c r="AP308" s="367"/>
      <c r="AQ308" s="367"/>
      <c r="AR308" s="367"/>
    </row>
    <row r="309">
      <c r="A309" s="418"/>
      <c r="B309" s="418"/>
      <c r="C309" s="417"/>
      <c r="D309" s="417"/>
      <c r="E309" s="418"/>
      <c r="F309" s="418"/>
      <c r="G309" s="367"/>
      <c r="H309" s="418"/>
      <c r="I309" s="418"/>
      <c r="J309" s="418"/>
      <c r="K309" s="418"/>
      <c r="L309" s="420"/>
      <c r="M309" s="420"/>
      <c r="N309" s="420"/>
      <c r="O309" s="420"/>
      <c r="P309" s="420"/>
      <c r="Q309" s="420"/>
      <c r="R309" s="420"/>
      <c r="S309" s="420"/>
      <c r="T309" s="420"/>
      <c r="U309" s="420"/>
      <c r="V309" s="420"/>
      <c r="W309" s="420"/>
      <c r="X309" s="420"/>
      <c r="Y309" s="420"/>
      <c r="Z309" s="367"/>
      <c r="AA309" s="420"/>
      <c r="AB309" s="420"/>
      <c r="AC309" s="420"/>
      <c r="AD309" s="420"/>
      <c r="AE309" s="420"/>
      <c r="AF309" s="367"/>
      <c r="AG309" s="420"/>
      <c r="AH309" s="367"/>
      <c r="AI309" s="367"/>
      <c r="AJ309" s="367"/>
      <c r="AK309" s="358"/>
      <c r="AL309" s="358"/>
      <c r="AM309" s="358"/>
      <c r="AN309" s="358"/>
      <c r="AO309" s="358"/>
      <c r="AP309" s="367"/>
      <c r="AQ309" s="367"/>
      <c r="AR309" s="367"/>
    </row>
    <row r="310">
      <c r="A310" s="418"/>
      <c r="B310" s="418"/>
      <c r="C310" s="417"/>
      <c r="D310" s="417"/>
      <c r="E310" s="418"/>
      <c r="F310" s="418"/>
      <c r="G310" s="367"/>
      <c r="H310" s="418"/>
      <c r="I310" s="418"/>
      <c r="J310" s="418"/>
      <c r="K310" s="418"/>
      <c r="L310" s="420"/>
      <c r="M310" s="420"/>
      <c r="N310" s="420"/>
      <c r="O310" s="420"/>
      <c r="P310" s="420"/>
      <c r="Q310" s="420"/>
      <c r="R310" s="420"/>
      <c r="S310" s="420"/>
      <c r="T310" s="420"/>
      <c r="U310" s="420"/>
      <c r="V310" s="420"/>
      <c r="W310" s="420"/>
      <c r="X310" s="420"/>
      <c r="Y310" s="420"/>
      <c r="Z310" s="367"/>
      <c r="AA310" s="420"/>
      <c r="AB310" s="420"/>
      <c r="AC310" s="420"/>
      <c r="AD310" s="420"/>
      <c r="AE310" s="420"/>
      <c r="AF310" s="367"/>
      <c r="AG310" s="420"/>
      <c r="AH310" s="367"/>
      <c r="AI310" s="367"/>
      <c r="AJ310" s="367"/>
      <c r="AK310" s="358"/>
      <c r="AL310" s="358"/>
      <c r="AM310" s="358"/>
      <c r="AN310" s="358"/>
      <c r="AO310" s="358"/>
      <c r="AP310" s="367"/>
      <c r="AQ310" s="367"/>
      <c r="AR310" s="367"/>
    </row>
    <row r="311">
      <c r="A311" s="418"/>
      <c r="B311" s="418"/>
      <c r="C311" s="417"/>
      <c r="D311" s="417"/>
      <c r="E311" s="418"/>
      <c r="F311" s="418"/>
      <c r="G311" s="367"/>
      <c r="H311" s="418"/>
      <c r="I311" s="418"/>
      <c r="J311" s="418"/>
      <c r="K311" s="418"/>
      <c r="L311" s="420"/>
      <c r="M311" s="420"/>
      <c r="N311" s="420"/>
      <c r="O311" s="420"/>
      <c r="P311" s="420"/>
      <c r="Q311" s="420"/>
      <c r="R311" s="420"/>
      <c r="S311" s="420"/>
      <c r="T311" s="420"/>
      <c r="U311" s="420"/>
      <c r="V311" s="420"/>
      <c r="W311" s="420"/>
      <c r="X311" s="420"/>
      <c r="Y311" s="420"/>
      <c r="Z311" s="367"/>
      <c r="AA311" s="420"/>
      <c r="AB311" s="420"/>
      <c r="AC311" s="420"/>
      <c r="AD311" s="420"/>
      <c r="AE311" s="420"/>
      <c r="AF311" s="367"/>
      <c r="AG311" s="420"/>
      <c r="AH311" s="367"/>
      <c r="AI311" s="367"/>
      <c r="AJ311" s="367"/>
      <c r="AK311" s="358"/>
      <c r="AL311" s="358"/>
      <c r="AM311" s="358"/>
      <c r="AN311" s="358"/>
      <c r="AO311" s="358"/>
      <c r="AP311" s="367"/>
      <c r="AQ311" s="367"/>
      <c r="AR311" s="367"/>
    </row>
    <row r="312">
      <c r="A312" s="418"/>
      <c r="B312" s="418"/>
      <c r="C312" s="417"/>
      <c r="D312" s="417"/>
      <c r="E312" s="418"/>
      <c r="F312" s="418"/>
      <c r="G312" s="367"/>
      <c r="H312" s="418"/>
      <c r="I312" s="418"/>
      <c r="J312" s="418"/>
      <c r="K312" s="418"/>
      <c r="L312" s="420"/>
      <c r="M312" s="420"/>
      <c r="N312" s="420"/>
      <c r="O312" s="420"/>
      <c r="P312" s="420"/>
      <c r="Q312" s="420"/>
      <c r="R312" s="420"/>
      <c r="S312" s="420"/>
      <c r="T312" s="420"/>
      <c r="U312" s="420"/>
      <c r="V312" s="420"/>
      <c r="W312" s="420"/>
      <c r="X312" s="420"/>
      <c r="Y312" s="420"/>
      <c r="Z312" s="367"/>
      <c r="AA312" s="420"/>
      <c r="AB312" s="420"/>
      <c r="AC312" s="420"/>
      <c r="AD312" s="420"/>
      <c r="AE312" s="420"/>
      <c r="AF312" s="367"/>
      <c r="AG312" s="420"/>
      <c r="AH312" s="367"/>
      <c r="AI312" s="367"/>
      <c r="AJ312" s="367"/>
      <c r="AK312" s="358"/>
      <c r="AL312" s="358"/>
      <c r="AM312" s="358"/>
      <c r="AN312" s="358"/>
      <c r="AO312" s="358"/>
      <c r="AP312" s="367"/>
      <c r="AQ312" s="367"/>
      <c r="AR312" s="367"/>
    </row>
    <row r="313">
      <c r="A313" s="418"/>
      <c r="B313" s="418"/>
      <c r="C313" s="417"/>
      <c r="D313" s="417"/>
      <c r="E313" s="418"/>
      <c r="F313" s="418"/>
      <c r="G313" s="367"/>
      <c r="H313" s="418"/>
      <c r="I313" s="418"/>
      <c r="J313" s="418"/>
      <c r="K313" s="418"/>
      <c r="L313" s="420"/>
      <c r="M313" s="420"/>
      <c r="N313" s="420"/>
      <c r="O313" s="420"/>
      <c r="P313" s="420"/>
      <c r="Q313" s="420"/>
      <c r="R313" s="420"/>
      <c r="S313" s="420"/>
      <c r="T313" s="420"/>
      <c r="U313" s="420"/>
      <c r="V313" s="420"/>
      <c r="W313" s="420"/>
      <c r="X313" s="420"/>
      <c r="Y313" s="420"/>
      <c r="Z313" s="367"/>
      <c r="AA313" s="420"/>
      <c r="AB313" s="420"/>
      <c r="AC313" s="420"/>
      <c r="AD313" s="420"/>
      <c r="AE313" s="420"/>
      <c r="AF313" s="367"/>
      <c r="AG313" s="420"/>
      <c r="AH313" s="367"/>
      <c r="AI313" s="367"/>
      <c r="AJ313" s="367"/>
      <c r="AK313" s="358"/>
      <c r="AL313" s="358"/>
      <c r="AM313" s="358"/>
      <c r="AN313" s="358"/>
      <c r="AO313" s="358"/>
      <c r="AP313" s="367"/>
      <c r="AQ313" s="367"/>
      <c r="AR313" s="367"/>
    </row>
    <row r="314">
      <c r="A314" s="418"/>
      <c r="B314" s="418"/>
      <c r="C314" s="417"/>
      <c r="D314" s="417"/>
      <c r="E314" s="418"/>
      <c r="F314" s="418"/>
      <c r="G314" s="367"/>
      <c r="H314" s="418"/>
      <c r="I314" s="418"/>
      <c r="J314" s="418"/>
      <c r="K314" s="418"/>
      <c r="L314" s="420"/>
      <c r="M314" s="420"/>
      <c r="N314" s="420"/>
      <c r="O314" s="420"/>
      <c r="P314" s="420"/>
      <c r="Q314" s="420"/>
      <c r="R314" s="420"/>
      <c r="S314" s="420"/>
      <c r="T314" s="420"/>
      <c r="U314" s="420"/>
      <c r="V314" s="420"/>
      <c r="W314" s="420"/>
      <c r="X314" s="420"/>
      <c r="Y314" s="420"/>
      <c r="Z314" s="367"/>
      <c r="AA314" s="420"/>
      <c r="AB314" s="420"/>
      <c r="AC314" s="420"/>
      <c r="AD314" s="420"/>
      <c r="AE314" s="420"/>
      <c r="AF314" s="367"/>
      <c r="AG314" s="420"/>
      <c r="AH314" s="367"/>
      <c r="AI314" s="367"/>
      <c r="AJ314" s="367"/>
      <c r="AK314" s="358"/>
      <c r="AL314" s="358"/>
      <c r="AM314" s="358"/>
      <c r="AN314" s="358"/>
      <c r="AO314" s="358"/>
      <c r="AP314" s="367"/>
      <c r="AQ314" s="367"/>
      <c r="AR314" s="367"/>
    </row>
    <row r="315">
      <c r="A315" s="418"/>
      <c r="B315" s="418"/>
      <c r="C315" s="417"/>
      <c r="D315" s="417"/>
      <c r="E315" s="418"/>
      <c r="F315" s="418"/>
      <c r="G315" s="367"/>
      <c r="H315" s="418"/>
      <c r="I315" s="418"/>
      <c r="J315" s="418"/>
      <c r="K315" s="418"/>
      <c r="L315" s="420"/>
      <c r="M315" s="420"/>
      <c r="N315" s="420"/>
      <c r="O315" s="420"/>
      <c r="P315" s="420"/>
      <c r="Q315" s="420"/>
      <c r="R315" s="420"/>
      <c r="S315" s="420"/>
      <c r="T315" s="420"/>
      <c r="U315" s="420"/>
      <c r="V315" s="420"/>
      <c r="W315" s="420"/>
      <c r="X315" s="420"/>
      <c r="Y315" s="420"/>
      <c r="Z315" s="367"/>
      <c r="AA315" s="420"/>
      <c r="AB315" s="420"/>
      <c r="AC315" s="420"/>
      <c r="AD315" s="420"/>
      <c r="AE315" s="420"/>
      <c r="AF315" s="367"/>
      <c r="AG315" s="420"/>
      <c r="AH315" s="367"/>
      <c r="AI315" s="367"/>
      <c r="AJ315" s="367"/>
      <c r="AK315" s="358"/>
      <c r="AL315" s="358"/>
      <c r="AM315" s="358"/>
      <c r="AN315" s="358"/>
      <c r="AO315" s="358"/>
      <c r="AP315" s="367"/>
      <c r="AQ315" s="367"/>
      <c r="AR315" s="367"/>
    </row>
    <row r="316">
      <c r="A316" s="418"/>
      <c r="B316" s="418"/>
      <c r="C316" s="417"/>
      <c r="D316" s="417"/>
      <c r="E316" s="418"/>
      <c r="F316" s="418"/>
      <c r="G316" s="367"/>
      <c r="H316" s="418"/>
      <c r="I316" s="418"/>
      <c r="J316" s="418"/>
      <c r="K316" s="418"/>
      <c r="L316" s="420"/>
      <c r="M316" s="420"/>
      <c r="N316" s="420"/>
      <c r="O316" s="420"/>
      <c r="P316" s="420"/>
      <c r="Q316" s="420"/>
      <c r="R316" s="420"/>
      <c r="S316" s="420"/>
      <c r="T316" s="420"/>
      <c r="U316" s="420"/>
      <c r="V316" s="420"/>
      <c r="W316" s="420"/>
      <c r="X316" s="420"/>
      <c r="Y316" s="420"/>
      <c r="Z316" s="367"/>
      <c r="AA316" s="420"/>
      <c r="AB316" s="420"/>
      <c r="AC316" s="420"/>
      <c r="AD316" s="420"/>
      <c r="AE316" s="420"/>
      <c r="AF316" s="367"/>
      <c r="AG316" s="420"/>
      <c r="AH316" s="367"/>
      <c r="AI316" s="367"/>
      <c r="AJ316" s="367"/>
      <c r="AK316" s="358"/>
      <c r="AL316" s="358"/>
      <c r="AM316" s="358"/>
      <c r="AN316" s="358"/>
      <c r="AO316" s="358"/>
      <c r="AP316" s="367"/>
      <c r="AQ316" s="367"/>
      <c r="AR316" s="367"/>
    </row>
    <row r="317">
      <c r="A317" s="418"/>
      <c r="B317" s="418"/>
      <c r="C317" s="417"/>
      <c r="D317" s="417"/>
      <c r="E317" s="418"/>
      <c r="F317" s="418"/>
      <c r="G317" s="367"/>
      <c r="H317" s="418"/>
      <c r="I317" s="418"/>
      <c r="J317" s="418"/>
      <c r="K317" s="418"/>
      <c r="L317" s="420"/>
      <c r="M317" s="420"/>
      <c r="N317" s="420"/>
      <c r="O317" s="420"/>
      <c r="P317" s="420"/>
      <c r="Q317" s="420"/>
      <c r="R317" s="420"/>
      <c r="S317" s="420"/>
      <c r="T317" s="420"/>
      <c r="U317" s="420"/>
      <c r="V317" s="420"/>
      <c r="W317" s="420"/>
      <c r="X317" s="420"/>
      <c r="Y317" s="420"/>
      <c r="Z317" s="367"/>
      <c r="AA317" s="420"/>
      <c r="AB317" s="420"/>
      <c r="AC317" s="420"/>
      <c r="AD317" s="420"/>
      <c r="AE317" s="420"/>
      <c r="AF317" s="367"/>
      <c r="AG317" s="420"/>
      <c r="AH317" s="367"/>
      <c r="AI317" s="367"/>
      <c r="AJ317" s="367"/>
      <c r="AK317" s="358"/>
      <c r="AL317" s="358"/>
      <c r="AM317" s="358"/>
      <c r="AN317" s="358"/>
      <c r="AO317" s="358"/>
      <c r="AP317" s="367"/>
      <c r="AQ317" s="367"/>
      <c r="AR317" s="367"/>
    </row>
    <row r="318">
      <c r="A318" s="418"/>
      <c r="B318" s="418"/>
      <c r="C318" s="417"/>
      <c r="D318" s="417"/>
      <c r="E318" s="418"/>
      <c r="F318" s="418"/>
      <c r="G318" s="367"/>
      <c r="H318" s="418"/>
      <c r="I318" s="418"/>
      <c r="J318" s="418"/>
      <c r="K318" s="418"/>
      <c r="L318" s="420"/>
      <c r="M318" s="420"/>
      <c r="N318" s="420"/>
      <c r="O318" s="420"/>
      <c r="P318" s="420"/>
      <c r="Q318" s="420"/>
      <c r="R318" s="420"/>
      <c r="S318" s="420"/>
      <c r="T318" s="420"/>
      <c r="U318" s="420"/>
      <c r="V318" s="420"/>
      <c r="W318" s="420"/>
      <c r="X318" s="420"/>
      <c r="Y318" s="420"/>
      <c r="Z318" s="367"/>
      <c r="AA318" s="420"/>
      <c r="AB318" s="420"/>
      <c r="AC318" s="420"/>
      <c r="AD318" s="420"/>
      <c r="AE318" s="420"/>
      <c r="AF318" s="367"/>
      <c r="AG318" s="420"/>
      <c r="AH318" s="367"/>
      <c r="AI318" s="367"/>
      <c r="AJ318" s="367"/>
      <c r="AK318" s="358"/>
      <c r="AL318" s="358"/>
      <c r="AM318" s="358"/>
      <c r="AN318" s="358"/>
      <c r="AO318" s="358"/>
      <c r="AP318" s="367"/>
      <c r="AQ318" s="367"/>
      <c r="AR318" s="367"/>
    </row>
    <row r="319">
      <c r="A319" s="418"/>
      <c r="B319" s="418"/>
      <c r="C319" s="417"/>
      <c r="D319" s="417"/>
      <c r="E319" s="418"/>
      <c r="F319" s="418"/>
      <c r="G319" s="367"/>
      <c r="H319" s="418"/>
      <c r="I319" s="418"/>
      <c r="J319" s="418"/>
      <c r="K319" s="418"/>
      <c r="L319" s="420"/>
      <c r="M319" s="420"/>
      <c r="N319" s="420"/>
      <c r="O319" s="420"/>
      <c r="P319" s="420"/>
      <c r="Q319" s="420"/>
      <c r="R319" s="420"/>
      <c r="S319" s="420"/>
      <c r="T319" s="420"/>
      <c r="U319" s="420"/>
      <c r="V319" s="420"/>
      <c r="W319" s="420"/>
      <c r="X319" s="420"/>
      <c r="Y319" s="420"/>
      <c r="Z319" s="367"/>
      <c r="AA319" s="420"/>
      <c r="AB319" s="420"/>
      <c r="AC319" s="420"/>
      <c r="AD319" s="420"/>
      <c r="AE319" s="420"/>
      <c r="AF319" s="367"/>
      <c r="AG319" s="420"/>
      <c r="AH319" s="367"/>
      <c r="AI319" s="367"/>
      <c r="AJ319" s="367"/>
      <c r="AK319" s="358"/>
      <c r="AL319" s="358"/>
      <c r="AM319" s="358"/>
      <c r="AN319" s="358"/>
      <c r="AO319" s="358"/>
      <c r="AP319" s="367"/>
      <c r="AQ319" s="367"/>
      <c r="AR319" s="367"/>
    </row>
    <row r="320">
      <c r="A320" s="418"/>
      <c r="B320" s="418"/>
      <c r="C320" s="417"/>
      <c r="D320" s="417"/>
      <c r="E320" s="418"/>
      <c r="F320" s="418"/>
      <c r="G320" s="367"/>
      <c r="H320" s="418"/>
      <c r="I320" s="418"/>
      <c r="J320" s="418"/>
      <c r="K320" s="418"/>
      <c r="L320" s="420"/>
      <c r="M320" s="420"/>
      <c r="N320" s="420"/>
      <c r="O320" s="420"/>
      <c r="P320" s="420"/>
      <c r="Q320" s="420"/>
      <c r="R320" s="420"/>
      <c r="S320" s="420"/>
      <c r="T320" s="420"/>
      <c r="U320" s="420"/>
      <c r="V320" s="420"/>
      <c r="W320" s="420"/>
      <c r="X320" s="420"/>
      <c r="Y320" s="420"/>
      <c r="Z320" s="367"/>
      <c r="AA320" s="420"/>
      <c r="AB320" s="420"/>
      <c r="AC320" s="420"/>
      <c r="AD320" s="420"/>
      <c r="AE320" s="420"/>
      <c r="AF320" s="367"/>
      <c r="AG320" s="420"/>
      <c r="AH320" s="367"/>
      <c r="AI320" s="367"/>
      <c r="AJ320" s="367"/>
      <c r="AK320" s="358"/>
      <c r="AL320" s="358"/>
      <c r="AM320" s="358"/>
      <c r="AN320" s="358"/>
      <c r="AO320" s="358"/>
      <c r="AP320" s="367"/>
      <c r="AQ320" s="367"/>
      <c r="AR320" s="367"/>
    </row>
    <row r="321">
      <c r="A321" s="418"/>
      <c r="B321" s="418"/>
      <c r="C321" s="417"/>
      <c r="D321" s="417"/>
      <c r="E321" s="418"/>
      <c r="F321" s="418"/>
      <c r="G321" s="367"/>
      <c r="H321" s="418"/>
      <c r="I321" s="418"/>
      <c r="J321" s="418"/>
      <c r="K321" s="418"/>
      <c r="L321" s="420"/>
      <c r="M321" s="420"/>
      <c r="N321" s="420"/>
      <c r="O321" s="420"/>
      <c r="P321" s="420"/>
      <c r="Q321" s="420"/>
      <c r="R321" s="420"/>
      <c r="S321" s="420"/>
      <c r="T321" s="420"/>
      <c r="U321" s="420"/>
      <c r="V321" s="420"/>
      <c r="W321" s="420"/>
      <c r="X321" s="420"/>
      <c r="Y321" s="420"/>
      <c r="Z321" s="367"/>
      <c r="AA321" s="420"/>
      <c r="AB321" s="420"/>
      <c r="AC321" s="420"/>
      <c r="AD321" s="420"/>
      <c r="AE321" s="420"/>
      <c r="AF321" s="367"/>
      <c r="AG321" s="420"/>
      <c r="AH321" s="367"/>
      <c r="AI321" s="367"/>
      <c r="AJ321" s="367"/>
      <c r="AK321" s="358"/>
      <c r="AL321" s="358"/>
      <c r="AM321" s="358"/>
      <c r="AN321" s="358"/>
      <c r="AO321" s="358"/>
      <c r="AP321" s="367"/>
      <c r="AQ321" s="367"/>
      <c r="AR321" s="367"/>
    </row>
    <row r="322">
      <c r="A322" s="418"/>
      <c r="B322" s="418"/>
      <c r="C322" s="417"/>
      <c r="D322" s="417"/>
      <c r="E322" s="418"/>
      <c r="F322" s="418"/>
      <c r="G322" s="367"/>
      <c r="H322" s="418"/>
      <c r="I322" s="418"/>
      <c r="J322" s="418"/>
      <c r="K322" s="418"/>
      <c r="L322" s="420"/>
      <c r="M322" s="420"/>
      <c r="N322" s="420"/>
      <c r="O322" s="420"/>
      <c r="P322" s="420"/>
      <c r="Q322" s="420"/>
      <c r="R322" s="420"/>
      <c r="S322" s="420"/>
      <c r="T322" s="420"/>
      <c r="U322" s="420"/>
      <c r="V322" s="420"/>
      <c r="W322" s="420"/>
      <c r="X322" s="420"/>
      <c r="Y322" s="420"/>
      <c r="Z322" s="367"/>
      <c r="AA322" s="420"/>
      <c r="AB322" s="420"/>
      <c r="AC322" s="420"/>
      <c r="AD322" s="420"/>
      <c r="AE322" s="420"/>
      <c r="AF322" s="367"/>
      <c r="AG322" s="420"/>
      <c r="AH322" s="367"/>
      <c r="AI322" s="367"/>
      <c r="AJ322" s="367"/>
      <c r="AK322" s="358"/>
      <c r="AL322" s="358"/>
      <c r="AM322" s="358"/>
      <c r="AN322" s="358"/>
      <c r="AO322" s="358"/>
      <c r="AP322" s="367"/>
      <c r="AQ322" s="367"/>
      <c r="AR322" s="367"/>
    </row>
    <row r="323">
      <c r="A323" s="418"/>
      <c r="B323" s="418"/>
      <c r="C323" s="417"/>
      <c r="D323" s="417"/>
      <c r="E323" s="418"/>
      <c r="F323" s="418"/>
      <c r="G323" s="367"/>
      <c r="H323" s="418"/>
      <c r="I323" s="418"/>
      <c r="J323" s="418"/>
      <c r="K323" s="418"/>
      <c r="L323" s="420"/>
      <c r="M323" s="420"/>
      <c r="N323" s="420"/>
      <c r="O323" s="420"/>
      <c r="P323" s="420"/>
      <c r="Q323" s="420"/>
      <c r="R323" s="420"/>
      <c r="S323" s="420"/>
      <c r="T323" s="420"/>
      <c r="U323" s="420"/>
      <c r="V323" s="420"/>
      <c r="W323" s="420"/>
      <c r="X323" s="420"/>
      <c r="Y323" s="420"/>
      <c r="Z323" s="367"/>
      <c r="AA323" s="420"/>
      <c r="AB323" s="420"/>
      <c r="AC323" s="420"/>
      <c r="AD323" s="420"/>
      <c r="AE323" s="420"/>
      <c r="AF323" s="367"/>
      <c r="AG323" s="420"/>
      <c r="AH323" s="367"/>
      <c r="AI323" s="367"/>
      <c r="AJ323" s="367"/>
      <c r="AK323" s="358"/>
      <c r="AL323" s="358"/>
      <c r="AM323" s="358"/>
      <c r="AN323" s="358"/>
      <c r="AO323" s="358"/>
      <c r="AP323" s="367"/>
      <c r="AQ323" s="367"/>
      <c r="AR323" s="367"/>
    </row>
    <row r="324">
      <c r="A324" s="418"/>
      <c r="B324" s="418"/>
      <c r="C324" s="417"/>
      <c r="D324" s="417"/>
      <c r="E324" s="418"/>
      <c r="F324" s="418"/>
      <c r="G324" s="367"/>
      <c r="H324" s="418"/>
      <c r="I324" s="418"/>
      <c r="J324" s="418"/>
      <c r="K324" s="418"/>
      <c r="L324" s="420"/>
      <c r="M324" s="420"/>
      <c r="N324" s="420"/>
      <c r="O324" s="420"/>
      <c r="P324" s="420"/>
      <c r="Q324" s="420"/>
      <c r="R324" s="420"/>
      <c r="S324" s="420"/>
      <c r="T324" s="420"/>
      <c r="U324" s="420"/>
      <c r="V324" s="420"/>
      <c r="W324" s="420"/>
      <c r="X324" s="420"/>
      <c r="Y324" s="420"/>
      <c r="Z324" s="367"/>
      <c r="AA324" s="420"/>
      <c r="AB324" s="420"/>
      <c r="AC324" s="420"/>
      <c r="AD324" s="420"/>
      <c r="AE324" s="420"/>
      <c r="AF324" s="367"/>
      <c r="AG324" s="420"/>
      <c r="AH324" s="367"/>
      <c r="AI324" s="367"/>
      <c r="AJ324" s="367"/>
      <c r="AK324" s="358"/>
      <c r="AL324" s="358"/>
      <c r="AM324" s="358"/>
      <c r="AN324" s="358"/>
      <c r="AO324" s="358"/>
      <c r="AP324" s="367"/>
      <c r="AQ324" s="367"/>
      <c r="AR324" s="367"/>
    </row>
    <row r="325">
      <c r="A325" s="418"/>
      <c r="B325" s="418"/>
      <c r="C325" s="417"/>
      <c r="D325" s="417"/>
      <c r="E325" s="418"/>
      <c r="F325" s="418"/>
      <c r="G325" s="367"/>
      <c r="H325" s="418"/>
      <c r="I325" s="418"/>
      <c r="J325" s="418"/>
      <c r="K325" s="418"/>
      <c r="L325" s="420"/>
      <c r="M325" s="420"/>
      <c r="N325" s="420"/>
      <c r="O325" s="420"/>
      <c r="P325" s="420"/>
      <c r="Q325" s="420"/>
      <c r="R325" s="420"/>
      <c r="S325" s="420"/>
      <c r="T325" s="420"/>
      <c r="U325" s="420"/>
      <c r="V325" s="420"/>
      <c r="W325" s="420"/>
      <c r="X325" s="420"/>
      <c r="Y325" s="420"/>
      <c r="Z325" s="367"/>
      <c r="AA325" s="420"/>
      <c r="AB325" s="420"/>
      <c r="AC325" s="420"/>
      <c r="AD325" s="420"/>
      <c r="AE325" s="420"/>
      <c r="AF325" s="367"/>
      <c r="AG325" s="420"/>
      <c r="AH325" s="367"/>
      <c r="AI325" s="367"/>
      <c r="AJ325" s="367"/>
      <c r="AK325" s="358"/>
      <c r="AL325" s="358"/>
      <c r="AM325" s="358"/>
      <c r="AN325" s="358"/>
      <c r="AO325" s="358"/>
      <c r="AP325" s="367"/>
      <c r="AQ325" s="367"/>
      <c r="AR325" s="367"/>
    </row>
    <row r="326">
      <c r="A326" s="418"/>
      <c r="B326" s="418"/>
      <c r="C326" s="417"/>
      <c r="D326" s="417"/>
      <c r="E326" s="418"/>
      <c r="F326" s="418"/>
      <c r="G326" s="367"/>
      <c r="H326" s="418"/>
      <c r="I326" s="418"/>
      <c r="J326" s="418"/>
      <c r="K326" s="418"/>
      <c r="L326" s="420"/>
      <c r="M326" s="420"/>
      <c r="N326" s="420"/>
      <c r="O326" s="420"/>
      <c r="P326" s="420"/>
      <c r="Q326" s="420"/>
      <c r="R326" s="420"/>
      <c r="S326" s="420"/>
      <c r="T326" s="420"/>
      <c r="U326" s="420"/>
      <c r="V326" s="420"/>
      <c r="W326" s="420"/>
      <c r="X326" s="420"/>
      <c r="Y326" s="420"/>
      <c r="Z326" s="367"/>
      <c r="AA326" s="420"/>
      <c r="AB326" s="420"/>
      <c r="AC326" s="420"/>
      <c r="AD326" s="420"/>
      <c r="AE326" s="420"/>
      <c r="AF326" s="367"/>
      <c r="AG326" s="420"/>
      <c r="AH326" s="367"/>
      <c r="AI326" s="367"/>
      <c r="AJ326" s="367"/>
      <c r="AK326" s="358"/>
      <c r="AL326" s="358"/>
      <c r="AM326" s="358"/>
      <c r="AN326" s="358"/>
      <c r="AO326" s="358"/>
      <c r="AP326" s="367"/>
      <c r="AQ326" s="367"/>
      <c r="AR326" s="367"/>
    </row>
    <row r="327">
      <c r="A327" s="418"/>
      <c r="B327" s="418"/>
      <c r="C327" s="417"/>
      <c r="D327" s="417"/>
      <c r="E327" s="418"/>
      <c r="F327" s="418"/>
      <c r="G327" s="367"/>
      <c r="H327" s="418"/>
      <c r="I327" s="418"/>
      <c r="J327" s="418"/>
      <c r="K327" s="418"/>
      <c r="L327" s="420"/>
      <c r="M327" s="420"/>
      <c r="N327" s="420"/>
      <c r="O327" s="420"/>
      <c r="P327" s="420"/>
      <c r="Q327" s="420"/>
      <c r="R327" s="420"/>
      <c r="S327" s="420"/>
      <c r="T327" s="420"/>
      <c r="U327" s="420"/>
      <c r="V327" s="420"/>
      <c r="W327" s="420"/>
      <c r="X327" s="420"/>
      <c r="Y327" s="420"/>
      <c r="Z327" s="367"/>
      <c r="AA327" s="420"/>
      <c r="AB327" s="420"/>
      <c r="AC327" s="420"/>
      <c r="AD327" s="420"/>
      <c r="AE327" s="420"/>
      <c r="AF327" s="367"/>
      <c r="AG327" s="420"/>
      <c r="AH327" s="367"/>
      <c r="AI327" s="367"/>
      <c r="AJ327" s="367"/>
      <c r="AK327" s="358"/>
      <c r="AL327" s="358"/>
      <c r="AM327" s="358"/>
      <c r="AN327" s="358"/>
      <c r="AO327" s="358"/>
      <c r="AP327" s="367"/>
      <c r="AQ327" s="367"/>
      <c r="AR327" s="367"/>
    </row>
    <row r="328">
      <c r="A328" s="418"/>
      <c r="B328" s="418"/>
      <c r="C328" s="417"/>
      <c r="D328" s="417"/>
      <c r="E328" s="418"/>
      <c r="F328" s="418"/>
      <c r="G328" s="367"/>
      <c r="H328" s="418"/>
      <c r="I328" s="418"/>
      <c r="J328" s="418"/>
      <c r="K328" s="418"/>
      <c r="L328" s="420"/>
      <c r="M328" s="420"/>
      <c r="N328" s="420"/>
      <c r="O328" s="420"/>
      <c r="P328" s="420"/>
      <c r="Q328" s="420"/>
      <c r="R328" s="420"/>
      <c r="S328" s="420"/>
      <c r="T328" s="420"/>
      <c r="U328" s="420"/>
      <c r="V328" s="420"/>
      <c r="W328" s="420"/>
      <c r="X328" s="420"/>
      <c r="Y328" s="420"/>
      <c r="Z328" s="367"/>
      <c r="AA328" s="420"/>
      <c r="AB328" s="420"/>
      <c r="AC328" s="420"/>
      <c r="AD328" s="420"/>
      <c r="AE328" s="420"/>
      <c r="AF328" s="367"/>
      <c r="AG328" s="420"/>
      <c r="AH328" s="367"/>
      <c r="AI328" s="367"/>
      <c r="AJ328" s="367"/>
      <c r="AK328" s="358"/>
      <c r="AL328" s="358"/>
      <c r="AM328" s="358"/>
      <c r="AN328" s="358"/>
      <c r="AO328" s="358"/>
      <c r="AP328" s="367"/>
      <c r="AQ328" s="367"/>
      <c r="AR328" s="367"/>
    </row>
    <row r="329">
      <c r="A329" s="418"/>
      <c r="B329" s="418"/>
      <c r="C329" s="417"/>
      <c r="D329" s="417"/>
      <c r="E329" s="418"/>
      <c r="F329" s="418"/>
      <c r="G329" s="367"/>
      <c r="H329" s="418"/>
      <c r="I329" s="418"/>
      <c r="J329" s="418"/>
      <c r="K329" s="418"/>
      <c r="L329" s="420"/>
      <c r="M329" s="420"/>
      <c r="N329" s="420"/>
      <c r="O329" s="420"/>
      <c r="P329" s="420"/>
      <c r="Q329" s="420"/>
      <c r="R329" s="420"/>
      <c r="S329" s="420"/>
      <c r="T329" s="420"/>
      <c r="U329" s="420"/>
      <c r="V329" s="420"/>
      <c r="W329" s="420"/>
      <c r="X329" s="420"/>
      <c r="Y329" s="420"/>
      <c r="Z329" s="367"/>
      <c r="AA329" s="420"/>
      <c r="AB329" s="420"/>
      <c r="AC329" s="420"/>
      <c r="AD329" s="420"/>
      <c r="AE329" s="420"/>
      <c r="AF329" s="367"/>
      <c r="AG329" s="420"/>
      <c r="AH329" s="367"/>
      <c r="AI329" s="367"/>
      <c r="AJ329" s="367"/>
      <c r="AK329" s="358"/>
      <c r="AL329" s="358"/>
      <c r="AM329" s="358"/>
      <c r="AN329" s="358"/>
      <c r="AO329" s="358"/>
      <c r="AP329" s="367"/>
      <c r="AQ329" s="367"/>
      <c r="AR329" s="367"/>
    </row>
    <row r="330">
      <c r="A330" s="418"/>
      <c r="B330" s="418"/>
      <c r="C330" s="417"/>
      <c r="D330" s="417"/>
      <c r="E330" s="418"/>
      <c r="F330" s="418"/>
      <c r="G330" s="367"/>
      <c r="H330" s="418"/>
      <c r="I330" s="418"/>
      <c r="J330" s="418"/>
      <c r="K330" s="418"/>
      <c r="L330" s="420"/>
      <c r="M330" s="420"/>
      <c r="N330" s="420"/>
      <c r="O330" s="420"/>
      <c r="P330" s="420"/>
      <c r="Q330" s="420"/>
      <c r="R330" s="420"/>
      <c r="S330" s="420"/>
      <c r="T330" s="420"/>
      <c r="U330" s="420"/>
      <c r="V330" s="420"/>
      <c r="W330" s="420"/>
      <c r="X330" s="420"/>
      <c r="Y330" s="420"/>
      <c r="Z330" s="367"/>
      <c r="AA330" s="420"/>
      <c r="AB330" s="420"/>
      <c r="AC330" s="420"/>
      <c r="AD330" s="420"/>
      <c r="AE330" s="420"/>
      <c r="AF330" s="367"/>
      <c r="AG330" s="420"/>
      <c r="AH330" s="367"/>
      <c r="AI330" s="367"/>
      <c r="AJ330" s="367"/>
      <c r="AK330" s="358"/>
      <c r="AL330" s="358"/>
      <c r="AM330" s="358"/>
      <c r="AN330" s="358"/>
      <c r="AO330" s="358"/>
      <c r="AP330" s="367"/>
      <c r="AQ330" s="367"/>
      <c r="AR330" s="367"/>
    </row>
    <row r="331">
      <c r="A331" s="418"/>
      <c r="B331" s="418"/>
      <c r="C331" s="417"/>
      <c r="D331" s="417"/>
      <c r="E331" s="418"/>
      <c r="F331" s="418"/>
      <c r="G331" s="367"/>
      <c r="H331" s="418"/>
      <c r="I331" s="418"/>
      <c r="J331" s="418"/>
      <c r="K331" s="418"/>
      <c r="L331" s="420"/>
      <c r="M331" s="420"/>
      <c r="N331" s="420"/>
      <c r="O331" s="420"/>
      <c r="P331" s="420"/>
      <c r="Q331" s="420"/>
      <c r="R331" s="420"/>
      <c r="S331" s="420"/>
      <c r="T331" s="420"/>
      <c r="U331" s="420"/>
      <c r="V331" s="420"/>
      <c r="W331" s="420"/>
      <c r="X331" s="420"/>
      <c r="Y331" s="420"/>
      <c r="Z331" s="367"/>
      <c r="AA331" s="420"/>
      <c r="AB331" s="420"/>
      <c r="AC331" s="420"/>
      <c r="AD331" s="420"/>
      <c r="AE331" s="420"/>
      <c r="AF331" s="367"/>
      <c r="AG331" s="420"/>
      <c r="AH331" s="367"/>
      <c r="AI331" s="367"/>
      <c r="AJ331" s="367"/>
      <c r="AK331" s="358"/>
      <c r="AL331" s="358"/>
      <c r="AM331" s="358"/>
      <c r="AN331" s="358"/>
      <c r="AO331" s="358"/>
      <c r="AP331" s="367"/>
      <c r="AQ331" s="367"/>
      <c r="AR331" s="367"/>
    </row>
    <row r="332">
      <c r="A332" s="418"/>
      <c r="B332" s="418"/>
      <c r="C332" s="417"/>
      <c r="D332" s="417"/>
      <c r="E332" s="418"/>
      <c r="F332" s="418"/>
      <c r="G332" s="367"/>
      <c r="H332" s="418"/>
      <c r="I332" s="418"/>
      <c r="J332" s="418"/>
      <c r="K332" s="418"/>
      <c r="L332" s="420"/>
      <c r="M332" s="420"/>
      <c r="N332" s="420"/>
      <c r="O332" s="420"/>
      <c r="P332" s="420"/>
      <c r="Q332" s="420"/>
      <c r="R332" s="420"/>
      <c r="S332" s="420"/>
      <c r="T332" s="420"/>
      <c r="U332" s="420"/>
      <c r="V332" s="420"/>
      <c r="W332" s="420"/>
      <c r="X332" s="420"/>
      <c r="Y332" s="420"/>
      <c r="Z332" s="367"/>
      <c r="AA332" s="420"/>
      <c r="AB332" s="420"/>
      <c r="AC332" s="420"/>
      <c r="AD332" s="420"/>
      <c r="AE332" s="420"/>
      <c r="AF332" s="367"/>
      <c r="AG332" s="420"/>
      <c r="AH332" s="367"/>
      <c r="AI332" s="367"/>
      <c r="AJ332" s="367"/>
      <c r="AK332" s="358"/>
      <c r="AL332" s="358"/>
      <c r="AM332" s="358"/>
      <c r="AN332" s="358"/>
      <c r="AO332" s="358"/>
      <c r="AP332" s="367"/>
      <c r="AQ332" s="367"/>
      <c r="AR332" s="367"/>
    </row>
    <row r="333">
      <c r="A333" s="418"/>
      <c r="B333" s="418"/>
      <c r="C333" s="417"/>
      <c r="D333" s="417"/>
      <c r="E333" s="418"/>
      <c r="F333" s="418"/>
      <c r="G333" s="367"/>
      <c r="H333" s="418"/>
      <c r="I333" s="418"/>
      <c r="J333" s="418"/>
      <c r="K333" s="418"/>
      <c r="L333" s="420"/>
      <c r="M333" s="420"/>
      <c r="N333" s="420"/>
      <c r="O333" s="420"/>
      <c r="P333" s="420"/>
      <c r="Q333" s="420"/>
      <c r="R333" s="420"/>
      <c r="S333" s="420"/>
      <c r="T333" s="420"/>
      <c r="U333" s="420"/>
      <c r="V333" s="420"/>
      <c r="W333" s="420"/>
      <c r="X333" s="420"/>
      <c r="Y333" s="420"/>
      <c r="Z333" s="367"/>
      <c r="AA333" s="420"/>
      <c r="AB333" s="420"/>
      <c r="AC333" s="420"/>
      <c r="AD333" s="420"/>
      <c r="AE333" s="420"/>
      <c r="AF333" s="367"/>
      <c r="AG333" s="420"/>
      <c r="AH333" s="367"/>
      <c r="AI333" s="367"/>
      <c r="AJ333" s="367"/>
      <c r="AK333" s="358"/>
      <c r="AL333" s="358"/>
      <c r="AM333" s="358"/>
      <c r="AN333" s="358"/>
      <c r="AO333" s="358"/>
      <c r="AP333" s="367"/>
      <c r="AQ333" s="367"/>
      <c r="AR333" s="367"/>
    </row>
    <row r="334">
      <c r="A334" s="418"/>
      <c r="B334" s="418"/>
      <c r="C334" s="417"/>
      <c r="D334" s="417"/>
      <c r="E334" s="418"/>
      <c r="F334" s="418"/>
      <c r="G334" s="367"/>
      <c r="H334" s="418"/>
      <c r="I334" s="418"/>
      <c r="J334" s="418"/>
      <c r="K334" s="418"/>
      <c r="L334" s="420"/>
      <c r="M334" s="420"/>
      <c r="N334" s="420"/>
      <c r="O334" s="420"/>
      <c r="P334" s="420"/>
      <c r="Q334" s="420"/>
      <c r="R334" s="420"/>
      <c r="S334" s="420"/>
      <c r="T334" s="420"/>
      <c r="U334" s="420"/>
      <c r="V334" s="420"/>
      <c r="W334" s="420"/>
      <c r="X334" s="420"/>
      <c r="Y334" s="420"/>
      <c r="Z334" s="367"/>
      <c r="AA334" s="420"/>
      <c r="AB334" s="420"/>
      <c r="AC334" s="420"/>
      <c r="AD334" s="420"/>
      <c r="AE334" s="420"/>
      <c r="AF334" s="367"/>
      <c r="AG334" s="420"/>
      <c r="AH334" s="367"/>
      <c r="AI334" s="367"/>
      <c r="AJ334" s="367"/>
      <c r="AK334" s="358"/>
      <c r="AL334" s="358"/>
      <c r="AM334" s="358"/>
      <c r="AN334" s="358"/>
      <c r="AO334" s="358"/>
      <c r="AP334" s="367"/>
      <c r="AQ334" s="367"/>
      <c r="AR334" s="367"/>
    </row>
    <row r="335">
      <c r="A335" s="418"/>
      <c r="B335" s="418"/>
      <c r="C335" s="417"/>
      <c r="D335" s="417"/>
      <c r="E335" s="418"/>
      <c r="F335" s="418"/>
      <c r="G335" s="367"/>
      <c r="H335" s="418"/>
      <c r="I335" s="418"/>
      <c r="J335" s="418"/>
      <c r="K335" s="418"/>
      <c r="L335" s="420"/>
      <c r="M335" s="420"/>
      <c r="N335" s="420"/>
      <c r="O335" s="420"/>
      <c r="P335" s="420"/>
      <c r="Q335" s="420"/>
      <c r="R335" s="420"/>
      <c r="S335" s="420"/>
      <c r="T335" s="420"/>
      <c r="U335" s="420"/>
      <c r="V335" s="420"/>
      <c r="W335" s="420"/>
      <c r="X335" s="420"/>
      <c r="Y335" s="420"/>
      <c r="Z335" s="367"/>
      <c r="AA335" s="420"/>
      <c r="AB335" s="420"/>
      <c r="AC335" s="420"/>
      <c r="AD335" s="420"/>
      <c r="AE335" s="420"/>
      <c r="AF335" s="367"/>
      <c r="AG335" s="420"/>
      <c r="AH335" s="367"/>
      <c r="AI335" s="367"/>
      <c r="AJ335" s="367"/>
      <c r="AK335" s="358"/>
      <c r="AL335" s="358"/>
      <c r="AM335" s="358"/>
      <c r="AN335" s="358"/>
      <c r="AO335" s="358"/>
      <c r="AP335" s="367"/>
      <c r="AQ335" s="367"/>
      <c r="AR335" s="367"/>
    </row>
    <row r="336">
      <c r="A336" s="418"/>
      <c r="B336" s="418"/>
      <c r="C336" s="417"/>
      <c r="D336" s="417"/>
      <c r="E336" s="418"/>
      <c r="F336" s="418"/>
      <c r="G336" s="367"/>
      <c r="H336" s="418"/>
      <c r="I336" s="418"/>
      <c r="J336" s="418"/>
      <c r="K336" s="418"/>
      <c r="L336" s="420"/>
      <c r="M336" s="420"/>
      <c r="N336" s="420"/>
      <c r="O336" s="420"/>
      <c r="P336" s="420"/>
      <c r="Q336" s="420"/>
      <c r="R336" s="420"/>
      <c r="S336" s="420"/>
      <c r="T336" s="420"/>
      <c r="U336" s="420"/>
      <c r="V336" s="420"/>
      <c r="W336" s="420"/>
      <c r="X336" s="420"/>
      <c r="Y336" s="420"/>
      <c r="Z336" s="367"/>
      <c r="AA336" s="420"/>
      <c r="AB336" s="420"/>
      <c r="AC336" s="420"/>
      <c r="AD336" s="420"/>
      <c r="AE336" s="420"/>
      <c r="AF336" s="367"/>
      <c r="AG336" s="420"/>
      <c r="AH336" s="367"/>
      <c r="AI336" s="367"/>
      <c r="AJ336" s="367"/>
      <c r="AK336" s="358"/>
      <c r="AL336" s="358"/>
      <c r="AM336" s="358"/>
      <c r="AN336" s="358"/>
      <c r="AO336" s="358"/>
      <c r="AP336" s="367"/>
      <c r="AQ336" s="367"/>
      <c r="AR336" s="367"/>
    </row>
    <row r="337">
      <c r="A337" s="418"/>
      <c r="B337" s="418"/>
      <c r="C337" s="417"/>
      <c r="D337" s="417"/>
      <c r="E337" s="418"/>
      <c r="F337" s="418"/>
      <c r="G337" s="367"/>
      <c r="H337" s="418"/>
      <c r="I337" s="418"/>
      <c r="J337" s="418"/>
      <c r="K337" s="418"/>
      <c r="L337" s="420"/>
      <c r="M337" s="420"/>
      <c r="N337" s="420"/>
      <c r="O337" s="420"/>
      <c r="P337" s="420"/>
      <c r="Q337" s="420"/>
      <c r="R337" s="420"/>
      <c r="S337" s="420"/>
      <c r="T337" s="420"/>
      <c r="U337" s="420"/>
      <c r="V337" s="420"/>
      <c r="W337" s="420"/>
      <c r="X337" s="420"/>
      <c r="Y337" s="420"/>
      <c r="Z337" s="367"/>
      <c r="AA337" s="420"/>
      <c r="AB337" s="420"/>
      <c r="AC337" s="420"/>
      <c r="AD337" s="420"/>
      <c r="AE337" s="420"/>
      <c r="AF337" s="367"/>
      <c r="AG337" s="420"/>
      <c r="AH337" s="367"/>
      <c r="AI337" s="367"/>
      <c r="AJ337" s="367"/>
      <c r="AK337" s="358"/>
      <c r="AL337" s="358"/>
      <c r="AM337" s="358"/>
      <c r="AN337" s="358"/>
      <c r="AO337" s="358"/>
      <c r="AP337" s="367"/>
      <c r="AQ337" s="367"/>
      <c r="AR337" s="367"/>
    </row>
    <row r="338">
      <c r="A338" s="418"/>
      <c r="B338" s="418"/>
      <c r="C338" s="417"/>
      <c r="D338" s="417"/>
      <c r="E338" s="418"/>
      <c r="F338" s="418"/>
      <c r="G338" s="367"/>
      <c r="H338" s="418"/>
      <c r="I338" s="418"/>
      <c r="J338" s="418"/>
      <c r="K338" s="418"/>
      <c r="L338" s="420"/>
      <c r="M338" s="420"/>
      <c r="N338" s="420"/>
      <c r="O338" s="420"/>
      <c r="P338" s="420"/>
      <c r="Q338" s="420"/>
      <c r="R338" s="420"/>
      <c r="S338" s="420"/>
      <c r="T338" s="420"/>
      <c r="U338" s="420"/>
      <c r="V338" s="420"/>
      <c r="W338" s="420"/>
      <c r="X338" s="420"/>
      <c r="Y338" s="420"/>
      <c r="Z338" s="367"/>
      <c r="AA338" s="420"/>
      <c r="AB338" s="420"/>
      <c r="AC338" s="420"/>
      <c r="AD338" s="420"/>
      <c r="AE338" s="420"/>
      <c r="AF338" s="367"/>
      <c r="AG338" s="420"/>
      <c r="AH338" s="367"/>
      <c r="AI338" s="367"/>
      <c r="AJ338" s="367"/>
      <c r="AK338" s="358"/>
      <c r="AL338" s="358"/>
      <c r="AM338" s="358"/>
      <c r="AN338" s="358"/>
      <c r="AO338" s="358"/>
      <c r="AP338" s="367"/>
      <c r="AQ338" s="367"/>
      <c r="AR338" s="367"/>
    </row>
    <row r="339">
      <c r="A339" s="418"/>
      <c r="B339" s="418"/>
      <c r="C339" s="417"/>
      <c r="D339" s="417"/>
      <c r="E339" s="418"/>
      <c r="F339" s="418"/>
      <c r="G339" s="367"/>
      <c r="H339" s="418"/>
      <c r="I339" s="418"/>
      <c r="J339" s="418"/>
      <c r="K339" s="418"/>
      <c r="L339" s="420"/>
      <c r="M339" s="420"/>
      <c r="N339" s="420"/>
      <c r="O339" s="420"/>
      <c r="P339" s="420"/>
      <c r="Q339" s="420"/>
      <c r="R339" s="420"/>
      <c r="S339" s="420"/>
      <c r="T339" s="420"/>
      <c r="U339" s="420"/>
      <c r="V339" s="420"/>
      <c r="W339" s="420"/>
      <c r="X339" s="420"/>
      <c r="Y339" s="420"/>
      <c r="Z339" s="367"/>
      <c r="AA339" s="420"/>
      <c r="AB339" s="420"/>
      <c r="AC339" s="420"/>
      <c r="AD339" s="420"/>
      <c r="AE339" s="420"/>
      <c r="AF339" s="367"/>
      <c r="AG339" s="420"/>
      <c r="AH339" s="367"/>
      <c r="AI339" s="367"/>
      <c r="AJ339" s="367"/>
      <c r="AK339" s="358"/>
      <c r="AL339" s="358"/>
      <c r="AM339" s="358"/>
      <c r="AN339" s="358"/>
      <c r="AO339" s="358"/>
      <c r="AP339" s="367"/>
      <c r="AQ339" s="367"/>
      <c r="AR339" s="367"/>
    </row>
    <row r="340">
      <c r="A340" s="418"/>
      <c r="B340" s="418"/>
      <c r="C340" s="417"/>
      <c r="D340" s="417"/>
      <c r="E340" s="418"/>
      <c r="F340" s="418"/>
      <c r="G340" s="367"/>
      <c r="H340" s="418"/>
      <c r="I340" s="418"/>
      <c r="J340" s="418"/>
      <c r="K340" s="418"/>
      <c r="L340" s="420"/>
      <c r="M340" s="420"/>
      <c r="N340" s="420"/>
      <c r="O340" s="420"/>
      <c r="P340" s="420"/>
      <c r="Q340" s="420"/>
      <c r="R340" s="420"/>
      <c r="S340" s="420"/>
      <c r="T340" s="420"/>
      <c r="U340" s="420"/>
      <c r="V340" s="420"/>
      <c r="W340" s="420"/>
      <c r="X340" s="420"/>
      <c r="Y340" s="420"/>
      <c r="Z340" s="367"/>
      <c r="AA340" s="420"/>
      <c r="AB340" s="420"/>
      <c r="AC340" s="420"/>
      <c r="AD340" s="420"/>
      <c r="AE340" s="420"/>
      <c r="AF340" s="367"/>
      <c r="AG340" s="420"/>
      <c r="AH340" s="367"/>
      <c r="AI340" s="367"/>
      <c r="AJ340" s="367"/>
      <c r="AK340" s="358"/>
      <c r="AL340" s="358"/>
      <c r="AM340" s="358"/>
      <c r="AN340" s="358"/>
      <c r="AO340" s="358"/>
      <c r="AP340" s="367"/>
      <c r="AQ340" s="367"/>
      <c r="AR340" s="367"/>
    </row>
    <row r="341">
      <c r="A341" s="418"/>
      <c r="B341" s="418"/>
      <c r="C341" s="417"/>
      <c r="D341" s="417"/>
      <c r="E341" s="418"/>
      <c r="F341" s="418"/>
      <c r="G341" s="367"/>
      <c r="H341" s="418"/>
      <c r="I341" s="418"/>
      <c r="J341" s="418"/>
      <c r="K341" s="418"/>
      <c r="L341" s="420"/>
      <c r="M341" s="420"/>
      <c r="N341" s="420"/>
      <c r="O341" s="420"/>
      <c r="P341" s="420"/>
      <c r="Q341" s="420"/>
      <c r="R341" s="420"/>
      <c r="S341" s="420"/>
      <c r="T341" s="420"/>
      <c r="U341" s="420"/>
      <c r="V341" s="420"/>
      <c r="W341" s="420"/>
      <c r="X341" s="420"/>
      <c r="Y341" s="420"/>
      <c r="Z341" s="367"/>
      <c r="AA341" s="420"/>
      <c r="AB341" s="420"/>
      <c r="AC341" s="420"/>
      <c r="AD341" s="420"/>
      <c r="AE341" s="420"/>
      <c r="AF341" s="367"/>
      <c r="AG341" s="420"/>
      <c r="AH341" s="367"/>
      <c r="AI341" s="367"/>
      <c r="AJ341" s="367"/>
      <c r="AK341" s="358"/>
      <c r="AL341" s="358"/>
      <c r="AM341" s="358"/>
      <c r="AN341" s="358"/>
      <c r="AO341" s="358"/>
      <c r="AP341" s="367"/>
      <c r="AQ341" s="367"/>
      <c r="AR341" s="367"/>
    </row>
    <row r="342">
      <c r="A342" s="418"/>
      <c r="B342" s="418"/>
      <c r="C342" s="417"/>
      <c r="D342" s="417"/>
      <c r="E342" s="418"/>
      <c r="F342" s="418"/>
      <c r="G342" s="367"/>
      <c r="H342" s="418"/>
      <c r="I342" s="418"/>
      <c r="J342" s="418"/>
      <c r="K342" s="418"/>
      <c r="L342" s="420"/>
      <c r="M342" s="420"/>
      <c r="N342" s="420"/>
      <c r="O342" s="420"/>
      <c r="P342" s="420"/>
      <c r="Q342" s="420"/>
      <c r="R342" s="420"/>
      <c r="S342" s="420"/>
      <c r="T342" s="420"/>
      <c r="U342" s="420"/>
      <c r="V342" s="420"/>
      <c r="W342" s="420"/>
      <c r="X342" s="420"/>
      <c r="Y342" s="420"/>
      <c r="Z342" s="367"/>
      <c r="AA342" s="420"/>
      <c r="AB342" s="420"/>
      <c r="AC342" s="420"/>
      <c r="AD342" s="420"/>
      <c r="AE342" s="420"/>
      <c r="AF342" s="367"/>
      <c r="AG342" s="420"/>
      <c r="AH342" s="367"/>
      <c r="AI342" s="367"/>
      <c r="AJ342" s="367"/>
      <c r="AK342" s="358"/>
      <c r="AL342" s="358"/>
      <c r="AM342" s="358"/>
      <c r="AN342" s="358"/>
      <c r="AO342" s="358"/>
      <c r="AP342" s="367"/>
      <c r="AQ342" s="367"/>
      <c r="AR342" s="367"/>
    </row>
    <row r="343">
      <c r="A343" s="418"/>
      <c r="B343" s="418"/>
      <c r="C343" s="417"/>
      <c r="D343" s="417"/>
      <c r="E343" s="418"/>
      <c r="F343" s="418"/>
      <c r="G343" s="367"/>
      <c r="H343" s="418"/>
      <c r="I343" s="418"/>
      <c r="J343" s="418"/>
      <c r="K343" s="418"/>
      <c r="L343" s="420"/>
      <c r="M343" s="420"/>
      <c r="N343" s="420"/>
      <c r="O343" s="420"/>
      <c r="P343" s="420"/>
      <c r="Q343" s="420"/>
      <c r="R343" s="420"/>
      <c r="S343" s="420"/>
      <c r="T343" s="420"/>
      <c r="U343" s="420"/>
      <c r="V343" s="420"/>
      <c r="W343" s="420"/>
      <c r="X343" s="420"/>
      <c r="Y343" s="420"/>
      <c r="Z343" s="367"/>
      <c r="AA343" s="420"/>
      <c r="AB343" s="420"/>
      <c r="AC343" s="420"/>
      <c r="AD343" s="420"/>
      <c r="AE343" s="420"/>
      <c r="AF343" s="367"/>
      <c r="AG343" s="420"/>
      <c r="AH343" s="367"/>
      <c r="AI343" s="367"/>
      <c r="AJ343" s="367"/>
      <c r="AK343" s="358"/>
      <c r="AL343" s="358"/>
      <c r="AM343" s="358"/>
      <c r="AN343" s="358"/>
      <c r="AO343" s="358"/>
      <c r="AP343" s="367"/>
      <c r="AQ343" s="367"/>
      <c r="AR343" s="367"/>
    </row>
    <row r="344">
      <c r="A344" s="418"/>
      <c r="B344" s="418"/>
      <c r="C344" s="417"/>
      <c r="D344" s="417"/>
      <c r="E344" s="418"/>
      <c r="F344" s="418"/>
      <c r="G344" s="367"/>
      <c r="H344" s="418"/>
      <c r="I344" s="418"/>
      <c r="J344" s="418"/>
      <c r="K344" s="418"/>
      <c r="L344" s="420"/>
      <c r="M344" s="420"/>
      <c r="N344" s="420"/>
      <c r="O344" s="420"/>
      <c r="P344" s="420"/>
      <c r="Q344" s="420"/>
      <c r="R344" s="420"/>
      <c r="S344" s="420"/>
      <c r="T344" s="420"/>
      <c r="U344" s="420"/>
      <c r="V344" s="420"/>
      <c r="W344" s="420"/>
      <c r="X344" s="420"/>
      <c r="Y344" s="420"/>
      <c r="Z344" s="367"/>
      <c r="AA344" s="420"/>
      <c r="AB344" s="420"/>
      <c r="AC344" s="420"/>
      <c r="AD344" s="420"/>
      <c r="AE344" s="420"/>
      <c r="AF344" s="367"/>
      <c r="AG344" s="420"/>
      <c r="AH344" s="367"/>
      <c r="AI344" s="367"/>
      <c r="AJ344" s="367"/>
      <c r="AK344" s="358"/>
      <c r="AL344" s="358"/>
      <c r="AM344" s="358"/>
      <c r="AN344" s="358"/>
      <c r="AO344" s="358"/>
      <c r="AP344" s="367"/>
      <c r="AQ344" s="367"/>
      <c r="AR344" s="367"/>
    </row>
    <row r="345">
      <c r="A345" s="418"/>
      <c r="B345" s="418"/>
      <c r="C345" s="417"/>
      <c r="D345" s="417"/>
      <c r="E345" s="418"/>
      <c r="F345" s="418"/>
      <c r="G345" s="367"/>
      <c r="H345" s="418"/>
      <c r="I345" s="418"/>
      <c r="J345" s="418"/>
      <c r="K345" s="418"/>
      <c r="L345" s="420"/>
      <c r="M345" s="420"/>
      <c r="N345" s="420"/>
      <c r="O345" s="420"/>
      <c r="P345" s="420"/>
      <c r="Q345" s="420"/>
      <c r="R345" s="420"/>
      <c r="S345" s="420"/>
      <c r="T345" s="420"/>
      <c r="U345" s="420"/>
      <c r="V345" s="420"/>
      <c r="W345" s="420"/>
      <c r="X345" s="420"/>
      <c r="Y345" s="420"/>
      <c r="Z345" s="367"/>
      <c r="AA345" s="420"/>
      <c r="AB345" s="420"/>
      <c r="AC345" s="420"/>
      <c r="AD345" s="420"/>
      <c r="AE345" s="420"/>
      <c r="AF345" s="367"/>
      <c r="AG345" s="420"/>
      <c r="AH345" s="367"/>
      <c r="AI345" s="367"/>
      <c r="AJ345" s="367"/>
      <c r="AK345" s="358"/>
      <c r="AL345" s="358"/>
      <c r="AM345" s="358"/>
      <c r="AN345" s="358"/>
      <c r="AO345" s="358"/>
      <c r="AP345" s="367"/>
      <c r="AQ345" s="367"/>
      <c r="AR345" s="367"/>
    </row>
    <row r="346">
      <c r="A346" s="418"/>
      <c r="B346" s="418"/>
      <c r="C346" s="417"/>
      <c r="D346" s="417"/>
      <c r="E346" s="418"/>
      <c r="F346" s="418"/>
      <c r="G346" s="367"/>
      <c r="H346" s="418"/>
      <c r="I346" s="418"/>
      <c r="J346" s="418"/>
      <c r="K346" s="418"/>
      <c r="L346" s="420"/>
      <c r="M346" s="420"/>
      <c r="N346" s="420"/>
      <c r="O346" s="420"/>
      <c r="P346" s="420"/>
      <c r="Q346" s="420"/>
      <c r="R346" s="420"/>
      <c r="S346" s="420"/>
      <c r="T346" s="420"/>
      <c r="U346" s="420"/>
      <c r="V346" s="420"/>
      <c r="W346" s="420"/>
      <c r="X346" s="420"/>
      <c r="Y346" s="420"/>
      <c r="Z346" s="367"/>
      <c r="AA346" s="420"/>
      <c r="AB346" s="420"/>
      <c r="AC346" s="420"/>
      <c r="AD346" s="420"/>
      <c r="AE346" s="420"/>
      <c r="AF346" s="367"/>
      <c r="AG346" s="420"/>
      <c r="AH346" s="367"/>
      <c r="AI346" s="367"/>
      <c r="AJ346" s="367"/>
      <c r="AK346" s="358"/>
      <c r="AL346" s="358"/>
      <c r="AM346" s="358"/>
      <c r="AN346" s="358"/>
      <c r="AO346" s="358"/>
      <c r="AP346" s="367"/>
      <c r="AQ346" s="367"/>
      <c r="AR346" s="367"/>
    </row>
    <row r="347">
      <c r="A347" s="418"/>
      <c r="B347" s="418"/>
      <c r="C347" s="417"/>
      <c r="D347" s="417"/>
      <c r="E347" s="418"/>
      <c r="F347" s="418"/>
      <c r="G347" s="367"/>
      <c r="H347" s="418"/>
      <c r="I347" s="418"/>
      <c r="J347" s="418"/>
      <c r="K347" s="418"/>
      <c r="L347" s="420"/>
      <c r="M347" s="420"/>
      <c r="N347" s="420"/>
      <c r="O347" s="420"/>
      <c r="P347" s="420"/>
      <c r="Q347" s="420"/>
      <c r="R347" s="420"/>
      <c r="S347" s="420"/>
      <c r="T347" s="420"/>
      <c r="U347" s="420"/>
      <c r="V347" s="420"/>
      <c r="W347" s="420"/>
      <c r="X347" s="420"/>
      <c r="Y347" s="420"/>
      <c r="Z347" s="367"/>
      <c r="AA347" s="420"/>
      <c r="AB347" s="420"/>
      <c r="AC347" s="420"/>
      <c r="AD347" s="420"/>
      <c r="AE347" s="420"/>
      <c r="AF347" s="367"/>
      <c r="AG347" s="420"/>
      <c r="AH347" s="367"/>
      <c r="AI347" s="367"/>
      <c r="AJ347" s="367"/>
      <c r="AK347" s="358"/>
      <c r="AL347" s="358"/>
      <c r="AM347" s="358"/>
      <c r="AN347" s="358"/>
      <c r="AO347" s="358"/>
      <c r="AP347" s="367"/>
      <c r="AQ347" s="367"/>
      <c r="AR347" s="367"/>
    </row>
    <row r="348">
      <c r="A348" s="418"/>
      <c r="B348" s="418"/>
      <c r="C348" s="417"/>
      <c r="D348" s="417"/>
      <c r="E348" s="418"/>
      <c r="F348" s="418"/>
      <c r="G348" s="367"/>
      <c r="H348" s="418"/>
      <c r="I348" s="418"/>
      <c r="J348" s="418"/>
      <c r="K348" s="418"/>
      <c r="L348" s="420"/>
      <c r="M348" s="420"/>
      <c r="N348" s="420"/>
      <c r="O348" s="420"/>
      <c r="P348" s="420"/>
      <c r="Q348" s="420"/>
      <c r="R348" s="420"/>
      <c r="S348" s="420"/>
      <c r="T348" s="420"/>
      <c r="U348" s="420"/>
      <c r="V348" s="420"/>
      <c r="W348" s="420"/>
      <c r="X348" s="420"/>
      <c r="Y348" s="420"/>
      <c r="Z348" s="367"/>
      <c r="AA348" s="420"/>
      <c r="AB348" s="420"/>
      <c r="AC348" s="420"/>
      <c r="AD348" s="420"/>
      <c r="AE348" s="420"/>
      <c r="AF348" s="367"/>
      <c r="AG348" s="420"/>
      <c r="AH348" s="367"/>
      <c r="AI348" s="367"/>
      <c r="AJ348" s="367"/>
      <c r="AK348" s="358"/>
      <c r="AL348" s="358"/>
      <c r="AM348" s="358"/>
      <c r="AN348" s="358"/>
      <c r="AO348" s="358"/>
      <c r="AP348" s="367"/>
      <c r="AQ348" s="367"/>
      <c r="AR348" s="367"/>
    </row>
    <row r="349">
      <c r="A349" s="418"/>
      <c r="B349" s="418"/>
      <c r="C349" s="417"/>
      <c r="D349" s="417"/>
      <c r="E349" s="418"/>
      <c r="F349" s="418"/>
      <c r="G349" s="367"/>
      <c r="H349" s="418"/>
      <c r="I349" s="418"/>
      <c r="J349" s="418"/>
      <c r="K349" s="418"/>
      <c r="L349" s="420"/>
      <c r="M349" s="420"/>
      <c r="N349" s="420"/>
      <c r="O349" s="420"/>
      <c r="P349" s="420"/>
      <c r="Q349" s="420"/>
      <c r="R349" s="420"/>
      <c r="S349" s="420"/>
      <c r="T349" s="420"/>
      <c r="U349" s="420"/>
      <c r="V349" s="420"/>
      <c r="W349" s="420"/>
      <c r="X349" s="420"/>
      <c r="Y349" s="420"/>
      <c r="Z349" s="367"/>
      <c r="AA349" s="420"/>
      <c r="AB349" s="420"/>
      <c r="AC349" s="420"/>
      <c r="AD349" s="420"/>
      <c r="AE349" s="420"/>
      <c r="AF349" s="367"/>
      <c r="AG349" s="420"/>
      <c r="AH349" s="367"/>
      <c r="AI349" s="367"/>
      <c r="AJ349" s="367"/>
      <c r="AK349" s="358"/>
      <c r="AL349" s="358"/>
      <c r="AM349" s="358"/>
      <c r="AN349" s="358"/>
      <c r="AO349" s="358"/>
      <c r="AP349" s="367"/>
      <c r="AQ349" s="367"/>
      <c r="AR349" s="367"/>
    </row>
    <row r="350">
      <c r="A350" s="418"/>
      <c r="B350" s="418"/>
      <c r="C350" s="417"/>
      <c r="D350" s="417"/>
      <c r="E350" s="418"/>
      <c r="F350" s="418"/>
      <c r="G350" s="367"/>
      <c r="H350" s="418"/>
      <c r="I350" s="418"/>
      <c r="J350" s="418"/>
      <c r="K350" s="418"/>
      <c r="L350" s="420"/>
      <c r="M350" s="420"/>
      <c r="N350" s="420"/>
      <c r="O350" s="420"/>
      <c r="P350" s="420"/>
      <c r="Q350" s="420"/>
      <c r="R350" s="420"/>
      <c r="S350" s="420"/>
      <c r="T350" s="420"/>
      <c r="U350" s="420"/>
      <c r="V350" s="420"/>
      <c r="W350" s="420"/>
      <c r="X350" s="420"/>
      <c r="Y350" s="420"/>
      <c r="Z350" s="367"/>
      <c r="AA350" s="420"/>
      <c r="AB350" s="420"/>
      <c r="AC350" s="420"/>
      <c r="AD350" s="420"/>
      <c r="AE350" s="420"/>
      <c r="AF350" s="367"/>
      <c r="AG350" s="420"/>
      <c r="AH350" s="367"/>
      <c r="AI350" s="367"/>
      <c r="AJ350" s="367"/>
      <c r="AK350" s="358"/>
      <c r="AL350" s="358"/>
      <c r="AM350" s="358"/>
      <c r="AN350" s="358"/>
      <c r="AO350" s="358"/>
      <c r="AP350" s="367"/>
      <c r="AQ350" s="367"/>
      <c r="AR350" s="367"/>
    </row>
    <row r="351">
      <c r="A351" s="418"/>
      <c r="B351" s="418"/>
      <c r="C351" s="417"/>
      <c r="D351" s="417"/>
      <c r="E351" s="418"/>
      <c r="F351" s="418"/>
      <c r="G351" s="367"/>
      <c r="H351" s="418"/>
      <c r="I351" s="418"/>
      <c r="J351" s="418"/>
      <c r="K351" s="418"/>
      <c r="L351" s="420"/>
      <c r="M351" s="420"/>
      <c r="N351" s="420"/>
      <c r="O351" s="420"/>
      <c r="P351" s="420"/>
      <c r="Q351" s="420"/>
      <c r="R351" s="420"/>
      <c r="S351" s="420"/>
      <c r="T351" s="420"/>
      <c r="U351" s="420"/>
      <c r="V351" s="420"/>
      <c r="W351" s="420"/>
      <c r="X351" s="420"/>
      <c r="Y351" s="420"/>
      <c r="Z351" s="367"/>
      <c r="AA351" s="420"/>
      <c r="AB351" s="420"/>
      <c r="AC351" s="420"/>
      <c r="AD351" s="420"/>
      <c r="AE351" s="420"/>
      <c r="AF351" s="367"/>
      <c r="AG351" s="420"/>
      <c r="AH351" s="367"/>
      <c r="AI351" s="367"/>
      <c r="AJ351" s="367"/>
      <c r="AK351" s="358"/>
      <c r="AL351" s="358"/>
      <c r="AM351" s="358"/>
      <c r="AN351" s="358"/>
      <c r="AO351" s="358"/>
      <c r="AP351" s="367"/>
      <c r="AQ351" s="367"/>
      <c r="AR351" s="367"/>
    </row>
    <row r="352">
      <c r="A352" s="418"/>
      <c r="B352" s="418"/>
      <c r="C352" s="417"/>
      <c r="D352" s="417"/>
      <c r="E352" s="418"/>
      <c r="F352" s="418"/>
      <c r="G352" s="367"/>
      <c r="H352" s="418"/>
      <c r="I352" s="418"/>
      <c r="J352" s="418"/>
      <c r="K352" s="418"/>
      <c r="L352" s="420"/>
      <c r="M352" s="420"/>
      <c r="N352" s="420"/>
      <c r="O352" s="420"/>
      <c r="P352" s="420"/>
      <c r="Q352" s="420"/>
      <c r="R352" s="420"/>
      <c r="S352" s="420"/>
      <c r="T352" s="420"/>
      <c r="U352" s="420"/>
      <c r="V352" s="420"/>
      <c r="W352" s="420"/>
      <c r="X352" s="420"/>
      <c r="Y352" s="420"/>
      <c r="Z352" s="367"/>
      <c r="AA352" s="420"/>
      <c r="AB352" s="420"/>
      <c r="AC352" s="420"/>
      <c r="AD352" s="420"/>
      <c r="AE352" s="420"/>
      <c r="AF352" s="367"/>
      <c r="AG352" s="420"/>
      <c r="AH352" s="367"/>
      <c r="AI352" s="367"/>
      <c r="AJ352" s="367"/>
      <c r="AK352" s="358"/>
      <c r="AL352" s="358"/>
      <c r="AM352" s="358"/>
      <c r="AN352" s="358"/>
      <c r="AO352" s="358"/>
      <c r="AP352" s="367"/>
      <c r="AQ352" s="367"/>
      <c r="AR352" s="367"/>
    </row>
    <row r="353">
      <c r="A353" s="418"/>
      <c r="B353" s="418"/>
      <c r="C353" s="417"/>
      <c r="D353" s="417"/>
      <c r="E353" s="418"/>
      <c r="F353" s="418"/>
      <c r="G353" s="367"/>
      <c r="H353" s="418"/>
      <c r="I353" s="418"/>
      <c r="J353" s="418"/>
      <c r="K353" s="418"/>
      <c r="L353" s="420"/>
      <c r="M353" s="420"/>
      <c r="N353" s="420"/>
      <c r="O353" s="420"/>
      <c r="P353" s="420"/>
      <c r="Q353" s="420"/>
      <c r="R353" s="420"/>
      <c r="S353" s="420"/>
      <c r="T353" s="420"/>
      <c r="U353" s="420"/>
      <c r="V353" s="420"/>
      <c r="W353" s="420"/>
      <c r="X353" s="420"/>
      <c r="Y353" s="420"/>
      <c r="Z353" s="367"/>
      <c r="AA353" s="420"/>
      <c r="AB353" s="420"/>
      <c r="AC353" s="420"/>
      <c r="AD353" s="420"/>
      <c r="AE353" s="420"/>
      <c r="AF353" s="367"/>
      <c r="AG353" s="420"/>
      <c r="AH353" s="367"/>
      <c r="AI353" s="367"/>
      <c r="AJ353" s="367"/>
      <c r="AK353" s="358"/>
      <c r="AL353" s="358"/>
      <c r="AM353" s="358"/>
      <c r="AN353" s="358"/>
      <c r="AO353" s="358"/>
      <c r="AP353" s="367"/>
      <c r="AQ353" s="367"/>
      <c r="AR353" s="367"/>
    </row>
    <row r="354">
      <c r="A354" s="418"/>
      <c r="B354" s="418"/>
      <c r="C354" s="417"/>
      <c r="D354" s="417"/>
      <c r="E354" s="418"/>
      <c r="F354" s="418"/>
      <c r="G354" s="367"/>
      <c r="H354" s="418"/>
      <c r="I354" s="418"/>
      <c r="J354" s="418"/>
      <c r="K354" s="418"/>
      <c r="L354" s="420"/>
      <c r="M354" s="420"/>
      <c r="N354" s="420"/>
      <c r="O354" s="420"/>
      <c r="P354" s="420"/>
      <c r="Q354" s="420"/>
      <c r="R354" s="420"/>
      <c r="S354" s="420"/>
      <c r="T354" s="420"/>
      <c r="U354" s="420"/>
      <c r="V354" s="420"/>
      <c r="W354" s="420"/>
      <c r="X354" s="420"/>
      <c r="Y354" s="420"/>
      <c r="Z354" s="367"/>
      <c r="AA354" s="420"/>
      <c r="AB354" s="420"/>
      <c r="AC354" s="420"/>
      <c r="AD354" s="420"/>
      <c r="AE354" s="420"/>
      <c r="AF354" s="367"/>
      <c r="AG354" s="420"/>
      <c r="AH354" s="367"/>
      <c r="AI354" s="367"/>
      <c r="AJ354" s="367"/>
      <c r="AK354" s="358"/>
      <c r="AL354" s="358"/>
      <c r="AM354" s="358"/>
      <c r="AN354" s="358"/>
      <c r="AO354" s="358"/>
      <c r="AP354" s="367"/>
      <c r="AQ354" s="367"/>
      <c r="AR354" s="367"/>
    </row>
    <row r="355">
      <c r="A355" s="418"/>
      <c r="B355" s="418"/>
      <c r="C355" s="417"/>
      <c r="D355" s="417"/>
      <c r="E355" s="418"/>
      <c r="F355" s="418"/>
      <c r="G355" s="367"/>
      <c r="H355" s="418"/>
      <c r="I355" s="418"/>
      <c r="J355" s="418"/>
      <c r="K355" s="418"/>
      <c r="L355" s="420"/>
      <c r="M355" s="420"/>
      <c r="N355" s="420"/>
      <c r="O355" s="420"/>
      <c r="P355" s="420"/>
      <c r="Q355" s="420"/>
      <c r="R355" s="420"/>
      <c r="S355" s="420"/>
      <c r="T355" s="420"/>
      <c r="U355" s="420"/>
      <c r="V355" s="420"/>
      <c r="W355" s="420"/>
      <c r="X355" s="420"/>
      <c r="Y355" s="420"/>
      <c r="Z355" s="367"/>
      <c r="AA355" s="420"/>
      <c r="AB355" s="420"/>
      <c r="AC355" s="420"/>
      <c r="AD355" s="420"/>
      <c r="AE355" s="420"/>
      <c r="AF355" s="367"/>
      <c r="AG355" s="420"/>
      <c r="AH355" s="367"/>
      <c r="AI355" s="367"/>
      <c r="AJ355" s="367"/>
      <c r="AK355" s="358"/>
      <c r="AL355" s="358"/>
      <c r="AM355" s="358"/>
      <c r="AN355" s="358"/>
      <c r="AO355" s="358"/>
      <c r="AP355" s="367"/>
      <c r="AQ355" s="367"/>
      <c r="AR355" s="367"/>
    </row>
    <row r="356">
      <c r="A356" s="418"/>
      <c r="B356" s="418"/>
      <c r="C356" s="417"/>
      <c r="D356" s="417"/>
      <c r="E356" s="418"/>
      <c r="F356" s="418"/>
      <c r="G356" s="367"/>
      <c r="H356" s="418"/>
      <c r="I356" s="418"/>
      <c r="J356" s="418"/>
      <c r="K356" s="418"/>
      <c r="L356" s="420"/>
      <c r="M356" s="420"/>
      <c r="N356" s="420"/>
      <c r="O356" s="420"/>
      <c r="P356" s="420"/>
      <c r="Q356" s="420"/>
      <c r="R356" s="420"/>
      <c r="S356" s="420"/>
      <c r="T356" s="420"/>
      <c r="U356" s="420"/>
      <c r="V356" s="420"/>
      <c r="W356" s="420"/>
      <c r="X356" s="420"/>
      <c r="Y356" s="420"/>
      <c r="Z356" s="367"/>
      <c r="AA356" s="420"/>
      <c r="AB356" s="420"/>
      <c r="AC356" s="420"/>
      <c r="AD356" s="420"/>
      <c r="AE356" s="420"/>
      <c r="AF356" s="367"/>
      <c r="AG356" s="420"/>
      <c r="AH356" s="367"/>
      <c r="AI356" s="367"/>
      <c r="AJ356" s="367"/>
      <c r="AK356" s="358"/>
      <c r="AL356" s="358"/>
      <c r="AM356" s="358"/>
      <c r="AN356" s="358"/>
      <c r="AO356" s="358"/>
      <c r="AP356" s="367"/>
      <c r="AQ356" s="367"/>
      <c r="AR356" s="367"/>
    </row>
    <row r="357">
      <c r="A357" s="418"/>
      <c r="B357" s="418"/>
      <c r="C357" s="417"/>
      <c r="D357" s="417"/>
      <c r="E357" s="418"/>
      <c r="F357" s="418"/>
      <c r="G357" s="367"/>
      <c r="H357" s="418"/>
      <c r="I357" s="418"/>
      <c r="J357" s="418"/>
      <c r="K357" s="418"/>
      <c r="L357" s="420"/>
      <c r="M357" s="420"/>
      <c r="N357" s="420"/>
      <c r="O357" s="420"/>
      <c r="P357" s="420"/>
      <c r="Q357" s="420"/>
      <c r="R357" s="420"/>
      <c r="S357" s="420"/>
      <c r="T357" s="420"/>
      <c r="U357" s="420"/>
      <c r="V357" s="420"/>
      <c r="W357" s="420"/>
      <c r="X357" s="420"/>
      <c r="Y357" s="420"/>
      <c r="Z357" s="367"/>
      <c r="AA357" s="420"/>
      <c r="AB357" s="420"/>
      <c r="AC357" s="420"/>
      <c r="AD357" s="420"/>
      <c r="AE357" s="420"/>
      <c r="AF357" s="367"/>
      <c r="AG357" s="420"/>
      <c r="AH357" s="367"/>
      <c r="AI357" s="367"/>
      <c r="AJ357" s="367"/>
      <c r="AK357" s="358"/>
      <c r="AL357" s="358"/>
      <c r="AM357" s="358"/>
      <c r="AN357" s="358"/>
      <c r="AO357" s="358"/>
      <c r="AP357" s="367"/>
      <c r="AQ357" s="367"/>
      <c r="AR357" s="367"/>
    </row>
    <row r="358">
      <c r="A358" s="418"/>
      <c r="B358" s="418"/>
      <c r="C358" s="417"/>
      <c r="D358" s="417"/>
      <c r="E358" s="418"/>
      <c r="F358" s="418"/>
      <c r="G358" s="367"/>
      <c r="H358" s="418"/>
      <c r="I358" s="418"/>
      <c r="J358" s="418"/>
      <c r="K358" s="418"/>
      <c r="L358" s="420"/>
      <c r="M358" s="420"/>
      <c r="N358" s="420"/>
      <c r="O358" s="420"/>
      <c r="P358" s="420"/>
      <c r="Q358" s="420"/>
      <c r="R358" s="420"/>
      <c r="S358" s="420"/>
      <c r="T358" s="420"/>
      <c r="U358" s="420"/>
      <c r="V358" s="420"/>
      <c r="W358" s="420"/>
      <c r="X358" s="420"/>
      <c r="Y358" s="420"/>
      <c r="Z358" s="367"/>
      <c r="AA358" s="420"/>
      <c r="AB358" s="420"/>
      <c r="AC358" s="420"/>
      <c r="AD358" s="420"/>
      <c r="AE358" s="420"/>
      <c r="AF358" s="367"/>
      <c r="AG358" s="420"/>
      <c r="AH358" s="367"/>
      <c r="AI358" s="367"/>
      <c r="AJ358" s="367"/>
      <c r="AK358" s="358"/>
      <c r="AL358" s="358"/>
      <c r="AM358" s="358"/>
      <c r="AN358" s="358"/>
      <c r="AO358" s="358"/>
      <c r="AP358" s="367"/>
      <c r="AQ358" s="367"/>
      <c r="AR358" s="367"/>
    </row>
    <row r="359">
      <c r="A359" s="418"/>
      <c r="B359" s="418"/>
      <c r="C359" s="417"/>
      <c r="D359" s="417"/>
      <c r="E359" s="418"/>
      <c r="F359" s="418"/>
      <c r="G359" s="367"/>
      <c r="H359" s="418"/>
      <c r="I359" s="418"/>
      <c r="J359" s="418"/>
      <c r="K359" s="418"/>
      <c r="L359" s="420"/>
      <c r="M359" s="420"/>
      <c r="N359" s="420"/>
      <c r="O359" s="420"/>
      <c r="P359" s="420"/>
      <c r="Q359" s="420"/>
      <c r="R359" s="420"/>
      <c r="S359" s="420"/>
      <c r="T359" s="420"/>
      <c r="U359" s="420"/>
      <c r="V359" s="420"/>
      <c r="W359" s="420"/>
      <c r="X359" s="420"/>
      <c r="Y359" s="420"/>
      <c r="Z359" s="367"/>
      <c r="AA359" s="420"/>
      <c r="AB359" s="420"/>
      <c r="AC359" s="420"/>
      <c r="AD359" s="420"/>
      <c r="AE359" s="420"/>
      <c r="AF359" s="367"/>
      <c r="AG359" s="420"/>
      <c r="AH359" s="367"/>
      <c r="AI359" s="367"/>
      <c r="AJ359" s="367"/>
      <c r="AK359" s="358"/>
      <c r="AL359" s="358"/>
      <c r="AM359" s="358"/>
      <c r="AN359" s="358"/>
      <c r="AO359" s="358"/>
      <c r="AP359" s="367"/>
      <c r="AQ359" s="367"/>
      <c r="AR359" s="367"/>
    </row>
    <row r="360">
      <c r="A360" s="418"/>
      <c r="B360" s="418"/>
      <c r="C360" s="417"/>
      <c r="D360" s="417"/>
      <c r="E360" s="418"/>
      <c r="F360" s="418"/>
      <c r="G360" s="367"/>
      <c r="H360" s="418"/>
      <c r="I360" s="418"/>
      <c r="J360" s="418"/>
      <c r="K360" s="418"/>
      <c r="L360" s="420"/>
      <c r="M360" s="420"/>
      <c r="N360" s="420"/>
      <c r="O360" s="420"/>
      <c r="P360" s="420"/>
      <c r="Q360" s="420"/>
      <c r="R360" s="420"/>
      <c r="S360" s="420"/>
      <c r="T360" s="420"/>
      <c r="U360" s="420"/>
      <c r="V360" s="420"/>
      <c r="W360" s="420"/>
      <c r="X360" s="420"/>
      <c r="Y360" s="420"/>
      <c r="Z360" s="367"/>
      <c r="AA360" s="420"/>
      <c r="AB360" s="420"/>
      <c r="AC360" s="420"/>
      <c r="AD360" s="420"/>
      <c r="AE360" s="420"/>
      <c r="AF360" s="367"/>
      <c r="AG360" s="420"/>
      <c r="AH360" s="367"/>
      <c r="AI360" s="367"/>
      <c r="AJ360" s="367"/>
      <c r="AK360" s="358"/>
      <c r="AL360" s="358"/>
      <c r="AM360" s="358"/>
      <c r="AN360" s="358"/>
      <c r="AO360" s="358"/>
      <c r="AP360" s="367"/>
      <c r="AQ360" s="367"/>
      <c r="AR360" s="367"/>
    </row>
    <row r="361">
      <c r="A361" s="418"/>
      <c r="B361" s="418"/>
      <c r="C361" s="417"/>
      <c r="D361" s="417"/>
      <c r="E361" s="418"/>
      <c r="F361" s="418"/>
      <c r="G361" s="367"/>
      <c r="H361" s="418"/>
      <c r="I361" s="418"/>
      <c r="J361" s="418"/>
      <c r="K361" s="418"/>
      <c r="L361" s="420"/>
      <c r="M361" s="420"/>
      <c r="N361" s="420"/>
      <c r="O361" s="420"/>
      <c r="P361" s="420"/>
      <c r="Q361" s="420"/>
      <c r="R361" s="420"/>
      <c r="S361" s="420"/>
      <c r="T361" s="420"/>
      <c r="U361" s="420"/>
      <c r="V361" s="420"/>
      <c r="W361" s="420"/>
      <c r="X361" s="420"/>
      <c r="Y361" s="420"/>
      <c r="Z361" s="367"/>
      <c r="AA361" s="420"/>
      <c r="AB361" s="420"/>
      <c r="AC361" s="420"/>
      <c r="AD361" s="420"/>
      <c r="AE361" s="420"/>
      <c r="AF361" s="367"/>
      <c r="AG361" s="420"/>
      <c r="AH361" s="367"/>
      <c r="AI361" s="367"/>
      <c r="AJ361" s="367"/>
      <c r="AK361" s="358"/>
      <c r="AL361" s="358"/>
      <c r="AM361" s="358"/>
      <c r="AN361" s="358"/>
      <c r="AO361" s="358"/>
      <c r="AP361" s="367"/>
      <c r="AQ361" s="367"/>
      <c r="AR361" s="367"/>
    </row>
    <row r="362">
      <c r="A362" s="418"/>
      <c r="B362" s="418"/>
      <c r="C362" s="417"/>
      <c r="D362" s="417"/>
      <c r="E362" s="418"/>
      <c r="F362" s="418"/>
      <c r="G362" s="367"/>
      <c r="H362" s="418"/>
      <c r="I362" s="418"/>
      <c r="J362" s="418"/>
      <c r="K362" s="418"/>
      <c r="L362" s="420"/>
      <c r="M362" s="420"/>
      <c r="N362" s="420"/>
      <c r="O362" s="420"/>
      <c r="P362" s="420"/>
      <c r="Q362" s="420"/>
      <c r="R362" s="420"/>
      <c r="S362" s="420"/>
      <c r="T362" s="420"/>
      <c r="U362" s="420"/>
      <c r="V362" s="420"/>
      <c r="W362" s="420"/>
      <c r="X362" s="420"/>
      <c r="Y362" s="420"/>
      <c r="Z362" s="367"/>
      <c r="AA362" s="420"/>
      <c r="AB362" s="420"/>
      <c r="AC362" s="420"/>
      <c r="AD362" s="420"/>
      <c r="AE362" s="420"/>
      <c r="AF362" s="367"/>
      <c r="AG362" s="420"/>
      <c r="AH362" s="367"/>
      <c r="AI362" s="367"/>
      <c r="AJ362" s="367"/>
      <c r="AK362" s="358"/>
      <c r="AL362" s="358"/>
      <c r="AM362" s="358"/>
      <c r="AN362" s="358"/>
      <c r="AO362" s="358"/>
      <c r="AP362" s="367"/>
      <c r="AQ362" s="367"/>
      <c r="AR362" s="367"/>
    </row>
    <row r="363">
      <c r="A363" s="418"/>
      <c r="B363" s="418"/>
      <c r="C363" s="417"/>
      <c r="D363" s="417"/>
      <c r="E363" s="418"/>
      <c r="F363" s="418"/>
      <c r="G363" s="367"/>
      <c r="H363" s="418"/>
      <c r="I363" s="418"/>
      <c r="J363" s="418"/>
      <c r="K363" s="418"/>
      <c r="L363" s="420"/>
      <c r="M363" s="420"/>
      <c r="N363" s="420"/>
      <c r="O363" s="420"/>
      <c r="P363" s="420"/>
      <c r="Q363" s="420"/>
      <c r="R363" s="420"/>
      <c r="S363" s="420"/>
      <c r="T363" s="420"/>
      <c r="U363" s="420"/>
      <c r="V363" s="420"/>
      <c r="W363" s="420"/>
      <c r="X363" s="420"/>
      <c r="Y363" s="420"/>
      <c r="Z363" s="367"/>
      <c r="AA363" s="420"/>
      <c r="AB363" s="420"/>
      <c r="AC363" s="420"/>
      <c r="AD363" s="420"/>
      <c r="AE363" s="420"/>
      <c r="AF363" s="367"/>
      <c r="AG363" s="420"/>
      <c r="AH363" s="367"/>
      <c r="AI363" s="367"/>
      <c r="AJ363" s="367"/>
      <c r="AK363" s="358"/>
      <c r="AL363" s="358"/>
      <c r="AM363" s="358"/>
      <c r="AN363" s="358"/>
      <c r="AO363" s="358"/>
      <c r="AP363" s="367"/>
      <c r="AQ363" s="367"/>
      <c r="AR363" s="367"/>
    </row>
    <row r="364">
      <c r="A364" s="418"/>
      <c r="B364" s="418"/>
      <c r="C364" s="417"/>
      <c r="D364" s="417"/>
      <c r="E364" s="418"/>
      <c r="F364" s="418"/>
      <c r="G364" s="367"/>
      <c r="H364" s="418"/>
      <c r="I364" s="418"/>
      <c r="J364" s="418"/>
      <c r="K364" s="418"/>
      <c r="L364" s="420"/>
      <c r="M364" s="420"/>
      <c r="N364" s="420"/>
      <c r="O364" s="420"/>
      <c r="P364" s="420"/>
      <c r="Q364" s="420"/>
      <c r="R364" s="420"/>
      <c r="S364" s="420"/>
      <c r="T364" s="420"/>
      <c r="U364" s="420"/>
      <c r="V364" s="420"/>
      <c r="W364" s="420"/>
      <c r="X364" s="420"/>
      <c r="Y364" s="420"/>
      <c r="Z364" s="367"/>
      <c r="AA364" s="420"/>
      <c r="AB364" s="420"/>
      <c r="AC364" s="420"/>
      <c r="AD364" s="420"/>
      <c r="AE364" s="420"/>
      <c r="AF364" s="367"/>
      <c r="AG364" s="420"/>
      <c r="AH364" s="367"/>
      <c r="AI364" s="367"/>
      <c r="AJ364" s="367"/>
      <c r="AK364" s="358"/>
      <c r="AL364" s="358"/>
      <c r="AM364" s="358"/>
      <c r="AN364" s="358"/>
      <c r="AO364" s="358"/>
      <c r="AP364" s="367"/>
      <c r="AQ364" s="367"/>
      <c r="AR364" s="367"/>
    </row>
    <row r="365">
      <c r="A365" s="418"/>
      <c r="B365" s="418"/>
      <c r="C365" s="417"/>
      <c r="D365" s="417"/>
      <c r="E365" s="418"/>
      <c r="F365" s="418"/>
      <c r="G365" s="367"/>
      <c r="H365" s="418"/>
      <c r="I365" s="418"/>
      <c r="J365" s="418"/>
      <c r="K365" s="418"/>
      <c r="L365" s="420"/>
      <c r="M365" s="420"/>
      <c r="N365" s="420"/>
      <c r="O365" s="420"/>
      <c r="P365" s="420"/>
      <c r="Q365" s="420"/>
      <c r="R365" s="420"/>
      <c r="S365" s="420"/>
      <c r="T365" s="420"/>
      <c r="U365" s="420"/>
      <c r="V365" s="420"/>
      <c r="W365" s="420"/>
      <c r="X365" s="420"/>
      <c r="Y365" s="420"/>
      <c r="Z365" s="367"/>
      <c r="AA365" s="420"/>
      <c r="AB365" s="420"/>
      <c r="AC365" s="420"/>
      <c r="AD365" s="420"/>
      <c r="AE365" s="420"/>
      <c r="AF365" s="367"/>
      <c r="AG365" s="420"/>
      <c r="AH365" s="367"/>
      <c r="AI365" s="367"/>
      <c r="AJ365" s="367"/>
      <c r="AK365" s="358"/>
      <c r="AL365" s="358"/>
      <c r="AM365" s="358"/>
      <c r="AN365" s="358"/>
      <c r="AO365" s="358"/>
      <c r="AP365" s="367"/>
      <c r="AQ365" s="367"/>
      <c r="AR365" s="367"/>
    </row>
    <row r="366">
      <c r="A366" s="418"/>
      <c r="B366" s="418"/>
      <c r="C366" s="417"/>
      <c r="D366" s="417"/>
      <c r="E366" s="418"/>
      <c r="F366" s="418"/>
      <c r="G366" s="367"/>
      <c r="H366" s="418"/>
      <c r="I366" s="418"/>
      <c r="J366" s="418"/>
      <c r="K366" s="418"/>
      <c r="L366" s="420"/>
      <c r="M366" s="420"/>
      <c r="N366" s="420"/>
      <c r="O366" s="420"/>
      <c r="P366" s="420"/>
      <c r="Q366" s="420"/>
      <c r="R366" s="420"/>
      <c r="S366" s="420"/>
      <c r="T366" s="420"/>
      <c r="U366" s="420"/>
      <c r="V366" s="420"/>
      <c r="W366" s="420"/>
      <c r="X366" s="420"/>
      <c r="Y366" s="420"/>
      <c r="Z366" s="367"/>
      <c r="AA366" s="420"/>
      <c r="AB366" s="420"/>
      <c r="AC366" s="420"/>
      <c r="AD366" s="420"/>
      <c r="AE366" s="420"/>
      <c r="AF366" s="367"/>
      <c r="AG366" s="420"/>
      <c r="AH366" s="367"/>
      <c r="AI366" s="367"/>
      <c r="AJ366" s="367"/>
      <c r="AK366" s="358"/>
      <c r="AL366" s="358"/>
      <c r="AM366" s="358"/>
      <c r="AN366" s="358"/>
      <c r="AO366" s="358"/>
      <c r="AP366" s="367"/>
      <c r="AQ366" s="367"/>
      <c r="AR366" s="367"/>
    </row>
    <row r="367">
      <c r="A367" s="418"/>
      <c r="B367" s="418"/>
      <c r="C367" s="417"/>
      <c r="D367" s="417"/>
      <c r="E367" s="418"/>
      <c r="F367" s="418"/>
      <c r="G367" s="367"/>
      <c r="H367" s="418"/>
      <c r="I367" s="418"/>
      <c r="J367" s="418"/>
      <c r="K367" s="418"/>
      <c r="L367" s="420"/>
      <c r="M367" s="420"/>
      <c r="N367" s="420"/>
      <c r="O367" s="420"/>
      <c r="P367" s="420"/>
      <c r="Q367" s="420"/>
      <c r="R367" s="420"/>
      <c r="S367" s="420"/>
      <c r="T367" s="420"/>
      <c r="U367" s="420"/>
      <c r="V367" s="420"/>
      <c r="W367" s="420"/>
      <c r="X367" s="420"/>
      <c r="Y367" s="420"/>
      <c r="Z367" s="367"/>
      <c r="AA367" s="420"/>
      <c r="AB367" s="420"/>
      <c r="AC367" s="420"/>
      <c r="AD367" s="420"/>
      <c r="AE367" s="420"/>
      <c r="AF367" s="367"/>
      <c r="AG367" s="420"/>
      <c r="AH367" s="367"/>
      <c r="AI367" s="367"/>
      <c r="AJ367" s="367"/>
      <c r="AK367" s="358"/>
      <c r="AL367" s="358"/>
      <c r="AM367" s="358"/>
      <c r="AN367" s="358"/>
      <c r="AO367" s="358"/>
      <c r="AP367" s="367"/>
      <c r="AQ367" s="367"/>
      <c r="AR367" s="367"/>
    </row>
    <row r="368">
      <c r="A368" s="418"/>
      <c r="B368" s="418"/>
      <c r="C368" s="417"/>
      <c r="D368" s="417"/>
      <c r="E368" s="418"/>
      <c r="F368" s="418"/>
      <c r="G368" s="367"/>
      <c r="H368" s="418"/>
      <c r="I368" s="418"/>
      <c r="J368" s="418"/>
      <c r="K368" s="418"/>
      <c r="L368" s="420"/>
      <c r="M368" s="420"/>
      <c r="N368" s="420"/>
      <c r="O368" s="420"/>
      <c r="P368" s="420"/>
      <c r="Q368" s="420"/>
      <c r="R368" s="420"/>
      <c r="S368" s="420"/>
      <c r="T368" s="420"/>
      <c r="U368" s="420"/>
      <c r="V368" s="420"/>
      <c r="W368" s="420"/>
      <c r="X368" s="420"/>
      <c r="Y368" s="420"/>
      <c r="Z368" s="367"/>
      <c r="AA368" s="420"/>
      <c r="AB368" s="420"/>
      <c r="AC368" s="420"/>
      <c r="AD368" s="420"/>
      <c r="AE368" s="420"/>
      <c r="AF368" s="367"/>
      <c r="AG368" s="420"/>
      <c r="AH368" s="367"/>
      <c r="AI368" s="367"/>
      <c r="AJ368" s="367"/>
      <c r="AK368" s="358"/>
      <c r="AL368" s="358"/>
      <c r="AM368" s="358"/>
      <c r="AN368" s="358"/>
      <c r="AO368" s="358"/>
      <c r="AP368" s="367"/>
      <c r="AQ368" s="367"/>
      <c r="AR368" s="367"/>
    </row>
    <row r="369">
      <c r="A369" s="418"/>
      <c r="B369" s="418"/>
      <c r="C369" s="417"/>
      <c r="D369" s="417"/>
      <c r="E369" s="418"/>
      <c r="F369" s="418"/>
      <c r="G369" s="367"/>
      <c r="H369" s="418"/>
      <c r="I369" s="418"/>
      <c r="J369" s="418"/>
      <c r="K369" s="418"/>
      <c r="L369" s="420"/>
      <c r="M369" s="420"/>
      <c r="N369" s="420"/>
      <c r="O369" s="420"/>
      <c r="P369" s="420"/>
      <c r="Q369" s="420"/>
      <c r="R369" s="420"/>
      <c r="S369" s="420"/>
      <c r="T369" s="420"/>
      <c r="U369" s="420"/>
      <c r="V369" s="420"/>
      <c r="W369" s="420"/>
      <c r="X369" s="420"/>
      <c r="Y369" s="420"/>
      <c r="Z369" s="367"/>
      <c r="AA369" s="420"/>
      <c r="AB369" s="420"/>
      <c r="AC369" s="420"/>
      <c r="AD369" s="420"/>
      <c r="AE369" s="420"/>
      <c r="AF369" s="367"/>
      <c r="AG369" s="420"/>
      <c r="AH369" s="367"/>
      <c r="AI369" s="367"/>
      <c r="AJ369" s="367"/>
      <c r="AK369" s="358"/>
      <c r="AL369" s="358"/>
      <c r="AM369" s="358"/>
      <c r="AN369" s="358"/>
      <c r="AO369" s="358"/>
      <c r="AP369" s="367"/>
      <c r="AQ369" s="367"/>
      <c r="AR369" s="367"/>
    </row>
    <row r="370">
      <c r="A370" s="418"/>
      <c r="B370" s="418"/>
      <c r="C370" s="417"/>
      <c r="D370" s="417"/>
      <c r="E370" s="418"/>
      <c r="F370" s="418"/>
      <c r="G370" s="367"/>
      <c r="H370" s="418"/>
      <c r="I370" s="418"/>
      <c r="J370" s="418"/>
      <c r="K370" s="418"/>
      <c r="L370" s="420"/>
      <c r="M370" s="420"/>
      <c r="N370" s="420"/>
      <c r="O370" s="420"/>
      <c r="P370" s="420"/>
      <c r="Q370" s="420"/>
      <c r="R370" s="420"/>
      <c r="S370" s="420"/>
      <c r="T370" s="420"/>
      <c r="U370" s="420"/>
      <c r="V370" s="420"/>
      <c r="W370" s="420"/>
      <c r="X370" s="420"/>
      <c r="Y370" s="420"/>
      <c r="Z370" s="367"/>
      <c r="AA370" s="420"/>
      <c r="AB370" s="420"/>
      <c r="AC370" s="420"/>
      <c r="AD370" s="420"/>
      <c r="AE370" s="420"/>
      <c r="AF370" s="367"/>
      <c r="AG370" s="420"/>
      <c r="AH370" s="367"/>
      <c r="AI370" s="367"/>
      <c r="AJ370" s="367"/>
      <c r="AK370" s="358"/>
      <c r="AL370" s="358"/>
      <c r="AM370" s="358"/>
      <c r="AN370" s="358"/>
      <c r="AO370" s="358"/>
      <c r="AP370" s="367"/>
      <c r="AQ370" s="367"/>
      <c r="AR370" s="367"/>
    </row>
    <row r="371">
      <c r="A371" s="418"/>
      <c r="B371" s="418"/>
      <c r="C371" s="417"/>
      <c r="D371" s="417"/>
      <c r="E371" s="418"/>
      <c r="F371" s="418"/>
      <c r="G371" s="367"/>
      <c r="H371" s="418"/>
      <c r="I371" s="418"/>
      <c r="J371" s="418"/>
      <c r="K371" s="418"/>
      <c r="L371" s="420"/>
      <c r="M371" s="420"/>
      <c r="N371" s="420"/>
      <c r="O371" s="420"/>
      <c r="P371" s="420"/>
      <c r="Q371" s="420"/>
      <c r="R371" s="420"/>
      <c r="S371" s="420"/>
      <c r="T371" s="420"/>
      <c r="U371" s="420"/>
      <c r="V371" s="420"/>
      <c r="W371" s="420"/>
      <c r="X371" s="420"/>
      <c r="Y371" s="420"/>
      <c r="Z371" s="367"/>
      <c r="AA371" s="420"/>
      <c r="AB371" s="420"/>
      <c r="AC371" s="420"/>
      <c r="AD371" s="420"/>
      <c r="AE371" s="420"/>
      <c r="AF371" s="367"/>
      <c r="AG371" s="420"/>
      <c r="AH371" s="367"/>
      <c r="AI371" s="367"/>
      <c r="AJ371" s="367"/>
      <c r="AK371" s="358"/>
      <c r="AL371" s="358"/>
      <c r="AM371" s="358"/>
      <c r="AN371" s="358"/>
      <c r="AO371" s="358"/>
      <c r="AP371" s="367"/>
      <c r="AQ371" s="367"/>
      <c r="AR371" s="367"/>
    </row>
    <row r="372">
      <c r="A372" s="418"/>
      <c r="B372" s="418"/>
      <c r="C372" s="417"/>
      <c r="D372" s="417"/>
      <c r="E372" s="418"/>
      <c r="F372" s="418"/>
      <c r="G372" s="367"/>
      <c r="H372" s="418"/>
      <c r="I372" s="418"/>
      <c r="J372" s="418"/>
      <c r="K372" s="418"/>
      <c r="L372" s="420"/>
      <c r="M372" s="420"/>
      <c r="N372" s="420"/>
      <c r="O372" s="420"/>
      <c r="P372" s="420"/>
      <c r="Q372" s="420"/>
      <c r="R372" s="420"/>
      <c r="S372" s="420"/>
      <c r="T372" s="420"/>
      <c r="U372" s="420"/>
      <c r="V372" s="420"/>
      <c r="W372" s="420"/>
      <c r="X372" s="420"/>
      <c r="Y372" s="420"/>
      <c r="Z372" s="367"/>
      <c r="AA372" s="420"/>
      <c r="AB372" s="420"/>
      <c r="AC372" s="420"/>
      <c r="AD372" s="420"/>
      <c r="AE372" s="420"/>
      <c r="AF372" s="367"/>
      <c r="AG372" s="420"/>
      <c r="AH372" s="367"/>
      <c r="AI372" s="367"/>
      <c r="AJ372" s="367"/>
      <c r="AK372" s="358"/>
      <c r="AL372" s="358"/>
      <c r="AM372" s="358"/>
      <c r="AN372" s="358"/>
      <c r="AO372" s="358"/>
      <c r="AP372" s="367"/>
      <c r="AQ372" s="367"/>
      <c r="AR372" s="367"/>
    </row>
    <row r="373">
      <c r="A373" s="418"/>
      <c r="B373" s="418"/>
      <c r="C373" s="417"/>
      <c r="D373" s="417"/>
      <c r="E373" s="418"/>
      <c r="F373" s="418"/>
      <c r="G373" s="367"/>
      <c r="H373" s="418"/>
      <c r="I373" s="418"/>
      <c r="J373" s="418"/>
      <c r="K373" s="418"/>
      <c r="L373" s="420"/>
      <c r="M373" s="420"/>
      <c r="N373" s="420"/>
      <c r="O373" s="420"/>
      <c r="P373" s="420"/>
      <c r="Q373" s="420"/>
      <c r="R373" s="420"/>
      <c r="S373" s="420"/>
      <c r="T373" s="420"/>
      <c r="U373" s="420"/>
      <c r="V373" s="420"/>
      <c r="W373" s="420"/>
      <c r="X373" s="420"/>
      <c r="Y373" s="420"/>
      <c r="Z373" s="367"/>
      <c r="AA373" s="420"/>
      <c r="AB373" s="420"/>
      <c r="AC373" s="420"/>
      <c r="AD373" s="420"/>
      <c r="AE373" s="420"/>
      <c r="AF373" s="367"/>
      <c r="AG373" s="420"/>
      <c r="AH373" s="367"/>
      <c r="AI373" s="367"/>
      <c r="AJ373" s="367"/>
      <c r="AK373" s="358"/>
      <c r="AL373" s="358"/>
      <c r="AM373" s="358"/>
      <c r="AN373" s="358"/>
      <c r="AO373" s="358"/>
      <c r="AP373" s="367"/>
      <c r="AQ373" s="367"/>
      <c r="AR373" s="367"/>
    </row>
    <row r="374">
      <c r="A374" s="418"/>
      <c r="B374" s="418"/>
      <c r="C374" s="417"/>
      <c r="D374" s="417"/>
      <c r="E374" s="418"/>
      <c r="F374" s="418"/>
      <c r="G374" s="367"/>
      <c r="H374" s="418"/>
      <c r="I374" s="418"/>
      <c r="J374" s="418"/>
      <c r="K374" s="418"/>
      <c r="L374" s="420"/>
      <c r="M374" s="420"/>
      <c r="N374" s="420"/>
      <c r="O374" s="420"/>
      <c r="P374" s="420"/>
      <c r="Q374" s="420"/>
      <c r="R374" s="420"/>
      <c r="S374" s="420"/>
      <c r="T374" s="420"/>
      <c r="U374" s="420"/>
      <c r="V374" s="420"/>
      <c r="W374" s="420"/>
      <c r="X374" s="420"/>
      <c r="Y374" s="420"/>
      <c r="Z374" s="367"/>
      <c r="AA374" s="420"/>
      <c r="AB374" s="420"/>
      <c r="AC374" s="420"/>
      <c r="AD374" s="420"/>
      <c r="AE374" s="420"/>
      <c r="AF374" s="367"/>
      <c r="AG374" s="420"/>
      <c r="AH374" s="367"/>
      <c r="AI374" s="367"/>
      <c r="AJ374" s="367"/>
      <c r="AK374" s="358"/>
      <c r="AL374" s="358"/>
      <c r="AM374" s="358"/>
      <c r="AN374" s="358"/>
      <c r="AO374" s="358"/>
      <c r="AP374" s="367"/>
      <c r="AQ374" s="367"/>
      <c r="AR374" s="367"/>
    </row>
    <row r="375">
      <c r="A375" s="418"/>
      <c r="B375" s="418"/>
      <c r="C375" s="417"/>
      <c r="D375" s="417"/>
      <c r="E375" s="418"/>
      <c r="F375" s="418"/>
      <c r="G375" s="367"/>
      <c r="H375" s="418"/>
      <c r="I375" s="418"/>
      <c r="J375" s="418"/>
      <c r="K375" s="418"/>
      <c r="L375" s="420"/>
      <c r="M375" s="420"/>
      <c r="N375" s="420"/>
      <c r="O375" s="420"/>
      <c r="P375" s="420"/>
      <c r="Q375" s="420"/>
      <c r="R375" s="420"/>
      <c r="S375" s="420"/>
      <c r="T375" s="420"/>
      <c r="U375" s="420"/>
      <c r="V375" s="420"/>
      <c r="W375" s="420"/>
      <c r="X375" s="420"/>
      <c r="Y375" s="420"/>
      <c r="Z375" s="367"/>
      <c r="AA375" s="420"/>
      <c r="AB375" s="420"/>
      <c r="AC375" s="420"/>
      <c r="AD375" s="420"/>
      <c r="AE375" s="420"/>
      <c r="AF375" s="367"/>
      <c r="AG375" s="420"/>
      <c r="AH375" s="367"/>
      <c r="AI375" s="367"/>
      <c r="AJ375" s="367"/>
      <c r="AK375" s="358"/>
      <c r="AL375" s="358"/>
      <c r="AM375" s="358"/>
      <c r="AN375" s="358"/>
      <c r="AO375" s="358"/>
      <c r="AP375" s="367"/>
      <c r="AQ375" s="367"/>
      <c r="AR375" s="367"/>
    </row>
    <row r="376">
      <c r="A376" s="418"/>
      <c r="B376" s="418"/>
      <c r="C376" s="417"/>
      <c r="D376" s="417"/>
      <c r="E376" s="418"/>
      <c r="F376" s="418"/>
      <c r="G376" s="367"/>
      <c r="H376" s="418"/>
      <c r="I376" s="418"/>
      <c r="J376" s="418"/>
      <c r="K376" s="418"/>
      <c r="L376" s="420"/>
      <c r="M376" s="420"/>
      <c r="N376" s="420"/>
      <c r="O376" s="420"/>
      <c r="P376" s="420"/>
      <c r="Q376" s="420"/>
      <c r="R376" s="420"/>
      <c r="S376" s="420"/>
      <c r="T376" s="420"/>
      <c r="U376" s="420"/>
      <c r="V376" s="420"/>
      <c r="W376" s="420"/>
      <c r="X376" s="420"/>
      <c r="Y376" s="420"/>
      <c r="Z376" s="367"/>
      <c r="AA376" s="420"/>
      <c r="AB376" s="420"/>
      <c r="AC376" s="420"/>
      <c r="AD376" s="420"/>
      <c r="AE376" s="420"/>
      <c r="AF376" s="367"/>
      <c r="AG376" s="420"/>
      <c r="AH376" s="367"/>
      <c r="AI376" s="367"/>
      <c r="AJ376" s="367"/>
      <c r="AK376" s="358"/>
      <c r="AL376" s="358"/>
      <c r="AM376" s="358"/>
      <c r="AN376" s="358"/>
      <c r="AO376" s="358"/>
      <c r="AP376" s="367"/>
      <c r="AQ376" s="367"/>
      <c r="AR376" s="367"/>
    </row>
    <row r="377">
      <c r="A377" s="418"/>
      <c r="B377" s="418"/>
      <c r="C377" s="417"/>
      <c r="D377" s="417"/>
      <c r="E377" s="418"/>
      <c r="F377" s="418"/>
      <c r="G377" s="367"/>
      <c r="H377" s="418"/>
      <c r="I377" s="418"/>
      <c r="J377" s="418"/>
      <c r="K377" s="418"/>
      <c r="L377" s="420"/>
      <c r="M377" s="420"/>
      <c r="N377" s="420"/>
      <c r="O377" s="420"/>
      <c r="P377" s="420"/>
      <c r="Q377" s="420"/>
      <c r="R377" s="420"/>
      <c r="S377" s="420"/>
      <c r="T377" s="420"/>
      <c r="U377" s="420"/>
      <c r="V377" s="420"/>
      <c r="W377" s="420"/>
      <c r="X377" s="420"/>
      <c r="Y377" s="420"/>
      <c r="Z377" s="367"/>
      <c r="AA377" s="420"/>
      <c r="AB377" s="420"/>
      <c r="AC377" s="420"/>
      <c r="AD377" s="420"/>
      <c r="AE377" s="420"/>
      <c r="AF377" s="367"/>
      <c r="AG377" s="420"/>
      <c r="AH377" s="367"/>
      <c r="AI377" s="367"/>
      <c r="AJ377" s="367"/>
      <c r="AK377" s="358"/>
      <c r="AL377" s="358"/>
      <c r="AM377" s="358"/>
      <c r="AN377" s="358"/>
      <c r="AO377" s="358"/>
      <c r="AP377" s="367"/>
      <c r="AQ377" s="367"/>
      <c r="AR377" s="367"/>
    </row>
    <row r="378">
      <c r="A378" s="418"/>
      <c r="B378" s="418"/>
      <c r="C378" s="417"/>
      <c r="D378" s="417"/>
      <c r="E378" s="418"/>
      <c r="F378" s="418"/>
      <c r="G378" s="367"/>
      <c r="H378" s="418"/>
      <c r="I378" s="418"/>
      <c r="J378" s="418"/>
      <c r="K378" s="418"/>
      <c r="L378" s="420"/>
      <c r="M378" s="420"/>
      <c r="N378" s="420"/>
      <c r="O378" s="420"/>
      <c r="P378" s="420"/>
      <c r="Q378" s="420"/>
      <c r="R378" s="420"/>
      <c r="S378" s="420"/>
      <c r="T378" s="420"/>
      <c r="U378" s="420"/>
      <c r="V378" s="420"/>
      <c r="W378" s="420"/>
      <c r="X378" s="420"/>
      <c r="Y378" s="420"/>
      <c r="Z378" s="367"/>
      <c r="AA378" s="420"/>
      <c r="AB378" s="420"/>
      <c r="AC378" s="420"/>
      <c r="AD378" s="420"/>
      <c r="AE378" s="420"/>
      <c r="AF378" s="367"/>
      <c r="AG378" s="420"/>
      <c r="AH378" s="367"/>
      <c r="AI378" s="367"/>
      <c r="AJ378" s="367"/>
      <c r="AK378" s="358"/>
      <c r="AL378" s="358"/>
      <c r="AM378" s="358"/>
      <c r="AN378" s="358"/>
      <c r="AO378" s="358"/>
      <c r="AP378" s="367"/>
      <c r="AQ378" s="367"/>
      <c r="AR378" s="367"/>
    </row>
    <row r="379">
      <c r="A379" s="418"/>
      <c r="B379" s="418"/>
      <c r="C379" s="417"/>
      <c r="D379" s="417"/>
      <c r="E379" s="418"/>
      <c r="F379" s="418"/>
      <c r="G379" s="367"/>
      <c r="H379" s="418"/>
      <c r="I379" s="418"/>
      <c r="J379" s="418"/>
      <c r="K379" s="418"/>
      <c r="L379" s="420"/>
      <c r="M379" s="420"/>
      <c r="N379" s="420"/>
      <c r="O379" s="420"/>
      <c r="P379" s="420"/>
      <c r="Q379" s="420"/>
      <c r="R379" s="420"/>
      <c r="S379" s="420"/>
      <c r="T379" s="420"/>
      <c r="U379" s="420"/>
      <c r="V379" s="420"/>
      <c r="W379" s="420"/>
      <c r="X379" s="420"/>
      <c r="Y379" s="420"/>
      <c r="Z379" s="367"/>
      <c r="AA379" s="420"/>
      <c r="AB379" s="420"/>
      <c r="AC379" s="420"/>
      <c r="AD379" s="420"/>
      <c r="AE379" s="420"/>
      <c r="AF379" s="367"/>
      <c r="AG379" s="420"/>
      <c r="AH379" s="367"/>
      <c r="AI379" s="367"/>
      <c r="AJ379" s="367"/>
      <c r="AK379" s="358"/>
      <c r="AL379" s="358"/>
      <c r="AM379" s="358"/>
      <c r="AN379" s="358"/>
      <c r="AO379" s="358"/>
      <c r="AP379" s="367"/>
      <c r="AQ379" s="367"/>
      <c r="AR379" s="367"/>
    </row>
    <row r="380">
      <c r="A380" s="418"/>
      <c r="B380" s="418"/>
      <c r="C380" s="417"/>
      <c r="D380" s="417"/>
      <c r="E380" s="418"/>
      <c r="F380" s="418"/>
      <c r="G380" s="367"/>
      <c r="H380" s="418"/>
      <c r="I380" s="418"/>
      <c r="J380" s="418"/>
      <c r="K380" s="418"/>
      <c r="L380" s="420"/>
      <c r="M380" s="420"/>
      <c r="N380" s="420"/>
      <c r="O380" s="420"/>
      <c r="P380" s="420"/>
      <c r="Q380" s="420"/>
      <c r="R380" s="420"/>
      <c r="S380" s="420"/>
      <c r="T380" s="420"/>
      <c r="U380" s="420"/>
      <c r="V380" s="420"/>
      <c r="W380" s="420"/>
      <c r="X380" s="420"/>
      <c r="Y380" s="420"/>
      <c r="Z380" s="367"/>
      <c r="AA380" s="420"/>
      <c r="AB380" s="420"/>
      <c r="AC380" s="420"/>
      <c r="AD380" s="420"/>
      <c r="AE380" s="420"/>
      <c r="AF380" s="367"/>
      <c r="AG380" s="420"/>
      <c r="AH380" s="367"/>
      <c r="AI380" s="367"/>
      <c r="AJ380" s="367"/>
      <c r="AK380" s="358"/>
      <c r="AL380" s="358"/>
      <c r="AM380" s="358"/>
      <c r="AN380" s="358"/>
      <c r="AO380" s="358"/>
      <c r="AP380" s="367"/>
      <c r="AQ380" s="367"/>
      <c r="AR380" s="367"/>
    </row>
    <row r="381">
      <c r="A381" s="418"/>
      <c r="B381" s="418"/>
      <c r="C381" s="417"/>
      <c r="D381" s="417"/>
      <c r="E381" s="418"/>
      <c r="F381" s="418"/>
      <c r="G381" s="367"/>
      <c r="H381" s="418"/>
      <c r="I381" s="418"/>
      <c r="J381" s="418"/>
      <c r="K381" s="418"/>
      <c r="L381" s="420"/>
      <c r="M381" s="420"/>
      <c r="N381" s="420"/>
      <c r="O381" s="420"/>
      <c r="P381" s="420"/>
      <c r="Q381" s="420"/>
      <c r="R381" s="420"/>
      <c r="S381" s="420"/>
      <c r="T381" s="420"/>
      <c r="U381" s="420"/>
      <c r="V381" s="420"/>
      <c r="W381" s="420"/>
      <c r="X381" s="420"/>
      <c r="Y381" s="420"/>
      <c r="Z381" s="367"/>
      <c r="AA381" s="420"/>
      <c r="AB381" s="420"/>
      <c r="AC381" s="420"/>
      <c r="AD381" s="420"/>
      <c r="AE381" s="420"/>
      <c r="AF381" s="367"/>
      <c r="AG381" s="420"/>
      <c r="AH381" s="367"/>
      <c r="AI381" s="367"/>
      <c r="AJ381" s="367"/>
      <c r="AK381" s="358"/>
      <c r="AL381" s="358"/>
      <c r="AM381" s="358"/>
      <c r="AN381" s="358"/>
      <c r="AO381" s="358"/>
      <c r="AP381" s="367"/>
      <c r="AQ381" s="367"/>
      <c r="AR381" s="367"/>
    </row>
    <row r="382">
      <c r="A382" s="418"/>
      <c r="B382" s="418"/>
      <c r="C382" s="417"/>
      <c r="D382" s="417"/>
      <c r="E382" s="418"/>
      <c r="F382" s="418"/>
      <c r="G382" s="367"/>
      <c r="H382" s="418"/>
      <c r="I382" s="418"/>
      <c r="J382" s="418"/>
      <c r="K382" s="418"/>
      <c r="L382" s="420"/>
      <c r="M382" s="420"/>
      <c r="N382" s="420"/>
      <c r="O382" s="420"/>
      <c r="P382" s="420"/>
      <c r="Q382" s="420"/>
      <c r="R382" s="420"/>
      <c r="S382" s="420"/>
      <c r="T382" s="420"/>
      <c r="U382" s="420"/>
      <c r="V382" s="420"/>
      <c r="W382" s="420"/>
      <c r="X382" s="420"/>
      <c r="Y382" s="420"/>
      <c r="Z382" s="367"/>
      <c r="AA382" s="420"/>
      <c r="AB382" s="420"/>
      <c r="AC382" s="420"/>
      <c r="AD382" s="420"/>
      <c r="AE382" s="420"/>
      <c r="AF382" s="367"/>
      <c r="AG382" s="420"/>
      <c r="AH382" s="367"/>
      <c r="AI382" s="367"/>
      <c r="AJ382" s="367"/>
      <c r="AK382" s="358"/>
      <c r="AL382" s="358"/>
      <c r="AM382" s="358"/>
      <c r="AN382" s="358"/>
      <c r="AO382" s="358"/>
      <c r="AP382" s="367"/>
      <c r="AQ382" s="367"/>
      <c r="AR382" s="367"/>
    </row>
    <row r="383">
      <c r="A383" s="418"/>
      <c r="B383" s="418"/>
      <c r="C383" s="417"/>
      <c r="D383" s="417"/>
      <c r="E383" s="418"/>
      <c r="F383" s="418"/>
      <c r="G383" s="367"/>
      <c r="H383" s="418"/>
      <c r="I383" s="418"/>
      <c r="J383" s="418"/>
      <c r="K383" s="418"/>
      <c r="L383" s="420"/>
      <c r="M383" s="420"/>
      <c r="N383" s="420"/>
      <c r="O383" s="420"/>
      <c r="P383" s="420"/>
      <c r="Q383" s="420"/>
      <c r="R383" s="420"/>
      <c r="S383" s="420"/>
      <c r="T383" s="420"/>
      <c r="U383" s="420"/>
      <c r="V383" s="420"/>
      <c r="W383" s="420"/>
      <c r="X383" s="420"/>
      <c r="Y383" s="420"/>
      <c r="Z383" s="367"/>
      <c r="AA383" s="420"/>
      <c r="AB383" s="420"/>
      <c r="AC383" s="420"/>
      <c r="AD383" s="420"/>
      <c r="AE383" s="420"/>
      <c r="AF383" s="367"/>
      <c r="AG383" s="420"/>
      <c r="AH383" s="367"/>
      <c r="AI383" s="367"/>
      <c r="AJ383" s="367"/>
      <c r="AK383" s="358"/>
      <c r="AL383" s="358"/>
      <c r="AM383" s="358"/>
      <c r="AN383" s="358"/>
      <c r="AO383" s="358"/>
      <c r="AP383" s="367"/>
      <c r="AQ383" s="367"/>
      <c r="AR383" s="367"/>
    </row>
    <row r="384">
      <c r="A384" s="418"/>
      <c r="B384" s="418"/>
      <c r="C384" s="417"/>
      <c r="D384" s="417"/>
      <c r="E384" s="418"/>
      <c r="F384" s="418"/>
      <c r="G384" s="367"/>
      <c r="H384" s="418"/>
      <c r="I384" s="418"/>
      <c r="J384" s="418"/>
      <c r="K384" s="418"/>
      <c r="L384" s="420"/>
      <c r="M384" s="420"/>
      <c r="N384" s="420"/>
      <c r="O384" s="420"/>
      <c r="P384" s="420"/>
      <c r="Q384" s="420"/>
      <c r="R384" s="420"/>
      <c r="S384" s="420"/>
      <c r="T384" s="420"/>
      <c r="U384" s="420"/>
      <c r="V384" s="420"/>
      <c r="W384" s="420"/>
      <c r="X384" s="420"/>
      <c r="Y384" s="420"/>
      <c r="Z384" s="367"/>
      <c r="AA384" s="420"/>
      <c r="AB384" s="420"/>
      <c r="AC384" s="420"/>
      <c r="AD384" s="420"/>
      <c r="AE384" s="420"/>
      <c r="AF384" s="367"/>
      <c r="AG384" s="420"/>
      <c r="AH384" s="367"/>
      <c r="AI384" s="367"/>
      <c r="AJ384" s="367"/>
      <c r="AK384" s="358"/>
      <c r="AL384" s="358"/>
      <c r="AM384" s="358"/>
      <c r="AN384" s="358"/>
      <c r="AO384" s="358"/>
      <c r="AP384" s="367"/>
      <c r="AQ384" s="367"/>
      <c r="AR384" s="367"/>
    </row>
    <row r="385">
      <c r="A385" s="418"/>
      <c r="B385" s="418"/>
      <c r="C385" s="417"/>
      <c r="D385" s="417"/>
      <c r="E385" s="418"/>
      <c r="F385" s="418"/>
      <c r="G385" s="367"/>
      <c r="H385" s="418"/>
      <c r="I385" s="418"/>
      <c r="J385" s="418"/>
      <c r="K385" s="418"/>
      <c r="L385" s="420"/>
      <c r="M385" s="420"/>
      <c r="N385" s="420"/>
      <c r="O385" s="420"/>
      <c r="P385" s="420"/>
      <c r="Q385" s="420"/>
      <c r="R385" s="420"/>
      <c r="S385" s="420"/>
      <c r="T385" s="420"/>
      <c r="U385" s="420"/>
      <c r="V385" s="420"/>
      <c r="W385" s="420"/>
      <c r="X385" s="420"/>
      <c r="Y385" s="420"/>
      <c r="Z385" s="367"/>
      <c r="AA385" s="420"/>
      <c r="AB385" s="420"/>
      <c r="AC385" s="420"/>
      <c r="AD385" s="420"/>
      <c r="AE385" s="420"/>
      <c r="AF385" s="367"/>
      <c r="AG385" s="420"/>
      <c r="AH385" s="367"/>
      <c r="AI385" s="367"/>
      <c r="AJ385" s="367"/>
      <c r="AK385" s="358"/>
      <c r="AL385" s="358"/>
      <c r="AM385" s="358"/>
      <c r="AN385" s="358"/>
      <c r="AO385" s="358"/>
      <c r="AP385" s="367"/>
      <c r="AQ385" s="367"/>
      <c r="AR385" s="367"/>
    </row>
    <row r="386">
      <c r="A386" s="418"/>
      <c r="B386" s="418"/>
      <c r="C386" s="417"/>
      <c r="D386" s="417"/>
      <c r="E386" s="418"/>
      <c r="F386" s="418"/>
      <c r="G386" s="367"/>
      <c r="H386" s="418"/>
      <c r="I386" s="418"/>
      <c r="J386" s="418"/>
      <c r="K386" s="418"/>
      <c r="L386" s="420"/>
      <c r="M386" s="420"/>
      <c r="N386" s="420"/>
      <c r="O386" s="420"/>
      <c r="P386" s="420"/>
      <c r="Q386" s="420"/>
      <c r="R386" s="420"/>
      <c r="S386" s="420"/>
      <c r="T386" s="420"/>
      <c r="U386" s="420"/>
      <c r="V386" s="420"/>
      <c r="W386" s="420"/>
      <c r="X386" s="420"/>
      <c r="Y386" s="420"/>
      <c r="Z386" s="367"/>
      <c r="AA386" s="420"/>
      <c r="AB386" s="420"/>
      <c r="AC386" s="420"/>
      <c r="AD386" s="420"/>
      <c r="AE386" s="420"/>
      <c r="AF386" s="367"/>
      <c r="AG386" s="420"/>
      <c r="AH386" s="367"/>
      <c r="AI386" s="367"/>
      <c r="AJ386" s="367"/>
      <c r="AK386" s="358"/>
      <c r="AL386" s="358"/>
      <c r="AM386" s="358"/>
      <c r="AN386" s="358"/>
      <c r="AO386" s="358"/>
      <c r="AP386" s="367"/>
      <c r="AQ386" s="367"/>
      <c r="AR386" s="367"/>
    </row>
    <row r="387">
      <c r="A387" s="418"/>
      <c r="B387" s="418"/>
      <c r="C387" s="417"/>
      <c r="D387" s="417"/>
      <c r="E387" s="418"/>
      <c r="F387" s="418"/>
      <c r="G387" s="367"/>
      <c r="H387" s="418"/>
      <c r="I387" s="418"/>
      <c r="J387" s="418"/>
      <c r="K387" s="418"/>
      <c r="L387" s="420"/>
      <c r="M387" s="420"/>
      <c r="N387" s="420"/>
      <c r="O387" s="420"/>
      <c r="P387" s="420"/>
      <c r="Q387" s="420"/>
      <c r="R387" s="420"/>
      <c r="S387" s="420"/>
      <c r="T387" s="420"/>
      <c r="U387" s="420"/>
      <c r="V387" s="420"/>
      <c r="W387" s="420"/>
      <c r="X387" s="420"/>
      <c r="Y387" s="420"/>
      <c r="Z387" s="367"/>
      <c r="AA387" s="420"/>
      <c r="AB387" s="420"/>
      <c r="AC387" s="420"/>
      <c r="AD387" s="420"/>
      <c r="AE387" s="420"/>
      <c r="AF387" s="367"/>
      <c r="AG387" s="420"/>
      <c r="AH387" s="367"/>
      <c r="AI387" s="367"/>
      <c r="AJ387" s="367"/>
      <c r="AK387" s="358"/>
      <c r="AL387" s="358"/>
      <c r="AM387" s="358"/>
      <c r="AN387" s="358"/>
      <c r="AO387" s="358"/>
      <c r="AP387" s="367"/>
      <c r="AQ387" s="367"/>
      <c r="AR387" s="367"/>
    </row>
    <row r="388">
      <c r="A388" s="418"/>
      <c r="B388" s="418"/>
      <c r="C388" s="417"/>
      <c r="D388" s="417"/>
      <c r="E388" s="418"/>
      <c r="F388" s="418"/>
      <c r="G388" s="367"/>
      <c r="H388" s="418"/>
      <c r="I388" s="418"/>
      <c r="J388" s="418"/>
      <c r="K388" s="418"/>
      <c r="L388" s="420"/>
      <c r="M388" s="420"/>
      <c r="N388" s="420"/>
      <c r="O388" s="420"/>
      <c r="P388" s="420"/>
      <c r="Q388" s="420"/>
      <c r="R388" s="420"/>
      <c r="S388" s="420"/>
      <c r="T388" s="420"/>
      <c r="U388" s="420"/>
      <c r="V388" s="420"/>
      <c r="W388" s="420"/>
      <c r="X388" s="420"/>
      <c r="Y388" s="420"/>
      <c r="Z388" s="367"/>
      <c r="AA388" s="420"/>
      <c r="AB388" s="420"/>
      <c r="AC388" s="420"/>
      <c r="AD388" s="420"/>
      <c r="AE388" s="420"/>
      <c r="AF388" s="367"/>
      <c r="AG388" s="420"/>
      <c r="AH388" s="367"/>
      <c r="AI388" s="367"/>
      <c r="AJ388" s="367"/>
      <c r="AK388" s="358"/>
      <c r="AL388" s="358"/>
      <c r="AM388" s="358"/>
      <c r="AN388" s="358"/>
      <c r="AO388" s="358"/>
      <c r="AP388" s="367"/>
      <c r="AQ388" s="367"/>
      <c r="AR388" s="367"/>
    </row>
    <row r="389">
      <c r="A389" s="418"/>
      <c r="B389" s="418"/>
      <c r="C389" s="417"/>
      <c r="D389" s="417"/>
      <c r="E389" s="418"/>
      <c r="F389" s="418"/>
      <c r="G389" s="367"/>
      <c r="H389" s="418"/>
      <c r="I389" s="418"/>
      <c r="J389" s="418"/>
      <c r="K389" s="418"/>
      <c r="L389" s="420"/>
      <c r="M389" s="420"/>
      <c r="N389" s="420"/>
      <c r="O389" s="420"/>
      <c r="P389" s="420"/>
      <c r="Q389" s="420"/>
      <c r="R389" s="420"/>
      <c r="S389" s="420"/>
      <c r="T389" s="420"/>
      <c r="U389" s="420"/>
      <c r="V389" s="420"/>
      <c r="W389" s="420"/>
      <c r="X389" s="420"/>
      <c r="Y389" s="420"/>
      <c r="Z389" s="367"/>
      <c r="AA389" s="420"/>
      <c r="AB389" s="420"/>
      <c r="AC389" s="420"/>
      <c r="AD389" s="420"/>
      <c r="AE389" s="420"/>
      <c r="AF389" s="367"/>
      <c r="AG389" s="420"/>
      <c r="AH389" s="367"/>
      <c r="AI389" s="367"/>
      <c r="AJ389" s="367"/>
      <c r="AK389" s="358"/>
      <c r="AL389" s="358"/>
      <c r="AM389" s="358"/>
      <c r="AN389" s="358"/>
      <c r="AO389" s="358"/>
      <c r="AP389" s="367"/>
      <c r="AQ389" s="367"/>
      <c r="AR389" s="367"/>
    </row>
    <row r="390">
      <c r="A390" s="418"/>
      <c r="B390" s="418"/>
      <c r="C390" s="417"/>
      <c r="D390" s="417"/>
      <c r="E390" s="418"/>
      <c r="F390" s="418"/>
      <c r="G390" s="367"/>
      <c r="H390" s="418"/>
      <c r="I390" s="418"/>
      <c r="J390" s="418"/>
      <c r="K390" s="418"/>
      <c r="L390" s="420"/>
      <c r="M390" s="420"/>
      <c r="N390" s="420"/>
      <c r="O390" s="420"/>
      <c r="P390" s="420"/>
      <c r="Q390" s="420"/>
      <c r="R390" s="420"/>
      <c r="S390" s="420"/>
      <c r="T390" s="420"/>
      <c r="U390" s="420"/>
      <c r="V390" s="420"/>
      <c r="W390" s="420"/>
      <c r="X390" s="420"/>
      <c r="Y390" s="420"/>
      <c r="Z390" s="367"/>
      <c r="AA390" s="420"/>
      <c r="AB390" s="420"/>
      <c r="AC390" s="420"/>
      <c r="AD390" s="420"/>
      <c r="AE390" s="420"/>
      <c r="AF390" s="367"/>
      <c r="AG390" s="420"/>
      <c r="AH390" s="367"/>
      <c r="AI390" s="367"/>
      <c r="AJ390" s="367"/>
      <c r="AK390" s="358"/>
      <c r="AL390" s="358"/>
      <c r="AM390" s="358"/>
      <c r="AN390" s="358"/>
      <c r="AO390" s="358"/>
      <c r="AP390" s="367"/>
      <c r="AQ390" s="367"/>
      <c r="AR390" s="367"/>
    </row>
    <row r="391">
      <c r="A391" s="418"/>
      <c r="B391" s="418"/>
      <c r="C391" s="417"/>
      <c r="D391" s="417"/>
      <c r="E391" s="418"/>
      <c r="F391" s="418"/>
      <c r="G391" s="367"/>
      <c r="H391" s="418"/>
      <c r="I391" s="418"/>
      <c r="J391" s="418"/>
      <c r="K391" s="418"/>
      <c r="L391" s="420"/>
      <c r="M391" s="420"/>
      <c r="N391" s="420"/>
      <c r="O391" s="420"/>
      <c r="P391" s="420"/>
      <c r="Q391" s="420"/>
      <c r="R391" s="420"/>
      <c r="S391" s="420"/>
      <c r="T391" s="420"/>
      <c r="U391" s="420"/>
      <c r="V391" s="420"/>
      <c r="W391" s="420"/>
      <c r="X391" s="420"/>
      <c r="Y391" s="420"/>
      <c r="Z391" s="367"/>
      <c r="AA391" s="420"/>
      <c r="AB391" s="420"/>
      <c r="AC391" s="420"/>
      <c r="AD391" s="420"/>
      <c r="AE391" s="420"/>
      <c r="AF391" s="367"/>
      <c r="AG391" s="420"/>
      <c r="AH391" s="367"/>
      <c r="AI391" s="367"/>
      <c r="AJ391" s="367"/>
      <c r="AK391" s="358"/>
      <c r="AL391" s="358"/>
      <c r="AM391" s="358"/>
      <c r="AN391" s="358"/>
      <c r="AO391" s="358"/>
      <c r="AP391" s="367"/>
      <c r="AQ391" s="367"/>
      <c r="AR391" s="367"/>
    </row>
    <row r="392">
      <c r="A392" s="418"/>
      <c r="B392" s="418"/>
      <c r="C392" s="417"/>
      <c r="D392" s="417"/>
      <c r="E392" s="418"/>
      <c r="F392" s="418"/>
      <c r="G392" s="367"/>
      <c r="H392" s="418"/>
      <c r="I392" s="418"/>
      <c r="J392" s="418"/>
      <c r="K392" s="418"/>
      <c r="L392" s="420"/>
      <c r="M392" s="420"/>
      <c r="N392" s="420"/>
      <c r="O392" s="420"/>
      <c r="P392" s="420"/>
      <c r="Q392" s="420"/>
      <c r="R392" s="420"/>
      <c r="S392" s="420"/>
      <c r="T392" s="420"/>
      <c r="U392" s="420"/>
      <c r="V392" s="420"/>
      <c r="W392" s="420"/>
      <c r="X392" s="420"/>
      <c r="Y392" s="420"/>
      <c r="Z392" s="367"/>
      <c r="AA392" s="420"/>
      <c r="AB392" s="420"/>
      <c r="AC392" s="420"/>
      <c r="AD392" s="420"/>
      <c r="AE392" s="420"/>
      <c r="AF392" s="367"/>
      <c r="AG392" s="420"/>
      <c r="AH392" s="367"/>
      <c r="AI392" s="367"/>
      <c r="AJ392" s="367"/>
      <c r="AK392" s="358"/>
      <c r="AL392" s="358"/>
      <c r="AM392" s="358"/>
      <c r="AN392" s="358"/>
      <c r="AO392" s="358"/>
      <c r="AP392" s="367"/>
      <c r="AQ392" s="367"/>
      <c r="AR392" s="367"/>
    </row>
    <row r="393">
      <c r="A393" s="418"/>
      <c r="B393" s="418"/>
      <c r="C393" s="417"/>
      <c r="D393" s="417"/>
      <c r="E393" s="418"/>
      <c r="F393" s="418"/>
      <c r="G393" s="367"/>
      <c r="H393" s="418"/>
      <c r="I393" s="418"/>
      <c r="J393" s="418"/>
      <c r="K393" s="418"/>
      <c r="L393" s="420"/>
      <c r="M393" s="420"/>
      <c r="N393" s="420"/>
      <c r="O393" s="420"/>
      <c r="P393" s="420"/>
      <c r="Q393" s="420"/>
      <c r="R393" s="420"/>
      <c r="S393" s="420"/>
      <c r="T393" s="420"/>
      <c r="U393" s="420"/>
      <c r="V393" s="420"/>
      <c r="W393" s="420"/>
      <c r="X393" s="420"/>
      <c r="Y393" s="420"/>
      <c r="Z393" s="367"/>
      <c r="AA393" s="420"/>
      <c r="AB393" s="420"/>
      <c r="AC393" s="420"/>
      <c r="AD393" s="420"/>
      <c r="AE393" s="420"/>
      <c r="AF393" s="367"/>
      <c r="AG393" s="420"/>
      <c r="AH393" s="367"/>
      <c r="AI393" s="367"/>
      <c r="AJ393" s="367"/>
      <c r="AK393" s="358"/>
      <c r="AL393" s="358"/>
      <c r="AM393" s="358"/>
      <c r="AN393" s="358"/>
      <c r="AO393" s="358"/>
      <c r="AP393" s="367"/>
      <c r="AQ393" s="367"/>
      <c r="AR393" s="367"/>
    </row>
    <row r="394">
      <c r="A394" s="418"/>
      <c r="B394" s="418"/>
      <c r="C394" s="417"/>
      <c r="D394" s="417"/>
      <c r="E394" s="418"/>
      <c r="F394" s="418"/>
      <c r="G394" s="367"/>
      <c r="H394" s="418"/>
      <c r="I394" s="418"/>
      <c r="J394" s="418"/>
      <c r="K394" s="418"/>
      <c r="L394" s="420"/>
      <c r="M394" s="420"/>
      <c r="N394" s="420"/>
      <c r="O394" s="420"/>
      <c r="P394" s="420"/>
      <c r="Q394" s="420"/>
      <c r="R394" s="420"/>
      <c r="S394" s="420"/>
      <c r="T394" s="420"/>
      <c r="U394" s="420"/>
      <c r="V394" s="420"/>
      <c r="W394" s="420"/>
      <c r="X394" s="420"/>
      <c r="Y394" s="420"/>
      <c r="Z394" s="367"/>
      <c r="AA394" s="420"/>
      <c r="AB394" s="420"/>
      <c r="AC394" s="420"/>
      <c r="AD394" s="420"/>
      <c r="AE394" s="420"/>
      <c r="AF394" s="367"/>
      <c r="AG394" s="420"/>
      <c r="AH394" s="367"/>
      <c r="AI394" s="367"/>
      <c r="AJ394" s="367"/>
      <c r="AK394" s="358"/>
      <c r="AL394" s="358"/>
      <c r="AM394" s="358"/>
      <c r="AN394" s="358"/>
      <c r="AO394" s="358"/>
      <c r="AP394" s="367"/>
      <c r="AQ394" s="367"/>
      <c r="AR394" s="367"/>
    </row>
    <row r="395">
      <c r="A395" s="418"/>
      <c r="B395" s="418"/>
      <c r="C395" s="417"/>
      <c r="D395" s="417"/>
      <c r="E395" s="418"/>
      <c r="F395" s="418"/>
      <c r="G395" s="367"/>
      <c r="H395" s="418"/>
      <c r="I395" s="418"/>
      <c r="J395" s="418"/>
      <c r="K395" s="418"/>
      <c r="L395" s="420"/>
      <c r="M395" s="420"/>
      <c r="N395" s="420"/>
      <c r="O395" s="420"/>
      <c r="P395" s="420"/>
      <c r="Q395" s="420"/>
      <c r="R395" s="420"/>
      <c r="S395" s="420"/>
      <c r="T395" s="420"/>
      <c r="U395" s="420"/>
      <c r="V395" s="420"/>
      <c r="W395" s="420"/>
      <c r="X395" s="420"/>
      <c r="Y395" s="420"/>
      <c r="Z395" s="367"/>
      <c r="AA395" s="420"/>
      <c r="AB395" s="420"/>
      <c r="AC395" s="420"/>
      <c r="AD395" s="420"/>
      <c r="AE395" s="420"/>
      <c r="AF395" s="367"/>
      <c r="AG395" s="420"/>
      <c r="AH395" s="367"/>
      <c r="AI395" s="367"/>
      <c r="AJ395" s="367"/>
      <c r="AK395" s="358"/>
      <c r="AL395" s="358"/>
      <c r="AM395" s="358"/>
      <c r="AN395" s="358"/>
      <c r="AO395" s="358"/>
      <c r="AP395" s="367"/>
      <c r="AQ395" s="367"/>
      <c r="AR395" s="367"/>
    </row>
    <row r="396">
      <c r="A396" s="418"/>
      <c r="B396" s="418"/>
      <c r="C396" s="417"/>
      <c r="D396" s="417"/>
      <c r="E396" s="418"/>
      <c r="F396" s="418"/>
      <c r="G396" s="367"/>
      <c r="H396" s="418"/>
      <c r="I396" s="418"/>
      <c r="J396" s="418"/>
      <c r="K396" s="418"/>
      <c r="L396" s="420"/>
      <c r="M396" s="420"/>
      <c r="N396" s="420"/>
      <c r="O396" s="420"/>
      <c r="P396" s="420"/>
      <c r="Q396" s="420"/>
      <c r="R396" s="420"/>
      <c r="S396" s="420"/>
      <c r="T396" s="420"/>
      <c r="U396" s="420"/>
      <c r="V396" s="420"/>
      <c r="W396" s="420"/>
      <c r="X396" s="420"/>
      <c r="Y396" s="420"/>
      <c r="Z396" s="367"/>
      <c r="AA396" s="420"/>
      <c r="AB396" s="420"/>
      <c r="AC396" s="420"/>
      <c r="AD396" s="420"/>
      <c r="AE396" s="420"/>
      <c r="AF396" s="367"/>
      <c r="AG396" s="420"/>
      <c r="AH396" s="367"/>
      <c r="AI396" s="367"/>
      <c r="AJ396" s="367"/>
      <c r="AK396" s="358"/>
      <c r="AL396" s="358"/>
      <c r="AM396" s="358"/>
      <c r="AN396" s="358"/>
      <c r="AO396" s="358"/>
      <c r="AP396" s="367"/>
      <c r="AQ396" s="367"/>
      <c r="AR396" s="367"/>
    </row>
    <row r="397">
      <c r="A397" s="418"/>
      <c r="B397" s="418"/>
      <c r="C397" s="417"/>
      <c r="D397" s="417"/>
      <c r="E397" s="418"/>
      <c r="F397" s="418"/>
      <c r="G397" s="367"/>
      <c r="H397" s="418"/>
      <c r="I397" s="418"/>
      <c r="J397" s="418"/>
      <c r="K397" s="418"/>
      <c r="L397" s="420"/>
      <c r="M397" s="420"/>
      <c r="N397" s="420"/>
      <c r="O397" s="420"/>
      <c r="P397" s="420"/>
      <c r="Q397" s="420"/>
      <c r="R397" s="420"/>
      <c r="S397" s="420"/>
      <c r="T397" s="420"/>
      <c r="U397" s="420"/>
      <c r="V397" s="420"/>
      <c r="W397" s="420"/>
      <c r="X397" s="420"/>
      <c r="Y397" s="420"/>
      <c r="Z397" s="367"/>
      <c r="AA397" s="420"/>
      <c r="AB397" s="420"/>
      <c r="AC397" s="420"/>
      <c r="AD397" s="420"/>
      <c r="AE397" s="420"/>
      <c r="AF397" s="367"/>
      <c r="AG397" s="420"/>
      <c r="AH397" s="367"/>
      <c r="AI397" s="367"/>
      <c r="AJ397" s="367"/>
      <c r="AK397" s="358"/>
      <c r="AL397" s="358"/>
      <c r="AM397" s="358"/>
      <c r="AN397" s="358"/>
      <c r="AO397" s="358"/>
      <c r="AP397" s="367"/>
      <c r="AQ397" s="367"/>
      <c r="AR397" s="367"/>
    </row>
    <row r="398">
      <c r="A398" s="418"/>
      <c r="B398" s="418"/>
      <c r="C398" s="417"/>
      <c r="D398" s="417"/>
      <c r="E398" s="418"/>
      <c r="F398" s="418"/>
      <c r="G398" s="367"/>
      <c r="H398" s="418"/>
      <c r="I398" s="418"/>
      <c r="J398" s="418"/>
      <c r="K398" s="418"/>
      <c r="L398" s="420"/>
      <c r="M398" s="420"/>
      <c r="N398" s="420"/>
      <c r="O398" s="420"/>
      <c r="P398" s="420"/>
      <c r="Q398" s="420"/>
      <c r="R398" s="420"/>
      <c r="S398" s="420"/>
      <c r="T398" s="420"/>
      <c r="U398" s="420"/>
      <c r="V398" s="420"/>
      <c r="W398" s="420"/>
      <c r="X398" s="420"/>
      <c r="Y398" s="420"/>
      <c r="Z398" s="367"/>
      <c r="AA398" s="420"/>
      <c r="AB398" s="420"/>
      <c r="AC398" s="420"/>
      <c r="AD398" s="420"/>
      <c r="AE398" s="420"/>
      <c r="AF398" s="367"/>
      <c r="AG398" s="420"/>
      <c r="AH398" s="367"/>
      <c r="AI398" s="367"/>
      <c r="AJ398" s="367"/>
      <c r="AK398" s="358"/>
      <c r="AL398" s="358"/>
      <c r="AM398" s="358"/>
      <c r="AN398" s="358"/>
      <c r="AO398" s="358"/>
      <c r="AP398" s="367"/>
      <c r="AQ398" s="367"/>
      <c r="AR398" s="367"/>
    </row>
    <row r="399">
      <c r="A399" s="418"/>
      <c r="B399" s="418"/>
      <c r="C399" s="417"/>
      <c r="D399" s="417"/>
      <c r="E399" s="418"/>
      <c r="F399" s="418"/>
      <c r="G399" s="367"/>
      <c r="H399" s="418"/>
      <c r="I399" s="418"/>
      <c r="J399" s="418"/>
      <c r="K399" s="418"/>
      <c r="L399" s="420"/>
      <c r="M399" s="420"/>
      <c r="N399" s="420"/>
      <c r="O399" s="420"/>
      <c r="P399" s="420"/>
      <c r="Q399" s="420"/>
      <c r="R399" s="420"/>
      <c r="S399" s="420"/>
      <c r="T399" s="420"/>
      <c r="U399" s="420"/>
      <c r="V399" s="420"/>
      <c r="W399" s="420"/>
      <c r="X399" s="420"/>
      <c r="Y399" s="420"/>
      <c r="Z399" s="367"/>
      <c r="AA399" s="420"/>
      <c r="AB399" s="420"/>
      <c r="AC399" s="420"/>
      <c r="AD399" s="420"/>
      <c r="AE399" s="420"/>
      <c r="AF399" s="367"/>
      <c r="AG399" s="420"/>
      <c r="AH399" s="367"/>
      <c r="AI399" s="367"/>
      <c r="AJ399" s="367"/>
      <c r="AK399" s="358"/>
      <c r="AL399" s="358"/>
      <c r="AM399" s="358"/>
      <c r="AN399" s="358"/>
      <c r="AO399" s="358"/>
      <c r="AP399" s="367"/>
      <c r="AQ399" s="367"/>
      <c r="AR399" s="367"/>
    </row>
    <row r="400">
      <c r="A400" s="418"/>
      <c r="B400" s="418"/>
      <c r="C400" s="417"/>
      <c r="D400" s="417"/>
      <c r="E400" s="418"/>
      <c r="F400" s="418"/>
      <c r="G400" s="367"/>
      <c r="H400" s="418"/>
      <c r="I400" s="418"/>
      <c r="J400" s="418"/>
      <c r="K400" s="418"/>
      <c r="L400" s="420"/>
      <c r="M400" s="420"/>
      <c r="N400" s="420"/>
      <c r="O400" s="420"/>
      <c r="P400" s="420"/>
      <c r="Q400" s="420"/>
      <c r="R400" s="420"/>
      <c r="S400" s="420"/>
      <c r="T400" s="420"/>
      <c r="U400" s="420"/>
      <c r="V400" s="420"/>
      <c r="W400" s="420"/>
      <c r="X400" s="420"/>
      <c r="Y400" s="420"/>
      <c r="Z400" s="367"/>
      <c r="AA400" s="420"/>
      <c r="AB400" s="420"/>
      <c r="AC400" s="420"/>
      <c r="AD400" s="420"/>
      <c r="AE400" s="420"/>
      <c r="AF400" s="367"/>
      <c r="AG400" s="420"/>
      <c r="AH400" s="367"/>
      <c r="AI400" s="367"/>
      <c r="AJ400" s="367"/>
      <c r="AK400" s="358"/>
      <c r="AL400" s="358"/>
      <c r="AM400" s="358"/>
      <c r="AN400" s="358"/>
      <c r="AO400" s="358"/>
      <c r="AP400" s="367"/>
      <c r="AQ400" s="367"/>
      <c r="AR400" s="367"/>
    </row>
    <row r="401">
      <c r="A401" s="418"/>
      <c r="B401" s="418"/>
      <c r="C401" s="417"/>
      <c r="D401" s="417"/>
      <c r="E401" s="418"/>
      <c r="F401" s="418"/>
      <c r="G401" s="367"/>
      <c r="H401" s="418"/>
      <c r="I401" s="418"/>
      <c r="J401" s="418"/>
      <c r="K401" s="418"/>
      <c r="L401" s="420"/>
      <c r="M401" s="420"/>
      <c r="N401" s="420"/>
      <c r="O401" s="420"/>
      <c r="P401" s="420"/>
      <c r="Q401" s="420"/>
      <c r="R401" s="420"/>
      <c r="S401" s="420"/>
      <c r="T401" s="420"/>
      <c r="U401" s="420"/>
      <c r="V401" s="420"/>
      <c r="W401" s="420"/>
      <c r="X401" s="420"/>
      <c r="Y401" s="420"/>
      <c r="Z401" s="367"/>
      <c r="AA401" s="420"/>
      <c r="AB401" s="420"/>
      <c r="AC401" s="420"/>
      <c r="AD401" s="420"/>
      <c r="AE401" s="420"/>
      <c r="AF401" s="367"/>
      <c r="AG401" s="420"/>
      <c r="AH401" s="367"/>
      <c r="AI401" s="367"/>
      <c r="AJ401" s="367"/>
      <c r="AK401" s="358"/>
      <c r="AL401" s="358"/>
      <c r="AM401" s="358"/>
      <c r="AN401" s="358"/>
      <c r="AO401" s="358"/>
      <c r="AP401" s="367"/>
      <c r="AQ401" s="367"/>
      <c r="AR401" s="367"/>
    </row>
    <row r="402">
      <c r="A402" s="418"/>
      <c r="B402" s="418"/>
      <c r="C402" s="417"/>
      <c r="D402" s="417"/>
      <c r="E402" s="418"/>
      <c r="F402" s="418"/>
      <c r="G402" s="367"/>
      <c r="H402" s="418"/>
      <c r="I402" s="418"/>
      <c r="J402" s="418"/>
      <c r="K402" s="418"/>
      <c r="L402" s="420"/>
      <c r="M402" s="420"/>
      <c r="N402" s="420"/>
      <c r="O402" s="420"/>
      <c r="P402" s="420"/>
      <c r="Q402" s="420"/>
      <c r="R402" s="420"/>
      <c r="S402" s="420"/>
      <c r="T402" s="420"/>
      <c r="U402" s="420"/>
      <c r="V402" s="420"/>
      <c r="W402" s="420"/>
      <c r="X402" s="420"/>
      <c r="Y402" s="420"/>
      <c r="Z402" s="367"/>
      <c r="AA402" s="420"/>
      <c r="AB402" s="420"/>
      <c r="AC402" s="420"/>
      <c r="AD402" s="420"/>
      <c r="AE402" s="420"/>
      <c r="AF402" s="367"/>
      <c r="AG402" s="420"/>
      <c r="AH402" s="367"/>
      <c r="AI402" s="367"/>
      <c r="AJ402" s="367"/>
      <c r="AK402" s="358"/>
      <c r="AL402" s="358"/>
      <c r="AM402" s="358"/>
      <c r="AN402" s="358"/>
      <c r="AO402" s="358"/>
      <c r="AP402" s="367"/>
      <c r="AQ402" s="367"/>
      <c r="AR402" s="367"/>
    </row>
    <row r="403">
      <c r="A403" s="418"/>
      <c r="B403" s="418"/>
      <c r="C403" s="417"/>
      <c r="D403" s="417"/>
      <c r="E403" s="418"/>
      <c r="F403" s="418"/>
      <c r="G403" s="367"/>
      <c r="H403" s="418"/>
      <c r="I403" s="418"/>
      <c r="J403" s="418"/>
      <c r="K403" s="418"/>
      <c r="L403" s="420"/>
      <c r="M403" s="420"/>
      <c r="N403" s="420"/>
      <c r="O403" s="420"/>
      <c r="P403" s="420"/>
      <c r="Q403" s="420"/>
      <c r="R403" s="420"/>
      <c r="S403" s="420"/>
      <c r="T403" s="420"/>
      <c r="U403" s="420"/>
      <c r="V403" s="420"/>
      <c r="W403" s="420"/>
      <c r="X403" s="420"/>
      <c r="Y403" s="420"/>
      <c r="Z403" s="367"/>
      <c r="AA403" s="420"/>
      <c r="AB403" s="420"/>
      <c r="AC403" s="420"/>
      <c r="AD403" s="420"/>
      <c r="AE403" s="420"/>
      <c r="AF403" s="367"/>
      <c r="AG403" s="420"/>
      <c r="AH403" s="367"/>
      <c r="AI403" s="367"/>
      <c r="AJ403" s="367"/>
      <c r="AK403" s="358"/>
      <c r="AL403" s="358"/>
      <c r="AM403" s="358"/>
      <c r="AN403" s="358"/>
      <c r="AO403" s="358"/>
      <c r="AP403" s="367"/>
      <c r="AQ403" s="367"/>
      <c r="AR403" s="367"/>
    </row>
    <row r="404">
      <c r="A404" s="418"/>
      <c r="B404" s="418"/>
      <c r="C404" s="417"/>
      <c r="D404" s="417"/>
      <c r="E404" s="418"/>
      <c r="F404" s="418"/>
      <c r="G404" s="367"/>
      <c r="H404" s="418"/>
      <c r="I404" s="418"/>
      <c r="J404" s="418"/>
      <c r="K404" s="418"/>
      <c r="L404" s="420"/>
      <c r="M404" s="420"/>
      <c r="N404" s="420"/>
      <c r="O404" s="420"/>
      <c r="P404" s="420"/>
      <c r="Q404" s="420"/>
      <c r="R404" s="420"/>
      <c r="S404" s="420"/>
      <c r="T404" s="420"/>
      <c r="U404" s="420"/>
      <c r="V404" s="420"/>
      <c r="W404" s="420"/>
      <c r="X404" s="420"/>
      <c r="Y404" s="420"/>
      <c r="Z404" s="367"/>
      <c r="AA404" s="420"/>
      <c r="AB404" s="420"/>
      <c r="AC404" s="420"/>
      <c r="AD404" s="420"/>
      <c r="AE404" s="420"/>
      <c r="AF404" s="367"/>
      <c r="AG404" s="420"/>
      <c r="AH404" s="367"/>
      <c r="AI404" s="367"/>
      <c r="AJ404" s="367"/>
      <c r="AK404" s="358"/>
      <c r="AL404" s="358"/>
      <c r="AM404" s="358"/>
      <c r="AN404" s="358"/>
      <c r="AO404" s="358"/>
      <c r="AP404" s="367"/>
      <c r="AQ404" s="367"/>
      <c r="AR404" s="367"/>
    </row>
    <row r="405">
      <c r="A405" s="418"/>
      <c r="B405" s="418"/>
      <c r="C405" s="417"/>
      <c r="D405" s="417"/>
      <c r="E405" s="418"/>
      <c r="F405" s="418"/>
      <c r="G405" s="367"/>
      <c r="H405" s="418"/>
      <c r="I405" s="418"/>
      <c r="J405" s="418"/>
      <c r="K405" s="418"/>
      <c r="L405" s="420"/>
      <c r="M405" s="420"/>
      <c r="N405" s="420"/>
      <c r="O405" s="420"/>
      <c r="P405" s="420"/>
      <c r="Q405" s="420"/>
      <c r="R405" s="420"/>
      <c r="S405" s="420"/>
      <c r="T405" s="420"/>
      <c r="U405" s="420"/>
      <c r="V405" s="420"/>
      <c r="W405" s="420"/>
      <c r="X405" s="420"/>
      <c r="Y405" s="420"/>
      <c r="Z405" s="367"/>
      <c r="AA405" s="420"/>
      <c r="AB405" s="420"/>
      <c r="AC405" s="420"/>
      <c r="AD405" s="420"/>
      <c r="AE405" s="420"/>
      <c r="AF405" s="367"/>
      <c r="AG405" s="420"/>
      <c r="AH405" s="367"/>
      <c r="AI405" s="367"/>
      <c r="AJ405" s="367"/>
      <c r="AK405" s="358"/>
      <c r="AL405" s="358"/>
      <c r="AM405" s="358"/>
      <c r="AN405" s="358"/>
      <c r="AO405" s="358"/>
      <c r="AP405" s="367"/>
      <c r="AQ405" s="367"/>
      <c r="AR405" s="367"/>
    </row>
    <row r="406">
      <c r="A406" s="418"/>
      <c r="B406" s="418"/>
      <c r="C406" s="417"/>
      <c r="D406" s="417"/>
      <c r="E406" s="418"/>
      <c r="F406" s="418"/>
      <c r="G406" s="367"/>
      <c r="H406" s="418"/>
      <c r="I406" s="418"/>
      <c r="J406" s="418"/>
      <c r="K406" s="418"/>
      <c r="L406" s="420"/>
      <c r="M406" s="420"/>
      <c r="N406" s="420"/>
      <c r="O406" s="420"/>
      <c r="P406" s="420"/>
      <c r="Q406" s="420"/>
      <c r="R406" s="420"/>
      <c r="S406" s="420"/>
      <c r="T406" s="420"/>
      <c r="U406" s="420"/>
      <c r="V406" s="420"/>
      <c r="W406" s="420"/>
      <c r="X406" s="420"/>
      <c r="Y406" s="420"/>
      <c r="Z406" s="367"/>
      <c r="AA406" s="420"/>
      <c r="AB406" s="420"/>
      <c r="AC406" s="420"/>
      <c r="AD406" s="420"/>
      <c r="AE406" s="420"/>
      <c r="AF406" s="367"/>
      <c r="AG406" s="420"/>
      <c r="AH406" s="367"/>
      <c r="AI406" s="367"/>
      <c r="AJ406" s="367"/>
      <c r="AK406" s="358"/>
      <c r="AL406" s="358"/>
      <c r="AM406" s="358"/>
      <c r="AN406" s="358"/>
      <c r="AO406" s="358"/>
      <c r="AP406" s="367"/>
      <c r="AQ406" s="367"/>
      <c r="AR406" s="367"/>
    </row>
    <row r="407">
      <c r="A407" s="418"/>
      <c r="B407" s="418"/>
      <c r="C407" s="417"/>
      <c r="D407" s="417"/>
      <c r="E407" s="418"/>
      <c r="F407" s="418"/>
      <c r="G407" s="367"/>
      <c r="H407" s="418"/>
      <c r="I407" s="418"/>
      <c r="J407" s="418"/>
      <c r="K407" s="418"/>
      <c r="L407" s="420"/>
      <c r="M407" s="420"/>
      <c r="N407" s="420"/>
      <c r="O407" s="420"/>
      <c r="P407" s="420"/>
      <c r="Q407" s="420"/>
      <c r="R407" s="420"/>
      <c r="S407" s="420"/>
      <c r="T407" s="420"/>
      <c r="U407" s="420"/>
      <c r="V407" s="420"/>
      <c r="W407" s="420"/>
      <c r="X407" s="420"/>
      <c r="Y407" s="420"/>
      <c r="Z407" s="367"/>
      <c r="AA407" s="420"/>
      <c r="AB407" s="420"/>
      <c r="AC407" s="420"/>
      <c r="AD407" s="420"/>
      <c r="AE407" s="420"/>
      <c r="AF407" s="367"/>
      <c r="AG407" s="420"/>
      <c r="AH407" s="367"/>
      <c r="AI407" s="367"/>
      <c r="AJ407" s="367"/>
      <c r="AK407" s="358"/>
      <c r="AL407" s="358"/>
      <c r="AM407" s="358"/>
      <c r="AN407" s="358"/>
      <c r="AO407" s="358"/>
      <c r="AP407" s="367"/>
      <c r="AQ407" s="367"/>
      <c r="AR407" s="367"/>
    </row>
    <row r="408">
      <c r="A408" s="418"/>
      <c r="B408" s="418"/>
      <c r="C408" s="417"/>
      <c r="D408" s="417"/>
      <c r="E408" s="418"/>
      <c r="F408" s="418"/>
      <c r="G408" s="367"/>
      <c r="H408" s="418"/>
      <c r="I408" s="418"/>
      <c r="J408" s="418"/>
      <c r="K408" s="418"/>
      <c r="L408" s="420"/>
      <c r="M408" s="420"/>
      <c r="N408" s="420"/>
      <c r="O408" s="420"/>
      <c r="P408" s="420"/>
      <c r="Q408" s="420"/>
      <c r="R408" s="420"/>
      <c r="S408" s="420"/>
      <c r="T408" s="420"/>
      <c r="U408" s="420"/>
      <c r="V408" s="420"/>
      <c r="W408" s="420"/>
      <c r="X408" s="420"/>
      <c r="Y408" s="420"/>
      <c r="Z408" s="367"/>
      <c r="AA408" s="420"/>
      <c r="AB408" s="420"/>
      <c r="AC408" s="420"/>
      <c r="AD408" s="420"/>
      <c r="AE408" s="420"/>
      <c r="AF408" s="367"/>
      <c r="AG408" s="420"/>
      <c r="AH408" s="367"/>
      <c r="AI408" s="367"/>
      <c r="AJ408" s="367"/>
      <c r="AK408" s="358"/>
      <c r="AL408" s="358"/>
      <c r="AM408" s="358"/>
      <c r="AN408" s="358"/>
      <c r="AO408" s="358"/>
      <c r="AP408" s="367"/>
      <c r="AQ408" s="367"/>
      <c r="AR408" s="367"/>
    </row>
    <row r="409">
      <c r="A409" s="418"/>
      <c r="B409" s="418"/>
      <c r="C409" s="417"/>
      <c r="D409" s="417"/>
      <c r="E409" s="418"/>
      <c r="F409" s="418"/>
      <c r="G409" s="367"/>
      <c r="H409" s="418"/>
      <c r="I409" s="418"/>
      <c r="J409" s="418"/>
      <c r="K409" s="418"/>
      <c r="L409" s="420"/>
      <c r="M409" s="420"/>
      <c r="N409" s="420"/>
      <c r="O409" s="420"/>
      <c r="P409" s="420"/>
      <c r="Q409" s="420"/>
      <c r="R409" s="420"/>
      <c r="S409" s="420"/>
      <c r="T409" s="420"/>
      <c r="U409" s="420"/>
      <c r="V409" s="420"/>
      <c r="W409" s="420"/>
      <c r="X409" s="420"/>
      <c r="Y409" s="420"/>
      <c r="Z409" s="367"/>
      <c r="AA409" s="420"/>
      <c r="AB409" s="420"/>
      <c r="AC409" s="420"/>
      <c r="AD409" s="420"/>
      <c r="AE409" s="420"/>
      <c r="AF409" s="367"/>
      <c r="AG409" s="420"/>
      <c r="AH409" s="367"/>
      <c r="AI409" s="367"/>
      <c r="AJ409" s="367"/>
      <c r="AK409" s="358"/>
      <c r="AL409" s="358"/>
      <c r="AM409" s="358"/>
      <c r="AN409" s="358"/>
      <c r="AO409" s="358"/>
      <c r="AP409" s="367"/>
      <c r="AQ409" s="367"/>
      <c r="AR409" s="367"/>
    </row>
    <row r="410">
      <c r="A410" s="418"/>
      <c r="B410" s="418"/>
      <c r="C410" s="417"/>
      <c r="D410" s="417"/>
      <c r="E410" s="418"/>
      <c r="F410" s="418"/>
      <c r="G410" s="367"/>
      <c r="H410" s="418"/>
      <c r="I410" s="418"/>
      <c r="J410" s="418"/>
      <c r="K410" s="418"/>
      <c r="L410" s="420"/>
      <c r="M410" s="420"/>
      <c r="N410" s="420"/>
      <c r="O410" s="420"/>
      <c r="P410" s="420"/>
      <c r="Q410" s="420"/>
      <c r="R410" s="420"/>
      <c r="S410" s="420"/>
      <c r="T410" s="420"/>
      <c r="U410" s="420"/>
      <c r="V410" s="420"/>
      <c r="W410" s="420"/>
      <c r="X410" s="420"/>
      <c r="Y410" s="420"/>
      <c r="Z410" s="367"/>
      <c r="AA410" s="420"/>
      <c r="AB410" s="420"/>
      <c r="AC410" s="420"/>
      <c r="AD410" s="420"/>
      <c r="AE410" s="420"/>
      <c r="AF410" s="367"/>
      <c r="AG410" s="420"/>
      <c r="AH410" s="367"/>
      <c r="AI410" s="367"/>
      <c r="AJ410" s="367"/>
      <c r="AK410" s="358"/>
      <c r="AL410" s="358"/>
      <c r="AM410" s="358"/>
      <c r="AN410" s="358"/>
      <c r="AO410" s="358"/>
      <c r="AP410" s="367"/>
      <c r="AQ410" s="367"/>
      <c r="AR410" s="367"/>
    </row>
    <row r="411">
      <c r="A411" s="418"/>
      <c r="B411" s="418"/>
      <c r="C411" s="417"/>
      <c r="D411" s="417"/>
      <c r="E411" s="418"/>
      <c r="F411" s="418"/>
      <c r="G411" s="367"/>
      <c r="H411" s="418"/>
      <c r="I411" s="418"/>
      <c r="J411" s="418"/>
      <c r="K411" s="418"/>
      <c r="L411" s="420"/>
      <c r="M411" s="420"/>
      <c r="N411" s="420"/>
      <c r="O411" s="420"/>
      <c r="P411" s="420"/>
      <c r="Q411" s="420"/>
      <c r="R411" s="420"/>
      <c r="S411" s="420"/>
      <c r="T411" s="420"/>
      <c r="U411" s="420"/>
      <c r="V411" s="420"/>
      <c r="W411" s="420"/>
      <c r="X411" s="420"/>
      <c r="Y411" s="420"/>
      <c r="Z411" s="367"/>
      <c r="AA411" s="420"/>
      <c r="AB411" s="420"/>
      <c r="AC411" s="420"/>
      <c r="AD411" s="420"/>
      <c r="AE411" s="420"/>
      <c r="AF411" s="367"/>
      <c r="AG411" s="420"/>
      <c r="AH411" s="367"/>
      <c r="AI411" s="367"/>
      <c r="AJ411" s="367"/>
      <c r="AK411" s="358"/>
      <c r="AL411" s="358"/>
      <c r="AM411" s="358"/>
      <c r="AN411" s="358"/>
      <c r="AO411" s="358"/>
      <c r="AP411" s="367"/>
      <c r="AQ411" s="367"/>
      <c r="AR411" s="367"/>
    </row>
    <row r="412">
      <c r="A412" s="418"/>
      <c r="B412" s="418"/>
      <c r="C412" s="417"/>
      <c r="D412" s="417"/>
      <c r="E412" s="418"/>
      <c r="F412" s="418"/>
      <c r="G412" s="367"/>
      <c r="H412" s="418"/>
      <c r="I412" s="418"/>
      <c r="J412" s="418"/>
      <c r="K412" s="418"/>
      <c r="L412" s="420"/>
      <c r="M412" s="420"/>
      <c r="N412" s="420"/>
      <c r="O412" s="420"/>
      <c r="P412" s="420"/>
      <c r="Q412" s="420"/>
      <c r="R412" s="420"/>
      <c r="S412" s="420"/>
      <c r="T412" s="420"/>
      <c r="U412" s="420"/>
      <c r="V412" s="420"/>
      <c r="W412" s="420"/>
      <c r="X412" s="420"/>
      <c r="Y412" s="420"/>
      <c r="Z412" s="367"/>
      <c r="AA412" s="420"/>
      <c r="AB412" s="420"/>
      <c r="AC412" s="420"/>
      <c r="AD412" s="420"/>
      <c r="AE412" s="420"/>
      <c r="AF412" s="367"/>
      <c r="AG412" s="420"/>
      <c r="AH412" s="367"/>
      <c r="AI412" s="367"/>
      <c r="AJ412" s="367"/>
      <c r="AK412" s="358"/>
      <c r="AL412" s="358"/>
      <c r="AM412" s="358"/>
      <c r="AN412" s="358"/>
      <c r="AO412" s="358"/>
      <c r="AP412" s="367"/>
      <c r="AQ412" s="367"/>
      <c r="AR412" s="367"/>
    </row>
    <row r="413">
      <c r="A413" s="418"/>
      <c r="B413" s="418"/>
      <c r="C413" s="417"/>
      <c r="D413" s="417"/>
      <c r="E413" s="418"/>
      <c r="F413" s="418"/>
      <c r="G413" s="367"/>
      <c r="H413" s="418"/>
      <c r="I413" s="418"/>
      <c r="J413" s="418"/>
      <c r="K413" s="418"/>
      <c r="L413" s="420"/>
      <c r="M413" s="420"/>
      <c r="N413" s="420"/>
      <c r="O413" s="420"/>
      <c r="P413" s="420"/>
      <c r="Q413" s="420"/>
      <c r="R413" s="420"/>
      <c r="S413" s="420"/>
      <c r="T413" s="420"/>
      <c r="U413" s="420"/>
      <c r="V413" s="420"/>
      <c r="W413" s="420"/>
      <c r="X413" s="420"/>
      <c r="Y413" s="420"/>
      <c r="Z413" s="367"/>
      <c r="AA413" s="420"/>
      <c r="AB413" s="420"/>
      <c r="AC413" s="420"/>
      <c r="AD413" s="420"/>
      <c r="AE413" s="420"/>
      <c r="AF413" s="367"/>
      <c r="AG413" s="420"/>
      <c r="AH413" s="367"/>
      <c r="AI413" s="367"/>
      <c r="AJ413" s="367"/>
      <c r="AK413" s="358"/>
      <c r="AL413" s="358"/>
      <c r="AM413" s="358"/>
      <c r="AN413" s="358"/>
      <c r="AO413" s="358"/>
      <c r="AP413" s="367"/>
      <c r="AQ413" s="367"/>
      <c r="AR413" s="367"/>
    </row>
    <row r="414">
      <c r="A414" s="418"/>
      <c r="B414" s="418"/>
      <c r="C414" s="417"/>
      <c r="D414" s="417"/>
      <c r="E414" s="418"/>
      <c r="F414" s="418"/>
      <c r="G414" s="367"/>
      <c r="H414" s="418"/>
      <c r="I414" s="418"/>
      <c r="J414" s="418"/>
      <c r="K414" s="418"/>
      <c r="L414" s="420"/>
      <c r="M414" s="420"/>
      <c r="N414" s="420"/>
      <c r="O414" s="420"/>
      <c r="P414" s="420"/>
      <c r="Q414" s="420"/>
      <c r="R414" s="420"/>
      <c r="S414" s="420"/>
      <c r="T414" s="420"/>
      <c r="U414" s="420"/>
      <c r="V414" s="420"/>
      <c r="W414" s="420"/>
      <c r="X414" s="420"/>
      <c r="Y414" s="420"/>
      <c r="Z414" s="367"/>
      <c r="AA414" s="420"/>
      <c r="AB414" s="420"/>
      <c r="AC414" s="420"/>
      <c r="AD414" s="420"/>
      <c r="AE414" s="420"/>
      <c r="AF414" s="367"/>
      <c r="AG414" s="420"/>
      <c r="AH414" s="367"/>
      <c r="AI414" s="367"/>
      <c r="AJ414" s="367"/>
      <c r="AK414" s="358"/>
      <c r="AL414" s="358"/>
      <c r="AM414" s="358"/>
      <c r="AN414" s="358"/>
      <c r="AO414" s="358"/>
      <c r="AP414" s="367"/>
      <c r="AQ414" s="367"/>
      <c r="AR414" s="367"/>
    </row>
    <row r="415">
      <c r="A415" s="418"/>
      <c r="B415" s="418"/>
      <c r="C415" s="417"/>
      <c r="D415" s="417"/>
      <c r="E415" s="418"/>
      <c r="F415" s="418"/>
      <c r="G415" s="367"/>
      <c r="H415" s="418"/>
      <c r="I415" s="418"/>
      <c r="J415" s="418"/>
      <c r="K415" s="418"/>
      <c r="L415" s="420"/>
      <c r="M415" s="420"/>
      <c r="N415" s="420"/>
      <c r="O415" s="420"/>
      <c r="P415" s="420"/>
      <c r="Q415" s="420"/>
      <c r="R415" s="420"/>
      <c r="S415" s="420"/>
      <c r="T415" s="420"/>
      <c r="U415" s="420"/>
      <c r="V415" s="420"/>
      <c r="W415" s="420"/>
      <c r="X415" s="420"/>
      <c r="Y415" s="420"/>
      <c r="Z415" s="367"/>
      <c r="AA415" s="420"/>
      <c r="AB415" s="420"/>
      <c r="AC415" s="420"/>
      <c r="AD415" s="420"/>
      <c r="AE415" s="420"/>
      <c r="AF415" s="367"/>
      <c r="AG415" s="420"/>
      <c r="AH415" s="367"/>
      <c r="AI415" s="367"/>
      <c r="AJ415" s="367"/>
      <c r="AK415" s="358"/>
      <c r="AL415" s="358"/>
      <c r="AM415" s="358"/>
      <c r="AN415" s="358"/>
      <c r="AO415" s="358"/>
      <c r="AP415" s="367"/>
      <c r="AQ415" s="367"/>
      <c r="AR415" s="367"/>
    </row>
    <row r="416">
      <c r="A416" s="418"/>
      <c r="B416" s="418"/>
      <c r="C416" s="417"/>
      <c r="D416" s="417"/>
      <c r="E416" s="418"/>
      <c r="F416" s="418"/>
      <c r="G416" s="367"/>
      <c r="H416" s="418"/>
      <c r="I416" s="418"/>
      <c r="J416" s="418"/>
      <c r="K416" s="418"/>
      <c r="L416" s="420"/>
      <c r="M416" s="420"/>
      <c r="N416" s="420"/>
      <c r="O416" s="420"/>
      <c r="P416" s="420"/>
      <c r="Q416" s="420"/>
      <c r="R416" s="420"/>
      <c r="S416" s="420"/>
      <c r="T416" s="420"/>
      <c r="U416" s="420"/>
      <c r="V416" s="420"/>
      <c r="W416" s="420"/>
      <c r="X416" s="420"/>
      <c r="Y416" s="420"/>
      <c r="Z416" s="367"/>
      <c r="AA416" s="420"/>
      <c r="AB416" s="420"/>
      <c r="AC416" s="420"/>
      <c r="AD416" s="420"/>
      <c r="AE416" s="420"/>
      <c r="AF416" s="367"/>
      <c r="AG416" s="420"/>
      <c r="AH416" s="367"/>
      <c r="AI416" s="367"/>
      <c r="AJ416" s="367"/>
      <c r="AK416" s="358"/>
      <c r="AL416" s="358"/>
      <c r="AM416" s="358"/>
      <c r="AN416" s="358"/>
      <c r="AO416" s="358"/>
      <c r="AP416" s="367"/>
      <c r="AQ416" s="367"/>
      <c r="AR416" s="367"/>
    </row>
    <row r="417">
      <c r="A417" s="418"/>
      <c r="B417" s="418"/>
      <c r="C417" s="417"/>
      <c r="D417" s="417"/>
      <c r="E417" s="418"/>
      <c r="F417" s="418"/>
      <c r="G417" s="367"/>
      <c r="H417" s="418"/>
      <c r="I417" s="418"/>
      <c r="J417" s="418"/>
      <c r="K417" s="418"/>
      <c r="L417" s="420"/>
      <c r="M417" s="420"/>
      <c r="N417" s="420"/>
      <c r="O417" s="420"/>
      <c r="P417" s="420"/>
      <c r="Q417" s="420"/>
      <c r="R417" s="420"/>
      <c r="S417" s="420"/>
      <c r="T417" s="420"/>
      <c r="U417" s="420"/>
      <c r="V417" s="420"/>
      <c r="W417" s="420"/>
      <c r="X417" s="420"/>
      <c r="Y417" s="420"/>
      <c r="Z417" s="367"/>
      <c r="AA417" s="420"/>
      <c r="AB417" s="420"/>
      <c r="AC417" s="420"/>
      <c r="AD417" s="420"/>
      <c r="AE417" s="420"/>
      <c r="AF417" s="367"/>
      <c r="AG417" s="420"/>
      <c r="AH417" s="367"/>
      <c r="AI417" s="367"/>
      <c r="AJ417" s="367"/>
      <c r="AK417" s="358"/>
      <c r="AL417" s="358"/>
      <c r="AM417" s="358"/>
      <c r="AN417" s="358"/>
      <c r="AO417" s="358"/>
      <c r="AP417" s="367"/>
      <c r="AQ417" s="367"/>
      <c r="AR417" s="367"/>
    </row>
    <row r="418">
      <c r="A418" s="418"/>
      <c r="B418" s="418"/>
      <c r="C418" s="417"/>
      <c r="D418" s="417"/>
      <c r="E418" s="418"/>
      <c r="F418" s="418"/>
      <c r="G418" s="367"/>
      <c r="H418" s="418"/>
      <c r="I418" s="418"/>
      <c r="J418" s="418"/>
      <c r="K418" s="418"/>
      <c r="L418" s="420"/>
      <c r="M418" s="420"/>
      <c r="N418" s="420"/>
      <c r="O418" s="420"/>
      <c r="P418" s="420"/>
      <c r="Q418" s="420"/>
      <c r="R418" s="420"/>
      <c r="S418" s="420"/>
      <c r="T418" s="420"/>
      <c r="U418" s="420"/>
      <c r="V418" s="420"/>
      <c r="W418" s="420"/>
      <c r="X418" s="420"/>
      <c r="Y418" s="420"/>
      <c r="Z418" s="367"/>
      <c r="AA418" s="420"/>
      <c r="AB418" s="420"/>
      <c r="AC418" s="420"/>
      <c r="AD418" s="420"/>
      <c r="AE418" s="420"/>
      <c r="AF418" s="367"/>
      <c r="AG418" s="420"/>
      <c r="AH418" s="367"/>
      <c r="AI418" s="367"/>
      <c r="AJ418" s="367"/>
      <c r="AK418" s="358"/>
      <c r="AL418" s="358"/>
      <c r="AM418" s="358"/>
      <c r="AN418" s="358"/>
      <c r="AO418" s="358"/>
      <c r="AP418" s="367"/>
      <c r="AQ418" s="367"/>
      <c r="AR418" s="367"/>
    </row>
    <row r="419">
      <c r="A419" s="418"/>
      <c r="B419" s="418"/>
      <c r="C419" s="417"/>
      <c r="D419" s="417"/>
      <c r="E419" s="418"/>
      <c r="F419" s="418"/>
      <c r="G419" s="367"/>
      <c r="H419" s="418"/>
      <c r="I419" s="418"/>
      <c r="J419" s="418"/>
      <c r="K419" s="418"/>
      <c r="L419" s="420"/>
      <c r="M419" s="420"/>
      <c r="N419" s="420"/>
      <c r="O419" s="420"/>
      <c r="P419" s="420"/>
      <c r="Q419" s="420"/>
      <c r="R419" s="420"/>
      <c r="S419" s="420"/>
      <c r="T419" s="420"/>
      <c r="U419" s="420"/>
      <c r="V419" s="420"/>
      <c r="W419" s="420"/>
      <c r="X419" s="420"/>
      <c r="Y419" s="420"/>
      <c r="Z419" s="367"/>
      <c r="AA419" s="420"/>
      <c r="AB419" s="420"/>
      <c r="AC419" s="420"/>
      <c r="AD419" s="420"/>
      <c r="AE419" s="420"/>
      <c r="AF419" s="367"/>
      <c r="AG419" s="420"/>
      <c r="AH419" s="367"/>
      <c r="AI419" s="367"/>
      <c r="AJ419" s="367"/>
      <c r="AK419" s="358"/>
      <c r="AL419" s="358"/>
      <c r="AM419" s="358"/>
      <c r="AN419" s="358"/>
      <c r="AO419" s="358"/>
      <c r="AP419" s="367"/>
      <c r="AQ419" s="367"/>
      <c r="AR419" s="367"/>
    </row>
    <row r="420">
      <c r="A420" s="418"/>
      <c r="B420" s="418"/>
      <c r="C420" s="417"/>
      <c r="D420" s="417"/>
      <c r="E420" s="418"/>
      <c r="F420" s="418"/>
      <c r="G420" s="367"/>
      <c r="H420" s="418"/>
      <c r="I420" s="418"/>
      <c r="J420" s="418"/>
      <c r="K420" s="418"/>
      <c r="L420" s="420"/>
      <c r="M420" s="420"/>
      <c r="N420" s="420"/>
      <c r="O420" s="420"/>
      <c r="P420" s="420"/>
      <c r="Q420" s="420"/>
      <c r="R420" s="420"/>
      <c r="S420" s="420"/>
      <c r="T420" s="420"/>
      <c r="U420" s="420"/>
      <c r="V420" s="420"/>
      <c r="W420" s="420"/>
      <c r="X420" s="420"/>
      <c r="Y420" s="420"/>
      <c r="Z420" s="367"/>
      <c r="AA420" s="420"/>
      <c r="AB420" s="420"/>
      <c r="AC420" s="420"/>
      <c r="AD420" s="420"/>
      <c r="AE420" s="420"/>
      <c r="AF420" s="367"/>
      <c r="AG420" s="420"/>
      <c r="AH420" s="367"/>
      <c r="AI420" s="367"/>
      <c r="AJ420" s="367"/>
      <c r="AK420" s="358"/>
      <c r="AL420" s="358"/>
      <c r="AM420" s="358"/>
      <c r="AN420" s="358"/>
      <c r="AO420" s="358"/>
      <c r="AP420" s="367"/>
      <c r="AQ420" s="367"/>
      <c r="AR420" s="367"/>
    </row>
    <row r="421">
      <c r="A421" s="418"/>
      <c r="B421" s="418"/>
      <c r="C421" s="417"/>
      <c r="D421" s="417"/>
      <c r="E421" s="418"/>
      <c r="F421" s="418"/>
      <c r="G421" s="367"/>
      <c r="H421" s="418"/>
      <c r="I421" s="418"/>
      <c r="J421" s="418"/>
      <c r="K421" s="418"/>
      <c r="L421" s="420"/>
      <c r="M421" s="420"/>
      <c r="N421" s="420"/>
      <c r="O421" s="420"/>
      <c r="P421" s="420"/>
      <c r="Q421" s="420"/>
      <c r="R421" s="420"/>
      <c r="S421" s="420"/>
      <c r="T421" s="420"/>
      <c r="U421" s="420"/>
      <c r="V421" s="420"/>
      <c r="W421" s="420"/>
      <c r="X421" s="420"/>
      <c r="Y421" s="420"/>
      <c r="Z421" s="367"/>
      <c r="AA421" s="420"/>
      <c r="AB421" s="420"/>
      <c r="AC421" s="420"/>
      <c r="AD421" s="420"/>
      <c r="AE421" s="420"/>
      <c r="AF421" s="367"/>
      <c r="AG421" s="420"/>
      <c r="AH421" s="367"/>
      <c r="AI421" s="367"/>
      <c r="AJ421" s="367"/>
      <c r="AK421" s="358"/>
      <c r="AL421" s="358"/>
      <c r="AM421" s="358"/>
      <c r="AN421" s="358"/>
      <c r="AO421" s="358"/>
      <c r="AP421" s="367"/>
      <c r="AQ421" s="367"/>
      <c r="AR421" s="367"/>
    </row>
    <row r="422">
      <c r="A422" s="418"/>
      <c r="B422" s="418"/>
      <c r="C422" s="417"/>
      <c r="D422" s="417"/>
      <c r="E422" s="418"/>
      <c r="F422" s="418"/>
      <c r="G422" s="367"/>
      <c r="H422" s="418"/>
      <c r="I422" s="418"/>
      <c r="J422" s="418"/>
      <c r="K422" s="418"/>
      <c r="L422" s="420"/>
      <c r="M422" s="420"/>
      <c r="N422" s="420"/>
      <c r="O422" s="420"/>
      <c r="P422" s="420"/>
      <c r="Q422" s="420"/>
      <c r="R422" s="420"/>
      <c r="S422" s="420"/>
      <c r="T422" s="420"/>
      <c r="U422" s="420"/>
      <c r="V422" s="420"/>
      <c r="W422" s="420"/>
      <c r="X422" s="420"/>
      <c r="Y422" s="420"/>
      <c r="Z422" s="367"/>
      <c r="AA422" s="420"/>
      <c r="AB422" s="420"/>
      <c r="AC422" s="420"/>
      <c r="AD422" s="420"/>
      <c r="AE422" s="420"/>
      <c r="AF422" s="367"/>
      <c r="AG422" s="420"/>
      <c r="AH422" s="367"/>
      <c r="AI422" s="367"/>
      <c r="AJ422" s="367"/>
      <c r="AK422" s="358"/>
      <c r="AL422" s="358"/>
      <c r="AM422" s="358"/>
      <c r="AN422" s="358"/>
      <c r="AO422" s="358"/>
      <c r="AP422" s="367"/>
      <c r="AQ422" s="367"/>
      <c r="AR422" s="367"/>
    </row>
    <row r="423">
      <c r="A423" s="418"/>
      <c r="B423" s="418"/>
      <c r="C423" s="417"/>
      <c r="D423" s="417"/>
      <c r="E423" s="418"/>
      <c r="F423" s="418"/>
      <c r="G423" s="367"/>
      <c r="H423" s="418"/>
      <c r="I423" s="418"/>
      <c r="J423" s="418"/>
      <c r="K423" s="418"/>
      <c r="L423" s="420"/>
      <c r="M423" s="420"/>
      <c r="N423" s="420"/>
      <c r="O423" s="420"/>
      <c r="P423" s="420"/>
      <c r="Q423" s="420"/>
      <c r="R423" s="420"/>
      <c r="S423" s="420"/>
      <c r="T423" s="420"/>
      <c r="U423" s="420"/>
      <c r="V423" s="420"/>
      <c r="W423" s="420"/>
      <c r="X423" s="420"/>
      <c r="Y423" s="420"/>
      <c r="Z423" s="367"/>
      <c r="AA423" s="420"/>
      <c r="AB423" s="420"/>
      <c r="AC423" s="420"/>
      <c r="AD423" s="420"/>
      <c r="AE423" s="420"/>
      <c r="AF423" s="367"/>
      <c r="AG423" s="420"/>
      <c r="AH423" s="367"/>
      <c r="AI423" s="367"/>
      <c r="AJ423" s="367"/>
      <c r="AK423" s="358"/>
      <c r="AL423" s="358"/>
      <c r="AM423" s="358"/>
      <c r="AN423" s="358"/>
      <c r="AO423" s="358"/>
      <c r="AP423" s="367"/>
      <c r="AQ423" s="367"/>
      <c r="AR423" s="367"/>
    </row>
    <row r="424">
      <c r="A424" s="418"/>
      <c r="B424" s="418"/>
      <c r="C424" s="417"/>
      <c r="D424" s="417"/>
      <c r="E424" s="418"/>
      <c r="F424" s="418"/>
      <c r="G424" s="367"/>
      <c r="H424" s="418"/>
      <c r="I424" s="418"/>
      <c r="J424" s="418"/>
      <c r="K424" s="418"/>
      <c r="L424" s="420"/>
      <c r="M424" s="420"/>
      <c r="N424" s="420"/>
      <c r="O424" s="420"/>
      <c r="P424" s="420"/>
      <c r="Q424" s="420"/>
      <c r="R424" s="420"/>
      <c r="S424" s="420"/>
      <c r="T424" s="420"/>
      <c r="U424" s="420"/>
      <c r="V424" s="420"/>
      <c r="W424" s="420"/>
      <c r="X424" s="420"/>
      <c r="Y424" s="420"/>
      <c r="Z424" s="367"/>
      <c r="AA424" s="420"/>
      <c r="AB424" s="420"/>
      <c r="AC424" s="420"/>
      <c r="AD424" s="420"/>
      <c r="AE424" s="420"/>
      <c r="AF424" s="367"/>
      <c r="AG424" s="420"/>
      <c r="AH424" s="367"/>
      <c r="AI424" s="367"/>
      <c r="AJ424" s="367"/>
      <c r="AK424" s="358"/>
      <c r="AL424" s="358"/>
      <c r="AM424" s="358"/>
      <c r="AN424" s="358"/>
      <c r="AO424" s="358"/>
      <c r="AP424" s="367"/>
      <c r="AQ424" s="367"/>
      <c r="AR424" s="367"/>
    </row>
    <row r="425">
      <c r="A425" s="418"/>
      <c r="B425" s="418"/>
      <c r="C425" s="417"/>
      <c r="D425" s="417"/>
      <c r="E425" s="418"/>
      <c r="F425" s="418"/>
      <c r="G425" s="367"/>
      <c r="H425" s="418"/>
      <c r="I425" s="418"/>
      <c r="J425" s="418"/>
      <c r="K425" s="418"/>
      <c r="L425" s="420"/>
      <c r="M425" s="420"/>
      <c r="N425" s="420"/>
      <c r="O425" s="420"/>
      <c r="P425" s="420"/>
      <c r="Q425" s="420"/>
      <c r="R425" s="420"/>
      <c r="S425" s="420"/>
      <c r="T425" s="420"/>
      <c r="U425" s="420"/>
      <c r="V425" s="420"/>
      <c r="W425" s="420"/>
      <c r="X425" s="420"/>
      <c r="Y425" s="420"/>
      <c r="Z425" s="367"/>
      <c r="AA425" s="420"/>
      <c r="AB425" s="420"/>
      <c r="AC425" s="420"/>
      <c r="AD425" s="420"/>
      <c r="AE425" s="420"/>
      <c r="AF425" s="367"/>
      <c r="AG425" s="420"/>
      <c r="AH425" s="367"/>
      <c r="AI425" s="367"/>
      <c r="AJ425" s="367"/>
      <c r="AK425" s="358"/>
      <c r="AL425" s="358"/>
      <c r="AM425" s="358"/>
      <c r="AN425" s="358"/>
      <c r="AO425" s="358"/>
      <c r="AP425" s="367"/>
      <c r="AQ425" s="367"/>
      <c r="AR425" s="367"/>
    </row>
    <row r="426">
      <c r="A426" s="418"/>
      <c r="B426" s="418"/>
      <c r="C426" s="417"/>
      <c r="D426" s="417"/>
      <c r="E426" s="418"/>
      <c r="F426" s="418"/>
      <c r="G426" s="367"/>
      <c r="H426" s="418"/>
      <c r="I426" s="418"/>
      <c r="J426" s="418"/>
      <c r="K426" s="418"/>
      <c r="L426" s="420"/>
      <c r="M426" s="420"/>
      <c r="N426" s="420"/>
      <c r="O426" s="420"/>
      <c r="P426" s="420"/>
      <c r="Q426" s="420"/>
      <c r="R426" s="420"/>
      <c r="S426" s="420"/>
      <c r="T426" s="420"/>
      <c r="U426" s="420"/>
      <c r="V426" s="420"/>
      <c r="W426" s="420"/>
      <c r="X426" s="420"/>
      <c r="Y426" s="420"/>
      <c r="Z426" s="367"/>
      <c r="AA426" s="420"/>
      <c r="AB426" s="420"/>
      <c r="AC426" s="420"/>
      <c r="AD426" s="420"/>
      <c r="AE426" s="420"/>
      <c r="AF426" s="367"/>
      <c r="AG426" s="420"/>
      <c r="AH426" s="367"/>
      <c r="AI426" s="367"/>
      <c r="AJ426" s="367"/>
      <c r="AK426" s="358"/>
      <c r="AL426" s="358"/>
      <c r="AM426" s="358"/>
      <c r="AN426" s="358"/>
      <c r="AO426" s="358"/>
      <c r="AP426" s="367"/>
      <c r="AQ426" s="367"/>
      <c r="AR426" s="367"/>
    </row>
    <row r="427">
      <c r="A427" s="418"/>
      <c r="B427" s="418"/>
      <c r="C427" s="417"/>
      <c r="D427" s="417"/>
      <c r="E427" s="418"/>
      <c r="F427" s="418"/>
      <c r="G427" s="367"/>
      <c r="H427" s="418"/>
      <c r="I427" s="418"/>
      <c r="J427" s="418"/>
      <c r="K427" s="418"/>
      <c r="L427" s="420"/>
      <c r="M427" s="420"/>
      <c r="N427" s="420"/>
      <c r="O427" s="420"/>
      <c r="P427" s="420"/>
      <c r="Q427" s="420"/>
      <c r="R427" s="420"/>
      <c r="S427" s="420"/>
      <c r="T427" s="420"/>
      <c r="U427" s="420"/>
      <c r="V427" s="420"/>
      <c r="W427" s="420"/>
      <c r="X427" s="420"/>
      <c r="Y427" s="420"/>
      <c r="Z427" s="367"/>
      <c r="AA427" s="420"/>
      <c r="AB427" s="420"/>
      <c r="AC427" s="420"/>
      <c r="AD427" s="420"/>
      <c r="AE427" s="420"/>
      <c r="AF427" s="367"/>
      <c r="AG427" s="420"/>
      <c r="AH427" s="367"/>
      <c r="AI427" s="367"/>
      <c r="AJ427" s="367"/>
      <c r="AK427" s="358"/>
      <c r="AL427" s="358"/>
      <c r="AM427" s="358"/>
      <c r="AN427" s="358"/>
      <c r="AO427" s="358"/>
      <c r="AP427" s="367"/>
      <c r="AQ427" s="367"/>
      <c r="AR427" s="367"/>
    </row>
    <row r="428">
      <c r="A428" s="418"/>
      <c r="B428" s="418"/>
      <c r="C428" s="417"/>
      <c r="D428" s="417"/>
      <c r="E428" s="418"/>
      <c r="F428" s="418"/>
      <c r="G428" s="367"/>
      <c r="H428" s="418"/>
      <c r="I428" s="418"/>
      <c r="J428" s="418"/>
      <c r="K428" s="418"/>
      <c r="L428" s="420"/>
      <c r="M428" s="420"/>
      <c r="N428" s="420"/>
      <c r="O428" s="420"/>
      <c r="P428" s="420"/>
      <c r="Q428" s="420"/>
      <c r="R428" s="420"/>
      <c r="S428" s="420"/>
      <c r="T428" s="420"/>
      <c r="U428" s="420"/>
      <c r="V428" s="420"/>
      <c r="W428" s="420"/>
      <c r="X428" s="420"/>
      <c r="Y428" s="420"/>
      <c r="Z428" s="367"/>
      <c r="AA428" s="420"/>
      <c r="AB428" s="420"/>
      <c r="AC428" s="420"/>
      <c r="AD428" s="420"/>
      <c r="AE428" s="420"/>
      <c r="AF428" s="367"/>
      <c r="AG428" s="420"/>
      <c r="AH428" s="367"/>
      <c r="AI428" s="367"/>
      <c r="AJ428" s="367"/>
      <c r="AK428" s="358"/>
      <c r="AL428" s="358"/>
      <c r="AM428" s="358"/>
      <c r="AN428" s="358"/>
      <c r="AO428" s="358"/>
      <c r="AP428" s="367"/>
      <c r="AQ428" s="367"/>
      <c r="AR428" s="367"/>
    </row>
    <row r="429">
      <c r="A429" s="418"/>
      <c r="B429" s="418"/>
      <c r="C429" s="417"/>
      <c r="D429" s="417"/>
      <c r="E429" s="418"/>
      <c r="F429" s="418"/>
      <c r="G429" s="367"/>
      <c r="H429" s="418"/>
      <c r="I429" s="418"/>
      <c r="J429" s="418"/>
      <c r="K429" s="418"/>
      <c r="L429" s="420"/>
      <c r="M429" s="420"/>
      <c r="N429" s="420"/>
      <c r="O429" s="420"/>
      <c r="P429" s="420"/>
      <c r="Q429" s="420"/>
      <c r="R429" s="420"/>
      <c r="S429" s="420"/>
      <c r="T429" s="420"/>
      <c r="U429" s="420"/>
      <c r="V429" s="420"/>
      <c r="W429" s="420"/>
      <c r="X429" s="420"/>
      <c r="Y429" s="420"/>
      <c r="Z429" s="367"/>
      <c r="AA429" s="420"/>
      <c r="AB429" s="420"/>
      <c r="AC429" s="420"/>
      <c r="AD429" s="420"/>
      <c r="AE429" s="420"/>
      <c r="AF429" s="367"/>
      <c r="AG429" s="420"/>
      <c r="AH429" s="367"/>
      <c r="AI429" s="367"/>
      <c r="AJ429" s="367"/>
      <c r="AK429" s="358"/>
      <c r="AL429" s="358"/>
      <c r="AM429" s="358"/>
      <c r="AN429" s="358"/>
      <c r="AO429" s="358"/>
      <c r="AP429" s="367"/>
      <c r="AQ429" s="367"/>
      <c r="AR429" s="367"/>
    </row>
    <row r="430">
      <c r="A430" s="418"/>
      <c r="B430" s="418"/>
      <c r="C430" s="417"/>
      <c r="D430" s="417"/>
      <c r="E430" s="418"/>
      <c r="F430" s="418"/>
      <c r="G430" s="367"/>
      <c r="H430" s="418"/>
      <c r="I430" s="418"/>
      <c r="J430" s="418"/>
      <c r="K430" s="418"/>
      <c r="L430" s="420"/>
      <c r="M430" s="420"/>
      <c r="N430" s="420"/>
      <c r="O430" s="420"/>
      <c r="P430" s="420"/>
      <c r="Q430" s="420"/>
      <c r="R430" s="420"/>
      <c r="S430" s="420"/>
      <c r="T430" s="420"/>
      <c r="U430" s="420"/>
      <c r="V430" s="420"/>
      <c r="W430" s="420"/>
      <c r="X430" s="420"/>
      <c r="Y430" s="420"/>
      <c r="Z430" s="367"/>
      <c r="AA430" s="420"/>
      <c r="AB430" s="420"/>
      <c r="AC430" s="420"/>
      <c r="AD430" s="420"/>
      <c r="AE430" s="420"/>
      <c r="AF430" s="367"/>
      <c r="AG430" s="420"/>
      <c r="AH430" s="367"/>
      <c r="AI430" s="367"/>
      <c r="AJ430" s="367"/>
      <c r="AK430" s="358"/>
      <c r="AL430" s="358"/>
      <c r="AM430" s="358"/>
      <c r="AN430" s="358"/>
      <c r="AO430" s="358"/>
      <c r="AP430" s="367"/>
      <c r="AQ430" s="367"/>
      <c r="AR430" s="367"/>
    </row>
    <row r="431">
      <c r="A431" s="418"/>
      <c r="B431" s="418"/>
      <c r="C431" s="417"/>
      <c r="D431" s="417"/>
      <c r="E431" s="418"/>
      <c r="F431" s="418"/>
      <c r="G431" s="367"/>
      <c r="H431" s="418"/>
      <c r="I431" s="418"/>
      <c r="J431" s="418"/>
      <c r="K431" s="418"/>
      <c r="L431" s="420"/>
      <c r="M431" s="420"/>
      <c r="N431" s="420"/>
      <c r="O431" s="420"/>
      <c r="P431" s="420"/>
      <c r="Q431" s="420"/>
      <c r="R431" s="420"/>
      <c r="S431" s="420"/>
      <c r="T431" s="420"/>
      <c r="U431" s="420"/>
      <c r="V431" s="420"/>
      <c r="W431" s="420"/>
      <c r="X431" s="420"/>
      <c r="Y431" s="420"/>
      <c r="Z431" s="367"/>
      <c r="AA431" s="420"/>
      <c r="AB431" s="420"/>
      <c r="AC431" s="420"/>
      <c r="AD431" s="420"/>
      <c r="AE431" s="420"/>
      <c r="AF431" s="367"/>
      <c r="AG431" s="420"/>
      <c r="AH431" s="367"/>
      <c r="AI431" s="367"/>
      <c r="AJ431" s="367"/>
      <c r="AK431" s="358"/>
      <c r="AL431" s="358"/>
      <c r="AM431" s="358"/>
      <c r="AN431" s="358"/>
      <c r="AO431" s="358"/>
      <c r="AP431" s="367"/>
      <c r="AQ431" s="367"/>
      <c r="AR431" s="367"/>
    </row>
    <row r="432">
      <c r="A432" s="418"/>
      <c r="B432" s="418"/>
      <c r="C432" s="417"/>
      <c r="D432" s="417"/>
      <c r="E432" s="418"/>
      <c r="F432" s="418"/>
      <c r="G432" s="367"/>
      <c r="H432" s="418"/>
      <c r="I432" s="418"/>
      <c r="J432" s="418"/>
      <c r="K432" s="418"/>
      <c r="L432" s="420"/>
      <c r="M432" s="420"/>
      <c r="N432" s="420"/>
      <c r="O432" s="420"/>
      <c r="P432" s="420"/>
      <c r="Q432" s="420"/>
      <c r="R432" s="420"/>
      <c r="S432" s="420"/>
      <c r="T432" s="420"/>
      <c r="U432" s="420"/>
      <c r="V432" s="420"/>
      <c r="W432" s="420"/>
      <c r="X432" s="420"/>
      <c r="Y432" s="420"/>
      <c r="Z432" s="367"/>
      <c r="AA432" s="420"/>
      <c r="AB432" s="420"/>
      <c r="AC432" s="420"/>
      <c r="AD432" s="420"/>
      <c r="AE432" s="420"/>
      <c r="AF432" s="367"/>
      <c r="AG432" s="420"/>
      <c r="AH432" s="367"/>
      <c r="AI432" s="367"/>
      <c r="AJ432" s="367"/>
      <c r="AK432" s="358"/>
      <c r="AL432" s="358"/>
      <c r="AM432" s="358"/>
      <c r="AN432" s="358"/>
      <c r="AO432" s="358"/>
      <c r="AP432" s="367"/>
      <c r="AQ432" s="367"/>
      <c r="AR432" s="367"/>
    </row>
    <row r="433">
      <c r="A433" s="418"/>
      <c r="B433" s="418"/>
      <c r="C433" s="417"/>
      <c r="D433" s="417"/>
      <c r="E433" s="418"/>
      <c r="F433" s="418"/>
      <c r="G433" s="367"/>
      <c r="H433" s="418"/>
      <c r="I433" s="418"/>
      <c r="J433" s="418"/>
      <c r="K433" s="418"/>
      <c r="L433" s="420"/>
      <c r="M433" s="420"/>
      <c r="N433" s="420"/>
      <c r="O433" s="420"/>
      <c r="P433" s="420"/>
      <c r="Q433" s="420"/>
      <c r="R433" s="420"/>
      <c r="S433" s="420"/>
      <c r="T433" s="420"/>
      <c r="U433" s="420"/>
      <c r="V433" s="420"/>
      <c r="W433" s="420"/>
      <c r="X433" s="420"/>
      <c r="Y433" s="420"/>
      <c r="Z433" s="367"/>
      <c r="AA433" s="420"/>
      <c r="AB433" s="420"/>
      <c r="AC433" s="420"/>
      <c r="AD433" s="420"/>
      <c r="AE433" s="420"/>
      <c r="AF433" s="367"/>
      <c r="AG433" s="420"/>
      <c r="AH433" s="367"/>
      <c r="AI433" s="367"/>
      <c r="AJ433" s="367"/>
      <c r="AK433" s="358"/>
      <c r="AL433" s="358"/>
      <c r="AM433" s="358"/>
      <c r="AN433" s="358"/>
      <c r="AO433" s="358"/>
      <c r="AP433" s="367"/>
      <c r="AQ433" s="367"/>
      <c r="AR433" s="367"/>
    </row>
    <row r="434">
      <c r="A434" s="418"/>
      <c r="B434" s="418"/>
      <c r="C434" s="417"/>
      <c r="D434" s="417"/>
      <c r="E434" s="418"/>
      <c r="F434" s="418"/>
      <c r="G434" s="367"/>
      <c r="H434" s="418"/>
      <c r="I434" s="418"/>
      <c r="J434" s="418"/>
      <c r="K434" s="418"/>
      <c r="L434" s="420"/>
      <c r="M434" s="420"/>
      <c r="N434" s="420"/>
      <c r="O434" s="420"/>
      <c r="P434" s="420"/>
      <c r="Q434" s="420"/>
      <c r="R434" s="420"/>
      <c r="S434" s="420"/>
      <c r="T434" s="420"/>
      <c r="U434" s="420"/>
      <c r="V434" s="420"/>
      <c r="W434" s="420"/>
      <c r="X434" s="420"/>
      <c r="Y434" s="420"/>
      <c r="Z434" s="367"/>
      <c r="AA434" s="420"/>
      <c r="AB434" s="420"/>
      <c r="AC434" s="420"/>
      <c r="AD434" s="420"/>
      <c r="AE434" s="420"/>
      <c r="AF434" s="367"/>
      <c r="AG434" s="420"/>
      <c r="AH434" s="367"/>
      <c r="AI434" s="367"/>
      <c r="AJ434" s="367"/>
      <c r="AK434" s="358"/>
      <c r="AL434" s="358"/>
      <c r="AM434" s="358"/>
      <c r="AN434" s="358"/>
      <c r="AO434" s="358"/>
      <c r="AP434" s="367"/>
      <c r="AQ434" s="367"/>
      <c r="AR434" s="367"/>
    </row>
    <row r="435">
      <c r="A435" s="418"/>
      <c r="B435" s="418"/>
      <c r="C435" s="417"/>
      <c r="D435" s="417"/>
      <c r="E435" s="418"/>
      <c r="F435" s="418"/>
      <c r="G435" s="367"/>
      <c r="H435" s="418"/>
      <c r="I435" s="418"/>
      <c r="J435" s="418"/>
      <c r="K435" s="418"/>
      <c r="L435" s="420"/>
      <c r="M435" s="420"/>
      <c r="N435" s="420"/>
      <c r="O435" s="420"/>
      <c r="P435" s="420"/>
      <c r="Q435" s="420"/>
      <c r="R435" s="420"/>
      <c r="S435" s="420"/>
      <c r="T435" s="420"/>
      <c r="U435" s="420"/>
      <c r="V435" s="420"/>
      <c r="W435" s="420"/>
      <c r="X435" s="420"/>
      <c r="Y435" s="420"/>
      <c r="Z435" s="367"/>
      <c r="AA435" s="420"/>
      <c r="AB435" s="420"/>
      <c r="AC435" s="420"/>
      <c r="AD435" s="420"/>
      <c r="AE435" s="420"/>
      <c r="AF435" s="367"/>
      <c r="AG435" s="420"/>
      <c r="AH435" s="367"/>
      <c r="AI435" s="367"/>
      <c r="AJ435" s="367"/>
      <c r="AK435" s="358"/>
      <c r="AL435" s="358"/>
      <c r="AM435" s="358"/>
      <c r="AN435" s="358"/>
      <c r="AO435" s="358"/>
      <c r="AP435" s="367"/>
      <c r="AQ435" s="367"/>
      <c r="AR435" s="367"/>
    </row>
    <row r="436">
      <c r="A436" s="418"/>
      <c r="B436" s="418"/>
      <c r="C436" s="417"/>
      <c r="D436" s="417"/>
      <c r="E436" s="418"/>
      <c r="F436" s="418"/>
      <c r="G436" s="367"/>
      <c r="H436" s="418"/>
      <c r="I436" s="418"/>
      <c r="J436" s="418"/>
      <c r="K436" s="418"/>
      <c r="L436" s="420"/>
      <c r="M436" s="420"/>
      <c r="N436" s="420"/>
      <c r="O436" s="420"/>
      <c r="P436" s="420"/>
      <c r="Q436" s="420"/>
      <c r="R436" s="420"/>
      <c r="S436" s="420"/>
      <c r="T436" s="420"/>
      <c r="U436" s="420"/>
      <c r="V436" s="420"/>
      <c r="W436" s="420"/>
      <c r="X436" s="420"/>
      <c r="Y436" s="420"/>
      <c r="Z436" s="367"/>
      <c r="AA436" s="420"/>
      <c r="AB436" s="420"/>
      <c r="AC436" s="420"/>
      <c r="AD436" s="420"/>
      <c r="AE436" s="420"/>
      <c r="AF436" s="367"/>
      <c r="AG436" s="420"/>
      <c r="AH436" s="367"/>
      <c r="AI436" s="367"/>
      <c r="AJ436" s="367"/>
      <c r="AK436" s="358"/>
      <c r="AL436" s="358"/>
      <c r="AM436" s="358"/>
      <c r="AN436" s="358"/>
      <c r="AO436" s="358"/>
      <c r="AP436" s="367"/>
      <c r="AQ436" s="367"/>
      <c r="AR436" s="367"/>
    </row>
    <row r="437">
      <c r="A437" s="418"/>
      <c r="B437" s="418"/>
      <c r="C437" s="417"/>
      <c r="D437" s="417"/>
      <c r="E437" s="418"/>
      <c r="F437" s="418"/>
      <c r="G437" s="367"/>
      <c r="H437" s="418"/>
      <c r="I437" s="418"/>
      <c r="J437" s="418"/>
      <c r="K437" s="418"/>
      <c r="L437" s="420"/>
      <c r="M437" s="420"/>
      <c r="N437" s="420"/>
      <c r="O437" s="420"/>
      <c r="P437" s="420"/>
      <c r="Q437" s="420"/>
      <c r="R437" s="420"/>
      <c r="S437" s="420"/>
      <c r="T437" s="420"/>
      <c r="U437" s="420"/>
      <c r="V437" s="420"/>
      <c r="W437" s="420"/>
      <c r="X437" s="420"/>
      <c r="Y437" s="420"/>
      <c r="Z437" s="367"/>
      <c r="AA437" s="420"/>
      <c r="AB437" s="420"/>
      <c r="AC437" s="420"/>
      <c r="AD437" s="420"/>
      <c r="AE437" s="420"/>
      <c r="AF437" s="367"/>
      <c r="AG437" s="420"/>
      <c r="AH437" s="367"/>
      <c r="AI437" s="367"/>
      <c r="AJ437" s="367"/>
      <c r="AK437" s="358"/>
      <c r="AL437" s="358"/>
      <c r="AM437" s="358"/>
      <c r="AN437" s="358"/>
      <c r="AO437" s="358"/>
      <c r="AP437" s="367"/>
      <c r="AQ437" s="367"/>
      <c r="AR437" s="367"/>
    </row>
    <row r="438">
      <c r="A438" s="418"/>
      <c r="B438" s="418"/>
      <c r="C438" s="417"/>
      <c r="D438" s="417"/>
      <c r="E438" s="418"/>
      <c r="F438" s="418"/>
      <c r="G438" s="367"/>
      <c r="H438" s="418"/>
      <c r="I438" s="418"/>
      <c r="J438" s="418"/>
      <c r="K438" s="418"/>
      <c r="L438" s="420"/>
      <c r="M438" s="420"/>
      <c r="N438" s="420"/>
      <c r="O438" s="420"/>
      <c r="P438" s="420"/>
      <c r="Q438" s="420"/>
      <c r="R438" s="420"/>
      <c r="S438" s="420"/>
      <c r="T438" s="420"/>
      <c r="U438" s="420"/>
      <c r="V438" s="420"/>
      <c r="W438" s="420"/>
      <c r="X438" s="420"/>
      <c r="Y438" s="420"/>
      <c r="Z438" s="367"/>
      <c r="AA438" s="420"/>
      <c r="AB438" s="420"/>
      <c r="AC438" s="420"/>
      <c r="AD438" s="420"/>
      <c r="AE438" s="420"/>
      <c r="AF438" s="367"/>
      <c r="AG438" s="420"/>
      <c r="AH438" s="367"/>
      <c r="AI438" s="367"/>
      <c r="AJ438" s="367"/>
      <c r="AK438" s="358"/>
      <c r="AL438" s="358"/>
      <c r="AM438" s="358"/>
      <c r="AN438" s="358"/>
      <c r="AO438" s="358"/>
      <c r="AP438" s="367"/>
      <c r="AQ438" s="367"/>
      <c r="AR438" s="367"/>
    </row>
    <row r="439">
      <c r="A439" s="418"/>
      <c r="B439" s="418"/>
      <c r="C439" s="417"/>
      <c r="D439" s="417"/>
      <c r="E439" s="418"/>
      <c r="F439" s="418"/>
      <c r="G439" s="367"/>
      <c r="H439" s="418"/>
      <c r="I439" s="418"/>
      <c r="J439" s="418"/>
      <c r="K439" s="418"/>
      <c r="L439" s="420"/>
      <c r="M439" s="420"/>
      <c r="N439" s="420"/>
      <c r="O439" s="420"/>
      <c r="P439" s="420"/>
      <c r="Q439" s="420"/>
      <c r="R439" s="420"/>
      <c r="S439" s="420"/>
      <c r="T439" s="420"/>
      <c r="U439" s="420"/>
      <c r="V439" s="420"/>
      <c r="W439" s="420"/>
      <c r="X439" s="420"/>
      <c r="Y439" s="420"/>
      <c r="Z439" s="367"/>
      <c r="AA439" s="420"/>
      <c r="AB439" s="420"/>
      <c r="AC439" s="420"/>
      <c r="AD439" s="420"/>
      <c r="AE439" s="420"/>
      <c r="AF439" s="367"/>
      <c r="AG439" s="420"/>
      <c r="AH439" s="367"/>
      <c r="AI439" s="367"/>
      <c r="AJ439" s="367"/>
      <c r="AK439" s="358"/>
      <c r="AL439" s="358"/>
      <c r="AM439" s="358"/>
      <c r="AN439" s="358"/>
      <c r="AO439" s="358"/>
      <c r="AP439" s="367"/>
      <c r="AQ439" s="367"/>
      <c r="AR439" s="367"/>
    </row>
    <row r="440">
      <c r="A440" s="418"/>
      <c r="B440" s="418"/>
      <c r="C440" s="417"/>
      <c r="D440" s="417"/>
      <c r="E440" s="418"/>
      <c r="F440" s="418"/>
      <c r="G440" s="367"/>
      <c r="H440" s="418"/>
      <c r="I440" s="418"/>
      <c r="J440" s="418"/>
      <c r="K440" s="418"/>
      <c r="L440" s="420"/>
      <c r="M440" s="420"/>
      <c r="N440" s="420"/>
      <c r="O440" s="420"/>
      <c r="P440" s="420"/>
      <c r="Q440" s="420"/>
      <c r="R440" s="420"/>
      <c r="S440" s="420"/>
      <c r="T440" s="420"/>
      <c r="U440" s="420"/>
      <c r="V440" s="420"/>
      <c r="W440" s="420"/>
      <c r="X440" s="420"/>
      <c r="Y440" s="420"/>
      <c r="Z440" s="367"/>
      <c r="AA440" s="420"/>
      <c r="AB440" s="420"/>
      <c r="AC440" s="420"/>
      <c r="AD440" s="420"/>
      <c r="AE440" s="420"/>
      <c r="AF440" s="367"/>
      <c r="AG440" s="420"/>
      <c r="AH440" s="367"/>
      <c r="AI440" s="367"/>
      <c r="AJ440" s="367"/>
      <c r="AK440" s="358"/>
      <c r="AL440" s="358"/>
      <c r="AM440" s="358"/>
      <c r="AN440" s="358"/>
      <c r="AO440" s="358"/>
      <c r="AP440" s="367"/>
      <c r="AQ440" s="367"/>
      <c r="AR440" s="367"/>
    </row>
    <row r="441">
      <c r="A441" s="418"/>
      <c r="B441" s="418"/>
      <c r="C441" s="417"/>
      <c r="D441" s="417"/>
      <c r="E441" s="418"/>
      <c r="F441" s="418"/>
      <c r="G441" s="367"/>
      <c r="H441" s="418"/>
      <c r="I441" s="418"/>
      <c r="J441" s="418"/>
      <c r="K441" s="418"/>
      <c r="L441" s="420"/>
      <c r="M441" s="420"/>
      <c r="N441" s="420"/>
      <c r="O441" s="420"/>
      <c r="P441" s="420"/>
      <c r="Q441" s="420"/>
      <c r="R441" s="420"/>
      <c r="S441" s="420"/>
      <c r="T441" s="420"/>
      <c r="U441" s="420"/>
      <c r="V441" s="420"/>
      <c r="W441" s="420"/>
      <c r="X441" s="420"/>
      <c r="Y441" s="420"/>
      <c r="Z441" s="367"/>
      <c r="AA441" s="420"/>
      <c r="AB441" s="420"/>
      <c r="AC441" s="420"/>
      <c r="AD441" s="420"/>
      <c r="AE441" s="420"/>
      <c r="AF441" s="367"/>
      <c r="AG441" s="420"/>
      <c r="AH441" s="367"/>
      <c r="AI441" s="367"/>
      <c r="AJ441" s="367"/>
      <c r="AK441" s="358"/>
      <c r="AL441" s="358"/>
      <c r="AM441" s="358"/>
      <c r="AN441" s="358"/>
      <c r="AO441" s="358"/>
      <c r="AP441" s="367"/>
      <c r="AQ441" s="367"/>
      <c r="AR441" s="367"/>
    </row>
    <row r="442">
      <c r="A442" s="418"/>
      <c r="B442" s="418"/>
      <c r="C442" s="417"/>
      <c r="D442" s="417"/>
      <c r="E442" s="418"/>
      <c r="F442" s="418"/>
      <c r="G442" s="367"/>
      <c r="H442" s="418"/>
      <c r="I442" s="418"/>
      <c r="J442" s="418"/>
      <c r="K442" s="418"/>
      <c r="L442" s="420"/>
      <c r="M442" s="420"/>
      <c r="N442" s="420"/>
      <c r="O442" s="420"/>
      <c r="P442" s="420"/>
      <c r="Q442" s="420"/>
      <c r="R442" s="420"/>
      <c r="S442" s="420"/>
      <c r="T442" s="420"/>
      <c r="U442" s="420"/>
      <c r="V442" s="420"/>
      <c r="W442" s="420"/>
      <c r="X442" s="420"/>
      <c r="Y442" s="420"/>
      <c r="Z442" s="367"/>
      <c r="AA442" s="420"/>
      <c r="AB442" s="420"/>
      <c r="AC442" s="420"/>
      <c r="AD442" s="420"/>
      <c r="AE442" s="420"/>
      <c r="AF442" s="367"/>
      <c r="AG442" s="420"/>
      <c r="AH442" s="367"/>
      <c r="AI442" s="367"/>
      <c r="AJ442" s="367"/>
      <c r="AK442" s="358"/>
      <c r="AL442" s="358"/>
      <c r="AM442" s="358"/>
      <c r="AN442" s="358"/>
      <c r="AO442" s="358"/>
      <c r="AP442" s="367"/>
      <c r="AQ442" s="367"/>
      <c r="AR442" s="367"/>
    </row>
    <row r="443">
      <c r="A443" s="418"/>
      <c r="B443" s="418"/>
      <c r="C443" s="417"/>
      <c r="D443" s="417"/>
      <c r="E443" s="418"/>
      <c r="F443" s="418"/>
      <c r="G443" s="367"/>
      <c r="H443" s="418"/>
      <c r="I443" s="418"/>
      <c r="J443" s="418"/>
      <c r="K443" s="418"/>
      <c r="L443" s="420"/>
      <c r="M443" s="420"/>
      <c r="N443" s="420"/>
      <c r="O443" s="420"/>
      <c r="P443" s="420"/>
      <c r="Q443" s="420"/>
      <c r="R443" s="420"/>
      <c r="S443" s="420"/>
      <c r="T443" s="420"/>
      <c r="U443" s="420"/>
      <c r="V443" s="420"/>
      <c r="W443" s="420"/>
      <c r="X443" s="420"/>
      <c r="Y443" s="420"/>
      <c r="Z443" s="367"/>
      <c r="AA443" s="420"/>
      <c r="AB443" s="420"/>
      <c r="AC443" s="420"/>
      <c r="AD443" s="420"/>
      <c r="AE443" s="420"/>
      <c r="AF443" s="367"/>
      <c r="AG443" s="420"/>
      <c r="AH443" s="367"/>
      <c r="AI443" s="367"/>
      <c r="AJ443" s="367"/>
      <c r="AK443" s="358"/>
      <c r="AL443" s="358"/>
      <c r="AM443" s="358"/>
      <c r="AN443" s="358"/>
      <c r="AO443" s="358"/>
      <c r="AP443" s="367"/>
      <c r="AQ443" s="367"/>
      <c r="AR443" s="367"/>
    </row>
    <row r="444">
      <c r="A444" s="418"/>
      <c r="B444" s="418"/>
      <c r="C444" s="417"/>
      <c r="D444" s="417"/>
      <c r="E444" s="418"/>
      <c r="F444" s="418"/>
      <c r="G444" s="367"/>
      <c r="H444" s="418"/>
      <c r="I444" s="418"/>
      <c r="J444" s="418"/>
      <c r="K444" s="418"/>
      <c r="L444" s="420"/>
      <c r="M444" s="420"/>
      <c r="N444" s="420"/>
      <c r="O444" s="420"/>
      <c r="P444" s="420"/>
      <c r="Q444" s="420"/>
      <c r="R444" s="420"/>
      <c r="S444" s="420"/>
      <c r="T444" s="420"/>
      <c r="U444" s="420"/>
      <c r="V444" s="420"/>
      <c r="W444" s="420"/>
      <c r="X444" s="420"/>
      <c r="Y444" s="420"/>
      <c r="Z444" s="367"/>
      <c r="AA444" s="420"/>
      <c r="AB444" s="420"/>
      <c r="AC444" s="420"/>
      <c r="AD444" s="420"/>
      <c r="AE444" s="420"/>
      <c r="AF444" s="367"/>
      <c r="AG444" s="420"/>
      <c r="AH444" s="367"/>
      <c r="AI444" s="367"/>
      <c r="AJ444" s="367"/>
      <c r="AK444" s="358"/>
      <c r="AL444" s="358"/>
      <c r="AM444" s="358"/>
      <c r="AN444" s="358"/>
      <c r="AO444" s="358"/>
      <c r="AP444" s="367"/>
      <c r="AQ444" s="367"/>
      <c r="AR444" s="367"/>
    </row>
    <row r="445">
      <c r="A445" s="418"/>
      <c r="B445" s="418"/>
      <c r="C445" s="417"/>
      <c r="D445" s="417"/>
      <c r="E445" s="418"/>
      <c r="F445" s="418"/>
      <c r="G445" s="367"/>
      <c r="H445" s="418"/>
      <c r="I445" s="418"/>
      <c r="J445" s="418"/>
      <c r="K445" s="418"/>
      <c r="L445" s="420"/>
      <c r="M445" s="420"/>
      <c r="N445" s="420"/>
      <c r="O445" s="420"/>
      <c r="P445" s="420"/>
      <c r="Q445" s="420"/>
      <c r="R445" s="420"/>
      <c r="S445" s="420"/>
      <c r="T445" s="420"/>
      <c r="U445" s="420"/>
      <c r="V445" s="420"/>
      <c r="W445" s="420"/>
      <c r="X445" s="420"/>
      <c r="Y445" s="420"/>
      <c r="Z445" s="367"/>
      <c r="AA445" s="420"/>
      <c r="AB445" s="420"/>
      <c r="AC445" s="420"/>
      <c r="AD445" s="420"/>
      <c r="AE445" s="420"/>
      <c r="AF445" s="367"/>
      <c r="AG445" s="420"/>
      <c r="AH445" s="367"/>
      <c r="AI445" s="367"/>
      <c r="AJ445" s="367"/>
      <c r="AK445" s="358"/>
      <c r="AL445" s="358"/>
      <c r="AM445" s="358"/>
      <c r="AN445" s="358"/>
      <c r="AO445" s="358"/>
      <c r="AP445" s="367"/>
      <c r="AQ445" s="367"/>
      <c r="AR445" s="367"/>
    </row>
    <row r="446">
      <c r="A446" s="418"/>
      <c r="B446" s="418"/>
      <c r="C446" s="417"/>
      <c r="D446" s="417"/>
      <c r="E446" s="418"/>
      <c r="F446" s="418"/>
      <c r="G446" s="367"/>
      <c r="H446" s="418"/>
      <c r="I446" s="418"/>
      <c r="J446" s="418"/>
      <c r="K446" s="418"/>
      <c r="L446" s="420"/>
      <c r="M446" s="420"/>
      <c r="N446" s="420"/>
      <c r="O446" s="420"/>
      <c r="P446" s="420"/>
      <c r="Q446" s="420"/>
      <c r="R446" s="420"/>
      <c r="S446" s="420"/>
      <c r="T446" s="420"/>
      <c r="U446" s="420"/>
      <c r="V446" s="420"/>
      <c r="W446" s="420"/>
      <c r="X446" s="420"/>
      <c r="Y446" s="420"/>
      <c r="Z446" s="367"/>
      <c r="AA446" s="420"/>
      <c r="AB446" s="420"/>
      <c r="AC446" s="420"/>
      <c r="AD446" s="420"/>
      <c r="AE446" s="420"/>
      <c r="AF446" s="367"/>
      <c r="AG446" s="420"/>
      <c r="AH446" s="367"/>
      <c r="AI446" s="367"/>
      <c r="AJ446" s="367"/>
      <c r="AK446" s="358"/>
      <c r="AL446" s="358"/>
      <c r="AM446" s="358"/>
      <c r="AN446" s="358"/>
      <c r="AO446" s="358"/>
      <c r="AP446" s="367"/>
      <c r="AQ446" s="367"/>
      <c r="AR446" s="367"/>
    </row>
    <row r="447">
      <c r="A447" s="418"/>
      <c r="B447" s="418"/>
      <c r="C447" s="417"/>
      <c r="D447" s="417"/>
      <c r="E447" s="418"/>
      <c r="F447" s="418"/>
      <c r="G447" s="367"/>
      <c r="H447" s="418"/>
      <c r="I447" s="418"/>
      <c r="J447" s="418"/>
      <c r="K447" s="418"/>
      <c r="L447" s="420"/>
      <c r="M447" s="420"/>
      <c r="N447" s="420"/>
      <c r="O447" s="420"/>
      <c r="P447" s="420"/>
      <c r="Q447" s="420"/>
      <c r="R447" s="420"/>
      <c r="S447" s="420"/>
      <c r="T447" s="420"/>
      <c r="U447" s="420"/>
      <c r="V447" s="420"/>
      <c r="W447" s="420"/>
      <c r="X447" s="420"/>
      <c r="Y447" s="420"/>
      <c r="Z447" s="367"/>
      <c r="AA447" s="420"/>
      <c r="AB447" s="420"/>
      <c r="AC447" s="420"/>
      <c r="AD447" s="420"/>
      <c r="AE447" s="420"/>
      <c r="AF447" s="367"/>
      <c r="AG447" s="420"/>
      <c r="AH447" s="367"/>
      <c r="AI447" s="367"/>
      <c r="AJ447" s="367"/>
      <c r="AK447" s="358"/>
      <c r="AL447" s="358"/>
      <c r="AM447" s="358"/>
      <c r="AN447" s="358"/>
      <c r="AO447" s="358"/>
      <c r="AP447" s="367"/>
      <c r="AQ447" s="367"/>
      <c r="AR447" s="367"/>
    </row>
    <row r="448">
      <c r="A448" s="418"/>
      <c r="B448" s="418"/>
      <c r="C448" s="417"/>
      <c r="D448" s="417"/>
      <c r="E448" s="418"/>
      <c r="F448" s="418"/>
      <c r="G448" s="367"/>
      <c r="H448" s="418"/>
      <c r="I448" s="418"/>
      <c r="J448" s="418"/>
      <c r="K448" s="418"/>
      <c r="L448" s="420"/>
      <c r="M448" s="420"/>
      <c r="N448" s="420"/>
      <c r="O448" s="420"/>
      <c r="P448" s="420"/>
      <c r="Q448" s="420"/>
      <c r="R448" s="420"/>
      <c r="S448" s="420"/>
      <c r="T448" s="420"/>
      <c r="U448" s="420"/>
      <c r="V448" s="420"/>
      <c r="W448" s="420"/>
      <c r="X448" s="420"/>
      <c r="Y448" s="420"/>
      <c r="Z448" s="367"/>
      <c r="AA448" s="420"/>
      <c r="AB448" s="420"/>
      <c r="AC448" s="420"/>
      <c r="AD448" s="420"/>
      <c r="AE448" s="420"/>
      <c r="AF448" s="367"/>
      <c r="AG448" s="420"/>
      <c r="AH448" s="367"/>
      <c r="AI448" s="367"/>
      <c r="AJ448" s="367"/>
      <c r="AK448" s="358"/>
      <c r="AL448" s="358"/>
      <c r="AM448" s="358"/>
      <c r="AN448" s="358"/>
      <c r="AO448" s="358"/>
      <c r="AP448" s="367"/>
      <c r="AQ448" s="367"/>
      <c r="AR448" s="367"/>
    </row>
    <row r="449">
      <c r="A449" s="418"/>
      <c r="B449" s="418"/>
      <c r="C449" s="417"/>
      <c r="D449" s="417"/>
      <c r="E449" s="418"/>
      <c r="F449" s="418"/>
      <c r="G449" s="367"/>
      <c r="H449" s="418"/>
      <c r="I449" s="418"/>
      <c r="J449" s="418"/>
      <c r="K449" s="418"/>
      <c r="L449" s="420"/>
      <c r="M449" s="420"/>
      <c r="N449" s="420"/>
      <c r="O449" s="420"/>
      <c r="P449" s="420"/>
      <c r="Q449" s="420"/>
      <c r="R449" s="420"/>
      <c r="S449" s="420"/>
      <c r="T449" s="420"/>
      <c r="U449" s="420"/>
      <c r="V449" s="420"/>
      <c r="W449" s="420"/>
      <c r="X449" s="420"/>
      <c r="Y449" s="420"/>
      <c r="Z449" s="367"/>
      <c r="AA449" s="420"/>
      <c r="AB449" s="420"/>
      <c r="AC449" s="420"/>
      <c r="AD449" s="420"/>
      <c r="AE449" s="420"/>
      <c r="AF449" s="367"/>
      <c r="AG449" s="420"/>
      <c r="AH449" s="367"/>
      <c r="AI449" s="367"/>
      <c r="AJ449" s="367"/>
      <c r="AK449" s="358"/>
      <c r="AL449" s="358"/>
      <c r="AM449" s="358"/>
      <c r="AN449" s="358"/>
      <c r="AO449" s="358"/>
      <c r="AP449" s="367"/>
      <c r="AQ449" s="367"/>
      <c r="AR449" s="367"/>
    </row>
    <row r="450">
      <c r="A450" s="418"/>
      <c r="B450" s="418"/>
      <c r="C450" s="417"/>
      <c r="D450" s="417"/>
      <c r="E450" s="418"/>
      <c r="F450" s="418"/>
      <c r="G450" s="367"/>
      <c r="H450" s="418"/>
      <c r="I450" s="418"/>
      <c r="J450" s="418"/>
      <c r="K450" s="418"/>
      <c r="L450" s="420"/>
      <c r="M450" s="420"/>
      <c r="N450" s="420"/>
      <c r="O450" s="420"/>
      <c r="P450" s="420"/>
      <c r="Q450" s="420"/>
      <c r="R450" s="420"/>
      <c r="S450" s="420"/>
      <c r="T450" s="420"/>
      <c r="U450" s="420"/>
      <c r="V450" s="420"/>
      <c r="W450" s="420"/>
      <c r="X450" s="420"/>
      <c r="Y450" s="420"/>
      <c r="Z450" s="367"/>
      <c r="AA450" s="420"/>
      <c r="AB450" s="420"/>
      <c r="AC450" s="420"/>
      <c r="AD450" s="420"/>
      <c r="AE450" s="420"/>
      <c r="AF450" s="367"/>
      <c r="AG450" s="420"/>
      <c r="AH450" s="367"/>
      <c r="AI450" s="367"/>
      <c r="AJ450" s="367"/>
      <c r="AK450" s="358"/>
      <c r="AL450" s="358"/>
      <c r="AM450" s="358"/>
      <c r="AN450" s="358"/>
      <c r="AO450" s="358"/>
      <c r="AP450" s="367"/>
      <c r="AQ450" s="367"/>
      <c r="AR450" s="367"/>
    </row>
    <row r="451">
      <c r="A451" s="418"/>
      <c r="B451" s="418"/>
      <c r="C451" s="417"/>
      <c r="D451" s="417"/>
      <c r="E451" s="418"/>
      <c r="F451" s="418"/>
      <c r="G451" s="367"/>
      <c r="H451" s="418"/>
      <c r="I451" s="418"/>
      <c r="J451" s="418"/>
      <c r="K451" s="418"/>
      <c r="L451" s="420"/>
      <c r="M451" s="420"/>
      <c r="N451" s="420"/>
      <c r="O451" s="420"/>
      <c r="P451" s="420"/>
      <c r="Q451" s="420"/>
      <c r="R451" s="420"/>
      <c r="S451" s="420"/>
      <c r="T451" s="420"/>
      <c r="U451" s="420"/>
      <c r="V451" s="420"/>
      <c r="W451" s="420"/>
      <c r="X451" s="420"/>
      <c r="Y451" s="420"/>
      <c r="Z451" s="367"/>
      <c r="AA451" s="420"/>
      <c r="AB451" s="420"/>
      <c r="AC451" s="420"/>
      <c r="AD451" s="420"/>
      <c r="AE451" s="420"/>
      <c r="AF451" s="367"/>
      <c r="AG451" s="420"/>
      <c r="AH451" s="367"/>
      <c r="AI451" s="367"/>
      <c r="AJ451" s="367"/>
      <c r="AK451" s="358"/>
      <c r="AL451" s="358"/>
      <c r="AM451" s="358"/>
      <c r="AN451" s="358"/>
      <c r="AO451" s="358"/>
      <c r="AP451" s="367"/>
      <c r="AQ451" s="367"/>
      <c r="AR451" s="367"/>
    </row>
    <row r="452">
      <c r="A452" s="418"/>
      <c r="B452" s="418"/>
      <c r="C452" s="417"/>
      <c r="D452" s="417"/>
      <c r="E452" s="418"/>
      <c r="F452" s="418"/>
      <c r="G452" s="367"/>
      <c r="H452" s="418"/>
      <c r="I452" s="418"/>
      <c r="J452" s="418"/>
      <c r="K452" s="418"/>
      <c r="L452" s="420"/>
      <c r="M452" s="420"/>
      <c r="N452" s="420"/>
      <c r="O452" s="420"/>
      <c r="P452" s="420"/>
      <c r="Q452" s="420"/>
      <c r="R452" s="420"/>
      <c r="S452" s="420"/>
      <c r="T452" s="420"/>
      <c r="U452" s="420"/>
      <c r="V452" s="420"/>
      <c r="W452" s="420"/>
      <c r="X452" s="420"/>
      <c r="Y452" s="420"/>
      <c r="Z452" s="367"/>
      <c r="AA452" s="420"/>
      <c r="AB452" s="420"/>
      <c r="AC452" s="420"/>
      <c r="AD452" s="420"/>
      <c r="AE452" s="420"/>
      <c r="AF452" s="367"/>
      <c r="AG452" s="420"/>
      <c r="AH452" s="367"/>
      <c r="AI452" s="367"/>
      <c r="AJ452" s="367"/>
      <c r="AK452" s="358"/>
      <c r="AL452" s="358"/>
      <c r="AM452" s="358"/>
      <c r="AN452" s="358"/>
      <c r="AO452" s="358"/>
      <c r="AP452" s="367"/>
      <c r="AQ452" s="367"/>
      <c r="AR452" s="367"/>
    </row>
    <row r="453">
      <c r="A453" s="418"/>
      <c r="B453" s="418"/>
      <c r="C453" s="417"/>
      <c r="D453" s="417"/>
      <c r="E453" s="418"/>
      <c r="F453" s="418"/>
      <c r="G453" s="367"/>
      <c r="H453" s="418"/>
      <c r="I453" s="418"/>
      <c r="J453" s="418"/>
      <c r="K453" s="418"/>
      <c r="L453" s="420"/>
      <c r="M453" s="420"/>
      <c r="N453" s="420"/>
      <c r="O453" s="420"/>
      <c r="P453" s="420"/>
      <c r="Q453" s="420"/>
      <c r="R453" s="420"/>
      <c r="S453" s="420"/>
      <c r="T453" s="420"/>
      <c r="U453" s="420"/>
      <c r="V453" s="420"/>
      <c r="W453" s="420"/>
      <c r="X453" s="420"/>
      <c r="Y453" s="420"/>
      <c r="Z453" s="367"/>
      <c r="AA453" s="420"/>
      <c r="AB453" s="420"/>
      <c r="AC453" s="420"/>
      <c r="AD453" s="420"/>
      <c r="AE453" s="420"/>
      <c r="AF453" s="367"/>
      <c r="AG453" s="420"/>
      <c r="AH453" s="367"/>
      <c r="AI453" s="367"/>
      <c r="AJ453" s="367"/>
      <c r="AK453" s="358"/>
      <c r="AL453" s="358"/>
      <c r="AM453" s="358"/>
      <c r="AN453" s="358"/>
      <c r="AO453" s="358"/>
      <c r="AP453" s="367"/>
      <c r="AQ453" s="367"/>
      <c r="AR453" s="367"/>
    </row>
    <row r="454">
      <c r="A454" s="418"/>
      <c r="B454" s="418"/>
      <c r="C454" s="417"/>
      <c r="D454" s="417"/>
      <c r="E454" s="418"/>
      <c r="F454" s="418"/>
      <c r="G454" s="367"/>
      <c r="H454" s="418"/>
      <c r="I454" s="418"/>
      <c r="J454" s="418"/>
      <c r="K454" s="418"/>
      <c r="L454" s="420"/>
      <c r="M454" s="420"/>
      <c r="N454" s="420"/>
      <c r="O454" s="420"/>
      <c r="P454" s="420"/>
      <c r="Q454" s="420"/>
      <c r="R454" s="420"/>
      <c r="S454" s="420"/>
      <c r="T454" s="420"/>
      <c r="U454" s="420"/>
      <c r="V454" s="420"/>
      <c r="W454" s="420"/>
      <c r="X454" s="420"/>
      <c r="Y454" s="420"/>
      <c r="Z454" s="367"/>
      <c r="AA454" s="420"/>
      <c r="AB454" s="420"/>
      <c r="AC454" s="420"/>
      <c r="AD454" s="420"/>
      <c r="AE454" s="420"/>
      <c r="AF454" s="367"/>
      <c r="AG454" s="420"/>
      <c r="AH454" s="367"/>
      <c r="AI454" s="367"/>
      <c r="AJ454" s="367"/>
      <c r="AK454" s="358"/>
      <c r="AL454" s="358"/>
      <c r="AM454" s="358"/>
      <c r="AN454" s="358"/>
      <c r="AO454" s="358"/>
      <c r="AP454" s="367"/>
      <c r="AQ454" s="367"/>
      <c r="AR454" s="367"/>
    </row>
    <row r="455">
      <c r="A455" s="418"/>
      <c r="B455" s="418"/>
      <c r="C455" s="417"/>
      <c r="D455" s="417"/>
      <c r="E455" s="418"/>
      <c r="F455" s="418"/>
      <c r="G455" s="367"/>
      <c r="H455" s="418"/>
      <c r="I455" s="418"/>
      <c r="J455" s="418"/>
      <c r="K455" s="418"/>
      <c r="L455" s="420"/>
      <c r="M455" s="420"/>
      <c r="N455" s="420"/>
      <c r="O455" s="420"/>
      <c r="P455" s="420"/>
      <c r="Q455" s="420"/>
      <c r="R455" s="420"/>
      <c r="S455" s="420"/>
      <c r="T455" s="420"/>
      <c r="U455" s="420"/>
      <c r="V455" s="420"/>
      <c r="W455" s="420"/>
      <c r="X455" s="420"/>
      <c r="Y455" s="420"/>
      <c r="Z455" s="367"/>
      <c r="AA455" s="420"/>
      <c r="AB455" s="420"/>
      <c r="AC455" s="420"/>
      <c r="AD455" s="420"/>
      <c r="AE455" s="420"/>
      <c r="AF455" s="367"/>
      <c r="AG455" s="420"/>
      <c r="AH455" s="367"/>
      <c r="AI455" s="367"/>
      <c r="AJ455" s="367"/>
      <c r="AK455" s="358"/>
      <c r="AL455" s="358"/>
      <c r="AM455" s="358"/>
      <c r="AN455" s="358"/>
      <c r="AO455" s="358"/>
      <c r="AP455" s="367"/>
      <c r="AQ455" s="367"/>
      <c r="AR455" s="367"/>
    </row>
    <row r="456">
      <c r="A456" s="418"/>
      <c r="B456" s="418"/>
      <c r="C456" s="417"/>
      <c r="D456" s="417"/>
      <c r="E456" s="418"/>
      <c r="F456" s="418"/>
      <c r="G456" s="367"/>
      <c r="H456" s="418"/>
      <c r="I456" s="418"/>
      <c r="J456" s="418"/>
      <c r="K456" s="418"/>
      <c r="L456" s="420"/>
      <c r="M456" s="420"/>
      <c r="N456" s="420"/>
      <c r="O456" s="420"/>
      <c r="P456" s="420"/>
      <c r="Q456" s="420"/>
      <c r="R456" s="420"/>
      <c r="S456" s="420"/>
      <c r="T456" s="420"/>
      <c r="U456" s="420"/>
      <c r="V456" s="420"/>
      <c r="W456" s="420"/>
      <c r="X456" s="420"/>
      <c r="Y456" s="420"/>
      <c r="Z456" s="367"/>
      <c r="AA456" s="420"/>
      <c r="AB456" s="420"/>
      <c r="AC456" s="420"/>
      <c r="AD456" s="420"/>
      <c r="AE456" s="420"/>
      <c r="AF456" s="367"/>
      <c r="AG456" s="420"/>
      <c r="AH456" s="367"/>
      <c r="AI456" s="367"/>
      <c r="AJ456" s="367"/>
      <c r="AK456" s="358"/>
      <c r="AL456" s="358"/>
      <c r="AM456" s="358"/>
      <c r="AN456" s="358"/>
      <c r="AO456" s="358"/>
      <c r="AP456" s="367"/>
      <c r="AQ456" s="367"/>
      <c r="AR456" s="367"/>
    </row>
    <row r="457">
      <c r="A457" s="418"/>
      <c r="B457" s="418"/>
      <c r="C457" s="417"/>
      <c r="D457" s="417"/>
      <c r="E457" s="418"/>
      <c r="F457" s="418"/>
      <c r="G457" s="367"/>
      <c r="H457" s="418"/>
      <c r="I457" s="418"/>
      <c r="J457" s="418"/>
      <c r="K457" s="418"/>
      <c r="L457" s="420"/>
      <c r="M457" s="420"/>
      <c r="N457" s="420"/>
      <c r="O457" s="420"/>
      <c r="P457" s="420"/>
      <c r="Q457" s="420"/>
      <c r="R457" s="420"/>
      <c r="S457" s="420"/>
      <c r="T457" s="420"/>
      <c r="U457" s="420"/>
      <c r="V457" s="420"/>
      <c r="W457" s="420"/>
      <c r="X457" s="420"/>
      <c r="Y457" s="420"/>
      <c r="Z457" s="367"/>
      <c r="AA457" s="420"/>
      <c r="AB457" s="420"/>
      <c r="AC457" s="420"/>
      <c r="AD457" s="420"/>
      <c r="AE457" s="420"/>
      <c r="AF457" s="367"/>
      <c r="AG457" s="420"/>
      <c r="AH457" s="367"/>
      <c r="AI457" s="367"/>
      <c r="AJ457" s="367"/>
      <c r="AK457" s="358"/>
      <c r="AL457" s="358"/>
      <c r="AM457" s="358"/>
      <c r="AN457" s="358"/>
      <c r="AO457" s="358"/>
      <c r="AP457" s="367"/>
      <c r="AQ457" s="367"/>
      <c r="AR457" s="367"/>
    </row>
    <row r="458">
      <c r="A458" s="418"/>
      <c r="B458" s="418"/>
      <c r="C458" s="417"/>
      <c r="D458" s="417"/>
      <c r="E458" s="418"/>
      <c r="F458" s="418"/>
      <c r="G458" s="367"/>
      <c r="H458" s="418"/>
      <c r="I458" s="418"/>
      <c r="J458" s="418"/>
      <c r="K458" s="418"/>
      <c r="L458" s="420"/>
      <c r="M458" s="420"/>
      <c r="N458" s="420"/>
      <c r="O458" s="420"/>
      <c r="P458" s="420"/>
      <c r="Q458" s="420"/>
      <c r="R458" s="420"/>
      <c r="S458" s="420"/>
      <c r="T458" s="420"/>
      <c r="U458" s="420"/>
      <c r="V458" s="420"/>
      <c r="W458" s="420"/>
      <c r="X458" s="420"/>
      <c r="Y458" s="420"/>
      <c r="Z458" s="367"/>
      <c r="AA458" s="420"/>
      <c r="AB458" s="420"/>
      <c r="AC458" s="420"/>
      <c r="AD458" s="420"/>
      <c r="AE458" s="420"/>
      <c r="AF458" s="367"/>
      <c r="AG458" s="420"/>
      <c r="AH458" s="367"/>
      <c r="AI458" s="367"/>
      <c r="AJ458" s="367"/>
      <c r="AK458" s="358"/>
      <c r="AL458" s="358"/>
      <c r="AM458" s="358"/>
      <c r="AN458" s="358"/>
      <c r="AO458" s="358"/>
      <c r="AP458" s="367"/>
      <c r="AQ458" s="367"/>
      <c r="AR458" s="367"/>
    </row>
    <row r="459">
      <c r="A459" s="418"/>
      <c r="B459" s="418"/>
      <c r="C459" s="417"/>
      <c r="D459" s="417"/>
      <c r="E459" s="418"/>
      <c r="F459" s="418"/>
      <c r="G459" s="367"/>
      <c r="H459" s="418"/>
      <c r="I459" s="418"/>
      <c r="J459" s="418"/>
      <c r="K459" s="418"/>
      <c r="L459" s="420"/>
      <c r="M459" s="420"/>
      <c r="N459" s="420"/>
      <c r="O459" s="420"/>
      <c r="P459" s="420"/>
      <c r="Q459" s="420"/>
      <c r="R459" s="420"/>
      <c r="S459" s="420"/>
      <c r="T459" s="420"/>
      <c r="U459" s="420"/>
      <c r="V459" s="420"/>
      <c r="W459" s="420"/>
      <c r="X459" s="420"/>
      <c r="Y459" s="420"/>
      <c r="Z459" s="367"/>
      <c r="AA459" s="420"/>
      <c r="AB459" s="420"/>
      <c r="AC459" s="420"/>
      <c r="AD459" s="420"/>
      <c r="AE459" s="420"/>
      <c r="AF459" s="367"/>
      <c r="AG459" s="420"/>
      <c r="AH459" s="367"/>
      <c r="AI459" s="367"/>
      <c r="AJ459" s="367"/>
      <c r="AK459" s="358"/>
      <c r="AL459" s="358"/>
      <c r="AM459" s="358"/>
      <c r="AN459" s="358"/>
      <c r="AO459" s="358"/>
      <c r="AP459" s="367"/>
      <c r="AQ459" s="367"/>
      <c r="AR459" s="367"/>
    </row>
    <row r="460">
      <c r="A460" s="418"/>
      <c r="B460" s="418"/>
      <c r="C460" s="417"/>
      <c r="D460" s="417"/>
      <c r="E460" s="418"/>
      <c r="F460" s="418"/>
      <c r="G460" s="367"/>
      <c r="H460" s="418"/>
      <c r="I460" s="418"/>
      <c r="J460" s="418"/>
      <c r="K460" s="418"/>
      <c r="L460" s="420"/>
      <c r="M460" s="420"/>
      <c r="N460" s="420"/>
      <c r="O460" s="420"/>
      <c r="P460" s="420"/>
      <c r="Q460" s="420"/>
      <c r="R460" s="420"/>
      <c r="S460" s="420"/>
      <c r="T460" s="420"/>
      <c r="U460" s="420"/>
      <c r="V460" s="420"/>
      <c r="W460" s="420"/>
      <c r="X460" s="420"/>
      <c r="Y460" s="420"/>
      <c r="Z460" s="367"/>
      <c r="AA460" s="420"/>
      <c r="AB460" s="420"/>
      <c r="AC460" s="420"/>
      <c r="AD460" s="420"/>
      <c r="AE460" s="420"/>
      <c r="AF460" s="367"/>
      <c r="AG460" s="420"/>
      <c r="AH460" s="367"/>
      <c r="AI460" s="367"/>
      <c r="AJ460" s="367"/>
      <c r="AK460" s="358"/>
      <c r="AL460" s="358"/>
      <c r="AM460" s="358"/>
      <c r="AN460" s="358"/>
      <c r="AO460" s="358"/>
      <c r="AP460" s="367"/>
      <c r="AQ460" s="367"/>
      <c r="AR460" s="367"/>
    </row>
    <row r="461">
      <c r="A461" s="418"/>
      <c r="B461" s="418"/>
      <c r="C461" s="417"/>
      <c r="D461" s="417"/>
      <c r="E461" s="418"/>
      <c r="F461" s="418"/>
      <c r="G461" s="367"/>
      <c r="H461" s="418"/>
      <c r="I461" s="418"/>
      <c r="J461" s="418"/>
      <c r="K461" s="418"/>
      <c r="L461" s="420"/>
      <c r="M461" s="420"/>
      <c r="N461" s="420"/>
      <c r="O461" s="420"/>
      <c r="P461" s="420"/>
      <c r="Q461" s="420"/>
      <c r="R461" s="420"/>
      <c r="S461" s="420"/>
      <c r="T461" s="420"/>
      <c r="U461" s="420"/>
      <c r="V461" s="420"/>
      <c r="W461" s="420"/>
      <c r="X461" s="420"/>
      <c r="Y461" s="420"/>
      <c r="Z461" s="367"/>
      <c r="AA461" s="420"/>
      <c r="AB461" s="420"/>
      <c r="AC461" s="420"/>
      <c r="AD461" s="420"/>
      <c r="AE461" s="420"/>
      <c r="AF461" s="367"/>
      <c r="AG461" s="420"/>
      <c r="AH461" s="367"/>
      <c r="AI461" s="367"/>
      <c r="AJ461" s="367"/>
      <c r="AK461" s="358"/>
      <c r="AL461" s="358"/>
      <c r="AM461" s="358"/>
      <c r="AN461" s="358"/>
      <c r="AO461" s="358"/>
      <c r="AP461" s="367"/>
      <c r="AQ461" s="367"/>
      <c r="AR461" s="367"/>
    </row>
    <row r="462">
      <c r="A462" s="418"/>
      <c r="B462" s="418"/>
      <c r="C462" s="417"/>
      <c r="D462" s="417"/>
      <c r="E462" s="418"/>
      <c r="F462" s="418"/>
      <c r="G462" s="367"/>
      <c r="H462" s="418"/>
      <c r="I462" s="418"/>
      <c r="J462" s="418"/>
      <c r="K462" s="418"/>
      <c r="L462" s="420"/>
      <c r="M462" s="420"/>
      <c r="N462" s="420"/>
      <c r="O462" s="420"/>
      <c r="P462" s="420"/>
      <c r="Q462" s="420"/>
      <c r="R462" s="420"/>
      <c r="S462" s="420"/>
      <c r="T462" s="420"/>
      <c r="U462" s="420"/>
      <c r="V462" s="420"/>
      <c r="W462" s="420"/>
      <c r="X462" s="420"/>
      <c r="Y462" s="420"/>
      <c r="Z462" s="367"/>
      <c r="AA462" s="420"/>
      <c r="AB462" s="420"/>
      <c r="AC462" s="420"/>
      <c r="AD462" s="420"/>
      <c r="AE462" s="420"/>
      <c r="AF462" s="367"/>
      <c r="AG462" s="420"/>
      <c r="AH462" s="367"/>
      <c r="AI462" s="367"/>
      <c r="AJ462" s="367"/>
      <c r="AK462" s="358"/>
      <c r="AL462" s="358"/>
      <c r="AM462" s="358"/>
      <c r="AN462" s="358"/>
      <c r="AO462" s="358"/>
      <c r="AP462" s="367"/>
      <c r="AQ462" s="367"/>
      <c r="AR462" s="367"/>
    </row>
    <row r="463">
      <c r="A463" s="418"/>
      <c r="B463" s="418"/>
      <c r="C463" s="417"/>
      <c r="D463" s="417"/>
      <c r="E463" s="418"/>
      <c r="F463" s="418"/>
      <c r="G463" s="367"/>
      <c r="H463" s="418"/>
      <c r="I463" s="418"/>
      <c r="J463" s="418"/>
      <c r="K463" s="418"/>
      <c r="L463" s="420"/>
      <c r="M463" s="420"/>
      <c r="N463" s="420"/>
      <c r="O463" s="420"/>
      <c r="P463" s="420"/>
      <c r="Q463" s="420"/>
      <c r="R463" s="420"/>
      <c r="S463" s="420"/>
      <c r="T463" s="420"/>
      <c r="U463" s="420"/>
      <c r="V463" s="420"/>
      <c r="W463" s="420"/>
      <c r="X463" s="420"/>
      <c r="Y463" s="420"/>
      <c r="Z463" s="367"/>
      <c r="AA463" s="420"/>
      <c r="AB463" s="420"/>
      <c r="AC463" s="420"/>
      <c r="AD463" s="420"/>
      <c r="AE463" s="420"/>
      <c r="AF463" s="367"/>
      <c r="AG463" s="420"/>
      <c r="AH463" s="367"/>
      <c r="AI463" s="367"/>
      <c r="AJ463" s="367"/>
      <c r="AK463" s="358"/>
      <c r="AL463" s="358"/>
      <c r="AM463" s="358"/>
      <c r="AN463" s="358"/>
      <c r="AO463" s="358"/>
      <c r="AP463" s="367"/>
      <c r="AQ463" s="367"/>
      <c r="AR463" s="367"/>
    </row>
    <row r="464">
      <c r="A464" s="418"/>
      <c r="B464" s="418"/>
      <c r="C464" s="417"/>
      <c r="D464" s="417"/>
      <c r="E464" s="418"/>
      <c r="F464" s="418"/>
      <c r="G464" s="367"/>
      <c r="H464" s="418"/>
      <c r="I464" s="418"/>
      <c r="J464" s="418"/>
      <c r="K464" s="418"/>
      <c r="L464" s="420"/>
      <c r="M464" s="420"/>
      <c r="N464" s="420"/>
      <c r="O464" s="420"/>
      <c r="P464" s="420"/>
      <c r="Q464" s="420"/>
      <c r="R464" s="420"/>
      <c r="S464" s="420"/>
      <c r="T464" s="420"/>
      <c r="U464" s="420"/>
      <c r="V464" s="420"/>
      <c r="W464" s="420"/>
      <c r="X464" s="420"/>
      <c r="Y464" s="420"/>
      <c r="Z464" s="367"/>
      <c r="AA464" s="420"/>
      <c r="AB464" s="420"/>
      <c r="AC464" s="420"/>
      <c r="AD464" s="420"/>
      <c r="AE464" s="420"/>
      <c r="AF464" s="367"/>
      <c r="AG464" s="420"/>
      <c r="AH464" s="367"/>
      <c r="AI464" s="367"/>
      <c r="AJ464" s="367"/>
      <c r="AK464" s="358"/>
      <c r="AL464" s="358"/>
      <c r="AM464" s="358"/>
      <c r="AN464" s="358"/>
      <c r="AO464" s="358"/>
      <c r="AP464" s="367"/>
      <c r="AQ464" s="367"/>
      <c r="AR464" s="367"/>
    </row>
    <row r="465">
      <c r="A465" s="418"/>
      <c r="B465" s="418"/>
      <c r="C465" s="417"/>
      <c r="D465" s="417"/>
      <c r="E465" s="418"/>
      <c r="F465" s="418"/>
      <c r="G465" s="367"/>
      <c r="H465" s="418"/>
      <c r="I465" s="418"/>
      <c r="J465" s="418"/>
      <c r="K465" s="418"/>
      <c r="L465" s="420"/>
      <c r="M465" s="420"/>
      <c r="N465" s="420"/>
      <c r="O465" s="420"/>
      <c r="P465" s="420"/>
      <c r="Q465" s="420"/>
      <c r="R465" s="420"/>
      <c r="S465" s="420"/>
      <c r="T465" s="420"/>
      <c r="U465" s="420"/>
      <c r="V465" s="420"/>
      <c r="W465" s="420"/>
      <c r="X465" s="420"/>
      <c r="Y465" s="420"/>
      <c r="Z465" s="367"/>
      <c r="AA465" s="420"/>
      <c r="AB465" s="420"/>
      <c r="AC465" s="420"/>
      <c r="AD465" s="420"/>
      <c r="AE465" s="420"/>
      <c r="AF465" s="367"/>
      <c r="AG465" s="420"/>
      <c r="AH465" s="367"/>
      <c r="AI465" s="367"/>
      <c r="AJ465" s="367"/>
      <c r="AK465" s="358"/>
      <c r="AL465" s="358"/>
      <c r="AM465" s="358"/>
      <c r="AN465" s="358"/>
      <c r="AO465" s="358"/>
      <c r="AP465" s="367"/>
      <c r="AQ465" s="367"/>
      <c r="AR465" s="367"/>
    </row>
    <row r="466">
      <c r="A466" s="418"/>
      <c r="B466" s="418"/>
      <c r="C466" s="417"/>
      <c r="D466" s="417"/>
      <c r="E466" s="418"/>
      <c r="F466" s="418"/>
      <c r="G466" s="367"/>
      <c r="H466" s="418"/>
      <c r="I466" s="418"/>
      <c r="J466" s="418"/>
      <c r="K466" s="418"/>
      <c r="L466" s="420"/>
      <c r="M466" s="420"/>
      <c r="N466" s="420"/>
      <c r="O466" s="420"/>
      <c r="P466" s="420"/>
      <c r="Q466" s="420"/>
      <c r="R466" s="420"/>
      <c r="S466" s="420"/>
      <c r="T466" s="420"/>
      <c r="U466" s="420"/>
      <c r="V466" s="420"/>
      <c r="W466" s="420"/>
      <c r="X466" s="420"/>
      <c r="Y466" s="420"/>
      <c r="Z466" s="367"/>
      <c r="AA466" s="420"/>
      <c r="AB466" s="420"/>
      <c r="AC466" s="420"/>
      <c r="AD466" s="420"/>
      <c r="AE466" s="420"/>
      <c r="AF466" s="367"/>
      <c r="AG466" s="420"/>
      <c r="AH466" s="367"/>
      <c r="AI466" s="367"/>
      <c r="AJ466" s="367"/>
      <c r="AK466" s="358"/>
      <c r="AL466" s="358"/>
      <c r="AM466" s="358"/>
      <c r="AN466" s="358"/>
      <c r="AO466" s="358"/>
      <c r="AP466" s="367"/>
      <c r="AQ466" s="367"/>
      <c r="AR466" s="367"/>
    </row>
    <row r="467">
      <c r="A467" s="418"/>
      <c r="B467" s="418"/>
      <c r="C467" s="417"/>
      <c r="D467" s="417"/>
      <c r="E467" s="418"/>
      <c r="F467" s="418"/>
      <c r="G467" s="367"/>
      <c r="H467" s="418"/>
      <c r="I467" s="418"/>
      <c r="J467" s="418"/>
      <c r="K467" s="418"/>
      <c r="L467" s="420"/>
      <c r="M467" s="420"/>
      <c r="N467" s="420"/>
      <c r="O467" s="420"/>
      <c r="P467" s="420"/>
      <c r="Q467" s="420"/>
      <c r="R467" s="420"/>
      <c r="S467" s="420"/>
      <c r="T467" s="420"/>
      <c r="U467" s="420"/>
      <c r="V467" s="420"/>
      <c r="W467" s="420"/>
      <c r="X467" s="420"/>
      <c r="Y467" s="420"/>
      <c r="Z467" s="367"/>
      <c r="AA467" s="420"/>
      <c r="AB467" s="420"/>
      <c r="AC467" s="420"/>
      <c r="AD467" s="420"/>
      <c r="AE467" s="420"/>
      <c r="AF467" s="367"/>
      <c r="AG467" s="420"/>
      <c r="AH467" s="367"/>
      <c r="AI467" s="367"/>
      <c r="AJ467" s="367"/>
      <c r="AK467" s="358"/>
      <c r="AL467" s="358"/>
      <c r="AM467" s="358"/>
      <c r="AN467" s="358"/>
      <c r="AO467" s="358"/>
      <c r="AP467" s="367"/>
      <c r="AQ467" s="367"/>
      <c r="AR467" s="367"/>
    </row>
    <row r="468">
      <c r="A468" s="418"/>
      <c r="B468" s="418"/>
      <c r="C468" s="417"/>
      <c r="D468" s="417"/>
      <c r="E468" s="418"/>
      <c r="F468" s="418"/>
      <c r="G468" s="367"/>
      <c r="H468" s="418"/>
      <c r="I468" s="418"/>
      <c r="J468" s="418"/>
      <c r="K468" s="418"/>
      <c r="L468" s="420"/>
      <c r="M468" s="420"/>
      <c r="N468" s="420"/>
      <c r="O468" s="420"/>
      <c r="P468" s="420"/>
      <c r="Q468" s="420"/>
      <c r="R468" s="420"/>
      <c r="S468" s="420"/>
      <c r="T468" s="420"/>
      <c r="U468" s="420"/>
      <c r="V468" s="420"/>
      <c r="W468" s="420"/>
      <c r="X468" s="420"/>
      <c r="Y468" s="420"/>
      <c r="Z468" s="367"/>
      <c r="AA468" s="420"/>
      <c r="AB468" s="420"/>
      <c r="AC468" s="420"/>
      <c r="AD468" s="420"/>
      <c r="AE468" s="420"/>
      <c r="AF468" s="367"/>
      <c r="AG468" s="420"/>
      <c r="AH468" s="367"/>
      <c r="AI468" s="367"/>
      <c r="AJ468" s="367"/>
      <c r="AK468" s="358"/>
      <c r="AL468" s="358"/>
      <c r="AM468" s="358"/>
      <c r="AN468" s="358"/>
      <c r="AO468" s="358"/>
      <c r="AP468" s="367"/>
      <c r="AQ468" s="367"/>
      <c r="AR468" s="367"/>
    </row>
    <row r="469">
      <c r="A469" s="418"/>
      <c r="B469" s="418"/>
      <c r="C469" s="417"/>
      <c r="D469" s="417"/>
      <c r="E469" s="418"/>
      <c r="F469" s="418"/>
      <c r="G469" s="367"/>
      <c r="H469" s="418"/>
      <c r="I469" s="418"/>
      <c r="J469" s="418"/>
      <c r="K469" s="418"/>
      <c r="L469" s="420"/>
      <c r="M469" s="420"/>
      <c r="N469" s="420"/>
      <c r="O469" s="420"/>
      <c r="P469" s="420"/>
      <c r="Q469" s="420"/>
      <c r="R469" s="420"/>
      <c r="S469" s="420"/>
      <c r="T469" s="420"/>
      <c r="U469" s="420"/>
      <c r="V469" s="420"/>
      <c r="W469" s="420"/>
      <c r="X469" s="420"/>
      <c r="Y469" s="420"/>
      <c r="Z469" s="367"/>
      <c r="AA469" s="420"/>
      <c r="AB469" s="420"/>
      <c r="AC469" s="420"/>
      <c r="AD469" s="420"/>
      <c r="AE469" s="420"/>
      <c r="AF469" s="367"/>
      <c r="AG469" s="420"/>
      <c r="AH469" s="367"/>
      <c r="AI469" s="367"/>
      <c r="AJ469" s="367"/>
      <c r="AK469" s="358"/>
      <c r="AL469" s="358"/>
      <c r="AM469" s="358"/>
      <c r="AN469" s="358"/>
      <c r="AO469" s="358"/>
      <c r="AP469" s="367"/>
      <c r="AQ469" s="367"/>
      <c r="AR469" s="367"/>
    </row>
    <row r="470">
      <c r="A470" s="418"/>
      <c r="B470" s="418"/>
      <c r="C470" s="417"/>
      <c r="D470" s="417"/>
      <c r="E470" s="418"/>
      <c r="F470" s="418"/>
      <c r="G470" s="367"/>
      <c r="H470" s="418"/>
      <c r="I470" s="418"/>
      <c r="J470" s="418"/>
      <c r="K470" s="418"/>
      <c r="L470" s="420"/>
      <c r="M470" s="420"/>
      <c r="N470" s="420"/>
      <c r="O470" s="420"/>
      <c r="P470" s="420"/>
      <c r="Q470" s="420"/>
      <c r="R470" s="420"/>
      <c r="S470" s="420"/>
      <c r="T470" s="420"/>
      <c r="U470" s="420"/>
      <c r="V470" s="420"/>
      <c r="W470" s="420"/>
      <c r="X470" s="420"/>
      <c r="Y470" s="420"/>
      <c r="Z470" s="367"/>
      <c r="AA470" s="420"/>
      <c r="AB470" s="420"/>
      <c r="AC470" s="420"/>
      <c r="AD470" s="420"/>
      <c r="AE470" s="420"/>
      <c r="AF470" s="367"/>
      <c r="AG470" s="420"/>
      <c r="AH470" s="367"/>
      <c r="AI470" s="367"/>
      <c r="AJ470" s="367"/>
      <c r="AK470" s="358"/>
      <c r="AL470" s="358"/>
      <c r="AM470" s="358"/>
      <c r="AN470" s="358"/>
      <c r="AO470" s="358"/>
      <c r="AP470" s="367"/>
      <c r="AQ470" s="367"/>
      <c r="AR470" s="367"/>
    </row>
    <row r="471">
      <c r="A471" s="418"/>
      <c r="B471" s="418"/>
      <c r="C471" s="417"/>
      <c r="D471" s="417"/>
      <c r="E471" s="418"/>
      <c r="F471" s="418"/>
      <c r="G471" s="367"/>
      <c r="H471" s="418"/>
      <c r="I471" s="418"/>
      <c r="J471" s="418"/>
      <c r="K471" s="418"/>
      <c r="L471" s="420"/>
      <c r="M471" s="420"/>
      <c r="N471" s="420"/>
      <c r="O471" s="420"/>
      <c r="P471" s="420"/>
      <c r="Q471" s="420"/>
      <c r="R471" s="420"/>
      <c r="S471" s="420"/>
      <c r="T471" s="420"/>
      <c r="U471" s="420"/>
      <c r="V471" s="420"/>
      <c r="W471" s="420"/>
      <c r="X471" s="420"/>
      <c r="Y471" s="420"/>
      <c r="Z471" s="367"/>
      <c r="AA471" s="420"/>
      <c r="AB471" s="420"/>
      <c r="AC471" s="420"/>
      <c r="AD471" s="420"/>
      <c r="AE471" s="420"/>
      <c r="AF471" s="367"/>
      <c r="AG471" s="420"/>
      <c r="AH471" s="367"/>
      <c r="AI471" s="367"/>
      <c r="AJ471" s="367"/>
      <c r="AK471" s="358"/>
      <c r="AL471" s="358"/>
      <c r="AM471" s="358"/>
      <c r="AN471" s="358"/>
      <c r="AO471" s="358"/>
      <c r="AP471" s="367"/>
      <c r="AQ471" s="367"/>
      <c r="AR471" s="367"/>
    </row>
    <row r="472">
      <c r="A472" s="418"/>
      <c r="B472" s="418"/>
      <c r="C472" s="417"/>
      <c r="D472" s="417"/>
      <c r="E472" s="418"/>
      <c r="F472" s="418"/>
      <c r="G472" s="367"/>
      <c r="H472" s="418"/>
      <c r="I472" s="418"/>
      <c r="J472" s="418"/>
      <c r="K472" s="418"/>
      <c r="L472" s="420"/>
      <c r="M472" s="420"/>
      <c r="N472" s="420"/>
      <c r="O472" s="420"/>
      <c r="P472" s="420"/>
      <c r="Q472" s="420"/>
      <c r="R472" s="420"/>
      <c r="S472" s="420"/>
      <c r="T472" s="420"/>
      <c r="U472" s="420"/>
      <c r="V472" s="420"/>
      <c r="W472" s="420"/>
      <c r="X472" s="420"/>
      <c r="Y472" s="420"/>
      <c r="Z472" s="367"/>
      <c r="AA472" s="420"/>
      <c r="AB472" s="420"/>
      <c r="AC472" s="420"/>
      <c r="AD472" s="420"/>
      <c r="AE472" s="420"/>
      <c r="AF472" s="367"/>
      <c r="AG472" s="420"/>
      <c r="AH472" s="367"/>
      <c r="AI472" s="367"/>
      <c r="AJ472" s="367"/>
      <c r="AK472" s="358"/>
      <c r="AL472" s="358"/>
      <c r="AM472" s="358"/>
      <c r="AN472" s="358"/>
      <c r="AO472" s="358"/>
      <c r="AP472" s="367"/>
      <c r="AQ472" s="367"/>
      <c r="AR472" s="367"/>
    </row>
    <row r="473">
      <c r="A473" s="418"/>
      <c r="B473" s="418"/>
      <c r="C473" s="417"/>
      <c r="D473" s="417"/>
      <c r="E473" s="418"/>
      <c r="F473" s="418"/>
      <c r="G473" s="367"/>
      <c r="H473" s="418"/>
      <c r="I473" s="418"/>
      <c r="J473" s="418"/>
      <c r="K473" s="418"/>
      <c r="L473" s="420"/>
      <c r="M473" s="420"/>
      <c r="N473" s="420"/>
      <c r="O473" s="420"/>
      <c r="P473" s="420"/>
      <c r="Q473" s="420"/>
      <c r="R473" s="420"/>
      <c r="S473" s="420"/>
      <c r="T473" s="420"/>
      <c r="U473" s="420"/>
      <c r="V473" s="420"/>
      <c r="W473" s="420"/>
      <c r="X473" s="420"/>
      <c r="Y473" s="420"/>
      <c r="Z473" s="367"/>
      <c r="AA473" s="420"/>
      <c r="AB473" s="420"/>
      <c r="AC473" s="420"/>
      <c r="AD473" s="420"/>
      <c r="AE473" s="420"/>
      <c r="AF473" s="367"/>
      <c r="AG473" s="420"/>
      <c r="AH473" s="367"/>
      <c r="AI473" s="367"/>
      <c r="AJ473" s="367"/>
      <c r="AK473" s="358"/>
      <c r="AL473" s="358"/>
      <c r="AM473" s="358"/>
      <c r="AN473" s="358"/>
      <c r="AO473" s="358"/>
      <c r="AP473" s="367"/>
      <c r="AQ473" s="367"/>
      <c r="AR473" s="367"/>
    </row>
    <row r="474">
      <c r="A474" s="418"/>
      <c r="B474" s="418"/>
      <c r="C474" s="417"/>
      <c r="D474" s="417"/>
      <c r="E474" s="418"/>
      <c r="F474" s="418"/>
      <c r="G474" s="367"/>
      <c r="H474" s="418"/>
      <c r="I474" s="418"/>
      <c r="J474" s="418"/>
      <c r="K474" s="418"/>
      <c r="L474" s="420"/>
      <c r="M474" s="420"/>
      <c r="N474" s="420"/>
      <c r="O474" s="420"/>
      <c r="P474" s="420"/>
      <c r="Q474" s="420"/>
      <c r="R474" s="420"/>
      <c r="S474" s="420"/>
      <c r="T474" s="420"/>
      <c r="U474" s="420"/>
      <c r="V474" s="420"/>
      <c r="W474" s="420"/>
      <c r="X474" s="420"/>
      <c r="Y474" s="420"/>
      <c r="Z474" s="367"/>
      <c r="AA474" s="420"/>
      <c r="AB474" s="420"/>
      <c r="AC474" s="420"/>
      <c r="AD474" s="420"/>
      <c r="AE474" s="420"/>
      <c r="AF474" s="367"/>
      <c r="AG474" s="420"/>
      <c r="AH474" s="367"/>
      <c r="AI474" s="367"/>
      <c r="AJ474" s="367"/>
      <c r="AK474" s="358"/>
      <c r="AL474" s="358"/>
      <c r="AM474" s="358"/>
      <c r="AN474" s="358"/>
      <c r="AO474" s="358"/>
      <c r="AP474" s="367"/>
      <c r="AQ474" s="367"/>
      <c r="AR474" s="367"/>
    </row>
    <row r="475">
      <c r="A475" s="418"/>
      <c r="B475" s="418"/>
      <c r="C475" s="417"/>
      <c r="D475" s="417"/>
      <c r="E475" s="418"/>
      <c r="F475" s="418"/>
      <c r="G475" s="367"/>
      <c r="H475" s="418"/>
      <c r="I475" s="418"/>
      <c r="J475" s="418"/>
      <c r="K475" s="418"/>
      <c r="L475" s="420"/>
      <c r="M475" s="420"/>
      <c r="N475" s="420"/>
      <c r="O475" s="420"/>
      <c r="P475" s="420"/>
      <c r="Q475" s="420"/>
      <c r="R475" s="420"/>
      <c r="S475" s="420"/>
      <c r="T475" s="420"/>
      <c r="U475" s="420"/>
      <c r="V475" s="420"/>
      <c r="W475" s="420"/>
      <c r="X475" s="420"/>
      <c r="Y475" s="420"/>
      <c r="Z475" s="367"/>
      <c r="AA475" s="420"/>
      <c r="AB475" s="420"/>
      <c r="AC475" s="420"/>
      <c r="AD475" s="420"/>
      <c r="AE475" s="420"/>
      <c r="AF475" s="367"/>
      <c r="AG475" s="420"/>
      <c r="AH475" s="367"/>
      <c r="AI475" s="367"/>
      <c r="AJ475" s="367"/>
      <c r="AK475" s="358"/>
      <c r="AL475" s="358"/>
      <c r="AM475" s="358"/>
      <c r="AN475" s="358"/>
      <c r="AO475" s="358"/>
      <c r="AP475" s="367"/>
      <c r="AQ475" s="367"/>
      <c r="AR475" s="367"/>
    </row>
    <row r="476">
      <c r="A476" s="418"/>
      <c r="B476" s="418"/>
      <c r="C476" s="417"/>
      <c r="D476" s="417"/>
      <c r="E476" s="418"/>
      <c r="F476" s="418"/>
      <c r="G476" s="367"/>
      <c r="H476" s="418"/>
      <c r="I476" s="418"/>
      <c r="J476" s="418"/>
      <c r="K476" s="418"/>
      <c r="L476" s="420"/>
      <c r="M476" s="420"/>
      <c r="N476" s="420"/>
      <c r="O476" s="420"/>
      <c r="P476" s="420"/>
      <c r="Q476" s="420"/>
      <c r="R476" s="420"/>
      <c r="S476" s="420"/>
      <c r="T476" s="420"/>
      <c r="U476" s="420"/>
      <c r="V476" s="420"/>
      <c r="W476" s="420"/>
      <c r="X476" s="420"/>
      <c r="Y476" s="420"/>
      <c r="Z476" s="367"/>
      <c r="AA476" s="420"/>
      <c r="AB476" s="420"/>
      <c r="AC476" s="420"/>
      <c r="AD476" s="420"/>
      <c r="AE476" s="420"/>
      <c r="AF476" s="367"/>
      <c r="AG476" s="420"/>
      <c r="AH476" s="367"/>
      <c r="AI476" s="367"/>
      <c r="AJ476" s="367"/>
      <c r="AK476" s="358"/>
      <c r="AL476" s="358"/>
      <c r="AM476" s="358"/>
      <c r="AN476" s="358"/>
      <c r="AO476" s="358"/>
      <c r="AP476" s="367"/>
      <c r="AQ476" s="367"/>
      <c r="AR476" s="367"/>
    </row>
    <row r="477">
      <c r="A477" s="418"/>
      <c r="B477" s="418"/>
      <c r="C477" s="417"/>
      <c r="D477" s="417"/>
      <c r="E477" s="418"/>
      <c r="F477" s="418"/>
      <c r="G477" s="367"/>
      <c r="H477" s="418"/>
      <c r="I477" s="418"/>
      <c r="J477" s="418"/>
      <c r="K477" s="418"/>
      <c r="L477" s="420"/>
      <c r="M477" s="420"/>
      <c r="N477" s="420"/>
      <c r="O477" s="420"/>
      <c r="P477" s="420"/>
      <c r="Q477" s="420"/>
      <c r="R477" s="420"/>
      <c r="S477" s="420"/>
      <c r="T477" s="420"/>
      <c r="U477" s="420"/>
      <c r="V477" s="420"/>
      <c r="W477" s="420"/>
      <c r="X477" s="420"/>
      <c r="Y477" s="420"/>
      <c r="Z477" s="367"/>
      <c r="AA477" s="420"/>
      <c r="AB477" s="420"/>
      <c r="AC477" s="420"/>
      <c r="AD477" s="420"/>
      <c r="AE477" s="420"/>
      <c r="AF477" s="367"/>
      <c r="AG477" s="420"/>
      <c r="AH477" s="367"/>
      <c r="AI477" s="367"/>
      <c r="AJ477" s="367"/>
      <c r="AK477" s="358"/>
      <c r="AL477" s="358"/>
      <c r="AM477" s="358"/>
      <c r="AN477" s="358"/>
      <c r="AO477" s="358"/>
      <c r="AP477" s="367"/>
      <c r="AQ477" s="367"/>
      <c r="AR477" s="367"/>
    </row>
    <row r="478">
      <c r="A478" s="418"/>
      <c r="B478" s="418"/>
      <c r="C478" s="417"/>
      <c r="D478" s="417"/>
      <c r="E478" s="418"/>
      <c r="F478" s="418"/>
      <c r="G478" s="367"/>
      <c r="H478" s="418"/>
      <c r="I478" s="418"/>
      <c r="J478" s="418"/>
      <c r="K478" s="418"/>
      <c r="L478" s="420"/>
      <c r="M478" s="420"/>
      <c r="N478" s="420"/>
      <c r="O478" s="420"/>
      <c r="P478" s="420"/>
      <c r="Q478" s="420"/>
      <c r="R478" s="420"/>
      <c r="S478" s="420"/>
      <c r="T478" s="420"/>
      <c r="U478" s="420"/>
      <c r="V478" s="420"/>
      <c r="W478" s="420"/>
      <c r="X478" s="420"/>
      <c r="Y478" s="420"/>
      <c r="Z478" s="367"/>
      <c r="AA478" s="420"/>
      <c r="AB478" s="420"/>
      <c r="AC478" s="420"/>
      <c r="AD478" s="420"/>
      <c r="AE478" s="420"/>
      <c r="AF478" s="367"/>
      <c r="AG478" s="420"/>
      <c r="AH478" s="367"/>
      <c r="AI478" s="367"/>
      <c r="AJ478" s="367"/>
      <c r="AK478" s="358"/>
      <c r="AL478" s="358"/>
      <c r="AM478" s="358"/>
      <c r="AN478" s="358"/>
      <c r="AO478" s="358"/>
      <c r="AP478" s="367"/>
      <c r="AQ478" s="367"/>
      <c r="AR478" s="367"/>
    </row>
    <row r="479">
      <c r="A479" s="418"/>
      <c r="B479" s="418"/>
      <c r="C479" s="417"/>
      <c r="D479" s="417"/>
      <c r="E479" s="418"/>
      <c r="F479" s="418"/>
      <c r="G479" s="367"/>
      <c r="H479" s="418"/>
      <c r="I479" s="418"/>
      <c r="J479" s="418"/>
      <c r="K479" s="418"/>
      <c r="L479" s="420"/>
      <c r="M479" s="420"/>
      <c r="N479" s="420"/>
      <c r="O479" s="420"/>
      <c r="P479" s="420"/>
      <c r="Q479" s="420"/>
      <c r="R479" s="420"/>
      <c r="S479" s="420"/>
      <c r="T479" s="420"/>
      <c r="U479" s="420"/>
      <c r="V479" s="420"/>
      <c r="W479" s="420"/>
      <c r="X479" s="420"/>
      <c r="Y479" s="420"/>
      <c r="Z479" s="367"/>
      <c r="AA479" s="420"/>
      <c r="AB479" s="420"/>
      <c r="AC479" s="420"/>
      <c r="AD479" s="420"/>
      <c r="AE479" s="420"/>
      <c r="AF479" s="367"/>
      <c r="AG479" s="420"/>
      <c r="AH479" s="367"/>
      <c r="AI479" s="367"/>
      <c r="AJ479" s="367"/>
      <c r="AK479" s="358"/>
      <c r="AL479" s="358"/>
      <c r="AM479" s="358"/>
      <c r="AN479" s="358"/>
      <c r="AO479" s="358"/>
      <c r="AP479" s="367"/>
      <c r="AQ479" s="367"/>
      <c r="AR479" s="367"/>
    </row>
    <row r="480">
      <c r="A480" s="418"/>
      <c r="B480" s="418"/>
      <c r="C480" s="417"/>
      <c r="D480" s="417"/>
      <c r="E480" s="418"/>
      <c r="F480" s="418"/>
      <c r="G480" s="367"/>
      <c r="H480" s="418"/>
      <c r="I480" s="418"/>
      <c r="J480" s="418"/>
      <c r="K480" s="418"/>
      <c r="L480" s="420"/>
      <c r="M480" s="420"/>
      <c r="N480" s="420"/>
      <c r="O480" s="420"/>
      <c r="P480" s="420"/>
      <c r="Q480" s="420"/>
      <c r="R480" s="420"/>
      <c r="S480" s="420"/>
      <c r="T480" s="420"/>
      <c r="U480" s="420"/>
      <c r="V480" s="420"/>
      <c r="W480" s="420"/>
      <c r="X480" s="420"/>
      <c r="Y480" s="420"/>
      <c r="Z480" s="367"/>
      <c r="AA480" s="420"/>
      <c r="AB480" s="420"/>
      <c r="AC480" s="420"/>
      <c r="AD480" s="420"/>
      <c r="AE480" s="420"/>
      <c r="AF480" s="367"/>
      <c r="AG480" s="420"/>
      <c r="AH480" s="367"/>
      <c r="AI480" s="367"/>
      <c r="AJ480" s="367"/>
      <c r="AK480" s="358"/>
      <c r="AL480" s="358"/>
      <c r="AM480" s="358"/>
      <c r="AN480" s="358"/>
      <c r="AO480" s="358"/>
      <c r="AP480" s="367"/>
      <c r="AQ480" s="367"/>
      <c r="AR480" s="367"/>
    </row>
    <row r="481">
      <c r="A481" s="418"/>
      <c r="B481" s="418"/>
      <c r="C481" s="417"/>
      <c r="D481" s="417"/>
      <c r="E481" s="418"/>
      <c r="F481" s="418"/>
      <c r="G481" s="367"/>
      <c r="H481" s="418"/>
      <c r="I481" s="418"/>
      <c r="J481" s="418"/>
      <c r="K481" s="418"/>
      <c r="L481" s="420"/>
      <c r="M481" s="420"/>
      <c r="N481" s="420"/>
      <c r="O481" s="420"/>
      <c r="P481" s="420"/>
      <c r="Q481" s="420"/>
      <c r="R481" s="420"/>
      <c r="S481" s="420"/>
      <c r="T481" s="420"/>
      <c r="U481" s="420"/>
      <c r="V481" s="420"/>
      <c r="W481" s="420"/>
      <c r="X481" s="420"/>
      <c r="Y481" s="420"/>
      <c r="Z481" s="367"/>
      <c r="AA481" s="420"/>
      <c r="AB481" s="420"/>
      <c r="AC481" s="420"/>
      <c r="AD481" s="420"/>
      <c r="AE481" s="420"/>
      <c r="AF481" s="367"/>
      <c r="AG481" s="420"/>
      <c r="AH481" s="367"/>
      <c r="AI481" s="367"/>
      <c r="AJ481" s="367"/>
      <c r="AK481" s="358"/>
      <c r="AL481" s="358"/>
      <c r="AM481" s="358"/>
      <c r="AN481" s="358"/>
      <c r="AO481" s="358"/>
      <c r="AP481" s="367"/>
      <c r="AQ481" s="367"/>
      <c r="AR481" s="367"/>
    </row>
    <row r="482">
      <c r="A482" s="418"/>
      <c r="B482" s="418"/>
      <c r="C482" s="417"/>
      <c r="D482" s="417"/>
      <c r="E482" s="418"/>
      <c r="F482" s="418"/>
      <c r="G482" s="367"/>
      <c r="H482" s="418"/>
      <c r="I482" s="418"/>
      <c r="J482" s="418"/>
      <c r="K482" s="418"/>
      <c r="L482" s="420"/>
      <c r="M482" s="420"/>
      <c r="N482" s="420"/>
      <c r="O482" s="420"/>
      <c r="P482" s="420"/>
      <c r="Q482" s="420"/>
      <c r="R482" s="420"/>
      <c r="S482" s="420"/>
      <c r="T482" s="420"/>
      <c r="U482" s="420"/>
      <c r="V482" s="420"/>
      <c r="W482" s="420"/>
      <c r="X482" s="420"/>
      <c r="Y482" s="420"/>
      <c r="Z482" s="367"/>
      <c r="AA482" s="420"/>
      <c r="AB482" s="420"/>
      <c r="AC482" s="420"/>
      <c r="AD482" s="420"/>
      <c r="AE482" s="420"/>
      <c r="AF482" s="367"/>
      <c r="AG482" s="420"/>
      <c r="AH482" s="367"/>
      <c r="AI482" s="367"/>
      <c r="AJ482" s="367"/>
      <c r="AK482" s="358"/>
      <c r="AL482" s="358"/>
      <c r="AM482" s="358"/>
      <c r="AN482" s="358"/>
      <c r="AO482" s="358"/>
      <c r="AP482" s="367"/>
      <c r="AQ482" s="367"/>
      <c r="AR482" s="367"/>
    </row>
    <row r="483">
      <c r="A483" s="418"/>
      <c r="B483" s="418"/>
      <c r="C483" s="417"/>
      <c r="D483" s="417"/>
      <c r="E483" s="418"/>
      <c r="F483" s="418"/>
      <c r="G483" s="367"/>
      <c r="H483" s="418"/>
      <c r="I483" s="418"/>
      <c r="J483" s="418"/>
      <c r="K483" s="418"/>
      <c r="L483" s="420"/>
      <c r="M483" s="420"/>
      <c r="N483" s="420"/>
      <c r="O483" s="420"/>
      <c r="P483" s="420"/>
      <c r="Q483" s="420"/>
      <c r="R483" s="420"/>
      <c r="S483" s="420"/>
      <c r="T483" s="420"/>
      <c r="U483" s="420"/>
      <c r="V483" s="420"/>
      <c r="W483" s="420"/>
      <c r="X483" s="420"/>
      <c r="Y483" s="420"/>
      <c r="Z483" s="367"/>
      <c r="AA483" s="420"/>
      <c r="AB483" s="420"/>
      <c r="AC483" s="420"/>
      <c r="AD483" s="420"/>
      <c r="AE483" s="420"/>
      <c r="AF483" s="367"/>
      <c r="AG483" s="420"/>
      <c r="AH483" s="367"/>
      <c r="AI483" s="367"/>
      <c r="AJ483" s="367"/>
      <c r="AK483" s="358"/>
      <c r="AL483" s="358"/>
      <c r="AM483" s="358"/>
      <c r="AN483" s="358"/>
      <c r="AO483" s="358"/>
      <c r="AP483" s="367"/>
      <c r="AQ483" s="367"/>
      <c r="AR483" s="367"/>
    </row>
    <row r="484">
      <c r="A484" s="418"/>
      <c r="B484" s="418"/>
      <c r="C484" s="417"/>
      <c r="D484" s="417"/>
      <c r="E484" s="418"/>
      <c r="F484" s="418"/>
      <c r="G484" s="367"/>
      <c r="H484" s="418"/>
      <c r="I484" s="418"/>
      <c r="J484" s="418"/>
      <c r="K484" s="418"/>
      <c r="L484" s="420"/>
      <c r="M484" s="420"/>
      <c r="N484" s="420"/>
      <c r="O484" s="420"/>
      <c r="P484" s="420"/>
      <c r="Q484" s="420"/>
      <c r="R484" s="420"/>
      <c r="S484" s="420"/>
      <c r="T484" s="420"/>
      <c r="U484" s="420"/>
      <c r="V484" s="420"/>
      <c r="W484" s="420"/>
      <c r="X484" s="420"/>
      <c r="Y484" s="420"/>
      <c r="Z484" s="367"/>
      <c r="AA484" s="420"/>
      <c r="AB484" s="420"/>
      <c r="AC484" s="420"/>
      <c r="AD484" s="420"/>
      <c r="AE484" s="420"/>
      <c r="AF484" s="367"/>
      <c r="AG484" s="420"/>
      <c r="AH484" s="367"/>
      <c r="AI484" s="367"/>
      <c r="AJ484" s="367"/>
      <c r="AK484" s="358"/>
      <c r="AL484" s="358"/>
      <c r="AM484" s="358"/>
      <c r="AN484" s="358"/>
      <c r="AO484" s="358"/>
      <c r="AP484" s="367"/>
      <c r="AQ484" s="367"/>
      <c r="AR484" s="367"/>
    </row>
    <row r="485">
      <c r="A485" s="418"/>
      <c r="B485" s="418"/>
      <c r="C485" s="417"/>
      <c r="D485" s="417"/>
      <c r="E485" s="418"/>
      <c r="F485" s="418"/>
      <c r="G485" s="367"/>
      <c r="H485" s="418"/>
      <c r="I485" s="418"/>
      <c r="J485" s="418"/>
      <c r="K485" s="418"/>
      <c r="L485" s="420"/>
      <c r="M485" s="420"/>
      <c r="N485" s="420"/>
      <c r="O485" s="420"/>
      <c r="P485" s="420"/>
      <c r="Q485" s="420"/>
      <c r="R485" s="420"/>
      <c r="S485" s="420"/>
      <c r="T485" s="420"/>
      <c r="U485" s="420"/>
      <c r="V485" s="420"/>
      <c r="W485" s="420"/>
      <c r="X485" s="420"/>
      <c r="Y485" s="420"/>
      <c r="Z485" s="367"/>
      <c r="AA485" s="420"/>
      <c r="AB485" s="420"/>
      <c r="AC485" s="420"/>
      <c r="AD485" s="420"/>
      <c r="AE485" s="420"/>
      <c r="AF485" s="367"/>
      <c r="AG485" s="420"/>
      <c r="AH485" s="367"/>
      <c r="AI485" s="367"/>
      <c r="AJ485" s="367"/>
      <c r="AK485" s="358"/>
      <c r="AL485" s="358"/>
      <c r="AM485" s="358"/>
      <c r="AN485" s="358"/>
      <c r="AO485" s="358"/>
      <c r="AP485" s="367"/>
      <c r="AQ485" s="367"/>
      <c r="AR485" s="367"/>
    </row>
    <row r="486">
      <c r="A486" s="418"/>
      <c r="B486" s="418"/>
      <c r="C486" s="417"/>
      <c r="D486" s="417"/>
      <c r="E486" s="418"/>
      <c r="F486" s="418"/>
      <c r="G486" s="367"/>
      <c r="H486" s="418"/>
      <c r="I486" s="418"/>
      <c r="J486" s="418"/>
      <c r="K486" s="418"/>
      <c r="L486" s="420"/>
      <c r="M486" s="420"/>
      <c r="N486" s="420"/>
      <c r="O486" s="420"/>
      <c r="P486" s="420"/>
      <c r="Q486" s="420"/>
      <c r="R486" s="420"/>
      <c r="S486" s="420"/>
      <c r="T486" s="420"/>
      <c r="U486" s="420"/>
      <c r="V486" s="420"/>
      <c r="W486" s="420"/>
      <c r="X486" s="420"/>
      <c r="Y486" s="420"/>
      <c r="Z486" s="367"/>
      <c r="AA486" s="420"/>
      <c r="AB486" s="420"/>
      <c r="AC486" s="420"/>
      <c r="AD486" s="420"/>
      <c r="AE486" s="420"/>
      <c r="AF486" s="367"/>
      <c r="AG486" s="420"/>
      <c r="AH486" s="367"/>
      <c r="AI486" s="367"/>
      <c r="AJ486" s="367"/>
      <c r="AK486" s="358"/>
      <c r="AL486" s="358"/>
      <c r="AM486" s="358"/>
      <c r="AN486" s="358"/>
      <c r="AO486" s="358"/>
      <c r="AP486" s="367"/>
      <c r="AQ486" s="367"/>
      <c r="AR486" s="367"/>
    </row>
    <row r="487">
      <c r="A487" s="418"/>
      <c r="B487" s="418"/>
      <c r="C487" s="417"/>
      <c r="D487" s="417"/>
      <c r="E487" s="418"/>
      <c r="F487" s="418"/>
      <c r="G487" s="367"/>
      <c r="H487" s="418"/>
      <c r="I487" s="418"/>
      <c r="J487" s="418"/>
      <c r="K487" s="418"/>
      <c r="L487" s="420"/>
      <c r="M487" s="420"/>
      <c r="N487" s="420"/>
      <c r="O487" s="420"/>
      <c r="P487" s="420"/>
      <c r="Q487" s="420"/>
      <c r="R487" s="420"/>
      <c r="S487" s="420"/>
      <c r="T487" s="420"/>
      <c r="U487" s="420"/>
      <c r="V487" s="420"/>
      <c r="W487" s="420"/>
      <c r="X487" s="420"/>
      <c r="Y487" s="420"/>
      <c r="Z487" s="367"/>
      <c r="AA487" s="420"/>
      <c r="AB487" s="420"/>
      <c r="AC487" s="420"/>
      <c r="AD487" s="420"/>
      <c r="AE487" s="420"/>
      <c r="AF487" s="367"/>
      <c r="AG487" s="420"/>
      <c r="AH487" s="367"/>
      <c r="AI487" s="367"/>
      <c r="AJ487" s="367"/>
      <c r="AK487" s="358"/>
      <c r="AL487" s="358"/>
      <c r="AM487" s="358"/>
      <c r="AN487" s="358"/>
      <c r="AO487" s="358"/>
      <c r="AP487" s="367"/>
      <c r="AQ487" s="367"/>
      <c r="AR487" s="367"/>
    </row>
    <row r="488">
      <c r="A488" s="418"/>
      <c r="B488" s="418"/>
      <c r="C488" s="417"/>
      <c r="D488" s="417"/>
      <c r="E488" s="418"/>
      <c r="F488" s="418"/>
      <c r="G488" s="367"/>
      <c r="H488" s="418"/>
      <c r="I488" s="418"/>
      <c r="J488" s="418"/>
      <c r="K488" s="418"/>
      <c r="L488" s="420"/>
      <c r="M488" s="420"/>
      <c r="N488" s="420"/>
      <c r="O488" s="420"/>
      <c r="P488" s="420"/>
      <c r="Q488" s="420"/>
      <c r="R488" s="420"/>
      <c r="S488" s="420"/>
      <c r="T488" s="420"/>
      <c r="U488" s="420"/>
      <c r="V488" s="420"/>
      <c r="W488" s="420"/>
      <c r="X488" s="420"/>
      <c r="Y488" s="420"/>
      <c r="Z488" s="367"/>
      <c r="AA488" s="420"/>
      <c r="AB488" s="420"/>
      <c r="AC488" s="420"/>
      <c r="AD488" s="420"/>
      <c r="AE488" s="420"/>
      <c r="AF488" s="367"/>
      <c r="AG488" s="420"/>
      <c r="AH488" s="367"/>
      <c r="AI488" s="367"/>
      <c r="AJ488" s="367"/>
      <c r="AK488" s="358"/>
      <c r="AL488" s="358"/>
      <c r="AM488" s="358"/>
      <c r="AN488" s="358"/>
      <c r="AO488" s="358"/>
      <c r="AP488" s="367"/>
      <c r="AQ488" s="367"/>
      <c r="AR488" s="367"/>
    </row>
    <row r="489">
      <c r="A489" s="418"/>
      <c r="B489" s="418"/>
      <c r="C489" s="417"/>
      <c r="D489" s="417"/>
      <c r="E489" s="418"/>
      <c r="F489" s="418"/>
      <c r="G489" s="367"/>
      <c r="H489" s="418"/>
      <c r="I489" s="418"/>
      <c r="J489" s="418"/>
      <c r="K489" s="418"/>
      <c r="L489" s="420"/>
      <c r="M489" s="420"/>
      <c r="N489" s="420"/>
      <c r="O489" s="420"/>
      <c r="P489" s="420"/>
      <c r="Q489" s="420"/>
      <c r="R489" s="420"/>
      <c r="S489" s="420"/>
      <c r="T489" s="420"/>
      <c r="U489" s="420"/>
      <c r="V489" s="420"/>
      <c r="W489" s="420"/>
      <c r="X489" s="420"/>
      <c r="Y489" s="420"/>
      <c r="Z489" s="367"/>
      <c r="AA489" s="420"/>
      <c r="AB489" s="420"/>
      <c r="AC489" s="420"/>
      <c r="AD489" s="420"/>
      <c r="AE489" s="420"/>
      <c r="AF489" s="367"/>
      <c r="AG489" s="420"/>
      <c r="AH489" s="367"/>
      <c r="AI489" s="367"/>
      <c r="AJ489" s="367"/>
      <c r="AK489" s="358"/>
      <c r="AL489" s="358"/>
      <c r="AM489" s="358"/>
      <c r="AN489" s="358"/>
      <c r="AO489" s="358"/>
      <c r="AP489" s="367"/>
      <c r="AQ489" s="367"/>
      <c r="AR489" s="367"/>
    </row>
    <row r="490">
      <c r="A490" s="418"/>
      <c r="B490" s="418"/>
      <c r="C490" s="417"/>
      <c r="D490" s="417"/>
      <c r="E490" s="418"/>
      <c r="F490" s="418"/>
      <c r="G490" s="367"/>
      <c r="H490" s="418"/>
      <c r="I490" s="418"/>
      <c r="J490" s="418"/>
      <c r="K490" s="418"/>
      <c r="L490" s="420"/>
      <c r="M490" s="420"/>
      <c r="N490" s="420"/>
      <c r="O490" s="420"/>
      <c r="P490" s="420"/>
      <c r="Q490" s="420"/>
      <c r="R490" s="420"/>
      <c r="S490" s="420"/>
      <c r="T490" s="420"/>
      <c r="U490" s="420"/>
      <c r="V490" s="420"/>
      <c r="W490" s="420"/>
      <c r="X490" s="420"/>
      <c r="Y490" s="420"/>
      <c r="Z490" s="367"/>
      <c r="AA490" s="420"/>
      <c r="AB490" s="420"/>
      <c r="AC490" s="420"/>
      <c r="AD490" s="420"/>
      <c r="AE490" s="420"/>
      <c r="AF490" s="367"/>
      <c r="AG490" s="420"/>
      <c r="AH490" s="367"/>
      <c r="AI490" s="367"/>
      <c r="AJ490" s="367"/>
      <c r="AK490" s="358"/>
      <c r="AL490" s="358"/>
      <c r="AM490" s="358"/>
      <c r="AN490" s="358"/>
      <c r="AO490" s="358"/>
      <c r="AP490" s="367"/>
      <c r="AQ490" s="367"/>
      <c r="AR490" s="367"/>
    </row>
    <row r="491">
      <c r="A491" s="418"/>
      <c r="B491" s="418"/>
      <c r="C491" s="417"/>
      <c r="D491" s="417"/>
      <c r="E491" s="418"/>
      <c r="F491" s="418"/>
      <c r="G491" s="367"/>
      <c r="H491" s="418"/>
      <c r="I491" s="418"/>
      <c r="J491" s="418"/>
      <c r="K491" s="418"/>
      <c r="L491" s="420"/>
      <c r="M491" s="420"/>
      <c r="N491" s="420"/>
      <c r="O491" s="420"/>
      <c r="P491" s="420"/>
      <c r="Q491" s="420"/>
      <c r="R491" s="420"/>
      <c r="S491" s="420"/>
      <c r="T491" s="420"/>
      <c r="U491" s="420"/>
      <c r="V491" s="420"/>
      <c r="W491" s="420"/>
      <c r="X491" s="420"/>
      <c r="Y491" s="420"/>
      <c r="Z491" s="367"/>
      <c r="AA491" s="420"/>
      <c r="AB491" s="420"/>
      <c r="AC491" s="420"/>
      <c r="AD491" s="420"/>
      <c r="AE491" s="420"/>
      <c r="AF491" s="367"/>
      <c r="AG491" s="420"/>
      <c r="AH491" s="367"/>
      <c r="AI491" s="367"/>
      <c r="AJ491" s="367"/>
      <c r="AK491" s="358"/>
      <c r="AL491" s="358"/>
      <c r="AM491" s="358"/>
      <c r="AN491" s="358"/>
      <c r="AO491" s="358"/>
      <c r="AP491" s="367"/>
      <c r="AQ491" s="367"/>
      <c r="AR491" s="367"/>
    </row>
    <row r="492">
      <c r="A492" s="418"/>
      <c r="B492" s="418"/>
      <c r="C492" s="417"/>
      <c r="D492" s="417"/>
      <c r="E492" s="418"/>
      <c r="F492" s="418"/>
      <c r="G492" s="367"/>
      <c r="H492" s="418"/>
      <c r="I492" s="418"/>
      <c r="J492" s="418"/>
      <c r="K492" s="418"/>
      <c r="L492" s="420"/>
      <c r="M492" s="420"/>
      <c r="N492" s="420"/>
      <c r="O492" s="420"/>
      <c r="P492" s="420"/>
      <c r="Q492" s="420"/>
      <c r="R492" s="420"/>
      <c r="S492" s="420"/>
      <c r="T492" s="420"/>
      <c r="U492" s="420"/>
      <c r="V492" s="420"/>
      <c r="W492" s="420"/>
      <c r="X492" s="420"/>
      <c r="Y492" s="420"/>
      <c r="Z492" s="367"/>
      <c r="AA492" s="420"/>
      <c r="AB492" s="420"/>
      <c r="AC492" s="420"/>
      <c r="AD492" s="420"/>
      <c r="AE492" s="420"/>
      <c r="AF492" s="367"/>
      <c r="AG492" s="420"/>
      <c r="AH492" s="367"/>
      <c r="AI492" s="367"/>
      <c r="AJ492" s="367"/>
      <c r="AK492" s="358"/>
      <c r="AL492" s="358"/>
      <c r="AM492" s="358"/>
      <c r="AN492" s="358"/>
      <c r="AO492" s="358"/>
      <c r="AP492" s="367"/>
      <c r="AQ492" s="367"/>
      <c r="AR492" s="367"/>
    </row>
    <row r="493">
      <c r="A493" s="418"/>
      <c r="B493" s="418"/>
      <c r="C493" s="417"/>
      <c r="D493" s="417"/>
      <c r="E493" s="418"/>
      <c r="F493" s="418"/>
      <c r="G493" s="367"/>
      <c r="H493" s="418"/>
      <c r="I493" s="418"/>
      <c r="J493" s="418"/>
      <c r="K493" s="418"/>
      <c r="L493" s="420"/>
      <c r="M493" s="420"/>
      <c r="N493" s="420"/>
      <c r="O493" s="420"/>
      <c r="P493" s="420"/>
      <c r="Q493" s="420"/>
      <c r="R493" s="420"/>
      <c r="S493" s="420"/>
      <c r="T493" s="420"/>
      <c r="U493" s="420"/>
      <c r="V493" s="420"/>
      <c r="W493" s="420"/>
      <c r="X493" s="420"/>
      <c r="Y493" s="420"/>
      <c r="Z493" s="367"/>
      <c r="AA493" s="420"/>
      <c r="AB493" s="420"/>
      <c r="AC493" s="420"/>
      <c r="AD493" s="420"/>
      <c r="AE493" s="420"/>
      <c r="AF493" s="367"/>
      <c r="AG493" s="420"/>
      <c r="AH493" s="367"/>
      <c r="AI493" s="367"/>
      <c r="AJ493" s="367"/>
      <c r="AK493" s="358"/>
      <c r="AL493" s="358"/>
      <c r="AM493" s="358"/>
      <c r="AN493" s="358"/>
      <c r="AO493" s="358"/>
      <c r="AP493" s="367"/>
      <c r="AQ493" s="367"/>
      <c r="AR493" s="367"/>
    </row>
    <row r="494">
      <c r="A494" s="418"/>
      <c r="B494" s="418"/>
      <c r="C494" s="417"/>
      <c r="D494" s="417"/>
      <c r="E494" s="418"/>
      <c r="F494" s="418"/>
      <c r="G494" s="367"/>
      <c r="H494" s="418"/>
      <c r="I494" s="418"/>
      <c r="J494" s="418"/>
      <c r="K494" s="418"/>
      <c r="L494" s="420"/>
      <c r="M494" s="420"/>
      <c r="N494" s="420"/>
      <c r="O494" s="420"/>
      <c r="P494" s="420"/>
      <c r="Q494" s="420"/>
      <c r="R494" s="420"/>
      <c r="S494" s="420"/>
      <c r="T494" s="420"/>
      <c r="U494" s="420"/>
      <c r="V494" s="420"/>
      <c r="W494" s="420"/>
      <c r="X494" s="420"/>
      <c r="Y494" s="420"/>
      <c r="Z494" s="367"/>
      <c r="AA494" s="420"/>
      <c r="AB494" s="420"/>
      <c r="AC494" s="420"/>
      <c r="AD494" s="420"/>
      <c r="AE494" s="420"/>
      <c r="AF494" s="367"/>
      <c r="AG494" s="420"/>
      <c r="AH494" s="367"/>
      <c r="AI494" s="367"/>
      <c r="AJ494" s="367"/>
      <c r="AK494" s="358"/>
      <c r="AL494" s="358"/>
      <c r="AM494" s="358"/>
      <c r="AN494" s="358"/>
      <c r="AO494" s="358"/>
      <c r="AP494" s="367"/>
      <c r="AQ494" s="367"/>
      <c r="AR494" s="367"/>
    </row>
    <row r="495">
      <c r="A495" s="418"/>
      <c r="B495" s="418"/>
      <c r="C495" s="417"/>
      <c r="D495" s="417"/>
      <c r="E495" s="418"/>
      <c r="F495" s="418"/>
      <c r="G495" s="367"/>
      <c r="H495" s="418"/>
      <c r="I495" s="418"/>
      <c r="J495" s="418"/>
      <c r="K495" s="418"/>
      <c r="L495" s="420"/>
      <c r="M495" s="420"/>
      <c r="N495" s="420"/>
      <c r="O495" s="420"/>
      <c r="P495" s="420"/>
      <c r="Q495" s="420"/>
      <c r="R495" s="420"/>
      <c r="S495" s="420"/>
      <c r="T495" s="420"/>
      <c r="U495" s="420"/>
      <c r="V495" s="420"/>
      <c r="W495" s="420"/>
      <c r="X495" s="420"/>
      <c r="Y495" s="420"/>
      <c r="Z495" s="367"/>
      <c r="AA495" s="420"/>
      <c r="AB495" s="420"/>
      <c r="AC495" s="420"/>
      <c r="AD495" s="420"/>
      <c r="AE495" s="420"/>
      <c r="AF495" s="367"/>
      <c r="AG495" s="420"/>
      <c r="AH495" s="367"/>
      <c r="AI495" s="367"/>
      <c r="AJ495" s="367"/>
      <c r="AK495" s="358"/>
      <c r="AL495" s="358"/>
      <c r="AM495" s="358"/>
      <c r="AN495" s="358"/>
      <c r="AO495" s="358"/>
      <c r="AP495" s="367"/>
      <c r="AQ495" s="367"/>
      <c r="AR495" s="367"/>
    </row>
    <row r="496">
      <c r="A496" s="418"/>
      <c r="B496" s="418"/>
      <c r="C496" s="417"/>
      <c r="D496" s="417"/>
      <c r="E496" s="418"/>
      <c r="F496" s="418"/>
      <c r="G496" s="367"/>
      <c r="H496" s="418"/>
      <c r="I496" s="418"/>
      <c r="J496" s="418"/>
      <c r="K496" s="418"/>
      <c r="L496" s="420"/>
      <c r="M496" s="420"/>
      <c r="N496" s="420"/>
      <c r="O496" s="420"/>
      <c r="P496" s="420"/>
      <c r="Q496" s="420"/>
      <c r="R496" s="420"/>
      <c r="S496" s="420"/>
      <c r="T496" s="420"/>
      <c r="U496" s="420"/>
      <c r="V496" s="420"/>
      <c r="W496" s="420"/>
      <c r="X496" s="420"/>
      <c r="Y496" s="420"/>
      <c r="Z496" s="367"/>
      <c r="AA496" s="420"/>
      <c r="AB496" s="420"/>
      <c r="AC496" s="420"/>
      <c r="AD496" s="420"/>
      <c r="AE496" s="420"/>
      <c r="AF496" s="367"/>
      <c r="AG496" s="420"/>
      <c r="AH496" s="367"/>
      <c r="AI496" s="367"/>
      <c r="AJ496" s="367"/>
      <c r="AK496" s="358"/>
      <c r="AL496" s="358"/>
      <c r="AM496" s="358"/>
      <c r="AN496" s="358"/>
      <c r="AO496" s="358"/>
      <c r="AP496" s="367"/>
      <c r="AQ496" s="367"/>
      <c r="AR496" s="367"/>
    </row>
    <row r="497">
      <c r="A497" s="418"/>
      <c r="B497" s="418"/>
      <c r="C497" s="417"/>
      <c r="D497" s="417"/>
      <c r="E497" s="418"/>
      <c r="F497" s="418"/>
      <c r="G497" s="367"/>
      <c r="H497" s="418"/>
      <c r="I497" s="418"/>
      <c r="J497" s="418"/>
      <c r="K497" s="418"/>
      <c r="L497" s="420"/>
      <c r="M497" s="420"/>
      <c r="N497" s="420"/>
      <c r="O497" s="420"/>
      <c r="P497" s="420"/>
      <c r="Q497" s="420"/>
      <c r="R497" s="420"/>
      <c r="S497" s="420"/>
      <c r="T497" s="420"/>
      <c r="U497" s="420"/>
      <c r="V497" s="420"/>
      <c r="W497" s="420"/>
      <c r="X497" s="420"/>
      <c r="Y497" s="420"/>
      <c r="Z497" s="367"/>
      <c r="AA497" s="420"/>
      <c r="AB497" s="420"/>
      <c r="AC497" s="420"/>
      <c r="AD497" s="420"/>
      <c r="AE497" s="420"/>
      <c r="AF497" s="367"/>
      <c r="AG497" s="420"/>
      <c r="AH497" s="367"/>
      <c r="AI497" s="367"/>
      <c r="AJ497" s="367"/>
      <c r="AK497" s="358"/>
      <c r="AL497" s="358"/>
      <c r="AM497" s="358"/>
      <c r="AN497" s="358"/>
      <c r="AO497" s="358"/>
      <c r="AP497" s="367"/>
      <c r="AQ497" s="367"/>
      <c r="AR497" s="367"/>
    </row>
    <row r="498">
      <c r="A498" s="418"/>
      <c r="B498" s="418"/>
      <c r="C498" s="417"/>
      <c r="D498" s="417"/>
      <c r="E498" s="418"/>
      <c r="F498" s="418"/>
      <c r="G498" s="367"/>
      <c r="H498" s="418"/>
      <c r="I498" s="418"/>
      <c r="J498" s="418"/>
      <c r="K498" s="418"/>
      <c r="L498" s="420"/>
      <c r="M498" s="420"/>
      <c r="N498" s="420"/>
      <c r="O498" s="420"/>
      <c r="P498" s="420"/>
      <c r="Q498" s="420"/>
      <c r="R498" s="420"/>
      <c r="S498" s="420"/>
      <c r="T498" s="420"/>
      <c r="U498" s="420"/>
      <c r="V498" s="420"/>
      <c r="W498" s="420"/>
      <c r="X498" s="420"/>
      <c r="Y498" s="420"/>
      <c r="Z498" s="367"/>
      <c r="AA498" s="420"/>
      <c r="AB498" s="420"/>
      <c r="AC498" s="420"/>
      <c r="AD498" s="420"/>
      <c r="AE498" s="420"/>
      <c r="AF498" s="367"/>
      <c r="AG498" s="420"/>
      <c r="AH498" s="367"/>
      <c r="AI498" s="367"/>
      <c r="AJ498" s="367"/>
      <c r="AK498" s="358"/>
      <c r="AL498" s="358"/>
      <c r="AM498" s="358"/>
      <c r="AN498" s="358"/>
      <c r="AO498" s="358"/>
      <c r="AP498" s="367"/>
      <c r="AQ498" s="367"/>
      <c r="AR498" s="367"/>
    </row>
    <row r="499">
      <c r="A499" s="418"/>
      <c r="B499" s="418"/>
      <c r="C499" s="417"/>
      <c r="D499" s="417"/>
      <c r="E499" s="418"/>
      <c r="F499" s="418"/>
      <c r="G499" s="367"/>
      <c r="H499" s="418"/>
      <c r="I499" s="418"/>
      <c r="J499" s="418"/>
      <c r="K499" s="418"/>
      <c r="L499" s="420"/>
      <c r="M499" s="420"/>
      <c r="N499" s="420"/>
      <c r="O499" s="420"/>
      <c r="P499" s="420"/>
      <c r="Q499" s="420"/>
      <c r="R499" s="420"/>
      <c r="S499" s="420"/>
      <c r="T499" s="420"/>
      <c r="U499" s="420"/>
      <c r="V499" s="420"/>
      <c r="W499" s="420"/>
      <c r="X499" s="420"/>
      <c r="Y499" s="420"/>
      <c r="Z499" s="367"/>
      <c r="AA499" s="420"/>
      <c r="AB499" s="420"/>
      <c r="AC499" s="420"/>
      <c r="AD499" s="420"/>
      <c r="AE499" s="420"/>
      <c r="AF499" s="367"/>
      <c r="AG499" s="420"/>
      <c r="AH499" s="367"/>
      <c r="AI499" s="367"/>
      <c r="AJ499" s="367"/>
      <c r="AK499" s="358"/>
      <c r="AL499" s="358"/>
      <c r="AM499" s="358"/>
      <c r="AN499" s="358"/>
      <c r="AO499" s="358"/>
      <c r="AP499" s="367"/>
      <c r="AQ499" s="367"/>
      <c r="AR499" s="367"/>
    </row>
    <row r="500">
      <c r="A500" s="418"/>
      <c r="B500" s="418"/>
      <c r="C500" s="417"/>
      <c r="D500" s="417"/>
      <c r="E500" s="418"/>
      <c r="F500" s="418"/>
      <c r="G500" s="367"/>
      <c r="H500" s="418"/>
      <c r="I500" s="418"/>
      <c r="J500" s="418"/>
      <c r="K500" s="418"/>
      <c r="L500" s="420"/>
      <c r="M500" s="420"/>
      <c r="N500" s="420"/>
      <c r="O500" s="420"/>
      <c r="P500" s="420"/>
      <c r="Q500" s="420"/>
      <c r="R500" s="420"/>
      <c r="S500" s="420"/>
      <c r="T500" s="420"/>
      <c r="U500" s="420"/>
      <c r="V500" s="420"/>
      <c r="W500" s="420"/>
      <c r="X500" s="420"/>
      <c r="Y500" s="420"/>
      <c r="Z500" s="367"/>
      <c r="AA500" s="420"/>
      <c r="AB500" s="420"/>
      <c r="AC500" s="420"/>
      <c r="AD500" s="420"/>
      <c r="AE500" s="420"/>
      <c r="AF500" s="367"/>
      <c r="AG500" s="420"/>
      <c r="AH500" s="367"/>
      <c r="AI500" s="367"/>
      <c r="AJ500" s="367"/>
      <c r="AK500" s="358"/>
      <c r="AL500" s="358"/>
      <c r="AM500" s="358"/>
      <c r="AN500" s="358"/>
      <c r="AO500" s="358"/>
      <c r="AP500" s="367"/>
      <c r="AQ500" s="367"/>
      <c r="AR500" s="367"/>
    </row>
    <row r="501">
      <c r="A501" s="418"/>
      <c r="B501" s="418"/>
      <c r="C501" s="417"/>
      <c r="D501" s="417"/>
      <c r="E501" s="418"/>
      <c r="F501" s="418"/>
      <c r="G501" s="367"/>
      <c r="H501" s="418"/>
      <c r="I501" s="418"/>
      <c r="J501" s="418"/>
      <c r="K501" s="418"/>
      <c r="L501" s="420"/>
      <c r="M501" s="420"/>
      <c r="N501" s="420"/>
      <c r="O501" s="420"/>
      <c r="P501" s="420"/>
      <c r="Q501" s="420"/>
      <c r="R501" s="420"/>
      <c r="S501" s="420"/>
      <c r="T501" s="420"/>
      <c r="U501" s="420"/>
      <c r="V501" s="420"/>
      <c r="W501" s="420"/>
      <c r="X501" s="420"/>
      <c r="Y501" s="420"/>
      <c r="Z501" s="367"/>
      <c r="AA501" s="420"/>
      <c r="AB501" s="420"/>
      <c r="AC501" s="420"/>
      <c r="AD501" s="420"/>
      <c r="AE501" s="420"/>
      <c r="AF501" s="367"/>
      <c r="AG501" s="420"/>
      <c r="AH501" s="367"/>
      <c r="AI501" s="367"/>
      <c r="AJ501" s="367"/>
      <c r="AK501" s="358"/>
      <c r="AL501" s="358"/>
      <c r="AM501" s="358"/>
      <c r="AN501" s="358"/>
      <c r="AO501" s="358"/>
      <c r="AP501" s="367"/>
      <c r="AQ501" s="367"/>
      <c r="AR501" s="367"/>
    </row>
    <row r="502">
      <c r="A502" s="418"/>
      <c r="B502" s="418"/>
      <c r="C502" s="417"/>
      <c r="D502" s="417"/>
      <c r="E502" s="418"/>
      <c r="F502" s="418"/>
      <c r="G502" s="367"/>
      <c r="H502" s="418"/>
      <c r="I502" s="418"/>
      <c r="J502" s="418"/>
      <c r="K502" s="418"/>
      <c r="L502" s="420"/>
      <c r="M502" s="420"/>
      <c r="N502" s="420"/>
      <c r="O502" s="420"/>
      <c r="P502" s="420"/>
      <c r="Q502" s="420"/>
      <c r="R502" s="420"/>
      <c r="S502" s="420"/>
      <c r="T502" s="420"/>
      <c r="U502" s="420"/>
      <c r="V502" s="420"/>
      <c r="W502" s="420"/>
      <c r="X502" s="420"/>
      <c r="Y502" s="420"/>
      <c r="Z502" s="367"/>
      <c r="AA502" s="420"/>
      <c r="AB502" s="420"/>
      <c r="AC502" s="420"/>
      <c r="AD502" s="420"/>
      <c r="AE502" s="420"/>
      <c r="AF502" s="367"/>
      <c r="AG502" s="420"/>
      <c r="AH502" s="367"/>
      <c r="AI502" s="367"/>
      <c r="AJ502" s="367"/>
      <c r="AK502" s="358"/>
      <c r="AL502" s="358"/>
      <c r="AM502" s="358"/>
      <c r="AN502" s="358"/>
      <c r="AO502" s="358"/>
      <c r="AP502" s="367"/>
      <c r="AQ502" s="367"/>
      <c r="AR502" s="367"/>
    </row>
    <row r="503">
      <c r="A503" s="418"/>
      <c r="B503" s="418"/>
      <c r="C503" s="417"/>
      <c r="D503" s="417"/>
      <c r="E503" s="418"/>
      <c r="F503" s="418"/>
      <c r="G503" s="367"/>
      <c r="H503" s="418"/>
      <c r="I503" s="418"/>
      <c r="J503" s="418"/>
      <c r="K503" s="418"/>
      <c r="L503" s="420"/>
      <c r="M503" s="420"/>
      <c r="N503" s="420"/>
      <c r="O503" s="420"/>
      <c r="P503" s="420"/>
      <c r="Q503" s="420"/>
      <c r="R503" s="420"/>
      <c r="S503" s="420"/>
      <c r="T503" s="420"/>
      <c r="U503" s="420"/>
      <c r="V503" s="420"/>
      <c r="W503" s="420"/>
      <c r="X503" s="420"/>
      <c r="Y503" s="420"/>
      <c r="Z503" s="367"/>
      <c r="AA503" s="420"/>
      <c r="AB503" s="420"/>
      <c r="AC503" s="420"/>
      <c r="AD503" s="420"/>
      <c r="AE503" s="420"/>
      <c r="AF503" s="367"/>
      <c r="AG503" s="420"/>
      <c r="AH503" s="367"/>
      <c r="AI503" s="367"/>
      <c r="AJ503" s="367"/>
      <c r="AK503" s="358"/>
      <c r="AL503" s="358"/>
      <c r="AM503" s="358"/>
      <c r="AN503" s="358"/>
      <c r="AO503" s="358"/>
      <c r="AP503" s="367"/>
      <c r="AQ503" s="367"/>
      <c r="AR503" s="367"/>
    </row>
    <row r="504">
      <c r="A504" s="418"/>
      <c r="B504" s="418"/>
      <c r="C504" s="417"/>
      <c r="D504" s="417"/>
      <c r="E504" s="418"/>
      <c r="F504" s="418"/>
      <c r="G504" s="367"/>
      <c r="H504" s="418"/>
      <c r="I504" s="418"/>
      <c r="J504" s="418"/>
      <c r="K504" s="418"/>
      <c r="L504" s="420"/>
      <c r="M504" s="420"/>
      <c r="N504" s="420"/>
      <c r="O504" s="420"/>
      <c r="P504" s="420"/>
      <c r="Q504" s="420"/>
      <c r="R504" s="420"/>
      <c r="S504" s="420"/>
      <c r="T504" s="420"/>
      <c r="U504" s="420"/>
      <c r="V504" s="420"/>
      <c r="W504" s="420"/>
      <c r="X504" s="420"/>
      <c r="Y504" s="420"/>
      <c r="Z504" s="367"/>
      <c r="AA504" s="420"/>
      <c r="AB504" s="420"/>
      <c r="AC504" s="420"/>
      <c r="AD504" s="420"/>
      <c r="AE504" s="420"/>
      <c r="AF504" s="367"/>
      <c r="AG504" s="420"/>
      <c r="AH504" s="367"/>
      <c r="AI504" s="367"/>
      <c r="AJ504" s="367"/>
      <c r="AK504" s="358"/>
      <c r="AL504" s="358"/>
      <c r="AM504" s="358"/>
      <c r="AN504" s="358"/>
      <c r="AO504" s="358"/>
      <c r="AP504" s="367"/>
      <c r="AQ504" s="367"/>
      <c r="AR504" s="367"/>
    </row>
    <row r="505">
      <c r="A505" s="418"/>
      <c r="B505" s="418"/>
      <c r="C505" s="417"/>
      <c r="D505" s="417"/>
      <c r="E505" s="418"/>
      <c r="F505" s="418"/>
      <c r="G505" s="367"/>
      <c r="H505" s="418"/>
      <c r="I505" s="418"/>
      <c r="J505" s="418"/>
      <c r="K505" s="418"/>
      <c r="L505" s="420"/>
      <c r="M505" s="420"/>
      <c r="N505" s="420"/>
      <c r="O505" s="420"/>
      <c r="P505" s="420"/>
      <c r="Q505" s="420"/>
      <c r="R505" s="420"/>
      <c r="S505" s="420"/>
      <c r="T505" s="420"/>
      <c r="U505" s="420"/>
      <c r="V505" s="420"/>
      <c r="W505" s="420"/>
      <c r="X505" s="420"/>
      <c r="Y505" s="420"/>
      <c r="Z505" s="367"/>
      <c r="AA505" s="420"/>
      <c r="AB505" s="420"/>
      <c r="AC505" s="420"/>
      <c r="AD505" s="420"/>
      <c r="AE505" s="420"/>
      <c r="AF505" s="367"/>
      <c r="AG505" s="420"/>
      <c r="AH505" s="367"/>
      <c r="AI505" s="367"/>
      <c r="AJ505" s="367"/>
      <c r="AK505" s="358"/>
      <c r="AL505" s="358"/>
      <c r="AM505" s="358"/>
      <c r="AN505" s="358"/>
      <c r="AO505" s="358"/>
      <c r="AP505" s="367"/>
      <c r="AQ505" s="367"/>
      <c r="AR505" s="367"/>
    </row>
    <row r="506">
      <c r="A506" s="418"/>
      <c r="B506" s="418"/>
      <c r="C506" s="417"/>
      <c r="D506" s="417"/>
      <c r="E506" s="418"/>
      <c r="F506" s="418"/>
      <c r="G506" s="367"/>
      <c r="H506" s="418"/>
      <c r="I506" s="418"/>
      <c r="J506" s="418"/>
      <c r="K506" s="418"/>
      <c r="L506" s="420"/>
      <c r="M506" s="420"/>
      <c r="N506" s="420"/>
      <c r="O506" s="420"/>
      <c r="P506" s="420"/>
      <c r="Q506" s="420"/>
      <c r="R506" s="420"/>
      <c r="S506" s="420"/>
      <c r="T506" s="420"/>
      <c r="U506" s="420"/>
      <c r="V506" s="420"/>
      <c r="W506" s="420"/>
      <c r="X506" s="420"/>
      <c r="Y506" s="420"/>
      <c r="Z506" s="367"/>
      <c r="AA506" s="420"/>
      <c r="AB506" s="420"/>
      <c r="AC506" s="420"/>
      <c r="AD506" s="420"/>
      <c r="AE506" s="420"/>
      <c r="AF506" s="367"/>
      <c r="AG506" s="420"/>
      <c r="AH506" s="367"/>
      <c r="AI506" s="367"/>
      <c r="AJ506" s="367"/>
      <c r="AK506" s="358"/>
      <c r="AL506" s="358"/>
      <c r="AM506" s="358"/>
      <c r="AN506" s="358"/>
      <c r="AO506" s="358"/>
      <c r="AP506" s="367"/>
      <c r="AQ506" s="367"/>
      <c r="AR506" s="367"/>
    </row>
    <row r="507">
      <c r="A507" s="418"/>
      <c r="B507" s="418"/>
      <c r="C507" s="417"/>
      <c r="D507" s="417"/>
      <c r="E507" s="418"/>
      <c r="F507" s="418"/>
      <c r="G507" s="367"/>
      <c r="H507" s="418"/>
      <c r="I507" s="418"/>
      <c r="J507" s="418"/>
      <c r="K507" s="418"/>
      <c r="L507" s="420"/>
      <c r="M507" s="420"/>
      <c r="N507" s="420"/>
      <c r="O507" s="420"/>
      <c r="P507" s="420"/>
      <c r="Q507" s="420"/>
      <c r="R507" s="420"/>
      <c r="S507" s="420"/>
      <c r="T507" s="420"/>
      <c r="U507" s="420"/>
      <c r="V507" s="420"/>
      <c r="W507" s="420"/>
      <c r="X507" s="420"/>
      <c r="Y507" s="420"/>
      <c r="Z507" s="367"/>
      <c r="AA507" s="420"/>
      <c r="AB507" s="420"/>
      <c r="AC507" s="420"/>
      <c r="AD507" s="420"/>
      <c r="AE507" s="420"/>
      <c r="AF507" s="367"/>
      <c r="AG507" s="420"/>
      <c r="AH507" s="367"/>
      <c r="AI507" s="367"/>
      <c r="AJ507" s="367"/>
      <c r="AK507" s="358"/>
      <c r="AL507" s="358"/>
      <c r="AM507" s="358"/>
      <c r="AN507" s="358"/>
      <c r="AO507" s="358"/>
      <c r="AP507" s="367"/>
      <c r="AQ507" s="367"/>
      <c r="AR507" s="367"/>
    </row>
    <row r="508">
      <c r="A508" s="418"/>
      <c r="B508" s="418"/>
      <c r="C508" s="417"/>
      <c r="D508" s="417"/>
      <c r="E508" s="418"/>
      <c r="F508" s="418"/>
      <c r="G508" s="367"/>
      <c r="H508" s="418"/>
      <c r="I508" s="418"/>
      <c r="J508" s="418"/>
      <c r="K508" s="418"/>
      <c r="L508" s="420"/>
      <c r="M508" s="420"/>
      <c r="N508" s="420"/>
      <c r="O508" s="420"/>
      <c r="P508" s="420"/>
      <c r="Q508" s="420"/>
      <c r="R508" s="420"/>
      <c r="S508" s="420"/>
      <c r="T508" s="420"/>
      <c r="U508" s="420"/>
      <c r="V508" s="420"/>
      <c r="W508" s="420"/>
      <c r="X508" s="420"/>
      <c r="Y508" s="420"/>
      <c r="Z508" s="367"/>
      <c r="AA508" s="420"/>
      <c r="AB508" s="420"/>
      <c r="AC508" s="420"/>
      <c r="AD508" s="420"/>
      <c r="AE508" s="420"/>
      <c r="AF508" s="367"/>
      <c r="AG508" s="420"/>
      <c r="AH508" s="367"/>
      <c r="AI508" s="367"/>
      <c r="AJ508" s="367"/>
      <c r="AK508" s="358"/>
      <c r="AL508" s="358"/>
      <c r="AM508" s="358"/>
      <c r="AN508" s="358"/>
      <c r="AO508" s="358"/>
      <c r="AP508" s="367"/>
      <c r="AQ508" s="367"/>
      <c r="AR508" s="367"/>
    </row>
    <row r="509">
      <c r="A509" s="418"/>
      <c r="B509" s="418"/>
      <c r="C509" s="417"/>
      <c r="D509" s="417"/>
      <c r="E509" s="418"/>
      <c r="F509" s="418"/>
      <c r="G509" s="367"/>
      <c r="H509" s="418"/>
      <c r="I509" s="418"/>
      <c r="J509" s="418"/>
      <c r="K509" s="418"/>
      <c r="L509" s="420"/>
      <c r="M509" s="420"/>
      <c r="N509" s="420"/>
      <c r="O509" s="420"/>
      <c r="P509" s="420"/>
      <c r="Q509" s="420"/>
      <c r="R509" s="420"/>
      <c r="S509" s="420"/>
      <c r="T509" s="420"/>
      <c r="U509" s="420"/>
      <c r="V509" s="420"/>
      <c r="W509" s="420"/>
      <c r="X509" s="420"/>
      <c r="Y509" s="420"/>
      <c r="Z509" s="367"/>
      <c r="AA509" s="420"/>
      <c r="AB509" s="420"/>
      <c r="AC509" s="420"/>
      <c r="AD509" s="420"/>
      <c r="AE509" s="420"/>
      <c r="AF509" s="367"/>
      <c r="AG509" s="420"/>
      <c r="AH509" s="367"/>
      <c r="AI509" s="367"/>
      <c r="AJ509" s="367"/>
      <c r="AK509" s="358"/>
      <c r="AL509" s="358"/>
      <c r="AM509" s="358"/>
      <c r="AN509" s="358"/>
      <c r="AO509" s="358"/>
      <c r="AP509" s="367"/>
      <c r="AQ509" s="367"/>
      <c r="AR509" s="367"/>
    </row>
    <row r="510">
      <c r="A510" s="418"/>
      <c r="B510" s="418"/>
      <c r="C510" s="417"/>
      <c r="D510" s="417"/>
      <c r="E510" s="418"/>
      <c r="F510" s="418"/>
      <c r="G510" s="367"/>
      <c r="H510" s="418"/>
      <c r="I510" s="418"/>
      <c r="J510" s="418"/>
      <c r="K510" s="418"/>
      <c r="L510" s="420"/>
      <c r="M510" s="420"/>
      <c r="N510" s="420"/>
      <c r="O510" s="420"/>
      <c r="P510" s="420"/>
      <c r="Q510" s="420"/>
      <c r="R510" s="420"/>
      <c r="S510" s="420"/>
      <c r="T510" s="420"/>
      <c r="U510" s="420"/>
      <c r="V510" s="420"/>
      <c r="W510" s="420"/>
      <c r="X510" s="420"/>
      <c r="Y510" s="420"/>
      <c r="Z510" s="367"/>
      <c r="AA510" s="420"/>
      <c r="AB510" s="420"/>
      <c r="AC510" s="420"/>
      <c r="AD510" s="420"/>
      <c r="AE510" s="420"/>
      <c r="AF510" s="367"/>
      <c r="AG510" s="420"/>
      <c r="AH510" s="367"/>
      <c r="AI510" s="367"/>
      <c r="AJ510" s="367"/>
      <c r="AK510" s="358"/>
      <c r="AL510" s="358"/>
      <c r="AM510" s="358"/>
      <c r="AN510" s="358"/>
      <c r="AO510" s="358"/>
      <c r="AP510" s="367"/>
      <c r="AQ510" s="367"/>
      <c r="AR510" s="367"/>
    </row>
    <row r="511">
      <c r="A511" s="418"/>
      <c r="B511" s="418"/>
      <c r="C511" s="417"/>
      <c r="D511" s="417"/>
      <c r="E511" s="418"/>
      <c r="F511" s="418"/>
      <c r="G511" s="367"/>
      <c r="H511" s="418"/>
      <c r="I511" s="418"/>
      <c r="J511" s="418"/>
      <c r="K511" s="418"/>
      <c r="L511" s="420"/>
      <c r="M511" s="420"/>
      <c r="N511" s="420"/>
      <c r="O511" s="420"/>
      <c r="P511" s="420"/>
      <c r="Q511" s="420"/>
      <c r="R511" s="420"/>
      <c r="S511" s="420"/>
      <c r="T511" s="420"/>
      <c r="U511" s="420"/>
      <c r="V511" s="420"/>
      <c r="W511" s="420"/>
      <c r="X511" s="420"/>
      <c r="Y511" s="420"/>
      <c r="Z511" s="367"/>
      <c r="AA511" s="420"/>
      <c r="AB511" s="420"/>
      <c r="AC511" s="420"/>
      <c r="AD511" s="420"/>
      <c r="AE511" s="420"/>
      <c r="AF511" s="367"/>
      <c r="AG511" s="420"/>
      <c r="AH511" s="367"/>
      <c r="AI511" s="367"/>
      <c r="AJ511" s="367"/>
      <c r="AK511" s="358"/>
      <c r="AL511" s="358"/>
      <c r="AM511" s="358"/>
      <c r="AN511" s="358"/>
      <c r="AO511" s="358"/>
      <c r="AP511" s="367"/>
      <c r="AQ511" s="367"/>
      <c r="AR511" s="367"/>
    </row>
    <row r="512">
      <c r="A512" s="418"/>
      <c r="B512" s="418"/>
      <c r="C512" s="417"/>
      <c r="D512" s="417"/>
      <c r="E512" s="418"/>
      <c r="F512" s="418"/>
      <c r="G512" s="367"/>
      <c r="H512" s="418"/>
      <c r="I512" s="418"/>
      <c r="J512" s="418"/>
      <c r="K512" s="418"/>
      <c r="L512" s="420"/>
      <c r="M512" s="420"/>
      <c r="N512" s="420"/>
      <c r="O512" s="420"/>
      <c r="P512" s="420"/>
      <c r="Q512" s="420"/>
      <c r="R512" s="420"/>
      <c r="S512" s="420"/>
      <c r="T512" s="420"/>
      <c r="U512" s="420"/>
      <c r="V512" s="420"/>
      <c r="W512" s="420"/>
      <c r="X512" s="420"/>
      <c r="Y512" s="420"/>
      <c r="Z512" s="367"/>
      <c r="AA512" s="420"/>
      <c r="AB512" s="420"/>
      <c r="AC512" s="420"/>
      <c r="AD512" s="420"/>
      <c r="AE512" s="420"/>
      <c r="AF512" s="367"/>
      <c r="AG512" s="420"/>
      <c r="AH512" s="367"/>
      <c r="AI512" s="367"/>
      <c r="AJ512" s="367"/>
      <c r="AK512" s="358"/>
      <c r="AL512" s="358"/>
      <c r="AM512" s="358"/>
      <c r="AN512" s="358"/>
      <c r="AO512" s="358"/>
      <c r="AP512" s="367"/>
      <c r="AQ512" s="367"/>
      <c r="AR512" s="367"/>
    </row>
    <row r="513">
      <c r="A513" s="418"/>
      <c r="B513" s="418"/>
      <c r="C513" s="417"/>
      <c r="D513" s="417"/>
      <c r="E513" s="418"/>
      <c r="F513" s="418"/>
      <c r="G513" s="367"/>
      <c r="H513" s="418"/>
      <c r="I513" s="418"/>
      <c r="J513" s="418"/>
      <c r="K513" s="418"/>
      <c r="L513" s="420"/>
      <c r="M513" s="420"/>
      <c r="N513" s="420"/>
      <c r="O513" s="420"/>
      <c r="P513" s="420"/>
      <c r="Q513" s="420"/>
      <c r="R513" s="420"/>
      <c r="S513" s="420"/>
      <c r="T513" s="420"/>
      <c r="U513" s="420"/>
      <c r="V513" s="420"/>
      <c r="W513" s="420"/>
      <c r="X513" s="420"/>
      <c r="Y513" s="420"/>
      <c r="Z513" s="367"/>
      <c r="AA513" s="420"/>
      <c r="AB513" s="420"/>
      <c r="AC513" s="420"/>
      <c r="AD513" s="420"/>
      <c r="AE513" s="420"/>
      <c r="AF513" s="367"/>
      <c r="AG513" s="420"/>
      <c r="AH513" s="367"/>
      <c r="AI513" s="367"/>
      <c r="AJ513" s="367"/>
      <c r="AK513" s="358"/>
      <c r="AL513" s="358"/>
      <c r="AM513" s="358"/>
      <c r="AN513" s="358"/>
      <c r="AO513" s="358"/>
      <c r="AP513" s="367"/>
      <c r="AQ513" s="367"/>
      <c r="AR513" s="367"/>
    </row>
    <row r="514">
      <c r="A514" s="418"/>
      <c r="B514" s="418"/>
      <c r="C514" s="417"/>
      <c r="D514" s="417"/>
      <c r="E514" s="418"/>
      <c r="F514" s="418"/>
      <c r="G514" s="367"/>
      <c r="H514" s="418"/>
      <c r="I514" s="418"/>
      <c r="J514" s="418"/>
      <c r="K514" s="418"/>
      <c r="L514" s="420"/>
      <c r="M514" s="420"/>
      <c r="N514" s="420"/>
      <c r="O514" s="420"/>
      <c r="P514" s="420"/>
      <c r="Q514" s="420"/>
      <c r="R514" s="420"/>
      <c r="S514" s="420"/>
      <c r="T514" s="420"/>
      <c r="U514" s="420"/>
      <c r="V514" s="420"/>
      <c r="W514" s="420"/>
      <c r="X514" s="420"/>
      <c r="Y514" s="420"/>
      <c r="Z514" s="367"/>
      <c r="AA514" s="420"/>
      <c r="AB514" s="420"/>
      <c r="AC514" s="420"/>
      <c r="AD514" s="420"/>
      <c r="AE514" s="420"/>
      <c r="AF514" s="367"/>
      <c r="AG514" s="420"/>
      <c r="AH514" s="367"/>
      <c r="AI514" s="367"/>
      <c r="AJ514" s="367"/>
      <c r="AK514" s="358"/>
      <c r="AL514" s="358"/>
      <c r="AM514" s="358"/>
      <c r="AN514" s="358"/>
      <c r="AO514" s="358"/>
      <c r="AP514" s="367"/>
      <c r="AQ514" s="367"/>
      <c r="AR514" s="367"/>
    </row>
    <row r="515">
      <c r="A515" s="418"/>
      <c r="B515" s="418"/>
      <c r="C515" s="417"/>
      <c r="D515" s="417"/>
      <c r="E515" s="418"/>
      <c r="F515" s="418"/>
      <c r="G515" s="367"/>
      <c r="H515" s="418"/>
      <c r="I515" s="418"/>
      <c r="J515" s="418"/>
      <c r="K515" s="418"/>
      <c r="L515" s="420"/>
      <c r="M515" s="420"/>
      <c r="N515" s="420"/>
      <c r="O515" s="420"/>
      <c r="P515" s="420"/>
      <c r="Q515" s="420"/>
      <c r="R515" s="420"/>
      <c r="S515" s="420"/>
      <c r="T515" s="420"/>
      <c r="U515" s="420"/>
      <c r="V515" s="420"/>
      <c r="W515" s="420"/>
      <c r="X515" s="420"/>
      <c r="Y515" s="420"/>
      <c r="Z515" s="367"/>
      <c r="AA515" s="420"/>
      <c r="AB515" s="420"/>
      <c r="AC515" s="420"/>
      <c r="AD515" s="420"/>
      <c r="AE515" s="420"/>
      <c r="AF515" s="367"/>
      <c r="AG515" s="420"/>
      <c r="AH515" s="367"/>
      <c r="AI515" s="367"/>
      <c r="AJ515" s="367"/>
      <c r="AK515" s="358"/>
      <c r="AL515" s="358"/>
      <c r="AM515" s="358"/>
      <c r="AN515" s="358"/>
      <c r="AO515" s="358"/>
      <c r="AP515" s="367"/>
      <c r="AQ515" s="367"/>
      <c r="AR515" s="367"/>
    </row>
    <row r="516">
      <c r="A516" s="418"/>
      <c r="B516" s="418"/>
      <c r="C516" s="417"/>
      <c r="D516" s="417"/>
      <c r="E516" s="418"/>
      <c r="F516" s="418"/>
      <c r="G516" s="367"/>
      <c r="H516" s="418"/>
      <c r="I516" s="418"/>
      <c r="J516" s="418"/>
      <c r="K516" s="418"/>
      <c r="L516" s="420"/>
      <c r="M516" s="420"/>
      <c r="N516" s="420"/>
      <c r="O516" s="420"/>
      <c r="P516" s="420"/>
      <c r="Q516" s="420"/>
      <c r="R516" s="420"/>
      <c r="S516" s="420"/>
      <c r="T516" s="420"/>
      <c r="U516" s="420"/>
      <c r="V516" s="420"/>
      <c r="W516" s="420"/>
      <c r="X516" s="420"/>
      <c r="Y516" s="420"/>
      <c r="Z516" s="367"/>
      <c r="AA516" s="420"/>
      <c r="AB516" s="420"/>
      <c r="AC516" s="420"/>
      <c r="AD516" s="420"/>
      <c r="AE516" s="420"/>
      <c r="AF516" s="367"/>
      <c r="AG516" s="420"/>
      <c r="AH516" s="367"/>
      <c r="AI516" s="367"/>
      <c r="AJ516" s="367"/>
      <c r="AK516" s="358"/>
      <c r="AL516" s="358"/>
      <c r="AM516" s="358"/>
      <c r="AN516" s="358"/>
      <c r="AO516" s="358"/>
      <c r="AP516" s="367"/>
      <c r="AQ516" s="367"/>
      <c r="AR516" s="367"/>
    </row>
    <row r="517">
      <c r="A517" s="418"/>
      <c r="B517" s="418"/>
      <c r="C517" s="417"/>
      <c r="D517" s="417"/>
      <c r="E517" s="418"/>
      <c r="F517" s="418"/>
      <c r="G517" s="367"/>
      <c r="H517" s="418"/>
      <c r="I517" s="418"/>
      <c r="J517" s="418"/>
      <c r="K517" s="418"/>
      <c r="L517" s="420"/>
      <c r="M517" s="420"/>
      <c r="N517" s="420"/>
      <c r="O517" s="420"/>
      <c r="P517" s="420"/>
      <c r="Q517" s="420"/>
      <c r="R517" s="420"/>
      <c r="S517" s="420"/>
      <c r="T517" s="420"/>
      <c r="U517" s="420"/>
      <c r="V517" s="420"/>
      <c r="W517" s="420"/>
      <c r="X517" s="420"/>
      <c r="Y517" s="420"/>
      <c r="Z517" s="367"/>
      <c r="AA517" s="420"/>
      <c r="AB517" s="420"/>
      <c r="AC517" s="420"/>
      <c r="AD517" s="420"/>
      <c r="AE517" s="420"/>
      <c r="AF517" s="367"/>
      <c r="AG517" s="420"/>
      <c r="AH517" s="367"/>
      <c r="AI517" s="367"/>
      <c r="AJ517" s="367"/>
      <c r="AK517" s="358"/>
      <c r="AL517" s="358"/>
      <c r="AM517" s="358"/>
      <c r="AN517" s="358"/>
      <c r="AO517" s="358"/>
      <c r="AP517" s="367"/>
      <c r="AQ517" s="367"/>
      <c r="AR517" s="367"/>
    </row>
    <row r="518">
      <c r="A518" s="418"/>
      <c r="B518" s="418"/>
      <c r="C518" s="417"/>
      <c r="D518" s="417"/>
      <c r="E518" s="418"/>
      <c r="F518" s="418"/>
      <c r="G518" s="367"/>
      <c r="H518" s="418"/>
      <c r="I518" s="418"/>
      <c r="J518" s="418"/>
      <c r="K518" s="418"/>
      <c r="L518" s="420"/>
      <c r="M518" s="420"/>
      <c r="N518" s="420"/>
      <c r="O518" s="420"/>
      <c r="P518" s="420"/>
      <c r="Q518" s="420"/>
      <c r="R518" s="420"/>
      <c r="S518" s="420"/>
      <c r="T518" s="420"/>
      <c r="U518" s="420"/>
      <c r="V518" s="420"/>
      <c r="W518" s="420"/>
      <c r="X518" s="420"/>
      <c r="Y518" s="420"/>
      <c r="Z518" s="367"/>
      <c r="AA518" s="420"/>
      <c r="AB518" s="420"/>
      <c r="AC518" s="420"/>
      <c r="AD518" s="420"/>
      <c r="AE518" s="420"/>
      <c r="AF518" s="367"/>
      <c r="AG518" s="420"/>
      <c r="AH518" s="367"/>
      <c r="AI518" s="367"/>
      <c r="AJ518" s="367"/>
      <c r="AK518" s="358"/>
      <c r="AL518" s="358"/>
      <c r="AM518" s="358"/>
      <c r="AN518" s="358"/>
      <c r="AO518" s="358"/>
      <c r="AP518" s="367"/>
      <c r="AQ518" s="367"/>
      <c r="AR518" s="367"/>
    </row>
    <row r="519">
      <c r="A519" s="418"/>
      <c r="B519" s="418"/>
      <c r="C519" s="417"/>
      <c r="D519" s="417"/>
      <c r="E519" s="418"/>
      <c r="F519" s="418"/>
      <c r="G519" s="367"/>
      <c r="H519" s="418"/>
      <c r="I519" s="418"/>
      <c r="J519" s="418"/>
      <c r="K519" s="418"/>
      <c r="L519" s="420"/>
      <c r="M519" s="420"/>
      <c r="N519" s="420"/>
      <c r="O519" s="420"/>
      <c r="P519" s="420"/>
      <c r="Q519" s="420"/>
      <c r="R519" s="420"/>
      <c r="S519" s="420"/>
      <c r="T519" s="420"/>
      <c r="U519" s="420"/>
      <c r="V519" s="420"/>
      <c r="W519" s="420"/>
      <c r="X519" s="420"/>
      <c r="Y519" s="420"/>
      <c r="Z519" s="367"/>
      <c r="AA519" s="420"/>
      <c r="AB519" s="420"/>
      <c r="AC519" s="420"/>
      <c r="AD519" s="420"/>
      <c r="AE519" s="420"/>
      <c r="AF519" s="367"/>
      <c r="AG519" s="420"/>
      <c r="AH519" s="367"/>
      <c r="AI519" s="367"/>
      <c r="AJ519" s="367"/>
      <c r="AK519" s="358"/>
      <c r="AL519" s="358"/>
      <c r="AM519" s="358"/>
      <c r="AN519" s="358"/>
      <c r="AO519" s="358"/>
      <c r="AP519" s="367"/>
      <c r="AQ519" s="367"/>
      <c r="AR519" s="367"/>
    </row>
    <row r="520">
      <c r="A520" s="418"/>
      <c r="B520" s="418"/>
      <c r="C520" s="417"/>
      <c r="D520" s="417"/>
      <c r="E520" s="418"/>
      <c r="F520" s="418"/>
      <c r="G520" s="367"/>
      <c r="H520" s="418"/>
      <c r="I520" s="418"/>
      <c r="J520" s="418"/>
      <c r="K520" s="418"/>
      <c r="L520" s="420"/>
      <c r="M520" s="420"/>
      <c r="N520" s="420"/>
      <c r="O520" s="420"/>
      <c r="P520" s="420"/>
      <c r="Q520" s="420"/>
      <c r="R520" s="420"/>
      <c r="S520" s="420"/>
      <c r="T520" s="420"/>
      <c r="U520" s="420"/>
      <c r="V520" s="420"/>
      <c r="W520" s="420"/>
      <c r="X520" s="420"/>
      <c r="Y520" s="420"/>
      <c r="Z520" s="367"/>
      <c r="AA520" s="420"/>
      <c r="AB520" s="420"/>
      <c r="AC520" s="420"/>
      <c r="AD520" s="420"/>
      <c r="AE520" s="420"/>
      <c r="AF520" s="367"/>
      <c r="AG520" s="420"/>
      <c r="AH520" s="367"/>
      <c r="AI520" s="367"/>
      <c r="AJ520" s="367"/>
      <c r="AK520" s="358"/>
      <c r="AL520" s="358"/>
      <c r="AM520" s="358"/>
      <c r="AN520" s="358"/>
      <c r="AO520" s="358"/>
      <c r="AP520" s="367"/>
      <c r="AQ520" s="367"/>
      <c r="AR520" s="367"/>
    </row>
    <row r="521">
      <c r="A521" s="418"/>
      <c r="B521" s="418"/>
      <c r="C521" s="417"/>
      <c r="D521" s="417"/>
      <c r="E521" s="418"/>
      <c r="F521" s="418"/>
      <c r="G521" s="367"/>
      <c r="H521" s="418"/>
      <c r="I521" s="418"/>
      <c r="J521" s="418"/>
      <c r="K521" s="418"/>
      <c r="L521" s="420"/>
      <c r="M521" s="420"/>
      <c r="N521" s="420"/>
      <c r="O521" s="420"/>
      <c r="P521" s="420"/>
      <c r="Q521" s="420"/>
      <c r="R521" s="420"/>
      <c r="S521" s="420"/>
      <c r="T521" s="420"/>
      <c r="U521" s="420"/>
      <c r="V521" s="420"/>
      <c r="W521" s="420"/>
      <c r="X521" s="420"/>
      <c r="Y521" s="420"/>
      <c r="Z521" s="367"/>
      <c r="AA521" s="420"/>
      <c r="AB521" s="420"/>
      <c r="AC521" s="420"/>
      <c r="AD521" s="420"/>
      <c r="AE521" s="420"/>
      <c r="AF521" s="367"/>
      <c r="AG521" s="420"/>
      <c r="AH521" s="367"/>
      <c r="AI521" s="367"/>
      <c r="AJ521" s="367"/>
      <c r="AK521" s="358"/>
      <c r="AL521" s="358"/>
      <c r="AM521" s="358"/>
      <c r="AN521" s="358"/>
      <c r="AO521" s="358"/>
      <c r="AP521" s="367"/>
      <c r="AQ521" s="367"/>
      <c r="AR521" s="367"/>
    </row>
    <row r="522">
      <c r="A522" s="418"/>
      <c r="B522" s="418"/>
      <c r="C522" s="417"/>
      <c r="D522" s="417"/>
      <c r="E522" s="418"/>
      <c r="F522" s="418"/>
      <c r="G522" s="367"/>
      <c r="H522" s="418"/>
      <c r="I522" s="418"/>
      <c r="J522" s="418"/>
      <c r="K522" s="418"/>
      <c r="L522" s="420"/>
      <c r="M522" s="420"/>
      <c r="N522" s="420"/>
      <c r="O522" s="420"/>
      <c r="P522" s="420"/>
      <c r="Q522" s="420"/>
      <c r="R522" s="420"/>
      <c r="S522" s="420"/>
      <c r="T522" s="420"/>
      <c r="U522" s="420"/>
      <c r="V522" s="420"/>
      <c r="W522" s="420"/>
      <c r="X522" s="420"/>
      <c r="Y522" s="420"/>
      <c r="Z522" s="367"/>
      <c r="AA522" s="420"/>
      <c r="AB522" s="420"/>
      <c r="AC522" s="420"/>
      <c r="AD522" s="420"/>
      <c r="AE522" s="420"/>
      <c r="AF522" s="367"/>
      <c r="AG522" s="420"/>
      <c r="AH522" s="367"/>
      <c r="AI522" s="367"/>
      <c r="AJ522" s="367"/>
      <c r="AK522" s="358"/>
      <c r="AL522" s="358"/>
      <c r="AM522" s="358"/>
      <c r="AN522" s="358"/>
      <c r="AO522" s="358"/>
      <c r="AP522" s="367"/>
      <c r="AQ522" s="367"/>
      <c r="AR522" s="367"/>
    </row>
    <row r="523">
      <c r="A523" s="418"/>
      <c r="B523" s="418"/>
      <c r="C523" s="417"/>
      <c r="D523" s="417"/>
      <c r="E523" s="418"/>
      <c r="F523" s="418"/>
      <c r="G523" s="367"/>
      <c r="H523" s="418"/>
      <c r="I523" s="418"/>
      <c r="J523" s="418"/>
      <c r="K523" s="418"/>
      <c r="L523" s="420"/>
      <c r="M523" s="420"/>
      <c r="N523" s="420"/>
      <c r="O523" s="420"/>
      <c r="P523" s="420"/>
      <c r="Q523" s="420"/>
      <c r="R523" s="420"/>
      <c r="S523" s="420"/>
      <c r="T523" s="420"/>
      <c r="U523" s="420"/>
      <c r="V523" s="420"/>
      <c r="W523" s="420"/>
      <c r="X523" s="420"/>
      <c r="Y523" s="420"/>
      <c r="Z523" s="367"/>
      <c r="AA523" s="420"/>
      <c r="AB523" s="420"/>
      <c r="AC523" s="420"/>
      <c r="AD523" s="420"/>
      <c r="AE523" s="420"/>
      <c r="AF523" s="367"/>
      <c r="AG523" s="420"/>
      <c r="AH523" s="367"/>
      <c r="AI523" s="367"/>
      <c r="AJ523" s="367"/>
      <c r="AK523" s="358"/>
      <c r="AL523" s="358"/>
      <c r="AM523" s="358"/>
      <c r="AN523" s="358"/>
      <c r="AO523" s="358"/>
      <c r="AP523" s="367"/>
      <c r="AQ523" s="367"/>
      <c r="AR523" s="367"/>
    </row>
    <row r="524">
      <c r="A524" s="418"/>
      <c r="B524" s="418"/>
      <c r="C524" s="417"/>
      <c r="D524" s="417"/>
      <c r="E524" s="418"/>
      <c r="F524" s="418"/>
      <c r="G524" s="367"/>
      <c r="H524" s="418"/>
      <c r="I524" s="418"/>
      <c r="J524" s="418"/>
      <c r="K524" s="418"/>
      <c r="L524" s="420"/>
      <c r="M524" s="420"/>
      <c r="N524" s="420"/>
      <c r="O524" s="420"/>
      <c r="P524" s="420"/>
      <c r="Q524" s="420"/>
      <c r="R524" s="420"/>
      <c r="S524" s="420"/>
      <c r="T524" s="420"/>
      <c r="U524" s="420"/>
      <c r="V524" s="420"/>
      <c r="W524" s="420"/>
      <c r="X524" s="420"/>
      <c r="Y524" s="420"/>
      <c r="Z524" s="367"/>
      <c r="AA524" s="420"/>
      <c r="AB524" s="420"/>
      <c r="AC524" s="420"/>
      <c r="AD524" s="420"/>
      <c r="AE524" s="420"/>
      <c r="AF524" s="367"/>
      <c r="AG524" s="420"/>
      <c r="AH524" s="367"/>
      <c r="AI524" s="367"/>
      <c r="AJ524" s="367"/>
      <c r="AK524" s="358"/>
      <c r="AL524" s="358"/>
      <c r="AM524" s="358"/>
      <c r="AN524" s="358"/>
      <c r="AO524" s="358"/>
      <c r="AP524" s="367"/>
      <c r="AQ524" s="367"/>
      <c r="AR524" s="367"/>
    </row>
    <row r="525">
      <c r="A525" s="418"/>
      <c r="B525" s="418"/>
      <c r="C525" s="417"/>
      <c r="D525" s="417"/>
      <c r="E525" s="418"/>
      <c r="F525" s="418"/>
      <c r="G525" s="367"/>
      <c r="H525" s="418"/>
      <c r="I525" s="418"/>
      <c r="J525" s="418"/>
      <c r="K525" s="418"/>
      <c r="L525" s="420"/>
      <c r="M525" s="420"/>
      <c r="N525" s="420"/>
      <c r="O525" s="420"/>
      <c r="P525" s="420"/>
      <c r="Q525" s="420"/>
      <c r="R525" s="420"/>
      <c r="S525" s="420"/>
      <c r="T525" s="420"/>
      <c r="U525" s="420"/>
      <c r="V525" s="420"/>
      <c r="W525" s="420"/>
      <c r="X525" s="420"/>
      <c r="Y525" s="420"/>
      <c r="Z525" s="367"/>
      <c r="AA525" s="420"/>
      <c r="AB525" s="420"/>
      <c r="AC525" s="420"/>
      <c r="AD525" s="420"/>
      <c r="AE525" s="420"/>
      <c r="AF525" s="367"/>
      <c r="AG525" s="420"/>
      <c r="AH525" s="367"/>
      <c r="AI525" s="367"/>
      <c r="AJ525" s="367"/>
      <c r="AK525" s="358"/>
      <c r="AL525" s="358"/>
      <c r="AM525" s="358"/>
      <c r="AN525" s="358"/>
      <c r="AO525" s="358"/>
      <c r="AP525" s="367"/>
      <c r="AQ525" s="367"/>
      <c r="AR525" s="367"/>
    </row>
    <row r="526">
      <c r="A526" s="418"/>
      <c r="B526" s="418"/>
      <c r="C526" s="417"/>
      <c r="D526" s="417"/>
      <c r="E526" s="418"/>
      <c r="F526" s="418"/>
      <c r="G526" s="367"/>
      <c r="H526" s="418"/>
      <c r="I526" s="418"/>
      <c r="J526" s="418"/>
      <c r="K526" s="418"/>
      <c r="L526" s="420"/>
      <c r="M526" s="420"/>
      <c r="N526" s="420"/>
      <c r="O526" s="420"/>
      <c r="P526" s="420"/>
      <c r="Q526" s="420"/>
      <c r="R526" s="420"/>
      <c r="S526" s="420"/>
      <c r="T526" s="420"/>
      <c r="U526" s="420"/>
      <c r="V526" s="420"/>
      <c r="W526" s="420"/>
      <c r="X526" s="420"/>
      <c r="Y526" s="420"/>
      <c r="Z526" s="367"/>
      <c r="AA526" s="420"/>
      <c r="AB526" s="420"/>
      <c r="AC526" s="420"/>
      <c r="AD526" s="420"/>
      <c r="AE526" s="420"/>
      <c r="AF526" s="367"/>
      <c r="AG526" s="420"/>
      <c r="AH526" s="367"/>
      <c r="AI526" s="367"/>
      <c r="AJ526" s="367"/>
      <c r="AK526" s="358"/>
      <c r="AL526" s="358"/>
      <c r="AM526" s="358"/>
      <c r="AN526" s="358"/>
      <c r="AO526" s="358"/>
      <c r="AP526" s="367"/>
      <c r="AQ526" s="367"/>
      <c r="AR526" s="367"/>
    </row>
    <row r="527">
      <c r="A527" s="418"/>
      <c r="B527" s="418"/>
      <c r="C527" s="417"/>
      <c r="D527" s="417"/>
      <c r="E527" s="418"/>
      <c r="F527" s="418"/>
      <c r="G527" s="367"/>
      <c r="H527" s="418"/>
      <c r="I527" s="418"/>
      <c r="J527" s="418"/>
      <c r="K527" s="418"/>
      <c r="L527" s="420"/>
      <c r="M527" s="420"/>
      <c r="N527" s="420"/>
      <c r="O527" s="420"/>
      <c r="P527" s="420"/>
      <c r="Q527" s="420"/>
      <c r="R527" s="420"/>
      <c r="S527" s="420"/>
      <c r="T527" s="420"/>
      <c r="U527" s="420"/>
      <c r="V527" s="420"/>
      <c r="W527" s="420"/>
      <c r="X527" s="420"/>
      <c r="Y527" s="420"/>
      <c r="Z527" s="367"/>
      <c r="AA527" s="420"/>
      <c r="AB527" s="420"/>
      <c r="AC527" s="420"/>
      <c r="AD527" s="420"/>
      <c r="AE527" s="420"/>
      <c r="AF527" s="367"/>
      <c r="AG527" s="420"/>
      <c r="AH527" s="367"/>
      <c r="AI527" s="367"/>
      <c r="AJ527" s="367"/>
      <c r="AK527" s="358"/>
      <c r="AL527" s="358"/>
      <c r="AM527" s="358"/>
      <c r="AN527" s="358"/>
      <c r="AO527" s="358"/>
      <c r="AP527" s="367"/>
      <c r="AQ527" s="367"/>
      <c r="AR527" s="367"/>
    </row>
    <row r="528">
      <c r="A528" s="418"/>
      <c r="B528" s="418"/>
      <c r="C528" s="417"/>
      <c r="D528" s="417"/>
      <c r="E528" s="418"/>
      <c r="F528" s="418"/>
      <c r="G528" s="367"/>
      <c r="H528" s="418"/>
      <c r="I528" s="418"/>
      <c r="J528" s="418"/>
      <c r="K528" s="418"/>
      <c r="L528" s="420"/>
      <c r="M528" s="420"/>
      <c r="N528" s="420"/>
      <c r="O528" s="420"/>
      <c r="P528" s="420"/>
      <c r="Q528" s="420"/>
      <c r="R528" s="420"/>
      <c r="S528" s="420"/>
      <c r="T528" s="420"/>
      <c r="U528" s="420"/>
      <c r="V528" s="420"/>
      <c r="W528" s="420"/>
      <c r="X528" s="420"/>
      <c r="Y528" s="420"/>
      <c r="Z528" s="367"/>
      <c r="AA528" s="420"/>
      <c r="AB528" s="420"/>
      <c r="AC528" s="420"/>
      <c r="AD528" s="420"/>
      <c r="AE528" s="420"/>
      <c r="AF528" s="367"/>
      <c r="AG528" s="420"/>
      <c r="AH528" s="367"/>
      <c r="AI528" s="367"/>
      <c r="AJ528" s="367"/>
      <c r="AK528" s="358"/>
      <c r="AL528" s="358"/>
      <c r="AM528" s="358"/>
      <c r="AN528" s="358"/>
      <c r="AO528" s="358"/>
      <c r="AP528" s="367"/>
      <c r="AQ528" s="367"/>
      <c r="AR528" s="367"/>
    </row>
    <row r="529">
      <c r="A529" s="418"/>
      <c r="B529" s="418"/>
      <c r="C529" s="417"/>
      <c r="D529" s="417"/>
      <c r="E529" s="418"/>
      <c r="F529" s="418"/>
      <c r="G529" s="367"/>
      <c r="H529" s="418"/>
      <c r="I529" s="418"/>
      <c r="J529" s="418"/>
      <c r="K529" s="418"/>
      <c r="L529" s="420"/>
      <c r="M529" s="420"/>
      <c r="N529" s="420"/>
      <c r="O529" s="420"/>
      <c r="P529" s="420"/>
      <c r="Q529" s="420"/>
      <c r="R529" s="420"/>
      <c r="S529" s="420"/>
      <c r="T529" s="420"/>
      <c r="U529" s="420"/>
      <c r="V529" s="420"/>
      <c r="W529" s="420"/>
      <c r="X529" s="420"/>
      <c r="Y529" s="420"/>
      <c r="Z529" s="367"/>
      <c r="AA529" s="420"/>
      <c r="AB529" s="420"/>
      <c r="AC529" s="420"/>
      <c r="AD529" s="420"/>
      <c r="AE529" s="420"/>
      <c r="AF529" s="367"/>
      <c r="AG529" s="420"/>
      <c r="AH529" s="367"/>
      <c r="AI529" s="367"/>
      <c r="AJ529" s="367"/>
      <c r="AK529" s="358"/>
      <c r="AL529" s="358"/>
      <c r="AM529" s="358"/>
      <c r="AN529" s="358"/>
      <c r="AO529" s="358"/>
      <c r="AP529" s="367"/>
      <c r="AQ529" s="367"/>
      <c r="AR529" s="367"/>
    </row>
    <row r="530">
      <c r="A530" s="418"/>
      <c r="B530" s="418"/>
      <c r="C530" s="417"/>
      <c r="D530" s="417"/>
      <c r="E530" s="418"/>
      <c r="F530" s="418"/>
      <c r="G530" s="367"/>
      <c r="H530" s="418"/>
      <c r="I530" s="418"/>
      <c r="J530" s="418"/>
      <c r="K530" s="418"/>
      <c r="L530" s="420"/>
      <c r="M530" s="420"/>
      <c r="N530" s="420"/>
      <c r="O530" s="420"/>
      <c r="P530" s="420"/>
      <c r="Q530" s="420"/>
      <c r="R530" s="420"/>
      <c r="S530" s="420"/>
      <c r="T530" s="420"/>
      <c r="U530" s="420"/>
      <c r="V530" s="420"/>
      <c r="W530" s="420"/>
      <c r="X530" s="420"/>
      <c r="Y530" s="420"/>
      <c r="Z530" s="367"/>
      <c r="AA530" s="420"/>
      <c r="AB530" s="420"/>
      <c r="AC530" s="420"/>
      <c r="AD530" s="420"/>
      <c r="AE530" s="420"/>
      <c r="AF530" s="367"/>
      <c r="AG530" s="420"/>
      <c r="AH530" s="367"/>
      <c r="AI530" s="367"/>
      <c r="AJ530" s="367"/>
      <c r="AK530" s="358"/>
      <c r="AL530" s="358"/>
      <c r="AM530" s="358"/>
      <c r="AN530" s="358"/>
      <c r="AO530" s="358"/>
      <c r="AP530" s="367"/>
      <c r="AQ530" s="367"/>
      <c r="AR530" s="367"/>
    </row>
    <row r="531">
      <c r="A531" s="418"/>
      <c r="B531" s="418"/>
      <c r="C531" s="417"/>
      <c r="D531" s="417"/>
      <c r="E531" s="418"/>
      <c r="F531" s="418"/>
      <c r="G531" s="367"/>
      <c r="H531" s="418"/>
      <c r="I531" s="418"/>
      <c r="J531" s="418"/>
      <c r="K531" s="418"/>
      <c r="L531" s="420"/>
      <c r="M531" s="420"/>
      <c r="N531" s="420"/>
      <c r="O531" s="420"/>
      <c r="P531" s="420"/>
      <c r="Q531" s="420"/>
      <c r="R531" s="420"/>
      <c r="S531" s="420"/>
      <c r="T531" s="420"/>
      <c r="U531" s="420"/>
      <c r="V531" s="420"/>
      <c r="W531" s="420"/>
      <c r="X531" s="420"/>
      <c r="Y531" s="420"/>
      <c r="Z531" s="367"/>
      <c r="AA531" s="420"/>
      <c r="AB531" s="420"/>
      <c r="AC531" s="420"/>
      <c r="AD531" s="420"/>
      <c r="AE531" s="420"/>
      <c r="AF531" s="367"/>
      <c r="AG531" s="420"/>
      <c r="AH531" s="367"/>
      <c r="AI531" s="367"/>
      <c r="AJ531" s="367"/>
      <c r="AK531" s="358"/>
      <c r="AL531" s="358"/>
      <c r="AM531" s="358"/>
      <c r="AN531" s="358"/>
      <c r="AO531" s="358"/>
      <c r="AP531" s="367"/>
      <c r="AQ531" s="367"/>
      <c r="AR531" s="367"/>
    </row>
    <row r="532">
      <c r="A532" s="418"/>
      <c r="B532" s="418"/>
      <c r="C532" s="417"/>
      <c r="D532" s="417"/>
      <c r="E532" s="418"/>
      <c r="F532" s="418"/>
      <c r="G532" s="367"/>
      <c r="H532" s="418"/>
      <c r="I532" s="418"/>
      <c r="J532" s="418"/>
      <c r="K532" s="418"/>
      <c r="L532" s="420"/>
      <c r="M532" s="420"/>
      <c r="N532" s="420"/>
      <c r="O532" s="420"/>
      <c r="P532" s="420"/>
      <c r="Q532" s="420"/>
      <c r="R532" s="420"/>
      <c r="S532" s="420"/>
      <c r="T532" s="420"/>
      <c r="U532" s="420"/>
      <c r="V532" s="420"/>
      <c r="W532" s="420"/>
      <c r="X532" s="420"/>
      <c r="Y532" s="420"/>
      <c r="Z532" s="367"/>
      <c r="AA532" s="420"/>
      <c r="AB532" s="420"/>
      <c r="AC532" s="420"/>
      <c r="AD532" s="420"/>
      <c r="AE532" s="420"/>
      <c r="AF532" s="367"/>
      <c r="AG532" s="420"/>
      <c r="AH532" s="367"/>
      <c r="AI532" s="367"/>
      <c r="AJ532" s="367"/>
      <c r="AK532" s="358"/>
      <c r="AL532" s="358"/>
      <c r="AM532" s="358"/>
      <c r="AN532" s="358"/>
      <c r="AO532" s="358"/>
      <c r="AP532" s="367"/>
      <c r="AQ532" s="367"/>
      <c r="AR532" s="367"/>
    </row>
    <row r="533">
      <c r="A533" s="418"/>
      <c r="B533" s="418"/>
      <c r="C533" s="417"/>
      <c r="D533" s="417"/>
      <c r="E533" s="418"/>
      <c r="F533" s="418"/>
      <c r="G533" s="367"/>
      <c r="H533" s="418"/>
      <c r="I533" s="418"/>
      <c r="J533" s="418"/>
      <c r="K533" s="418"/>
      <c r="L533" s="420"/>
      <c r="M533" s="420"/>
      <c r="N533" s="420"/>
      <c r="O533" s="420"/>
      <c r="P533" s="420"/>
      <c r="Q533" s="420"/>
      <c r="R533" s="420"/>
      <c r="S533" s="420"/>
      <c r="T533" s="420"/>
      <c r="U533" s="420"/>
      <c r="V533" s="420"/>
      <c r="W533" s="420"/>
      <c r="X533" s="420"/>
      <c r="Y533" s="420"/>
      <c r="Z533" s="367"/>
      <c r="AA533" s="420"/>
      <c r="AB533" s="420"/>
      <c r="AC533" s="420"/>
      <c r="AD533" s="420"/>
      <c r="AE533" s="420"/>
      <c r="AF533" s="367"/>
      <c r="AG533" s="420"/>
      <c r="AH533" s="367"/>
      <c r="AI533" s="367"/>
      <c r="AJ533" s="367"/>
      <c r="AK533" s="358"/>
      <c r="AL533" s="358"/>
      <c r="AM533" s="358"/>
      <c r="AN533" s="358"/>
      <c r="AO533" s="358"/>
      <c r="AP533" s="367"/>
      <c r="AQ533" s="367"/>
      <c r="AR533" s="367"/>
    </row>
    <row r="534">
      <c r="A534" s="418"/>
      <c r="B534" s="418"/>
      <c r="C534" s="417"/>
      <c r="D534" s="417"/>
      <c r="E534" s="418"/>
      <c r="F534" s="418"/>
      <c r="G534" s="367"/>
      <c r="H534" s="418"/>
      <c r="I534" s="418"/>
      <c r="J534" s="418"/>
      <c r="K534" s="418"/>
      <c r="L534" s="420"/>
      <c r="M534" s="420"/>
      <c r="N534" s="420"/>
      <c r="O534" s="420"/>
      <c r="P534" s="420"/>
      <c r="Q534" s="420"/>
      <c r="R534" s="420"/>
      <c r="S534" s="420"/>
      <c r="T534" s="420"/>
      <c r="U534" s="420"/>
      <c r="V534" s="420"/>
      <c r="W534" s="420"/>
      <c r="X534" s="420"/>
      <c r="Y534" s="420"/>
      <c r="Z534" s="367"/>
      <c r="AA534" s="420"/>
      <c r="AB534" s="420"/>
      <c r="AC534" s="420"/>
      <c r="AD534" s="420"/>
      <c r="AE534" s="420"/>
      <c r="AF534" s="367"/>
      <c r="AG534" s="420"/>
      <c r="AH534" s="367"/>
      <c r="AI534" s="367"/>
      <c r="AJ534" s="367"/>
      <c r="AK534" s="358"/>
      <c r="AL534" s="358"/>
      <c r="AM534" s="358"/>
      <c r="AN534" s="358"/>
      <c r="AO534" s="358"/>
      <c r="AP534" s="367"/>
      <c r="AQ534" s="367"/>
      <c r="AR534" s="367"/>
    </row>
    <row r="535">
      <c r="A535" s="418"/>
      <c r="B535" s="418"/>
      <c r="C535" s="417"/>
      <c r="D535" s="417"/>
      <c r="E535" s="418"/>
      <c r="F535" s="418"/>
      <c r="G535" s="367"/>
      <c r="H535" s="418"/>
      <c r="I535" s="418"/>
      <c r="J535" s="418"/>
      <c r="K535" s="418"/>
      <c r="L535" s="420"/>
      <c r="M535" s="420"/>
      <c r="N535" s="420"/>
      <c r="O535" s="420"/>
      <c r="P535" s="420"/>
      <c r="Q535" s="420"/>
      <c r="R535" s="420"/>
      <c r="S535" s="420"/>
      <c r="T535" s="420"/>
      <c r="U535" s="420"/>
      <c r="V535" s="420"/>
      <c r="W535" s="420"/>
      <c r="X535" s="420"/>
      <c r="Y535" s="420"/>
      <c r="Z535" s="367"/>
      <c r="AA535" s="420"/>
      <c r="AB535" s="420"/>
      <c r="AC535" s="420"/>
      <c r="AD535" s="420"/>
      <c r="AE535" s="420"/>
      <c r="AF535" s="367"/>
      <c r="AG535" s="420"/>
      <c r="AH535" s="367"/>
      <c r="AI535" s="367"/>
      <c r="AJ535" s="367"/>
      <c r="AK535" s="358"/>
      <c r="AL535" s="358"/>
      <c r="AM535" s="358"/>
      <c r="AN535" s="358"/>
      <c r="AO535" s="358"/>
      <c r="AP535" s="367"/>
      <c r="AQ535" s="367"/>
      <c r="AR535" s="367"/>
    </row>
    <row r="536">
      <c r="A536" s="418"/>
      <c r="B536" s="418"/>
      <c r="C536" s="417"/>
      <c r="D536" s="417"/>
      <c r="E536" s="418"/>
      <c r="F536" s="418"/>
      <c r="G536" s="367"/>
      <c r="H536" s="418"/>
      <c r="I536" s="418"/>
      <c r="J536" s="418"/>
      <c r="K536" s="418"/>
      <c r="L536" s="420"/>
      <c r="M536" s="420"/>
      <c r="N536" s="420"/>
      <c r="O536" s="420"/>
      <c r="P536" s="420"/>
      <c r="Q536" s="420"/>
      <c r="R536" s="420"/>
      <c r="S536" s="420"/>
      <c r="T536" s="420"/>
      <c r="U536" s="420"/>
      <c r="V536" s="420"/>
      <c r="W536" s="420"/>
      <c r="X536" s="420"/>
      <c r="Y536" s="420"/>
      <c r="Z536" s="367"/>
      <c r="AA536" s="420"/>
      <c r="AB536" s="420"/>
      <c r="AC536" s="420"/>
      <c r="AD536" s="420"/>
      <c r="AE536" s="420"/>
      <c r="AF536" s="367"/>
      <c r="AG536" s="420"/>
      <c r="AH536" s="367"/>
      <c r="AI536" s="367"/>
      <c r="AJ536" s="367"/>
      <c r="AK536" s="358"/>
      <c r="AL536" s="358"/>
      <c r="AM536" s="358"/>
      <c r="AN536" s="358"/>
      <c r="AO536" s="358"/>
      <c r="AP536" s="367"/>
      <c r="AQ536" s="367"/>
      <c r="AR536" s="367"/>
    </row>
    <row r="537">
      <c r="A537" s="418"/>
      <c r="B537" s="418"/>
      <c r="C537" s="417"/>
      <c r="D537" s="417"/>
      <c r="E537" s="418"/>
      <c r="F537" s="418"/>
      <c r="G537" s="367"/>
      <c r="H537" s="418"/>
      <c r="I537" s="418"/>
      <c r="J537" s="418"/>
      <c r="K537" s="418"/>
      <c r="L537" s="420"/>
      <c r="M537" s="420"/>
      <c r="N537" s="420"/>
      <c r="O537" s="420"/>
      <c r="P537" s="420"/>
      <c r="Q537" s="420"/>
      <c r="R537" s="420"/>
      <c r="S537" s="420"/>
      <c r="T537" s="420"/>
      <c r="U537" s="420"/>
      <c r="V537" s="420"/>
      <c r="W537" s="420"/>
      <c r="X537" s="420"/>
      <c r="Y537" s="420"/>
      <c r="Z537" s="367"/>
      <c r="AA537" s="420"/>
      <c r="AB537" s="420"/>
      <c r="AC537" s="420"/>
      <c r="AD537" s="420"/>
      <c r="AE537" s="420"/>
      <c r="AF537" s="367"/>
      <c r="AG537" s="420"/>
      <c r="AH537" s="367"/>
      <c r="AI537" s="367"/>
      <c r="AJ537" s="367"/>
      <c r="AK537" s="358"/>
      <c r="AL537" s="358"/>
      <c r="AM537" s="358"/>
      <c r="AN537" s="358"/>
      <c r="AO537" s="358"/>
      <c r="AP537" s="367"/>
      <c r="AQ537" s="367"/>
      <c r="AR537" s="367"/>
    </row>
    <row r="538">
      <c r="A538" s="418"/>
      <c r="B538" s="418"/>
      <c r="C538" s="417"/>
      <c r="D538" s="417"/>
      <c r="E538" s="418"/>
      <c r="F538" s="418"/>
      <c r="G538" s="367"/>
      <c r="H538" s="418"/>
      <c r="I538" s="418"/>
      <c r="J538" s="418"/>
      <c r="K538" s="418"/>
      <c r="L538" s="420"/>
      <c r="M538" s="420"/>
      <c r="N538" s="420"/>
      <c r="O538" s="420"/>
      <c r="P538" s="420"/>
      <c r="Q538" s="420"/>
      <c r="R538" s="420"/>
      <c r="S538" s="420"/>
      <c r="T538" s="420"/>
      <c r="U538" s="420"/>
      <c r="V538" s="420"/>
      <c r="W538" s="420"/>
      <c r="X538" s="420"/>
      <c r="Y538" s="420"/>
      <c r="Z538" s="367"/>
      <c r="AA538" s="420"/>
      <c r="AB538" s="420"/>
      <c r="AC538" s="420"/>
      <c r="AD538" s="420"/>
      <c r="AE538" s="420"/>
      <c r="AF538" s="367"/>
      <c r="AG538" s="420"/>
      <c r="AH538" s="367"/>
      <c r="AI538" s="367"/>
      <c r="AJ538" s="367"/>
      <c r="AK538" s="358"/>
      <c r="AL538" s="358"/>
      <c r="AM538" s="358"/>
      <c r="AN538" s="358"/>
      <c r="AO538" s="358"/>
      <c r="AP538" s="367"/>
      <c r="AQ538" s="367"/>
      <c r="AR538" s="367"/>
    </row>
    <row r="539">
      <c r="A539" s="418"/>
      <c r="B539" s="418"/>
      <c r="C539" s="417"/>
      <c r="D539" s="417"/>
      <c r="E539" s="418"/>
      <c r="F539" s="418"/>
      <c r="G539" s="367"/>
      <c r="H539" s="418"/>
      <c r="I539" s="418"/>
      <c r="J539" s="418"/>
      <c r="K539" s="418"/>
      <c r="L539" s="420"/>
      <c r="M539" s="420"/>
      <c r="N539" s="420"/>
      <c r="O539" s="420"/>
      <c r="P539" s="420"/>
      <c r="Q539" s="420"/>
      <c r="R539" s="420"/>
      <c r="S539" s="420"/>
      <c r="T539" s="420"/>
      <c r="U539" s="420"/>
      <c r="V539" s="420"/>
      <c r="W539" s="420"/>
      <c r="X539" s="420"/>
      <c r="Y539" s="420"/>
      <c r="Z539" s="367"/>
      <c r="AA539" s="420"/>
      <c r="AB539" s="420"/>
      <c r="AC539" s="420"/>
      <c r="AD539" s="420"/>
      <c r="AE539" s="420"/>
      <c r="AF539" s="367"/>
      <c r="AG539" s="420"/>
      <c r="AH539" s="367"/>
      <c r="AI539" s="367"/>
      <c r="AJ539" s="367"/>
      <c r="AK539" s="358"/>
      <c r="AL539" s="358"/>
      <c r="AM539" s="358"/>
      <c r="AN539" s="358"/>
      <c r="AO539" s="358"/>
      <c r="AP539" s="367"/>
      <c r="AQ539" s="367"/>
      <c r="AR539" s="367"/>
    </row>
    <row r="540">
      <c r="A540" s="418"/>
      <c r="B540" s="418"/>
      <c r="C540" s="417"/>
      <c r="D540" s="417"/>
      <c r="E540" s="418"/>
      <c r="F540" s="418"/>
      <c r="G540" s="367"/>
      <c r="H540" s="418"/>
      <c r="I540" s="418"/>
      <c r="J540" s="418"/>
      <c r="K540" s="418"/>
      <c r="L540" s="420"/>
      <c r="M540" s="420"/>
      <c r="N540" s="420"/>
      <c r="O540" s="420"/>
      <c r="P540" s="420"/>
      <c r="Q540" s="420"/>
      <c r="R540" s="420"/>
      <c r="S540" s="420"/>
      <c r="T540" s="420"/>
      <c r="U540" s="420"/>
      <c r="V540" s="420"/>
      <c r="W540" s="420"/>
      <c r="X540" s="420"/>
      <c r="Y540" s="420"/>
      <c r="Z540" s="367"/>
      <c r="AA540" s="420"/>
      <c r="AB540" s="420"/>
      <c r="AC540" s="420"/>
      <c r="AD540" s="420"/>
      <c r="AE540" s="420"/>
      <c r="AF540" s="367"/>
      <c r="AG540" s="420"/>
      <c r="AH540" s="367"/>
      <c r="AI540" s="367"/>
      <c r="AJ540" s="367"/>
      <c r="AK540" s="358"/>
      <c r="AL540" s="358"/>
      <c r="AM540" s="358"/>
      <c r="AN540" s="358"/>
      <c r="AO540" s="358"/>
      <c r="AP540" s="367"/>
      <c r="AQ540" s="367"/>
      <c r="AR540" s="367"/>
    </row>
    <row r="541">
      <c r="A541" s="418"/>
      <c r="B541" s="418"/>
      <c r="C541" s="417"/>
      <c r="D541" s="417"/>
      <c r="E541" s="418"/>
      <c r="F541" s="418"/>
      <c r="G541" s="367"/>
      <c r="H541" s="418"/>
      <c r="I541" s="418"/>
      <c r="J541" s="418"/>
      <c r="K541" s="418"/>
      <c r="L541" s="420"/>
      <c r="M541" s="420"/>
      <c r="N541" s="420"/>
      <c r="O541" s="420"/>
      <c r="P541" s="420"/>
      <c r="Q541" s="420"/>
      <c r="R541" s="420"/>
      <c r="S541" s="420"/>
      <c r="T541" s="420"/>
      <c r="U541" s="420"/>
      <c r="V541" s="420"/>
      <c r="W541" s="420"/>
      <c r="X541" s="420"/>
      <c r="Y541" s="420"/>
      <c r="Z541" s="367"/>
      <c r="AA541" s="420"/>
      <c r="AB541" s="420"/>
      <c r="AC541" s="420"/>
      <c r="AD541" s="420"/>
      <c r="AE541" s="420"/>
      <c r="AF541" s="367"/>
      <c r="AG541" s="420"/>
      <c r="AH541" s="367"/>
      <c r="AI541" s="367"/>
      <c r="AJ541" s="367"/>
      <c r="AK541" s="358"/>
      <c r="AL541" s="358"/>
      <c r="AM541" s="358"/>
      <c r="AN541" s="358"/>
      <c r="AO541" s="358"/>
      <c r="AP541" s="367"/>
      <c r="AQ541" s="367"/>
      <c r="AR541" s="367"/>
    </row>
    <row r="542">
      <c r="A542" s="418"/>
      <c r="B542" s="418"/>
      <c r="C542" s="417"/>
      <c r="D542" s="417"/>
      <c r="E542" s="418"/>
      <c r="F542" s="418"/>
      <c r="G542" s="367"/>
      <c r="H542" s="418"/>
      <c r="I542" s="418"/>
      <c r="J542" s="418"/>
      <c r="K542" s="418"/>
      <c r="L542" s="420"/>
      <c r="M542" s="420"/>
      <c r="N542" s="420"/>
      <c r="O542" s="420"/>
      <c r="P542" s="420"/>
      <c r="Q542" s="420"/>
      <c r="R542" s="420"/>
      <c r="S542" s="420"/>
      <c r="T542" s="420"/>
      <c r="U542" s="420"/>
      <c r="V542" s="420"/>
      <c r="W542" s="420"/>
      <c r="X542" s="420"/>
      <c r="Y542" s="420"/>
      <c r="Z542" s="367"/>
      <c r="AA542" s="420"/>
      <c r="AB542" s="420"/>
      <c r="AC542" s="420"/>
      <c r="AD542" s="420"/>
      <c r="AE542" s="420"/>
      <c r="AF542" s="367"/>
      <c r="AG542" s="420"/>
      <c r="AH542" s="367"/>
      <c r="AI542" s="367"/>
      <c r="AJ542" s="367"/>
      <c r="AK542" s="358"/>
      <c r="AL542" s="358"/>
      <c r="AM542" s="358"/>
      <c r="AN542" s="358"/>
      <c r="AO542" s="358"/>
      <c r="AP542" s="367"/>
      <c r="AQ542" s="367"/>
      <c r="AR542" s="367"/>
    </row>
    <row r="543">
      <c r="A543" s="418"/>
      <c r="B543" s="418"/>
      <c r="C543" s="417"/>
      <c r="D543" s="417"/>
      <c r="E543" s="418"/>
      <c r="F543" s="418"/>
      <c r="G543" s="367"/>
      <c r="H543" s="418"/>
      <c r="I543" s="418"/>
      <c r="J543" s="418"/>
      <c r="K543" s="418"/>
      <c r="L543" s="420"/>
      <c r="M543" s="420"/>
      <c r="N543" s="420"/>
      <c r="O543" s="420"/>
      <c r="P543" s="420"/>
      <c r="Q543" s="420"/>
      <c r="R543" s="420"/>
      <c r="S543" s="420"/>
      <c r="T543" s="420"/>
      <c r="U543" s="420"/>
      <c r="V543" s="420"/>
      <c r="W543" s="420"/>
      <c r="X543" s="420"/>
      <c r="Y543" s="420"/>
      <c r="Z543" s="367"/>
      <c r="AA543" s="420"/>
      <c r="AB543" s="420"/>
      <c r="AC543" s="420"/>
      <c r="AD543" s="420"/>
      <c r="AE543" s="420"/>
      <c r="AF543" s="367"/>
      <c r="AG543" s="420"/>
      <c r="AH543" s="367"/>
      <c r="AI543" s="367"/>
      <c r="AJ543" s="367"/>
      <c r="AK543" s="358"/>
      <c r="AL543" s="358"/>
      <c r="AM543" s="358"/>
      <c r="AN543" s="358"/>
      <c r="AO543" s="358"/>
      <c r="AP543" s="367"/>
      <c r="AQ543" s="367"/>
      <c r="AR543" s="367"/>
    </row>
    <row r="544">
      <c r="A544" s="418"/>
      <c r="B544" s="418"/>
      <c r="C544" s="417"/>
      <c r="D544" s="417"/>
      <c r="E544" s="418"/>
      <c r="F544" s="418"/>
      <c r="G544" s="367"/>
      <c r="H544" s="418"/>
      <c r="I544" s="418"/>
      <c r="J544" s="418"/>
      <c r="K544" s="418"/>
      <c r="L544" s="420"/>
      <c r="M544" s="420"/>
      <c r="N544" s="420"/>
      <c r="O544" s="420"/>
      <c r="P544" s="420"/>
      <c r="Q544" s="420"/>
      <c r="R544" s="420"/>
      <c r="S544" s="420"/>
      <c r="T544" s="420"/>
      <c r="U544" s="420"/>
      <c r="V544" s="420"/>
      <c r="W544" s="420"/>
      <c r="X544" s="420"/>
      <c r="Y544" s="420"/>
      <c r="Z544" s="367"/>
      <c r="AA544" s="420"/>
      <c r="AB544" s="420"/>
      <c r="AC544" s="420"/>
      <c r="AD544" s="420"/>
      <c r="AE544" s="420"/>
      <c r="AF544" s="367"/>
      <c r="AG544" s="420"/>
      <c r="AH544" s="367"/>
      <c r="AI544" s="367"/>
      <c r="AJ544" s="367"/>
      <c r="AK544" s="358"/>
      <c r="AL544" s="358"/>
      <c r="AM544" s="358"/>
      <c r="AN544" s="358"/>
      <c r="AO544" s="358"/>
      <c r="AP544" s="367"/>
      <c r="AQ544" s="367"/>
      <c r="AR544" s="367"/>
    </row>
    <row r="545">
      <c r="A545" s="418"/>
      <c r="B545" s="418"/>
      <c r="C545" s="417"/>
      <c r="D545" s="417"/>
      <c r="E545" s="418"/>
      <c r="F545" s="418"/>
      <c r="G545" s="367"/>
      <c r="H545" s="418"/>
      <c r="I545" s="418"/>
      <c r="J545" s="418"/>
      <c r="K545" s="418"/>
      <c r="L545" s="420"/>
      <c r="M545" s="420"/>
      <c r="N545" s="420"/>
      <c r="O545" s="420"/>
      <c r="P545" s="420"/>
      <c r="Q545" s="420"/>
      <c r="R545" s="420"/>
      <c r="S545" s="420"/>
      <c r="T545" s="420"/>
      <c r="U545" s="420"/>
      <c r="V545" s="420"/>
      <c r="W545" s="420"/>
      <c r="X545" s="420"/>
      <c r="Y545" s="420"/>
      <c r="Z545" s="367"/>
      <c r="AA545" s="420"/>
      <c r="AB545" s="420"/>
      <c r="AC545" s="420"/>
      <c r="AD545" s="420"/>
      <c r="AE545" s="420"/>
      <c r="AF545" s="367"/>
      <c r="AG545" s="420"/>
      <c r="AH545" s="367"/>
      <c r="AI545" s="367"/>
      <c r="AJ545" s="367"/>
      <c r="AK545" s="358"/>
      <c r="AL545" s="358"/>
      <c r="AM545" s="358"/>
      <c r="AN545" s="358"/>
      <c r="AO545" s="358"/>
      <c r="AP545" s="367"/>
      <c r="AQ545" s="367"/>
      <c r="AR545" s="367"/>
    </row>
    <row r="546">
      <c r="A546" s="418"/>
      <c r="B546" s="418"/>
      <c r="C546" s="417"/>
      <c r="D546" s="417"/>
      <c r="E546" s="418"/>
      <c r="F546" s="418"/>
      <c r="G546" s="367"/>
      <c r="H546" s="418"/>
      <c r="I546" s="418"/>
      <c r="J546" s="418"/>
      <c r="K546" s="418"/>
      <c r="L546" s="420"/>
      <c r="M546" s="420"/>
      <c r="N546" s="420"/>
      <c r="O546" s="420"/>
      <c r="P546" s="420"/>
      <c r="Q546" s="420"/>
      <c r="R546" s="420"/>
      <c r="S546" s="420"/>
      <c r="T546" s="420"/>
      <c r="U546" s="420"/>
      <c r="V546" s="420"/>
      <c r="W546" s="420"/>
      <c r="X546" s="420"/>
      <c r="Y546" s="420"/>
      <c r="Z546" s="367"/>
      <c r="AA546" s="420"/>
      <c r="AB546" s="420"/>
      <c r="AC546" s="420"/>
      <c r="AD546" s="420"/>
      <c r="AE546" s="420"/>
      <c r="AF546" s="367"/>
      <c r="AG546" s="420"/>
      <c r="AH546" s="367"/>
      <c r="AI546" s="367"/>
      <c r="AJ546" s="367"/>
      <c r="AK546" s="358"/>
      <c r="AL546" s="358"/>
      <c r="AM546" s="358"/>
      <c r="AN546" s="358"/>
      <c r="AO546" s="358"/>
      <c r="AP546" s="367"/>
      <c r="AQ546" s="367"/>
      <c r="AR546" s="367"/>
    </row>
    <row r="547">
      <c r="A547" s="418"/>
      <c r="B547" s="418"/>
      <c r="C547" s="417"/>
      <c r="D547" s="417"/>
      <c r="E547" s="418"/>
      <c r="F547" s="418"/>
      <c r="G547" s="367"/>
      <c r="H547" s="418"/>
      <c r="I547" s="418"/>
      <c r="J547" s="418"/>
      <c r="K547" s="418"/>
      <c r="L547" s="420"/>
      <c r="M547" s="420"/>
      <c r="N547" s="420"/>
      <c r="O547" s="420"/>
      <c r="P547" s="420"/>
      <c r="Q547" s="420"/>
      <c r="R547" s="420"/>
      <c r="S547" s="420"/>
      <c r="T547" s="420"/>
      <c r="U547" s="420"/>
      <c r="V547" s="420"/>
      <c r="W547" s="420"/>
      <c r="X547" s="420"/>
      <c r="Y547" s="420"/>
      <c r="Z547" s="367"/>
      <c r="AA547" s="420"/>
      <c r="AB547" s="420"/>
      <c r="AC547" s="420"/>
      <c r="AD547" s="420"/>
      <c r="AE547" s="420"/>
      <c r="AF547" s="367"/>
      <c r="AG547" s="420"/>
      <c r="AH547" s="367"/>
      <c r="AI547" s="367"/>
      <c r="AJ547" s="367"/>
      <c r="AK547" s="358"/>
      <c r="AL547" s="358"/>
      <c r="AM547" s="358"/>
      <c r="AN547" s="358"/>
      <c r="AO547" s="358"/>
      <c r="AP547" s="367"/>
      <c r="AQ547" s="367"/>
      <c r="AR547" s="367"/>
    </row>
    <row r="548">
      <c r="A548" s="418"/>
      <c r="B548" s="418"/>
      <c r="C548" s="417"/>
      <c r="D548" s="417"/>
      <c r="E548" s="418"/>
      <c r="F548" s="418"/>
      <c r="G548" s="367"/>
      <c r="H548" s="418"/>
      <c r="I548" s="418"/>
      <c r="J548" s="418"/>
      <c r="K548" s="418"/>
      <c r="L548" s="420"/>
      <c r="M548" s="420"/>
      <c r="N548" s="420"/>
      <c r="O548" s="420"/>
      <c r="P548" s="420"/>
      <c r="Q548" s="420"/>
      <c r="R548" s="420"/>
      <c r="S548" s="420"/>
      <c r="T548" s="420"/>
      <c r="U548" s="420"/>
      <c r="V548" s="420"/>
      <c r="W548" s="420"/>
      <c r="X548" s="420"/>
      <c r="Y548" s="420"/>
      <c r="Z548" s="367"/>
      <c r="AA548" s="420"/>
      <c r="AB548" s="420"/>
      <c r="AC548" s="420"/>
      <c r="AD548" s="420"/>
      <c r="AE548" s="420"/>
      <c r="AF548" s="367"/>
      <c r="AG548" s="420"/>
      <c r="AH548" s="367"/>
      <c r="AI548" s="367"/>
      <c r="AJ548" s="367"/>
      <c r="AK548" s="358"/>
      <c r="AL548" s="358"/>
      <c r="AM548" s="358"/>
      <c r="AN548" s="358"/>
      <c r="AO548" s="358"/>
      <c r="AP548" s="367"/>
      <c r="AQ548" s="367"/>
      <c r="AR548" s="367"/>
    </row>
    <row r="549">
      <c r="A549" s="418"/>
      <c r="B549" s="418"/>
      <c r="C549" s="417"/>
      <c r="D549" s="417"/>
      <c r="E549" s="418"/>
      <c r="F549" s="418"/>
      <c r="G549" s="367"/>
      <c r="H549" s="418"/>
      <c r="I549" s="418"/>
      <c r="J549" s="418"/>
      <c r="K549" s="418"/>
      <c r="L549" s="420"/>
      <c r="M549" s="420"/>
      <c r="N549" s="420"/>
      <c r="O549" s="420"/>
      <c r="P549" s="420"/>
      <c r="Q549" s="420"/>
      <c r="R549" s="420"/>
      <c r="S549" s="420"/>
      <c r="T549" s="420"/>
      <c r="U549" s="420"/>
      <c r="V549" s="420"/>
      <c r="W549" s="420"/>
      <c r="X549" s="420"/>
      <c r="Y549" s="420"/>
      <c r="Z549" s="367"/>
      <c r="AA549" s="420"/>
      <c r="AB549" s="420"/>
      <c r="AC549" s="420"/>
      <c r="AD549" s="420"/>
      <c r="AE549" s="420"/>
      <c r="AF549" s="367"/>
      <c r="AG549" s="420"/>
      <c r="AH549" s="367"/>
      <c r="AI549" s="367"/>
      <c r="AJ549" s="367"/>
      <c r="AK549" s="358"/>
      <c r="AL549" s="358"/>
      <c r="AM549" s="358"/>
      <c r="AN549" s="358"/>
      <c r="AO549" s="358"/>
      <c r="AP549" s="367"/>
      <c r="AQ549" s="367"/>
      <c r="AR549" s="367"/>
    </row>
    <row r="550">
      <c r="A550" s="418"/>
      <c r="B550" s="418"/>
      <c r="C550" s="417"/>
      <c r="D550" s="417"/>
      <c r="E550" s="418"/>
      <c r="F550" s="418"/>
      <c r="G550" s="367"/>
      <c r="H550" s="418"/>
      <c r="I550" s="418"/>
      <c r="J550" s="418"/>
      <c r="K550" s="418"/>
      <c r="L550" s="420"/>
      <c r="M550" s="420"/>
      <c r="N550" s="420"/>
      <c r="O550" s="420"/>
      <c r="P550" s="420"/>
      <c r="Q550" s="420"/>
      <c r="R550" s="420"/>
      <c r="S550" s="420"/>
      <c r="T550" s="420"/>
      <c r="U550" s="420"/>
      <c r="V550" s="420"/>
      <c r="W550" s="420"/>
      <c r="X550" s="420"/>
      <c r="Y550" s="420"/>
      <c r="Z550" s="367"/>
      <c r="AA550" s="420"/>
      <c r="AB550" s="420"/>
      <c r="AC550" s="420"/>
      <c r="AD550" s="420"/>
      <c r="AE550" s="420"/>
      <c r="AF550" s="367"/>
      <c r="AG550" s="420"/>
      <c r="AH550" s="367"/>
      <c r="AI550" s="367"/>
      <c r="AJ550" s="367"/>
      <c r="AK550" s="358"/>
      <c r="AL550" s="358"/>
      <c r="AM550" s="358"/>
      <c r="AN550" s="358"/>
      <c r="AO550" s="358"/>
      <c r="AP550" s="367"/>
      <c r="AQ550" s="367"/>
      <c r="AR550" s="367"/>
    </row>
    <row r="551">
      <c r="A551" s="418"/>
      <c r="B551" s="418"/>
      <c r="C551" s="417"/>
      <c r="D551" s="417"/>
      <c r="E551" s="418"/>
      <c r="F551" s="418"/>
      <c r="G551" s="367"/>
      <c r="H551" s="418"/>
      <c r="I551" s="418"/>
      <c r="J551" s="418"/>
      <c r="K551" s="418"/>
      <c r="L551" s="420"/>
      <c r="M551" s="420"/>
      <c r="N551" s="420"/>
      <c r="O551" s="420"/>
      <c r="P551" s="420"/>
      <c r="Q551" s="420"/>
      <c r="R551" s="420"/>
      <c r="S551" s="420"/>
      <c r="T551" s="420"/>
      <c r="U551" s="420"/>
      <c r="V551" s="420"/>
      <c r="W551" s="420"/>
      <c r="X551" s="420"/>
      <c r="Y551" s="420"/>
      <c r="Z551" s="367"/>
      <c r="AA551" s="420"/>
      <c r="AB551" s="420"/>
      <c r="AC551" s="420"/>
      <c r="AD551" s="420"/>
      <c r="AE551" s="420"/>
      <c r="AF551" s="367"/>
      <c r="AG551" s="420"/>
      <c r="AH551" s="367"/>
      <c r="AI551" s="367"/>
      <c r="AJ551" s="367"/>
      <c r="AK551" s="358"/>
      <c r="AL551" s="358"/>
      <c r="AM551" s="358"/>
      <c r="AN551" s="358"/>
      <c r="AO551" s="358"/>
      <c r="AP551" s="367"/>
      <c r="AQ551" s="367"/>
      <c r="AR551" s="367"/>
    </row>
    <row r="552">
      <c r="A552" s="418"/>
      <c r="B552" s="418"/>
      <c r="C552" s="417"/>
      <c r="D552" s="417"/>
      <c r="E552" s="418"/>
      <c r="F552" s="418"/>
      <c r="G552" s="367"/>
      <c r="H552" s="418"/>
      <c r="I552" s="418"/>
      <c r="J552" s="418"/>
      <c r="K552" s="418"/>
      <c r="L552" s="420"/>
      <c r="M552" s="420"/>
      <c r="N552" s="420"/>
      <c r="O552" s="420"/>
      <c r="P552" s="420"/>
      <c r="Q552" s="420"/>
      <c r="R552" s="420"/>
      <c r="S552" s="420"/>
      <c r="T552" s="420"/>
      <c r="U552" s="420"/>
      <c r="V552" s="420"/>
      <c r="W552" s="420"/>
      <c r="X552" s="420"/>
      <c r="Y552" s="420"/>
      <c r="Z552" s="367"/>
      <c r="AA552" s="420"/>
      <c r="AB552" s="420"/>
      <c r="AC552" s="420"/>
      <c r="AD552" s="420"/>
      <c r="AE552" s="420"/>
      <c r="AF552" s="367"/>
      <c r="AG552" s="420"/>
      <c r="AH552" s="367"/>
      <c r="AI552" s="367"/>
      <c r="AJ552" s="367"/>
      <c r="AK552" s="358"/>
      <c r="AL552" s="358"/>
      <c r="AM552" s="358"/>
      <c r="AN552" s="358"/>
      <c r="AO552" s="358"/>
      <c r="AP552" s="367"/>
      <c r="AQ552" s="367"/>
      <c r="AR552" s="367"/>
    </row>
    <row r="553">
      <c r="A553" s="418"/>
      <c r="B553" s="418"/>
      <c r="C553" s="417"/>
      <c r="D553" s="417"/>
      <c r="E553" s="418"/>
      <c r="F553" s="418"/>
      <c r="G553" s="367"/>
      <c r="H553" s="418"/>
      <c r="I553" s="418"/>
      <c r="J553" s="418"/>
      <c r="K553" s="418"/>
      <c r="L553" s="420"/>
      <c r="M553" s="420"/>
      <c r="N553" s="420"/>
      <c r="O553" s="420"/>
      <c r="P553" s="420"/>
      <c r="Q553" s="420"/>
      <c r="R553" s="420"/>
      <c r="S553" s="420"/>
      <c r="T553" s="420"/>
      <c r="U553" s="420"/>
      <c r="V553" s="420"/>
      <c r="W553" s="420"/>
      <c r="X553" s="420"/>
      <c r="Y553" s="420"/>
      <c r="Z553" s="367"/>
      <c r="AA553" s="420"/>
      <c r="AB553" s="420"/>
      <c r="AC553" s="420"/>
      <c r="AD553" s="420"/>
      <c r="AE553" s="420"/>
      <c r="AF553" s="367"/>
      <c r="AG553" s="420"/>
      <c r="AH553" s="367"/>
      <c r="AI553" s="367"/>
      <c r="AJ553" s="367"/>
      <c r="AK553" s="358"/>
      <c r="AL553" s="358"/>
      <c r="AM553" s="358"/>
      <c r="AN553" s="358"/>
      <c r="AO553" s="358"/>
      <c r="AP553" s="367"/>
      <c r="AQ553" s="367"/>
      <c r="AR553" s="367"/>
    </row>
    <row r="554">
      <c r="A554" s="418"/>
      <c r="B554" s="418"/>
      <c r="C554" s="417"/>
      <c r="D554" s="417"/>
      <c r="E554" s="418"/>
      <c r="F554" s="418"/>
      <c r="G554" s="367"/>
      <c r="H554" s="418"/>
      <c r="I554" s="418"/>
      <c r="J554" s="418"/>
      <c r="K554" s="418"/>
      <c r="L554" s="420"/>
      <c r="M554" s="420"/>
      <c r="N554" s="420"/>
      <c r="O554" s="420"/>
      <c r="P554" s="420"/>
      <c r="Q554" s="420"/>
      <c r="R554" s="420"/>
      <c r="S554" s="420"/>
      <c r="T554" s="420"/>
      <c r="U554" s="420"/>
      <c r="V554" s="420"/>
      <c r="W554" s="420"/>
      <c r="X554" s="420"/>
      <c r="Y554" s="420"/>
      <c r="Z554" s="367"/>
      <c r="AA554" s="420"/>
      <c r="AB554" s="420"/>
      <c r="AC554" s="420"/>
      <c r="AD554" s="420"/>
      <c r="AE554" s="420"/>
      <c r="AF554" s="367"/>
      <c r="AG554" s="420"/>
      <c r="AH554" s="367"/>
      <c r="AI554" s="367"/>
      <c r="AJ554" s="367"/>
      <c r="AK554" s="358"/>
      <c r="AL554" s="358"/>
      <c r="AM554" s="358"/>
      <c r="AN554" s="358"/>
      <c r="AO554" s="358"/>
      <c r="AP554" s="367"/>
      <c r="AQ554" s="367"/>
      <c r="AR554" s="367"/>
    </row>
    <row r="555">
      <c r="A555" s="418"/>
      <c r="B555" s="418"/>
      <c r="C555" s="417"/>
      <c r="D555" s="417"/>
      <c r="E555" s="418"/>
      <c r="F555" s="418"/>
      <c r="G555" s="367"/>
      <c r="H555" s="418"/>
      <c r="I555" s="418"/>
      <c r="J555" s="418"/>
      <c r="K555" s="418"/>
      <c r="L555" s="420"/>
      <c r="M555" s="420"/>
      <c r="N555" s="420"/>
      <c r="O555" s="420"/>
      <c r="P555" s="420"/>
      <c r="Q555" s="420"/>
      <c r="R555" s="420"/>
      <c r="S555" s="420"/>
      <c r="T555" s="420"/>
      <c r="U555" s="420"/>
      <c r="V555" s="420"/>
      <c r="W555" s="420"/>
      <c r="X555" s="420"/>
      <c r="Y555" s="420"/>
      <c r="Z555" s="367"/>
      <c r="AA555" s="420"/>
      <c r="AB555" s="420"/>
      <c r="AC555" s="420"/>
      <c r="AD555" s="420"/>
      <c r="AE555" s="420"/>
      <c r="AF555" s="367"/>
      <c r="AG555" s="420"/>
      <c r="AH555" s="367"/>
      <c r="AI555" s="367"/>
      <c r="AJ555" s="367"/>
      <c r="AK555" s="358"/>
      <c r="AL555" s="358"/>
      <c r="AM555" s="358"/>
      <c r="AN555" s="358"/>
      <c r="AO555" s="358"/>
      <c r="AP555" s="367"/>
      <c r="AQ555" s="367"/>
      <c r="AR555" s="367"/>
    </row>
    <row r="556">
      <c r="A556" s="418"/>
      <c r="B556" s="418"/>
      <c r="C556" s="417"/>
      <c r="D556" s="417"/>
      <c r="E556" s="418"/>
      <c r="F556" s="418"/>
      <c r="G556" s="367"/>
      <c r="H556" s="418"/>
      <c r="I556" s="418"/>
      <c r="J556" s="418"/>
      <c r="K556" s="418"/>
      <c r="L556" s="420"/>
      <c r="M556" s="420"/>
      <c r="N556" s="420"/>
      <c r="O556" s="420"/>
      <c r="P556" s="420"/>
      <c r="Q556" s="420"/>
      <c r="R556" s="420"/>
      <c r="S556" s="420"/>
      <c r="T556" s="420"/>
      <c r="U556" s="420"/>
      <c r="V556" s="420"/>
      <c r="W556" s="420"/>
      <c r="X556" s="420"/>
      <c r="Y556" s="420"/>
      <c r="Z556" s="367"/>
      <c r="AA556" s="420"/>
      <c r="AB556" s="420"/>
      <c r="AC556" s="420"/>
      <c r="AD556" s="420"/>
      <c r="AE556" s="420"/>
      <c r="AF556" s="367"/>
      <c r="AG556" s="420"/>
      <c r="AH556" s="367"/>
      <c r="AI556" s="367"/>
      <c r="AJ556" s="367"/>
      <c r="AK556" s="358"/>
      <c r="AL556" s="358"/>
      <c r="AM556" s="358"/>
      <c r="AN556" s="358"/>
      <c r="AO556" s="358"/>
      <c r="AP556" s="367"/>
      <c r="AQ556" s="367"/>
      <c r="AR556" s="367"/>
    </row>
    <row r="557">
      <c r="A557" s="418"/>
      <c r="B557" s="418"/>
      <c r="C557" s="417"/>
      <c r="D557" s="417"/>
      <c r="E557" s="418"/>
      <c r="F557" s="418"/>
      <c r="G557" s="367"/>
      <c r="H557" s="418"/>
      <c r="I557" s="418"/>
      <c r="J557" s="418"/>
      <c r="K557" s="418"/>
      <c r="L557" s="420"/>
      <c r="M557" s="420"/>
      <c r="N557" s="420"/>
      <c r="O557" s="420"/>
      <c r="P557" s="420"/>
      <c r="Q557" s="420"/>
      <c r="R557" s="420"/>
      <c r="S557" s="420"/>
      <c r="T557" s="420"/>
      <c r="U557" s="420"/>
      <c r="V557" s="420"/>
      <c r="W557" s="420"/>
      <c r="X557" s="420"/>
      <c r="Y557" s="420"/>
      <c r="Z557" s="367"/>
      <c r="AA557" s="420"/>
      <c r="AB557" s="420"/>
      <c r="AC557" s="420"/>
      <c r="AD557" s="420"/>
      <c r="AE557" s="420"/>
      <c r="AF557" s="367"/>
      <c r="AG557" s="420"/>
      <c r="AH557" s="367"/>
      <c r="AI557" s="367"/>
      <c r="AJ557" s="367"/>
      <c r="AK557" s="358"/>
      <c r="AL557" s="358"/>
      <c r="AM557" s="358"/>
      <c r="AN557" s="358"/>
      <c r="AO557" s="358"/>
      <c r="AP557" s="367"/>
      <c r="AQ557" s="367"/>
      <c r="AR557" s="367"/>
    </row>
    <row r="558">
      <c r="A558" s="418"/>
      <c r="B558" s="418"/>
      <c r="C558" s="417"/>
      <c r="D558" s="417"/>
      <c r="E558" s="418"/>
      <c r="F558" s="418"/>
      <c r="G558" s="367"/>
      <c r="H558" s="418"/>
      <c r="I558" s="418"/>
      <c r="J558" s="418"/>
      <c r="K558" s="418"/>
      <c r="L558" s="420"/>
      <c r="M558" s="420"/>
      <c r="N558" s="420"/>
      <c r="O558" s="420"/>
      <c r="P558" s="420"/>
      <c r="Q558" s="420"/>
      <c r="R558" s="420"/>
      <c r="S558" s="420"/>
      <c r="T558" s="420"/>
      <c r="U558" s="420"/>
      <c r="V558" s="420"/>
      <c r="W558" s="420"/>
      <c r="X558" s="420"/>
      <c r="Y558" s="420"/>
      <c r="Z558" s="367"/>
      <c r="AA558" s="420"/>
      <c r="AB558" s="420"/>
      <c r="AC558" s="420"/>
      <c r="AD558" s="420"/>
      <c r="AE558" s="420"/>
      <c r="AF558" s="367"/>
      <c r="AG558" s="420"/>
      <c r="AH558" s="367"/>
      <c r="AI558" s="367"/>
      <c r="AJ558" s="367"/>
      <c r="AK558" s="358"/>
      <c r="AL558" s="358"/>
      <c r="AM558" s="358"/>
      <c r="AN558" s="358"/>
      <c r="AO558" s="358"/>
      <c r="AP558" s="367"/>
      <c r="AQ558" s="367"/>
      <c r="AR558" s="367"/>
    </row>
    <row r="559">
      <c r="A559" s="418"/>
      <c r="B559" s="418"/>
      <c r="C559" s="417"/>
      <c r="D559" s="417"/>
      <c r="E559" s="418"/>
      <c r="F559" s="418"/>
      <c r="G559" s="367"/>
      <c r="H559" s="418"/>
      <c r="I559" s="418"/>
      <c r="J559" s="418"/>
      <c r="K559" s="418"/>
      <c r="L559" s="420"/>
      <c r="M559" s="420"/>
      <c r="N559" s="420"/>
      <c r="O559" s="420"/>
      <c r="P559" s="420"/>
      <c r="Q559" s="420"/>
      <c r="R559" s="420"/>
      <c r="S559" s="420"/>
      <c r="T559" s="420"/>
      <c r="U559" s="420"/>
      <c r="V559" s="420"/>
      <c r="W559" s="420"/>
      <c r="X559" s="420"/>
      <c r="Y559" s="420"/>
      <c r="Z559" s="367"/>
      <c r="AA559" s="420"/>
      <c r="AB559" s="420"/>
      <c r="AC559" s="420"/>
      <c r="AD559" s="420"/>
      <c r="AE559" s="420"/>
      <c r="AF559" s="367"/>
      <c r="AG559" s="420"/>
      <c r="AH559" s="367"/>
      <c r="AI559" s="367"/>
      <c r="AJ559" s="367"/>
      <c r="AK559" s="358"/>
      <c r="AL559" s="358"/>
      <c r="AM559" s="358"/>
      <c r="AN559" s="358"/>
      <c r="AO559" s="358"/>
      <c r="AP559" s="367"/>
      <c r="AQ559" s="367"/>
      <c r="AR559" s="367"/>
    </row>
    <row r="560">
      <c r="A560" s="418"/>
      <c r="B560" s="418"/>
      <c r="C560" s="417"/>
      <c r="D560" s="417"/>
      <c r="E560" s="418"/>
      <c r="F560" s="418"/>
      <c r="G560" s="367"/>
      <c r="H560" s="418"/>
      <c r="I560" s="418"/>
      <c r="J560" s="418"/>
      <c r="K560" s="418"/>
      <c r="L560" s="420"/>
      <c r="M560" s="420"/>
      <c r="N560" s="420"/>
      <c r="O560" s="420"/>
      <c r="P560" s="420"/>
      <c r="Q560" s="420"/>
      <c r="R560" s="420"/>
      <c r="S560" s="420"/>
      <c r="T560" s="420"/>
      <c r="U560" s="420"/>
      <c r="V560" s="420"/>
      <c r="W560" s="420"/>
      <c r="X560" s="420"/>
      <c r="Y560" s="420"/>
      <c r="Z560" s="367"/>
      <c r="AA560" s="420"/>
      <c r="AB560" s="420"/>
      <c r="AC560" s="420"/>
      <c r="AD560" s="420"/>
      <c r="AE560" s="420"/>
      <c r="AF560" s="367"/>
      <c r="AG560" s="420"/>
      <c r="AH560" s="367"/>
      <c r="AI560" s="367"/>
      <c r="AJ560" s="367"/>
      <c r="AK560" s="358"/>
      <c r="AL560" s="358"/>
      <c r="AM560" s="358"/>
      <c r="AN560" s="358"/>
      <c r="AO560" s="358"/>
      <c r="AP560" s="367"/>
      <c r="AQ560" s="367"/>
      <c r="AR560" s="367"/>
    </row>
    <row r="561">
      <c r="A561" s="418"/>
      <c r="B561" s="418"/>
      <c r="C561" s="417"/>
      <c r="D561" s="417"/>
      <c r="E561" s="418"/>
      <c r="F561" s="418"/>
      <c r="G561" s="367"/>
      <c r="H561" s="418"/>
      <c r="I561" s="418"/>
      <c r="J561" s="418"/>
      <c r="K561" s="418"/>
      <c r="L561" s="420"/>
      <c r="M561" s="420"/>
      <c r="N561" s="420"/>
      <c r="O561" s="420"/>
      <c r="P561" s="420"/>
      <c r="Q561" s="420"/>
      <c r="R561" s="420"/>
      <c r="S561" s="420"/>
      <c r="T561" s="420"/>
      <c r="U561" s="420"/>
      <c r="V561" s="420"/>
      <c r="W561" s="420"/>
      <c r="X561" s="420"/>
      <c r="Y561" s="420"/>
      <c r="Z561" s="367"/>
      <c r="AA561" s="420"/>
      <c r="AB561" s="420"/>
      <c r="AC561" s="420"/>
      <c r="AD561" s="420"/>
      <c r="AE561" s="420"/>
      <c r="AF561" s="367"/>
      <c r="AG561" s="420"/>
      <c r="AH561" s="367"/>
      <c r="AI561" s="367"/>
      <c r="AJ561" s="367"/>
      <c r="AK561" s="358"/>
      <c r="AL561" s="358"/>
      <c r="AM561" s="358"/>
      <c r="AN561" s="358"/>
      <c r="AO561" s="358"/>
      <c r="AP561" s="367"/>
      <c r="AQ561" s="367"/>
      <c r="AR561" s="367"/>
    </row>
    <row r="562">
      <c r="A562" s="418"/>
      <c r="B562" s="418"/>
      <c r="C562" s="417"/>
      <c r="D562" s="417"/>
      <c r="E562" s="418"/>
      <c r="F562" s="418"/>
      <c r="G562" s="367"/>
      <c r="H562" s="418"/>
      <c r="I562" s="418"/>
      <c r="J562" s="418"/>
      <c r="K562" s="418"/>
      <c r="L562" s="420"/>
      <c r="M562" s="420"/>
      <c r="N562" s="420"/>
      <c r="O562" s="420"/>
      <c r="P562" s="420"/>
      <c r="Q562" s="420"/>
      <c r="R562" s="420"/>
      <c r="S562" s="420"/>
      <c r="T562" s="420"/>
      <c r="U562" s="420"/>
      <c r="V562" s="420"/>
      <c r="W562" s="420"/>
      <c r="X562" s="420"/>
      <c r="Y562" s="420"/>
      <c r="Z562" s="367"/>
      <c r="AA562" s="420"/>
      <c r="AB562" s="420"/>
      <c r="AC562" s="420"/>
      <c r="AD562" s="420"/>
      <c r="AE562" s="420"/>
      <c r="AF562" s="367"/>
      <c r="AG562" s="420"/>
      <c r="AH562" s="367"/>
      <c r="AI562" s="367"/>
      <c r="AJ562" s="367"/>
      <c r="AK562" s="358"/>
      <c r="AL562" s="358"/>
      <c r="AM562" s="358"/>
      <c r="AN562" s="358"/>
      <c r="AO562" s="358"/>
      <c r="AP562" s="367"/>
      <c r="AQ562" s="367"/>
      <c r="AR562" s="367"/>
    </row>
    <row r="563">
      <c r="A563" s="418"/>
      <c r="B563" s="418"/>
      <c r="C563" s="417"/>
      <c r="D563" s="417"/>
      <c r="E563" s="418"/>
      <c r="F563" s="418"/>
      <c r="G563" s="367"/>
      <c r="H563" s="418"/>
      <c r="I563" s="418"/>
      <c r="J563" s="418"/>
      <c r="K563" s="418"/>
      <c r="L563" s="420"/>
      <c r="M563" s="420"/>
      <c r="N563" s="420"/>
      <c r="O563" s="420"/>
      <c r="P563" s="420"/>
      <c r="Q563" s="420"/>
      <c r="R563" s="420"/>
      <c r="S563" s="420"/>
      <c r="T563" s="420"/>
      <c r="U563" s="420"/>
      <c r="V563" s="420"/>
      <c r="W563" s="420"/>
      <c r="X563" s="420"/>
      <c r="Y563" s="420"/>
      <c r="Z563" s="367"/>
      <c r="AA563" s="420"/>
      <c r="AB563" s="420"/>
      <c r="AC563" s="420"/>
      <c r="AD563" s="420"/>
      <c r="AE563" s="420"/>
      <c r="AF563" s="367"/>
      <c r="AG563" s="420"/>
      <c r="AH563" s="367"/>
      <c r="AI563" s="367"/>
      <c r="AJ563" s="367"/>
      <c r="AK563" s="358"/>
      <c r="AL563" s="358"/>
      <c r="AM563" s="358"/>
      <c r="AN563" s="358"/>
      <c r="AO563" s="358"/>
      <c r="AP563" s="367"/>
      <c r="AQ563" s="367"/>
      <c r="AR563" s="367"/>
    </row>
    <row r="564">
      <c r="A564" s="418"/>
      <c r="B564" s="418"/>
      <c r="C564" s="417"/>
      <c r="D564" s="417"/>
      <c r="E564" s="418"/>
      <c r="F564" s="418"/>
      <c r="G564" s="367"/>
      <c r="H564" s="418"/>
      <c r="I564" s="418"/>
      <c r="J564" s="418"/>
      <c r="K564" s="418"/>
      <c r="L564" s="420"/>
      <c r="M564" s="420"/>
      <c r="N564" s="420"/>
      <c r="O564" s="420"/>
      <c r="P564" s="420"/>
      <c r="Q564" s="420"/>
      <c r="R564" s="420"/>
      <c r="S564" s="420"/>
      <c r="T564" s="420"/>
      <c r="U564" s="420"/>
      <c r="V564" s="420"/>
      <c r="W564" s="420"/>
      <c r="X564" s="420"/>
      <c r="Y564" s="420"/>
      <c r="Z564" s="367"/>
      <c r="AA564" s="420"/>
      <c r="AB564" s="420"/>
      <c r="AC564" s="420"/>
      <c r="AD564" s="420"/>
      <c r="AE564" s="420"/>
      <c r="AF564" s="367"/>
      <c r="AG564" s="420"/>
      <c r="AH564" s="367"/>
      <c r="AI564" s="367"/>
      <c r="AJ564" s="367"/>
      <c r="AK564" s="358"/>
      <c r="AL564" s="358"/>
      <c r="AM564" s="358"/>
      <c r="AN564" s="358"/>
      <c r="AO564" s="358"/>
      <c r="AP564" s="367"/>
      <c r="AQ564" s="367"/>
      <c r="AR564" s="367"/>
    </row>
    <row r="565">
      <c r="A565" s="418"/>
      <c r="B565" s="418"/>
      <c r="C565" s="417"/>
      <c r="D565" s="417"/>
      <c r="E565" s="418"/>
      <c r="F565" s="418"/>
      <c r="G565" s="367"/>
      <c r="H565" s="418"/>
      <c r="I565" s="418"/>
      <c r="J565" s="418"/>
      <c r="K565" s="418"/>
      <c r="L565" s="420"/>
      <c r="M565" s="420"/>
      <c r="N565" s="420"/>
      <c r="O565" s="420"/>
      <c r="P565" s="420"/>
      <c r="Q565" s="420"/>
      <c r="R565" s="420"/>
      <c r="S565" s="420"/>
      <c r="T565" s="420"/>
      <c r="U565" s="420"/>
      <c r="V565" s="420"/>
      <c r="W565" s="420"/>
      <c r="X565" s="420"/>
      <c r="Y565" s="420"/>
      <c r="Z565" s="367"/>
      <c r="AA565" s="420"/>
      <c r="AB565" s="420"/>
      <c r="AC565" s="420"/>
      <c r="AD565" s="420"/>
      <c r="AE565" s="420"/>
      <c r="AF565" s="367"/>
      <c r="AG565" s="420"/>
      <c r="AH565" s="367"/>
      <c r="AI565" s="367"/>
      <c r="AJ565" s="367"/>
      <c r="AK565" s="358"/>
      <c r="AL565" s="358"/>
      <c r="AM565" s="358"/>
      <c r="AN565" s="358"/>
      <c r="AO565" s="358"/>
      <c r="AP565" s="367"/>
      <c r="AQ565" s="367"/>
      <c r="AR565" s="367"/>
    </row>
    <row r="566">
      <c r="A566" s="418"/>
      <c r="B566" s="418"/>
      <c r="C566" s="417"/>
      <c r="D566" s="417"/>
      <c r="E566" s="418"/>
      <c r="F566" s="418"/>
      <c r="G566" s="367"/>
      <c r="H566" s="418"/>
      <c r="I566" s="418"/>
      <c r="J566" s="418"/>
      <c r="K566" s="418"/>
      <c r="L566" s="420"/>
      <c r="M566" s="420"/>
      <c r="N566" s="420"/>
      <c r="O566" s="420"/>
      <c r="P566" s="420"/>
      <c r="Q566" s="420"/>
      <c r="R566" s="420"/>
      <c r="S566" s="420"/>
      <c r="T566" s="420"/>
      <c r="U566" s="420"/>
      <c r="V566" s="420"/>
      <c r="W566" s="420"/>
      <c r="X566" s="420"/>
      <c r="Y566" s="420"/>
      <c r="Z566" s="367"/>
      <c r="AA566" s="420"/>
      <c r="AB566" s="420"/>
      <c r="AC566" s="420"/>
      <c r="AD566" s="420"/>
      <c r="AE566" s="420"/>
      <c r="AF566" s="367"/>
      <c r="AG566" s="420"/>
      <c r="AH566" s="367"/>
      <c r="AI566" s="367"/>
      <c r="AJ566" s="367"/>
      <c r="AK566" s="358"/>
      <c r="AL566" s="358"/>
      <c r="AM566" s="358"/>
      <c r="AN566" s="358"/>
      <c r="AO566" s="358"/>
      <c r="AP566" s="367"/>
      <c r="AQ566" s="367"/>
      <c r="AR566" s="367"/>
    </row>
    <row r="567">
      <c r="A567" s="418"/>
      <c r="B567" s="418"/>
      <c r="C567" s="417"/>
      <c r="D567" s="417"/>
      <c r="E567" s="418"/>
      <c r="F567" s="418"/>
      <c r="G567" s="367"/>
      <c r="H567" s="418"/>
      <c r="I567" s="418"/>
      <c r="J567" s="418"/>
      <c r="K567" s="418"/>
      <c r="L567" s="420"/>
      <c r="M567" s="420"/>
      <c r="N567" s="420"/>
      <c r="O567" s="420"/>
      <c r="P567" s="420"/>
      <c r="Q567" s="420"/>
      <c r="R567" s="420"/>
      <c r="S567" s="420"/>
      <c r="T567" s="420"/>
      <c r="U567" s="420"/>
      <c r="V567" s="420"/>
      <c r="W567" s="420"/>
      <c r="X567" s="420"/>
      <c r="Y567" s="420"/>
      <c r="Z567" s="367"/>
      <c r="AA567" s="420"/>
      <c r="AB567" s="420"/>
      <c r="AC567" s="420"/>
      <c r="AD567" s="420"/>
      <c r="AE567" s="420"/>
      <c r="AF567" s="367"/>
      <c r="AG567" s="420"/>
      <c r="AH567" s="367"/>
      <c r="AI567" s="367"/>
      <c r="AJ567" s="367"/>
      <c r="AK567" s="358"/>
      <c r="AL567" s="358"/>
      <c r="AM567" s="358"/>
      <c r="AN567" s="358"/>
      <c r="AO567" s="358"/>
      <c r="AP567" s="367"/>
      <c r="AQ567" s="367"/>
      <c r="AR567" s="367"/>
    </row>
    <row r="568">
      <c r="A568" s="418"/>
      <c r="B568" s="418"/>
      <c r="C568" s="417"/>
      <c r="D568" s="417"/>
      <c r="E568" s="418"/>
      <c r="F568" s="418"/>
      <c r="G568" s="367"/>
      <c r="H568" s="418"/>
      <c r="I568" s="418"/>
      <c r="J568" s="418"/>
      <c r="K568" s="418"/>
      <c r="L568" s="420"/>
      <c r="M568" s="420"/>
      <c r="N568" s="420"/>
      <c r="O568" s="420"/>
      <c r="P568" s="420"/>
      <c r="Q568" s="420"/>
      <c r="R568" s="420"/>
      <c r="S568" s="420"/>
      <c r="T568" s="420"/>
      <c r="U568" s="420"/>
      <c r="V568" s="420"/>
      <c r="W568" s="420"/>
      <c r="X568" s="420"/>
      <c r="Y568" s="420"/>
      <c r="Z568" s="367"/>
      <c r="AA568" s="420"/>
      <c r="AB568" s="420"/>
      <c r="AC568" s="420"/>
      <c r="AD568" s="420"/>
      <c r="AE568" s="420"/>
      <c r="AF568" s="367"/>
      <c r="AG568" s="420"/>
      <c r="AH568" s="367"/>
      <c r="AI568" s="367"/>
      <c r="AJ568" s="367"/>
      <c r="AK568" s="358"/>
      <c r="AL568" s="358"/>
      <c r="AM568" s="358"/>
      <c r="AN568" s="358"/>
      <c r="AO568" s="358"/>
      <c r="AP568" s="367"/>
      <c r="AQ568" s="367"/>
      <c r="AR568" s="367"/>
    </row>
    <row r="569">
      <c r="A569" s="418"/>
      <c r="B569" s="418"/>
      <c r="C569" s="417"/>
      <c r="D569" s="417"/>
      <c r="E569" s="418"/>
      <c r="F569" s="418"/>
      <c r="G569" s="367"/>
      <c r="H569" s="418"/>
      <c r="I569" s="418"/>
      <c r="J569" s="418"/>
      <c r="K569" s="418"/>
      <c r="L569" s="420"/>
      <c r="M569" s="420"/>
      <c r="N569" s="420"/>
      <c r="O569" s="420"/>
      <c r="P569" s="420"/>
      <c r="Q569" s="420"/>
      <c r="R569" s="420"/>
      <c r="S569" s="420"/>
      <c r="T569" s="420"/>
      <c r="U569" s="420"/>
      <c r="V569" s="420"/>
      <c r="W569" s="420"/>
      <c r="X569" s="420"/>
      <c r="Y569" s="420"/>
      <c r="Z569" s="367"/>
      <c r="AA569" s="420"/>
      <c r="AB569" s="420"/>
      <c r="AC569" s="420"/>
      <c r="AD569" s="420"/>
      <c r="AE569" s="420"/>
      <c r="AF569" s="367"/>
      <c r="AG569" s="420"/>
      <c r="AH569" s="367"/>
      <c r="AI569" s="367"/>
      <c r="AJ569" s="367"/>
      <c r="AK569" s="358"/>
      <c r="AL569" s="358"/>
      <c r="AM569" s="358"/>
      <c r="AN569" s="358"/>
      <c r="AO569" s="358"/>
      <c r="AP569" s="367"/>
      <c r="AQ569" s="367"/>
      <c r="AR569" s="367"/>
    </row>
    <row r="570">
      <c r="A570" s="418"/>
      <c r="B570" s="418"/>
      <c r="C570" s="417"/>
      <c r="D570" s="417"/>
      <c r="E570" s="418"/>
      <c r="F570" s="418"/>
      <c r="G570" s="367"/>
      <c r="H570" s="418"/>
      <c r="I570" s="418"/>
      <c r="J570" s="418"/>
      <c r="K570" s="418"/>
      <c r="L570" s="420"/>
      <c r="M570" s="420"/>
      <c r="N570" s="420"/>
      <c r="O570" s="420"/>
      <c r="P570" s="420"/>
      <c r="Q570" s="420"/>
      <c r="R570" s="420"/>
      <c r="S570" s="420"/>
      <c r="T570" s="420"/>
      <c r="U570" s="420"/>
      <c r="V570" s="420"/>
      <c r="W570" s="420"/>
      <c r="X570" s="420"/>
      <c r="Y570" s="420"/>
      <c r="Z570" s="367"/>
      <c r="AA570" s="420"/>
      <c r="AB570" s="420"/>
      <c r="AC570" s="420"/>
      <c r="AD570" s="420"/>
      <c r="AE570" s="420"/>
      <c r="AF570" s="367"/>
      <c r="AG570" s="420"/>
      <c r="AH570" s="367"/>
      <c r="AI570" s="367"/>
      <c r="AJ570" s="367"/>
      <c r="AK570" s="358"/>
      <c r="AL570" s="358"/>
      <c r="AM570" s="358"/>
      <c r="AN570" s="358"/>
      <c r="AO570" s="358"/>
      <c r="AP570" s="367"/>
      <c r="AQ570" s="367"/>
      <c r="AR570" s="367"/>
    </row>
    <row r="571">
      <c r="A571" s="418"/>
      <c r="B571" s="418"/>
      <c r="C571" s="417"/>
      <c r="D571" s="417"/>
      <c r="E571" s="418"/>
      <c r="F571" s="418"/>
      <c r="G571" s="367"/>
      <c r="H571" s="418"/>
      <c r="I571" s="418"/>
      <c r="J571" s="418"/>
      <c r="K571" s="418"/>
      <c r="L571" s="420"/>
      <c r="M571" s="420"/>
      <c r="N571" s="420"/>
      <c r="O571" s="420"/>
      <c r="P571" s="420"/>
      <c r="Q571" s="420"/>
      <c r="R571" s="420"/>
      <c r="S571" s="420"/>
      <c r="T571" s="420"/>
      <c r="U571" s="420"/>
      <c r="V571" s="420"/>
      <c r="W571" s="420"/>
      <c r="X571" s="420"/>
      <c r="Y571" s="420"/>
      <c r="Z571" s="367"/>
      <c r="AA571" s="420"/>
      <c r="AB571" s="420"/>
      <c r="AC571" s="420"/>
      <c r="AD571" s="420"/>
      <c r="AE571" s="420"/>
      <c r="AF571" s="367"/>
      <c r="AG571" s="420"/>
      <c r="AH571" s="367"/>
      <c r="AI571" s="367"/>
      <c r="AJ571" s="367"/>
      <c r="AK571" s="358"/>
      <c r="AL571" s="358"/>
      <c r="AM571" s="358"/>
      <c r="AN571" s="358"/>
      <c r="AO571" s="358"/>
      <c r="AP571" s="367"/>
      <c r="AQ571" s="367"/>
      <c r="AR571" s="367"/>
    </row>
    <row r="572">
      <c r="A572" s="418"/>
      <c r="B572" s="418"/>
      <c r="C572" s="417"/>
      <c r="D572" s="417"/>
      <c r="E572" s="418"/>
      <c r="F572" s="418"/>
      <c r="G572" s="367"/>
      <c r="H572" s="418"/>
      <c r="I572" s="418"/>
      <c r="J572" s="418"/>
      <c r="K572" s="418"/>
      <c r="L572" s="420"/>
      <c r="M572" s="420"/>
      <c r="N572" s="420"/>
      <c r="O572" s="420"/>
      <c r="P572" s="420"/>
      <c r="Q572" s="420"/>
      <c r="R572" s="420"/>
      <c r="S572" s="420"/>
      <c r="T572" s="420"/>
      <c r="U572" s="420"/>
      <c r="V572" s="420"/>
      <c r="W572" s="420"/>
      <c r="X572" s="420"/>
      <c r="Y572" s="420"/>
      <c r="Z572" s="367"/>
      <c r="AA572" s="420"/>
      <c r="AB572" s="420"/>
      <c r="AC572" s="420"/>
      <c r="AD572" s="420"/>
      <c r="AE572" s="420"/>
      <c r="AF572" s="367"/>
      <c r="AG572" s="420"/>
      <c r="AH572" s="367"/>
      <c r="AI572" s="367"/>
      <c r="AJ572" s="367"/>
      <c r="AK572" s="358"/>
      <c r="AL572" s="358"/>
      <c r="AM572" s="358"/>
      <c r="AN572" s="358"/>
      <c r="AO572" s="358"/>
      <c r="AP572" s="367"/>
      <c r="AQ572" s="367"/>
      <c r="AR572" s="367"/>
    </row>
    <row r="573">
      <c r="A573" s="418"/>
      <c r="B573" s="418"/>
      <c r="C573" s="417"/>
      <c r="D573" s="417"/>
      <c r="E573" s="418"/>
      <c r="F573" s="418"/>
      <c r="G573" s="367"/>
      <c r="H573" s="418"/>
      <c r="I573" s="418"/>
      <c r="J573" s="418"/>
      <c r="K573" s="418"/>
      <c r="L573" s="420"/>
      <c r="M573" s="420"/>
      <c r="N573" s="420"/>
      <c r="O573" s="420"/>
      <c r="P573" s="420"/>
      <c r="Q573" s="420"/>
      <c r="R573" s="420"/>
      <c r="S573" s="420"/>
      <c r="T573" s="420"/>
      <c r="U573" s="420"/>
      <c r="V573" s="420"/>
      <c r="W573" s="420"/>
      <c r="X573" s="420"/>
      <c r="Y573" s="420"/>
      <c r="Z573" s="367"/>
      <c r="AA573" s="420"/>
      <c r="AB573" s="420"/>
      <c r="AC573" s="420"/>
      <c r="AD573" s="420"/>
      <c r="AE573" s="420"/>
      <c r="AF573" s="367"/>
      <c r="AG573" s="420"/>
      <c r="AH573" s="367"/>
      <c r="AI573" s="367"/>
      <c r="AJ573" s="367"/>
      <c r="AK573" s="358"/>
      <c r="AL573" s="358"/>
      <c r="AM573" s="358"/>
      <c r="AN573" s="358"/>
      <c r="AO573" s="358"/>
      <c r="AP573" s="367"/>
      <c r="AQ573" s="367"/>
      <c r="AR573" s="367"/>
    </row>
    <row r="574">
      <c r="A574" s="418"/>
      <c r="B574" s="418"/>
      <c r="C574" s="417"/>
      <c r="D574" s="417"/>
      <c r="E574" s="418"/>
      <c r="F574" s="418"/>
      <c r="G574" s="367"/>
      <c r="H574" s="418"/>
      <c r="I574" s="418"/>
      <c r="J574" s="418"/>
      <c r="K574" s="418"/>
      <c r="L574" s="420"/>
      <c r="M574" s="420"/>
      <c r="N574" s="420"/>
      <c r="O574" s="420"/>
      <c r="P574" s="420"/>
      <c r="Q574" s="420"/>
      <c r="R574" s="420"/>
      <c r="S574" s="420"/>
      <c r="T574" s="420"/>
      <c r="U574" s="420"/>
      <c r="V574" s="420"/>
      <c r="W574" s="420"/>
      <c r="X574" s="420"/>
      <c r="Y574" s="420"/>
      <c r="Z574" s="367"/>
      <c r="AA574" s="420"/>
      <c r="AB574" s="420"/>
      <c r="AC574" s="420"/>
      <c r="AD574" s="420"/>
      <c r="AE574" s="420"/>
      <c r="AF574" s="367"/>
      <c r="AG574" s="420"/>
      <c r="AH574" s="367"/>
      <c r="AI574" s="367"/>
      <c r="AJ574" s="367"/>
      <c r="AK574" s="358"/>
      <c r="AL574" s="358"/>
      <c r="AM574" s="358"/>
      <c r="AN574" s="358"/>
      <c r="AO574" s="358"/>
      <c r="AP574" s="367"/>
      <c r="AQ574" s="367"/>
      <c r="AR574" s="367"/>
    </row>
    <row r="575">
      <c r="A575" s="418"/>
      <c r="B575" s="418"/>
      <c r="C575" s="417"/>
      <c r="D575" s="417"/>
      <c r="E575" s="418"/>
      <c r="F575" s="418"/>
      <c r="G575" s="367"/>
      <c r="H575" s="418"/>
      <c r="I575" s="418"/>
      <c r="J575" s="418"/>
      <c r="K575" s="418"/>
      <c r="L575" s="420"/>
      <c r="M575" s="420"/>
      <c r="N575" s="420"/>
      <c r="O575" s="420"/>
      <c r="P575" s="420"/>
      <c r="Q575" s="420"/>
      <c r="R575" s="420"/>
      <c r="S575" s="420"/>
      <c r="T575" s="420"/>
      <c r="U575" s="420"/>
      <c r="V575" s="420"/>
      <c r="W575" s="420"/>
      <c r="X575" s="420"/>
      <c r="Y575" s="420"/>
      <c r="Z575" s="367"/>
      <c r="AA575" s="420"/>
      <c r="AB575" s="420"/>
      <c r="AC575" s="420"/>
      <c r="AD575" s="420"/>
      <c r="AE575" s="420"/>
      <c r="AF575" s="367"/>
      <c r="AG575" s="420"/>
      <c r="AH575" s="367"/>
      <c r="AI575" s="367"/>
      <c r="AJ575" s="367"/>
      <c r="AK575" s="358"/>
      <c r="AL575" s="358"/>
      <c r="AM575" s="358"/>
      <c r="AN575" s="358"/>
      <c r="AO575" s="358"/>
      <c r="AP575" s="367"/>
      <c r="AQ575" s="367"/>
      <c r="AR575" s="367"/>
    </row>
    <row r="576">
      <c r="A576" s="418"/>
      <c r="B576" s="418"/>
      <c r="C576" s="417"/>
      <c r="D576" s="417"/>
      <c r="E576" s="418"/>
      <c r="F576" s="418"/>
      <c r="G576" s="367"/>
      <c r="H576" s="418"/>
      <c r="I576" s="418"/>
      <c r="J576" s="418"/>
      <c r="K576" s="418"/>
      <c r="L576" s="420"/>
      <c r="M576" s="420"/>
      <c r="N576" s="420"/>
      <c r="O576" s="420"/>
      <c r="P576" s="420"/>
      <c r="Q576" s="420"/>
      <c r="R576" s="420"/>
      <c r="S576" s="420"/>
      <c r="T576" s="420"/>
      <c r="U576" s="420"/>
      <c r="V576" s="420"/>
      <c r="W576" s="420"/>
      <c r="X576" s="420"/>
      <c r="Y576" s="420"/>
      <c r="Z576" s="367"/>
      <c r="AA576" s="420"/>
      <c r="AB576" s="420"/>
      <c r="AC576" s="420"/>
      <c r="AD576" s="420"/>
      <c r="AE576" s="420"/>
      <c r="AF576" s="367"/>
      <c r="AG576" s="420"/>
      <c r="AH576" s="367"/>
      <c r="AI576" s="367"/>
      <c r="AJ576" s="367"/>
      <c r="AK576" s="358"/>
      <c r="AL576" s="358"/>
      <c r="AM576" s="358"/>
      <c r="AN576" s="358"/>
      <c r="AO576" s="358"/>
      <c r="AP576" s="367"/>
      <c r="AQ576" s="367"/>
      <c r="AR576" s="367"/>
    </row>
    <row r="577">
      <c r="A577" s="418"/>
      <c r="B577" s="418"/>
      <c r="C577" s="417"/>
      <c r="D577" s="417"/>
      <c r="E577" s="418"/>
      <c r="F577" s="418"/>
      <c r="G577" s="367"/>
      <c r="H577" s="418"/>
      <c r="I577" s="418"/>
      <c r="J577" s="418"/>
      <c r="K577" s="418"/>
      <c r="L577" s="420"/>
      <c r="M577" s="420"/>
      <c r="N577" s="420"/>
      <c r="O577" s="420"/>
      <c r="P577" s="420"/>
      <c r="Q577" s="420"/>
      <c r="R577" s="420"/>
      <c r="S577" s="420"/>
      <c r="T577" s="420"/>
      <c r="U577" s="420"/>
      <c r="V577" s="420"/>
      <c r="W577" s="420"/>
      <c r="X577" s="420"/>
      <c r="Y577" s="420"/>
      <c r="Z577" s="367"/>
      <c r="AA577" s="420"/>
      <c r="AB577" s="420"/>
      <c r="AC577" s="420"/>
      <c r="AD577" s="420"/>
      <c r="AE577" s="420"/>
      <c r="AF577" s="367"/>
      <c r="AG577" s="420"/>
      <c r="AH577" s="367"/>
      <c r="AI577" s="367"/>
      <c r="AJ577" s="367"/>
      <c r="AK577" s="358"/>
      <c r="AL577" s="358"/>
      <c r="AM577" s="358"/>
      <c r="AN577" s="358"/>
      <c r="AO577" s="358"/>
      <c r="AP577" s="367"/>
      <c r="AQ577" s="367"/>
      <c r="AR577" s="367"/>
    </row>
    <row r="578">
      <c r="A578" s="418"/>
      <c r="B578" s="418"/>
      <c r="C578" s="417"/>
      <c r="D578" s="417"/>
      <c r="E578" s="418"/>
      <c r="F578" s="418"/>
      <c r="G578" s="367"/>
      <c r="H578" s="418"/>
      <c r="I578" s="418"/>
      <c r="J578" s="418"/>
      <c r="K578" s="418"/>
      <c r="L578" s="420"/>
      <c r="M578" s="420"/>
      <c r="N578" s="420"/>
      <c r="O578" s="420"/>
      <c r="P578" s="420"/>
      <c r="Q578" s="420"/>
      <c r="R578" s="420"/>
      <c r="S578" s="420"/>
      <c r="T578" s="420"/>
      <c r="U578" s="420"/>
      <c r="V578" s="420"/>
      <c r="W578" s="420"/>
      <c r="X578" s="420"/>
      <c r="Y578" s="420"/>
      <c r="Z578" s="367"/>
      <c r="AA578" s="420"/>
      <c r="AB578" s="420"/>
      <c r="AC578" s="420"/>
      <c r="AD578" s="420"/>
      <c r="AE578" s="420"/>
      <c r="AF578" s="367"/>
      <c r="AG578" s="420"/>
      <c r="AH578" s="367"/>
      <c r="AI578" s="367"/>
      <c r="AJ578" s="367"/>
      <c r="AK578" s="358"/>
      <c r="AL578" s="358"/>
      <c r="AM578" s="358"/>
      <c r="AN578" s="358"/>
      <c r="AO578" s="358"/>
      <c r="AP578" s="367"/>
      <c r="AQ578" s="367"/>
      <c r="AR578" s="367"/>
    </row>
    <row r="579">
      <c r="A579" s="418"/>
      <c r="B579" s="418"/>
      <c r="C579" s="417"/>
      <c r="D579" s="417"/>
      <c r="E579" s="418"/>
      <c r="F579" s="418"/>
      <c r="G579" s="367"/>
      <c r="H579" s="418"/>
      <c r="I579" s="418"/>
      <c r="J579" s="418"/>
      <c r="K579" s="418"/>
      <c r="L579" s="420"/>
      <c r="M579" s="420"/>
      <c r="N579" s="420"/>
      <c r="O579" s="420"/>
      <c r="P579" s="420"/>
      <c r="Q579" s="420"/>
      <c r="R579" s="420"/>
      <c r="S579" s="420"/>
      <c r="T579" s="420"/>
      <c r="U579" s="420"/>
      <c r="V579" s="420"/>
      <c r="W579" s="420"/>
      <c r="X579" s="420"/>
      <c r="Y579" s="420"/>
      <c r="Z579" s="367"/>
      <c r="AA579" s="420"/>
      <c r="AB579" s="420"/>
      <c r="AC579" s="420"/>
      <c r="AD579" s="420"/>
      <c r="AE579" s="420"/>
      <c r="AF579" s="367"/>
      <c r="AG579" s="420"/>
      <c r="AH579" s="367"/>
      <c r="AI579" s="367"/>
      <c r="AJ579" s="367"/>
      <c r="AK579" s="358"/>
      <c r="AL579" s="358"/>
      <c r="AM579" s="358"/>
      <c r="AN579" s="358"/>
      <c r="AO579" s="358"/>
      <c r="AP579" s="367"/>
      <c r="AQ579" s="367"/>
      <c r="AR579" s="367"/>
    </row>
    <row r="580">
      <c r="A580" s="418"/>
      <c r="B580" s="418"/>
      <c r="C580" s="417"/>
      <c r="D580" s="417"/>
      <c r="E580" s="418"/>
      <c r="F580" s="418"/>
      <c r="G580" s="367"/>
      <c r="H580" s="418"/>
      <c r="I580" s="418"/>
      <c r="J580" s="418"/>
      <c r="K580" s="418"/>
      <c r="L580" s="420"/>
      <c r="M580" s="420"/>
      <c r="N580" s="420"/>
      <c r="O580" s="420"/>
      <c r="P580" s="420"/>
      <c r="Q580" s="420"/>
      <c r="R580" s="420"/>
      <c r="S580" s="420"/>
      <c r="T580" s="420"/>
      <c r="U580" s="420"/>
      <c r="V580" s="420"/>
      <c r="W580" s="420"/>
      <c r="X580" s="420"/>
      <c r="Y580" s="420"/>
      <c r="Z580" s="367"/>
      <c r="AA580" s="420"/>
      <c r="AB580" s="420"/>
      <c r="AC580" s="420"/>
      <c r="AD580" s="420"/>
      <c r="AE580" s="420"/>
      <c r="AF580" s="367"/>
      <c r="AG580" s="420"/>
      <c r="AH580" s="367"/>
      <c r="AI580" s="367"/>
      <c r="AJ580" s="367"/>
      <c r="AK580" s="358"/>
      <c r="AL580" s="358"/>
      <c r="AM580" s="358"/>
      <c r="AN580" s="358"/>
      <c r="AO580" s="358"/>
      <c r="AP580" s="367"/>
      <c r="AQ580" s="367"/>
      <c r="AR580" s="367"/>
    </row>
    <row r="581">
      <c r="A581" s="418"/>
      <c r="B581" s="418"/>
      <c r="C581" s="417"/>
      <c r="D581" s="417"/>
      <c r="E581" s="418"/>
      <c r="F581" s="418"/>
      <c r="G581" s="367"/>
      <c r="H581" s="418"/>
      <c r="I581" s="418"/>
      <c r="J581" s="418"/>
      <c r="K581" s="418"/>
      <c r="L581" s="420"/>
      <c r="M581" s="420"/>
      <c r="N581" s="420"/>
      <c r="O581" s="420"/>
      <c r="P581" s="420"/>
      <c r="Q581" s="420"/>
      <c r="R581" s="420"/>
      <c r="S581" s="420"/>
      <c r="T581" s="420"/>
      <c r="U581" s="420"/>
      <c r="V581" s="420"/>
      <c r="W581" s="420"/>
      <c r="X581" s="420"/>
      <c r="Y581" s="420"/>
      <c r="Z581" s="367"/>
      <c r="AA581" s="420"/>
      <c r="AB581" s="420"/>
      <c r="AC581" s="420"/>
      <c r="AD581" s="420"/>
      <c r="AE581" s="420"/>
      <c r="AF581" s="367"/>
      <c r="AG581" s="420"/>
      <c r="AH581" s="367"/>
      <c r="AI581" s="367"/>
      <c r="AJ581" s="367"/>
      <c r="AK581" s="358"/>
      <c r="AL581" s="358"/>
      <c r="AM581" s="358"/>
      <c r="AN581" s="358"/>
      <c r="AO581" s="358"/>
      <c r="AP581" s="367"/>
      <c r="AQ581" s="367"/>
      <c r="AR581" s="367"/>
    </row>
    <row r="582">
      <c r="A582" s="418"/>
      <c r="B582" s="418"/>
      <c r="C582" s="417"/>
      <c r="D582" s="417"/>
      <c r="E582" s="418"/>
      <c r="F582" s="418"/>
      <c r="G582" s="367"/>
      <c r="H582" s="418"/>
      <c r="I582" s="418"/>
      <c r="J582" s="418"/>
      <c r="K582" s="418"/>
      <c r="L582" s="420"/>
      <c r="M582" s="420"/>
      <c r="N582" s="420"/>
      <c r="O582" s="420"/>
      <c r="P582" s="420"/>
      <c r="Q582" s="420"/>
      <c r="R582" s="420"/>
      <c r="S582" s="420"/>
      <c r="T582" s="420"/>
      <c r="U582" s="420"/>
      <c r="V582" s="420"/>
      <c r="W582" s="420"/>
      <c r="X582" s="420"/>
      <c r="Y582" s="420"/>
      <c r="Z582" s="367"/>
      <c r="AA582" s="420"/>
      <c r="AB582" s="420"/>
      <c r="AC582" s="420"/>
      <c r="AD582" s="420"/>
      <c r="AE582" s="420"/>
      <c r="AF582" s="367"/>
      <c r="AG582" s="420"/>
      <c r="AH582" s="367"/>
      <c r="AI582" s="367"/>
      <c r="AJ582" s="367"/>
      <c r="AK582" s="358"/>
      <c r="AL582" s="358"/>
      <c r="AM582" s="358"/>
      <c r="AN582" s="358"/>
      <c r="AO582" s="358"/>
      <c r="AP582" s="367"/>
      <c r="AQ582" s="367"/>
      <c r="AR582" s="367"/>
    </row>
    <row r="583">
      <c r="A583" s="418"/>
      <c r="B583" s="418"/>
      <c r="C583" s="417"/>
      <c r="D583" s="417"/>
      <c r="E583" s="418"/>
      <c r="F583" s="418"/>
      <c r="G583" s="367"/>
      <c r="H583" s="418"/>
      <c r="I583" s="418"/>
      <c r="J583" s="418"/>
      <c r="K583" s="418"/>
      <c r="L583" s="420"/>
      <c r="M583" s="420"/>
      <c r="N583" s="420"/>
      <c r="O583" s="420"/>
      <c r="P583" s="420"/>
      <c r="Q583" s="420"/>
      <c r="R583" s="420"/>
      <c r="S583" s="420"/>
      <c r="T583" s="420"/>
      <c r="U583" s="420"/>
      <c r="V583" s="420"/>
      <c r="W583" s="420"/>
      <c r="X583" s="420"/>
      <c r="Y583" s="420"/>
      <c r="Z583" s="367"/>
      <c r="AA583" s="420"/>
      <c r="AB583" s="420"/>
      <c r="AC583" s="420"/>
      <c r="AD583" s="420"/>
      <c r="AE583" s="420"/>
      <c r="AF583" s="367"/>
      <c r="AG583" s="420"/>
      <c r="AH583" s="367"/>
      <c r="AI583" s="367"/>
      <c r="AJ583" s="367"/>
      <c r="AK583" s="358"/>
      <c r="AL583" s="358"/>
      <c r="AM583" s="358"/>
      <c r="AN583" s="358"/>
      <c r="AO583" s="358"/>
      <c r="AP583" s="367"/>
      <c r="AQ583" s="367"/>
      <c r="AR583" s="367"/>
    </row>
    <row r="584">
      <c r="A584" s="418"/>
      <c r="B584" s="418"/>
      <c r="C584" s="417"/>
      <c r="D584" s="417"/>
      <c r="E584" s="418"/>
      <c r="F584" s="418"/>
      <c r="G584" s="367"/>
      <c r="H584" s="418"/>
      <c r="I584" s="418"/>
      <c r="J584" s="418"/>
      <c r="K584" s="418"/>
      <c r="L584" s="420"/>
      <c r="M584" s="420"/>
      <c r="N584" s="420"/>
      <c r="O584" s="420"/>
      <c r="P584" s="420"/>
      <c r="Q584" s="420"/>
      <c r="R584" s="420"/>
      <c r="S584" s="420"/>
      <c r="T584" s="420"/>
      <c r="U584" s="420"/>
      <c r="V584" s="420"/>
      <c r="W584" s="420"/>
      <c r="X584" s="420"/>
      <c r="Y584" s="420"/>
      <c r="Z584" s="367"/>
      <c r="AA584" s="420"/>
      <c r="AB584" s="420"/>
      <c r="AC584" s="420"/>
      <c r="AD584" s="420"/>
      <c r="AE584" s="420"/>
      <c r="AF584" s="367"/>
      <c r="AG584" s="420"/>
      <c r="AH584" s="367"/>
      <c r="AI584" s="367"/>
      <c r="AJ584" s="367"/>
      <c r="AK584" s="358"/>
      <c r="AL584" s="358"/>
      <c r="AM584" s="358"/>
      <c r="AN584" s="358"/>
      <c r="AO584" s="358"/>
      <c r="AP584" s="367"/>
      <c r="AQ584" s="367"/>
      <c r="AR584" s="367"/>
    </row>
    <row r="585">
      <c r="A585" s="418"/>
      <c r="B585" s="418"/>
      <c r="C585" s="417"/>
      <c r="D585" s="417"/>
      <c r="E585" s="418"/>
      <c r="F585" s="418"/>
      <c r="G585" s="367"/>
      <c r="H585" s="418"/>
      <c r="I585" s="418"/>
      <c r="J585" s="418"/>
      <c r="K585" s="418"/>
      <c r="L585" s="420"/>
      <c r="M585" s="420"/>
      <c r="N585" s="420"/>
      <c r="O585" s="420"/>
      <c r="P585" s="420"/>
      <c r="Q585" s="420"/>
      <c r="R585" s="420"/>
      <c r="S585" s="420"/>
      <c r="T585" s="420"/>
      <c r="U585" s="420"/>
      <c r="V585" s="420"/>
      <c r="W585" s="420"/>
      <c r="X585" s="420"/>
      <c r="Y585" s="420"/>
      <c r="Z585" s="367"/>
      <c r="AA585" s="420"/>
      <c r="AB585" s="420"/>
      <c r="AC585" s="420"/>
      <c r="AD585" s="420"/>
      <c r="AE585" s="420"/>
      <c r="AF585" s="367"/>
      <c r="AG585" s="420"/>
      <c r="AH585" s="367"/>
      <c r="AI585" s="367"/>
      <c r="AJ585" s="367"/>
      <c r="AK585" s="358"/>
      <c r="AL585" s="358"/>
      <c r="AM585" s="358"/>
      <c r="AN585" s="358"/>
      <c r="AO585" s="358"/>
      <c r="AP585" s="367"/>
      <c r="AQ585" s="367"/>
      <c r="AR585" s="367"/>
    </row>
    <row r="586">
      <c r="A586" s="418"/>
      <c r="B586" s="418"/>
      <c r="C586" s="417"/>
      <c r="D586" s="417"/>
      <c r="E586" s="418"/>
      <c r="F586" s="418"/>
      <c r="G586" s="367"/>
      <c r="H586" s="418"/>
      <c r="I586" s="418"/>
      <c r="J586" s="418"/>
      <c r="K586" s="418"/>
      <c r="L586" s="420"/>
      <c r="M586" s="420"/>
      <c r="N586" s="420"/>
      <c r="O586" s="420"/>
      <c r="P586" s="420"/>
      <c r="Q586" s="420"/>
      <c r="R586" s="420"/>
      <c r="S586" s="420"/>
      <c r="T586" s="420"/>
      <c r="U586" s="420"/>
      <c r="V586" s="420"/>
      <c r="W586" s="420"/>
      <c r="X586" s="420"/>
      <c r="Y586" s="420"/>
      <c r="Z586" s="367"/>
      <c r="AA586" s="420"/>
      <c r="AB586" s="420"/>
      <c r="AC586" s="420"/>
      <c r="AD586" s="420"/>
      <c r="AE586" s="420"/>
      <c r="AF586" s="367"/>
      <c r="AG586" s="420"/>
      <c r="AH586" s="367"/>
      <c r="AI586" s="367"/>
      <c r="AJ586" s="367"/>
      <c r="AK586" s="358"/>
      <c r="AL586" s="358"/>
      <c r="AM586" s="358"/>
      <c r="AN586" s="358"/>
      <c r="AO586" s="358"/>
      <c r="AP586" s="367"/>
      <c r="AQ586" s="367"/>
      <c r="AR586" s="367"/>
    </row>
    <row r="587">
      <c r="A587" s="418"/>
      <c r="B587" s="418"/>
      <c r="C587" s="417"/>
      <c r="D587" s="417"/>
      <c r="E587" s="418"/>
      <c r="F587" s="418"/>
      <c r="G587" s="367"/>
      <c r="H587" s="418"/>
      <c r="I587" s="418"/>
      <c r="J587" s="418"/>
      <c r="K587" s="418"/>
      <c r="L587" s="420"/>
      <c r="M587" s="420"/>
      <c r="N587" s="420"/>
      <c r="O587" s="420"/>
      <c r="P587" s="420"/>
      <c r="Q587" s="420"/>
      <c r="R587" s="420"/>
      <c r="S587" s="420"/>
      <c r="T587" s="420"/>
      <c r="U587" s="420"/>
      <c r="V587" s="420"/>
      <c r="W587" s="420"/>
      <c r="X587" s="420"/>
      <c r="Y587" s="420"/>
      <c r="Z587" s="367"/>
      <c r="AA587" s="420"/>
      <c r="AB587" s="420"/>
      <c r="AC587" s="420"/>
      <c r="AD587" s="420"/>
      <c r="AE587" s="420"/>
      <c r="AF587" s="367"/>
      <c r="AG587" s="420"/>
      <c r="AH587" s="367"/>
      <c r="AI587" s="367"/>
      <c r="AJ587" s="367"/>
      <c r="AK587" s="358"/>
      <c r="AL587" s="358"/>
      <c r="AM587" s="358"/>
      <c r="AN587" s="358"/>
      <c r="AO587" s="358"/>
      <c r="AP587" s="367"/>
      <c r="AQ587" s="367"/>
      <c r="AR587" s="367"/>
    </row>
    <row r="588">
      <c r="A588" s="418"/>
      <c r="B588" s="418"/>
      <c r="C588" s="417"/>
      <c r="D588" s="417"/>
      <c r="E588" s="418"/>
      <c r="F588" s="418"/>
      <c r="G588" s="367"/>
      <c r="H588" s="418"/>
      <c r="I588" s="418"/>
      <c r="J588" s="418"/>
      <c r="K588" s="418"/>
      <c r="L588" s="420"/>
      <c r="M588" s="420"/>
      <c r="N588" s="420"/>
      <c r="O588" s="420"/>
      <c r="P588" s="420"/>
      <c r="Q588" s="420"/>
      <c r="R588" s="420"/>
      <c r="S588" s="420"/>
      <c r="T588" s="420"/>
      <c r="U588" s="420"/>
      <c r="V588" s="420"/>
      <c r="W588" s="420"/>
      <c r="X588" s="420"/>
      <c r="Y588" s="420"/>
      <c r="Z588" s="367"/>
      <c r="AA588" s="420"/>
      <c r="AB588" s="420"/>
      <c r="AC588" s="420"/>
      <c r="AD588" s="420"/>
      <c r="AE588" s="420"/>
      <c r="AF588" s="367"/>
      <c r="AG588" s="420"/>
      <c r="AH588" s="367"/>
      <c r="AI588" s="367"/>
      <c r="AJ588" s="367"/>
      <c r="AK588" s="358"/>
      <c r="AL588" s="358"/>
      <c r="AM588" s="358"/>
      <c r="AN588" s="358"/>
      <c r="AO588" s="358"/>
      <c r="AP588" s="367"/>
      <c r="AQ588" s="367"/>
      <c r="AR588" s="367"/>
    </row>
    <row r="589">
      <c r="A589" s="418"/>
      <c r="B589" s="418"/>
      <c r="C589" s="417"/>
      <c r="D589" s="417"/>
      <c r="E589" s="418"/>
      <c r="F589" s="418"/>
      <c r="G589" s="367"/>
      <c r="H589" s="418"/>
      <c r="I589" s="418"/>
      <c r="J589" s="418"/>
      <c r="K589" s="418"/>
      <c r="L589" s="420"/>
      <c r="M589" s="420"/>
      <c r="N589" s="420"/>
      <c r="O589" s="420"/>
      <c r="P589" s="420"/>
      <c r="Q589" s="420"/>
      <c r="R589" s="420"/>
      <c r="S589" s="420"/>
      <c r="T589" s="420"/>
      <c r="U589" s="420"/>
      <c r="V589" s="420"/>
      <c r="W589" s="420"/>
      <c r="X589" s="420"/>
      <c r="Y589" s="420"/>
      <c r="Z589" s="367"/>
      <c r="AA589" s="420"/>
      <c r="AB589" s="420"/>
      <c r="AC589" s="420"/>
      <c r="AD589" s="420"/>
      <c r="AE589" s="420"/>
      <c r="AF589" s="367"/>
      <c r="AG589" s="420"/>
      <c r="AH589" s="367"/>
      <c r="AI589" s="367"/>
      <c r="AJ589" s="367"/>
      <c r="AK589" s="358"/>
      <c r="AL589" s="358"/>
      <c r="AM589" s="358"/>
      <c r="AN589" s="358"/>
      <c r="AO589" s="358"/>
      <c r="AP589" s="367"/>
      <c r="AQ589" s="367"/>
      <c r="AR589" s="367"/>
    </row>
    <row r="590">
      <c r="A590" s="418"/>
      <c r="B590" s="418"/>
      <c r="C590" s="417"/>
      <c r="D590" s="417"/>
      <c r="E590" s="418"/>
      <c r="F590" s="418"/>
      <c r="G590" s="367"/>
      <c r="H590" s="418"/>
      <c r="I590" s="418"/>
      <c r="J590" s="418"/>
      <c r="K590" s="418"/>
      <c r="L590" s="420"/>
      <c r="M590" s="420"/>
      <c r="N590" s="420"/>
      <c r="O590" s="420"/>
      <c r="P590" s="420"/>
      <c r="Q590" s="420"/>
      <c r="R590" s="420"/>
      <c r="S590" s="420"/>
      <c r="T590" s="420"/>
      <c r="U590" s="420"/>
      <c r="V590" s="420"/>
      <c r="W590" s="420"/>
      <c r="X590" s="420"/>
      <c r="Y590" s="420"/>
      <c r="Z590" s="367"/>
      <c r="AA590" s="420"/>
      <c r="AB590" s="420"/>
      <c r="AC590" s="420"/>
      <c r="AD590" s="420"/>
      <c r="AE590" s="420"/>
      <c r="AF590" s="367"/>
      <c r="AG590" s="420"/>
      <c r="AH590" s="367"/>
      <c r="AI590" s="367"/>
      <c r="AJ590" s="367"/>
      <c r="AK590" s="358"/>
      <c r="AL590" s="358"/>
      <c r="AM590" s="358"/>
      <c r="AN590" s="358"/>
      <c r="AO590" s="358"/>
      <c r="AP590" s="367"/>
      <c r="AQ590" s="367"/>
      <c r="AR590" s="367"/>
    </row>
    <row r="591">
      <c r="A591" s="418"/>
      <c r="B591" s="418"/>
      <c r="C591" s="417"/>
      <c r="D591" s="417"/>
      <c r="E591" s="418"/>
      <c r="F591" s="418"/>
      <c r="G591" s="367"/>
      <c r="H591" s="418"/>
      <c r="I591" s="418"/>
      <c r="J591" s="418"/>
      <c r="K591" s="418"/>
      <c r="L591" s="420"/>
      <c r="M591" s="420"/>
      <c r="N591" s="420"/>
      <c r="O591" s="420"/>
      <c r="P591" s="420"/>
      <c r="Q591" s="420"/>
      <c r="R591" s="420"/>
      <c r="S591" s="420"/>
      <c r="T591" s="420"/>
      <c r="U591" s="420"/>
      <c r="V591" s="420"/>
      <c r="W591" s="420"/>
      <c r="X591" s="420"/>
      <c r="Y591" s="420"/>
      <c r="Z591" s="367"/>
      <c r="AA591" s="420"/>
      <c r="AB591" s="420"/>
      <c r="AC591" s="420"/>
      <c r="AD591" s="420"/>
      <c r="AE591" s="420"/>
      <c r="AF591" s="367"/>
      <c r="AG591" s="420"/>
      <c r="AH591" s="367"/>
      <c r="AI591" s="367"/>
      <c r="AJ591" s="367"/>
      <c r="AK591" s="358"/>
      <c r="AL591" s="358"/>
      <c r="AM591" s="358"/>
      <c r="AN591" s="358"/>
      <c r="AO591" s="358"/>
      <c r="AP591" s="367"/>
      <c r="AQ591" s="367"/>
      <c r="AR591" s="367"/>
    </row>
    <row r="592">
      <c r="A592" s="418"/>
      <c r="B592" s="418"/>
      <c r="C592" s="417"/>
      <c r="D592" s="417"/>
      <c r="E592" s="418"/>
      <c r="F592" s="418"/>
      <c r="G592" s="367"/>
      <c r="H592" s="418"/>
      <c r="I592" s="418"/>
      <c r="J592" s="418"/>
      <c r="K592" s="418"/>
      <c r="L592" s="420"/>
      <c r="M592" s="420"/>
      <c r="N592" s="420"/>
      <c r="O592" s="420"/>
      <c r="P592" s="420"/>
      <c r="Q592" s="420"/>
      <c r="R592" s="420"/>
      <c r="S592" s="420"/>
      <c r="T592" s="420"/>
      <c r="U592" s="420"/>
      <c r="V592" s="420"/>
      <c r="W592" s="420"/>
      <c r="X592" s="420"/>
      <c r="Y592" s="420"/>
      <c r="Z592" s="367"/>
      <c r="AA592" s="420"/>
      <c r="AB592" s="420"/>
      <c r="AC592" s="420"/>
      <c r="AD592" s="420"/>
      <c r="AE592" s="420"/>
      <c r="AF592" s="367"/>
      <c r="AG592" s="420"/>
      <c r="AH592" s="367"/>
      <c r="AI592" s="367"/>
      <c r="AJ592" s="367"/>
      <c r="AK592" s="358"/>
      <c r="AL592" s="358"/>
      <c r="AM592" s="358"/>
      <c r="AN592" s="358"/>
      <c r="AO592" s="358"/>
      <c r="AP592" s="367"/>
      <c r="AQ592" s="367"/>
      <c r="AR592" s="367"/>
    </row>
    <row r="593">
      <c r="A593" s="418"/>
      <c r="B593" s="418"/>
      <c r="C593" s="417"/>
      <c r="D593" s="417"/>
      <c r="E593" s="418"/>
      <c r="F593" s="418"/>
      <c r="G593" s="367"/>
      <c r="H593" s="418"/>
      <c r="I593" s="418"/>
      <c r="J593" s="418"/>
      <c r="K593" s="418"/>
      <c r="L593" s="420"/>
      <c r="M593" s="420"/>
      <c r="N593" s="420"/>
      <c r="O593" s="420"/>
      <c r="P593" s="420"/>
      <c r="Q593" s="420"/>
      <c r="R593" s="420"/>
      <c r="S593" s="420"/>
      <c r="T593" s="420"/>
      <c r="U593" s="420"/>
      <c r="V593" s="420"/>
      <c r="W593" s="420"/>
      <c r="X593" s="420"/>
      <c r="Y593" s="420"/>
      <c r="Z593" s="367"/>
      <c r="AA593" s="420"/>
      <c r="AB593" s="420"/>
      <c r="AC593" s="420"/>
      <c r="AD593" s="420"/>
      <c r="AE593" s="420"/>
      <c r="AF593" s="367"/>
      <c r="AG593" s="420"/>
      <c r="AH593" s="367"/>
      <c r="AI593" s="367"/>
      <c r="AJ593" s="367"/>
      <c r="AK593" s="358"/>
      <c r="AL593" s="358"/>
      <c r="AM593" s="358"/>
      <c r="AN593" s="358"/>
      <c r="AO593" s="358"/>
      <c r="AP593" s="367"/>
      <c r="AQ593" s="367"/>
      <c r="AR593" s="367"/>
    </row>
    <row r="594">
      <c r="A594" s="418"/>
      <c r="B594" s="418"/>
      <c r="C594" s="417"/>
      <c r="D594" s="417"/>
      <c r="E594" s="418"/>
      <c r="F594" s="418"/>
      <c r="G594" s="367"/>
      <c r="H594" s="418"/>
      <c r="I594" s="418"/>
      <c r="J594" s="418"/>
      <c r="K594" s="418"/>
      <c r="L594" s="420"/>
      <c r="M594" s="420"/>
      <c r="N594" s="420"/>
      <c r="O594" s="420"/>
      <c r="P594" s="420"/>
      <c r="Q594" s="420"/>
      <c r="R594" s="420"/>
      <c r="S594" s="420"/>
      <c r="T594" s="420"/>
      <c r="U594" s="420"/>
      <c r="V594" s="420"/>
      <c r="W594" s="420"/>
      <c r="X594" s="420"/>
      <c r="Y594" s="420"/>
      <c r="Z594" s="367"/>
      <c r="AA594" s="420"/>
      <c r="AB594" s="420"/>
      <c r="AC594" s="420"/>
      <c r="AD594" s="420"/>
      <c r="AE594" s="420"/>
      <c r="AF594" s="367"/>
      <c r="AG594" s="420"/>
      <c r="AH594" s="367"/>
      <c r="AI594" s="367"/>
      <c r="AJ594" s="367"/>
      <c r="AK594" s="358"/>
      <c r="AL594" s="358"/>
      <c r="AM594" s="358"/>
      <c r="AN594" s="358"/>
      <c r="AO594" s="358"/>
      <c r="AP594" s="367"/>
      <c r="AQ594" s="367"/>
      <c r="AR594" s="367"/>
    </row>
    <row r="595">
      <c r="A595" s="418"/>
      <c r="B595" s="418"/>
      <c r="C595" s="417"/>
      <c r="D595" s="417"/>
      <c r="E595" s="418"/>
      <c r="F595" s="418"/>
      <c r="G595" s="367"/>
      <c r="H595" s="418"/>
      <c r="I595" s="418"/>
      <c r="J595" s="418"/>
      <c r="K595" s="418"/>
      <c r="L595" s="420"/>
      <c r="M595" s="420"/>
      <c r="N595" s="420"/>
      <c r="O595" s="420"/>
      <c r="P595" s="420"/>
      <c r="Q595" s="420"/>
      <c r="R595" s="420"/>
      <c r="S595" s="420"/>
      <c r="T595" s="420"/>
      <c r="U595" s="420"/>
      <c r="V595" s="420"/>
      <c r="W595" s="420"/>
      <c r="X595" s="420"/>
      <c r="Y595" s="420"/>
      <c r="Z595" s="367"/>
      <c r="AA595" s="420"/>
      <c r="AB595" s="420"/>
      <c r="AC595" s="420"/>
      <c r="AD595" s="420"/>
      <c r="AE595" s="420"/>
      <c r="AF595" s="367"/>
      <c r="AG595" s="420"/>
      <c r="AH595" s="367"/>
      <c r="AI595" s="367"/>
      <c r="AJ595" s="367"/>
      <c r="AK595" s="358"/>
      <c r="AL595" s="358"/>
      <c r="AM595" s="358"/>
      <c r="AN595" s="358"/>
      <c r="AO595" s="358"/>
      <c r="AP595" s="367"/>
      <c r="AQ595" s="367"/>
      <c r="AR595" s="367"/>
    </row>
    <row r="596">
      <c r="A596" s="418"/>
      <c r="B596" s="418"/>
      <c r="C596" s="417"/>
      <c r="D596" s="417"/>
      <c r="E596" s="418"/>
      <c r="F596" s="418"/>
      <c r="G596" s="367"/>
      <c r="H596" s="418"/>
      <c r="I596" s="418"/>
      <c r="J596" s="418"/>
      <c r="K596" s="418"/>
      <c r="L596" s="420"/>
      <c r="M596" s="420"/>
      <c r="N596" s="420"/>
      <c r="O596" s="420"/>
      <c r="P596" s="420"/>
      <c r="Q596" s="420"/>
      <c r="R596" s="420"/>
      <c r="S596" s="420"/>
      <c r="T596" s="420"/>
      <c r="U596" s="420"/>
      <c r="V596" s="420"/>
      <c r="W596" s="420"/>
      <c r="X596" s="420"/>
      <c r="Y596" s="420"/>
      <c r="Z596" s="367"/>
      <c r="AA596" s="420"/>
      <c r="AB596" s="420"/>
      <c r="AC596" s="420"/>
      <c r="AD596" s="420"/>
      <c r="AE596" s="420"/>
      <c r="AF596" s="367"/>
      <c r="AG596" s="420"/>
      <c r="AH596" s="367"/>
      <c r="AI596" s="367"/>
      <c r="AJ596" s="367"/>
      <c r="AK596" s="358"/>
      <c r="AL596" s="358"/>
      <c r="AM596" s="358"/>
      <c r="AN596" s="358"/>
      <c r="AO596" s="358"/>
      <c r="AP596" s="367"/>
      <c r="AQ596" s="367"/>
      <c r="AR596" s="367"/>
    </row>
    <row r="597">
      <c r="A597" s="418"/>
      <c r="B597" s="418"/>
      <c r="C597" s="417"/>
      <c r="D597" s="417"/>
      <c r="E597" s="418"/>
      <c r="F597" s="418"/>
      <c r="G597" s="367"/>
      <c r="H597" s="418"/>
      <c r="I597" s="418"/>
      <c r="J597" s="418"/>
      <c r="K597" s="418"/>
      <c r="L597" s="420"/>
      <c r="M597" s="420"/>
      <c r="N597" s="420"/>
      <c r="O597" s="420"/>
      <c r="P597" s="420"/>
      <c r="Q597" s="420"/>
      <c r="R597" s="420"/>
      <c r="S597" s="420"/>
      <c r="T597" s="420"/>
      <c r="U597" s="420"/>
      <c r="V597" s="420"/>
      <c r="W597" s="420"/>
      <c r="X597" s="420"/>
      <c r="Y597" s="420"/>
      <c r="Z597" s="367"/>
      <c r="AA597" s="420"/>
      <c r="AB597" s="420"/>
      <c r="AC597" s="420"/>
      <c r="AD597" s="420"/>
      <c r="AE597" s="420"/>
      <c r="AF597" s="367"/>
      <c r="AG597" s="420"/>
      <c r="AH597" s="367"/>
      <c r="AI597" s="367"/>
      <c r="AJ597" s="367"/>
      <c r="AK597" s="358"/>
      <c r="AL597" s="358"/>
      <c r="AM597" s="358"/>
      <c r="AN597" s="358"/>
      <c r="AO597" s="358"/>
      <c r="AP597" s="367"/>
      <c r="AQ597" s="367"/>
      <c r="AR597" s="367"/>
    </row>
    <row r="598">
      <c r="A598" s="418"/>
      <c r="B598" s="418"/>
      <c r="C598" s="417"/>
      <c r="D598" s="417"/>
      <c r="E598" s="418"/>
      <c r="F598" s="418"/>
      <c r="G598" s="367"/>
      <c r="H598" s="418"/>
      <c r="I598" s="418"/>
      <c r="J598" s="418"/>
      <c r="K598" s="418"/>
      <c r="L598" s="420"/>
      <c r="M598" s="420"/>
      <c r="N598" s="420"/>
      <c r="O598" s="420"/>
      <c r="P598" s="420"/>
      <c r="Q598" s="420"/>
      <c r="R598" s="420"/>
      <c r="S598" s="420"/>
      <c r="T598" s="420"/>
      <c r="U598" s="420"/>
      <c r="V598" s="420"/>
      <c r="W598" s="420"/>
      <c r="X598" s="420"/>
      <c r="Y598" s="420"/>
      <c r="Z598" s="367"/>
      <c r="AA598" s="420"/>
      <c r="AB598" s="420"/>
      <c r="AC598" s="420"/>
      <c r="AD598" s="420"/>
      <c r="AE598" s="420"/>
      <c r="AF598" s="367"/>
      <c r="AG598" s="420"/>
      <c r="AH598" s="367"/>
      <c r="AI598" s="367"/>
      <c r="AJ598" s="367"/>
      <c r="AK598" s="358"/>
      <c r="AL598" s="358"/>
      <c r="AM598" s="358"/>
      <c r="AN598" s="358"/>
      <c r="AO598" s="358"/>
      <c r="AP598" s="367"/>
      <c r="AQ598" s="367"/>
      <c r="AR598" s="367"/>
    </row>
    <row r="599">
      <c r="A599" s="418"/>
      <c r="B599" s="418"/>
      <c r="C599" s="417"/>
      <c r="D599" s="417"/>
      <c r="E599" s="418"/>
      <c r="F599" s="418"/>
      <c r="G599" s="367"/>
      <c r="H599" s="418"/>
      <c r="I599" s="418"/>
      <c r="J599" s="418"/>
      <c r="K599" s="418"/>
      <c r="L599" s="420"/>
      <c r="M599" s="420"/>
      <c r="N599" s="420"/>
      <c r="O599" s="420"/>
      <c r="P599" s="420"/>
      <c r="Q599" s="420"/>
      <c r="R599" s="420"/>
      <c r="S599" s="420"/>
      <c r="T599" s="420"/>
      <c r="U599" s="420"/>
      <c r="V599" s="420"/>
      <c r="W599" s="420"/>
      <c r="X599" s="420"/>
      <c r="Y599" s="420"/>
      <c r="Z599" s="367"/>
      <c r="AA599" s="420"/>
      <c r="AB599" s="420"/>
      <c r="AC599" s="420"/>
      <c r="AD599" s="420"/>
      <c r="AE599" s="420"/>
      <c r="AF599" s="367"/>
      <c r="AG599" s="420"/>
      <c r="AH599" s="367"/>
      <c r="AI599" s="367"/>
      <c r="AJ599" s="367"/>
      <c r="AK599" s="358"/>
      <c r="AL599" s="358"/>
      <c r="AM599" s="358"/>
      <c r="AN599" s="358"/>
      <c r="AO599" s="358"/>
      <c r="AP599" s="367"/>
      <c r="AQ599" s="367"/>
      <c r="AR599" s="367"/>
    </row>
    <row r="600">
      <c r="A600" s="418"/>
      <c r="B600" s="418"/>
      <c r="C600" s="417"/>
      <c r="D600" s="417"/>
      <c r="E600" s="418"/>
      <c r="F600" s="418"/>
      <c r="G600" s="367"/>
      <c r="H600" s="418"/>
      <c r="I600" s="418"/>
      <c r="J600" s="418"/>
      <c r="K600" s="418"/>
      <c r="L600" s="420"/>
      <c r="M600" s="420"/>
      <c r="N600" s="420"/>
      <c r="O600" s="420"/>
      <c r="P600" s="420"/>
      <c r="Q600" s="420"/>
      <c r="R600" s="420"/>
      <c r="S600" s="420"/>
      <c r="T600" s="420"/>
      <c r="U600" s="420"/>
      <c r="V600" s="420"/>
      <c r="W600" s="420"/>
      <c r="X600" s="420"/>
      <c r="Y600" s="420"/>
      <c r="Z600" s="367"/>
      <c r="AA600" s="420"/>
      <c r="AB600" s="420"/>
      <c r="AC600" s="420"/>
      <c r="AD600" s="420"/>
      <c r="AE600" s="420"/>
      <c r="AF600" s="367"/>
      <c r="AG600" s="420"/>
      <c r="AH600" s="367"/>
      <c r="AI600" s="367"/>
      <c r="AJ600" s="367"/>
      <c r="AK600" s="358"/>
      <c r="AL600" s="358"/>
      <c r="AM600" s="358"/>
      <c r="AN600" s="358"/>
      <c r="AO600" s="358"/>
      <c r="AP600" s="367"/>
      <c r="AQ600" s="367"/>
      <c r="AR600" s="367"/>
    </row>
    <row r="601">
      <c r="A601" s="418"/>
      <c r="B601" s="418"/>
      <c r="C601" s="417"/>
      <c r="D601" s="417"/>
      <c r="E601" s="418"/>
      <c r="F601" s="418"/>
      <c r="G601" s="367"/>
      <c r="H601" s="418"/>
      <c r="I601" s="418"/>
      <c r="J601" s="418"/>
      <c r="K601" s="418"/>
      <c r="L601" s="420"/>
      <c r="M601" s="420"/>
      <c r="N601" s="420"/>
      <c r="O601" s="420"/>
      <c r="P601" s="420"/>
      <c r="Q601" s="420"/>
      <c r="R601" s="420"/>
      <c r="S601" s="420"/>
      <c r="T601" s="420"/>
      <c r="U601" s="420"/>
      <c r="V601" s="420"/>
      <c r="W601" s="420"/>
      <c r="X601" s="420"/>
      <c r="Y601" s="420"/>
      <c r="Z601" s="367"/>
      <c r="AA601" s="420"/>
      <c r="AB601" s="420"/>
      <c r="AC601" s="420"/>
      <c r="AD601" s="420"/>
      <c r="AE601" s="420"/>
      <c r="AF601" s="367"/>
      <c r="AG601" s="420"/>
      <c r="AH601" s="367"/>
      <c r="AI601" s="367"/>
      <c r="AJ601" s="367"/>
      <c r="AK601" s="358"/>
      <c r="AL601" s="358"/>
      <c r="AM601" s="358"/>
      <c r="AN601" s="358"/>
      <c r="AO601" s="358"/>
      <c r="AP601" s="367"/>
      <c r="AQ601" s="367"/>
      <c r="AR601" s="367"/>
    </row>
    <row r="602">
      <c r="A602" s="418"/>
      <c r="B602" s="418"/>
      <c r="C602" s="417"/>
      <c r="D602" s="417"/>
      <c r="E602" s="418"/>
      <c r="F602" s="418"/>
      <c r="G602" s="367"/>
      <c r="H602" s="418"/>
      <c r="I602" s="418"/>
      <c r="J602" s="418"/>
      <c r="K602" s="418"/>
      <c r="L602" s="420"/>
      <c r="M602" s="420"/>
      <c r="N602" s="420"/>
      <c r="O602" s="420"/>
      <c r="P602" s="420"/>
      <c r="Q602" s="420"/>
      <c r="R602" s="420"/>
      <c r="S602" s="420"/>
      <c r="T602" s="420"/>
      <c r="U602" s="420"/>
      <c r="V602" s="420"/>
      <c r="W602" s="420"/>
      <c r="X602" s="420"/>
      <c r="Y602" s="420"/>
      <c r="Z602" s="367"/>
      <c r="AA602" s="420"/>
      <c r="AB602" s="420"/>
      <c r="AC602" s="420"/>
      <c r="AD602" s="420"/>
      <c r="AE602" s="420"/>
      <c r="AF602" s="367"/>
      <c r="AG602" s="420"/>
      <c r="AH602" s="367"/>
      <c r="AI602" s="367"/>
      <c r="AJ602" s="367"/>
      <c r="AK602" s="358"/>
      <c r="AL602" s="358"/>
      <c r="AM602" s="358"/>
      <c r="AN602" s="358"/>
      <c r="AO602" s="358"/>
      <c r="AP602" s="367"/>
      <c r="AQ602" s="367"/>
      <c r="AR602" s="367"/>
    </row>
    <row r="603">
      <c r="A603" s="418"/>
      <c r="B603" s="418"/>
      <c r="C603" s="417"/>
      <c r="D603" s="417"/>
      <c r="E603" s="418"/>
      <c r="F603" s="418"/>
      <c r="G603" s="367"/>
      <c r="H603" s="418"/>
      <c r="I603" s="418"/>
      <c r="J603" s="418"/>
      <c r="K603" s="418"/>
      <c r="L603" s="420"/>
      <c r="M603" s="420"/>
      <c r="N603" s="420"/>
      <c r="O603" s="420"/>
      <c r="P603" s="420"/>
      <c r="Q603" s="420"/>
      <c r="R603" s="420"/>
      <c r="S603" s="420"/>
      <c r="T603" s="420"/>
      <c r="U603" s="420"/>
      <c r="V603" s="420"/>
      <c r="W603" s="420"/>
      <c r="X603" s="420"/>
      <c r="Y603" s="420"/>
      <c r="Z603" s="367"/>
      <c r="AA603" s="420"/>
      <c r="AB603" s="420"/>
      <c r="AC603" s="420"/>
      <c r="AD603" s="420"/>
      <c r="AE603" s="420"/>
      <c r="AF603" s="367"/>
      <c r="AG603" s="420"/>
      <c r="AH603" s="367"/>
      <c r="AI603" s="367"/>
      <c r="AJ603" s="367"/>
      <c r="AK603" s="358"/>
      <c r="AL603" s="358"/>
      <c r="AM603" s="358"/>
      <c r="AN603" s="358"/>
      <c r="AO603" s="358"/>
      <c r="AP603" s="367"/>
      <c r="AQ603" s="367"/>
      <c r="AR603" s="367"/>
    </row>
    <row r="604">
      <c r="A604" s="418"/>
      <c r="B604" s="418"/>
      <c r="C604" s="417"/>
      <c r="D604" s="417"/>
      <c r="E604" s="418"/>
      <c r="F604" s="418"/>
      <c r="G604" s="367"/>
      <c r="H604" s="418"/>
      <c r="I604" s="418"/>
      <c r="J604" s="418"/>
      <c r="K604" s="418"/>
      <c r="L604" s="420"/>
      <c r="M604" s="420"/>
      <c r="N604" s="420"/>
      <c r="O604" s="420"/>
      <c r="P604" s="420"/>
      <c r="Q604" s="420"/>
      <c r="R604" s="420"/>
      <c r="S604" s="420"/>
      <c r="T604" s="420"/>
      <c r="U604" s="420"/>
      <c r="V604" s="420"/>
      <c r="W604" s="420"/>
      <c r="X604" s="420"/>
      <c r="Y604" s="420"/>
      <c r="Z604" s="367"/>
      <c r="AA604" s="420"/>
      <c r="AB604" s="420"/>
      <c r="AC604" s="420"/>
      <c r="AD604" s="420"/>
      <c r="AE604" s="420"/>
      <c r="AF604" s="367"/>
      <c r="AG604" s="420"/>
      <c r="AH604" s="367"/>
      <c r="AI604" s="367"/>
      <c r="AJ604" s="367"/>
      <c r="AK604" s="358"/>
      <c r="AL604" s="358"/>
      <c r="AM604" s="358"/>
      <c r="AN604" s="358"/>
      <c r="AO604" s="358"/>
      <c r="AP604" s="367"/>
      <c r="AQ604" s="367"/>
      <c r="AR604" s="367"/>
    </row>
    <row r="605">
      <c r="A605" s="418"/>
      <c r="B605" s="418"/>
      <c r="C605" s="417"/>
      <c r="D605" s="417"/>
      <c r="E605" s="418"/>
      <c r="F605" s="418"/>
      <c r="G605" s="367"/>
      <c r="H605" s="418"/>
      <c r="I605" s="418"/>
      <c r="J605" s="418"/>
      <c r="K605" s="418"/>
      <c r="L605" s="420"/>
      <c r="M605" s="420"/>
      <c r="N605" s="420"/>
      <c r="O605" s="420"/>
      <c r="P605" s="420"/>
      <c r="Q605" s="420"/>
      <c r="R605" s="420"/>
      <c r="S605" s="420"/>
      <c r="T605" s="420"/>
      <c r="U605" s="420"/>
      <c r="V605" s="420"/>
      <c r="W605" s="420"/>
      <c r="X605" s="420"/>
      <c r="Y605" s="420"/>
      <c r="Z605" s="367"/>
      <c r="AA605" s="420"/>
      <c r="AB605" s="420"/>
      <c r="AC605" s="420"/>
      <c r="AD605" s="420"/>
      <c r="AE605" s="420"/>
      <c r="AF605" s="367"/>
      <c r="AG605" s="420"/>
      <c r="AH605" s="367"/>
      <c r="AI605" s="367"/>
      <c r="AJ605" s="367"/>
      <c r="AK605" s="358"/>
      <c r="AL605" s="358"/>
      <c r="AM605" s="358"/>
      <c r="AN605" s="358"/>
      <c r="AO605" s="358"/>
      <c r="AP605" s="367"/>
      <c r="AQ605" s="367"/>
      <c r="AR605" s="367"/>
    </row>
    <row r="606">
      <c r="A606" s="418"/>
      <c r="B606" s="418"/>
      <c r="C606" s="417"/>
      <c r="D606" s="417"/>
      <c r="E606" s="418"/>
      <c r="F606" s="418"/>
      <c r="G606" s="367"/>
      <c r="H606" s="418"/>
      <c r="I606" s="418"/>
      <c r="J606" s="418"/>
      <c r="K606" s="418"/>
      <c r="L606" s="420"/>
      <c r="M606" s="420"/>
      <c r="N606" s="420"/>
      <c r="O606" s="420"/>
      <c r="P606" s="420"/>
      <c r="Q606" s="420"/>
      <c r="R606" s="420"/>
      <c r="S606" s="420"/>
      <c r="T606" s="420"/>
      <c r="U606" s="420"/>
      <c r="V606" s="420"/>
      <c r="W606" s="420"/>
      <c r="X606" s="420"/>
      <c r="Y606" s="420"/>
      <c r="Z606" s="367"/>
      <c r="AA606" s="420"/>
      <c r="AB606" s="420"/>
      <c r="AC606" s="420"/>
      <c r="AD606" s="420"/>
      <c r="AE606" s="420"/>
      <c r="AF606" s="367"/>
      <c r="AG606" s="420"/>
      <c r="AH606" s="367"/>
      <c r="AI606" s="367"/>
      <c r="AJ606" s="367"/>
      <c r="AK606" s="358"/>
      <c r="AL606" s="358"/>
      <c r="AM606" s="358"/>
      <c r="AN606" s="358"/>
      <c r="AO606" s="358"/>
      <c r="AP606" s="367"/>
      <c r="AQ606" s="367"/>
      <c r="AR606" s="367"/>
    </row>
    <row r="607">
      <c r="A607" s="418"/>
      <c r="B607" s="418"/>
      <c r="C607" s="417"/>
      <c r="D607" s="417"/>
      <c r="E607" s="418"/>
      <c r="F607" s="418"/>
      <c r="G607" s="367"/>
      <c r="H607" s="418"/>
      <c r="I607" s="418"/>
      <c r="J607" s="418"/>
      <c r="K607" s="418"/>
      <c r="L607" s="420"/>
      <c r="M607" s="420"/>
      <c r="N607" s="420"/>
      <c r="O607" s="420"/>
      <c r="P607" s="420"/>
      <c r="Q607" s="420"/>
      <c r="R607" s="420"/>
      <c r="S607" s="420"/>
      <c r="T607" s="420"/>
      <c r="U607" s="420"/>
      <c r="V607" s="420"/>
      <c r="W607" s="420"/>
      <c r="X607" s="420"/>
      <c r="Y607" s="420"/>
      <c r="Z607" s="367"/>
      <c r="AA607" s="420"/>
      <c r="AB607" s="420"/>
      <c r="AC607" s="420"/>
      <c r="AD607" s="420"/>
      <c r="AE607" s="420"/>
      <c r="AF607" s="367"/>
      <c r="AG607" s="420"/>
      <c r="AH607" s="367"/>
      <c r="AI607" s="367"/>
      <c r="AJ607" s="367"/>
      <c r="AK607" s="358"/>
      <c r="AL607" s="358"/>
      <c r="AM607" s="358"/>
      <c r="AN607" s="358"/>
      <c r="AO607" s="358"/>
      <c r="AP607" s="367"/>
      <c r="AQ607" s="367"/>
      <c r="AR607" s="367"/>
    </row>
    <row r="608">
      <c r="A608" s="418"/>
      <c r="B608" s="418"/>
      <c r="C608" s="417"/>
      <c r="D608" s="417"/>
      <c r="E608" s="418"/>
      <c r="F608" s="418"/>
      <c r="G608" s="367"/>
      <c r="H608" s="418"/>
      <c r="I608" s="418"/>
      <c r="J608" s="418"/>
      <c r="K608" s="418"/>
      <c r="L608" s="420"/>
      <c r="M608" s="420"/>
      <c r="N608" s="420"/>
      <c r="O608" s="420"/>
      <c r="P608" s="420"/>
      <c r="Q608" s="420"/>
      <c r="R608" s="420"/>
      <c r="S608" s="420"/>
      <c r="T608" s="420"/>
      <c r="U608" s="420"/>
      <c r="V608" s="420"/>
      <c r="W608" s="420"/>
      <c r="X608" s="420"/>
      <c r="Y608" s="420"/>
      <c r="Z608" s="367"/>
      <c r="AA608" s="420"/>
      <c r="AB608" s="420"/>
      <c r="AC608" s="420"/>
      <c r="AD608" s="420"/>
      <c r="AE608" s="420"/>
      <c r="AF608" s="367"/>
      <c r="AG608" s="420"/>
      <c r="AH608" s="367"/>
      <c r="AI608" s="367"/>
      <c r="AJ608" s="367"/>
      <c r="AK608" s="358"/>
      <c r="AL608" s="358"/>
      <c r="AM608" s="358"/>
      <c r="AN608" s="358"/>
      <c r="AO608" s="358"/>
      <c r="AP608" s="367"/>
      <c r="AQ608" s="367"/>
      <c r="AR608" s="367"/>
    </row>
    <row r="609">
      <c r="A609" s="418"/>
      <c r="B609" s="418"/>
      <c r="C609" s="417"/>
      <c r="D609" s="417"/>
      <c r="E609" s="418"/>
      <c r="F609" s="418"/>
      <c r="G609" s="367"/>
      <c r="H609" s="418"/>
      <c r="I609" s="418"/>
      <c r="J609" s="418"/>
      <c r="K609" s="418"/>
      <c r="L609" s="420"/>
      <c r="M609" s="420"/>
      <c r="N609" s="420"/>
      <c r="O609" s="420"/>
      <c r="P609" s="420"/>
      <c r="Q609" s="420"/>
      <c r="R609" s="420"/>
      <c r="S609" s="420"/>
      <c r="T609" s="420"/>
      <c r="U609" s="420"/>
      <c r="V609" s="420"/>
      <c r="W609" s="420"/>
      <c r="X609" s="420"/>
      <c r="Y609" s="420"/>
      <c r="Z609" s="367"/>
      <c r="AA609" s="420"/>
      <c r="AB609" s="420"/>
      <c r="AC609" s="420"/>
      <c r="AD609" s="420"/>
      <c r="AE609" s="420"/>
      <c r="AF609" s="367"/>
      <c r="AG609" s="420"/>
      <c r="AH609" s="367"/>
      <c r="AI609" s="367"/>
      <c r="AJ609" s="367"/>
      <c r="AK609" s="358"/>
      <c r="AL609" s="358"/>
      <c r="AM609" s="358"/>
      <c r="AN609" s="358"/>
      <c r="AO609" s="358"/>
      <c r="AP609" s="367"/>
      <c r="AQ609" s="367"/>
      <c r="AR609" s="367"/>
    </row>
    <row r="610">
      <c r="A610" s="418"/>
      <c r="B610" s="418"/>
      <c r="C610" s="417"/>
      <c r="D610" s="417"/>
      <c r="E610" s="418"/>
      <c r="F610" s="418"/>
      <c r="G610" s="367"/>
      <c r="H610" s="418"/>
      <c r="I610" s="418"/>
      <c r="J610" s="418"/>
      <c r="K610" s="418"/>
      <c r="L610" s="420"/>
      <c r="M610" s="420"/>
      <c r="N610" s="420"/>
      <c r="O610" s="420"/>
      <c r="P610" s="420"/>
      <c r="Q610" s="420"/>
      <c r="R610" s="420"/>
      <c r="S610" s="420"/>
      <c r="T610" s="420"/>
      <c r="U610" s="420"/>
      <c r="V610" s="420"/>
      <c r="W610" s="420"/>
      <c r="X610" s="420"/>
      <c r="Y610" s="420"/>
      <c r="Z610" s="367"/>
      <c r="AA610" s="420"/>
      <c r="AB610" s="420"/>
      <c r="AC610" s="420"/>
      <c r="AD610" s="420"/>
      <c r="AE610" s="420"/>
      <c r="AF610" s="367"/>
      <c r="AG610" s="420"/>
      <c r="AH610" s="367"/>
      <c r="AI610" s="367"/>
      <c r="AJ610" s="367"/>
      <c r="AK610" s="358"/>
      <c r="AL610" s="358"/>
      <c r="AM610" s="358"/>
      <c r="AN610" s="358"/>
      <c r="AO610" s="358"/>
      <c r="AP610" s="367"/>
      <c r="AQ610" s="367"/>
      <c r="AR610" s="367"/>
    </row>
    <row r="611">
      <c r="A611" s="418"/>
      <c r="B611" s="418"/>
      <c r="C611" s="417"/>
      <c r="D611" s="417"/>
      <c r="E611" s="418"/>
      <c r="F611" s="418"/>
      <c r="G611" s="367"/>
      <c r="H611" s="418"/>
      <c r="I611" s="418"/>
      <c r="J611" s="418"/>
      <c r="K611" s="418"/>
      <c r="L611" s="420"/>
      <c r="M611" s="420"/>
      <c r="N611" s="420"/>
      <c r="O611" s="420"/>
      <c r="P611" s="420"/>
      <c r="Q611" s="420"/>
      <c r="R611" s="420"/>
      <c r="S611" s="420"/>
      <c r="T611" s="420"/>
      <c r="U611" s="420"/>
      <c r="V611" s="420"/>
      <c r="W611" s="420"/>
      <c r="X611" s="420"/>
      <c r="Y611" s="420"/>
      <c r="Z611" s="367"/>
      <c r="AA611" s="420"/>
      <c r="AB611" s="420"/>
      <c r="AC611" s="420"/>
      <c r="AD611" s="420"/>
      <c r="AE611" s="420"/>
      <c r="AF611" s="367"/>
      <c r="AG611" s="420"/>
      <c r="AH611" s="367"/>
      <c r="AI611" s="367"/>
      <c r="AJ611" s="367"/>
      <c r="AK611" s="358"/>
      <c r="AL611" s="358"/>
      <c r="AM611" s="358"/>
      <c r="AN611" s="358"/>
      <c r="AO611" s="358"/>
      <c r="AP611" s="367"/>
      <c r="AQ611" s="367"/>
      <c r="AR611" s="367"/>
    </row>
    <row r="612">
      <c r="A612" s="418"/>
      <c r="B612" s="418"/>
      <c r="C612" s="417"/>
      <c r="D612" s="417"/>
      <c r="E612" s="418"/>
      <c r="F612" s="418"/>
      <c r="G612" s="367"/>
      <c r="H612" s="418"/>
      <c r="I612" s="418"/>
      <c r="J612" s="418"/>
      <c r="K612" s="418"/>
      <c r="L612" s="420"/>
      <c r="M612" s="420"/>
      <c r="N612" s="420"/>
      <c r="O612" s="420"/>
      <c r="P612" s="420"/>
      <c r="Q612" s="420"/>
      <c r="R612" s="420"/>
      <c r="S612" s="420"/>
      <c r="T612" s="420"/>
      <c r="U612" s="420"/>
      <c r="V612" s="420"/>
      <c r="W612" s="420"/>
      <c r="X612" s="420"/>
      <c r="Y612" s="420"/>
      <c r="Z612" s="367"/>
      <c r="AA612" s="420"/>
      <c r="AB612" s="420"/>
      <c r="AC612" s="420"/>
      <c r="AD612" s="420"/>
      <c r="AE612" s="420"/>
      <c r="AF612" s="367"/>
      <c r="AG612" s="420"/>
      <c r="AH612" s="367"/>
      <c r="AI612" s="367"/>
      <c r="AJ612" s="367"/>
      <c r="AK612" s="358"/>
      <c r="AL612" s="358"/>
      <c r="AM612" s="358"/>
      <c r="AN612" s="358"/>
      <c r="AO612" s="358"/>
      <c r="AP612" s="367"/>
      <c r="AQ612" s="367"/>
      <c r="AR612" s="367"/>
    </row>
    <row r="613">
      <c r="A613" s="418"/>
      <c r="B613" s="418"/>
      <c r="C613" s="417"/>
      <c r="D613" s="417"/>
      <c r="E613" s="418"/>
      <c r="F613" s="418"/>
      <c r="G613" s="367"/>
      <c r="H613" s="418"/>
      <c r="I613" s="418"/>
      <c r="J613" s="418"/>
      <c r="K613" s="418"/>
      <c r="L613" s="420"/>
      <c r="M613" s="420"/>
      <c r="N613" s="420"/>
      <c r="O613" s="420"/>
      <c r="P613" s="420"/>
      <c r="Q613" s="420"/>
      <c r="R613" s="420"/>
      <c r="S613" s="420"/>
      <c r="T613" s="420"/>
      <c r="U613" s="420"/>
      <c r="V613" s="420"/>
      <c r="W613" s="420"/>
      <c r="X613" s="420"/>
      <c r="Y613" s="420"/>
      <c r="Z613" s="367"/>
      <c r="AA613" s="420"/>
      <c r="AB613" s="420"/>
      <c r="AC613" s="420"/>
      <c r="AD613" s="420"/>
      <c r="AE613" s="420"/>
      <c r="AF613" s="367"/>
      <c r="AG613" s="420"/>
      <c r="AH613" s="367"/>
      <c r="AI613" s="367"/>
      <c r="AJ613" s="367"/>
      <c r="AK613" s="358"/>
      <c r="AL613" s="358"/>
      <c r="AM613" s="358"/>
      <c r="AN613" s="358"/>
      <c r="AO613" s="358"/>
      <c r="AP613" s="367"/>
      <c r="AQ613" s="367"/>
      <c r="AR613" s="367"/>
    </row>
    <row r="614">
      <c r="A614" s="418"/>
      <c r="B614" s="418"/>
      <c r="C614" s="417"/>
      <c r="D614" s="417"/>
      <c r="E614" s="418"/>
      <c r="F614" s="418"/>
      <c r="G614" s="367"/>
      <c r="H614" s="418"/>
      <c r="I614" s="418"/>
      <c r="J614" s="418"/>
      <c r="K614" s="418"/>
      <c r="L614" s="420"/>
      <c r="M614" s="420"/>
      <c r="N614" s="420"/>
      <c r="O614" s="420"/>
      <c r="P614" s="420"/>
      <c r="Q614" s="420"/>
      <c r="R614" s="420"/>
      <c r="S614" s="420"/>
      <c r="T614" s="420"/>
      <c r="U614" s="420"/>
      <c r="V614" s="420"/>
      <c r="W614" s="420"/>
      <c r="X614" s="420"/>
      <c r="Y614" s="420"/>
      <c r="Z614" s="367"/>
      <c r="AA614" s="420"/>
      <c r="AB614" s="420"/>
      <c r="AC614" s="420"/>
      <c r="AD614" s="420"/>
      <c r="AE614" s="420"/>
      <c r="AF614" s="367"/>
      <c r="AG614" s="420"/>
      <c r="AH614" s="367"/>
      <c r="AI614" s="367"/>
      <c r="AJ614" s="367"/>
      <c r="AK614" s="358"/>
      <c r="AL614" s="358"/>
      <c r="AM614" s="358"/>
      <c r="AN614" s="358"/>
      <c r="AO614" s="358"/>
      <c r="AP614" s="367"/>
      <c r="AQ614" s="367"/>
      <c r="AR614" s="367"/>
    </row>
    <row r="615">
      <c r="A615" s="418"/>
      <c r="B615" s="418"/>
      <c r="C615" s="417"/>
      <c r="D615" s="417"/>
      <c r="E615" s="418"/>
      <c r="F615" s="418"/>
      <c r="G615" s="367"/>
      <c r="H615" s="418"/>
      <c r="I615" s="418"/>
      <c r="J615" s="418"/>
      <c r="K615" s="418"/>
      <c r="L615" s="420"/>
      <c r="M615" s="420"/>
      <c r="N615" s="420"/>
      <c r="O615" s="420"/>
      <c r="P615" s="420"/>
      <c r="Q615" s="420"/>
      <c r="R615" s="420"/>
      <c r="S615" s="420"/>
      <c r="T615" s="420"/>
      <c r="U615" s="420"/>
      <c r="V615" s="420"/>
      <c r="W615" s="420"/>
      <c r="X615" s="420"/>
      <c r="Y615" s="420"/>
      <c r="Z615" s="367"/>
      <c r="AA615" s="420"/>
      <c r="AB615" s="420"/>
      <c r="AC615" s="420"/>
      <c r="AD615" s="420"/>
      <c r="AE615" s="420"/>
      <c r="AF615" s="367"/>
      <c r="AG615" s="420"/>
      <c r="AH615" s="367"/>
      <c r="AI615" s="367"/>
      <c r="AJ615" s="367"/>
      <c r="AK615" s="358"/>
      <c r="AL615" s="358"/>
      <c r="AM615" s="358"/>
      <c r="AN615" s="358"/>
      <c r="AO615" s="358"/>
      <c r="AP615" s="367"/>
      <c r="AQ615" s="367"/>
      <c r="AR615" s="367"/>
    </row>
    <row r="616">
      <c r="A616" s="418"/>
      <c r="B616" s="418"/>
      <c r="C616" s="417"/>
      <c r="D616" s="417"/>
      <c r="E616" s="418"/>
      <c r="F616" s="418"/>
      <c r="G616" s="367"/>
      <c r="H616" s="418"/>
      <c r="I616" s="418"/>
      <c r="J616" s="418"/>
      <c r="K616" s="418"/>
      <c r="L616" s="420"/>
      <c r="M616" s="420"/>
      <c r="N616" s="420"/>
      <c r="O616" s="420"/>
      <c r="P616" s="420"/>
      <c r="Q616" s="420"/>
      <c r="R616" s="420"/>
      <c r="S616" s="420"/>
      <c r="T616" s="420"/>
      <c r="U616" s="420"/>
      <c r="V616" s="420"/>
      <c r="W616" s="420"/>
      <c r="X616" s="420"/>
      <c r="Y616" s="420"/>
      <c r="Z616" s="367"/>
      <c r="AA616" s="420"/>
      <c r="AB616" s="420"/>
      <c r="AC616" s="420"/>
      <c r="AD616" s="420"/>
      <c r="AE616" s="420"/>
      <c r="AF616" s="367"/>
      <c r="AG616" s="420"/>
      <c r="AH616" s="367"/>
      <c r="AI616" s="367"/>
      <c r="AJ616" s="367"/>
      <c r="AK616" s="358"/>
      <c r="AL616" s="358"/>
      <c r="AM616" s="358"/>
      <c r="AN616" s="358"/>
      <c r="AO616" s="358"/>
      <c r="AP616" s="367"/>
      <c r="AQ616" s="367"/>
      <c r="AR616" s="367"/>
    </row>
    <row r="617">
      <c r="A617" s="418"/>
      <c r="B617" s="418"/>
      <c r="C617" s="417"/>
      <c r="D617" s="417"/>
      <c r="E617" s="418"/>
      <c r="F617" s="418"/>
      <c r="G617" s="367"/>
      <c r="H617" s="418"/>
      <c r="I617" s="418"/>
      <c r="J617" s="418"/>
      <c r="K617" s="418"/>
      <c r="L617" s="420"/>
      <c r="M617" s="420"/>
      <c r="N617" s="420"/>
      <c r="O617" s="420"/>
      <c r="P617" s="420"/>
      <c r="Q617" s="420"/>
      <c r="R617" s="420"/>
      <c r="S617" s="420"/>
      <c r="T617" s="420"/>
      <c r="U617" s="420"/>
      <c r="V617" s="420"/>
      <c r="W617" s="420"/>
      <c r="X617" s="420"/>
      <c r="Y617" s="420"/>
      <c r="Z617" s="367"/>
      <c r="AA617" s="420"/>
      <c r="AB617" s="420"/>
      <c r="AC617" s="420"/>
      <c r="AD617" s="420"/>
      <c r="AE617" s="420"/>
      <c r="AF617" s="367"/>
      <c r="AG617" s="420"/>
      <c r="AH617" s="367"/>
      <c r="AI617" s="367"/>
      <c r="AJ617" s="367"/>
      <c r="AK617" s="358"/>
      <c r="AL617" s="358"/>
      <c r="AM617" s="358"/>
      <c r="AN617" s="358"/>
      <c r="AO617" s="358"/>
      <c r="AP617" s="367"/>
      <c r="AQ617" s="367"/>
      <c r="AR617" s="367"/>
    </row>
    <row r="618">
      <c r="A618" s="418"/>
      <c r="B618" s="418"/>
      <c r="C618" s="417"/>
      <c r="D618" s="417"/>
      <c r="E618" s="418"/>
      <c r="F618" s="418"/>
      <c r="G618" s="367"/>
      <c r="H618" s="418"/>
      <c r="I618" s="418"/>
      <c r="J618" s="418"/>
      <c r="K618" s="418"/>
      <c r="L618" s="420"/>
      <c r="M618" s="420"/>
      <c r="N618" s="420"/>
      <c r="O618" s="420"/>
      <c r="P618" s="420"/>
      <c r="Q618" s="420"/>
      <c r="R618" s="420"/>
      <c r="S618" s="420"/>
      <c r="T618" s="420"/>
      <c r="U618" s="420"/>
      <c r="V618" s="420"/>
      <c r="W618" s="420"/>
      <c r="X618" s="420"/>
      <c r="Y618" s="420"/>
      <c r="Z618" s="367"/>
      <c r="AA618" s="420"/>
      <c r="AB618" s="420"/>
      <c r="AC618" s="420"/>
      <c r="AD618" s="420"/>
      <c r="AE618" s="420"/>
      <c r="AF618" s="367"/>
      <c r="AG618" s="420"/>
      <c r="AH618" s="367"/>
      <c r="AI618" s="367"/>
      <c r="AJ618" s="367"/>
      <c r="AK618" s="358"/>
      <c r="AL618" s="358"/>
      <c r="AM618" s="358"/>
      <c r="AN618" s="358"/>
      <c r="AO618" s="358"/>
      <c r="AP618" s="367"/>
      <c r="AQ618" s="367"/>
      <c r="AR618" s="367"/>
    </row>
    <row r="619">
      <c r="A619" s="418"/>
      <c r="B619" s="418"/>
      <c r="C619" s="417"/>
      <c r="D619" s="417"/>
      <c r="E619" s="418"/>
      <c r="F619" s="418"/>
      <c r="G619" s="367"/>
      <c r="H619" s="418"/>
      <c r="I619" s="418"/>
      <c r="J619" s="418"/>
      <c r="K619" s="418"/>
      <c r="L619" s="420"/>
      <c r="M619" s="420"/>
      <c r="N619" s="420"/>
      <c r="O619" s="420"/>
      <c r="P619" s="420"/>
      <c r="Q619" s="420"/>
      <c r="R619" s="420"/>
      <c r="S619" s="420"/>
      <c r="T619" s="420"/>
      <c r="U619" s="420"/>
      <c r="V619" s="420"/>
      <c r="W619" s="420"/>
      <c r="X619" s="420"/>
      <c r="Y619" s="420"/>
      <c r="Z619" s="367"/>
      <c r="AA619" s="420"/>
      <c r="AB619" s="420"/>
      <c r="AC619" s="420"/>
      <c r="AD619" s="420"/>
      <c r="AE619" s="420"/>
      <c r="AF619" s="367"/>
      <c r="AG619" s="420"/>
      <c r="AH619" s="367"/>
      <c r="AI619" s="367"/>
      <c r="AJ619" s="367"/>
      <c r="AK619" s="358"/>
      <c r="AL619" s="358"/>
      <c r="AM619" s="358"/>
      <c r="AN619" s="358"/>
      <c r="AO619" s="358"/>
      <c r="AP619" s="367"/>
      <c r="AQ619" s="367"/>
      <c r="AR619" s="367"/>
    </row>
    <row r="620">
      <c r="A620" s="418"/>
      <c r="B620" s="418"/>
      <c r="C620" s="417"/>
      <c r="D620" s="417"/>
      <c r="E620" s="418"/>
      <c r="F620" s="418"/>
      <c r="G620" s="367"/>
      <c r="H620" s="418"/>
      <c r="I620" s="418"/>
      <c r="J620" s="418"/>
      <c r="K620" s="418"/>
      <c r="L620" s="420"/>
      <c r="M620" s="420"/>
      <c r="N620" s="420"/>
      <c r="O620" s="420"/>
      <c r="P620" s="420"/>
      <c r="Q620" s="420"/>
      <c r="R620" s="420"/>
      <c r="S620" s="420"/>
      <c r="T620" s="420"/>
      <c r="U620" s="420"/>
      <c r="V620" s="420"/>
      <c r="W620" s="420"/>
      <c r="X620" s="420"/>
      <c r="Y620" s="420"/>
      <c r="Z620" s="367"/>
      <c r="AA620" s="420"/>
      <c r="AB620" s="420"/>
      <c r="AC620" s="420"/>
      <c r="AD620" s="420"/>
      <c r="AE620" s="420"/>
      <c r="AF620" s="367"/>
      <c r="AG620" s="420"/>
      <c r="AH620" s="367"/>
      <c r="AI620" s="367"/>
      <c r="AJ620" s="367"/>
      <c r="AK620" s="358"/>
      <c r="AL620" s="358"/>
      <c r="AM620" s="358"/>
      <c r="AN620" s="358"/>
      <c r="AO620" s="358"/>
      <c r="AP620" s="367"/>
      <c r="AQ620" s="367"/>
      <c r="AR620" s="367"/>
    </row>
    <row r="621">
      <c r="A621" s="418"/>
      <c r="B621" s="418"/>
      <c r="C621" s="417"/>
      <c r="D621" s="417"/>
      <c r="E621" s="418"/>
      <c r="F621" s="418"/>
      <c r="G621" s="367"/>
      <c r="H621" s="418"/>
      <c r="I621" s="418"/>
      <c r="J621" s="418"/>
      <c r="K621" s="418"/>
      <c r="L621" s="420"/>
      <c r="M621" s="420"/>
      <c r="N621" s="420"/>
      <c r="O621" s="420"/>
      <c r="P621" s="420"/>
      <c r="Q621" s="420"/>
      <c r="R621" s="420"/>
      <c r="S621" s="420"/>
      <c r="T621" s="420"/>
      <c r="U621" s="420"/>
      <c r="V621" s="420"/>
      <c r="W621" s="420"/>
      <c r="X621" s="420"/>
      <c r="Y621" s="420"/>
      <c r="Z621" s="367"/>
      <c r="AA621" s="420"/>
      <c r="AB621" s="420"/>
      <c r="AC621" s="420"/>
      <c r="AD621" s="420"/>
      <c r="AE621" s="420"/>
      <c r="AF621" s="367"/>
      <c r="AG621" s="420"/>
      <c r="AH621" s="367"/>
      <c r="AI621" s="367"/>
      <c r="AJ621" s="367"/>
      <c r="AK621" s="358"/>
      <c r="AL621" s="358"/>
      <c r="AM621" s="358"/>
      <c r="AN621" s="358"/>
      <c r="AO621" s="358"/>
      <c r="AP621" s="367"/>
      <c r="AQ621" s="367"/>
      <c r="AR621" s="367"/>
    </row>
    <row r="622">
      <c r="A622" s="418"/>
      <c r="B622" s="418"/>
      <c r="C622" s="417"/>
      <c r="D622" s="417"/>
      <c r="E622" s="418"/>
      <c r="F622" s="418"/>
      <c r="G622" s="367"/>
      <c r="H622" s="418"/>
      <c r="I622" s="418"/>
      <c r="J622" s="418"/>
      <c r="K622" s="418"/>
      <c r="L622" s="420"/>
      <c r="M622" s="420"/>
      <c r="N622" s="420"/>
      <c r="O622" s="420"/>
      <c r="P622" s="420"/>
      <c r="Q622" s="420"/>
      <c r="R622" s="420"/>
      <c r="S622" s="420"/>
      <c r="T622" s="420"/>
      <c r="U622" s="420"/>
      <c r="V622" s="420"/>
      <c r="W622" s="420"/>
      <c r="X622" s="420"/>
      <c r="Y622" s="420"/>
      <c r="Z622" s="367"/>
      <c r="AA622" s="420"/>
      <c r="AB622" s="420"/>
      <c r="AC622" s="420"/>
      <c r="AD622" s="420"/>
      <c r="AE622" s="420"/>
      <c r="AF622" s="367"/>
      <c r="AG622" s="420"/>
      <c r="AH622" s="367"/>
      <c r="AI622" s="367"/>
      <c r="AJ622" s="367"/>
      <c r="AK622" s="358"/>
      <c r="AL622" s="358"/>
      <c r="AM622" s="358"/>
      <c r="AN622" s="358"/>
      <c r="AO622" s="358"/>
      <c r="AP622" s="367"/>
      <c r="AQ622" s="367"/>
      <c r="AR622" s="367"/>
    </row>
    <row r="623">
      <c r="A623" s="418"/>
      <c r="B623" s="418"/>
      <c r="C623" s="417"/>
      <c r="D623" s="417"/>
      <c r="E623" s="418"/>
      <c r="F623" s="418"/>
      <c r="G623" s="367"/>
      <c r="H623" s="418"/>
      <c r="I623" s="418"/>
      <c r="J623" s="418"/>
      <c r="K623" s="418"/>
      <c r="L623" s="420"/>
      <c r="M623" s="420"/>
      <c r="N623" s="420"/>
      <c r="O623" s="420"/>
      <c r="P623" s="420"/>
      <c r="Q623" s="420"/>
      <c r="R623" s="420"/>
      <c r="S623" s="420"/>
      <c r="T623" s="420"/>
      <c r="U623" s="420"/>
      <c r="V623" s="420"/>
      <c r="W623" s="420"/>
      <c r="X623" s="420"/>
      <c r="Y623" s="420"/>
      <c r="Z623" s="367"/>
      <c r="AA623" s="420"/>
      <c r="AB623" s="420"/>
      <c r="AC623" s="420"/>
      <c r="AD623" s="420"/>
      <c r="AE623" s="420"/>
      <c r="AF623" s="367"/>
      <c r="AG623" s="420"/>
      <c r="AH623" s="367"/>
      <c r="AI623" s="367"/>
      <c r="AJ623" s="367"/>
      <c r="AK623" s="358"/>
      <c r="AL623" s="358"/>
      <c r="AM623" s="358"/>
      <c r="AN623" s="358"/>
      <c r="AO623" s="358"/>
      <c r="AP623" s="367"/>
      <c r="AQ623" s="367"/>
      <c r="AR623" s="367"/>
    </row>
    <row r="624">
      <c r="A624" s="418"/>
      <c r="B624" s="418"/>
      <c r="C624" s="417"/>
      <c r="D624" s="417"/>
      <c r="E624" s="418"/>
      <c r="F624" s="418"/>
      <c r="G624" s="367"/>
      <c r="H624" s="418"/>
      <c r="I624" s="418"/>
      <c r="J624" s="418"/>
      <c r="K624" s="418"/>
      <c r="L624" s="420"/>
      <c r="M624" s="420"/>
      <c r="N624" s="420"/>
      <c r="O624" s="420"/>
      <c r="P624" s="420"/>
      <c r="Q624" s="420"/>
      <c r="R624" s="420"/>
      <c r="S624" s="420"/>
      <c r="T624" s="420"/>
      <c r="U624" s="420"/>
      <c r="V624" s="420"/>
      <c r="W624" s="420"/>
      <c r="X624" s="420"/>
      <c r="Y624" s="420"/>
      <c r="Z624" s="367"/>
      <c r="AA624" s="420"/>
      <c r="AB624" s="420"/>
      <c r="AC624" s="420"/>
      <c r="AD624" s="420"/>
      <c r="AE624" s="420"/>
      <c r="AF624" s="367"/>
      <c r="AG624" s="420"/>
      <c r="AH624" s="367"/>
      <c r="AI624" s="367"/>
      <c r="AJ624" s="367"/>
      <c r="AK624" s="358"/>
      <c r="AL624" s="358"/>
      <c r="AM624" s="358"/>
      <c r="AN624" s="358"/>
      <c r="AO624" s="358"/>
      <c r="AP624" s="367"/>
      <c r="AQ624" s="367"/>
      <c r="AR624" s="367"/>
    </row>
    <row r="625">
      <c r="A625" s="418"/>
      <c r="B625" s="418"/>
      <c r="C625" s="417"/>
      <c r="D625" s="417"/>
      <c r="E625" s="418"/>
      <c r="F625" s="418"/>
      <c r="G625" s="367"/>
      <c r="H625" s="418"/>
      <c r="I625" s="418"/>
      <c r="J625" s="418"/>
      <c r="K625" s="418"/>
      <c r="L625" s="420"/>
      <c r="M625" s="420"/>
      <c r="N625" s="420"/>
      <c r="O625" s="420"/>
      <c r="P625" s="420"/>
      <c r="Q625" s="420"/>
      <c r="R625" s="420"/>
      <c r="S625" s="420"/>
      <c r="T625" s="420"/>
      <c r="U625" s="420"/>
      <c r="V625" s="420"/>
      <c r="W625" s="420"/>
      <c r="X625" s="420"/>
      <c r="Y625" s="420"/>
      <c r="Z625" s="367"/>
      <c r="AA625" s="420"/>
      <c r="AB625" s="420"/>
      <c r="AC625" s="420"/>
      <c r="AD625" s="420"/>
      <c r="AE625" s="420"/>
      <c r="AF625" s="367"/>
      <c r="AG625" s="420"/>
      <c r="AH625" s="367"/>
      <c r="AI625" s="367"/>
      <c r="AJ625" s="367"/>
      <c r="AK625" s="358"/>
      <c r="AL625" s="358"/>
      <c r="AM625" s="358"/>
      <c r="AN625" s="358"/>
      <c r="AO625" s="358"/>
      <c r="AP625" s="367"/>
      <c r="AQ625" s="367"/>
      <c r="AR625" s="367"/>
    </row>
    <row r="626">
      <c r="A626" s="418"/>
      <c r="B626" s="418"/>
      <c r="C626" s="417"/>
      <c r="D626" s="417"/>
      <c r="E626" s="418"/>
      <c r="F626" s="418"/>
      <c r="G626" s="367"/>
      <c r="H626" s="418"/>
      <c r="I626" s="418"/>
      <c r="J626" s="418"/>
      <c r="K626" s="418"/>
      <c r="L626" s="420"/>
      <c r="M626" s="420"/>
      <c r="N626" s="420"/>
      <c r="O626" s="420"/>
      <c r="P626" s="420"/>
      <c r="Q626" s="420"/>
      <c r="R626" s="420"/>
      <c r="S626" s="420"/>
      <c r="T626" s="420"/>
      <c r="U626" s="420"/>
      <c r="V626" s="420"/>
      <c r="W626" s="420"/>
      <c r="X626" s="420"/>
      <c r="Y626" s="420"/>
      <c r="Z626" s="367"/>
      <c r="AA626" s="420"/>
      <c r="AB626" s="420"/>
      <c r="AC626" s="420"/>
      <c r="AD626" s="420"/>
      <c r="AE626" s="420"/>
      <c r="AF626" s="367"/>
      <c r="AG626" s="420"/>
      <c r="AH626" s="367"/>
      <c r="AI626" s="367"/>
      <c r="AJ626" s="367"/>
      <c r="AK626" s="358"/>
      <c r="AL626" s="358"/>
      <c r="AM626" s="358"/>
      <c r="AN626" s="358"/>
      <c r="AO626" s="358"/>
      <c r="AP626" s="367"/>
      <c r="AQ626" s="367"/>
      <c r="AR626" s="367"/>
    </row>
    <row r="627">
      <c r="A627" s="418"/>
      <c r="B627" s="418"/>
      <c r="C627" s="417"/>
      <c r="D627" s="417"/>
      <c r="E627" s="418"/>
      <c r="F627" s="418"/>
      <c r="G627" s="367"/>
      <c r="H627" s="418"/>
      <c r="I627" s="418"/>
      <c r="J627" s="418"/>
      <c r="K627" s="418"/>
      <c r="L627" s="420"/>
      <c r="M627" s="420"/>
      <c r="N627" s="420"/>
      <c r="O627" s="420"/>
      <c r="P627" s="420"/>
      <c r="Q627" s="420"/>
      <c r="R627" s="420"/>
      <c r="S627" s="420"/>
      <c r="T627" s="420"/>
      <c r="U627" s="420"/>
      <c r="V627" s="420"/>
      <c r="W627" s="420"/>
      <c r="X627" s="420"/>
      <c r="Y627" s="420"/>
      <c r="Z627" s="367"/>
      <c r="AA627" s="420"/>
      <c r="AB627" s="420"/>
      <c r="AC627" s="420"/>
      <c r="AD627" s="420"/>
      <c r="AE627" s="420"/>
      <c r="AF627" s="367"/>
      <c r="AG627" s="420"/>
      <c r="AH627" s="367"/>
      <c r="AI627" s="367"/>
      <c r="AJ627" s="367"/>
      <c r="AK627" s="358"/>
      <c r="AL627" s="358"/>
      <c r="AM627" s="358"/>
      <c r="AN627" s="358"/>
      <c r="AO627" s="358"/>
      <c r="AP627" s="367"/>
      <c r="AQ627" s="367"/>
      <c r="AR627" s="367"/>
    </row>
    <row r="628">
      <c r="A628" s="418"/>
      <c r="B628" s="418"/>
      <c r="C628" s="417"/>
      <c r="D628" s="417"/>
      <c r="E628" s="418"/>
      <c r="F628" s="418"/>
      <c r="G628" s="367"/>
      <c r="H628" s="418"/>
      <c r="I628" s="418"/>
      <c r="J628" s="418"/>
      <c r="K628" s="418"/>
      <c r="L628" s="420"/>
      <c r="M628" s="420"/>
      <c r="N628" s="420"/>
      <c r="O628" s="420"/>
      <c r="P628" s="420"/>
      <c r="Q628" s="420"/>
      <c r="R628" s="420"/>
      <c r="S628" s="420"/>
      <c r="T628" s="420"/>
      <c r="U628" s="420"/>
      <c r="V628" s="420"/>
      <c r="W628" s="420"/>
      <c r="X628" s="420"/>
      <c r="Y628" s="420"/>
      <c r="Z628" s="367"/>
      <c r="AA628" s="420"/>
      <c r="AB628" s="420"/>
      <c r="AC628" s="420"/>
      <c r="AD628" s="420"/>
      <c r="AE628" s="420"/>
      <c r="AF628" s="367"/>
      <c r="AG628" s="420"/>
      <c r="AH628" s="367"/>
      <c r="AI628" s="367"/>
      <c r="AJ628" s="367"/>
      <c r="AK628" s="358"/>
      <c r="AL628" s="358"/>
      <c r="AM628" s="358"/>
      <c r="AN628" s="358"/>
      <c r="AO628" s="358"/>
      <c r="AP628" s="367"/>
      <c r="AQ628" s="367"/>
      <c r="AR628" s="367"/>
    </row>
    <row r="629">
      <c r="A629" s="418"/>
      <c r="B629" s="418"/>
      <c r="C629" s="417"/>
      <c r="D629" s="417"/>
      <c r="E629" s="418"/>
      <c r="F629" s="418"/>
      <c r="G629" s="367"/>
      <c r="H629" s="418"/>
      <c r="I629" s="418"/>
      <c r="J629" s="418"/>
      <c r="K629" s="418"/>
      <c r="L629" s="420"/>
      <c r="M629" s="420"/>
      <c r="N629" s="420"/>
      <c r="O629" s="420"/>
      <c r="P629" s="420"/>
      <c r="Q629" s="420"/>
      <c r="R629" s="420"/>
      <c r="S629" s="420"/>
      <c r="T629" s="420"/>
      <c r="U629" s="420"/>
      <c r="V629" s="420"/>
      <c r="W629" s="420"/>
      <c r="X629" s="420"/>
      <c r="Y629" s="420"/>
      <c r="Z629" s="367"/>
      <c r="AA629" s="420"/>
      <c r="AB629" s="420"/>
      <c r="AC629" s="420"/>
      <c r="AD629" s="420"/>
      <c r="AE629" s="420"/>
      <c r="AF629" s="367"/>
      <c r="AG629" s="420"/>
      <c r="AH629" s="367"/>
      <c r="AI629" s="367"/>
      <c r="AJ629" s="367"/>
      <c r="AK629" s="358"/>
      <c r="AL629" s="358"/>
      <c r="AM629" s="358"/>
      <c r="AN629" s="358"/>
      <c r="AO629" s="358"/>
      <c r="AP629" s="367"/>
      <c r="AQ629" s="367"/>
      <c r="AR629" s="367"/>
    </row>
    <row r="630">
      <c r="A630" s="418"/>
      <c r="B630" s="418"/>
      <c r="C630" s="417"/>
      <c r="D630" s="417"/>
      <c r="E630" s="418"/>
      <c r="F630" s="418"/>
      <c r="G630" s="367"/>
      <c r="H630" s="418"/>
      <c r="I630" s="418"/>
      <c r="J630" s="418"/>
      <c r="K630" s="418"/>
      <c r="L630" s="420"/>
      <c r="M630" s="420"/>
      <c r="N630" s="420"/>
      <c r="O630" s="420"/>
      <c r="P630" s="420"/>
      <c r="Q630" s="420"/>
      <c r="R630" s="420"/>
      <c r="S630" s="420"/>
      <c r="T630" s="420"/>
      <c r="U630" s="420"/>
      <c r="V630" s="420"/>
      <c r="W630" s="420"/>
      <c r="X630" s="420"/>
      <c r="Y630" s="420"/>
      <c r="Z630" s="367"/>
      <c r="AA630" s="420"/>
      <c r="AB630" s="420"/>
      <c r="AC630" s="420"/>
      <c r="AD630" s="420"/>
      <c r="AE630" s="420"/>
      <c r="AF630" s="367"/>
      <c r="AG630" s="420"/>
      <c r="AH630" s="367"/>
      <c r="AI630" s="367"/>
      <c r="AJ630" s="367"/>
      <c r="AK630" s="358"/>
      <c r="AL630" s="358"/>
      <c r="AM630" s="358"/>
      <c r="AN630" s="358"/>
      <c r="AO630" s="358"/>
      <c r="AP630" s="367"/>
      <c r="AQ630" s="367"/>
      <c r="AR630" s="367"/>
    </row>
    <row r="631">
      <c r="A631" s="418"/>
      <c r="B631" s="418"/>
      <c r="C631" s="417"/>
      <c r="D631" s="417"/>
      <c r="E631" s="418"/>
      <c r="F631" s="418"/>
      <c r="G631" s="367"/>
      <c r="H631" s="418"/>
      <c r="I631" s="418"/>
      <c r="J631" s="418"/>
      <c r="K631" s="418"/>
      <c r="L631" s="420"/>
      <c r="M631" s="420"/>
      <c r="N631" s="420"/>
      <c r="O631" s="420"/>
      <c r="P631" s="420"/>
      <c r="Q631" s="420"/>
      <c r="R631" s="420"/>
      <c r="S631" s="420"/>
      <c r="T631" s="420"/>
      <c r="U631" s="420"/>
      <c r="V631" s="420"/>
      <c r="W631" s="420"/>
      <c r="X631" s="420"/>
      <c r="Y631" s="420"/>
      <c r="Z631" s="367"/>
      <c r="AA631" s="420"/>
      <c r="AB631" s="420"/>
      <c r="AC631" s="420"/>
      <c r="AD631" s="420"/>
      <c r="AE631" s="420"/>
      <c r="AF631" s="367"/>
      <c r="AG631" s="420"/>
      <c r="AH631" s="367"/>
      <c r="AI631" s="367"/>
      <c r="AJ631" s="367"/>
      <c r="AK631" s="358"/>
      <c r="AL631" s="358"/>
      <c r="AM631" s="358"/>
      <c r="AN631" s="358"/>
      <c r="AO631" s="358"/>
      <c r="AP631" s="367"/>
      <c r="AQ631" s="367"/>
      <c r="AR631" s="367"/>
    </row>
    <row r="632">
      <c r="A632" s="418"/>
      <c r="B632" s="418"/>
      <c r="C632" s="417"/>
      <c r="D632" s="417"/>
      <c r="E632" s="418"/>
      <c r="F632" s="418"/>
      <c r="G632" s="367"/>
      <c r="H632" s="418"/>
      <c r="I632" s="418"/>
      <c r="J632" s="418"/>
      <c r="K632" s="418"/>
      <c r="L632" s="420"/>
      <c r="M632" s="420"/>
      <c r="N632" s="420"/>
      <c r="O632" s="420"/>
      <c r="P632" s="420"/>
      <c r="Q632" s="420"/>
      <c r="R632" s="420"/>
      <c r="S632" s="420"/>
      <c r="T632" s="420"/>
      <c r="U632" s="420"/>
      <c r="V632" s="420"/>
      <c r="W632" s="420"/>
      <c r="X632" s="420"/>
      <c r="Y632" s="420"/>
      <c r="Z632" s="367"/>
      <c r="AA632" s="420"/>
      <c r="AB632" s="420"/>
      <c r="AC632" s="420"/>
      <c r="AD632" s="420"/>
      <c r="AE632" s="420"/>
      <c r="AF632" s="367"/>
      <c r="AG632" s="420"/>
      <c r="AH632" s="367"/>
      <c r="AI632" s="367"/>
      <c r="AJ632" s="367"/>
      <c r="AK632" s="358"/>
      <c r="AL632" s="358"/>
      <c r="AM632" s="358"/>
      <c r="AN632" s="358"/>
      <c r="AO632" s="358"/>
      <c r="AP632" s="367"/>
      <c r="AQ632" s="367"/>
      <c r="AR632" s="367"/>
    </row>
    <row r="633">
      <c r="A633" s="418"/>
      <c r="B633" s="418"/>
      <c r="C633" s="417"/>
      <c r="D633" s="417"/>
      <c r="E633" s="418"/>
      <c r="F633" s="418"/>
      <c r="G633" s="367"/>
      <c r="H633" s="418"/>
      <c r="I633" s="418"/>
      <c r="J633" s="418"/>
      <c r="K633" s="418"/>
      <c r="L633" s="420"/>
      <c r="M633" s="420"/>
      <c r="N633" s="420"/>
      <c r="O633" s="420"/>
      <c r="P633" s="420"/>
      <c r="Q633" s="420"/>
      <c r="R633" s="420"/>
      <c r="S633" s="420"/>
      <c r="T633" s="420"/>
      <c r="U633" s="420"/>
      <c r="V633" s="420"/>
      <c r="W633" s="420"/>
      <c r="X633" s="420"/>
      <c r="Y633" s="420"/>
      <c r="Z633" s="367"/>
      <c r="AA633" s="420"/>
      <c r="AB633" s="420"/>
      <c r="AC633" s="420"/>
      <c r="AD633" s="420"/>
      <c r="AE633" s="420"/>
      <c r="AF633" s="367"/>
      <c r="AG633" s="420"/>
      <c r="AH633" s="367"/>
      <c r="AI633" s="367"/>
      <c r="AJ633" s="367"/>
      <c r="AK633" s="358"/>
      <c r="AL633" s="358"/>
      <c r="AM633" s="358"/>
      <c r="AN633" s="358"/>
      <c r="AO633" s="358"/>
      <c r="AP633" s="367"/>
      <c r="AQ633" s="367"/>
      <c r="AR633" s="367"/>
    </row>
    <row r="634">
      <c r="A634" s="418"/>
      <c r="B634" s="418"/>
      <c r="C634" s="417"/>
      <c r="D634" s="417"/>
      <c r="E634" s="418"/>
      <c r="F634" s="418"/>
      <c r="G634" s="367"/>
      <c r="H634" s="418"/>
      <c r="I634" s="418"/>
      <c r="J634" s="418"/>
      <c r="K634" s="418"/>
      <c r="L634" s="420"/>
      <c r="M634" s="420"/>
      <c r="N634" s="420"/>
      <c r="O634" s="420"/>
      <c r="P634" s="420"/>
      <c r="Q634" s="420"/>
      <c r="R634" s="420"/>
      <c r="S634" s="420"/>
      <c r="T634" s="420"/>
      <c r="U634" s="420"/>
      <c r="V634" s="420"/>
      <c r="W634" s="420"/>
      <c r="X634" s="420"/>
      <c r="Y634" s="420"/>
      <c r="Z634" s="367"/>
      <c r="AA634" s="420"/>
      <c r="AB634" s="420"/>
      <c r="AC634" s="420"/>
      <c r="AD634" s="420"/>
      <c r="AE634" s="420"/>
      <c r="AF634" s="367"/>
      <c r="AG634" s="420"/>
      <c r="AH634" s="367"/>
      <c r="AI634" s="367"/>
      <c r="AJ634" s="367"/>
      <c r="AK634" s="358"/>
      <c r="AL634" s="358"/>
      <c r="AM634" s="358"/>
      <c r="AN634" s="358"/>
      <c r="AO634" s="358"/>
      <c r="AP634" s="367"/>
      <c r="AQ634" s="367"/>
      <c r="AR634" s="367"/>
    </row>
    <row r="635">
      <c r="A635" s="418"/>
      <c r="B635" s="418"/>
      <c r="C635" s="417"/>
      <c r="D635" s="417"/>
      <c r="E635" s="418"/>
      <c r="F635" s="418"/>
      <c r="G635" s="367"/>
      <c r="H635" s="418"/>
      <c r="I635" s="418"/>
      <c r="J635" s="418"/>
      <c r="K635" s="418"/>
      <c r="L635" s="420"/>
      <c r="M635" s="420"/>
      <c r="N635" s="420"/>
      <c r="O635" s="420"/>
      <c r="P635" s="420"/>
      <c r="Q635" s="420"/>
      <c r="R635" s="420"/>
      <c r="S635" s="420"/>
      <c r="T635" s="420"/>
      <c r="U635" s="420"/>
      <c r="V635" s="420"/>
      <c r="W635" s="420"/>
      <c r="X635" s="420"/>
      <c r="Y635" s="420"/>
      <c r="Z635" s="367"/>
      <c r="AA635" s="420"/>
      <c r="AB635" s="420"/>
      <c r="AC635" s="420"/>
      <c r="AD635" s="420"/>
      <c r="AE635" s="420"/>
      <c r="AF635" s="367"/>
      <c r="AG635" s="420"/>
      <c r="AH635" s="367"/>
      <c r="AI635" s="367"/>
      <c r="AJ635" s="367"/>
      <c r="AK635" s="358"/>
      <c r="AL635" s="358"/>
      <c r="AM635" s="358"/>
      <c r="AN635" s="358"/>
      <c r="AO635" s="358"/>
      <c r="AP635" s="367"/>
      <c r="AQ635" s="367"/>
      <c r="AR635" s="367"/>
    </row>
    <row r="636">
      <c r="A636" s="418"/>
      <c r="B636" s="418"/>
      <c r="C636" s="417"/>
      <c r="D636" s="417"/>
      <c r="E636" s="418"/>
      <c r="F636" s="418"/>
      <c r="G636" s="367"/>
      <c r="H636" s="418"/>
      <c r="I636" s="418"/>
      <c r="J636" s="418"/>
      <c r="K636" s="418"/>
      <c r="L636" s="420"/>
      <c r="M636" s="420"/>
      <c r="N636" s="420"/>
      <c r="O636" s="420"/>
      <c r="P636" s="420"/>
      <c r="Q636" s="420"/>
      <c r="R636" s="420"/>
      <c r="S636" s="420"/>
      <c r="T636" s="420"/>
      <c r="U636" s="420"/>
      <c r="V636" s="420"/>
      <c r="W636" s="420"/>
      <c r="X636" s="420"/>
      <c r="Y636" s="420"/>
      <c r="Z636" s="367"/>
      <c r="AA636" s="420"/>
      <c r="AB636" s="420"/>
      <c r="AC636" s="420"/>
      <c r="AD636" s="420"/>
      <c r="AE636" s="420"/>
      <c r="AF636" s="367"/>
      <c r="AG636" s="420"/>
      <c r="AH636" s="367"/>
      <c r="AI636" s="367"/>
      <c r="AJ636" s="367"/>
      <c r="AK636" s="358"/>
      <c r="AL636" s="358"/>
      <c r="AM636" s="358"/>
      <c r="AN636" s="358"/>
      <c r="AO636" s="358"/>
      <c r="AP636" s="367"/>
      <c r="AQ636" s="367"/>
      <c r="AR636" s="367"/>
    </row>
    <row r="637">
      <c r="A637" s="418"/>
      <c r="B637" s="418"/>
      <c r="C637" s="417"/>
      <c r="D637" s="417"/>
      <c r="E637" s="418"/>
      <c r="F637" s="418"/>
      <c r="G637" s="367"/>
      <c r="H637" s="418"/>
      <c r="I637" s="418"/>
      <c r="J637" s="418"/>
      <c r="K637" s="418"/>
      <c r="L637" s="420"/>
      <c r="M637" s="420"/>
      <c r="N637" s="420"/>
      <c r="O637" s="420"/>
      <c r="P637" s="420"/>
      <c r="Q637" s="420"/>
      <c r="R637" s="420"/>
      <c r="S637" s="420"/>
      <c r="T637" s="420"/>
      <c r="U637" s="420"/>
      <c r="V637" s="420"/>
      <c r="W637" s="420"/>
      <c r="X637" s="420"/>
      <c r="Y637" s="420"/>
      <c r="Z637" s="367"/>
      <c r="AA637" s="420"/>
      <c r="AB637" s="420"/>
      <c r="AC637" s="420"/>
      <c r="AD637" s="420"/>
      <c r="AE637" s="420"/>
      <c r="AF637" s="367"/>
      <c r="AG637" s="420"/>
      <c r="AH637" s="367"/>
      <c r="AI637" s="367"/>
      <c r="AJ637" s="367"/>
      <c r="AK637" s="358"/>
      <c r="AL637" s="358"/>
      <c r="AM637" s="358"/>
      <c r="AN637" s="358"/>
      <c r="AO637" s="358"/>
      <c r="AP637" s="367"/>
      <c r="AQ637" s="367"/>
      <c r="AR637" s="367"/>
    </row>
    <row r="638">
      <c r="A638" s="418"/>
      <c r="B638" s="418"/>
      <c r="C638" s="417"/>
      <c r="D638" s="417"/>
      <c r="E638" s="418"/>
      <c r="F638" s="418"/>
      <c r="G638" s="367"/>
      <c r="H638" s="418"/>
      <c r="I638" s="418"/>
      <c r="J638" s="418"/>
      <c r="K638" s="418"/>
      <c r="L638" s="420"/>
      <c r="M638" s="420"/>
      <c r="N638" s="420"/>
      <c r="O638" s="420"/>
      <c r="P638" s="420"/>
      <c r="Q638" s="420"/>
      <c r="R638" s="420"/>
      <c r="S638" s="420"/>
      <c r="T638" s="420"/>
      <c r="U638" s="420"/>
      <c r="V638" s="420"/>
      <c r="W638" s="420"/>
      <c r="X638" s="420"/>
      <c r="Y638" s="420"/>
      <c r="Z638" s="367"/>
      <c r="AA638" s="420"/>
      <c r="AB638" s="420"/>
      <c r="AC638" s="420"/>
      <c r="AD638" s="420"/>
      <c r="AE638" s="420"/>
      <c r="AF638" s="367"/>
      <c r="AG638" s="420"/>
      <c r="AH638" s="367"/>
      <c r="AI638" s="367"/>
      <c r="AJ638" s="367"/>
      <c r="AK638" s="358"/>
      <c r="AL638" s="358"/>
      <c r="AM638" s="358"/>
      <c r="AN638" s="358"/>
      <c r="AO638" s="358"/>
      <c r="AP638" s="367"/>
      <c r="AQ638" s="367"/>
      <c r="AR638" s="367"/>
    </row>
    <row r="639">
      <c r="A639" s="418"/>
      <c r="B639" s="418"/>
      <c r="C639" s="417"/>
      <c r="D639" s="417"/>
      <c r="E639" s="418"/>
      <c r="F639" s="418"/>
      <c r="G639" s="367"/>
      <c r="H639" s="418"/>
      <c r="I639" s="418"/>
      <c r="J639" s="418"/>
      <c r="K639" s="418"/>
      <c r="L639" s="420"/>
      <c r="M639" s="420"/>
      <c r="N639" s="420"/>
      <c r="O639" s="420"/>
      <c r="P639" s="420"/>
      <c r="Q639" s="420"/>
      <c r="R639" s="420"/>
      <c r="S639" s="420"/>
      <c r="T639" s="420"/>
      <c r="U639" s="420"/>
      <c r="V639" s="420"/>
      <c r="W639" s="420"/>
      <c r="X639" s="420"/>
      <c r="Y639" s="420"/>
      <c r="Z639" s="367"/>
      <c r="AA639" s="420"/>
      <c r="AB639" s="420"/>
      <c r="AC639" s="420"/>
      <c r="AD639" s="420"/>
      <c r="AE639" s="420"/>
      <c r="AF639" s="367"/>
      <c r="AG639" s="420"/>
      <c r="AH639" s="367"/>
      <c r="AI639" s="367"/>
      <c r="AJ639" s="367"/>
      <c r="AK639" s="358"/>
      <c r="AL639" s="358"/>
      <c r="AM639" s="358"/>
      <c r="AN639" s="358"/>
      <c r="AO639" s="358"/>
      <c r="AP639" s="367"/>
      <c r="AQ639" s="367"/>
      <c r="AR639" s="367"/>
    </row>
    <row r="640">
      <c r="A640" s="418"/>
      <c r="B640" s="418"/>
      <c r="C640" s="417"/>
      <c r="D640" s="417"/>
      <c r="E640" s="418"/>
      <c r="F640" s="418"/>
      <c r="G640" s="367"/>
      <c r="H640" s="418"/>
      <c r="I640" s="418"/>
      <c r="J640" s="418"/>
      <c r="K640" s="418"/>
      <c r="L640" s="420"/>
      <c r="M640" s="420"/>
      <c r="N640" s="420"/>
      <c r="O640" s="420"/>
      <c r="P640" s="420"/>
      <c r="Q640" s="420"/>
      <c r="R640" s="420"/>
      <c r="S640" s="420"/>
      <c r="T640" s="420"/>
      <c r="U640" s="420"/>
      <c r="V640" s="420"/>
      <c r="W640" s="420"/>
      <c r="X640" s="420"/>
      <c r="Y640" s="420"/>
      <c r="Z640" s="367"/>
      <c r="AA640" s="420"/>
      <c r="AB640" s="420"/>
      <c r="AC640" s="420"/>
      <c r="AD640" s="420"/>
      <c r="AE640" s="420"/>
      <c r="AF640" s="367"/>
      <c r="AG640" s="420"/>
      <c r="AH640" s="367"/>
      <c r="AI640" s="367"/>
      <c r="AJ640" s="367"/>
      <c r="AK640" s="358"/>
      <c r="AL640" s="358"/>
      <c r="AM640" s="358"/>
      <c r="AN640" s="358"/>
      <c r="AO640" s="358"/>
      <c r="AP640" s="367"/>
      <c r="AQ640" s="367"/>
      <c r="AR640" s="367"/>
    </row>
    <row r="641">
      <c r="A641" s="418"/>
      <c r="B641" s="418"/>
      <c r="C641" s="417"/>
      <c r="D641" s="417"/>
      <c r="E641" s="418"/>
      <c r="F641" s="418"/>
      <c r="G641" s="367"/>
      <c r="H641" s="418"/>
      <c r="I641" s="418"/>
      <c r="J641" s="418"/>
      <c r="K641" s="418"/>
      <c r="L641" s="420"/>
      <c r="M641" s="420"/>
      <c r="N641" s="420"/>
      <c r="O641" s="420"/>
      <c r="P641" s="420"/>
      <c r="Q641" s="420"/>
      <c r="R641" s="420"/>
      <c r="S641" s="420"/>
      <c r="T641" s="420"/>
      <c r="U641" s="420"/>
      <c r="V641" s="420"/>
      <c r="W641" s="420"/>
      <c r="X641" s="420"/>
      <c r="Y641" s="420"/>
      <c r="Z641" s="367"/>
      <c r="AA641" s="420"/>
      <c r="AB641" s="420"/>
      <c r="AC641" s="420"/>
      <c r="AD641" s="420"/>
      <c r="AE641" s="420"/>
      <c r="AF641" s="367"/>
      <c r="AG641" s="420"/>
      <c r="AH641" s="367"/>
      <c r="AI641" s="367"/>
      <c r="AJ641" s="367"/>
      <c r="AK641" s="358"/>
      <c r="AL641" s="358"/>
      <c r="AM641" s="358"/>
      <c r="AN641" s="358"/>
      <c r="AO641" s="358"/>
      <c r="AP641" s="367"/>
      <c r="AQ641" s="367"/>
      <c r="AR641" s="367"/>
    </row>
    <row r="642">
      <c r="A642" s="418"/>
      <c r="B642" s="418"/>
      <c r="C642" s="417"/>
      <c r="D642" s="417"/>
      <c r="E642" s="418"/>
      <c r="F642" s="418"/>
      <c r="G642" s="367"/>
      <c r="H642" s="418"/>
      <c r="I642" s="418"/>
      <c r="J642" s="418"/>
      <c r="K642" s="418"/>
      <c r="L642" s="420"/>
      <c r="M642" s="420"/>
      <c r="N642" s="420"/>
      <c r="O642" s="420"/>
      <c r="P642" s="420"/>
      <c r="Q642" s="420"/>
      <c r="R642" s="420"/>
      <c r="S642" s="420"/>
      <c r="T642" s="420"/>
      <c r="U642" s="420"/>
      <c r="V642" s="420"/>
      <c r="W642" s="420"/>
      <c r="X642" s="420"/>
      <c r="Y642" s="420"/>
      <c r="Z642" s="367"/>
      <c r="AA642" s="420"/>
      <c r="AB642" s="420"/>
      <c r="AC642" s="420"/>
      <c r="AD642" s="420"/>
      <c r="AE642" s="420"/>
      <c r="AF642" s="367"/>
      <c r="AG642" s="420"/>
      <c r="AH642" s="367"/>
      <c r="AI642" s="367"/>
      <c r="AJ642" s="367"/>
      <c r="AK642" s="358"/>
      <c r="AL642" s="358"/>
      <c r="AM642" s="358"/>
      <c r="AN642" s="358"/>
      <c r="AO642" s="358"/>
      <c r="AP642" s="367"/>
      <c r="AQ642" s="367"/>
      <c r="AR642" s="367"/>
    </row>
    <row r="643">
      <c r="A643" s="418"/>
      <c r="B643" s="418"/>
      <c r="C643" s="417"/>
      <c r="D643" s="417"/>
      <c r="E643" s="418"/>
      <c r="F643" s="418"/>
      <c r="G643" s="367"/>
      <c r="H643" s="418"/>
      <c r="I643" s="418"/>
      <c r="J643" s="418"/>
      <c r="K643" s="418"/>
      <c r="L643" s="420"/>
      <c r="M643" s="420"/>
      <c r="N643" s="420"/>
      <c r="O643" s="420"/>
      <c r="P643" s="420"/>
      <c r="Q643" s="420"/>
      <c r="R643" s="420"/>
      <c r="S643" s="420"/>
      <c r="T643" s="420"/>
      <c r="U643" s="420"/>
      <c r="V643" s="420"/>
      <c r="W643" s="420"/>
      <c r="X643" s="420"/>
      <c r="Y643" s="420"/>
      <c r="Z643" s="367"/>
      <c r="AA643" s="420"/>
      <c r="AB643" s="420"/>
      <c r="AC643" s="420"/>
      <c r="AD643" s="420"/>
      <c r="AE643" s="420"/>
      <c r="AF643" s="367"/>
      <c r="AG643" s="420"/>
      <c r="AH643" s="367"/>
      <c r="AI643" s="367"/>
      <c r="AJ643" s="367"/>
      <c r="AK643" s="358"/>
      <c r="AL643" s="358"/>
      <c r="AM643" s="358"/>
      <c r="AN643" s="358"/>
      <c r="AO643" s="358"/>
      <c r="AP643" s="367"/>
      <c r="AQ643" s="367"/>
      <c r="AR643" s="367"/>
    </row>
    <row r="644">
      <c r="A644" s="418"/>
      <c r="B644" s="418"/>
      <c r="C644" s="417"/>
      <c r="D644" s="417"/>
      <c r="E644" s="418"/>
      <c r="F644" s="418"/>
      <c r="G644" s="367"/>
      <c r="H644" s="418"/>
      <c r="I644" s="418"/>
      <c r="J644" s="418"/>
      <c r="K644" s="418"/>
      <c r="L644" s="420"/>
      <c r="M644" s="420"/>
      <c r="N644" s="420"/>
      <c r="O644" s="420"/>
      <c r="P644" s="420"/>
      <c r="Q644" s="420"/>
      <c r="R644" s="420"/>
      <c r="S644" s="420"/>
      <c r="T644" s="420"/>
      <c r="U644" s="420"/>
      <c r="V644" s="420"/>
      <c r="W644" s="420"/>
      <c r="X644" s="420"/>
      <c r="Y644" s="420"/>
      <c r="Z644" s="367"/>
      <c r="AA644" s="420"/>
      <c r="AB644" s="420"/>
      <c r="AC644" s="420"/>
      <c r="AD644" s="420"/>
      <c r="AE644" s="420"/>
      <c r="AF644" s="367"/>
      <c r="AG644" s="420"/>
      <c r="AH644" s="367"/>
      <c r="AI644" s="367"/>
      <c r="AJ644" s="367"/>
      <c r="AK644" s="358"/>
      <c r="AL644" s="358"/>
      <c r="AM644" s="358"/>
      <c r="AN644" s="358"/>
      <c r="AO644" s="358"/>
      <c r="AP644" s="367"/>
      <c r="AQ644" s="367"/>
      <c r="AR644" s="367"/>
    </row>
    <row r="645">
      <c r="A645" s="418"/>
      <c r="B645" s="418"/>
      <c r="C645" s="417"/>
      <c r="D645" s="417"/>
      <c r="E645" s="418"/>
      <c r="F645" s="418"/>
      <c r="G645" s="367"/>
      <c r="H645" s="418"/>
      <c r="I645" s="418"/>
      <c r="J645" s="418"/>
      <c r="K645" s="418"/>
      <c r="L645" s="420"/>
      <c r="M645" s="420"/>
      <c r="N645" s="420"/>
      <c r="O645" s="420"/>
      <c r="P645" s="420"/>
      <c r="Q645" s="420"/>
      <c r="R645" s="420"/>
      <c r="S645" s="420"/>
      <c r="T645" s="420"/>
      <c r="U645" s="420"/>
      <c r="V645" s="420"/>
      <c r="W645" s="420"/>
      <c r="X645" s="420"/>
      <c r="Y645" s="420"/>
      <c r="Z645" s="367"/>
      <c r="AA645" s="420"/>
      <c r="AB645" s="420"/>
      <c r="AC645" s="420"/>
      <c r="AD645" s="420"/>
      <c r="AE645" s="420"/>
      <c r="AF645" s="367"/>
      <c r="AG645" s="420"/>
      <c r="AH645" s="367"/>
      <c r="AI645" s="367"/>
      <c r="AJ645" s="367"/>
      <c r="AK645" s="358"/>
      <c r="AL645" s="358"/>
      <c r="AM645" s="358"/>
      <c r="AN645" s="358"/>
      <c r="AO645" s="358"/>
      <c r="AP645" s="367"/>
      <c r="AQ645" s="367"/>
      <c r="AR645" s="367"/>
    </row>
    <row r="646">
      <c r="A646" s="418"/>
      <c r="B646" s="418"/>
      <c r="C646" s="417"/>
      <c r="D646" s="417"/>
      <c r="E646" s="418"/>
      <c r="F646" s="418"/>
      <c r="G646" s="367"/>
      <c r="H646" s="418"/>
      <c r="I646" s="418"/>
      <c r="J646" s="418"/>
      <c r="K646" s="418"/>
      <c r="L646" s="420"/>
      <c r="M646" s="420"/>
      <c r="N646" s="420"/>
      <c r="O646" s="420"/>
      <c r="P646" s="420"/>
      <c r="Q646" s="420"/>
      <c r="R646" s="420"/>
      <c r="S646" s="420"/>
      <c r="T646" s="420"/>
      <c r="U646" s="420"/>
      <c r="V646" s="420"/>
      <c r="W646" s="420"/>
      <c r="X646" s="420"/>
      <c r="Y646" s="420"/>
      <c r="Z646" s="367"/>
      <c r="AA646" s="420"/>
      <c r="AB646" s="420"/>
      <c r="AC646" s="420"/>
      <c r="AD646" s="420"/>
      <c r="AE646" s="420"/>
      <c r="AF646" s="367"/>
      <c r="AG646" s="420"/>
      <c r="AH646" s="367"/>
      <c r="AI646" s="367"/>
      <c r="AJ646" s="367"/>
      <c r="AK646" s="358"/>
      <c r="AL646" s="358"/>
      <c r="AM646" s="358"/>
      <c r="AN646" s="358"/>
      <c r="AO646" s="358"/>
      <c r="AP646" s="367"/>
      <c r="AQ646" s="367"/>
      <c r="AR646" s="367"/>
    </row>
    <row r="647">
      <c r="A647" s="418"/>
      <c r="B647" s="418"/>
      <c r="C647" s="417"/>
      <c r="D647" s="417"/>
      <c r="E647" s="418"/>
      <c r="F647" s="418"/>
      <c r="G647" s="367"/>
      <c r="H647" s="418"/>
      <c r="I647" s="418"/>
      <c r="J647" s="418"/>
      <c r="K647" s="418"/>
      <c r="L647" s="420"/>
      <c r="M647" s="420"/>
      <c r="N647" s="420"/>
      <c r="O647" s="420"/>
      <c r="P647" s="420"/>
      <c r="Q647" s="420"/>
      <c r="R647" s="420"/>
      <c r="S647" s="420"/>
      <c r="T647" s="420"/>
      <c r="U647" s="420"/>
      <c r="V647" s="420"/>
      <c r="W647" s="420"/>
      <c r="X647" s="420"/>
      <c r="Y647" s="420"/>
      <c r="Z647" s="367"/>
      <c r="AA647" s="420"/>
      <c r="AB647" s="420"/>
      <c r="AC647" s="420"/>
      <c r="AD647" s="420"/>
      <c r="AE647" s="420"/>
      <c r="AF647" s="367"/>
      <c r="AG647" s="420"/>
      <c r="AH647" s="367"/>
      <c r="AI647" s="367"/>
      <c r="AJ647" s="367"/>
      <c r="AK647" s="358"/>
      <c r="AL647" s="358"/>
      <c r="AM647" s="358"/>
      <c r="AN647" s="358"/>
      <c r="AO647" s="358"/>
      <c r="AP647" s="367"/>
      <c r="AQ647" s="367"/>
      <c r="AR647" s="367"/>
    </row>
    <row r="648">
      <c r="A648" s="418"/>
      <c r="B648" s="418"/>
      <c r="C648" s="417"/>
      <c r="D648" s="417"/>
      <c r="E648" s="418"/>
      <c r="F648" s="418"/>
      <c r="G648" s="367"/>
      <c r="H648" s="418"/>
      <c r="I648" s="418"/>
      <c r="J648" s="418"/>
      <c r="K648" s="418"/>
      <c r="L648" s="420"/>
      <c r="M648" s="420"/>
      <c r="N648" s="420"/>
      <c r="O648" s="420"/>
      <c r="P648" s="420"/>
      <c r="Q648" s="420"/>
      <c r="R648" s="420"/>
      <c r="S648" s="420"/>
      <c r="T648" s="420"/>
      <c r="U648" s="420"/>
      <c r="V648" s="420"/>
      <c r="W648" s="420"/>
      <c r="X648" s="420"/>
      <c r="Y648" s="420"/>
      <c r="Z648" s="367"/>
      <c r="AA648" s="420"/>
      <c r="AB648" s="420"/>
      <c r="AC648" s="420"/>
      <c r="AD648" s="420"/>
      <c r="AE648" s="420"/>
      <c r="AF648" s="367"/>
      <c r="AG648" s="420"/>
      <c r="AH648" s="367"/>
      <c r="AI648" s="367"/>
      <c r="AJ648" s="367"/>
      <c r="AK648" s="358"/>
      <c r="AL648" s="358"/>
      <c r="AM648" s="358"/>
      <c r="AN648" s="358"/>
      <c r="AO648" s="358"/>
      <c r="AP648" s="367"/>
      <c r="AQ648" s="367"/>
      <c r="AR648" s="367"/>
    </row>
    <row r="649">
      <c r="A649" s="418"/>
      <c r="B649" s="418"/>
      <c r="C649" s="417"/>
      <c r="D649" s="417"/>
      <c r="E649" s="418"/>
      <c r="F649" s="418"/>
      <c r="G649" s="367"/>
      <c r="H649" s="418"/>
      <c r="I649" s="418"/>
      <c r="J649" s="418"/>
      <c r="K649" s="418"/>
      <c r="L649" s="420"/>
      <c r="M649" s="420"/>
      <c r="N649" s="420"/>
      <c r="O649" s="420"/>
      <c r="P649" s="420"/>
      <c r="Q649" s="420"/>
      <c r="R649" s="420"/>
      <c r="S649" s="420"/>
      <c r="T649" s="420"/>
      <c r="U649" s="420"/>
      <c r="V649" s="420"/>
      <c r="W649" s="420"/>
      <c r="X649" s="420"/>
      <c r="Y649" s="420"/>
      <c r="Z649" s="367"/>
      <c r="AA649" s="420"/>
      <c r="AB649" s="420"/>
      <c r="AC649" s="420"/>
      <c r="AD649" s="420"/>
      <c r="AE649" s="420"/>
      <c r="AF649" s="367"/>
      <c r="AG649" s="420"/>
      <c r="AH649" s="367"/>
      <c r="AI649" s="367"/>
      <c r="AJ649" s="367"/>
      <c r="AK649" s="358"/>
      <c r="AL649" s="358"/>
      <c r="AM649" s="358"/>
      <c r="AN649" s="358"/>
      <c r="AO649" s="358"/>
      <c r="AP649" s="367"/>
      <c r="AQ649" s="367"/>
      <c r="AR649" s="367"/>
    </row>
    <row r="650">
      <c r="A650" s="418"/>
      <c r="B650" s="418"/>
      <c r="C650" s="417"/>
      <c r="D650" s="417"/>
      <c r="E650" s="418"/>
      <c r="F650" s="418"/>
      <c r="G650" s="367"/>
      <c r="H650" s="418"/>
      <c r="I650" s="418"/>
      <c r="J650" s="418"/>
      <c r="K650" s="418"/>
      <c r="L650" s="420"/>
      <c r="M650" s="420"/>
      <c r="N650" s="420"/>
      <c r="O650" s="420"/>
      <c r="P650" s="420"/>
      <c r="Q650" s="420"/>
      <c r="R650" s="420"/>
      <c r="S650" s="420"/>
      <c r="T650" s="420"/>
      <c r="U650" s="420"/>
      <c r="V650" s="420"/>
      <c r="W650" s="420"/>
      <c r="X650" s="420"/>
      <c r="Y650" s="420"/>
      <c r="Z650" s="367"/>
      <c r="AA650" s="420"/>
      <c r="AB650" s="420"/>
      <c r="AC650" s="420"/>
      <c r="AD650" s="420"/>
      <c r="AE650" s="420"/>
      <c r="AF650" s="367"/>
      <c r="AG650" s="420"/>
      <c r="AH650" s="367"/>
      <c r="AI650" s="367"/>
      <c r="AJ650" s="367"/>
      <c r="AK650" s="358"/>
      <c r="AL650" s="358"/>
      <c r="AM650" s="358"/>
      <c r="AN650" s="358"/>
      <c r="AO650" s="358"/>
      <c r="AP650" s="367"/>
      <c r="AQ650" s="367"/>
      <c r="AR650" s="367"/>
    </row>
    <row r="651">
      <c r="A651" s="418"/>
      <c r="B651" s="418"/>
      <c r="C651" s="417"/>
      <c r="D651" s="417"/>
      <c r="E651" s="418"/>
      <c r="F651" s="418"/>
      <c r="G651" s="367"/>
      <c r="H651" s="418"/>
      <c r="I651" s="418"/>
      <c r="J651" s="418"/>
      <c r="K651" s="418"/>
      <c r="L651" s="420"/>
      <c r="M651" s="420"/>
      <c r="N651" s="420"/>
      <c r="O651" s="420"/>
      <c r="P651" s="420"/>
      <c r="Q651" s="420"/>
      <c r="R651" s="420"/>
      <c r="S651" s="420"/>
      <c r="T651" s="420"/>
      <c r="U651" s="420"/>
      <c r="V651" s="420"/>
      <c r="W651" s="420"/>
      <c r="X651" s="420"/>
      <c r="Y651" s="420"/>
      <c r="Z651" s="367"/>
      <c r="AA651" s="420"/>
      <c r="AB651" s="420"/>
      <c r="AC651" s="420"/>
      <c r="AD651" s="420"/>
      <c r="AE651" s="420"/>
      <c r="AF651" s="367"/>
      <c r="AG651" s="420"/>
      <c r="AH651" s="367"/>
      <c r="AI651" s="367"/>
      <c r="AJ651" s="367"/>
      <c r="AK651" s="358"/>
      <c r="AL651" s="358"/>
      <c r="AM651" s="358"/>
      <c r="AN651" s="358"/>
      <c r="AO651" s="358"/>
      <c r="AP651" s="367"/>
      <c r="AQ651" s="367"/>
      <c r="AR651" s="367"/>
    </row>
  </sheetData>
  <mergeCells count="12">
    <mergeCell ref="D1:D2"/>
    <mergeCell ref="B3:D3"/>
    <mergeCell ref="E3:G3"/>
    <mergeCell ref="B4:D4"/>
    <mergeCell ref="E4:G4"/>
    <mergeCell ref="F1:F2"/>
    <mergeCell ref="G1:G2"/>
    <mergeCell ref="H1:K1"/>
    <mergeCell ref="L1:O1"/>
    <mergeCell ref="P1:R1"/>
    <mergeCell ref="T1:Z1"/>
    <mergeCell ref="AA1:AH1"/>
  </mergeCells>
  <hyperlinks>
    <hyperlink r:id="rId1" ref="A1"/>
  </hyperlinks>
  <drawing r:id="rId2"/>
  <tableParts count="1">
    <tablePart r:id="rId4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1" max="1" width="5.63"/>
    <col customWidth="1" min="2" max="2" width="31.88"/>
    <col customWidth="1" min="3" max="3" width="32.88"/>
    <col customWidth="1" min="4" max="5" width="13.88"/>
    <col customWidth="1" min="6" max="6" width="8.88"/>
    <col customWidth="1" min="7" max="7" width="24.63"/>
    <col customWidth="1" min="8" max="11" width="9.75"/>
    <col customWidth="1" min="12" max="34" width="12.63"/>
    <col customWidth="1" min="35" max="36" width="15.13"/>
  </cols>
  <sheetData>
    <row r="1">
      <c r="A1" s="422"/>
      <c r="B1" s="342" t="s">
        <v>2409</v>
      </c>
      <c r="C1" s="342" t="s">
        <v>2410</v>
      </c>
      <c r="D1" s="347" t="s">
        <v>2411</v>
      </c>
      <c r="E1" s="345" t="s">
        <v>2412</v>
      </c>
      <c r="F1" s="346" t="s">
        <v>2413</v>
      </c>
      <c r="G1" s="347" t="s">
        <v>2414</v>
      </c>
      <c r="H1" s="348" t="s">
        <v>2415</v>
      </c>
      <c r="I1" s="78"/>
      <c r="J1" s="78"/>
      <c r="K1" s="79"/>
      <c r="L1" s="349" t="s">
        <v>2416</v>
      </c>
      <c r="M1" s="78"/>
      <c r="N1" s="78"/>
      <c r="O1" s="79"/>
      <c r="P1" s="350" t="str">
        <f>'UG-CSE'!P1</f>
        <v>Softskill Sx</v>
      </c>
      <c r="Q1" s="78"/>
      <c r="R1" s="79"/>
      <c r="S1" s="351"/>
      <c r="T1" s="352" t="str">
        <f>'UG-CSE'!T1</f>
        <v>Core Cx</v>
      </c>
      <c r="U1" s="78"/>
      <c r="V1" s="78"/>
      <c r="W1" s="78"/>
      <c r="X1" s="78"/>
      <c r="Y1" s="78"/>
      <c r="Z1" s="79"/>
      <c r="AA1" s="353" t="str">
        <f>'UG-CSE'!AA1</f>
        <v>Programming Px</v>
      </c>
      <c r="AB1" s="78"/>
      <c r="AC1" s="78"/>
      <c r="AD1" s="78"/>
      <c r="AE1" s="78"/>
      <c r="AF1" s="78"/>
      <c r="AG1" s="78"/>
      <c r="AH1" s="79"/>
      <c r="AI1" s="354"/>
      <c r="AJ1" s="355"/>
      <c r="AK1" s="356" t="s">
        <v>2420</v>
      </c>
      <c r="AL1" s="356" t="s">
        <v>2421</v>
      </c>
      <c r="AM1" s="356" t="s">
        <v>2422</v>
      </c>
      <c r="AN1" s="356" t="s">
        <v>2423</v>
      </c>
      <c r="AO1" s="357" t="s">
        <v>2424</v>
      </c>
      <c r="AP1" s="367"/>
    </row>
    <row r="2" ht="42.0" customHeight="1">
      <c r="A2" s="359"/>
      <c r="B2" s="342" t="s">
        <v>2425</v>
      </c>
      <c r="C2" s="342" t="s">
        <v>2426</v>
      </c>
      <c r="D2" s="89"/>
      <c r="E2" s="345" t="s">
        <v>2427</v>
      </c>
      <c r="F2" s="89"/>
      <c r="G2" s="89"/>
      <c r="H2" s="360" t="s">
        <v>2428</v>
      </c>
      <c r="I2" s="360" t="s">
        <v>2429</v>
      </c>
      <c r="J2" s="360" t="s">
        <v>2430</v>
      </c>
      <c r="K2" s="360" t="s">
        <v>2431</v>
      </c>
      <c r="L2" s="361" t="s">
        <v>2432</v>
      </c>
      <c r="M2" s="361" t="s">
        <v>2433</v>
      </c>
      <c r="N2" s="361" t="s">
        <v>2434</v>
      </c>
      <c r="O2" s="361" t="s">
        <v>2435</v>
      </c>
      <c r="P2" s="362" t="str">
        <f>'UG-CSE'!P2</f>
        <v>S1</v>
      </c>
      <c r="Q2" s="362" t="str">
        <f>'UG-CSE'!Q2</f>
        <v>S2</v>
      </c>
      <c r="R2" s="362" t="str">
        <f>'UG-CSE'!R2</f>
        <v>S3</v>
      </c>
      <c r="S2" s="362" t="s">
        <v>3754</v>
      </c>
      <c r="T2" s="363" t="str">
        <f>'UG-CSE'!T2</f>
        <v>C2 Odd</v>
      </c>
      <c r="U2" s="363" t="str">
        <f>'UG-CSE'!U2</f>
        <v>C2 Full</v>
      </c>
      <c r="V2" s="363" t="str">
        <f>'UG-CSE'!V2</f>
        <v>C3 Odd</v>
      </c>
      <c r="W2" s="363" t="str">
        <f>'UG-CSE'!W2</f>
        <v>C3 Full</v>
      </c>
      <c r="X2" s="363" t="str">
        <f>'UG-CSE'!X2</f>
        <v>C4 Odd</v>
      </c>
      <c r="Y2" s="363" t="str">
        <f>'UG-CSE'!Y2</f>
        <v>C4 Full</v>
      </c>
      <c r="Z2" s="363" t="str">
        <f>'UG-CSE'!Z2</f>
        <v>C5 Full</v>
      </c>
      <c r="AA2" s="364" t="str">
        <f>'UG-CSE'!AA2</f>
        <v>P1-C</v>
      </c>
      <c r="AB2" s="364" t="str">
        <f>'UG-CSE'!AB2</f>
        <v>P2-Python</v>
      </c>
      <c r="AC2" s="364" t="str">
        <f>'UG-CSE'!AC2</f>
        <v>P3-Python</v>
      </c>
      <c r="AD2" s="364" t="str">
        <f>'UG-CSE'!AD2</f>
        <v>P3-Java </v>
      </c>
      <c r="AE2" s="364" t="str">
        <f>'UG-CSE'!AE2</f>
        <v>P4-Programming part 1</v>
      </c>
      <c r="AF2" s="364" t="str">
        <f>'UG-CSE'!AF2</f>
        <v>P4-Programming part 2</v>
      </c>
      <c r="AG2" s="364" t="str">
        <f>'UG-CSE'!AG2</f>
        <v>P4-MAD/FSD</v>
      </c>
      <c r="AH2" s="365" t="str">
        <f>'UG-CSE'!AH2</f>
        <v>P4-DS</v>
      </c>
      <c r="AI2" s="94" t="s">
        <v>2455</v>
      </c>
      <c r="AJ2" s="95" t="s">
        <v>2456</v>
      </c>
      <c r="AK2" s="366" t="s">
        <v>2457</v>
      </c>
      <c r="AL2" s="366" t="s">
        <v>2457</v>
      </c>
      <c r="AM2" s="366" t="s">
        <v>2457</v>
      </c>
      <c r="AN2" s="366" t="s">
        <v>2457</v>
      </c>
      <c r="AO2" s="366" t="s">
        <v>2457</v>
      </c>
      <c r="AP2" s="367"/>
    </row>
    <row r="3">
      <c r="A3" s="368"/>
      <c r="B3" s="369" t="s">
        <v>2458</v>
      </c>
      <c r="C3" s="196"/>
      <c r="D3" s="197"/>
      <c r="E3" s="370"/>
      <c r="F3" s="199"/>
      <c r="G3" s="200"/>
      <c r="H3" s="371">
        <v>100.0</v>
      </c>
      <c r="I3" s="371">
        <v>100.0</v>
      </c>
      <c r="J3" s="371">
        <v>100.0</v>
      </c>
      <c r="K3" s="371">
        <v>100.0</v>
      </c>
      <c r="L3" s="371">
        <v>100.0</v>
      </c>
      <c r="M3" s="371">
        <v>100.0</v>
      </c>
      <c r="N3" s="371">
        <v>100.0</v>
      </c>
      <c r="O3" s="371">
        <v>100.0</v>
      </c>
      <c r="P3" s="371">
        <v>100.0</v>
      </c>
      <c r="Q3" s="371">
        <v>100.0</v>
      </c>
      <c r="R3" s="371">
        <v>100.0</v>
      </c>
      <c r="S3" s="371">
        <v>100.0</v>
      </c>
      <c r="T3" s="371">
        <v>25.0</v>
      </c>
      <c r="U3" s="371">
        <v>25.0</v>
      </c>
      <c r="V3" s="371">
        <v>100.0</v>
      </c>
      <c r="W3" s="371">
        <v>100.0</v>
      </c>
      <c r="X3" s="371">
        <v>100.0</v>
      </c>
      <c r="Y3" s="371">
        <v>100.0</v>
      </c>
      <c r="Z3" s="371">
        <v>100.0</v>
      </c>
      <c r="AA3" s="371">
        <v>100.0</v>
      </c>
      <c r="AB3" s="371">
        <v>100.0</v>
      </c>
      <c r="AC3" s="371">
        <v>100.0</v>
      </c>
      <c r="AD3" s="371">
        <v>100.0</v>
      </c>
      <c r="AE3" s="371">
        <v>100.0</v>
      </c>
      <c r="AF3" s="371">
        <v>100.0</v>
      </c>
      <c r="AG3" s="371">
        <v>100.0</v>
      </c>
      <c r="AH3" s="371">
        <v>100.0</v>
      </c>
      <c r="AI3" s="371">
        <v>100.0</v>
      </c>
      <c r="AJ3" s="423"/>
      <c r="AK3" s="424"/>
      <c r="AL3" s="424"/>
      <c r="AM3" s="424"/>
      <c r="AN3" s="424"/>
      <c r="AO3" s="424"/>
      <c r="AP3" s="367"/>
    </row>
    <row r="4">
      <c r="A4" s="368"/>
      <c r="B4" s="425" t="s">
        <v>2459</v>
      </c>
      <c r="C4" s="204"/>
      <c r="D4" s="205"/>
      <c r="E4" s="370"/>
      <c r="F4" s="199"/>
      <c r="G4" s="200"/>
      <c r="H4" s="371">
        <v>65.0</v>
      </c>
      <c r="I4" s="371">
        <v>65.0</v>
      </c>
      <c r="J4" s="371">
        <v>70.0</v>
      </c>
      <c r="K4" s="371">
        <v>70.0</v>
      </c>
      <c r="L4" s="426">
        <v>50.0</v>
      </c>
      <c r="M4" s="426">
        <v>50.0</v>
      </c>
      <c r="N4" s="426">
        <v>50.0</v>
      </c>
      <c r="O4" s="427">
        <v>65.0</v>
      </c>
      <c r="P4" s="426">
        <v>50.0</v>
      </c>
      <c r="Q4" s="426">
        <v>50.0</v>
      </c>
      <c r="R4" s="426">
        <v>50.0</v>
      </c>
      <c r="S4" s="428">
        <v>50.0</v>
      </c>
      <c r="T4" s="428">
        <v>10.0</v>
      </c>
      <c r="U4" s="428">
        <v>10.0</v>
      </c>
      <c r="V4" s="428">
        <v>50.0</v>
      </c>
      <c r="W4" s="428">
        <v>50.0</v>
      </c>
      <c r="X4" s="426">
        <v>50.0</v>
      </c>
      <c r="Y4" s="426">
        <v>50.0</v>
      </c>
      <c r="Z4" s="429">
        <v>50.0</v>
      </c>
      <c r="AA4" s="426">
        <v>50.0</v>
      </c>
      <c r="AB4" s="426">
        <v>50.0</v>
      </c>
      <c r="AC4" s="378">
        <v>60.0</v>
      </c>
      <c r="AD4" s="426">
        <v>60.0</v>
      </c>
      <c r="AE4" s="428">
        <v>70.0</v>
      </c>
      <c r="AF4" s="428">
        <v>70.0</v>
      </c>
      <c r="AG4" s="428">
        <v>70.0</v>
      </c>
      <c r="AH4" s="430">
        <v>70.0</v>
      </c>
      <c r="AI4" s="430">
        <v>50.0</v>
      </c>
      <c r="AJ4" s="431"/>
      <c r="AK4" s="424"/>
      <c r="AL4" s="424"/>
      <c r="AM4" s="424"/>
      <c r="AN4" s="424"/>
      <c r="AO4" s="424"/>
      <c r="AP4" s="367"/>
    </row>
    <row r="5">
      <c r="A5" s="385">
        <v>1.0</v>
      </c>
      <c r="B5" s="383" t="s">
        <v>2720</v>
      </c>
      <c r="C5" s="383" t="s">
        <v>2721</v>
      </c>
      <c r="D5" s="386" t="s">
        <v>636</v>
      </c>
      <c r="E5" s="386">
        <v>7.667857334E9</v>
      </c>
      <c r="F5" s="386" t="s">
        <v>3736</v>
      </c>
      <c r="G5" s="432" t="s">
        <v>3755</v>
      </c>
      <c r="H5" s="386">
        <v>74.0</v>
      </c>
      <c r="I5" s="418">
        <v>76.0</v>
      </c>
      <c r="J5" s="433">
        <f>VLOOKUP(D5,'L3'!$1:$2060,2,False)</f>
        <v>70</v>
      </c>
      <c r="K5" s="433">
        <f>VLOOKUP(D5,'L4'!$1:$2059,2,False)</f>
        <v>70</v>
      </c>
      <c r="L5" s="434">
        <f>VLOOKUP(D5,'A1 RETEST 5 DEC'!$1:$2096,2,FALSE)</f>
        <v>44</v>
      </c>
      <c r="M5" s="434">
        <f>VLOOKUP(D5,'A2 RETEST 4 DEC'!$1:$2096,2,FALSE)</f>
        <v>13</v>
      </c>
      <c r="N5" s="435">
        <v>26.25</v>
      </c>
      <c r="O5" s="420"/>
      <c r="P5" s="436">
        <f>IFNA(VLOOKUP(D5,'S1'!$1:$1325,2,False),0)</f>
        <v>80</v>
      </c>
      <c r="Q5" s="436">
        <f>vlookup(D5,'S2'!A1:B1203,2,0)</f>
        <v>79</v>
      </c>
      <c r="R5" s="436">
        <f>ifna(vlookup(D5,'S3'!$1:$1311,2,False),0)</f>
        <v>83</v>
      </c>
      <c r="S5" s="436"/>
      <c r="T5" s="437"/>
      <c r="U5" s="437"/>
      <c r="V5" s="437"/>
      <c r="W5" s="437">
        <v>86.0</v>
      </c>
      <c r="X5" s="437">
        <v>78.0</v>
      </c>
      <c r="Y5" s="437"/>
      <c r="Z5" s="438"/>
      <c r="AA5" s="25"/>
      <c r="AB5" s="395"/>
      <c r="AC5" s="395">
        <v>32.0</v>
      </c>
      <c r="AD5" s="439"/>
      <c r="AE5" s="440">
        <v>70.0</v>
      </c>
      <c r="AF5" s="441"/>
      <c r="AG5" s="439"/>
      <c r="AH5" s="441"/>
      <c r="AI5" s="441"/>
      <c r="AJ5" s="441"/>
      <c r="AK5" s="442">
        <f t="shared" ref="AK5:AK246" si="1">IF(H5&gt;=$H$4, 
    IF(I5&gt;=$I$4, 
        IF(J5&gt;=$J$4, 
            IF(K5&gt;=$K$4, 4, 3), 
            2), 
        1), 
    0)
</f>
        <v>4</v>
      </c>
      <c r="AL5" s="442">
        <f t="shared" ref="AL5:AL246" si="2">IF(L5&gt;=$L$4, 
    IF(M5&gt;=$M$4, 
        IF(N5&gt;=$N$4, 
            IF(O5&gt;=$O$4, 4, 3), 
            2), 
        1), 
    0)
</f>
        <v>0</v>
      </c>
      <c r="AM5" s="424">
        <f t="shared" ref="AM5:AM246" si="3">IF(AND(U5&gt;=$U$4, W5&gt;=$W$4, Y5&gt;=$Y$4, Z5&lt;&gt;"", Z5&gt;=$Z$4), 5,
 IF(AND(U5&gt;=$U$4, W5&gt;=$W$4, Y5&gt;=$Y$4), 4,
  IF(AND(U5&gt;=$U$4, W5&gt;=$W$4), 3,
   IF(AND(T5&gt;=$T$4, U5&gt;=$U$4), 2,
    0
   )
  )
 )
)
</f>
        <v>0</v>
      </c>
      <c r="AN5" s="442" t="str">
        <f t="shared" ref="AN5:AN246" si="4">IF(AB5&gt;=$AB$4, 
    IF(OR(AC5&gt;=$AC$4, AD5&gt;=$AD$4), 
        IF(AND(AE5&gt;=$AE$4, AF5&gt;=$AF$4, OR(AG5&gt;=$AG$4, AH5&gt;=$AH$4)), "4", 
            IF(OR(AE5&gt;=$AE$4, AF5&gt;=$AF$4), "3.5", 
                "3")), 
        "2"), 
    "0")</f>
        <v>0</v>
      </c>
      <c r="AO5" s="442">
        <f t="shared" ref="AO5:AO246" si="5">IF(P5&gt;=$P$4, 
    IF(Q5&gt;=$Q$4, 
        IF(R5&gt;=$R$4, 
            IF(S5&gt;=$S$4, 4, 3), 
            2), 
        1), 
    0)
</f>
        <v>3</v>
      </c>
      <c r="AP5" s="367"/>
    </row>
    <row r="6">
      <c r="A6" s="385">
        <v>2.0</v>
      </c>
      <c r="B6" s="443" t="s">
        <v>2720</v>
      </c>
      <c r="C6" s="444" t="s">
        <v>3756</v>
      </c>
      <c r="D6" s="386" t="s">
        <v>1349</v>
      </c>
      <c r="E6" s="443">
        <v>9.108412159E9</v>
      </c>
      <c r="F6" s="443" t="s">
        <v>3736</v>
      </c>
      <c r="G6" s="432" t="s">
        <v>3755</v>
      </c>
      <c r="H6" s="443">
        <v>0.0</v>
      </c>
      <c r="I6" s="418">
        <v>0.0</v>
      </c>
      <c r="J6" s="433">
        <v>0.0</v>
      </c>
      <c r="K6" s="433">
        <v>0.0</v>
      </c>
      <c r="L6" s="434">
        <f>VLOOKUP(D6,'A1 RETEST 5 DEC'!$1:$2096,2,FALSE)</f>
        <v>0</v>
      </c>
      <c r="M6" s="434">
        <f>VLOOKUP(D6,'A2 RETEST 4 DEC'!$1:$2096,2,FALSE)</f>
        <v>0</v>
      </c>
      <c r="N6" s="435">
        <v>26.25</v>
      </c>
      <c r="O6" s="420"/>
      <c r="P6" s="436">
        <f>IFNA(VLOOKUP(D6,'S1'!$1:$1325,2,False),0)</f>
        <v>0</v>
      </c>
      <c r="Q6" s="436">
        <v>0.0</v>
      </c>
      <c r="R6" s="436">
        <f>ifna(vlookup(D6,'S3'!$1:$1311,2,False),0)</f>
        <v>0</v>
      </c>
      <c r="S6" s="436"/>
      <c r="T6" s="437"/>
      <c r="U6" s="437"/>
      <c r="V6" s="437"/>
      <c r="W6" s="437">
        <v>0.0</v>
      </c>
      <c r="X6" s="445"/>
      <c r="Y6" s="437"/>
      <c r="Z6" s="438"/>
      <c r="AA6" s="25"/>
      <c r="AB6" s="395"/>
      <c r="AC6" s="395">
        <v>0.0</v>
      </c>
      <c r="AD6" s="439"/>
      <c r="AE6" s="440">
        <v>10.0</v>
      </c>
      <c r="AF6" s="441"/>
      <c r="AG6" s="439"/>
      <c r="AH6" s="441"/>
      <c r="AI6" s="441"/>
      <c r="AJ6" s="441"/>
      <c r="AK6" s="442">
        <f t="shared" si="1"/>
        <v>0</v>
      </c>
      <c r="AL6" s="442">
        <f t="shared" si="2"/>
        <v>0</v>
      </c>
      <c r="AM6" s="424">
        <f t="shared" si="3"/>
        <v>0</v>
      </c>
      <c r="AN6" s="442" t="str">
        <f t="shared" si="4"/>
        <v>0</v>
      </c>
      <c r="AO6" s="442">
        <f t="shared" si="5"/>
        <v>0</v>
      </c>
      <c r="AP6" s="367"/>
    </row>
    <row r="7">
      <c r="A7" s="385">
        <v>3.0</v>
      </c>
      <c r="B7" s="446" t="s">
        <v>2163</v>
      </c>
      <c r="C7" s="446" t="s">
        <v>3164</v>
      </c>
      <c r="D7" s="402" t="str">
        <f>VLOOKUP(B7,USN!$1:$1088,2,False)</f>
        <v>1CR23EC001</v>
      </c>
      <c r="E7" s="447">
        <v>7.903405918E9</v>
      </c>
      <c r="F7" s="447" t="s">
        <v>3736</v>
      </c>
      <c r="G7" s="367"/>
      <c r="H7" s="447">
        <v>87.0</v>
      </c>
      <c r="I7" s="448">
        <v>74.0</v>
      </c>
      <c r="J7" s="433">
        <f>VLOOKUP(D7,'L3'!$1:$2060,2,False)</f>
        <v>70</v>
      </c>
      <c r="K7" s="433">
        <f>VLOOKUP(D7,'L4'!$1:$2059,2,False)</f>
        <v>70</v>
      </c>
      <c r="L7" s="434">
        <f>VLOOKUP(D7,'A1 RETEST 5 DEC'!$1:$2096,2,FALSE)</f>
        <v>67</v>
      </c>
      <c r="M7" s="434">
        <f>VLOOKUP(D7,'A2 RETEST 4 DEC'!$1:$2096,2,FALSE)</f>
        <v>52</v>
      </c>
      <c r="N7" s="435">
        <v>57.0</v>
      </c>
      <c r="O7" s="449"/>
      <c r="P7" s="436">
        <f>IFNA(VLOOKUP(D7,'S1'!$1:$1325,2,False),0)</f>
        <v>75</v>
      </c>
      <c r="Q7" s="436">
        <f>vlookup(D7,'S2'!A3:B1205,2,0)</f>
        <v>73</v>
      </c>
      <c r="R7" s="436">
        <f>ifna(vlookup(D7,'S3'!$1:$1311,2,False),0)</f>
        <v>88</v>
      </c>
      <c r="S7" s="436"/>
      <c r="T7" s="437">
        <v>19.0</v>
      </c>
      <c r="U7" s="437">
        <v>17.0</v>
      </c>
      <c r="V7" s="437">
        <v>58.0</v>
      </c>
      <c r="W7" s="437">
        <v>78.0</v>
      </c>
      <c r="X7" s="437">
        <v>66.0</v>
      </c>
      <c r="Y7" s="437"/>
      <c r="Z7" s="438"/>
      <c r="AA7" s="450">
        <v>0.0</v>
      </c>
      <c r="AB7" s="409">
        <v>61.0</v>
      </c>
      <c r="AC7" s="395">
        <v>70.0</v>
      </c>
      <c r="AD7" s="439"/>
      <c r="AE7" s="440">
        <v>50.0</v>
      </c>
      <c r="AF7" s="441"/>
      <c r="AG7" s="439"/>
      <c r="AH7" s="451">
        <v>72.0</v>
      </c>
      <c r="AI7" s="441"/>
      <c r="AJ7" s="441"/>
      <c r="AK7" s="442">
        <f t="shared" si="1"/>
        <v>4</v>
      </c>
      <c r="AL7" s="442">
        <f t="shared" si="2"/>
        <v>3</v>
      </c>
      <c r="AM7" s="424">
        <f t="shared" si="3"/>
        <v>3</v>
      </c>
      <c r="AN7" s="442" t="str">
        <f t="shared" si="4"/>
        <v>3</v>
      </c>
      <c r="AO7" s="442">
        <f t="shared" si="5"/>
        <v>3</v>
      </c>
      <c r="AP7" s="367"/>
    </row>
    <row r="8">
      <c r="A8" s="385">
        <v>4.0</v>
      </c>
      <c r="B8" s="446" t="s">
        <v>2164</v>
      </c>
      <c r="C8" s="446" t="s">
        <v>3165</v>
      </c>
      <c r="D8" s="402" t="str">
        <f>VLOOKUP(B8,USN!$1:$1088,2,False)</f>
        <v>1CR23EC002</v>
      </c>
      <c r="E8" s="447">
        <v>7.411294173E9</v>
      </c>
      <c r="F8" s="447" t="s">
        <v>3736</v>
      </c>
      <c r="G8" s="367"/>
      <c r="H8" s="447">
        <v>84.0</v>
      </c>
      <c r="I8" s="448">
        <v>73.0</v>
      </c>
      <c r="J8" s="433">
        <f>VLOOKUP(D8,'L3'!$1:$2060,2,False)</f>
        <v>70</v>
      </c>
      <c r="K8" s="433">
        <f>VLOOKUP(D8,'L4'!$1:$2059,2,False)</f>
        <v>70</v>
      </c>
      <c r="L8" s="434">
        <f>VLOOKUP(D8,'A1 RETEST 5 DEC'!$1:$2096,2,FALSE)</f>
        <v>20</v>
      </c>
      <c r="M8" s="434">
        <f>VLOOKUP(D8,'A2 RETEST 4 DEC'!$1:$2096,2,FALSE)</f>
        <v>44</v>
      </c>
      <c r="N8" s="435">
        <v>41.0</v>
      </c>
      <c r="O8" s="449"/>
      <c r="P8" s="436">
        <f>IFNA(VLOOKUP(D8,'S1'!$1:$1325,2,False),0)</f>
        <v>76</v>
      </c>
      <c r="Q8" s="436">
        <f>vlookup(D8,'S2'!A4:B1206,2,0)</f>
        <v>50</v>
      </c>
      <c r="R8" s="436">
        <f>ifna(vlookup(D8,'S3'!$1:$1311,2,False),0)</f>
        <v>0</v>
      </c>
      <c r="S8" s="436"/>
      <c r="T8" s="437">
        <v>15.0</v>
      </c>
      <c r="U8" s="437">
        <v>16.0</v>
      </c>
      <c r="V8" s="437">
        <v>72.0</v>
      </c>
      <c r="W8" s="437"/>
      <c r="X8" s="437">
        <v>76.0</v>
      </c>
      <c r="Y8" s="437"/>
      <c r="Z8" s="438"/>
      <c r="AA8" s="450">
        <v>0.0</v>
      </c>
      <c r="AB8" s="409">
        <v>69.0</v>
      </c>
      <c r="AC8" s="395">
        <v>26.0</v>
      </c>
      <c r="AD8" s="439"/>
      <c r="AE8" s="440">
        <v>60.0</v>
      </c>
      <c r="AF8" s="441"/>
      <c r="AG8" s="439"/>
      <c r="AH8" s="451">
        <v>62.0</v>
      </c>
      <c r="AI8" s="441"/>
      <c r="AJ8" s="441"/>
      <c r="AK8" s="442">
        <f t="shared" si="1"/>
        <v>4</v>
      </c>
      <c r="AL8" s="442">
        <f t="shared" si="2"/>
        <v>0</v>
      </c>
      <c r="AM8" s="424">
        <f t="shared" si="3"/>
        <v>2</v>
      </c>
      <c r="AN8" s="442" t="str">
        <f t="shared" si="4"/>
        <v>2</v>
      </c>
      <c r="AO8" s="442">
        <f t="shared" si="5"/>
        <v>2</v>
      </c>
      <c r="AP8" s="367"/>
    </row>
    <row r="9">
      <c r="A9" s="385">
        <v>5.0</v>
      </c>
      <c r="B9" s="446" t="s">
        <v>2203</v>
      </c>
      <c r="C9" s="446" t="s">
        <v>3166</v>
      </c>
      <c r="D9" s="402" t="str">
        <f>VLOOKUP(B9,USN!$1:$1088,2,False)</f>
        <v>1CR23EC003</v>
      </c>
      <c r="E9" s="447"/>
      <c r="F9" s="447" t="s">
        <v>3736</v>
      </c>
      <c r="G9" s="367"/>
      <c r="H9" s="447">
        <v>81.0</v>
      </c>
      <c r="I9" s="448">
        <v>74.0</v>
      </c>
      <c r="J9" s="433">
        <f>VLOOKUP(D9,'L3'!$1:$2060,2,False)</f>
        <v>51</v>
      </c>
      <c r="K9" s="433">
        <f>VLOOKUP(D9,'L4'!$1:$2059,2,False)</f>
        <v>70</v>
      </c>
      <c r="L9" s="434">
        <f>VLOOKUP(D9,'A1 RETEST 5 DEC'!$1:$2096,2,FALSE)</f>
        <v>41</v>
      </c>
      <c r="M9" s="434">
        <f>VLOOKUP(D9,'A2 RETEST 4 DEC'!$1:$2096,2,FALSE)</f>
        <v>27</v>
      </c>
      <c r="N9" s="435">
        <v>0.0</v>
      </c>
      <c r="O9" s="449"/>
      <c r="P9" s="436">
        <f>IFNA(VLOOKUP(D9,'S1'!$1:$1325,2,False),0)</f>
        <v>70</v>
      </c>
      <c r="Q9" s="436">
        <f>vlookup(D9,'S2'!A5:B1207,2,0)</f>
        <v>0</v>
      </c>
      <c r="R9" s="436">
        <f>ifna(vlookup(D9,'S3'!$1:$1311,2,False),0)</f>
        <v>0</v>
      </c>
      <c r="S9" s="436"/>
      <c r="T9" s="437">
        <v>18.0</v>
      </c>
      <c r="U9" s="437">
        <v>18.0</v>
      </c>
      <c r="V9" s="437">
        <v>56.0</v>
      </c>
      <c r="W9" s="437">
        <v>66.0</v>
      </c>
      <c r="X9" s="437">
        <v>56.0</v>
      </c>
      <c r="Y9" s="437"/>
      <c r="Z9" s="438"/>
      <c r="AA9" s="450">
        <v>100.0</v>
      </c>
      <c r="AB9" s="409">
        <v>87.0</v>
      </c>
      <c r="AC9" s="395">
        <v>0.0</v>
      </c>
      <c r="AD9" s="439"/>
      <c r="AE9" s="440">
        <v>10.0</v>
      </c>
      <c r="AF9" s="441"/>
      <c r="AG9" s="439"/>
      <c r="AH9" s="451">
        <v>0.0</v>
      </c>
      <c r="AI9" s="441"/>
      <c r="AJ9" s="441"/>
      <c r="AK9" s="442">
        <f t="shared" si="1"/>
        <v>2</v>
      </c>
      <c r="AL9" s="442">
        <f t="shared" si="2"/>
        <v>0</v>
      </c>
      <c r="AM9" s="424">
        <f t="shared" si="3"/>
        <v>3</v>
      </c>
      <c r="AN9" s="442" t="str">
        <f t="shared" si="4"/>
        <v>2</v>
      </c>
      <c r="AO9" s="442">
        <f t="shared" si="5"/>
        <v>1</v>
      </c>
      <c r="AP9" s="367"/>
    </row>
    <row r="10">
      <c r="A10" s="385">
        <v>6.0</v>
      </c>
      <c r="B10" s="446" t="s">
        <v>2200</v>
      </c>
      <c r="C10" s="446" t="s">
        <v>3167</v>
      </c>
      <c r="D10" s="402" t="str">
        <f>VLOOKUP(B10,USN!$1:$1088,2,False)</f>
        <v>1CR23EC004</v>
      </c>
      <c r="E10" s="447">
        <v>9.141017167E9</v>
      </c>
      <c r="F10" s="447" t="s">
        <v>3736</v>
      </c>
      <c r="G10" s="367"/>
      <c r="H10" s="447">
        <v>77.0</v>
      </c>
      <c r="I10" s="448">
        <v>80.0</v>
      </c>
      <c r="J10" s="433">
        <f>VLOOKUP(D10,'L3'!$1:$2060,2,False)</f>
        <v>60</v>
      </c>
      <c r="K10" s="433">
        <f>VLOOKUP(D10,'L4'!$1:$2059,2,False)</f>
        <v>40</v>
      </c>
      <c r="L10" s="434">
        <f>VLOOKUP(D10,'A1 RETEST 5 DEC'!$1:$2096,2,FALSE)</f>
        <v>46</v>
      </c>
      <c r="M10" s="434">
        <f>VLOOKUP(D10,'A2 RETEST 4 DEC'!$1:$2096,2,FALSE)</f>
        <v>0</v>
      </c>
      <c r="N10" s="435">
        <v>0.0</v>
      </c>
      <c r="O10" s="449"/>
      <c r="P10" s="436">
        <f>IFNA(VLOOKUP(D10,'S1'!$1:$1325,2,False),0)</f>
        <v>0</v>
      </c>
      <c r="Q10" s="436">
        <f>vlookup(D10,'S2'!A6:B1208,2,0)</f>
        <v>0</v>
      </c>
      <c r="R10" s="436">
        <f>ifna(vlookup(D10,'S3'!$1:$1311,2,False),0)</f>
        <v>0</v>
      </c>
      <c r="S10" s="436"/>
      <c r="T10" s="437">
        <v>15.0</v>
      </c>
      <c r="U10" s="437">
        <v>18.0</v>
      </c>
      <c r="V10" s="437">
        <v>44.0</v>
      </c>
      <c r="W10" s="437">
        <v>62.0</v>
      </c>
      <c r="X10" s="437">
        <v>74.0</v>
      </c>
      <c r="Y10" s="437"/>
      <c r="Z10" s="438"/>
      <c r="AA10" s="450">
        <v>4.0</v>
      </c>
      <c r="AB10" s="409">
        <v>63.0</v>
      </c>
      <c r="AC10" s="395">
        <v>0.0</v>
      </c>
      <c r="AD10" s="439"/>
      <c r="AE10" s="440">
        <v>10.0</v>
      </c>
      <c r="AF10" s="441"/>
      <c r="AG10" s="439"/>
      <c r="AH10" s="441"/>
      <c r="AI10" s="441"/>
      <c r="AJ10" s="441"/>
      <c r="AK10" s="442">
        <f t="shared" si="1"/>
        <v>2</v>
      </c>
      <c r="AL10" s="442">
        <f t="shared" si="2"/>
        <v>0</v>
      </c>
      <c r="AM10" s="424">
        <f t="shared" si="3"/>
        <v>3</v>
      </c>
      <c r="AN10" s="442" t="str">
        <f t="shared" si="4"/>
        <v>2</v>
      </c>
      <c r="AO10" s="442">
        <f t="shared" si="5"/>
        <v>0</v>
      </c>
      <c r="AP10" s="367"/>
    </row>
    <row r="11">
      <c r="A11" s="385">
        <v>7.0</v>
      </c>
      <c r="B11" s="446" t="s">
        <v>2396</v>
      </c>
      <c r="C11" s="446" t="s">
        <v>3168</v>
      </c>
      <c r="D11" s="402" t="str">
        <f>VLOOKUP(B11,USN!$1:$1088,2,False)</f>
        <v>1CR23EC005</v>
      </c>
      <c r="E11" s="447">
        <v>9.008684422E9</v>
      </c>
      <c r="F11" s="452" t="s">
        <v>3736</v>
      </c>
      <c r="G11" s="367"/>
      <c r="H11" s="447">
        <v>73.0</v>
      </c>
      <c r="I11" s="448">
        <v>72.0</v>
      </c>
      <c r="J11" s="433">
        <f>VLOOKUP(D11,'L3'!$1:$2060,2,False)</f>
        <v>70</v>
      </c>
      <c r="K11" s="433">
        <f>VLOOKUP(D11,'L4'!$1:$2059,2,False)</f>
        <v>70</v>
      </c>
      <c r="L11" s="434">
        <f>VLOOKUP(D11,'A1 RETEST 5 DEC'!$1:$2096,2,FALSE)</f>
        <v>50</v>
      </c>
      <c r="M11" s="434">
        <f>VLOOKUP(D11,'A2 RETEST 4 DEC'!$1:$2096,2,FALSE)</f>
        <v>5</v>
      </c>
      <c r="N11" s="435">
        <v>12.0</v>
      </c>
      <c r="O11" s="449"/>
      <c r="P11" s="436">
        <f>IFNA(VLOOKUP(D11,'S1'!$1:$1325,2,False),0)</f>
        <v>0</v>
      </c>
      <c r="Q11" s="436">
        <f>vlookup(D11,'S2'!A7:B1209,2,0)</f>
        <v>0</v>
      </c>
      <c r="R11" s="436">
        <f>ifna(vlookup(D11,'S3'!$1:$1311,2,False),0)</f>
        <v>0</v>
      </c>
      <c r="S11" s="436"/>
      <c r="T11" s="437">
        <v>19.0</v>
      </c>
      <c r="U11" s="437">
        <v>21.0</v>
      </c>
      <c r="V11" s="437">
        <v>34.0</v>
      </c>
      <c r="W11" s="437">
        <v>74.0</v>
      </c>
      <c r="X11" s="437">
        <v>74.0</v>
      </c>
      <c r="Y11" s="437"/>
      <c r="Z11" s="438"/>
      <c r="AA11" s="450">
        <v>60.0</v>
      </c>
      <c r="AB11" s="409">
        <v>100.0</v>
      </c>
      <c r="AC11" s="395">
        <v>61.0</v>
      </c>
      <c r="AD11" s="439"/>
      <c r="AE11" s="440">
        <v>20.0</v>
      </c>
      <c r="AF11" s="441"/>
      <c r="AG11" s="439"/>
      <c r="AH11" s="441"/>
      <c r="AI11" s="441"/>
      <c r="AJ11" s="441"/>
      <c r="AK11" s="442">
        <f t="shared" si="1"/>
        <v>4</v>
      </c>
      <c r="AL11" s="442">
        <f t="shared" si="2"/>
        <v>1</v>
      </c>
      <c r="AM11" s="424">
        <f t="shared" si="3"/>
        <v>3</v>
      </c>
      <c r="AN11" s="442" t="str">
        <f t="shared" si="4"/>
        <v>3</v>
      </c>
      <c r="AO11" s="442">
        <f t="shared" si="5"/>
        <v>0</v>
      </c>
      <c r="AP11" s="367"/>
    </row>
    <row r="12">
      <c r="A12" s="385">
        <v>8.0</v>
      </c>
      <c r="B12" s="446" t="s">
        <v>2165</v>
      </c>
      <c r="C12" s="446" t="s">
        <v>3169</v>
      </c>
      <c r="D12" s="402" t="str">
        <f>VLOOKUP(B12,USN!$1:$1088,2,False)</f>
        <v>1CR23EC006</v>
      </c>
      <c r="E12" s="447">
        <v>7.019415329E9</v>
      </c>
      <c r="F12" s="447" t="s">
        <v>3736</v>
      </c>
      <c r="G12" s="367"/>
      <c r="H12" s="447">
        <v>72.0</v>
      </c>
      <c r="I12" s="448">
        <v>71.0</v>
      </c>
      <c r="J12" s="433">
        <f>VLOOKUP(D12,'L3'!$1:$2060,2,False)</f>
        <v>70</v>
      </c>
      <c r="K12" s="433">
        <f>VLOOKUP(D12,'L4'!$1:$2059,2,False)</f>
        <v>70</v>
      </c>
      <c r="L12" s="434">
        <f>VLOOKUP(D12,'A1 RETEST 5 DEC'!$1:$2096,2,FALSE)</f>
        <v>52</v>
      </c>
      <c r="M12" s="434">
        <f>VLOOKUP(D12,'A2 RETEST 4 DEC'!$1:$2096,2,FALSE)</f>
        <v>6</v>
      </c>
      <c r="N12" s="435">
        <v>15.0</v>
      </c>
      <c r="O12" s="449"/>
      <c r="P12" s="436">
        <f>IFNA(VLOOKUP(D12,'S1'!$1:$1325,2,False),0)</f>
        <v>0</v>
      </c>
      <c r="Q12" s="436">
        <f>vlookup(D12,'S2'!A8:B1210,2,0)</f>
        <v>0</v>
      </c>
      <c r="R12" s="436">
        <f>ifna(vlookup(D12,'S3'!$1:$1311,2,False),0)</f>
        <v>0</v>
      </c>
      <c r="S12" s="436"/>
      <c r="T12" s="437">
        <v>13.0</v>
      </c>
      <c r="U12" s="437">
        <v>16.0</v>
      </c>
      <c r="V12" s="437">
        <v>46.0</v>
      </c>
      <c r="W12" s="437">
        <v>78.0</v>
      </c>
      <c r="X12" s="437">
        <v>76.0</v>
      </c>
      <c r="Y12" s="437"/>
      <c r="Z12" s="438"/>
      <c r="AA12" s="450">
        <v>68.0</v>
      </c>
      <c r="AB12" s="409">
        <v>51.0</v>
      </c>
      <c r="AC12" s="395">
        <v>0.0</v>
      </c>
      <c r="AD12" s="439"/>
      <c r="AE12" s="440">
        <v>10.0</v>
      </c>
      <c r="AF12" s="441"/>
      <c r="AG12" s="439"/>
      <c r="AH12" s="441"/>
      <c r="AI12" s="441"/>
      <c r="AJ12" s="441"/>
      <c r="AK12" s="442">
        <f t="shared" si="1"/>
        <v>4</v>
      </c>
      <c r="AL12" s="442">
        <f t="shared" si="2"/>
        <v>1</v>
      </c>
      <c r="AM12" s="424">
        <f t="shared" si="3"/>
        <v>3</v>
      </c>
      <c r="AN12" s="442" t="str">
        <f t="shared" si="4"/>
        <v>2</v>
      </c>
      <c r="AO12" s="442">
        <f t="shared" si="5"/>
        <v>0</v>
      </c>
      <c r="AP12" s="367"/>
    </row>
    <row r="13">
      <c r="A13" s="385">
        <v>9.0</v>
      </c>
      <c r="B13" s="446" t="s">
        <v>2166</v>
      </c>
      <c r="C13" s="446" t="s">
        <v>3170</v>
      </c>
      <c r="D13" s="402" t="str">
        <f>VLOOKUP(B13,USN!$1:$1088,2,False)</f>
        <v>1CR23EC007</v>
      </c>
      <c r="E13" s="447">
        <v>8.61893135E9</v>
      </c>
      <c r="F13" s="447" t="s">
        <v>3736</v>
      </c>
      <c r="G13" s="367"/>
      <c r="H13" s="447">
        <v>80.0</v>
      </c>
      <c r="I13" s="448">
        <v>73.0</v>
      </c>
      <c r="J13" s="433">
        <f>VLOOKUP(D13,'L3'!$1:$2060,2,False)</f>
        <v>64</v>
      </c>
      <c r="K13" s="433">
        <f>VLOOKUP(D13,'L4'!$1:$2059,2,False)</f>
        <v>70</v>
      </c>
      <c r="L13" s="434">
        <f>VLOOKUP(D13,'A1 RETEST 5 DEC'!$1:$2096,2,FALSE)</f>
        <v>33</v>
      </c>
      <c r="M13" s="434">
        <f>VLOOKUP(D13,'A2 RETEST 4 DEC'!$1:$2096,2,FALSE)</f>
        <v>20</v>
      </c>
      <c r="N13" s="435">
        <v>0.0</v>
      </c>
      <c r="O13" s="449"/>
      <c r="P13" s="436">
        <f>IFNA(VLOOKUP(D13,'S1'!$1:$1325,2,False),0)</f>
        <v>0</v>
      </c>
      <c r="Q13" s="436">
        <f>vlookup(D13,'S2'!A9:B1211,2,0)</f>
        <v>0</v>
      </c>
      <c r="R13" s="436">
        <f>ifna(vlookup(D13,'S3'!$1:$1311,2,False),0)</f>
        <v>87</v>
      </c>
      <c r="S13" s="436"/>
      <c r="T13" s="437">
        <v>19.0</v>
      </c>
      <c r="U13" s="437">
        <v>19.0</v>
      </c>
      <c r="V13" s="437">
        <v>58.0</v>
      </c>
      <c r="W13" s="437">
        <v>72.0</v>
      </c>
      <c r="X13" s="437">
        <v>76.0</v>
      </c>
      <c r="Y13" s="437"/>
      <c r="Z13" s="438"/>
      <c r="AA13" s="450">
        <v>30.0</v>
      </c>
      <c r="AB13" s="409">
        <v>44.0</v>
      </c>
      <c r="AC13" s="395">
        <v>20.0</v>
      </c>
      <c r="AD13" s="439"/>
      <c r="AE13" s="440">
        <v>10.0</v>
      </c>
      <c r="AF13" s="441"/>
      <c r="AG13" s="439"/>
      <c r="AH13" s="441"/>
      <c r="AI13" s="441"/>
      <c r="AJ13" s="441"/>
      <c r="AK13" s="442">
        <f t="shared" si="1"/>
        <v>2</v>
      </c>
      <c r="AL13" s="442">
        <f t="shared" si="2"/>
        <v>0</v>
      </c>
      <c r="AM13" s="424">
        <f t="shared" si="3"/>
        <v>3</v>
      </c>
      <c r="AN13" s="442" t="str">
        <f t="shared" si="4"/>
        <v>0</v>
      </c>
      <c r="AO13" s="442">
        <f t="shared" si="5"/>
        <v>0</v>
      </c>
      <c r="AP13" s="367"/>
    </row>
    <row r="14">
      <c r="A14" s="385">
        <v>10.0</v>
      </c>
      <c r="B14" s="446" t="s">
        <v>2168</v>
      </c>
      <c r="C14" s="446" t="s">
        <v>3172</v>
      </c>
      <c r="D14" s="402" t="str">
        <f>VLOOKUP(B14,USN!$1:$1088,2,False)</f>
        <v>1CR23EC009</v>
      </c>
      <c r="E14" s="447">
        <v>9.353288057E9</v>
      </c>
      <c r="F14" s="447" t="s">
        <v>3736</v>
      </c>
      <c r="G14" s="367"/>
      <c r="H14" s="447">
        <v>83.0</v>
      </c>
      <c r="I14" s="448">
        <v>79.0</v>
      </c>
      <c r="J14" s="433">
        <f>VLOOKUP(D14,'L3'!$1:$2060,2,False)</f>
        <v>61</v>
      </c>
      <c r="K14" s="433">
        <f>VLOOKUP(D14,'L4'!$1:$2059,2,False)</f>
        <v>70</v>
      </c>
      <c r="L14" s="434">
        <f>VLOOKUP(D14,'A1 RETEST 5 DEC'!$1:$2096,2,FALSE)</f>
        <v>29</v>
      </c>
      <c r="M14" s="434">
        <f>VLOOKUP(D14,'A2 RETEST 4 DEC'!$1:$2096,2,FALSE)</f>
        <v>15</v>
      </c>
      <c r="N14" s="435">
        <v>6.0</v>
      </c>
      <c r="O14" s="449"/>
      <c r="P14" s="436">
        <f>IFNA(VLOOKUP(D14,'S1'!$1:$1325,2,False),0)</f>
        <v>0</v>
      </c>
      <c r="Q14" s="436">
        <f>vlookup(D14,'S2'!A10:B1212,2,0)</f>
        <v>50</v>
      </c>
      <c r="R14" s="436">
        <f>ifna(vlookup(D14,'S3'!$1:$1311,2,False),0)</f>
        <v>0</v>
      </c>
      <c r="S14" s="436"/>
      <c r="T14" s="437">
        <v>21.0</v>
      </c>
      <c r="U14" s="437">
        <v>17.0</v>
      </c>
      <c r="V14" s="437">
        <v>52.0</v>
      </c>
      <c r="W14" s="437">
        <v>76.0</v>
      </c>
      <c r="X14" s="437">
        <v>74.0</v>
      </c>
      <c r="Y14" s="437"/>
      <c r="Z14" s="438"/>
      <c r="AA14" s="450">
        <v>12.0</v>
      </c>
      <c r="AB14" s="409">
        <v>75.0</v>
      </c>
      <c r="AC14" s="395">
        <v>20.0</v>
      </c>
      <c r="AD14" s="439"/>
      <c r="AE14" s="440">
        <v>20.0</v>
      </c>
      <c r="AF14" s="441"/>
      <c r="AG14" s="439"/>
      <c r="AH14" s="441"/>
      <c r="AI14" s="441"/>
      <c r="AJ14" s="441"/>
      <c r="AK14" s="442">
        <f t="shared" si="1"/>
        <v>2</v>
      </c>
      <c r="AL14" s="442">
        <f t="shared" si="2"/>
        <v>0</v>
      </c>
      <c r="AM14" s="424">
        <f t="shared" si="3"/>
        <v>3</v>
      </c>
      <c r="AN14" s="442" t="str">
        <f t="shared" si="4"/>
        <v>2</v>
      </c>
      <c r="AO14" s="442">
        <f t="shared" si="5"/>
        <v>0</v>
      </c>
      <c r="AP14" s="367"/>
    </row>
    <row r="15">
      <c r="A15" s="385">
        <v>11.0</v>
      </c>
      <c r="B15" s="446" t="s">
        <v>2220</v>
      </c>
      <c r="C15" s="446" t="s">
        <v>3173</v>
      </c>
      <c r="D15" s="402" t="str">
        <f>VLOOKUP(B15,USN!$1:$1088,2,False)</f>
        <v>1CR23EC010</v>
      </c>
      <c r="E15" s="447">
        <v>9.148702526E9</v>
      </c>
      <c r="F15" s="446" t="s">
        <v>3736</v>
      </c>
      <c r="G15" s="367"/>
      <c r="H15" s="447">
        <v>83.0</v>
      </c>
      <c r="I15" s="448">
        <v>83.0</v>
      </c>
      <c r="J15" s="433">
        <f>VLOOKUP(D15,'L3'!$1:$2060,2,False)</f>
        <v>79</v>
      </c>
      <c r="K15" s="433">
        <f>VLOOKUP(D15,'L4'!$1:$2059,2,False)</f>
        <v>76</v>
      </c>
      <c r="L15" s="434">
        <f>VLOOKUP(D15,'A1 RETEST 5 DEC'!$1:$2096,2,FALSE)</f>
        <v>50</v>
      </c>
      <c r="M15" s="434">
        <f>VLOOKUP(D15,'A2 RETEST 4 DEC'!$1:$2096,2,FALSE)</f>
        <v>50</v>
      </c>
      <c r="N15" s="435">
        <v>50.0</v>
      </c>
      <c r="O15" s="449"/>
      <c r="P15" s="436">
        <f>IFNA(VLOOKUP(D15,'S1'!$1:$1325,2,False),0)</f>
        <v>75</v>
      </c>
      <c r="Q15" s="436">
        <f>vlookup(D15,'S2'!A11:B1213,2,0)</f>
        <v>58</v>
      </c>
      <c r="R15" s="436">
        <f>ifna(vlookup(D15,'S3'!$1:$1311,2,False),0)</f>
        <v>79</v>
      </c>
      <c r="S15" s="436"/>
      <c r="T15" s="437">
        <v>13.0</v>
      </c>
      <c r="U15" s="437">
        <v>18.0</v>
      </c>
      <c r="V15" s="437">
        <v>72.0</v>
      </c>
      <c r="W15" s="437">
        <v>76.0</v>
      </c>
      <c r="X15" s="437">
        <v>78.0</v>
      </c>
      <c r="Y15" s="437"/>
      <c r="Z15" s="438"/>
      <c r="AA15" s="450">
        <v>67.0</v>
      </c>
      <c r="AB15" s="409">
        <v>83.0</v>
      </c>
      <c r="AC15" s="395">
        <v>70.0</v>
      </c>
      <c r="AD15" s="439"/>
      <c r="AE15" s="440">
        <v>70.0</v>
      </c>
      <c r="AF15" s="441"/>
      <c r="AG15" s="439"/>
      <c r="AH15" s="451">
        <v>76.0</v>
      </c>
      <c r="AI15" s="441"/>
      <c r="AJ15" s="441"/>
      <c r="AK15" s="442">
        <f t="shared" si="1"/>
        <v>4</v>
      </c>
      <c r="AL15" s="442">
        <f t="shared" si="2"/>
        <v>3</v>
      </c>
      <c r="AM15" s="424">
        <f t="shared" si="3"/>
        <v>3</v>
      </c>
      <c r="AN15" s="442" t="str">
        <f t="shared" si="4"/>
        <v>3.5</v>
      </c>
      <c r="AO15" s="442">
        <f t="shared" si="5"/>
        <v>3</v>
      </c>
      <c r="AP15" s="367"/>
    </row>
    <row r="16">
      <c r="A16" s="385">
        <v>12.0</v>
      </c>
      <c r="B16" s="446" t="s">
        <v>2169</v>
      </c>
      <c r="C16" s="446" t="s">
        <v>3174</v>
      </c>
      <c r="D16" s="402" t="str">
        <f>VLOOKUP(B16,USN!$1:$1088,2,False)</f>
        <v>1CR23EC011</v>
      </c>
      <c r="E16" s="447">
        <v>9.740918352E9</v>
      </c>
      <c r="F16" s="447" t="s">
        <v>3736</v>
      </c>
      <c r="G16" s="367"/>
      <c r="H16" s="447">
        <v>84.0</v>
      </c>
      <c r="I16" s="448">
        <v>85.0</v>
      </c>
      <c r="J16" s="433">
        <f>VLOOKUP(D16,'L3'!$1:$2060,2,False)</f>
        <v>74</v>
      </c>
      <c r="K16" s="433">
        <f>VLOOKUP(D16,'L4'!$1:$2059,2,False)</f>
        <v>89</v>
      </c>
      <c r="L16" s="434">
        <f>VLOOKUP(D16,'A1 RETEST 5 DEC'!$1:$2096,2,FALSE)</f>
        <v>53</v>
      </c>
      <c r="M16" s="434">
        <f>VLOOKUP(D16,'A2 RETEST 4 DEC'!$1:$2096,2,FALSE)</f>
        <v>50</v>
      </c>
      <c r="N16" s="435">
        <v>50.0</v>
      </c>
      <c r="O16" s="449"/>
      <c r="P16" s="436">
        <f>IFNA(VLOOKUP(D16,'S1'!$1:$1325,2,False),0)</f>
        <v>75</v>
      </c>
      <c r="Q16" s="436">
        <f>vlookup(D16,'S2'!A12:B1214,2,0)</f>
        <v>87</v>
      </c>
      <c r="R16" s="436">
        <f>ifna(vlookup(D16,'S3'!$1:$1311,2,False),0)</f>
        <v>90</v>
      </c>
      <c r="S16" s="436"/>
      <c r="T16" s="437">
        <v>16.0</v>
      </c>
      <c r="U16" s="437">
        <v>19.0</v>
      </c>
      <c r="V16" s="437">
        <v>76.0</v>
      </c>
      <c r="W16" s="437">
        <v>78.0</v>
      </c>
      <c r="X16" s="437">
        <v>76.0</v>
      </c>
      <c r="Y16" s="437"/>
      <c r="Z16" s="438"/>
      <c r="AA16" s="450">
        <v>80.0</v>
      </c>
      <c r="AB16" s="409">
        <v>100.0</v>
      </c>
      <c r="AC16" s="395">
        <v>69.0</v>
      </c>
      <c r="AD16" s="439"/>
      <c r="AE16" s="440">
        <v>87.0</v>
      </c>
      <c r="AF16" s="441"/>
      <c r="AG16" s="439"/>
      <c r="AH16" s="451">
        <v>79.0</v>
      </c>
      <c r="AI16" s="441"/>
      <c r="AJ16" s="441"/>
      <c r="AK16" s="442">
        <f t="shared" si="1"/>
        <v>4</v>
      </c>
      <c r="AL16" s="442">
        <f t="shared" si="2"/>
        <v>3</v>
      </c>
      <c r="AM16" s="424">
        <f t="shared" si="3"/>
        <v>3</v>
      </c>
      <c r="AN16" s="442" t="str">
        <f t="shared" si="4"/>
        <v>3.5</v>
      </c>
      <c r="AO16" s="442">
        <f t="shared" si="5"/>
        <v>3</v>
      </c>
      <c r="AP16" s="367"/>
    </row>
    <row r="17">
      <c r="A17" s="385">
        <v>13.0</v>
      </c>
      <c r="B17" s="446" t="s">
        <v>2209</v>
      </c>
      <c r="C17" s="446" t="s">
        <v>3175</v>
      </c>
      <c r="D17" s="402" t="str">
        <f>VLOOKUP(B17,USN!$1:$1088,2,False)</f>
        <v>1CR23EC012</v>
      </c>
      <c r="E17" s="446">
        <v>7.892523938E9</v>
      </c>
      <c r="F17" s="446" t="s">
        <v>3736</v>
      </c>
      <c r="G17" s="367"/>
      <c r="H17" s="447">
        <v>84.0</v>
      </c>
      <c r="I17" s="448">
        <v>84.0</v>
      </c>
      <c r="J17" s="433">
        <f>VLOOKUP(D17,'L3'!$1:$2060,2,False)</f>
        <v>70</v>
      </c>
      <c r="K17" s="433">
        <f>VLOOKUP(D17,'L4'!$1:$2059,2,False)</f>
        <v>70</v>
      </c>
      <c r="L17" s="434">
        <f>VLOOKUP(D17,'A1 RETEST 5 DEC'!$1:$2096,2,FALSE)</f>
        <v>50</v>
      </c>
      <c r="M17" s="434">
        <f>VLOOKUP(D17,'A2 RETEST 4 DEC'!$1:$2096,2,FALSE)</f>
        <v>10</v>
      </c>
      <c r="N17" s="435">
        <v>6.0</v>
      </c>
      <c r="O17" s="449"/>
      <c r="P17" s="436">
        <f>IFNA(VLOOKUP(D17,'S1'!$1:$1325,2,False),0)</f>
        <v>76</v>
      </c>
      <c r="Q17" s="436">
        <f>vlookup(D17,'S2'!A13:B1215,2,0)</f>
        <v>50</v>
      </c>
      <c r="R17" s="436">
        <f>ifna(vlookup(D17,'S3'!$1:$1311,2,False),0)</f>
        <v>50</v>
      </c>
      <c r="S17" s="436"/>
      <c r="T17" s="437">
        <v>20.0</v>
      </c>
      <c r="U17" s="437">
        <v>15.0</v>
      </c>
      <c r="V17" s="437">
        <v>42.0</v>
      </c>
      <c r="W17" s="437">
        <v>74.0</v>
      </c>
      <c r="X17" s="437">
        <v>68.0</v>
      </c>
      <c r="Y17" s="437"/>
      <c r="Z17" s="438"/>
      <c r="AA17" s="450">
        <v>50.0</v>
      </c>
      <c r="AB17" s="409">
        <v>83.0</v>
      </c>
      <c r="AC17" s="395">
        <v>36.0</v>
      </c>
      <c r="AD17" s="439"/>
      <c r="AE17" s="440">
        <v>20.0</v>
      </c>
      <c r="AF17" s="441"/>
      <c r="AG17" s="439"/>
      <c r="AH17" s="451">
        <v>15.0</v>
      </c>
      <c r="AI17" s="441"/>
      <c r="AJ17" s="441"/>
      <c r="AK17" s="442">
        <f t="shared" si="1"/>
        <v>4</v>
      </c>
      <c r="AL17" s="442">
        <f t="shared" si="2"/>
        <v>1</v>
      </c>
      <c r="AM17" s="424">
        <f t="shared" si="3"/>
        <v>3</v>
      </c>
      <c r="AN17" s="442" t="str">
        <f t="shared" si="4"/>
        <v>2</v>
      </c>
      <c r="AO17" s="442">
        <f t="shared" si="5"/>
        <v>3</v>
      </c>
      <c r="AP17" s="367"/>
    </row>
    <row r="18">
      <c r="A18" s="385">
        <v>14.0</v>
      </c>
      <c r="B18" s="446" t="s">
        <v>2170</v>
      </c>
      <c r="C18" s="446" t="s">
        <v>3176</v>
      </c>
      <c r="D18" s="402" t="str">
        <f>VLOOKUP(B18,USN!$1:$1088,2,False)</f>
        <v>1CR23EC013</v>
      </c>
      <c r="E18" s="447">
        <v>9.901414756E9</v>
      </c>
      <c r="F18" s="447" t="s">
        <v>3736</v>
      </c>
      <c r="G18" s="367"/>
      <c r="H18" s="447">
        <v>86.0</v>
      </c>
      <c r="I18" s="448">
        <v>87.0</v>
      </c>
      <c r="J18" s="433">
        <f>VLOOKUP(D18,'L3'!$1:$2060,2,False)</f>
        <v>79</v>
      </c>
      <c r="K18" s="433">
        <f>VLOOKUP(D18,'L4'!$1:$2059,2,False)</f>
        <v>83</v>
      </c>
      <c r="L18" s="434">
        <f>VLOOKUP(D18,'A1 RETEST 5 DEC'!$1:$2096,2,FALSE)</f>
        <v>69</v>
      </c>
      <c r="M18" s="434">
        <f>VLOOKUP(D18,'A2 RETEST 4 DEC'!$1:$2096,2,FALSE)</f>
        <v>50</v>
      </c>
      <c r="N18" s="435">
        <v>50.0</v>
      </c>
      <c r="O18" s="449"/>
      <c r="P18" s="436">
        <f>IFNA(VLOOKUP(D18,'S1'!$1:$1325,2,False),0)</f>
        <v>75</v>
      </c>
      <c r="Q18" s="436">
        <f>vlookup(D18,'S2'!A14:B1216,2,0)</f>
        <v>87</v>
      </c>
      <c r="R18" s="436">
        <f>ifna(vlookup(D18,'S3'!$1:$1311,2,False),0)</f>
        <v>91</v>
      </c>
      <c r="S18" s="436"/>
      <c r="T18" s="437">
        <v>13.0</v>
      </c>
      <c r="U18" s="437">
        <v>19.0</v>
      </c>
      <c r="V18" s="437">
        <v>76.0</v>
      </c>
      <c r="W18" s="437">
        <v>70.0</v>
      </c>
      <c r="X18" s="437">
        <v>72.0</v>
      </c>
      <c r="Y18" s="437"/>
      <c r="Z18" s="438"/>
      <c r="AA18" s="450">
        <v>100.0</v>
      </c>
      <c r="AB18" s="409">
        <v>100.0</v>
      </c>
      <c r="AC18" s="395">
        <v>79.0</v>
      </c>
      <c r="AD18" s="439"/>
      <c r="AE18" s="440">
        <v>74.0</v>
      </c>
      <c r="AF18" s="441"/>
      <c r="AG18" s="439"/>
      <c r="AH18" s="451">
        <v>86.0</v>
      </c>
      <c r="AI18" s="441"/>
      <c r="AJ18" s="441"/>
      <c r="AK18" s="442">
        <f t="shared" si="1"/>
        <v>4</v>
      </c>
      <c r="AL18" s="442">
        <f t="shared" si="2"/>
        <v>3</v>
      </c>
      <c r="AM18" s="424">
        <f t="shared" si="3"/>
        <v>3</v>
      </c>
      <c r="AN18" s="442" t="str">
        <f t="shared" si="4"/>
        <v>3.5</v>
      </c>
      <c r="AO18" s="442">
        <f t="shared" si="5"/>
        <v>3</v>
      </c>
      <c r="AP18" s="367"/>
    </row>
    <row r="19">
      <c r="A19" s="385">
        <v>15.0</v>
      </c>
      <c r="B19" s="446" t="s">
        <v>2171</v>
      </c>
      <c r="C19" s="446" t="s">
        <v>3177</v>
      </c>
      <c r="D19" s="402" t="str">
        <f>VLOOKUP(B19,USN!$1:$1088,2,False)</f>
        <v>1CR23EC014</v>
      </c>
      <c r="E19" s="447">
        <v>8.050189002E9</v>
      </c>
      <c r="F19" s="447" t="s">
        <v>3736</v>
      </c>
      <c r="G19" s="367"/>
      <c r="H19" s="447">
        <v>76.0</v>
      </c>
      <c r="I19" s="448">
        <v>82.0</v>
      </c>
      <c r="J19" s="433">
        <f>VLOOKUP(D19,'L3'!$1:$2060,2,False)</f>
        <v>70</v>
      </c>
      <c r="K19" s="433">
        <f>VLOOKUP(D19,'L4'!$1:$2059,2,False)</f>
        <v>70</v>
      </c>
      <c r="L19" s="434">
        <f>VLOOKUP(D19,'A1 RETEST 5 DEC'!$1:$2096,2,FALSE)</f>
        <v>57</v>
      </c>
      <c r="M19" s="434">
        <f>VLOOKUP(D19,'A2 RETEST 4 DEC'!$1:$2096,2,FALSE)</f>
        <v>50</v>
      </c>
      <c r="N19" s="435">
        <v>5.0</v>
      </c>
      <c r="O19" s="449"/>
      <c r="P19" s="436">
        <f>IFNA(VLOOKUP(D19,'S1'!$1:$1325,2,False),0)</f>
        <v>76</v>
      </c>
      <c r="Q19" s="436">
        <f>vlookup(D19,'S2'!A15:B1217,2,0)</f>
        <v>56</v>
      </c>
      <c r="R19" s="436">
        <f>ifna(vlookup(D19,'S3'!$1:$1311,2,False),0)</f>
        <v>50</v>
      </c>
      <c r="S19" s="436"/>
      <c r="T19" s="437">
        <v>12.0</v>
      </c>
      <c r="U19" s="437">
        <v>21.0</v>
      </c>
      <c r="V19" s="437">
        <v>48.0</v>
      </c>
      <c r="W19" s="437">
        <v>82.0</v>
      </c>
      <c r="X19" s="437">
        <v>74.0</v>
      </c>
      <c r="Y19" s="437"/>
      <c r="Z19" s="438"/>
      <c r="AA19" s="450">
        <v>0.0</v>
      </c>
      <c r="AB19" s="409">
        <v>71.0</v>
      </c>
      <c r="AC19" s="395">
        <v>60.0</v>
      </c>
      <c r="AD19" s="439"/>
      <c r="AE19" s="440">
        <v>12.0</v>
      </c>
      <c r="AF19" s="441"/>
      <c r="AG19" s="439"/>
      <c r="AH19" s="441"/>
      <c r="AI19" s="441"/>
      <c r="AJ19" s="441"/>
      <c r="AK19" s="442">
        <f t="shared" si="1"/>
        <v>4</v>
      </c>
      <c r="AL19" s="442">
        <f t="shared" si="2"/>
        <v>2</v>
      </c>
      <c r="AM19" s="424">
        <f t="shared" si="3"/>
        <v>3</v>
      </c>
      <c r="AN19" s="442" t="str">
        <f t="shared" si="4"/>
        <v>3</v>
      </c>
      <c r="AO19" s="442">
        <f t="shared" si="5"/>
        <v>3</v>
      </c>
      <c r="AP19" s="367"/>
    </row>
    <row r="20">
      <c r="A20" s="385">
        <v>16.0</v>
      </c>
      <c r="B20" s="446" t="s">
        <v>2201</v>
      </c>
      <c r="C20" s="446" t="s">
        <v>3178</v>
      </c>
      <c r="D20" s="402" t="str">
        <f>VLOOKUP(B20,USN!$1:$1088,2,False)</f>
        <v>1CR23EC015</v>
      </c>
      <c r="E20" s="447">
        <v>7.022495834E9</v>
      </c>
      <c r="F20" s="447" t="s">
        <v>3736</v>
      </c>
      <c r="G20" s="367"/>
      <c r="H20" s="447">
        <v>77.0</v>
      </c>
      <c r="I20" s="448">
        <v>74.0</v>
      </c>
      <c r="J20" s="433">
        <f>VLOOKUP(D20,'L3'!$1:$2060,2,False)</f>
        <v>53</v>
      </c>
      <c r="K20" s="433">
        <f>VLOOKUP(D20,'L4'!$1:$2059,2,False)</f>
        <v>52</v>
      </c>
      <c r="L20" s="434">
        <f>VLOOKUP(D20,'A1 RETEST 5 DEC'!$1:$2096,2,FALSE)</f>
        <v>50</v>
      </c>
      <c r="M20" s="434">
        <f>VLOOKUP(D20,'A2 RETEST 4 DEC'!$1:$2096,2,FALSE)</f>
        <v>11</v>
      </c>
      <c r="N20" s="435">
        <v>50.0</v>
      </c>
      <c r="O20" s="449"/>
      <c r="P20" s="436">
        <f>IFNA(VLOOKUP(D20,'S1'!$1:$1325,2,False),0)</f>
        <v>70</v>
      </c>
      <c r="Q20" s="436">
        <f>vlookup(D20,'S2'!A16:B1218,2,0)</f>
        <v>50</v>
      </c>
      <c r="R20" s="436">
        <f>ifna(vlookup(D20,'S3'!$1:$1311,2,False),0)</f>
        <v>84</v>
      </c>
      <c r="S20" s="436"/>
      <c r="T20" s="437">
        <v>18.0</v>
      </c>
      <c r="U20" s="437">
        <v>18.0</v>
      </c>
      <c r="V20" s="437">
        <v>44.0</v>
      </c>
      <c r="W20" s="437">
        <v>78.0</v>
      </c>
      <c r="X20" s="437">
        <v>74.0</v>
      </c>
      <c r="Y20" s="437"/>
      <c r="Z20" s="438"/>
      <c r="AA20" s="450">
        <v>9.0</v>
      </c>
      <c r="AB20" s="409">
        <v>62.0</v>
      </c>
      <c r="AC20" s="395">
        <v>0.0</v>
      </c>
      <c r="AD20" s="439"/>
      <c r="AE20" s="440">
        <v>20.0</v>
      </c>
      <c r="AF20" s="441"/>
      <c r="AG20" s="439"/>
      <c r="AH20" s="441"/>
      <c r="AI20" s="441"/>
      <c r="AJ20" s="441"/>
      <c r="AK20" s="442">
        <f t="shared" si="1"/>
        <v>2</v>
      </c>
      <c r="AL20" s="442">
        <f t="shared" si="2"/>
        <v>1</v>
      </c>
      <c r="AM20" s="424">
        <f t="shared" si="3"/>
        <v>3</v>
      </c>
      <c r="AN20" s="442" t="str">
        <f t="shared" si="4"/>
        <v>2</v>
      </c>
      <c r="AO20" s="442">
        <f t="shared" si="5"/>
        <v>3</v>
      </c>
      <c r="AP20" s="367"/>
    </row>
    <row r="21">
      <c r="A21" s="385">
        <v>17.0</v>
      </c>
      <c r="B21" s="446" t="s">
        <v>2172</v>
      </c>
      <c r="C21" s="446" t="s">
        <v>3757</v>
      </c>
      <c r="D21" s="402" t="str">
        <f>VLOOKUP(B21,USN!$1:$1088,2,False)</f>
        <v>1CR23EC016</v>
      </c>
      <c r="E21" s="447">
        <v>8.088959535E9</v>
      </c>
      <c r="F21" s="447" t="s">
        <v>3736</v>
      </c>
      <c r="G21" s="367"/>
      <c r="H21" s="447">
        <v>82.0</v>
      </c>
      <c r="I21" s="448">
        <v>84.0</v>
      </c>
      <c r="J21" s="433">
        <f>VLOOKUP(D21,'L3'!$1:$2060,2,False)</f>
        <v>76</v>
      </c>
      <c r="K21" s="433">
        <f>VLOOKUP(D21,'L4'!$1:$2059,2,False)</f>
        <v>83</v>
      </c>
      <c r="L21" s="434">
        <f>VLOOKUP(D21,'A1 RETEST 5 DEC'!$1:$2096,2,FALSE)</f>
        <v>18</v>
      </c>
      <c r="M21" s="434">
        <f>VLOOKUP(D21,'A2 RETEST 4 DEC'!$1:$2096,2,FALSE)</f>
        <v>34</v>
      </c>
      <c r="N21" s="435">
        <v>7.0</v>
      </c>
      <c r="O21" s="449"/>
      <c r="P21" s="436">
        <f>IFNA(VLOOKUP(D21,'S1'!$1:$1325,2,False),0)</f>
        <v>79</v>
      </c>
      <c r="Q21" s="436">
        <f>vlookup(D21,'S2'!A17:B1219,2,0)</f>
        <v>73</v>
      </c>
      <c r="R21" s="436">
        <f>ifna(vlookup(D21,'S3'!$1:$1311,2,False),0)</f>
        <v>90</v>
      </c>
      <c r="S21" s="436"/>
      <c r="T21" s="437">
        <v>12.0</v>
      </c>
      <c r="U21" s="437">
        <v>21.0</v>
      </c>
      <c r="V21" s="437">
        <v>60.0</v>
      </c>
      <c r="W21" s="437">
        <v>78.0</v>
      </c>
      <c r="X21" s="437">
        <v>66.0</v>
      </c>
      <c r="Y21" s="437"/>
      <c r="Z21" s="438"/>
      <c r="AA21" s="450">
        <v>82.0</v>
      </c>
      <c r="AB21" s="409">
        <v>95.0</v>
      </c>
      <c r="AC21" s="395">
        <v>52.0</v>
      </c>
      <c r="AD21" s="439"/>
      <c r="AE21" s="440">
        <v>10.0</v>
      </c>
      <c r="AF21" s="441"/>
      <c r="AG21" s="439">
        <v>91.0</v>
      </c>
      <c r="AH21" s="441"/>
      <c r="AI21" s="441"/>
      <c r="AJ21" s="441"/>
      <c r="AK21" s="442">
        <f t="shared" si="1"/>
        <v>4</v>
      </c>
      <c r="AL21" s="442">
        <f t="shared" si="2"/>
        <v>0</v>
      </c>
      <c r="AM21" s="424">
        <f t="shared" si="3"/>
        <v>3</v>
      </c>
      <c r="AN21" s="442" t="str">
        <f t="shared" si="4"/>
        <v>2</v>
      </c>
      <c r="AO21" s="442">
        <f t="shared" si="5"/>
        <v>3</v>
      </c>
      <c r="AP21" s="367"/>
    </row>
    <row r="22">
      <c r="A22" s="385">
        <v>18.0</v>
      </c>
      <c r="B22" s="446" t="s">
        <v>2173</v>
      </c>
      <c r="C22" s="446" t="s">
        <v>3758</v>
      </c>
      <c r="D22" s="402" t="str">
        <f>VLOOKUP(B22,USN!$1:$1088,2,False)</f>
        <v>1CR23EC017</v>
      </c>
      <c r="E22" s="447">
        <v>8.310922399E9</v>
      </c>
      <c r="F22" s="447" t="s">
        <v>3736</v>
      </c>
      <c r="G22" s="367"/>
      <c r="H22" s="447">
        <v>86.0</v>
      </c>
      <c r="I22" s="448">
        <v>88.0</v>
      </c>
      <c r="J22" s="433">
        <f>VLOOKUP(D22,'L3'!$1:$2060,2,False)</f>
        <v>84</v>
      </c>
      <c r="K22" s="433">
        <f>VLOOKUP(D22,'L4'!$1:$2059,2,False)</f>
        <v>81</v>
      </c>
      <c r="L22" s="434">
        <f>VLOOKUP(D22,'A1 RETEST 5 DEC'!$1:$2096,2,FALSE)</f>
        <v>58</v>
      </c>
      <c r="M22" s="434">
        <f>VLOOKUP(D22,'A2 RETEST 4 DEC'!$1:$2096,2,FALSE)</f>
        <v>47</v>
      </c>
      <c r="N22" s="435">
        <v>55.0</v>
      </c>
      <c r="O22" s="449"/>
      <c r="P22" s="436">
        <f>IFNA(VLOOKUP(D22,'S1'!$1:$1325,2,False),0)</f>
        <v>79</v>
      </c>
      <c r="Q22" s="436">
        <f>vlookup(D22,'S2'!A18:B1220,2,0)</f>
        <v>57</v>
      </c>
      <c r="R22" s="436">
        <f>ifna(vlookup(D22,'S3'!$1:$1311,2,False),0)</f>
        <v>93</v>
      </c>
      <c r="S22" s="436"/>
      <c r="T22" s="437">
        <v>12.0</v>
      </c>
      <c r="U22" s="437">
        <v>20.0</v>
      </c>
      <c r="V22" s="437">
        <v>52.0</v>
      </c>
      <c r="W22" s="437">
        <v>62.0</v>
      </c>
      <c r="X22" s="437">
        <v>74.0</v>
      </c>
      <c r="Y22" s="437"/>
      <c r="Z22" s="438"/>
      <c r="AA22" s="450">
        <v>94.0</v>
      </c>
      <c r="AB22" s="409">
        <v>95.0</v>
      </c>
      <c r="AC22" s="395">
        <v>88.0</v>
      </c>
      <c r="AD22" s="439"/>
      <c r="AE22" s="440">
        <v>73.0</v>
      </c>
      <c r="AF22" s="441"/>
      <c r="AG22" s="439"/>
      <c r="AH22" s="451">
        <v>86.0</v>
      </c>
      <c r="AI22" s="441"/>
      <c r="AJ22" s="441"/>
      <c r="AK22" s="442">
        <f t="shared" si="1"/>
        <v>4</v>
      </c>
      <c r="AL22" s="442">
        <f t="shared" si="2"/>
        <v>1</v>
      </c>
      <c r="AM22" s="424">
        <f t="shared" si="3"/>
        <v>3</v>
      </c>
      <c r="AN22" s="442" t="str">
        <f t="shared" si="4"/>
        <v>3.5</v>
      </c>
      <c r="AO22" s="442">
        <f t="shared" si="5"/>
        <v>3</v>
      </c>
      <c r="AP22" s="367"/>
    </row>
    <row r="23">
      <c r="A23" s="385">
        <v>19.0</v>
      </c>
      <c r="B23" s="446" t="s">
        <v>2174</v>
      </c>
      <c r="C23" s="446" t="s">
        <v>3181</v>
      </c>
      <c r="D23" s="402" t="str">
        <f>VLOOKUP(B23,USN!$1:$1088,2,False)</f>
        <v>1CR23EC018</v>
      </c>
      <c r="E23" s="447">
        <v>7.676970536E9</v>
      </c>
      <c r="F23" s="447" t="s">
        <v>3736</v>
      </c>
      <c r="G23" s="367"/>
      <c r="H23" s="447">
        <v>77.0</v>
      </c>
      <c r="I23" s="448">
        <v>83.0</v>
      </c>
      <c r="J23" s="433">
        <f>VLOOKUP(D23,'L3'!$1:$2060,2,False)</f>
        <v>70</v>
      </c>
      <c r="K23" s="433">
        <f>VLOOKUP(D23,'L4'!$1:$2059,2,False)</f>
        <v>70</v>
      </c>
      <c r="L23" s="434">
        <f>VLOOKUP(D23,'A1 RETEST 5 DEC'!$1:$2096,2,FALSE)</f>
        <v>50</v>
      </c>
      <c r="M23" s="434">
        <f>VLOOKUP(D23,'A2 RETEST 4 DEC'!$1:$2096,2,FALSE)</f>
        <v>42</v>
      </c>
      <c r="N23" s="435">
        <v>53.0</v>
      </c>
      <c r="O23" s="449"/>
      <c r="P23" s="436">
        <f>IFNA(VLOOKUP(D23,'S1'!$1:$1325,2,False),0)</f>
        <v>70</v>
      </c>
      <c r="Q23" s="436">
        <f>vlookup(D23,'S2'!A19:B1221,2,0)</f>
        <v>73</v>
      </c>
      <c r="R23" s="436">
        <f>ifna(vlookup(D23,'S3'!$1:$1311,2,False),0)</f>
        <v>50</v>
      </c>
      <c r="S23" s="436"/>
      <c r="T23" s="437">
        <v>16.0</v>
      </c>
      <c r="U23" s="437">
        <v>14.0</v>
      </c>
      <c r="V23" s="437">
        <v>48.0</v>
      </c>
      <c r="W23" s="437">
        <v>76.0</v>
      </c>
      <c r="X23" s="437">
        <v>66.0</v>
      </c>
      <c r="Y23" s="437"/>
      <c r="Z23" s="438"/>
      <c r="AA23" s="450">
        <v>4.0</v>
      </c>
      <c r="AB23" s="409">
        <v>71.0</v>
      </c>
      <c r="AC23" s="395">
        <v>67.0</v>
      </c>
      <c r="AD23" s="439"/>
      <c r="AE23" s="440">
        <v>22.0</v>
      </c>
      <c r="AF23" s="441"/>
      <c r="AG23" s="439"/>
      <c r="AH23" s="441"/>
      <c r="AI23" s="441"/>
      <c r="AJ23" s="441"/>
      <c r="AK23" s="442">
        <f t="shared" si="1"/>
        <v>4</v>
      </c>
      <c r="AL23" s="442">
        <f t="shared" si="2"/>
        <v>1</v>
      </c>
      <c r="AM23" s="424">
        <f t="shared" si="3"/>
        <v>3</v>
      </c>
      <c r="AN23" s="442" t="str">
        <f t="shared" si="4"/>
        <v>3</v>
      </c>
      <c r="AO23" s="442">
        <f t="shared" si="5"/>
        <v>3</v>
      </c>
      <c r="AP23" s="367"/>
    </row>
    <row r="24">
      <c r="A24" s="385">
        <v>20.0</v>
      </c>
      <c r="B24" s="446" t="s">
        <v>2202</v>
      </c>
      <c r="C24" s="446" t="s">
        <v>3182</v>
      </c>
      <c r="D24" s="402" t="str">
        <f>VLOOKUP(B24,USN!$1:$1088,2,False)</f>
        <v>1CR23EC019</v>
      </c>
      <c r="E24" s="447">
        <v>9.148139205E9</v>
      </c>
      <c r="F24" s="447" t="s">
        <v>3736</v>
      </c>
      <c r="G24" s="367"/>
      <c r="H24" s="447">
        <v>81.0</v>
      </c>
      <c r="I24" s="448">
        <v>91.0</v>
      </c>
      <c r="J24" s="433">
        <f>VLOOKUP(D24,'L3'!$1:$2060,2,False)</f>
        <v>83</v>
      </c>
      <c r="K24" s="433">
        <f>VLOOKUP(D24,'L4'!$1:$2059,2,False)</f>
        <v>82</v>
      </c>
      <c r="L24" s="434">
        <f>VLOOKUP(D24,'A1 RETEST 5 DEC'!$1:$2096,2,FALSE)</f>
        <v>52</v>
      </c>
      <c r="M24" s="434">
        <f>VLOOKUP(D24,'A2 RETEST 4 DEC'!$1:$2096,2,FALSE)</f>
        <v>50</v>
      </c>
      <c r="N24" s="435">
        <v>53.0</v>
      </c>
      <c r="O24" s="449"/>
      <c r="P24" s="436">
        <f>IFNA(VLOOKUP(D24,'S1'!$1:$1325,2,False),0)</f>
        <v>78</v>
      </c>
      <c r="Q24" s="436">
        <f>vlookup(D24,'S2'!A20:B1222,2,0)</f>
        <v>87</v>
      </c>
      <c r="R24" s="436">
        <f>ifna(vlookup(D24,'S3'!$1:$1311,2,False),0)</f>
        <v>90</v>
      </c>
      <c r="S24" s="436"/>
      <c r="T24" s="437">
        <v>19.0</v>
      </c>
      <c r="U24" s="437">
        <v>19.0</v>
      </c>
      <c r="V24" s="437">
        <v>76.0</v>
      </c>
      <c r="W24" s="437">
        <v>78.0</v>
      </c>
      <c r="X24" s="437">
        <v>72.0</v>
      </c>
      <c r="Y24" s="437"/>
      <c r="Z24" s="438"/>
      <c r="AA24" s="450">
        <v>100.0</v>
      </c>
      <c r="AB24" s="409">
        <v>86.0</v>
      </c>
      <c r="AC24" s="395">
        <v>93.0</v>
      </c>
      <c r="AD24" s="439"/>
      <c r="AE24" s="440">
        <v>89.0</v>
      </c>
      <c r="AF24" s="441"/>
      <c r="AG24" s="439"/>
      <c r="AH24" s="451">
        <v>82.0</v>
      </c>
      <c r="AI24" s="441"/>
      <c r="AJ24" s="441"/>
      <c r="AK24" s="442">
        <f t="shared" si="1"/>
        <v>4</v>
      </c>
      <c r="AL24" s="442">
        <f t="shared" si="2"/>
        <v>3</v>
      </c>
      <c r="AM24" s="424">
        <f t="shared" si="3"/>
        <v>3</v>
      </c>
      <c r="AN24" s="442" t="str">
        <f t="shared" si="4"/>
        <v>3.5</v>
      </c>
      <c r="AO24" s="442">
        <f t="shared" si="5"/>
        <v>3</v>
      </c>
      <c r="AP24" s="367"/>
    </row>
    <row r="25">
      <c r="A25" s="385">
        <v>21.0</v>
      </c>
      <c r="B25" s="446" t="s">
        <v>2175</v>
      </c>
      <c r="C25" s="446" t="s">
        <v>3183</v>
      </c>
      <c r="D25" s="402" t="str">
        <f>VLOOKUP(B25,USN!$1:$1088,2,False)</f>
        <v>1CR23EC020</v>
      </c>
      <c r="E25" s="447">
        <v>9.430809118E9</v>
      </c>
      <c r="F25" s="447" t="s">
        <v>3736</v>
      </c>
      <c r="G25" s="367"/>
      <c r="H25" s="447">
        <v>84.0</v>
      </c>
      <c r="I25" s="448">
        <v>86.0</v>
      </c>
      <c r="J25" s="433">
        <f>VLOOKUP(D25,'L3'!$1:$2060,2,False)</f>
        <v>70</v>
      </c>
      <c r="K25" s="433">
        <f>VLOOKUP(D25,'L4'!$1:$2059,2,False)</f>
        <v>70</v>
      </c>
      <c r="L25" s="434">
        <f>VLOOKUP(D25,'A1 RETEST 5 DEC'!$1:$2096,2,FALSE)</f>
        <v>50</v>
      </c>
      <c r="M25" s="434">
        <f>VLOOKUP(D25,'A2 RETEST 4 DEC'!$1:$2096,2,FALSE)</f>
        <v>50</v>
      </c>
      <c r="N25" s="435">
        <v>50.0</v>
      </c>
      <c r="O25" s="449"/>
      <c r="P25" s="436">
        <f>IFNA(VLOOKUP(D25,'S1'!$1:$1325,2,False),0)</f>
        <v>70</v>
      </c>
      <c r="Q25" s="436">
        <f>vlookup(D25,'S2'!A21:B1223,2,0)</f>
        <v>73</v>
      </c>
      <c r="R25" s="436">
        <f>ifna(vlookup(D25,'S3'!$1:$1311,2,False),0)</f>
        <v>94</v>
      </c>
      <c r="S25" s="436"/>
      <c r="T25" s="437">
        <v>17.0</v>
      </c>
      <c r="U25" s="437">
        <v>19.0</v>
      </c>
      <c r="V25" s="437">
        <v>72.0</v>
      </c>
      <c r="W25" s="437">
        <v>80.0</v>
      </c>
      <c r="X25" s="437">
        <v>80.0</v>
      </c>
      <c r="Y25" s="437"/>
      <c r="Z25" s="438"/>
      <c r="AA25" s="450">
        <v>66.0</v>
      </c>
      <c r="AB25" s="409">
        <v>90.0</v>
      </c>
      <c r="AC25" s="395">
        <v>70.0</v>
      </c>
      <c r="AD25" s="439"/>
      <c r="AE25" s="440">
        <v>70.0</v>
      </c>
      <c r="AF25" s="441"/>
      <c r="AG25" s="439">
        <v>94.0</v>
      </c>
      <c r="AH25" s="441"/>
      <c r="AI25" s="441"/>
      <c r="AJ25" s="441"/>
      <c r="AK25" s="442">
        <f t="shared" si="1"/>
        <v>4</v>
      </c>
      <c r="AL25" s="442">
        <f t="shared" si="2"/>
        <v>3</v>
      </c>
      <c r="AM25" s="424">
        <f t="shared" si="3"/>
        <v>3</v>
      </c>
      <c r="AN25" s="442" t="str">
        <f t="shared" si="4"/>
        <v>3.5</v>
      </c>
      <c r="AO25" s="442">
        <f t="shared" si="5"/>
        <v>3</v>
      </c>
      <c r="AP25" s="367"/>
    </row>
    <row r="26">
      <c r="A26" s="385">
        <v>22.0</v>
      </c>
      <c r="B26" s="446" t="s">
        <v>2400</v>
      </c>
      <c r="C26" s="446" t="s">
        <v>3184</v>
      </c>
      <c r="D26" s="402" t="str">
        <f>VLOOKUP(B26,USN!$1:$1088,2,False)</f>
        <v>1CR23EC021</v>
      </c>
      <c r="E26" s="447">
        <v>6.363968072E9</v>
      </c>
      <c r="F26" s="447" t="s">
        <v>3736</v>
      </c>
      <c r="G26" s="367"/>
      <c r="H26" s="447">
        <v>86.0</v>
      </c>
      <c r="I26" s="448">
        <v>83.0</v>
      </c>
      <c r="J26" s="433">
        <f>VLOOKUP(D26,'L3'!$1:$2060,2,False)</f>
        <v>70</v>
      </c>
      <c r="K26" s="433">
        <f>VLOOKUP(D26,'L4'!$1:$2059,2,False)</f>
        <v>70</v>
      </c>
      <c r="L26" s="434">
        <f>VLOOKUP(D26,'A1 RETEST 5 DEC'!$1:$2096,2,FALSE)</f>
        <v>50</v>
      </c>
      <c r="M26" s="434">
        <f>VLOOKUP(D26,'A2 RETEST 4 DEC'!$1:$2096,2,FALSE)</f>
        <v>50</v>
      </c>
      <c r="N26" s="435">
        <v>50.0</v>
      </c>
      <c r="O26" s="449"/>
      <c r="P26" s="436">
        <f>IFNA(VLOOKUP(D26,'S1'!$1:$1325,2,False),0)</f>
        <v>70</v>
      </c>
      <c r="Q26" s="436">
        <f>vlookup(D26,'S2'!A22:B1224,2,0)</f>
        <v>56</v>
      </c>
      <c r="R26" s="436">
        <f>ifna(vlookup(D26,'S3'!$1:$1311,2,False),0)</f>
        <v>81</v>
      </c>
      <c r="S26" s="436"/>
      <c r="T26" s="437">
        <v>17.0</v>
      </c>
      <c r="U26" s="437">
        <v>20.0</v>
      </c>
      <c r="V26" s="437">
        <v>50.0</v>
      </c>
      <c r="W26" s="437">
        <v>74.0</v>
      </c>
      <c r="X26" s="437">
        <v>76.0</v>
      </c>
      <c r="Y26" s="437"/>
      <c r="Z26" s="438"/>
      <c r="AA26" s="450">
        <v>36.0</v>
      </c>
      <c r="AB26" s="409">
        <v>85.0</v>
      </c>
      <c r="AC26" s="395">
        <v>80.0</v>
      </c>
      <c r="AD26" s="439"/>
      <c r="AE26" s="440">
        <v>71.0</v>
      </c>
      <c r="AF26" s="441"/>
      <c r="AG26" s="439"/>
      <c r="AH26" s="441"/>
      <c r="AI26" s="441"/>
      <c r="AJ26" s="441"/>
      <c r="AK26" s="442">
        <f t="shared" si="1"/>
        <v>4</v>
      </c>
      <c r="AL26" s="442">
        <f t="shared" si="2"/>
        <v>3</v>
      </c>
      <c r="AM26" s="424">
        <f t="shared" si="3"/>
        <v>3</v>
      </c>
      <c r="AN26" s="442" t="str">
        <f t="shared" si="4"/>
        <v>3.5</v>
      </c>
      <c r="AO26" s="442">
        <f t="shared" si="5"/>
        <v>3</v>
      </c>
      <c r="AP26" s="367"/>
    </row>
    <row r="27">
      <c r="A27" s="385">
        <v>23.0</v>
      </c>
      <c r="B27" s="446" t="s">
        <v>2394</v>
      </c>
      <c r="C27" s="446" t="s">
        <v>3185</v>
      </c>
      <c r="D27" s="402" t="str">
        <f>VLOOKUP(B27,USN!$1:$1088,2,False)</f>
        <v>1CR23EC022</v>
      </c>
      <c r="E27" s="447">
        <v>9.980794943E9</v>
      </c>
      <c r="F27" s="452" t="s">
        <v>3736</v>
      </c>
      <c r="G27" s="367"/>
      <c r="H27" s="447">
        <v>76.0</v>
      </c>
      <c r="I27" s="448">
        <v>76.0</v>
      </c>
      <c r="J27" s="433">
        <f>VLOOKUP(D27,'L3'!$1:$2060,2,False)</f>
        <v>62</v>
      </c>
      <c r="K27" s="433">
        <f>VLOOKUP(D27,'L4'!$1:$2059,2,False)</f>
        <v>70</v>
      </c>
      <c r="L27" s="434">
        <f>VLOOKUP(D27,'A1 RETEST 5 DEC'!$1:$2096,2,FALSE)</f>
        <v>32</v>
      </c>
      <c r="M27" s="434">
        <f>VLOOKUP(D27,'A2 RETEST 4 DEC'!$1:$2096,2,FALSE)</f>
        <v>7</v>
      </c>
      <c r="N27" s="435">
        <v>30.0</v>
      </c>
      <c r="O27" s="449"/>
      <c r="P27" s="436">
        <f>IFNA(VLOOKUP(D27,'S1'!$1:$1325,2,False),0)</f>
        <v>75</v>
      </c>
      <c r="Q27" s="436">
        <f>vlookup(D27,'S2'!A23:B1225,2,0)</f>
        <v>56</v>
      </c>
      <c r="R27" s="436">
        <f>ifna(vlookup(D27,'S3'!$1:$1311,2,False),0)</f>
        <v>50</v>
      </c>
      <c r="S27" s="436"/>
      <c r="T27" s="437">
        <v>11.0</v>
      </c>
      <c r="U27" s="437">
        <v>21.0</v>
      </c>
      <c r="V27" s="437">
        <v>36.0</v>
      </c>
      <c r="W27" s="437">
        <v>80.0</v>
      </c>
      <c r="X27" s="437">
        <v>82.0</v>
      </c>
      <c r="Y27" s="437"/>
      <c r="Z27" s="438"/>
      <c r="AA27" s="450">
        <v>60.0</v>
      </c>
      <c r="AB27" s="409">
        <v>80.0</v>
      </c>
      <c r="AC27" s="395">
        <v>1.0</v>
      </c>
      <c r="AD27" s="439"/>
      <c r="AE27" s="440">
        <v>70.0</v>
      </c>
      <c r="AF27" s="441"/>
      <c r="AG27" s="439"/>
      <c r="AH27" s="451">
        <v>75.0</v>
      </c>
      <c r="AI27" s="441"/>
      <c r="AJ27" s="441"/>
      <c r="AK27" s="442">
        <f t="shared" si="1"/>
        <v>2</v>
      </c>
      <c r="AL27" s="442">
        <f t="shared" si="2"/>
        <v>0</v>
      </c>
      <c r="AM27" s="424">
        <f t="shared" si="3"/>
        <v>3</v>
      </c>
      <c r="AN27" s="442" t="str">
        <f t="shared" si="4"/>
        <v>2</v>
      </c>
      <c r="AO27" s="442">
        <f t="shared" si="5"/>
        <v>3</v>
      </c>
      <c r="AP27" s="367"/>
    </row>
    <row r="28">
      <c r="A28" s="385">
        <v>24.0</v>
      </c>
      <c r="B28" s="446" t="s">
        <v>2176</v>
      </c>
      <c r="C28" s="446" t="s">
        <v>3186</v>
      </c>
      <c r="D28" s="402" t="str">
        <f>VLOOKUP(B28,USN!$1:$1088,2,False)</f>
        <v>1CR23EC023</v>
      </c>
      <c r="E28" s="447">
        <v>7.975120547E9</v>
      </c>
      <c r="F28" s="447" t="s">
        <v>3736</v>
      </c>
      <c r="G28" s="367"/>
      <c r="H28" s="447">
        <v>76.0</v>
      </c>
      <c r="I28" s="448">
        <v>78.0</v>
      </c>
      <c r="J28" s="433">
        <f>VLOOKUP(D28,'L3'!$1:$2060,2,False)</f>
        <v>33</v>
      </c>
      <c r="K28" s="433">
        <f>VLOOKUP(D28,'L4'!$1:$2059,2,False)</f>
        <v>6</v>
      </c>
      <c r="L28" s="434">
        <f>VLOOKUP(D28,'A1 RETEST 5 DEC'!$1:$2096,2,FALSE)</f>
        <v>10</v>
      </c>
      <c r="M28" s="434">
        <f>VLOOKUP(D28,'A2 RETEST 4 DEC'!$1:$2096,2,FALSE)</f>
        <v>11</v>
      </c>
      <c r="N28" s="435">
        <v>0.0</v>
      </c>
      <c r="O28" s="449"/>
      <c r="P28" s="436">
        <f>IFNA(VLOOKUP(D28,'S1'!$1:$1325,2,False),0)</f>
        <v>0</v>
      </c>
      <c r="Q28" s="436">
        <f>vlookup(D28,'S2'!A24:B1226,2,0)</f>
        <v>0</v>
      </c>
      <c r="R28" s="436">
        <f>ifna(vlookup(D28,'S3'!$1:$1311,2,False),0)</f>
        <v>0</v>
      </c>
      <c r="S28" s="436"/>
      <c r="T28" s="437">
        <v>21.0</v>
      </c>
      <c r="U28" s="437"/>
      <c r="V28" s="437">
        <v>46.0</v>
      </c>
      <c r="W28" s="437">
        <v>74.0</v>
      </c>
      <c r="X28" s="453"/>
      <c r="Y28" s="437"/>
      <c r="Z28" s="438"/>
      <c r="AA28" s="450">
        <v>0.0</v>
      </c>
      <c r="AB28" s="409">
        <v>31.0</v>
      </c>
      <c r="AC28" s="395">
        <v>0.0</v>
      </c>
      <c r="AD28" s="439"/>
      <c r="AE28" s="440">
        <v>10.0</v>
      </c>
      <c r="AF28" s="441"/>
      <c r="AG28" s="439"/>
      <c r="AH28" s="441"/>
      <c r="AI28" s="441"/>
      <c r="AJ28" s="441"/>
      <c r="AK28" s="442">
        <f t="shared" si="1"/>
        <v>2</v>
      </c>
      <c r="AL28" s="442">
        <f t="shared" si="2"/>
        <v>0</v>
      </c>
      <c r="AM28" s="424">
        <f t="shared" si="3"/>
        <v>0</v>
      </c>
      <c r="AN28" s="442" t="str">
        <f t="shared" si="4"/>
        <v>0</v>
      </c>
      <c r="AO28" s="442">
        <f t="shared" si="5"/>
        <v>0</v>
      </c>
      <c r="AP28" s="367"/>
    </row>
    <row r="29">
      <c r="A29" s="385">
        <v>25.0</v>
      </c>
      <c r="B29" s="446" t="s">
        <v>2266</v>
      </c>
      <c r="C29" s="446" t="s">
        <v>3759</v>
      </c>
      <c r="D29" s="402" t="str">
        <f>VLOOKUP(B29,USN!$1:$1088,2,False)</f>
        <v>1CR23EC024</v>
      </c>
      <c r="E29" s="447">
        <v>9.108686857E9</v>
      </c>
      <c r="F29" s="447" t="s">
        <v>3736</v>
      </c>
      <c r="G29" s="367"/>
      <c r="H29" s="447">
        <v>80.0</v>
      </c>
      <c r="I29" s="448">
        <v>82.0</v>
      </c>
      <c r="J29" s="433">
        <f>VLOOKUP(D29,'L3'!$1:$2060,2,False)</f>
        <v>44</v>
      </c>
      <c r="K29" s="433">
        <f>VLOOKUP(D29,'L4'!$1:$2059,2,False)</f>
        <v>70</v>
      </c>
      <c r="L29" s="434">
        <f>VLOOKUP(D29,'A1 RETEST 5 DEC'!$1:$2096,2,FALSE)</f>
        <v>8</v>
      </c>
      <c r="M29" s="434">
        <f>VLOOKUP(D29,'A2 RETEST 4 DEC'!$1:$2096,2,FALSE)</f>
        <v>0</v>
      </c>
      <c r="N29" s="435">
        <v>0.0</v>
      </c>
      <c r="O29" s="449"/>
      <c r="P29" s="436">
        <f>IFNA(VLOOKUP(D29,'S1'!$1:$1325,2,False),0)</f>
        <v>0</v>
      </c>
      <c r="Q29" s="436">
        <f>vlookup(D29,'S2'!A25:B1227,2,0)</f>
        <v>0</v>
      </c>
      <c r="R29" s="436">
        <f>ifna(vlookup(D29,'S3'!$1:$1311,2,False),0)</f>
        <v>0</v>
      </c>
      <c r="S29" s="436"/>
      <c r="T29" s="437">
        <v>10.0</v>
      </c>
      <c r="U29" s="437">
        <v>14.0</v>
      </c>
      <c r="V29" s="437">
        <v>42.0</v>
      </c>
      <c r="W29" s="437">
        <v>0.0</v>
      </c>
      <c r="X29" s="437">
        <v>68.0</v>
      </c>
      <c r="Y29" s="437"/>
      <c r="Z29" s="438"/>
      <c r="AA29" s="450">
        <v>48.0</v>
      </c>
      <c r="AB29" s="409">
        <v>37.0</v>
      </c>
      <c r="AC29" s="395">
        <v>0.0</v>
      </c>
      <c r="AD29" s="439"/>
      <c r="AE29" s="440">
        <v>10.0</v>
      </c>
      <c r="AF29" s="441"/>
      <c r="AG29" s="439"/>
      <c r="AH29" s="441"/>
      <c r="AI29" s="441"/>
      <c r="AJ29" s="441"/>
      <c r="AK29" s="442">
        <f t="shared" si="1"/>
        <v>2</v>
      </c>
      <c r="AL29" s="442">
        <f t="shared" si="2"/>
        <v>0</v>
      </c>
      <c r="AM29" s="424">
        <f t="shared" si="3"/>
        <v>2</v>
      </c>
      <c r="AN29" s="442" t="str">
        <f t="shared" si="4"/>
        <v>0</v>
      </c>
      <c r="AO29" s="442">
        <f t="shared" si="5"/>
        <v>0</v>
      </c>
      <c r="AP29" s="367"/>
    </row>
    <row r="30">
      <c r="A30" s="385">
        <v>26.0</v>
      </c>
      <c r="B30" s="446" t="s">
        <v>2177</v>
      </c>
      <c r="C30" s="446" t="s">
        <v>3188</v>
      </c>
      <c r="D30" s="402" t="str">
        <f>VLOOKUP(B30,USN!$1:$1088,2,False)</f>
        <v>1CR23EC025</v>
      </c>
      <c r="E30" s="447">
        <v>9.611238486E9</v>
      </c>
      <c r="F30" s="447" t="s">
        <v>3736</v>
      </c>
      <c r="G30" s="367"/>
      <c r="H30" s="447">
        <v>88.0</v>
      </c>
      <c r="I30" s="448">
        <v>95.0</v>
      </c>
      <c r="J30" s="433">
        <f>VLOOKUP(D30,'L3'!$1:$2060,2,False)</f>
        <v>88</v>
      </c>
      <c r="K30" s="433">
        <f>VLOOKUP(D30,'L4'!$1:$2059,2,False)</f>
        <v>88</v>
      </c>
      <c r="L30" s="434">
        <f>VLOOKUP(D30,'A1 RETEST 5 DEC'!$1:$2096,2,FALSE)</f>
        <v>75</v>
      </c>
      <c r="M30" s="434">
        <f>VLOOKUP(D30,'A2 RETEST 4 DEC'!$1:$2096,2,FALSE)</f>
        <v>61</v>
      </c>
      <c r="N30" s="435">
        <v>61.0</v>
      </c>
      <c r="O30" s="449"/>
      <c r="P30" s="436">
        <f>IFNA(VLOOKUP(D30,'S1'!$1:$1325,2,False),0)</f>
        <v>75</v>
      </c>
      <c r="Q30" s="436">
        <f>vlookup(D30,'S2'!A26:B1228,2,0)</f>
        <v>87</v>
      </c>
      <c r="R30" s="436">
        <f>ifna(vlookup(D30,'S3'!$1:$1311,2,False),0)</f>
        <v>91</v>
      </c>
      <c r="S30" s="436"/>
      <c r="T30" s="437">
        <v>11.0</v>
      </c>
      <c r="U30" s="437">
        <v>19.0</v>
      </c>
      <c r="V30" s="437">
        <v>76.0</v>
      </c>
      <c r="W30" s="437">
        <v>78.0</v>
      </c>
      <c r="X30" s="437">
        <v>78.0</v>
      </c>
      <c r="Y30" s="437"/>
      <c r="Z30" s="438"/>
      <c r="AA30" s="450">
        <v>100.0</v>
      </c>
      <c r="AB30" s="409">
        <v>100.0</v>
      </c>
      <c r="AC30" s="395">
        <v>94.0</v>
      </c>
      <c r="AD30" s="439"/>
      <c r="AE30" s="440">
        <v>86.0</v>
      </c>
      <c r="AF30" s="441"/>
      <c r="AG30" s="439">
        <v>90.0</v>
      </c>
      <c r="AH30" s="441"/>
      <c r="AI30" s="441"/>
      <c r="AJ30" s="441"/>
      <c r="AK30" s="442">
        <f t="shared" si="1"/>
        <v>4</v>
      </c>
      <c r="AL30" s="442">
        <f t="shared" si="2"/>
        <v>3</v>
      </c>
      <c r="AM30" s="424">
        <f t="shared" si="3"/>
        <v>3</v>
      </c>
      <c r="AN30" s="442" t="str">
        <f t="shared" si="4"/>
        <v>3.5</v>
      </c>
      <c r="AO30" s="442">
        <f t="shared" si="5"/>
        <v>3</v>
      </c>
      <c r="AP30" s="367"/>
    </row>
    <row r="31">
      <c r="A31" s="385">
        <v>27.0</v>
      </c>
      <c r="B31" s="446" t="s">
        <v>2178</v>
      </c>
      <c r="C31" s="446" t="s">
        <v>3189</v>
      </c>
      <c r="D31" s="402" t="str">
        <f>VLOOKUP(B31,USN!$1:$1088,2,False)</f>
        <v>1CR23EC026</v>
      </c>
      <c r="E31" s="447">
        <v>8.320888083E9</v>
      </c>
      <c r="F31" s="447" t="s">
        <v>3736</v>
      </c>
      <c r="G31" s="367"/>
      <c r="H31" s="447">
        <v>86.0</v>
      </c>
      <c r="I31" s="448">
        <v>80.0</v>
      </c>
      <c r="J31" s="433">
        <f>VLOOKUP(D31,'L3'!$1:$2060,2,False)</f>
        <v>70</v>
      </c>
      <c r="K31" s="433">
        <f>VLOOKUP(D31,'L4'!$1:$2059,2,False)</f>
        <v>71</v>
      </c>
      <c r="L31" s="434">
        <f>VLOOKUP(D31,'A1 RETEST 5 DEC'!$1:$2096,2,FALSE)</f>
        <v>38</v>
      </c>
      <c r="M31" s="434">
        <f>VLOOKUP(D31,'A2 RETEST 4 DEC'!$1:$2096,2,FALSE)</f>
        <v>20</v>
      </c>
      <c r="N31" s="435">
        <v>6.0</v>
      </c>
      <c r="O31" s="449"/>
      <c r="P31" s="436">
        <f>IFNA(VLOOKUP(D31,'S1'!$1:$1325,2,False),0)</f>
        <v>78</v>
      </c>
      <c r="Q31" s="436">
        <f>vlookup(D31,'S2'!A27:B1229,2,0)</f>
        <v>0</v>
      </c>
      <c r="R31" s="436">
        <f>ifna(vlookup(D31,'S3'!$1:$1311,2,False),0)</f>
        <v>34</v>
      </c>
      <c r="S31" s="436"/>
      <c r="T31" s="437">
        <v>14.0</v>
      </c>
      <c r="U31" s="437">
        <v>17.0</v>
      </c>
      <c r="V31" s="437">
        <v>58.0</v>
      </c>
      <c r="W31" s="437">
        <v>68.0</v>
      </c>
      <c r="X31" s="437">
        <v>66.0</v>
      </c>
      <c r="Y31" s="437"/>
      <c r="Z31" s="438"/>
      <c r="AA31" s="450">
        <v>24.0</v>
      </c>
      <c r="AB31" s="409">
        <v>100.0</v>
      </c>
      <c r="AC31" s="395">
        <v>54.0</v>
      </c>
      <c r="AD31" s="439"/>
      <c r="AE31" s="440">
        <v>14.0</v>
      </c>
      <c r="AF31" s="441"/>
      <c r="AG31" s="439">
        <v>70.0</v>
      </c>
      <c r="AH31" s="441"/>
      <c r="AI31" s="441"/>
      <c r="AJ31" s="441"/>
      <c r="AK31" s="442">
        <f t="shared" si="1"/>
        <v>4</v>
      </c>
      <c r="AL31" s="442">
        <f t="shared" si="2"/>
        <v>0</v>
      </c>
      <c r="AM31" s="424">
        <f t="shared" si="3"/>
        <v>3</v>
      </c>
      <c r="AN31" s="442" t="str">
        <f t="shared" si="4"/>
        <v>2</v>
      </c>
      <c r="AO31" s="442">
        <f t="shared" si="5"/>
        <v>1</v>
      </c>
      <c r="AP31" s="367"/>
    </row>
    <row r="32">
      <c r="A32" s="385">
        <v>28.0</v>
      </c>
      <c r="B32" s="446" t="s">
        <v>2179</v>
      </c>
      <c r="C32" s="446" t="s">
        <v>3190</v>
      </c>
      <c r="D32" s="402" t="str">
        <f>VLOOKUP(B32,USN!$1:$1088,2,False)</f>
        <v>1CR23EC027</v>
      </c>
      <c r="E32" s="447">
        <v>8.871744291E9</v>
      </c>
      <c r="F32" s="447" t="s">
        <v>3736</v>
      </c>
      <c r="G32" s="367"/>
      <c r="H32" s="447">
        <v>82.0</v>
      </c>
      <c r="I32" s="448">
        <v>87.0</v>
      </c>
      <c r="J32" s="433">
        <f>VLOOKUP(D32,'L3'!$1:$2060,2,False)</f>
        <v>70</v>
      </c>
      <c r="K32" s="433">
        <f>VLOOKUP(D32,'L4'!$1:$2059,2,False)</f>
        <v>77</v>
      </c>
      <c r="L32" s="434">
        <f>VLOOKUP(D32,'A1 RETEST 5 DEC'!$1:$2096,2,FALSE)</f>
        <v>75</v>
      </c>
      <c r="M32" s="434">
        <f>VLOOKUP(D32,'A2 RETEST 4 DEC'!$1:$2096,2,FALSE)</f>
        <v>50</v>
      </c>
      <c r="N32" s="435">
        <v>50.0</v>
      </c>
      <c r="O32" s="449"/>
      <c r="P32" s="436">
        <f>IFNA(VLOOKUP(D32,'S1'!$1:$1325,2,False),0)</f>
        <v>95</v>
      </c>
      <c r="Q32" s="436">
        <f>vlookup(D32,'S2'!A28:B1230,2,0)</f>
        <v>50</v>
      </c>
      <c r="R32" s="436">
        <f>ifna(vlookup(D32,'S3'!$1:$1311,2,False),0)</f>
        <v>59</v>
      </c>
      <c r="S32" s="436"/>
      <c r="T32" s="437">
        <v>12.0</v>
      </c>
      <c r="U32" s="437">
        <v>18.0</v>
      </c>
      <c r="V32" s="437">
        <v>62.0</v>
      </c>
      <c r="W32" s="437">
        <v>70.0</v>
      </c>
      <c r="X32" s="437">
        <v>66.0</v>
      </c>
      <c r="Y32" s="437"/>
      <c r="Z32" s="438"/>
      <c r="AA32" s="450">
        <v>4.0</v>
      </c>
      <c r="AB32" s="409">
        <v>63.0</v>
      </c>
      <c r="AC32" s="395">
        <v>60.0</v>
      </c>
      <c r="AD32" s="439"/>
      <c r="AE32" s="440">
        <v>70.0</v>
      </c>
      <c r="AF32" s="441"/>
      <c r="AG32" s="439"/>
      <c r="AH32" s="441"/>
      <c r="AI32" s="441"/>
      <c r="AJ32" s="441"/>
      <c r="AK32" s="442">
        <f t="shared" si="1"/>
        <v>4</v>
      </c>
      <c r="AL32" s="442">
        <f t="shared" si="2"/>
        <v>3</v>
      </c>
      <c r="AM32" s="424">
        <f t="shared" si="3"/>
        <v>3</v>
      </c>
      <c r="AN32" s="442" t="str">
        <f t="shared" si="4"/>
        <v>3.5</v>
      </c>
      <c r="AO32" s="442">
        <f t="shared" si="5"/>
        <v>3</v>
      </c>
      <c r="AP32" s="367"/>
    </row>
    <row r="33">
      <c r="A33" s="385">
        <v>29.0</v>
      </c>
      <c r="B33" s="446" t="s">
        <v>2180</v>
      </c>
      <c r="C33" s="446" t="s">
        <v>3760</v>
      </c>
      <c r="D33" s="402" t="str">
        <f>VLOOKUP(B33,USN!$1:$1088,2,False)</f>
        <v>1CR23EC028</v>
      </c>
      <c r="E33" s="447">
        <v>8.317423479E9</v>
      </c>
      <c r="F33" s="447" t="s">
        <v>3736</v>
      </c>
      <c r="G33" s="367"/>
      <c r="H33" s="447">
        <v>76.0</v>
      </c>
      <c r="I33" s="448">
        <v>75.0</v>
      </c>
      <c r="J33" s="433">
        <f>VLOOKUP(D33,'L3'!$1:$2060,2,False)</f>
        <v>70</v>
      </c>
      <c r="K33" s="433">
        <f>VLOOKUP(D33,'L4'!$1:$2059,2,False)</f>
        <v>73</v>
      </c>
      <c r="L33" s="434">
        <f>VLOOKUP(D33,'A1 RETEST 5 DEC'!$1:$2096,2,FALSE)</f>
        <v>50</v>
      </c>
      <c r="M33" s="434">
        <f>VLOOKUP(D33,'A2 RETEST 4 DEC'!$1:$2096,2,FALSE)</f>
        <v>4</v>
      </c>
      <c r="N33" s="435">
        <v>50.0</v>
      </c>
      <c r="O33" s="449"/>
      <c r="P33" s="436">
        <f>IFNA(VLOOKUP(D33,'S1'!$1:$1325,2,False),0)</f>
        <v>79</v>
      </c>
      <c r="Q33" s="436">
        <f>vlookup(D33,'S2'!A29:B1231,2,0)</f>
        <v>50</v>
      </c>
      <c r="R33" s="436">
        <f>ifna(vlookup(D33,'S3'!$1:$1311,2,False),0)</f>
        <v>34</v>
      </c>
      <c r="S33" s="436"/>
      <c r="T33" s="437">
        <v>10.0</v>
      </c>
      <c r="U33" s="437">
        <v>16.0</v>
      </c>
      <c r="V33" s="437">
        <v>40.0</v>
      </c>
      <c r="W33" s="437">
        <v>74.0</v>
      </c>
      <c r="X33" s="437">
        <v>64.0</v>
      </c>
      <c r="Y33" s="437"/>
      <c r="Z33" s="438"/>
      <c r="AA33" s="450">
        <v>51.0</v>
      </c>
      <c r="AB33" s="409">
        <v>68.0</v>
      </c>
      <c r="AC33" s="395">
        <v>47.0</v>
      </c>
      <c r="AD33" s="439"/>
      <c r="AE33" s="440">
        <v>13.0</v>
      </c>
      <c r="AF33" s="441"/>
      <c r="AG33" s="439"/>
      <c r="AH33" s="441"/>
      <c r="AI33" s="441"/>
      <c r="AJ33" s="441"/>
      <c r="AK33" s="442">
        <f t="shared" si="1"/>
        <v>4</v>
      </c>
      <c r="AL33" s="442">
        <f t="shared" si="2"/>
        <v>1</v>
      </c>
      <c r="AM33" s="424">
        <f t="shared" si="3"/>
        <v>3</v>
      </c>
      <c r="AN33" s="442" t="str">
        <f t="shared" si="4"/>
        <v>2</v>
      </c>
      <c r="AO33" s="442">
        <f t="shared" si="5"/>
        <v>2</v>
      </c>
      <c r="AP33" s="367"/>
    </row>
    <row r="34">
      <c r="A34" s="385">
        <v>30.0</v>
      </c>
      <c r="B34" s="446" t="s">
        <v>2181</v>
      </c>
      <c r="C34" s="446" t="s">
        <v>3191</v>
      </c>
      <c r="D34" s="402" t="str">
        <f>VLOOKUP(B34,USN!$1:$1088,2,False)</f>
        <v>1CR23EC029</v>
      </c>
      <c r="E34" s="447">
        <v>6.387028153E9</v>
      </c>
      <c r="F34" s="447" t="s">
        <v>3736</v>
      </c>
      <c r="G34" s="367"/>
      <c r="H34" s="447">
        <v>86.0</v>
      </c>
      <c r="I34" s="448">
        <v>86.0</v>
      </c>
      <c r="J34" s="433">
        <f>VLOOKUP(D34,'L3'!$1:$2060,2,False)</f>
        <v>72</v>
      </c>
      <c r="K34" s="433">
        <f>VLOOKUP(D34,'L4'!$1:$2059,2,False)</f>
        <v>87</v>
      </c>
      <c r="L34" s="434">
        <f>VLOOKUP(D34,'A1 RETEST 5 DEC'!$1:$2096,2,FALSE)</f>
        <v>62</v>
      </c>
      <c r="M34" s="434">
        <f>VLOOKUP(D34,'A2 RETEST 4 DEC'!$1:$2096,2,FALSE)</f>
        <v>50</v>
      </c>
      <c r="N34" s="435">
        <v>50.0</v>
      </c>
      <c r="O34" s="449"/>
      <c r="P34" s="436">
        <f>IFNA(VLOOKUP(D34,'S1'!$1:$1325,2,False),0)</f>
        <v>78</v>
      </c>
      <c r="Q34" s="436">
        <f>vlookup(D34,'S2'!A30:B1232,2,0)</f>
        <v>73</v>
      </c>
      <c r="R34" s="436">
        <f>ifna(vlookup(D34,'S3'!$1:$1311,2,False),0)</f>
        <v>79</v>
      </c>
      <c r="S34" s="436"/>
      <c r="T34" s="437">
        <v>19.0</v>
      </c>
      <c r="U34" s="437">
        <v>22.0</v>
      </c>
      <c r="V34" s="437">
        <v>52.0</v>
      </c>
      <c r="W34" s="437">
        <v>82.0</v>
      </c>
      <c r="X34" s="437">
        <v>58.0</v>
      </c>
      <c r="Y34" s="437"/>
      <c r="Z34" s="438"/>
      <c r="AA34" s="450">
        <v>12.0</v>
      </c>
      <c r="AB34" s="409">
        <v>66.0</v>
      </c>
      <c r="AC34" s="395">
        <v>41.0</v>
      </c>
      <c r="AD34" s="439">
        <v>90.0</v>
      </c>
      <c r="AE34" s="440">
        <v>51.0</v>
      </c>
      <c r="AF34" s="441"/>
      <c r="AG34" s="439">
        <v>74.0</v>
      </c>
      <c r="AH34" s="441"/>
      <c r="AI34" s="441"/>
      <c r="AJ34" s="441"/>
      <c r="AK34" s="442">
        <f t="shared" si="1"/>
        <v>4</v>
      </c>
      <c r="AL34" s="442">
        <f t="shared" si="2"/>
        <v>3</v>
      </c>
      <c r="AM34" s="424">
        <f t="shared" si="3"/>
        <v>3</v>
      </c>
      <c r="AN34" s="442" t="str">
        <f t="shared" si="4"/>
        <v>3</v>
      </c>
      <c r="AO34" s="442">
        <f t="shared" si="5"/>
        <v>3</v>
      </c>
      <c r="AP34" s="367"/>
    </row>
    <row r="35">
      <c r="A35" s="385">
        <v>31.0</v>
      </c>
      <c r="B35" s="446" t="s">
        <v>2182</v>
      </c>
      <c r="C35" s="446" t="s">
        <v>3192</v>
      </c>
      <c r="D35" s="402" t="str">
        <f>VLOOKUP(B35,USN!$1:$1088,2,False)</f>
        <v>1CR23EC030</v>
      </c>
      <c r="E35" s="447">
        <v>8.904599227E9</v>
      </c>
      <c r="F35" s="447" t="s">
        <v>3736</v>
      </c>
      <c r="G35" s="367"/>
      <c r="H35" s="447">
        <v>73.0</v>
      </c>
      <c r="I35" s="448">
        <v>80.0</v>
      </c>
      <c r="J35" s="433">
        <f>VLOOKUP(D35,'L3'!$1:$2060,2,False)</f>
        <v>32</v>
      </c>
      <c r="K35" s="433">
        <f>VLOOKUP(D35,'L4'!$1:$2059,2,False)</f>
        <v>19</v>
      </c>
      <c r="L35" s="434">
        <f>VLOOKUP(D35,'A1 RETEST 5 DEC'!$1:$2096,2,FALSE)</f>
        <v>43</v>
      </c>
      <c r="M35" s="434">
        <f>VLOOKUP(D35,'A2 RETEST 4 DEC'!$1:$2096,2,FALSE)</f>
        <v>15</v>
      </c>
      <c r="N35" s="435">
        <v>0.0</v>
      </c>
      <c r="O35" s="449"/>
      <c r="P35" s="436">
        <f>IFNA(VLOOKUP(D35,'S1'!$1:$1325,2,False),0)</f>
        <v>0</v>
      </c>
      <c r="Q35" s="436">
        <f>vlookup(D35,'S2'!A31:B1233,2,0)</f>
        <v>0</v>
      </c>
      <c r="R35" s="436">
        <f>ifna(vlookup(D35,'S3'!$1:$1311,2,False),0)</f>
        <v>0</v>
      </c>
      <c r="S35" s="436"/>
      <c r="T35" s="437">
        <v>10.0</v>
      </c>
      <c r="U35" s="437">
        <v>12.0</v>
      </c>
      <c r="V35" s="437">
        <v>0.0</v>
      </c>
      <c r="W35" s="437">
        <v>0.0</v>
      </c>
      <c r="X35" s="453"/>
      <c r="Y35" s="437"/>
      <c r="Z35" s="438"/>
      <c r="AA35" s="450">
        <v>4.0</v>
      </c>
      <c r="AB35" s="409">
        <v>61.0</v>
      </c>
      <c r="AC35" s="395">
        <v>0.0</v>
      </c>
      <c r="AD35" s="439"/>
      <c r="AE35" s="440">
        <v>10.0</v>
      </c>
      <c r="AF35" s="441"/>
      <c r="AG35" s="439"/>
      <c r="AH35" s="451">
        <v>0.0</v>
      </c>
      <c r="AI35" s="441"/>
      <c r="AJ35" s="441"/>
      <c r="AK35" s="442">
        <f t="shared" si="1"/>
        <v>2</v>
      </c>
      <c r="AL35" s="442">
        <f t="shared" si="2"/>
        <v>0</v>
      </c>
      <c r="AM35" s="424">
        <f t="shared" si="3"/>
        <v>2</v>
      </c>
      <c r="AN35" s="442" t="str">
        <f t="shared" si="4"/>
        <v>2</v>
      </c>
      <c r="AO35" s="442">
        <f t="shared" si="5"/>
        <v>0</v>
      </c>
      <c r="AP35" s="367"/>
    </row>
    <row r="36">
      <c r="A36" s="385">
        <v>32.0</v>
      </c>
      <c r="B36" s="446" t="s">
        <v>2183</v>
      </c>
      <c r="C36" s="446" t="s">
        <v>3193</v>
      </c>
      <c r="D36" s="402" t="str">
        <f>VLOOKUP(B36,USN!$1:$1088,2,False)</f>
        <v>1CR23EC031</v>
      </c>
      <c r="E36" s="447">
        <v>7.396002067E9</v>
      </c>
      <c r="F36" s="447" t="s">
        <v>3736</v>
      </c>
      <c r="G36" s="367"/>
      <c r="H36" s="447">
        <v>79.0</v>
      </c>
      <c r="I36" s="448">
        <v>82.0</v>
      </c>
      <c r="J36" s="433">
        <f>VLOOKUP(D36,'L3'!$1:$2060,2,False)</f>
        <v>24</v>
      </c>
      <c r="K36" s="433">
        <f>VLOOKUP(D36,'L4'!$1:$2059,2,False)</f>
        <v>29</v>
      </c>
      <c r="L36" s="434">
        <f>VLOOKUP(D36,'A1 RETEST 5 DEC'!$1:$2096,2,FALSE)</f>
        <v>50</v>
      </c>
      <c r="M36" s="434">
        <f>VLOOKUP(D36,'A2 RETEST 4 DEC'!$1:$2096,2,FALSE)</f>
        <v>0</v>
      </c>
      <c r="N36" s="435">
        <v>11.0</v>
      </c>
      <c r="O36" s="449"/>
      <c r="P36" s="436">
        <f>IFNA(VLOOKUP(D36,'S1'!$1:$1325,2,False),0)</f>
        <v>75</v>
      </c>
      <c r="Q36" s="436">
        <f>vlookup(D36,'S2'!A32:B1234,2,0)</f>
        <v>50</v>
      </c>
      <c r="R36" s="436">
        <f>ifna(vlookup(D36,'S3'!$1:$1311,2,False),0)</f>
        <v>0</v>
      </c>
      <c r="S36" s="436"/>
      <c r="T36" s="437">
        <v>10.0</v>
      </c>
      <c r="U36" s="437">
        <v>21.0</v>
      </c>
      <c r="V36" s="437">
        <v>50.0</v>
      </c>
      <c r="W36" s="437">
        <v>0.0</v>
      </c>
      <c r="X36" s="445"/>
      <c r="Y36" s="437"/>
      <c r="Z36" s="438"/>
      <c r="AA36" s="450">
        <v>54.0</v>
      </c>
      <c r="AB36" s="409">
        <v>71.0</v>
      </c>
      <c r="AC36" s="395">
        <v>90.0</v>
      </c>
      <c r="AD36" s="439"/>
      <c r="AE36" s="440">
        <v>10.0</v>
      </c>
      <c r="AF36" s="441"/>
      <c r="AG36" s="439"/>
      <c r="AH36" s="441"/>
      <c r="AI36" s="441"/>
      <c r="AJ36" s="441"/>
      <c r="AK36" s="442">
        <f t="shared" si="1"/>
        <v>2</v>
      </c>
      <c r="AL36" s="442">
        <f t="shared" si="2"/>
        <v>1</v>
      </c>
      <c r="AM36" s="424">
        <f t="shared" si="3"/>
        <v>2</v>
      </c>
      <c r="AN36" s="442" t="str">
        <f t="shared" si="4"/>
        <v>3</v>
      </c>
      <c r="AO36" s="442">
        <f t="shared" si="5"/>
        <v>2</v>
      </c>
      <c r="AP36" s="367"/>
    </row>
    <row r="37">
      <c r="A37" s="385">
        <v>33.0</v>
      </c>
      <c r="B37" s="446" t="s">
        <v>2184</v>
      </c>
      <c r="C37" s="446" t="s">
        <v>3194</v>
      </c>
      <c r="D37" s="402" t="str">
        <f>VLOOKUP(B37,USN!$1:$1088,2,False)</f>
        <v>1CR23EC032</v>
      </c>
      <c r="E37" s="447">
        <v>9.448517221E9</v>
      </c>
      <c r="F37" s="447" t="s">
        <v>3736</v>
      </c>
      <c r="G37" s="367"/>
      <c r="H37" s="447">
        <v>79.0</v>
      </c>
      <c r="I37" s="448">
        <v>86.0</v>
      </c>
      <c r="J37" s="433">
        <f>VLOOKUP(D37,'L3'!$1:$2060,2,False)</f>
        <v>82</v>
      </c>
      <c r="K37" s="433">
        <f>VLOOKUP(D37,'L4'!$1:$2059,2,False)</f>
        <v>80</v>
      </c>
      <c r="L37" s="434">
        <f>VLOOKUP(D37,'A1 RETEST 5 DEC'!$1:$2096,2,FALSE)</f>
        <v>71</v>
      </c>
      <c r="M37" s="434">
        <f>VLOOKUP(D37,'A2 RETEST 4 DEC'!$1:$2096,2,FALSE)</f>
        <v>50</v>
      </c>
      <c r="N37" s="435">
        <v>40.0</v>
      </c>
      <c r="O37" s="449"/>
      <c r="P37" s="436">
        <f>IFNA(VLOOKUP(D37,'S1'!$1:$1325,2,False),0)</f>
        <v>75</v>
      </c>
      <c r="Q37" s="436">
        <f>vlookup(D37,'S2'!A33:B1235,2,0)</f>
        <v>87</v>
      </c>
      <c r="R37" s="436">
        <f>ifna(vlookup(D37,'S3'!$1:$1311,2,False),0)</f>
        <v>90</v>
      </c>
      <c r="S37" s="436"/>
      <c r="T37" s="437">
        <v>21.0</v>
      </c>
      <c r="U37" s="437">
        <v>19.0</v>
      </c>
      <c r="V37" s="437">
        <v>76.0</v>
      </c>
      <c r="W37" s="437">
        <v>76.0</v>
      </c>
      <c r="X37" s="437">
        <v>78.0</v>
      </c>
      <c r="Y37" s="437"/>
      <c r="Z37" s="438"/>
      <c r="AA37" s="450">
        <v>55.0</v>
      </c>
      <c r="AB37" s="409">
        <v>95.0</v>
      </c>
      <c r="AC37" s="395">
        <v>78.0</v>
      </c>
      <c r="AD37" s="439"/>
      <c r="AE37" s="440">
        <v>76.0</v>
      </c>
      <c r="AF37" s="441"/>
      <c r="AG37" s="439"/>
      <c r="AH37" s="451">
        <v>85.0</v>
      </c>
      <c r="AI37" s="441"/>
      <c r="AJ37" s="441"/>
      <c r="AK37" s="442">
        <f t="shared" si="1"/>
        <v>4</v>
      </c>
      <c r="AL37" s="442">
        <f t="shared" si="2"/>
        <v>2</v>
      </c>
      <c r="AM37" s="424">
        <f t="shared" si="3"/>
        <v>3</v>
      </c>
      <c r="AN37" s="442" t="str">
        <f t="shared" si="4"/>
        <v>3.5</v>
      </c>
      <c r="AO37" s="442">
        <f t="shared" si="5"/>
        <v>3</v>
      </c>
      <c r="AP37" s="367"/>
    </row>
    <row r="38">
      <c r="A38" s="385">
        <v>34.0</v>
      </c>
      <c r="B38" s="446" t="s">
        <v>2265</v>
      </c>
      <c r="C38" s="446" t="s">
        <v>3195</v>
      </c>
      <c r="D38" s="402" t="str">
        <f>VLOOKUP(B38,USN!$1:$1088,2,False)</f>
        <v>1CR23EC033</v>
      </c>
      <c r="E38" s="447">
        <v>6.362341099E9</v>
      </c>
      <c r="F38" s="447" t="s">
        <v>3736</v>
      </c>
      <c r="G38" s="367"/>
      <c r="H38" s="447">
        <v>74.0</v>
      </c>
      <c r="I38" s="448">
        <v>74.0</v>
      </c>
      <c r="J38" s="433">
        <f>VLOOKUP(D38,'L3'!$1:$2060,2,False)</f>
        <v>70</v>
      </c>
      <c r="K38" s="433">
        <f>VLOOKUP(D38,'L4'!$1:$2059,2,False)</f>
        <v>70</v>
      </c>
      <c r="L38" s="434">
        <f>VLOOKUP(D38,'A1 RETEST 5 DEC'!$1:$2096,2,FALSE)</f>
        <v>50</v>
      </c>
      <c r="M38" s="434">
        <f>VLOOKUP(D38,'A2 RETEST 4 DEC'!$1:$2096,2,FALSE)</f>
        <v>50</v>
      </c>
      <c r="N38" s="435">
        <v>5.0</v>
      </c>
      <c r="O38" s="449"/>
      <c r="P38" s="436">
        <f>IFNA(VLOOKUP(D38,'S1'!$1:$1325,2,False),0)</f>
        <v>50</v>
      </c>
      <c r="Q38" s="436">
        <f>vlookup(D38,'S2'!A34:B1236,2,0)</f>
        <v>56</v>
      </c>
      <c r="R38" s="436">
        <f>ifna(vlookup(D38,'S3'!$1:$1311,2,False),0)</f>
        <v>50</v>
      </c>
      <c r="S38" s="436"/>
      <c r="T38" s="437">
        <v>21.0</v>
      </c>
      <c r="U38" s="437">
        <v>15.0</v>
      </c>
      <c r="V38" s="437">
        <v>66.0</v>
      </c>
      <c r="W38" s="437">
        <v>80.0</v>
      </c>
      <c r="X38" s="437">
        <v>74.0</v>
      </c>
      <c r="Y38" s="437"/>
      <c r="Z38" s="438"/>
      <c r="AA38" s="450">
        <v>62.0</v>
      </c>
      <c r="AB38" s="409">
        <v>85.0</v>
      </c>
      <c r="AC38" s="395">
        <v>60.0</v>
      </c>
      <c r="AD38" s="439"/>
      <c r="AE38" s="440">
        <v>13.0</v>
      </c>
      <c r="AF38" s="441"/>
      <c r="AG38" s="439"/>
      <c r="AH38" s="451"/>
      <c r="AI38" s="441"/>
      <c r="AJ38" s="441"/>
      <c r="AK38" s="442">
        <f t="shared" si="1"/>
        <v>4</v>
      </c>
      <c r="AL38" s="442">
        <f t="shared" si="2"/>
        <v>2</v>
      </c>
      <c r="AM38" s="424">
        <f t="shared" si="3"/>
        <v>3</v>
      </c>
      <c r="AN38" s="442" t="str">
        <f t="shared" si="4"/>
        <v>3</v>
      </c>
      <c r="AO38" s="442">
        <f t="shared" si="5"/>
        <v>3</v>
      </c>
      <c r="AP38" s="367"/>
    </row>
    <row r="39">
      <c r="A39" s="385">
        <v>35.0</v>
      </c>
      <c r="B39" s="446" t="s">
        <v>2185</v>
      </c>
      <c r="C39" s="446" t="s">
        <v>3196</v>
      </c>
      <c r="D39" s="402" t="str">
        <f>VLOOKUP(B39,USN!$1:$1088,2,False)</f>
        <v>1CR23EC034</v>
      </c>
      <c r="E39" s="447">
        <v>6.364430134E9</v>
      </c>
      <c r="F39" s="447" t="s">
        <v>3736</v>
      </c>
      <c r="G39" s="367"/>
      <c r="H39" s="447">
        <v>76.0</v>
      </c>
      <c r="I39" s="448">
        <v>76.0</v>
      </c>
      <c r="J39" s="433">
        <f>VLOOKUP(D39,'L3'!$1:$2060,2,False)</f>
        <v>70</v>
      </c>
      <c r="K39" s="433">
        <f>VLOOKUP(D39,'L4'!$1:$2059,2,False)</f>
        <v>71</v>
      </c>
      <c r="L39" s="434">
        <f>VLOOKUP(D39,'A1 RETEST 5 DEC'!$1:$2096,2,FALSE)</f>
        <v>71</v>
      </c>
      <c r="M39" s="434">
        <f>VLOOKUP(D39,'A2 RETEST 4 DEC'!$1:$2096,2,FALSE)</f>
        <v>50</v>
      </c>
      <c r="N39" s="435">
        <v>25.0</v>
      </c>
      <c r="O39" s="449"/>
      <c r="P39" s="436">
        <f>IFNA(VLOOKUP(D39,'S1'!$1:$1325,2,False),0)</f>
        <v>76</v>
      </c>
      <c r="Q39" s="436">
        <f>vlookup(D39,'S2'!A35:B1237,2,0)</f>
        <v>57</v>
      </c>
      <c r="R39" s="436">
        <f>ifna(vlookup(D39,'S3'!$1:$1311,2,False),0)</f>
        <v>79</v>
      </c>
      <c r="S39" s="436"/>
      <c r="T39" s="437">
        <v>15.0</v>
      </c>
      <c r="U39" s="437">
        <v>20.0</v>
      </c>
      <c r="V39" s="437">
        <v>46.0</v>
      </c>
      <c r="W39" s="437">
        <v>78.0</v>
      </c>
      <c r="X39" s="437">
        <v>80.0</v>
      </c>
      <c r="Y39" s="437"/>
      <c r="Z39" s="438"/>
      <c r="AA39" s="450">
        <v>75.0</v>
      </c>
      <c r="AB39" s="409">
        <v>75.0</v>
      </c>
      <c r="AC39" s="395">
        <v>70.0</v>
      </c>
      <c r="AD39" s="439"/>
      <c r="AE39" s="440">
        <v>10.0</v>
      </c>
      <c r="AF39" s="441"/>
      <c r="AG39" s="439">
        <v>85.0</v>
      </c>
      <c r="AH39" s="441"/>
      <c r="AI39" s="441"/>
      <c r="AJ39" s="441"/>
      <c r="AK39" s="442">
        <f t="shared" si="1"/>
        <v>4</v>
      </c>
      <c r="AL39" s="442">
        <f t="shared" si="2"/>
        <v>2</v>
      </c>
      <c r="AM39" s="424">
        <f t="shared" si="3"/>
        <v>3</v>
      </c>
      <c r="AN39" s="442" t="str">
        <f t="shared" si="4"/>
        <v>3</v>
      </c>
      <c r="AO39" s="442">
        <f t="shared" si="5"/>
        <v>3</v>
      </c>
      <c r="AP39" s="367"/>
    </row>
    <row r="40">
      <c r="A40" s="385">
        <v>36.0</v>
      </c>
      <c r="B40" s="446" t="s">
        <v>2269</v>
      </c>
      <c r="C40" s="446" t="s">
        <v>3197</v>
      </c>
      <c r="D40" s="402" t="str">
        <f>VLOOKUP(B40,USN!$1:$1088,2,False)</f>
        <v>1CR23EC035</v>
      </c>
      <c r="E40" s="447">
        <v>8.884000769E9</v>
      </c>
      <c r="F40" s="447" t="s">
        <v>3736</v>
      </c>
      <c r="G40" s="367"/>
      <c r="H40" s="447">
        <v>82.0</v>
      </c>
      <c r="I40" s="448">
        <v>80.0</v>
      </c>
      <c r="J40" s="433">
        <f>VLOOKUP(D40,'L3'!$1:$2060,2,False)</f>
        <v>70</v>
      </c>
      <c r="K40" s="433">
        <f>VLOOKUP(D40,'L4'!$1:$2059,2,False)</f>
        <v>70</v>
      </c>
      <c r="L40" s="434">
        <f>VLOOKUP(D40,'A1 RETEST 5 DEC'!$1:$2096,2,FALSE)</f>
        <v>50</v>
      </c>
      <c r="M40" s="434">
        <f>VLOOKUP(D40,'A2 RETEST 4 DEC'!$1:$2096,2,FALSE)</f>
        <v>50</v>
      </c>
      <c r="N40" s="435">
        <v>50.0</v>
      </c>
      <c r="O40" s="449"/>
      <c r="P40" s="436">
        <f>IFNA(VLOOKUP(D40,'S1'!$1:$1325,2,False),0)</f>
        <v>70</v>
      </c>
      <c r="Q40" s="436">
        <f>vlookup(D40,'S2'!A36:B1238,2,0)</f>
        <v>58</v>
      </c>
      <c r="R40" s="436">
        <f>ifna(vlookup(D40,'S3'!$1:$1311,2,False),0)</f>
        <v>84</v>
      </c>
      <c r="S40" s="436"/>
      <c r="T40" s="437">
        <v>12.0</v>
      </c>
      <c r="U40" s="437">
        <v>18.0</v>
      </c>
      <c r="V40" s="437">
        <v>64.0</v>
      </c>
      <c r="W40" s="437">
        <v>78.0</v>
      </c>
      <c r="X40" s="437">
        <v>80.0</v>
      </c>
      <c r="Y40" s="437"/>
      <c r="Z40" s="438"/>
      <c r="AA40" s="450">
        <v>61.0</v>
      </c>
      <c r="AB40" s="409">
        <v>87.0</v>
      </c>
      <c r="AC40" s="395">
        <v>100.0</v>
      </c>
      <c r="AD40" s="439"/>
      <c r="AE40" s="440">
        <v>17.0</v>
      </c>
      <c r="AF40" s="441"/>
      <c r="AG40" s="439"/>
      <c r="AH40" s="441"/>
      <c r="AI40" s="441"/>
      <c r="AJ40" s="441"/>
      <c r="AK40" s="442">
        <f t="shared" si="1"/>
        <v>4</v>
      </c>
      <c r="AL40" s="442">
        <f t="shared" si="2"/>
        <v>3</v>
      </c>
      <c r="AM40" s="424">
        <f t="shared" si="3"/>
        <v>3</v>
      </c>
      <c r="AN40" s="442" t="str">
        <f t="shared" si="4"/>
        <v>3</v>
      </c>
      <c r="AO40" s="442">
        <f t="shared" si="5"/>
        <v>3</v>
      </c>
      <c r="AP40" s="367"/>
    </row>
    <row r="41">
      <c r="A41" s="385">
        <v>37.0</v>
      </c>
      <c r="B41" s="446" t="s">
        <v>2342</v>
      </c>
      <c r="C41" s="446" t="s">
        <v>3198</v>
      </c>
      <c r="D41" s="402" t="str">
        <f>VLOOKUP(B41,USN!$1:$1088,2,False)</f>
        <v>1CR23EC036</v>
      </c>
      <c r="E41" s="447">
        <v>8.088743817E9</v>
      </c>
      <c r="F41" s="446" t="s">
        <v>3736</v>
      </c>
      <c r="G41" s="367"/>
      <c r="H41" s="447">
        <v>73.0</v>
      </c>
      <c r="I41" s="448">
        <v>72.0</v>
      </c>
      <c r="J41" s="433">
        <f>VLOOKUP(D41,'L3'!$1:$2060,2,False)</f>
        <v>70</v>
      </c>
      <c r="K41" s="433">
        <f>VLOOKUP(D41,'L4'!$1:$2059,2,False)</f>
        <v>51</v>
      </c>
      <c r="L41" s="434">
        <f>VLOOKUP(D41,'A1 RETEST 5 DEC'!$1:$2096,2,FALSE)</f>
        <v>50</v>
      </c>
      <c r="M41" s="434">
        <f>VLOOKUP(D41,'A2 RETEST 4 DEC'!$1:$2096,2,FALSE)</f>
        <v>50</v>
      </c>
      <c r="N41" s="435">
        <v>50.0</v>
      </c>
      <c r="O41" s="449"/>
      <c r="P41" s="436">
        <f>IFNA(VLOOKUP(D41,'S1'!$1:$1325,2,False),0)</f>
        <v>80</v>
      </c>
      <c r="Q41" s="436">
        <f>vlookup(D41,'S2'!A37:B1239,2,0)</f>
        <v>56</v>
      </c>
      <c r="R41" s="436">
        <f>ifna(vlookup(D41,'S3'!$1:$1311,2,False),0)</f>
        <v>87</v>
      </c>
      <c r="S41" s="436"/>
      <c r="T41" s="437">
        <v>10.0</v>
      </c>
      <c r="U41" s="437">
        <v>16.0</v>
      </c>
      <c r="V41" s="437">
        <v>56.0</v>
      </c>
      <c r="W41" s="437">
        <v>76.0</v>
      </c>
      <c r="X41" s="437">
        <v>64.0</v>
      </c>
      <c r="Y41" s="437"/>
      <c r="Z41" s="438"/>
      <c r="AA41" s="450">
        <v>46.4</v>
      </c>
      <c r="AB41" s="409">
        <v>76.0</v>
      </c>
      <c r="AC41" s="395">
        <v>70.0</v>
      </c>
      <c r="AD41" s="439"/>
      <c r="AE41" s="440">
        <v>40.0</v>
      </c>
      <c r="AF41" s="441"/>
      <c r="AG41" s="439"/>
      <c r="AH41" s="441"/>
      <c r="AI41" s="441"/>
      <c r="AJ41" s="441"/>
      <c r="AK41" s="442">
        <f t="shared" si="1"/>
        <v>3</v>
      </c>
      <c r="AL41" s="442">
        <f t="shared" si="2"/>
        <v>3</v>
      </c>
      <c r="AM41" s="424">
        <f t="shared" si="3"/>
        <v>3</v>
      </c>
      <c r="AN41" s="442" t="str">
        <f t="shared" si="4"/>
        <v>3</v>
      </c>
      <c r="AO41" s="442">
        <f t="shared" si="5"/>
        <v>3</v>
      </c>
      <c r="AP41" s="367"/>
    </row>
    <row r="42">
      <c r="A42" s="385">
        <v>38.0</v>
      </c>
      <c r="B42" s="446" t="s">
        <v>2186</v>
      </c>
      <c r="C42" s="446" t="s">
        <v>3199</v>
      </c>
      <c r="D42" s="402" t="str">
        <f>VLOOKUP(B42,USN!$1:$1088,2,False)</f>
        <v>1CR23EC037</v>
      </c>
      <c r="E42" s="447">
        <v>9.4830936E9</v>
      </c>
      <c r="F42" s="447" t="s">
        <v>3736</v>
      </c>
      <c r="G42" s="367"/>
      <c r="H42" s="447">
        <v>76.0</v>
      </c>
      <c r="I42" s="448">
        <v>71.0</v>
      </c>
      <c r="J42" s="433">
        <f>VLOOKUP(D42,'L3'!$1:$2060,2,False)</f>
        <v>27</v>
      </c>
      <c r="K42" s="433">
        <f>VLOOKUP(D42,'L4'!$1:$2059,2,False)</f>
        <v>37</v>
      </c>
      <c r="L42" s="434">
        <f>VLOOKUP(D42,'A1 RETEST 5 DEC'!$1:$2096,2,FALSE)</f>
        <v>33</v>
      </c>
      <c r="M42" s="434">
        <f>VLOOKUP(D42,'A2 RETEST 4 DEC'!$1:$2096,2,FALSE)</f>
        <v>5</v>
      </c>
      <c r="N42" s="435">
        <v>5.0</v>
      </c>
      <c r="O42" s="449"/>
      <c r="P42" s="436">
        <f>IFNA(VLOOKUP(D42,'S1'!$1:$1325,2,False),0)</f>
        <v>0</v>
      </c>
      <c r="Q42" s="436">
        <f>vlookup(D42,'S2'!A38:B1240,2,0)</f>
        <v>0</v>
      </c>
      <c r="R42" s="436">
        <f>ifna(vlookup(D42,'S3'!$1:$1311,2,False),0)</f>
        <v>0</v>
      </c>
      <c r="S42" s="436"/>
      <c r="T42" s="437">
        <v>21.0</v>
      </c>
      <c r="U42" s="437">
        <v>18.0</v>
      </c>
      <c r="V42" s="437">
        <v>46.0</v>
      </c>
      <c r="W42" s="437">
        <v>82.0</v>
      </c>
      <c r="X42" s="437">
        <v>68.0</v>
      </c>
      <c r="Y42" s="437"/>
      <c r="Z42" s="438"/>
      <c r="AA42" s="450">
        <v>26.0</v>
      </c>
      <c r="AB42" s="409">
        <v>23.0</v>
      </c>
      <c r="AC42" s="395">
        <v>70.0</v>
      </c>
      <c r="AD42" s="439"/>
      <c r="AE42" s="440">
        <v>10.0</v>
      </c>
      <c r="AF42" s="441"/>
      <c r="AG42" s="439"/>
      <c r="AH42" s="441"/>
      <c r="AI42" s="441"/>
      <c r="AJ42" s="441"/>
      <c r="AK42" s="442">
        <f t="shared" si="1"/>
        <v>2</v>
      </c>
      <c r="AL42" s="442">
        <f t="shared" si="2"/>
        <v>0</v>
      </c>
      <c r="AM42" s="424">
        <f t="shared" si="3"/>
        <v>3</v>
      </c>
      <c r="AN42" s="442" t="str">
        <f t="shared" si="4"/>
        <v>0</v>
      </c>
      <c r="AO42" s="442">
        <f t="shared" si="5"/>
        <v>0</v>
      </c>
      <c r="AP42" s="367"/>
    </row>
    <row r="43">
      <c r="A43" s="385">
        <v>39.0</v>
      </c>
      <c r="B43" s="446" t="s">
        <v>2187</v>
      </c>
      <c r="C43" s="446" t="s">
        <v>3200</v>
      </c>
      <c r="D43" s="402" t="str">
        <f>VLOOKUP(B43,USN!$1:$1088,2,False)</f>
        <v>1CR23EC038</v>
      </c>
      <c r="E43" s="447">
        <v>9.110465952E9</v>
      </c>
      <c r="F43" s="447" t="s">
        <v>3736</v>
      </c>
      <c r="G43" s="367"/>
      <c r="H43" s="447">
        <v>72.0</v>
      </c>
      <c r="I43" s="448">
        <v>75.0</v>
      </c>
      <c r="J43" s="433">
        <f>VLOOKUP(D43,'L3'!$1:$2060,2,False)</f>
        <v>49</v>
      </c>
      <c r="K43" s="433">
        <f>VLOOKUP(D43,'L4'!$1:$2059,2,False)</f>
        <v>70</v>
      </c>
      <c r="L43" s="434">
        <f>VLOOKUP(D43,'A1 RETEST 5 DEC'!$1:$2096,2,FALSE)</f>
        <v>40</v>
      </c>
      <c r="M43" s="434">
        <f>VLOOKUP(D43,'A2 RETEST 4 DEC'!$1:$2096,2,FALSE)</f>
        <v>14</v>
      </c>
      <c r="N43" s="435">
        <v>0.0</v>
      </c>
      <c r="O43" s="449"/>
      <c r="P43" s="436">
        <f>IFNA(VLOOKUP(D43,'S1'!$1:$1325,2,False),0)</f>
        <v>0</v>
      </c>
      <c r="Q43" s="436">
        <f>vlookup(D43,'S2'!A39:B1241,2,0)</f>
        <v>0</v>
      </c>
      <c r="R43" s="436">
        <f>ifna(vlookup(D43,'S3'!$1:$1311,2,False),0)</f>
        <v>0</v>
      </c>
      <c r="S43" s="436"/>
      <c r="T43" s="437">
        <v>11.0</v>
      </c>
      <c r="U43" s="437">
        <v>18.0</v>
      </c>
      <c r="V43" s="437">
        <v>36.0</v>
      </c>
      <c r="W43" s="437">
        <v>76.0</v>
      </c>
      <c r="X43" s="437">
        <v>78.0</v>
      </c>
      <c r="Y43" s="437"/>
      <c r="Z43" s="438"/>
      <c r="AA43" s="450">
        <v>0.0</v>
      </c>
      <c r="AB43" s="409">
        <v>48.0</v>
      </c>
      <c r="AC43" s="395">
        <v>2.0</v>
      </c>
      <c r="AD43" s="439"/>
      <c r="AE43" s="440">
        <v>11.0</v>
      </c>
      <c r="AF43" s="441"/>
      <c r="AG43" s="439"/>
      <c r="AH43" s="441"/>
      <c r="AI43" s="441"/>
      <c r="AJ43" s="441"/>
      <c r="AK43" s="442">
        <f t="shared" si="1"/>
        <v>2</v>
      </c>
      <c r="AL43" s="442">
        <f t="shared" si="2"/>
        <v>0</v>
      </c>
      <c r="AM43" s="424">
        <f t="shared" si="3"/>
        <v>3</v>
      </c>
      <c r="AN43" s="442" t="str">
        <f t="shared" si="4"/>
        <v>0</v>
      </c>
      <c r="AO43" s="442">
        <f t="shared" si="5"/>
        <v>0</v>
      </c>
      <c r="AP43" s="367"/>
    </row>
    <row r="44">
      <c r="A44" s="385">
        <v>40.0</v>
      </c>
      <c r="B44" s="446" t="s">
        <v>2188</v>
      </c>
      <c r="C44" s="446" t="s">
        <v>3201</v>
      </c>
      <c r="D44" s="402" t="str">
        <f>VLOOKUP(B44,USN!$1:$1088,2,False)</f>
        <v>1CR23EC039</v>
      </c>
      <c r="E44" s="447">
        <v>9.801311364E9</v>
      </c>
      <c r="F44" s="447" t="s">
        <v>3736</v>
      </c>
      <c r="G44" s="367"/>
      <c r="H44" s="447">
        <v>84.0</v>
      </c>
      <c r="I44" s="448">
        <v>84.0</v>
      </c>
      <c r="J44" s="433">
        <f>VLOOKUP(D44,'L3'!$1:$2060,2,False)</f>
        <v>70</v>
      </c>
      <c r="K44" s="433">
        <f>VLOOKUP(D44,'L4'!$1:$2059,2,False)</f>
        <v>48</v>
      </c>
      <c r="L44" s="434">
        <f>VLOOKUP(D44,'A1 RETEST 5 DEC'!$1:$2096,2,FALSE)</f>
        <v>58</v>
      </c>
      <c r="M44" s="434">
        <f>VLOOKUP(D44,'A2 RETEST 4 DEC'!$1:$2096,2,FALSE)</f>
        <v>50</v>
      </c>
      <c r="N44" s="435">
        <v>18.0</v>
      </c>
      <c r="O44" s="449"/>
      <c r="P44" s="436">
        <f>IFNA(VLOOKUP(D44,'S1'!$1:$1325,2,False),0)</f>
        <v>50</v>
      </c>
      <c r="Q44" s="436">
        <f>vlookup(D44,'S2'!A40:B1242,2,0)</f>
        <v>50</v>
      </c>
      <c r="R44" s="436">
        <f>ifna(vlookup(D44,'S3'!$1:$1311,2,False),0)</f>
        <v>95</v>
      </c>
      <c r="S44" s="436"/>
      <c r="T44" s="437">
        <v>14.0</v>
      </c>
      <c r="U44" s="437">
        <v>16.0</v>
      </c>
      <c r="V44" s="437">
        <v>62.0</v>
      </c>
      <c r="W44" s="437">
        <v>54.0</v>
      </c>
      <c r="X44" s="453"/>
      <c r="Y44" s="437"/>
      <c r="Z44" s="438"/>
      <c r="AA44" s="450">
        <v>19.0</v>
      </c>
      <c r="AB44" s="409">
        <v>90.0</v>
      </c>
      <c r="AC44" s="395">
        <v>30.0</v>
      </c>
      <c r="AD44" s="439"/>
      <c r="AE44" s="440">
        <v>12.0</v>
      </c>
      <c r="AF44" s="441"/>
      <c r="AG44" s="439"/>
      <c r="AH44" s="441"/>
      <c r="AI44" s="441"/>
      <c r="AJ44" s="441"/>
      <c r="AK44" s="442">
        <f t="shared" si="1"/>
        <v>3</v>
      </c>
      <c r="AL44" s="442">
        <f t="shared" si="2"/>
        <v>2</v>
      </c>
      <c r="AM44" s="424">
        <f t="shared" si="3"/>
        <v>3</v>
      </c>
      <c r="AN44" s="442" t="str">
        <f t="shared" si="4"/>
        <v>2</v>
      </c>
      <c r="AO44" s="442">
        <f t="shared" si="5"/>
        <v>3</v>
      </c>
      <c r="AP44" s="367"/>
    </row>
    <row r="45">
      <c r="A45" s="385">
        <v>41.0</v>
      </c>
      <c r="B45" s="446" t="s">
        <v>2189</v>
      </c>
      <c r="C45" s="446" t="s">
        <v>3202</v>
      </c>
      <c r="D45" s="402" t="str">
        <f>VLOOKUP(B45,USN!$1:$1088,2,False)</f>
        <v>1CR23EC040</v>
      </c>
      <c r="E45" s="447">
        <v>7.013374355E9</v>
      </c>
      <c r="F45" s="447" t="s">
        <v>3736</v>
      </c>
      <c r="G45" s="367"/>
      <c r="H45" s="447">
        <v>88.0</v>
      </c>
      <c r="I45" s="448">
        <v>91.0</v>
      </c>
      <c r="J45" s="433">
        <f>VLOOKUP(D45,'L3'!$1:$2060,2,False)</f>
        <v>81</v>
      </c>
      <c r="K45" s="433">
        <f>VLOOKUP(D45,'L4'!$1:$2059,2,False)</f>
        <v>76</v>
      </c>
      <c r="L45" s="434">
        <f>VLOOKUP(D45,'A1 RETEST 5 DEC'!$1:$2096,2,FALSE)</f>
        <v>88</v>
      </c>
      <c r="M45" s="434">
        <f>VLOOKUP(D45,'A2 RETEST 4 DEC'!$1:$2096,2,FALSE)</f>
        <v>50</v>
      </c>
      <c r="N45" s="435">
        <v>52.0</v>
      </c>
      <c r="O45" s="449"/>
      <c r="P45" s="436">
        <f>IFNA(VLOOKUP(D45,'S1'!$1:$1325,2,False),0)</f>
        <v>76</v>
      </c>
      <c r="Q45" s="436">
        <f>vlookup(D45,'S2'!A41:B1243,2,0)</f>
        <v>56</v>
      </c>
      <c r="R45" s="436">
        <f>ifna(vlookup(D45,'S3'!$1:$1311,2,False),0)</f>
        <v>83</v>
      </c>
      <c r="S45" s="436"/>
      <c r="T45" s="437">
        <v>11.0</v>
      </c>
      <c r="U45" s="437">
        <v>22.0</v>
      </c>
      <c r="V45" s="437">
        <v>56.0</v>
      </c>
      <c r="W45" s="437">
        <v>82.0</v>
      </c>
      <c r="X45" s="437">
        <v>68.0</v>
      </c>
      <c r="Y45" s="437"/>
      <c r="Z45" s="438"/>
      <c r="AA45" s="450">
        <v>80.0</v>
      </c>
      <c r="AB45" s="409">
        <v>83.0</v>
      </c>
      <c r="AC45" s="395">
        <v>77.0</v>
      </c>
      <c r="AD45" s="439"/>
      <c r="AE45" s="440">
        <v>22.0</v>
      </c>
      <c r="AF45" s="441"/>
      <c r="AG45" s="439">
        <v>92.0</v>
      </c>
      <c r="AH45" s="441"/>
      <c r="AI45" s="441"/>
      <c r="AJ45" s="441"/>
      <c r="AK45" s="442">
        <f t="shared" si="1"/>
        <v>4</v>
      </c>
      <c r="AL45" s="442">
        <f t="shared" si="2"/>
        <v>3</v>
      </c>
      <c r="AM45" s="424">
        <f t="shared" si="3"/>
        <v>3</v>
      </c>
      <c r="AN45" s="442" t="str">
        <f t="shared" si="4"/>
        <v>3</v>
      </c>
      <c r="AO45" s="442">
        <f t="shared" si="5"/>
        <v>3</v>
      </c>
      <c r="AP45" s="367"/>
    </row>
    <row r="46">
      <c r="A46" s="385">
        <v>42.0</v>
      </c>
      <c r="B46" s="446" t="s">
        <v>2190</v>
      </c>
      <c r="C46" s="446" t="s">
        <v>3761</v>
      </c>
      <c r="D46" s="402" t="str">
        <f>VLOOKUP(B46,USN!$1:$1088,2,False)</f>
        <v>1CR23EC041</v>
      </c>
      <c r="E46" s="447">
        <v>7.67634224E9</v>
      </c>
      <c r="F46" s="447" t="s">
        <v>3736</v>
      </c>
      <c r="G46" s="367"/>
      <c r="H46" s="447">
        <v>84.0</v>
      </c>
      <c r="I46" s="448">
        <v>75.0</v>
      </c>
      <c r="J46" s="433">
        <f>VLOOKUP(D46,'L3'!$1:$2060,2,False)</f>
        <v>70</v>
      </c>
      <c r="K46" s="433">
        <f>VLOOKUP(D46,'L4'!$1:$2059,2,False)</f>
        <v>70</v>
      </c>
      <c r="L46" s="434">
        <f>VLOOKUP(D46,'A1 RETEST 5 DEC'!$1:$2096,2,FALSE)</f>
        <v>59</v>
      </c>
      <c r="M46" s="434">
        <f>VLOOKUP(D46,'A2 RETEST 4 DEC'!$1:$2096,2,FALSE)</f>
        <v>11</v>
      </c>
      <c r="N46" s="435">
        <v>0.0</v>
      </c>
      <c r="O46" s="449"/>
      <c r="P46" s="436">
        <f>IFNA(VLOOKUP(D46,'S1'!$1:$1325,2,False),0)</f>
        <v>50</v>
      </c>
      <c r="Q46" s="436">
        <f>vlookup(D46,'S2'!A42:B1244,2,0)</f>
        <v>50</v>
      </c>
      <c r="R46" s="436">
        <f>ifna(vlookup(D46,'S3'!$1:$1311,2,False),0)</f>
        <v>0</v>
      </c>
      <c r="S46" s="436"/>
      <c r="T46" s="437">
        <v>17.0</v>
      </c>
      <c r="U46" s="437">
        <v>19.0</v>
      </c>
      <c r="V46" s="437">
        <v>58.0</v>
      </c>
      <c r="W46" s="437">
        <v>60.0</v>
      </c>
      <c r="X46" s="437">
        <v>76.0</v>
      </c>
      <c r="Y46" s="437"/>
      <c r="Z46" s="438"/>
      <c r="AA46" s="450">
        <v>69.0</v>
      </c>
      <c r="AB46" s="409">
        <v>69.0</v>
      </c>
      <c r="AC46" s="395">
        <v>78.0</v>
      </c>
      <c r="AD46" s="439"/>
      <c r="AE46" s="440">
        <v>30.0</v>
      </c>
      <c r="AF46" s="441"/>
      <c r="AG46" s="439"/>
      <c r="AH46" s="441"/>
      <c r="AI46" s="441"/>
      <c r="AJ46" s="441"/>
      <c r="AK46" s="442">
        <f t="shared" si="1"/>
        <v>4</v>
      </c>
      <c r="AL46" s="442">
        <f t="shared" si="2"/>
        <v>1</v>
      </c>
      <c r="AM46" s="424">
        <f t="shared" si="3"/>
        <v>3</v>
      </c>
      <c r="AN46" s="442" t="str">
        <f t="shared" si="4"/>
        <v>3</v>
      </c>
      <c r="AO46" s="442">
        <f t="shared" si="5"/>
        <v>2</v>
      </c>
      <c r="AP46" s="367"/>
    </row>
    <row r="47">
      <c r="A47" s="385">
        <v>43.0</v>
      </c>
      <c r="B47" s="446" t="s">
        <v>2273</v>
      </c>
      <c r="C47" s="446" t="s">
        <v>3204</v>
      </c>
      <c r="D47" s="402" t="str">
        <f>VLOOKUP(B47,USN!$1:$1088,2,False)</f>
        <v>1CR23EC042</v>
      </c>
      <c r="E47" s="447">
        <v>7.349501896E9</v>
      </c>
      <c r="F47" s="447" t="s">
        <v>3736</v>
      </c>
      <c r="G47" s="367"/>
      <c r="H47" s="447">
        <v>83.0</v>
      </c>
      <c r="I47" s="448">
        <v>85.0</v>
      </c>
      <c r="J47" s="433">
        <f>VLOOKUP(D47,'L3'!$1:$2060,2,False)</f>
        <v>76</v>
      </c>
      <c r="K47" s="433">
        <f>VLOOKUP(D47,'L4'!$1:$2059,2,False)</f>
        <v>74</v>
      </c>
      <c r="L47" s="434">
        <f>VLOOKUP(D47,'A1 RETEST 5 DEC'!$1:$2096,2,FALSE)</f>
        <v>50</v>
      </c>
      <c r="M47" s="434">
        <f>VLOOKUP(D47,'A2 RETEST 4 DEC'!$1:$2096,2,FALSE)</f>
        <v>50</v>
      </c>
      <c r="N47" s="435">
        <v>50.0</v>
      </c>
      <c r="O47" s="449"/>
      <c r="P47" s="436">
        <f>IFNA(VLOOKUP(D47,'S1'!$1:$1325,2,False),0)</f>
        <v>75</v>
      </c>
      <c r="Q47" s="436">
        <f>vlookup(D47,'S2'!A43:B1245,2,0)</f>
        <v>60</v>
      </c>
      <c r="R47" s="436">
        <f>ifna(vlookup(D47,'S3'!$1:$1311,2,False),0)</f>
        <v>82</v>
      </c>
      <c r="S47" s="436"/>
      <c r="T47" s="437">
        <v>20.0</v>
      </c>
      <c r="U47" s="437">
        <v>21.0</v>
      </c>
      <c r="V47" s="437">
        <v>64.0</v>
      </c>
      <c r="W47" s="437">
        <v>74.0</v>
      </c>
      <c r="X47" s="437">
        <v>70.0</v>
      </c>
      <c r="Y47" s="437"/>
      <c r="Z47" s="438"/>
      <c r="AA47" s="450">
        <v>70.0</v>
      </c>
      <c r="AB47" s="409">
        <v>69.0</v>
      </c>
      <c r="AC47" s="395">
        <v>70.0</v>
      </c>
      <c r="AD47" s="439"/>
      <c r="AE47" s="440">
        <v>70.0</v>
      </c>
      <c r="AF47" s="441"/>
      <c r="AG47" s="439">
        <v>85.0</v>
      </c>
      <c r="AH47" s="441"/>
      <c r="AI47" s="441"/>
      <c r="AJ47" s="441"/>
      <c r="AK47" s="442">
        <f t="shared" si="1"/>
        <v>4</v>
      </c>
      <c r="AL47" s="442">
        <f t="shared" si="2"/>
        <v>3</v>
      </c>
      <c r="AM47" s="424">
        <f t="shared" si="3"/>
        <v>3</v>
      </c>
      <c r="AN47" s="442" t="str">
        <f t="shared" si="4"/>
        <v>3.5</v>
      </c>
      <c r="AO47" s="442">
        <f t="shared" si="5"/>
        <v>3</v>
      </c>
      <c r="AP47" s="367"/>
    </row>
    <row r="48">
      <c r="A48" s="385">
        <v>44.0</v>
      </c>
      <c r="B48" s="446" t="s">
        <v>2191</v>
      </c>
      <c r="C48" s="446" t="s">
        <v>3205</v>
      </c>
      <c r="D48" s="402" t="str">
        <f>VLOOKUP(B48,USN!$1:$1088,2,False)</f>
        <v>1CR23EC043</v>
      </c>
      <c r="E48" s="447">
        <v>8.050513686E9</v>
      </c>
      <c r="F48" s="447" t="s">
        <v>3736</v>
      </c>
      <c r="G48" s="367"/>
      <c r="H48" s="447">
        <v>70.0</v>
      </c>
      <c r="I48" s="448">
        <v>75.0</v>
      </c>
      <c r="J48" s="433">
        <f>VLOOKUP(D48,'L3'!$1:$2060,2,False)</f>
        <v>70</v>
      </c>
      <c r="K48" s="433">
        <f>VLOOKUP(D48,'L4'!$1:$2059,2,False)</f>
        <v>70</v>
      </c>
      <c r="L48" s="434">
        <f>VLOOKUP(D48,'A1 RETEST 5 DEC'!$1:$2096,2,FALSE)</f>
        <v>50</v>
      </c>
      <c r="M48" s="434">
        <f>VLOOKUP(D48,'A2 RETEST 4 DEC'!$1:$2096,2,FALSE)</f>
        <v>50</v>
      </c>
      <c r="N48" s="435">
        <v>30.0</v>
      </c>
      <c r="O48" s="449"/>
      <c r="P48" s="436">
        <f>IFNA(VLOOKUP(D48,'S1'!$1:$1325,2,False),0)</f>
        <v>70</v>
      </c>
      <c r="Q48" s="436">
        <f>vlookup(D48,'S2'!A44:B1246,2,0)</f>
        <v>58</v>
      </c>
      <c r="R48" s="436">
        <f>ifna(vlookup(D48,'S3'!$1:$1311,2,False),0)</f>
        <v>0</v>
      </c>
      <c r="S48" s="436"/>
      <c r="T48" s="437">
        <v>10.0</v>
      </c>
      <c r="U48" s="437">
        <v>18.0</v>
      </c>
      <c r="V48" s="437">
        <v>52.0</v>
      </c>
      <c r="W48" s="437">
        <v>72.0</v>
      </c>
      <c r="X48" s="437">
        <v>72.0</v>
      </c>
      <c r="Y48" s="437"/>
      <c r="Z48" s="438"/>
      <c r="AA48" s="450">
        <v>53.0</v>
      </c>
      <c r="AB48" s="409">
        <v>61.0</v>
      </c>
      <c r="AC48" s="395">
        <v>65.0</v>
      </c>
      <c r="AD48" s="439"/>
      <c r="AE48" s="440">
        <v>70.0</v>
      </c>
      <c r="AF48" s="441"/>
      <c r="AG48" s="439"/>
      <c r="AH48" s="441"/>
      <c r="AI48" s="441"/>
      <c r="AJ48" s="441"/>
      <c r="AK48" s="442">
        <f t="shared" si="1"/>
        <v>4</v>
      </c>
      <c r="AL48" s="442">
        <f t="shared" si="2"/>
        <v>2</v>
      </c>
      <c r="AM48" s="424">
        <f t="shared" si="3"/>
        <v>3</v>
      </c>
      <c r="AN48" s="442" t="str">
        <f t="shared" si="4"/>
        <v>3.5</v>
      </c>
      <c r="AO48" s="442">
        <f t="shared" si="5"/>
        <v>2</v>
      </c>
      <c r="AP48" s="367"/>
    </row>
    <row r="49">
      <c r="A49" s="385">
        <v>45.0</v>
      </c>
      <c r="B49" s="446" t="s">
        <v>2272</v>
      </c>
      <c r="C49" s="446" t="s">
        <v>3206</v>
      </c>
      <c r="D49" s="402" t="str">
        <f>VLOOKUP(B49,USN!$1:$1088,2,False)</f>
        <v>1CR23EC044</v>
      </c>
      <c r="E49" s="447">
        <v>9.113613514E9</v>
      </c>
      <c r="F49" s="447" t="s">
        <v>3736</v>
      </c>
      <c r="G49" s="367"/>
      <c r="H49" s="447">
        <v>75.0</v>
      </c>
      <c r="I49" s="448">
        <v>72.0</v>
      </c>
      <c r="J49" s="433">
        <f>VLOOKUP(D49,'L3'!$1:$2060,2,False)</f>
        <v>71</v>
      </c>
      <c r="K49" s="433">
        <f>VLOOKUP(D49,'L4'!$1:$2059,2,False)</f>
        <v>76</v>
      </c>
      <c r="L49" s="434">
        <f>VLOOKUP(D49,'A1 RETEST 5 DEC'!$1:$2096,2,FALSE)</f>
        <v>50</v>
      </c>
      <c r="M49" s="434">
        <f>VLOOKUP(D49,'A2 RETEST 4 DEC'!$1:$2096,2,FALSE)</f>
        <v>50</v>
      </c>
      <c r="N49" s="435">
        <v>50.0</v>
      </c>
      <c r="O49" s="449"/>
      <c r="P49" s="436">
        <f>IFNA(VLOOKUP(D49,'S1'!$1:$1325,2,False),0)</f>
        <v>72</v>
      </c>
      <c r="Q49" s="436">
        <f>vlookup(D49,'S2'!A45:B1247,2,0)</f>
        <v>58</v>
      </c>
      <c r="R49" s="436">
        <f>ifna(vlookup(D49,'S3'!$1:$1311,2,False),0)</f>
        <v>82</v>
      </c>
      <c r="S49" s="436"/>
      <c r="T49" s="437">
        <v>21.0</v>
      </c>
      <c r="U49" s="437">
        <v>20.0</v>
      </c>
      <c r="V49" s="437">
        <v>64.0</v>
      </c>
      <c r="W49" s="437">
        <v>88.0</v>
      </c>
      <c r="X49" s="437">
        <v>78.0</v>
      </c>
      <c r="Y49" s="437"/>
      <c r="Z49" s="438"/>
      <c r="AA49" s="450">
        <v>100.0</v>
      </c>
      <c r="AB49" s="409">
        <v>98.0</v>
      </c>
      <c r="AC49" s="395">
        <v>100.0</v>
      </c>
      <c r="AD49" s="439"/>
      <c r="AE49" s="440">
        <v>70.0</v>
      </c>
      <c r="AF49" s="441"/>
      <c r="AG49" s="439">
        <v>93.0</v>
      </c>
      <c r="AH49" s="441"/>
      <c r="AI49" s="441"/>
      <c r="AJ49" s="441"/>
      <c r="AK49" s="442">
        <f t="shared" si="1"/>
        <v>4</v>
      </c>
      <c r="AL49" s="442">
        <f t="shared" si="2"/>
        <v>3</v>
      </c>
      <c r="AM49" s="424">
        <f t="shared" si="3"/>
        <v>3</v>
      </c>
      <c r="AN49" s="442" t="str">
        <f t="shared" si="4"/>
        <v>3.5</v>
      </c>
      <c r="AO49" s="442">
        <f t="shared" si="5"/>
        <v>3</v>
      </c>
      <c r="AP49" s="367"/>
    </row>
    <row r="50">
      <c r="A50" s="385">
        <v>46.0</v>
      </c>
      <c r="B50" s="446" t="s">
        <v>2192</v>
      </c>
      <c r="C50" s="446" t="s">
        <v>3207</v>
      </c>
      <c r="D50" s="402" t="str">
        <f>VLOOKUP(B50,USN!$1:$1088,2,False)</f>
        <v>1CR23EC045</v>
      </c>
      <c r="E50" s="447">
        <v>7.019561753E9</v>
      </c>
      <c r="F50" s="447" t="s">
        <v>3736</v>
      </c>
      <c r="G50" s="367"/>
      <c r="H50" s="447">
        <v>80.0</v>
      </c>
      <c r="I50" s="448">
        <v>85.0</v>
      </c>
      <c r="J50" s="433">
        <f>VLOOKUP(D50,'L3'!$1:$2060,2,False)</f>
        <v>70</v>
      </c>
      <c r="K50" s="433">
        <f>VLOOKUP(D50,'L4'!$1:$2059,2,False)</f>
        <v>79</v>
      </c>
      <c r="L50" s="434">
        <f>VLOOKUP(D50,'A1 RETEST 5 DEC'!$1:$2096,2,FALSE)</f>
        <v>50</v>
      </c>
      <c r="M50" s="434">
        <f>VLOOKUP(D50,'A2 RETEST 4 DEC'!$1:$2096,2,FALSE)</f>
        <v>50</v>
      </c>
      <c r="N50" s="435">
        <v>50.0</v>
      </c>
      <c r="O50" s="449"/>
      <c r="P50" s="436">
        <f>IFNA(VLOOKUP(D50,'S1'!$1:$1325,2,False),0)</f>
        <v>79</v>
      </c>
      <c r="Q50" s="436">
        <f>vlookup(D50,'S2'!A46:B1248,2,0)</f>
        <v>87</v>
      </c>
      <c r="R50" s="436">
        <f>ifna(vlookup(D50,'S3'!$1:$1311,2,False),0)</f>
        <v>90</v>
      </c>
      <c r="S50" s="436"/>
      <c r="T50" s="437">
        <v>10.0</v>
      </c>
      <c r="U50" s="437">
        <v>19.0</v>
      </c>
      <c r="V50" s="437">
        <v>60.0</v>
      </c>
      <c r="W50" s="437">
        <v>84.0</v>
      </c>
      <c r="X50" s="437">
        <v>80.0</v>
      </c>
      <c r="Y50" s="437"/>
      <c r="Z50" s="438"/>
      <c r="AA50" s="450">
        <v>90.0</v>
      </c>
      <c r="AB50" s="409">
        <v>87.0</v>
      </c>
      <c r="AC50" s="395">
        <v>61.0</v>
      </c>
      <c r="AD50" s="439"/>
      <c r="AE50" s="440">
        <v>70.0</v>
      </c>
      <c r="AF50" s="441"/>
      <c r="AG50" s="439">
        <v>77.0</v>
      </c>
      <c r="AH50" s="441"/>
      <c r="AI50" s="441"/>
      <c r="AJ50" s="441"/>
      <c r="AK50" s="442">
        <f t="shared" si="1"/>
        <v>4</v>
      </c>
      <c r="AL50" s="442">
        <f t="shared" si="2"/>
        <v>3</v>
      </c>
      <c r="AM50" s="424">
        <f t="shared" si="3"/>
        <v>3</v>
      </c>
      <c r="AN50" s="442" t="str">
        <f t="shared" si="4"/>
        <v>3.5</v>
      </c>
      <c r="AO50" s="442">
        <f t="shared" si="5"/>
        <v>3</v>
      </c>
      <c r="AP50" s="367"/>
    </row>
    <row r="51">
      <c r="A51" s="385">
        <v>47.0</v>
      </c>
      <c r="B51" s="446" t="s">
        <v>2193</v>
      </c>
      <c r="C51" s="446" t="s">
        <v>3208</v>
      </c>
      <c r="D51" s="402" t="str">
        <f>VLOOKUP(B51,USN!$1:$1088,2,False)</f>
        <v>1CR23EC046</v>
      </c>
      <c r="E51" s="447">
        <v>9.392650525E9</v>
      </c>
      <c r="F51" s="447" t="s">
        <v>3736</v>
      </c>
      <c r="G51" s="367"/>
      <c r="H51" s="447">
        <v>79.0</v>
      </c>
      <c r="I51" s="448">
        <v>76.0</v>
      </c>
      <c r="J51" s="433">
        <f>VLOOKUP(D51,'L3'!$1:$2060,2,False)</f>
        <v>74</v>
      </c>
      <c r="K51" s="433">
        <f>VLOOKUP(D51,'L4'!$1:$2059,2,False)</f>
        <v>72</v>
      </c>
      <c r="L51" s="434">
        <f>VLOOKUP(D51,'A1 RETEST 5 DEC'!$1:$2096,2,FALSE)</f>
        <v>65</v>
      </c>
      <c r="M51" s="434">
        <f>VLOOKUP(D51,'A2 RETEST 4 DEC'!$1:$2096,2,FALSE)</f>
        <v>25</v>
      </c>
      <c r="N51" s="435">
        <v>11.0</v>
      </c>
      <c r="O51" s="449"/>
      <c r="P51" s="436">
        <f>IFNA(VLOOKUP(D51,'S1'!$1:$1325,2,False),0)</f>
        <v>76</v>
      </c>
      <c r="Q51" s="436">
        <f>vlookup(D51,'S2'!A47:B1249,2,0)</f>
        <v>56</v>
      </c>
      <c r="R51" s="436">
        <f>ifna(vlookup(D51,'S3'!$1:$1311,2,False),0)</f>
        <v>0</v>
      </c>
      <c r="S51" s="436"/>
      <c r="T51" s="437">
        <v>21.0</v>
      </c>
      <c r="U51" s="437">
        <v>18.0</v>
      </c>
      <c r="V51" s="437">
        <v>56.0</v>
      </c>
      <c r="W51" s="437">
        <v>80.0</v>
      </c>
      <c r="X51" s="437">
        <v>70.0</v>
      </c>
      <c r="Y51" s="437"/>
      <c r="Z51" s="438"/>
      <c r="AA51" s="450">
        <v>63.0</v>
      </c>
      <c r="AB51" s="409">
        <v>75.0</v>
      </c>
      <c r="AC51" s="395">
        <v>70.0</v>
      </c>
      <c r="AD51" s="439"/>
      <c r="AE51" s="440">
        <v>10.0</v>
      </c>
      <c r="AF51" s="441"/>
      <c r="AG51" s="439"/>
      <c r="AH51" s="441"/>
      <c r="AI51" s="441"/>
      <c r="AJ51" s="441"/>
      <c r="AK51" s="442">
        <f t="shared" si="1"/>
        <v>4</v>
      </c>
      <c r="AL51" s="442">
        <f t="shared" si="2"/>
        <v>1</v>
      </c>
      <c r="AM51" s="424">
        <f t="shared" si="3"/>
        <v>3</v>
      </c>
      <c r="AN51" s="442" t="str">
        <f t="shared" si="4"/>
        <v>3</v>
      </c>
      <c r="AO51" s="442">
        <f t="shared" si="5"/>
        <v>2</v>
      </c>
      <c r="AP51" s="367"/>
    </row>
    <row r="52">
      <c r="A52" s="385">
        <v>48.0</v>
      </c>
      <c r="B52" s="446" t="s">
        <v>2207</v>
      </c>
      <c r="C52" s="446" t="s">
        <v>3209</v>
      </c>
      <c r="D52" s="402" t="str">
        <f>VLOOKUP(B52,USN!$1:$1088,2,False)</f>
        <v>1CR23EC047</v>
      </c>
      <c r="E52" s="446">
        <v>9.738058065E9</v>
      </c>
      <c r="F52" s="446" t="s">
        <v>3736</v>
      </c>
      <c r="G52" s="367"/>
      <c r="H52" s="447">
        <v>86.0</v>
      </c>
      <c r="I52" s="448">
        <v>83.0</v>
      </c>
      <c r="J52" s="433">
        <f>VLOOKUP(D52,'L3'!$1:$2060,2,False)</f>
        <v>71</v>
      </c>
      <c r="K52" s="433">
        <f>VLOOKUP(D52,'L4'!$1:$2059,2,False)</f>
        <v>70</v>
      </c>
      <c r="L52" s="434">
        <f>VLOOKUP(D52,'A1 RETEST 5 DEC'!$1:$2096,2,FALSE)</f>
        <v>52</v>
      </c>
      <c r="M52" s="434">
        <f>VLOOKUP(D52,'A2 RETEST 4 DEC'!$1:$2096,2,FALSE)</f>
        <v>3</v>
      </c>
      <c r="N52" s="435">
        <v>22.0</v>
      </c>
      <c r="O52" s="449"/>
      <c r="P52" s="436">
        <f>IFNA(VLOOKUP(D52,'S1'!$1:$1325,2,False),0)</f>
        <v>95</v>
      </c>
      <c r="Q52" s="436">
        <f>vlookup(D52,'S2'!A48:B1250,2,0)</f>
        <v>50</v>
      </c>
      <c r="R52" s="436">
        <f>ifna(vlookup(D52,'S3'!$1:$1311,2,False),0)</f>
        <v>62</v>
      </c>
      <c r="S52" s="436"/>
      <c r="T52" s="437">
        <v>10.0</v>
      </c>
      <c r="U52" s="437">
        <v>20.0</v>
      </c>
      <c r="V52" s="437">
        <v>48.0</v>
      </c>
      <c r="W52" s="437">
        <v>82.0</v>
      </c>
      <c r="X52" s="437">
        <v>70.0</v>
      </c>
      <c r="Y52" s="437"/>
      <c r="Z52" s="438"/>
      <c r="AA52" s="450">
        <v>14.0</v>
      </c>
      <c r="AB52" s="409">
        <v>83.0</v>
      </c>
      <c r="AC52" s="395">
        <v>60.0</v>
      </c>
      <c r="AD52" s="439"/>
      <c r="AE52" s="440">
        <v>30.0</v>
      </c>
      <c r="AF52" s="441"/>
      <c r="AG52" s="439">
        <v>74.0</v>
      </c>
      <c r="AH52" s="441"/>
      <c r="AI52" s="441"/>
      <c r="AJ52" s="441"/>
      <c r="AK52" s="442">
        <f t="shared" si="1"/>
        <v>4</v>
      </c>
      <c r="AL52" s="442">
        <f t="shared" si="2"/>
        <v>1</v>
      </c>
      <c r="AM52" s="424">
        <f t="shared" si="3"/>
        <v>3</v>
      </c>
      <c r="AN52" s="442" t="str">
        <f t="shared" si="4"/>
        <v>3</v>
      </c>
      <c r="AO52" s="442">
        <f t="shared" si="5"/>
        <v>3</v>
      </c>
      <c r="AP52" s="367"/>
    </row>
    <row r="53">
      <c r="A53" s="385">
        <v>49.0</v>
      </c>
      <c r="B53" s="446" t="s">
        <v>2343</v>
      </c>
      <c r="C53" s="446" t="s">
        <v>3210</v>
      </c>
      <c r="D53" s="402" t="str">
        <f>VLOOKUP(B53,USN!$1:$1088,2,False)</f>
        <v>1CR23EC048</v>
      </c>
      <c r="E53" s="447">
        <v>7.89200717E9</v>
      </c>
      <c r="F53" s="446" t="s">
        <v>3736</v>
      </c>
      <c r="G53" s="367"/>
      <c r="H53" s="447">
        <v>78.0</v>
      </c>
      <c r="I53" s="448">
        <v>72.0</v>
      </c>
      <c r="J53" s="433">
        <f>VLOOKUP(D53,'L3'!$1:$2060,2,False)</f>
        <v>70</v>
      </c>
      <c r="K53" s="433">
        <f>VLOOKUP(D53,'L4'!$1:$2059,2,False)</f>
        <v>70</v>
      </c>
      <c r="L53" s="434">
        <f>VLOOKUP(D53,'A1 RETEST 5 DEC'!$1:$2096,2,FALSE)</f>
        <v>50</v>
      </c>
      <c r="M53" s="434">
        <f>VLOOKUP(D53,'A2 RETEST 4 DEC'!$1:$2096,2,FALSE)</f>
        <v>50</v>
      </c>
      <c r="N53" s="435">
        <v>50.0</v>
      </c>
      <c r="O53" s="449"/>
      <c r="P53" s="436">
        <f>IFNA(VLOOKUP(D53,'S1'!$1:$1325,2,False),0)</f>
        <v>73</v>
      </c>
      <c r="Q53" s="436">
        <f>vlookup(D53,'S2'!A49:B1251,2,0)</f>
        <v>50</v>
      </c>
      <c r="R53" s="436">
        <f>ifna(vlookup(D53,'S3'!$1:$1311,2,False),0)</f>
        <v>0</v>
      </c>
      <c r="S53" s="436"/>
      <c r="T53" s="437">
        <v>16.0</v>
      </c>
      <c r="U53" s="437">
        <v>18.0</v>
      </c>
      <c r="V53" s="437">
        <v>50.0</v>
      </c>
      <c r="W53" s="437"/>
      <c r="X53" s="437">
        <v>78.0</v>
      </c>
      <c r="Y53" s="437"/>
      <c r="Z53" s="438"/>
      <c r="AA53" s="450">
        <v>82.0</v>
      </c>
      <c r="AB53" s="409">
        <v>83.0</v>
      </c>
      <c r="AC53" s="395">
        <v>100.0</v>
      </c>
      <c r="AD53" s="439"/>
      <c r="AE53" s="440">
        <v>70.0</v>
      </c>
      <c r="AF53" s="441"/>
      <c r="AG53" s="439"/>
      <c r="AH53" s="441"/>
      <c r="AI53" s="441"/>
      <c r="AJ53" s="441"/>
      <c r="AK53" s="442">
        <f t="shared" si="1"/>
        <v>4</v>
      </c>
      <c r="AL53" s="442">
        <f t="shared" si="2"/>
        <v>3</v>
      </c>
      <c r="AM53" s="424">
        <f t="shared" si="3"/>
        <v>2</v>
      </c>
      <c r="AN53" s="442" t="str">
        <f t="shared" si="4"/>
        <v>3.5</v>
      </c>
      <c r="AO53" s="442">
        <f t="shared" si="5"/>
        <v>2</v>
      </c>
      <c r="AP53" s="367"/>
    </row>
    <row r="54">
      <c r="A54" s="385">
        <v>50.0</v>
      </c>
      <c r="B54" s="446" t="s">
        <v>2211</v>
      </c>
      <c r="C54" s="446" t="s">
        <v>3211</v>
      </c>
      <c r="D54" s="402" t="str">
        <f>VLOOKUP(B54,USN!$1:$1088,2,False)</f>
        <v>1CR23EC049</v>
      </c>
      <c r="E54" s="446">
        <v>9.902073343E9</v>
      </c>
      <c r="F54" s="446" t="s">
        <v>3736</v>
      </c>
      <c r="G54" s="367"/>
      <c r="H54" s="447">
        <v>84.0</v>
      </c>
      <c r="I54" s="448">
        <v>83.0</v>
      </c>
      <c r="J54" s="433">
        <f>VLOOKUP(D54,'L3'!$1:$2060,2,False)</f>
        <v>70</v>
      </c>
      <c r="K54" s="433">
        <f>VLOOKUP(D54,'L4'!$1:$2059,2,False)</f>
        <v>70</v>
      </c>
      <c r="L54" s="434">
        <f>VLOOKUP(D54,'A1 RETEST 5 DEC'!$1:$2096,2,FALSE)</f>
        <v>66</v>
      </c>
      <c r="M54" s="434">
        <f>VLOOKUP(D54,'A2 RETEST 4 DEC'!$1:$2096,2,FALSE)</f>
        <v>50</v>
      </c>
      <c r="N54" s="435">
        <v>6.0</v>
      </c>
      <c r="O54" s="449"/>
      <c r="P54" s="436">
        <f>IFNA(VLOOKUP(D54,'S1'!$1:$1325,2,False),0)</f>
        <v>70</v>
      </c>
      <c r="Q54" s="436">
        <f>vlookup(D54,'S2'!A50:B1252,2,0)</f>
        <v>50</v>
      </c>
      <c r="R54" s="436">
        <f>ifna(vlookup(D54,'S3'!$1:$1311,2,False),0)</f>
        <v>82</v>
      </c>
      <c r="S54" s="436"/>
      <c r="T54" s="437">
        <v>10.0</v>
      </c>
      <c r="U54" s="437">
        <v>17.0</v>
      </c>
      <c r="V54" s="437">
        <v>62.0</v>
      </c>
      <c r="W54" s="437">
        <v>86.0</v>
      </c>
      <c r="X54" s="437">
        <v>80.0</v>
      </c>
      <c r="Y54" s="437"/>
      <c r="Z54" s="438"/>
      <c r="AA54" s="450">
        <v>80.0</v>
      </c>
      <c r="AB54" s="409">
        <v>100.0</v>
      </c>
      <c r="AC54" s="395">
        <v>83.0</v>
      </c>
      <c r="AD54" s="439"/>
      <c r="AE54" s="440">
        <v>70.0</v>
      </c>
      <c r="AF54" s="441"/>
      <c r="AG54" s="439"/>
      <c r="AH54" s="441"/>
      <c r="AI54" s="441"/>
      <c r="AJ54" s="441"/>
      <c r="AK54" s="442">
        <f t="shared" si="1"/>
        <v>4</v>
      </c>
      <c r="AL54" s="442">
        <f t="shared" si="2"/>
        <v>2</v>
      </c>
      <c r="AM54" s="424">
        <f t="shared" si="3"/>
        <v>3</v>
      </c>
      <c r="AN54" s="442" t="str">
        <f t="shared" si="4"/>
        <v>3.5</v>
      </c>
      <c r="AO54" s="442">
        <f t="shared" si="5"/>
        <v>3</v>
      </c>
      <c r="AP54" s="367"/>
    </row>
    <row r="55">
      <c r="A55" s="385">
        <v>51.0</v>
      </c>
      <c r="B55" s="446" t="s">
        <v>2194</v>
      </c>
      <c r="C55" s="446" t="s">
        <v>3212</v>
      </c>
      <c r="D55" s="402" t="str">
        <f>VLOOKUP(B55,USN!$1:$1088,2,False)</f>
        <v>1CR23EC050</v>
      </c>
      <c r="E55" s="447">
        <v>9.535173412E9</v>
      </c>
      <c r="F55" s="447" t="s">
        <v>3736</v>
      </c>
      <c r="G55" s="367"/>
      <c r="H55" s="447">
        <v>85.0</v>
      </c>
      <c r="I55" s="448">
        <v>85.0</v>
      </c>
      <c r="J55" s="433">
        <f>VLOOKUP(D55,'L3'!$1:$2060,2,False)</f>
        <v>76</v>
      </c>
      <c r="K55" s="433">
        <f>VLOOKUP(D55,'L4'!$1:$2059,2,False)</f>
        <v>70</v>
      </c>
      <c r="L55" s="434">
        <f>VLOOKUP(D55,'A1 RETEST 5 DEC'!$1:$2096,2,FALSE)</f>
        <v>54</v>
      </c>
      <c r="M55" s="434">
        <f>VLOOKUP(D55,'A2 RETEST 4 DEC'!$1:$2096,2,FALSE)</f>
        <v>19</v>
      </c>
      <c r="N55" s="435">
        <v>50.0</v>
      </c>
      <c r="O55" s="449"/>
      <c r="P55" s="436">
        <f>IFNA(VLOOKUP(D55,'S1'!$1:$1325,2,False),0)</f>
        <v>78</v>
      </c>
      <c r="Q55" s="436">
        <f>vlookup(D55,'S2'!A51:B1253,2,0)</f>
        <v>57</v>
      </c>
      <c r="R55" s="436">
        <f>ifna(vlookup(D55,'S3'!$1:$1311,2,False),0)</f>
        <v>95</v>
      </c>
      <c r="S55" s="436"/>
      <c r="T55" s="437">
        <v>23.0</v>
      </c>
      <c r="U55" s="437">
        <v>16.0</v>
      </c>
      <c r="V55" s="437">
        <v>76.0</v>
      </c>
      <c r="W55" s="437">
        <v>84.0</v>
      </c>
      <c r="X55" s="437">
        <v>70.0</v>
      </c>
      <c r="Y55" s="437"/>
      <c r="Z55" s="438"/>
      <c r="AA55" s="450">
        <v>97.0</v>
      </c>
      <c r="AB55" s="409">
        <v>100.0</v>
      </c>
      <c r="AC55" s="395">
        <v>98.0</v>
      </c>
      <c r="AD55" s="439"/>
      <c r="AE55" s="440">
        <v>53.0</v>
      </c>
      <c r="AF55" s="441"/>
      <c r="AG55" s="439">
        <v>88.0</v>
      </c>
      <c r="AH55" s="441"/>
      <c r="AI55" s="441"/>
      <c r="AJ55" s="441"/>
      <c r="AK55" s="442">
        <f t="shared" si="1"/>
        <v>4</v>
      </c>
      <c r="AL55" s="442">
        <f t="shared" si="2"/>
        <v>1</v>
      </c>
      <c r="AM55" s="424">
        <f t="shared" si="3"/>
        <v>3</v>
      </c>
      <c r="AN55" s="442" t="str">
        <f t="shared" si="4"/>
        <v>3</v>
      </c>
      <c r="AO55" s="442">
        <f t="shared" si="5"/>
        <v>3</v>
      </c>
      <c r="AP55" s="367"/>
    </row>
    <row r="56">
      <c r="A56" s="385">
        <v>52.0</v>
      </c>
      <c r="B56" s="446" t="s">
        <v>2204</v>
      </c>
      <c r="C56" s="446" t="s">
        <v>3213</v>
      </c>
      <c r="D56" s="402" t="str">
        <f>VLOOKUP(B56,USN!$1:$1088,2,False)</f>
        <v>1CR23EC051</v>
      </c>
      <c r="E56" s="447">
        <v>8.971687618E9</v>
      </c>
      <c r="F56" s="447" t="s">
        <v>3736</v>
      </c>
      <c r="G56" s="367"/>
      <c r="H56" s="447">
        <v>82.0</v>
      </c>
      <c r="I56" s="448">
        <v>81.0</v>
      </c>
      <c r="J56" s="433">
        <f>VLOOKUP(D56,'L3'!$1:$2060,2,False)</f>
        <v>62</v>
      </c>
      <c r="K56" s="433">
        <f>VLOOKUP(D56,'L4'!$1:$2059,2,False)</f>
        <v>70</v>
      </c>
      <c r="L56" s="434">
        <f>VLOOKUP(D56,'A1 RETEST 5 DEC'!$1:$2096,2,FALSE)</f>
        <v>48</v>
      </c>
      <c r="M56" s="434">
        <f>VLOOKUP(D56,'A2 RETEST 4 DEC'!$1:$2096,2,FALSE)</f>
        <v>20</v>
      </c>
      <c r="N56" s="435">
        <v>0.0</v>
      </c>
      <c r="O56" s="449"/>
      <c r="P56" s="436">
        <f>IFNA(VLOOKUP(D56,'S1'!$1:$1325,2,False),0)</f>
        <v>50</v>
      </c>
      <c r="Q56" s="436">
        <f>vlookup(D56,'S2'!A52:B1254,2,0)</f>
        <v>50</v>
      </c>
      <c r="R56" s="436">
        <f>ifna(vlookup(D56,'S3'!$1:$1311,2,False),0)</f>
        <v>50</v>
      </c>
      <c r="S56" s="436"/>
      <c r="T56" s="437">
        <v>17.0</v>
      </c>
      <c r="U56" s="437">
        <v>20.0</v>
      </c>
      <c r="V56" s="437">
        <v>54.0</v>
      </c>
      <c r="W56" s="437">
        <v>64.0</v>
      </c>
      <c r="X56" s="437">
        <v>72.0</v>
      </c>
      <c r="Y56" s="437"/>
      <c r="Z56" s="438"/>
      <c r="AA56" s="450">
        <v>100.0</v>
      </c>
      <c r="AB56" s="409">
        <v>100.0</v>
      </c>
      <c r="AC56" s="395">
        <v>93.0</v>
      </c>
      <c r="AD56" s="439"/>
      <c r="AE56" s="440">
        <v>30.0</v>
      </c>
      <c r="AF56" s="441"/>
      <c r="AG56" s="439"/>
      <c r="AH56" s="441"/>
      <c r="AI56" s="441"/>
      <c r="AJ56" s="441"/>
      <c r="AK56" s="442">
        <f t="shared" si="1"/>
        <v>2</v>
      </c>
      <c r="AL56" s="442">
        <f t="shared" si="2"/>
        <v>0</v>
      </c>
      <c r="AM56" s="424">
        <f t="shared" si="3"/>
        <v>3</v>
      </c>
      <c r="AN56" s="442" t="str">
        <f t="shared" si="4"/>
        <v>3</v>
      </c>
      <c r="AO56" s="442">
        <f t="shared" si="5"/>
        <v>3</v>
      </c>
      <c r="AP56" s="367"/>
    </row>
    <row r="57">
      <c r="A57" s="385">
        <v>53.0</v>
      </c>
      <c r="B57" s="446" t="s">
        <v>2270</v>
      </c>
      <c r="C57" s="446" t="s">
        <v>3214</v>
      </c>
      <c r="D57" s="402" t="str">
        <f>VLOOKUP(B57,USN!$1:$1088,2,False)</f>
        <v>1CR23EC052</v>
      </c>
      <c r="E57" s="447">
        <v>9.48220105E9</v>
      </c>
      <c r="F57" s="447" t="s">
        <v>3736</v>
      </c>
      <c r="G57" s="367"/>
      <c r="H57" s="447">
        <v>79.0</v>
      </c>
      <c r="I57" s="448">
        <v>89.0</v>
      </c>
      <c r="J57" s="433">
        <f>VLOOKUP(D57,'L3'!$1:$2060,2,False)</f>
        <v>71</v>
      </c>
      <c r="K57" s="433">
        <f>VLOOKUP(D57,'L4'!$1:$2059,2,False)</f>
        <v>72</v>
      </c>
      <c r="L57" s="434">
        <f>VLOOKUP(D57,'A1 RETEST 5 DEC'!$1:$2096,2,FALSE)</f>
        <v>50</v>
      </c>
      <c r="M57" s="434">
        <f>VLOOKUP(D57,'A2 RETEST 4 DEC'!$1:$2096,2,FALSE)</f>
        <v>50</v>
      </c>
      <c r="N57" s="435">
        <v>50.0</v>
      </c>
      <c r="O57" s="449"/>
      <c r="P57" s="436">
        <f>IFNA(VLOOKUP(D57,'S1'!$1:$1325,2,False),0)</f>
        <v>50</v>
      </c>
      <c r="Q57" s="436">
        <f>vlookup(D57,'S2'!A53:B1255,2,0)</f>
        <v>57</v>
      </c>
      <c r="R57" s="436">
        <f>ifna(vlookup(D57,'S3'!$1:$1311,2,False),0)</f>
        <v>69</v>
      </c>
      <c r="S57" s="436"/>
      <c r="T57" s="437">
        <v>21.0</v>
      </c>
      <c r="U57" s="437">
        <v>20.0</v>
      </c>
      <c r="V57" s="437">
        <v>64.0</v>
      </c>
      <c r="W57" s="437">
        <v>86.0</v>
      </c>
      <c r="X57" s="437">
        <v>70.0</v>
      </c>
      <c r="Y57" s="437"/>
      <c r="Z57" s="438"/>
      <c r="AA57" s="450">
        <v>94.0</v>
      </c>
      <c r="AB57" s="409">
        <v>100.0</v>
      </c>
      <c r="AC57" s="395">
        <v>83.0</v>
      </c>
      <c r="AD57" s="439"/>
      <c r="AE57" s="440">
        <v>40.0</v>
      </c>
      <c r="AF57" s="441"/>
      <c r="AG57" s="439">
        <v>87.0</v>
      </c>
      <c r="AH57" s="441"/>
      <c r="AI57" s="441"/>
      <c r="AJ57" s="441"/>
      <c r="AK57" s="442">
        <f t="shared" si="1"/>
        <v>4</v>
      </c>
      <c r="AL57" s="442">
        <f t="shared" si="2"/>
        <v>3</v>
      </c>
      <c r="AM57" s="424">
        <f t="shared" si="3"/>
        <v>3</v>
      </c>
      <c r="AN57" s="442" t="str">
        <f t="shared" si="4"/>
        <v>3</v>
      </c>
      <c r="AO57" s="442">
        <f t="shared" si="5"/>
        <v>3</v>
      </c>
      <c r="AP57" s="367"/>
    </row>
    <row r="58">
      <c r="A58" s="385">
        <v>54.0</v>
      </c>
      <c r="B58" s="446" t="s">
        <v>2210</v>
      </c>
      <c r="C58" s="446" t="s">
        <v>3215</v>
      </c>
      <c r="D58" s="402" t="str">
        <f>VLOOKUP(B58,USN!$1:$1088,2,False)</f>
        <v>1CR23EC053</v>
      </c>
      <c r="E58" s="446">
        <v>9.919191707E9</v>
      </c>
      <c r="F58" s="446" t="s">
        <v>3736</v>
      </c>
      <c r="G58" s="367"/>
      <c r="H58" s="447">
        <v>91.0</v>
      </c>
      <c r="I58" s="448">
        <v>91.0</v>
      </c>
      <c r="J58" s="433">
        <f>VLOOKUP(D58,'L3'!$1:$2060,2,False)</f>
        <v>87</v>
      </c>
      <c r="K58" s="433">
        <f>VLOOKUP(D58,'L4'!$1:$2059,2,False)</f>
        <v>72</v>
      </c>
      <c r="L58" s="434">
        <f>VLOOKUP(D58,'A1 RETEST 5 DEC'!$1:$2096,2,FALSE)</f>
        <v>70</v>
      </c>
      <c r="M58" s="434">
        <f>VLOOKUP(D58,'A2 RETEST 4 DEC'!$1:$2096,2,FALSE)</f>
        <v>50</v>
      </c>
      <c r="N58" s="435">
        <v>58.0</v>
      </c>
      <c r="O58" s="449"/>
      <c r="P58" s="436">
        <f>IFNA(VLOOKUP(D58,'S1'!$1:$1325,2,False),0)</f>
        <v>70</v>
      </c>
      <c r="Q58" s="436">
        <f>vlookup(D58,'S2'!A54:B1256,2,0)</f>
        <v>50</v>
      </c>
      <c r="R58" s="436">
        <f>ifna(vlookup(D58,'S3'!$1:$1311,2,False),0)</f>
        <v>91</v>
      </c>
      <c r="S58" s="436"/>
      <c r="T58" s="437">
        <v>20.0</v>
      </c>
      <c r="U58" s="437">
        <v>21.0</v>
      </c>
      <c r="V58" s="437">
        <v>42.0</v>
      </c>
      <c r="W58" s="437">
        <v>86.0</v>
      </c>
      <c r="X58" s="437">
        <v>74.0</v>
      </c>
      <c r="Y58" s="437"/>
      <c r="Z58" s="438"/>
      <c r="AA58" s="450">
        <v>68.0</v>
      </c>
      <c r="AB58" s="409">
        <v>100.0</v>
      </c>
      <c r="AC58" s="395">
        <v>83.0</v>
      </c>
      <c r="AD58" s="439"/>
      <c r="AE58" s="440">
        <v>70.0</v>
      </c>
      <c r="AF58" s="441"/>
      <c r="AG58" s="439">
        <v>70.0</v>
      </c>
      <c r="AH58" s="441"/>
      <c r="AI58" s="441"/>
      <c r="AJ58" s="441"/>
      <c r="AK58" s="442">
        <f t="shared" si="1"/>
        <v>4</v>
      </c>
      <c r="AL58" s="442">
        <f t="shared" si="2"/>
        <v>3</v>
      </c>
      <c r="AM58" s="424">
        <f t="shared" si="3"/>
        <v>3</v>
      </c>
      <c r="AN58" s="442" t="str">
        <f t="shared" si="4"/>
        <v>3.5</v>
      </c>
      <c r="AO58" s="442">
        <f t="shared" si="5"/>
        <v>3</v>
      </c>
      <c r="AP58" s="367"/>
    </row>
    <row r="59">
      <c r="A59" s="385">
        <v>55.0</v>
      </c>
      <c r="B59" s="446" t="s">
        <v>2195</v>
      </c>
      <c r="C59" s="446" t="s">
        <v>3217</v>
      </c>
      <c r="D59" s="402" t="str">
        <f>VLOOKUP(B59,USN!$1:$1088,2,False)</f>
        <v>1CR23EC055</v>
      </c>
      <c r="E59" s="447">
        <v>9.902104544E9</v>
      </c>
      <c r="F59" s="447" t="s">
        <v>3736</v>
      </c>
      <c r="G59" s="367"/>
      <c r="H59" s="447">
        <v>76.0</v>
      </c>
      <c r="I59" s="448">
        <v>73.0</v>
      </c>
      <c r="J59" s="433">
        <f>VLOOKUP(D59,'L3'!$1:$2060,2,False)</f>
        <v>67</v>
      </c>
      <c r="K59" s="433">
        <f>VLOOKUP(D59,'L4'!$1:$2059,2,False)</f>
        <v>70</v>
      </c>
      <c r="L59" s="434">
        <f>VLOOKUP(D59,'A1 RETEST 5 DEC'!$1:$2096,2,FALSE)</f>
        <v>31</v>
      </c>
      <c r="M59" s="434">
        <f>VLOOKUP(D59,'A2 RETEST 4 DEC'!$1:$2096,2,FALSE)</f>
        <v>50</v>
      </c>
      <c r="N59" s="435">
        <v>50.0</v>
      </c>
      <c r="O59" s="449"/>
      <c r="P59" s="436">
        <f>IFNA(VLOOKUP(D59,'S1'!$1:$1325,2,False),0)</f>
        <v>0</v>
      </c>
      <c r="Q59" s="436">
        <f>vlookup(D59,'S2'!A55:B1257,2,0)</f>
        <v>57</v>
      </c>
      <c r="R59" s="436">
        <f>ifna(vlookup(D59,'S3'!$1:$1311,2,False),0)</f>
        <v>34</v>
      </c>
      <c r="S59" s="436"/>
      <c r="T59" s="437">
        <v>11.0</v>
      </c>
      <c r="U59" s="437">
        <v>17.0</v>
      </c>
      <c r="V59" s="437">
        <v>42.0</v>
      </c>
      <c r="W59" s="437">
        <v>78.0</v>
      </c>
      <c r="X59" s="437">
        <v>76.0</v>
      </c>
      <c r="Y59" s="437"/>
      <c r="Z59" s="438"/>
      <c r="AA59" s="450">
        <v>0.0</v>
      </c>
      <c r="AB59" s="409">
        <v>77.0</v>
      </c>
      <c r="AC59" s="395">
        <v>0.0</v>
      </c>
      <c r="AD59" s="439"/>
      <c r="AE59" s="440">
        <v>10.0</v>
      </c>
      <c r="AF59" s="441"/>
      <c r="AG59" s="439"/>
      <c r="AH59" s="451">
        <v>85.0</v>
      </c>
      <c r="AI59" s="451"/>
      <c r="AJ59" s="451"/>
      <c r="AK59" s="442">
        <f t="shared" si="1"/>
        <v>2</v>
      </c>
      <c r="AL59" s="442">
        <f t="shared" si="2"/>
        <v>0</v>
      </c>
      <c r="AM59" s="424">
        <f t="shared" si="3"/>
        <v>3</v>
      </c>
      <c r="AN59" s="442" t="str">
        <f t="shared" si="4"/>
        <v>2</v>
      </c>
      <c r="AO59" s="442">
        <f t="shared" si="5"/>
        <v>0</v>
      </c>
      <c r="AP59" s="367"/>
    </row>
    <row r="60">
      <c r="A60" s="385">
        <v>56.0</v>
      </c>
      <c r="B60" s="446" t="s">
        <v>2196</v>
      </c>
      <c r="C60" s="446" t="s">
        <v>3218</v>
      </c>
      <c r="D60" s="402" t="str">
        <f>VLOOKUP(B60,USN!$1:$1088,2,False)</f>
        <v>1CR23EC056</v>
      </c>
      <c r="E60" s="447">
        <v>7.619417199E9</v>
      </c>
      <c r="F60" s="447" t="s">
        <v>3736</v>
      </c>
      <c r="G60" s="367"/>
      <c r="H60" s="447">
        <v>87.0</v>
      </c>
      <c r="I60" s="448">
        <v>88.0</v>
      </c>
      <c r="J60" s="433">
        <f>VLOOKUP(D60,'L3'!$1:$2060,2,False)</f>
        <v>43</v>
      </c>
      <c r="K60" s="433">
        <f>VLOOKUP(D60,'L4'!$1:$2059,2,False)</f>
        <v>14</v>
      </c>
      <c r="L60" s="434">
        <f>VLOOKUP(D60,'A1 RETEST 5 DEC'!$1:$2096,2,FALSE)</f>
        <v>50</v>
      </c>
      <c r="M60" s="434">
        <f>VLOOKUP(D60,'A2 RETEST 4 DEC'!$1:$2096,2,FALSE)</f>
        <v>50</v>
      </c>
      <c r="N60" s="435">
        <v>0.0</v>
      </c>
      <c r="O60" s="449"/>
      <c r="P60" s="436">
        <f>IFNA(VLOOKUP(D60,'S1'!$1:$1325,2,False),0)</f>
        <v>0</v>
      </c>
      <c r="Q60" s="436">
        <f>vlookup(D60,'S2'!A56:B1258,2,0)</f>
        <v>0</v>
      </c>
      <c r="R60" s="436">
        <f>ifna(vlookup(D60,'S3'!$1:$1311,2,False),0)</f>
        <v>0</v>
      </c>
      <c r="S60" s="436"/>
      <c r="T60" s="437">
        <v>21.0</v>
      </c>
      <c r="U60" s="437">
        <v>14.0</v>
      </c>
      <c r="V60" s="437">
        <v>50.0</v>
      </c>
      <c r="W60" s="437">
        <v>76.0</v>
      </c>
      <c r="X60" s="437">
        <v>80.0</v>
      </c>
      <c r="Y60" s="437"/>
      <c r="Z60" s="438"/>
      <c r="AA60" s="450">
        <v>3.0</v>
      </c>
      <c r="AB60" s="409">
        <v>45.0</v>
      </c>
      <c r="AC60" s="395">
        <v>23.0</v>
      </c>
      <c r="AD60" s="439"/>
      <c r="AE60" s="440">
        <v>10.0</v>
      </c>
      <c r="AF60" s="441"/>
      <c r="AG60" s="439"/>
      <c r="AH60" s="451">
        <v>0.0</v>
      </c>
      <c r="AI60" s="451"/>
      <c r="AJ60" s="451"/>
      <c r="AK60" s="442">
        <f t="shared" si="1"/>
        <v>2</v>
      </c>
      <c r="AL60" s="442">
        <f t="shared" si="2"/>
        <v>2</v>
      </c>
      <c r="AM60" s="424">
        <f t="shared" si="3"/>
        <v>3</v>
      </c>
      <c r="AN60" s="442" t="str">
        <f t="shared" si="4"/>
        <v>0</v>
      </c>
      <c r="AO60" s="442">
        <f t="shared" si="5"/>
        <v>0</v>
      </c>
      <c r="AP60" s="367"/>
    </row>
    <row r="61">
      <c r="A61" s="385">
        <v>57.0</v>
      </c>
      <c r="B61" s="446" t="s">
        <v>2197</v>
      </c>
      <c r="C61" s="446" t="s">
        <v>3219</v>
      </c>
      <c r="D61" s="402" t="str">
        <f>VLOOKUP(B61,USN!$1:$1088,2,False)</f>
        <v>1CR23EC057</v>
      </c>
      <c r="E61" s="447">
        <v>8.310506103E9</v>
      </c>
      <c r="F61" s="447" t="s">
        <v>3736</v>
      </c>
      <c r="G61" s="367"/>
      <c r="H61" s="447">
        <v>87.0</v>
      </c>
      <c r="I61" s="448">
        <v>80.0</v>
      </c>
      <c r="J61" s="433">
        <f>VLOOKUP(D61,'L3'!$1:$2060,2,False)</f>
        <v>70</v>
      </c>
      <c r="K61" s="433">
        <f>VLOOKUP(D61,'L4'!$1:$2059,2,False)</f>
        <v>77</v>
      </c>
      <c r="L61" s="434">
        <f>VLOOKUP(D61,'A1 RETEST 5 DEC'!$1:$2096,2,FALSE)</f>
        <v>50</v>
      </c>
      <c r="M61" s="434">
        <f>VLOOKUP(D61,'A2 RETEST 4 DEC'!$1:$2096,2,FALSE)</f>
        <v>6</v>
      </c>
      <c r="N61" s="435">
        <v>15.0</v>
      </c>
      <c r="O61" s="449"/>
      <c r="P61" s="436">
        <f>IFNA(VLOOKUP(D61,'S1'!$1:$1325,2,False),0)</f>
        <v>79</v>
      </c>
      <c r="Q61" s="436">
        <f>vlookup(D61,'S2'!A57:B1259,2,0)</f>
        <v>73</v>
      </c>
      <c r="R61" s="436">
        <f>ifna(vlookup(D61,'S3'!$1:$1311,2,False),0)</f>
        <v>86</v>
      </c>
      <c r="S61" s="436"/>
      <c r="T61" s="437">
        <v>10.0</v>
      </c>
      <c r="U61" s="437">
        <v>21.0</v>
      </c>
      <c r="V61" s="437">
        <v>56.0</v>
      </c>
      <c r="W61" s="437">
        <v>86.0</v>
      </c>
      <c r="X61" s="445"/>
      <c r="Y61" s="437"/>
      <c r="Z61" s="438"/>
      <c r="AA61" s="450">
        <v>50.0</v>
      </c>
      <c r="AB61" s="409">
        <v>81.0</v>
      </c>
      <c r="AC61" s="395">
        <v>70.0</v>
      </c>
      <c r="AD61" s="439"/>
      <c r="AE61" s="440">
        <v>55.0</v>
      </c>
      <c r="AF61" s="441"/>
      <c r="AG61" s="439"/>
      <c r="AH61" s="441"/>
      <c r="AI61" s="441"/>
      <c r="AJ61" s="441"/>
      <c r="AK61" s="442">
        <f t="shared" si="1"/>
        <v>4</v>
      </c>
      <c r="AL61" s="442">
        <f t="shared" si="2"/>
        <v>1</v>
      </c>
      <c r="AM61" s="424">
        <f t="shared" si="3"/>
        <v>3</v>
      </c>
      <c r="AN61" s="442" t="str">
        <f t="shared" si="4"/>
        <v>3</v>
      </c>
      <c r="AO61" s="442">
        <f t="shared" si="5"/>
        <v>3</v>
      </c>
      <c r="AP61" s="367"/>
    </row>
    <row r="62">
      <c r="A62" s="385">
        <v>58.0</v>
      </c>
      <c r="B62" s="446" t="s">
        <v>2277</v>
      </c>
      <c r="C62" s="454" t="s">
        <v>3220</v>
      </c>
      <c r="D62" s="402" t="str">
        <f>VLOOKUP(B62,USN!$1:$1088,2,False)</f>
        <v>1CR23EC058</v>
      </c>
      <c r="E62" s="447">
        <v>7.777800999E9</v>
      </c>
      <c r="F62" s="447" t="s">
        <v>3736</v>
      </c>
      <c r="G62" s="367"/>
      <c r="H62" s="447">
        <v>79.0</v>
      </c>
      <c r="I62" s="448">
        <v>80.0</v>
      </c>
      <c r="J62" s="433">
        <f>VLOOKUP(D62,'L3'!$1:$2060,2,False)</f>
        <v>72</v>
      </c>
      <c r="K62" s="433">
        <f>VLOOKUP(D62,'L4'!$1:$2059,2,False)</f>
        <v>70</v>
      </c>
      <c r="L62" s="434">
        <f>VLOOKUP(D62,'A1 RETEST 5 DEC'!$1:$2096,2,FALSE)</f>
        <v>50</v>
      </c>
      <c r="M62" s="434">
        <f>VLOOKUP(D62,'A2 RETEST 4 DEC'!$1:$2096,2,FALSE)</f>
        <v>7</v>
      </c>
      <c r="N62" s="435">
        <v>50.0</v>
      </c>
      <c r="O62" s="449"/>
      <c r="P62" s="436">
        <f>IFNA(VLOOKUP(D62,'S1'!$1:$1325,2,False),0)</f>
        <v>50</v>
      </c>
      <c r="Q62" s="436">
        <f>vlookup(D62,'S2'!A58:B1260,2,0)</f>
        <v>57</v>
      </c>
      <c r="R62" s="436">
        <f>ifna(vlookup(D62,'S3'!$1:$1311,2,False),0)</f>
        <v>85</v>
      </c>
      <c r="S62" s="436"/>
      <c r="T62" s="437">
        <v>14.0</v>
      </c>
      <c r="U62" s="437">
        <v>20.0</v>
      </c>
      <c r="V62" s="437">
        <v>42.0</v>
      </c>
      <c r="W62" s="437">
        <v>78.0</v>
      </c>
      <c r="X62" s="437">
        <v>68.0</v>
      </c>
      <c r="Y62" s="437"/>
      <c r="Z62" s="438"/>
      <c r="AA62" s="450">
        <v>86.0</v>
      </c>
      <c r="AB62" s="409">
        <v>100.0</v>
      </c>
      <c r="AC62" s="395">
        <v>60.0</v>
      </c>
      <c r="AD62" s="439"/>
      <c r="AE62" s="440">
        <v>60.0</v>
      </c>
      <c r="AF62" s="441"/>
      <c r="AG62" s="439">
        <v>82.0</v>
      </c>
      <c r="AH62" s="441"/>
      <c r="AI62" s="441"/>
      <c r="AJ62" s="441"/>
      <c r="AK62" s="442">
        <f t="shared" si="1"/>
        <v>4</v>
      </c>
      <c r="AL62" s="442">
        <f t="shared" si="2"/>
        <v>1</v>
      </c>
      <c r="AM62" s="424">
        <f t="shared" si="3"/>
        <v>3</v>
      </c>
      <c r="AN62" s="442" t="str">
        <f t="shared" si="4"/>
        <v>3</v>
      </c>
      <c r="AO62" s="442">
        <f t="shared" si="5"/>
        <v>3</v>
      </c>
      <c r="AP62" s="367"/>
    </row>
    <row r="63">
      <c r="A63" s="385">
        <v>59.0</v>
      </c>
      <c r="B63" s="446" t="s">
        <v>2198</v>
      </c>
      <c r="C63" s="446" t="s">
        <v>3221</v>
      </c>
      <c r="D63" s="402" t="str">
        <f>VLOOKUP(B63,USN!$1:$1088,2,False)</f>
        <v>1CR23EC059</v>
      </c>
      <c r="E63" s="447">
        <v>9.741979789E9</v>
      </c>
      <c r="F63" s="447" t="s">
        <v>3736</v>
      </c>
      <c r="G63" s="367"/>
      <c r="H63" s="447">
        <v>82.0</v>
      </c>
      <c r="I63" s="448">
        <v>86.0</v>
      </c>
      <c r="J63" s="433">
        <f>VLOOKUP(D63,'L3'!$1:$2060,2,False)</f>
        <v>70</v>
      </c>
      <c r="K63" s="433">
        <f>VLOOKUP(D63,'L4'!$1:$2059,2,False)</f>
        <v>84</v>
      </c>
      <c r="L63" s="434">
        <f>VLOOKUP(D63,'A1 RETEST 5 DEC'!$1:$2096,2,FALSE)</f>
        <v>61</v>
      </c>
      <c r="M63" s="434">
        <f>VLOOKUP(D63,'A2 RETEST 4 DEC'!$1:$2096,2,FALSE)</f>
        <v>16</v>
      </c>
      <c r="N63" s="435">
        <v>0.0</v>
      </c>
      <c r="O63" s="449"/>
      <c r="P63" s="436">
        <f>IFNA(VLOOKUP(D63,'S1'!$1:$1325,2,False),0)</f>
        <v>50</v>
      </c>
      <c r="Q63" s="436">
        <f>vlookup(D63,'S2'!A59:B1261,2,0)</f>
        <v>50</v>
      </c>
      <c r="R63" s="436">
        <f>ifna(vlookup(D63,'S3'!$1:$1311,2,False),0)</f>
        <v>50</v>
      </c>
      <c r="S63" s="436"/>
      <c r="T63" s="437">
        <v>19.0</v>
      </c>
      <c r="U63" s="437">
        <v>19.0</v>
      </c>
      <c r="V63" s="437">
        <v>52.0</v>
      </c>
      <c r="W63" s="437">
        <v>76.0</v>
      </c>
      <c r="X63" s="437">
        <v>78.0</v>
      </c>
      <c r="Y63" s="437"/>
      <c r="Z63" s="438"/>
      <c r="AA63" s="450">
        <v>94.0</v>
      </c>
      <c r="AB63" s="409">
        <v>73.0</v>
      </c>
      <c r="AC63" s="395">
        <v>97.0</v>
      </c>
      <c r="AD63" s="439"/>
      <c r="AE63" s="440">
        <v>75.0</v>
      </c>
      <c r="AF63" s="441"/>
      <c r="AG63" s="439"/>
      <c r="AH63" s="441"/>
      <c r="AI63" s="441"/>
      <c r="AJ63" s="441"/>
      <c r="AK63" s="442">
        <f t="shared" si="1"/>
        <v>4</v>
      </c>
      <c r="AL63" s="442">
        <f t="shared" si="2"/>
        <v>1</v>
      </c>
      <c r="AM63" s="424">
        <f t="shared" si="3"/>
        <v>3</v>
      </c>
      <c r="AN63" s="442" t="str">
        <f t="shared" si="4"/>
        <v>3.5</v>
      </c>
      <c r="AO63" s="442">
        <f t="shared" si="5"/>
        <v>3</v>
      </c>
      <c r="AP63" s="367"/>
    </row>
    <row r="64">
      <c r="A64" s="385">
        <v>60.0</v>
      </c>
      <c r="B64" s="446" t="s">
        <v>2279</v>
      </c>
      <c r="C64" s="446" t="s">
        <v>3222</v>
      </c>
      <c r="D64" s="402" t="str">
        <f>VLOOKUP(B64,USN!$1:$1088,2,False)</f>
        <v>1CR23EC060</v>
      </c>
      <c r="E64" s="447">
        <v>9.113569438E9</v>
      </c>
      <c r="F64" s="447" t="s">
        <v>3736</v>
      </c>
      <c r="G64" s="367"/>
      <c r="H64" s="447">
        <v>79.0</v>
      </c>
      <c r="I64" s="448">
        <v>81.0</v>
      </c>
      <c r="J64" s="433">
        <f>VLOOKUP(D64,'L3'!$1:$2060,2,False)</f>
        <v>70</v>
      </c>
      <c r="K64" s="433">
        <f>VLOOKUP(D64,'L4'!$1:$2059,2,False)</f>
        <v>70</v>
      </c>
      <c r="L64" s="434">
        <f>VLOOKUP(D64,'A1 RETEST 5 DEC'!$1:$2096,2,FALSE)</f>
        <v>50</v>
      </c>
      <c r="M64" s="434">
        <f>VLOOKUP(D64,'A2 RETEST 4 DEC'!$1:$2096,2,FALSE)</f>
        <v>50</v>
      </c>
      <c r="N64" s="435">
        <v>18.0</v>
      </c>
      <c r="O64" s="449"/>
      <c r="P64" s="436">
        <f>IFNA(VLOOKUP(D64,'S1'!$1:$1325,2,False),0)</f>
        <v>73</v>
      </c>
      <c r="Q64" s="436">
        <f>vlookup(D64,'S2'!A60:B1262,2,0)</f>
        <v>58</v>
      </c>
      <c r="R64" s="436">
        <f>ifna(vlookup(D64,'S3'!$1:$1311,2,False),0)</f>
        <v>0</v>
      </c>
      <c r="S64" s="436"/>
      <c r="T64" s="437">
        <v>11.0</v>
      </c>
      <c r="U64" s="437">
        <v>19.0</v>
      </c>
      <c r="V64" s="437">
        <v>64.0</v>
      </c>
      <c r="W64" s="437">
        <v>80.0</v>
      </c>
      <c r="X64" s="437">
        <v>74.0</v>
      </c>
      <c r="Y64" s="437"/>
      <c r="Z64" s="438"/>
      <c r="AA64" s="450">
        <v>66.0</v>
      </c>
      <c r="AB64" s="409">
        <v>57.0</v>
      </c>
      <c r="AC64" s="395">
        <v>100.0</v>
      </c>
      <c r="AD64" s="439"/>
      <c r="AE64" s="440">
        <v>10.0</v>
      </c>
      <c r="AF64" s="441"/>
      <c r="AG64" s="439"/>
      <c r="AH64" s="441"/>
      <c r="AI64" s="441"/>
      <c r="AJ64" s="441"/>
      <c r="AK64" s="442">
        <f t="shared" si="1"/>
        <v>4</v>
      </c>
      <c r="AL64" s="442">
        <f t="shared" si="2"/>
        <v>2</v>
      </c>
      <c r="AM64" s="424">
        <f t="shared" si="3"/>
        <v>3</v>
      </c>
      <c r="AN64" s="442" t="str">
        <f t="shared" si="4"/>
        <v>3</v>
      </c>
      <c r="AO64" s="442">
        <f t="shared" si="5"/>
        <v>2</v>
      </c>
      <c r="AP64" s="367"/>
    </row>
    <row r="65">
      <c r="A65" s="385">
        <v>61.0</v>
      </c>
      <c r="B65" s="446" t="s">
        <v>2205</v>
      </c>
      <c r="C65" s="446" t="s">
        <v>3223</v>
      </c>
      <c r="D65" s="402" t="str">
        <f>VLOOKUP(B65,USN!$1:$1088,2,False)</f>
        <v>1CR23EC061</v>
      </c>
      <c r="E65" s="447">
        <v>7.975834034E9</v>
      </c>
      <c r="F65" s="447" t="s">
        <v>3736</v>
      </c>
      <c r="G65" s="367"/>
      <c r="H65" s="447">
        <v>76.0</v>
      </c>
      <c r="I65" s="448">
        <v>76.0</v>
      </c>
      <c r="J65" s="433">
        <f>VLOOKUP(D65,'L3'!$1:$2060,2,False)</f>
        <v>70</v>
      </c>
      <c r="K65" s="433">
        <f>VLOOKUP(D65,'L4'!$1:$2059,2,False)</f>
        <v>75</v>
      </c>
      <c r="L65" s="434">
        <f>VLOOKUP(D65,'A1 RETEST 5 DEC'!$1:$2096,2,FALSE)</f>
        <v>50</v>
      </c>
      <c r="M65" s="434">
        <f>VLOOKUP(D65,'A2 RETEST 4 DEC'!$1:$2096,2,FALSE)</f>
        <v>50</v>
      </c>
      <c r="N65" s="435">
        <v>22.0</v>
      </c>
      <c r="O65" s="449"/>
      <c r="P65" s="436">
        <f>IFNA(VLOOKUP(D65,'S1'!$1:$1325,2,False),0)</f>
        <v>79</v>
      </c>
      <c r="Q65" s="436">
        <f>vlookup(D65,'S2'!A61:B1263,2,0)</f>
        <v>60</v>
      </c>
      <c r="R65" s="436">
        <f>ifna(vlookup(D65,'S3'!$1:$1311,2,False),0)</f>
        <v>85</v>
      </c>
      <c r="S65" s="436"/>
      <c r="T65" s="437">
        <v>20.0</v>
      </c>
      <c r="U65" s="437">
        <v>18.0</v>
      </c>
      <c r="V65" s="437">
        <v>72.0</v>
      </c>
      <c r="W65" s="437">
        <v>80.0</v>
      </c>
      <c r="X65" s="437">
        <v>78.0</v>
      </c>
      <c r="Y65" s="437"/>
      <c r="Z65" s="438"/>
      <c r="AA65" s="450">
        <v>68.0</v>
      </c>
      <c r="AB65" s="409">
        <v>80.0</v>
      </c>
      <c r="AC65" s="395">
        <v>70.0</v>
      </c>
      <c r="AD65" s="439"/>
      <c r="AE65" s="440">
        <v>70.0</v>
      </c>
      <c r="AF65" s="441"/>
      <c r="AG65" s="439"/>
      <c r="AH65" s="451">
        <v>83.0</v>
      </c>
      <c r="AI65" s="451"/>
      <c r="AJ65" s="451"/>
      <c r="AK65" s="442">
        <f t="shared" si="1"/>
        <v>4</v>
      </c>
      <c r="AL65" s="442">
        <f t="shared" si="2"/>
        <v>2</v>
      </c>
      <c r="AM65" s="424">
        <f t="shared" si="3"/>
        <v>3</v>
      </c>
      <c r="AN65" s="442" t="str">
        <f t="shared" si="4"/>
        <v>3.5</v>
      </c>
      <c r="AO65" s="442">
        <f t="shared" si="5"/>
        <v>3</v>
      </c>
      <c r="AP65" s="367"/>
    </row>
    <row r="66">
      <c r="A66" s="385">
        <v>62.0</v>
      </c>
      <c r="B66" s="446" t="s">
        <v>2199</v>
      </c>
      <c r="C66" s="446" t="s">
        <v>3224</v>
      </c>
      <c r="D66" s="402" t="str">
        <f>VLOOKUP(B66,USN!$1:$1088,2,False)</f>
        <v>1CR23EC062</v>
      </c>
      <c r="E66" s="447">
        <v>6.306488527E9</v>
      </c>
      <c r="F66" s="447" t="s">
        <v>3736</v>
      </c>
      <c r="G66" s="367"/>
      <c r="H66" s="447">
        <v>85.0</v>
      </c>
      <c r="I66" s="448">
        <v>79.0</v>
      </c>
      <c r="J66" s="433">
        <f>VLOOKUP(D66,'L3'!$1:$2060,2,False)</f>
        <v>70</v>
      </c>
      <c r="K66" s="433">
        <f>VLOOKUP(D66,'L4'!$1:$2059,2,False)</f>
        <v>70</v>
      </c>
      <c r="L66" s="434">
        <f>VLOOKUP(D66,'A1 RETEST 5 DEC'!$1:$2096,2,FALSE)</f>
        <v>50</v>
      </c>
      <c r="M66" s="434">
        <f>VLOOKUP(D66,'A2 RETEST 4 DEC'!$1:$2096,2,FALSE)</f>
        <v>0</v>
      </c>
      <c r="N66" s="435">
        <v>25.0</v>
      </c>
      <c r="O66" s="449"/>
      <c r="P66" s="436">
        <f>IFNA(VLOOKUP(D66,'S1'!$1:$1325,2,False),0)</f>
        <v>0</v>
      </c>
      <c r="Q66" s="436">
        <f>vlookup(D66,'S2'!A62:B1264,2,0)</f>
        <v>50</v>
      </c>
      <c r="R66" s="436">
        <f>ifna(vlookup(D66,'S3'!$1:$1311,2,False),0)</f>
        <v>92</v>
      </c>
      <c r="S66" s="436"/>
      <c r="T66" s="437">
        <v>12.0</v>
      </c>
      <c r="U66" s="437">
        <v>16.0</v>
      </c>
      <c r="V66" s="437">
        <v>44.0</v>
      </c>
      <c r="W66" s="437">
        <v>74.0</v>
      </c>
      <c r="X66" s="437">
        <v>54.0</v>
      </c>
      <c r="Y66" s="437"/>
      <c r="Z66" s="438"/>
      <c r="AA66" s="450">
        <v>51.0</v>
      </c>
      <c r="AB66" s="409">
        <v>88.0</v>
      </c>
      <c r="AC66" s="395">
        <v>70.0</v>
      </c>
      <c r="AD66" s="439"/>
      <c r="AE66" s="440">
        <v>26.0</v>
      </c>
      <c r="AF66" s="441"/>
      <c r="AG66" s="439"/>
      <c r="AH66" s="441"/>
      <c r="AI66" s="441"/>
      <c r="AJ66" s="441"/>
      <c r="AK66" s="442">
        <f t="shared" si="1"/>
        <v>4</v>
      </c>
      <c r="AL66" s="442">
        <f t="shared" si="2"/>
        <v>1</v>
      </c>
      <c r="AM66" s="424">
        <f t="shared" si="3"/>
        <v>3</v>
      </c>
      <c r="AN66" s="442" t="str">
        <f t="shared" si="4"/>
        <v>3</v>
      </c>
      <c r="AO66" s="442">
        <f t="shared" si="5"/>
        <v>0</v>
      </c>
      <c r="AP66" s="367"/>
    </row>
    <row r="67">
      <c r="A67" s="385">
        <v>63.0</v>
      </c>
      <c r="B67" s="446" t="s">
        <v>2226</v>
      </c>
      <c r="C67" s="446" t="s">
        <v>3225</v>
      </c>
      <c r="D67" s="402" t="str">
        <f>VLOOKUP(B67,USN!$1:$1088,2,False)</f>
        <v>1CR23EC063</v>
      </c>
      <c r="E67" s="447">
        <v>9.866426289E9</v>
      </c>
      <c r="F67" s="447" t="s">
        <v>3736</v>
      </c>
      <c r="G67" s="367"/>
      <c r="H67" s="447">
        <v>77.0</v>
      </c>
      <c r="I67" s="448">
        <v>68.0</v>
      </c>
      <c r="J67" s="433">
        <f>VLOOKUP(D67,'L3'!$1:$2060,2,False)</f>
        <v>45</v>
      </c>
      <c r="K67" s="433">
        <f>VLOOKUP(D67,'L4'!$1:$2059,2,False)</f>
        <v>14</v>
      </c>
      <c r="L67" s="434">
        <f>VLOOKUP(D67,'A1 RETEST 5 DEC'!$1:$2096,2,FALSE)</f>
        <v>31</v>
      </c>
      <c r="M67" s="434">
        <f>VLOOKUP(D67,'A2 RETEST 4 DEC'!$1:$2096,2,FALSE)</f>
        <v>18</v>
      </c>
      <c r="N67" s="435">
        <v>4.0</v>
      </c>
      <c r="O67" s="449"/>
      <c r="P67" s="436">
        <f>IFNA(VLOOKUP(D67,'S1'!$1:$1325,2,False),0)</f>
        <v>0</v>
      </c>
      <c r="Q67" s="436">
        <f>vlookup(D67,'S2'!A63:B1265,2,0)</f>
        <v>0</v>
      </c>
      <c r="R67" s="436">
        <f>ifna(vlookup(D67,'S3'!$1:$1311,2,False),0)</f>
        <v>0</v>
      </c>
      <c r="S67" s="436"/>
      <c r="T67" s="437">
        <v>10.0</v>
      </c>
      <c r="U67" s="437">
        <v>14.0</v>
      </c>
      <c r="V67" s="437">
        <v>32.0</v>
      </c>
      <c r="W67" s="437">
        <v>60.0</v>
      </c>
      <c r="X67" s="437">
        <v>72.0</v>
      </c>
      <c r="Y67" s="437"/>
      <c r="Z67" s="438"/>
      <c r="AA67" s="450">
        <v>0.0</v>
      </c>
      <c r="AB67" s="409">
        <v>37.5</v>
      </c>
      <c r="AC67" s="395">
        <v>0.0</v>
      </c>
      <c r="AD67" s="439"/>
      <c r="AE67" s="440">
        <v>10.0</v>
      </c>
      <c r="AF67" s="441"/>
      <c r="AG67" s="439"/>
      <c r="AH67" s="441"/>
      <c r="AI67" s="441"/>
      <c r="AJ67" s="441"/>
      <c r="AK67" s="442">
        <f t="shared" si="1"/>
        <v>2</v>
      </c>
      <c r="AL67" s="442">
        <f t="shared" si="2"/>
        <v>0</v>
      </c>
      <c r="AM67" s="424">
        <f t="shared" si="3"/>
        <v>3</v>
      </c>
      <c r="AN67" s="442" t="str">
        <f t="shared" si="4"/>
        <v>0</v>
      </c>
      <c r="AO67" s="442">
        <f t="shared" si="5"/>
        <v>0</v>
      </c>
      <c r="AP67" s="367"/>
    </row>
    <row r="68">
      <c r="A68" s="385">
        <v>64.0</v>
      </c>
      <c r="B68" s="446" t="s">
        <v>2206</v>
      </c>
      <c r="C68" s="446" t="s">
        <v>3226</v>
      </c>
      <c r="D68" s="402" t="str">
        <f>VLOOKUP(B68,USN!$1:$1088,2,False)</f>
        <v>1CR23EC064</v>
      </c>
      <c r="E68" s="447">
        <v>9.074858983E9</v>
      </c>
      <c r="F68" s="447" t="s">
        <v>3736</v>
      </c>
      <c r="G68" s="367"/>
      <c r="H68" s="447">
        <v>88.0</v>
      </c>
      <c r="I68" s="448">
        <v>83.0</v>
      </c>
      <c r="J68" s="433">
        <f>VLOOKUP(D68,'L3'!$1:$2060,2,False)</f>
        <v>70</v>
      </c>
      <c r="K68" s="433">
        <f>VLOOKUP(D68,'L4'!$1:$2059,2,False)</f>
        <v>70</v>
      </c>
      <c r="L68" s="434">
        <f>VLOOKUP(D68,'A1 RETEST 5 DEC'!$1:$2096,2,FALSE)</f>
        <v>53</v>
      </c>
      <c r="M68" s="434">
        <v>50.0</v>
      </c>
      <c r="N68" s="435">
        <v>50.0</v>
      </c>
      <c r="O68" s="449"/>
      <c r="P68" s="436">
        <f>IFNA(VLOOKUP(D68,'S1'!$1:$1325,2,False),0)</f>
        <v>79</v>
      </c>
      <c r="Q68" s="436">
        <f>vlookup(D68,'S2'!A64:B1266,2,0)</f>
        <v>73</v>
      </c>
      <c r="R68" s="436">
        <f>ifna(vlookup(D68,'S3'!$1:$1311,2,False),0)</f>
        <v>69</v>
      </c>
      <c r="S68" s="436"/>
      <c r="T68" s="437">
        <v>10.0</v>
      </c>
      <c r="U68" s="437">
        <v>16.0</v>
      </c>
      <c r="V68" s="437">
        <v>72.0</v>
      </c>
      <c r="W68" s="437">
        <v>88.0</v>
      </c>
      <c r="X68" s="437">
        <v>74.0</v>
      </c>
      <c r="Y68" s="437"/>
      <c r="Z68" s="438"/>
      <c r="AA68" s="450">
        <v>62.0</v>
      </c>
      <c r="AB68" s="409">
        <v>100.0</v>
      </c>
      <c r="AC68" s="395">
        <v>70.0</v>
      </c>
      <c r="AD68" s="439"/>
      <c r="AE68" s="440">
        <v>70.0</v>
      </c>
      <c r="AF68" s="441"/>
      <c r="AG68" s="439">
        <v>82.0</v>
      </c>
      <c r="AH68" s="441"/>
      <c r="AI68" s="441"/>
      <c r="AJ68" s="441"/>
      <c r="AK68" s="442">
        <f t="shared" si="1"/>
        <v>4</v>
      </c>
      <c r="AL68" s="442">
        <f t="shared" si="2"/>
        <v>3</v>
      </c>
      <c r="AM68" s="424">
        <f t="shared" si="3"/>
        <v>3</v>
      </c>
      <c r="AN68" s="442" t="str">
        <f t="shared" si="4"/>
        <v>3.5</v>
      </c>
      <c r="AO68" s="442">
        <f t="shared" si="5"/>
        <v>3</v>
      </c>
      <c r="AP68" s="367"/>
    </row>
    <row r="69">
      <c r="A69" s="385">
        <v>65.0</v>
      </c>
      <c r="B69" s="446" t="s">
        <v>2227</v>
      </c>
      <c r="C69" s="446" t="s">
        <v>3227</v>
      </c>
      <c r="D69" s="402" t="str">
        <f>VLOOKUP(B69,USN!$1:$1088,2,False)</f>
        <v>1CR23EC065</v>
      </c>
      <c r="E69" s="447">
        <v>6.302553476E9</v>
      </c>
      <c r="F69" s="447" t="s">
        <v>3736</v>
      </c>
      <c r="G69" s="367"/>
      <c r="H69" s="447">
        <v>75.0</v>
      </c>
      <c r="I69" s="433">
        <v>70.0</v>
      </c>
      <c r="J69" s="433">
        <f>VLOOKUP(D69,'L3'!$1:$2060,2,False)</f>
        <v>70</v>
      </c>
      <c r="K69" s="433">
        <f>VLOOKUP(D69,'L4'!$1:$2059,2,False)</f>
        <v>70</v>
      </c>
      <c r="L69" s="434">
        <f>VLOOKUP(D69,'A1 RETEST 5 DEC'!$1:$2096,2,FALSE)</f>
        <v>18</v>
      </c>
      <c r="M69" s="434">
        <f>VLOOKUP(D69,'A2 RETEST 4 DEC'!$1:$2096,2,FALSE)</f>
        <v>10</v>
      </c>
      <c r="N69" s="435">
        <v>5.0</v>
      </c>
      <c r="O69" s="449"/>
      <c r="P69" s="436">
        <f>IFNA(VLOOKUP(D69,'S1'!$1:$1325,2,False),0)</f>
        <v>0</v>
      </c>
      <c r="Q69" s="436">
        <f>vlookup(D69,'S2'!A65:B1267,2,0)</f>
        <v>65</v>
      </c>
      <c r="R69" s="436">
        <f>ifna(vlookup(D69,'S3'!$1:$1311,2,False),0)</f>
        <v>0</v>
      </c>
      <c r="S69" s="436"/>
      <c r="T69" s="437">
        <v>14.0</v>
      </c>
      <c r="U69" s="437">
        <v>18.0</v>
      </c>
      <c r="V69" s="437">
        <v>40.0</v>
      </c>
      <c r="W69" s="437">
        <v>84.0</v>
      </c>
      <c r="X69" s="453"/>
      <c r="Y69" s="437"/>
      <c r="Z69" s="438"/>
      <c r="AA69" s="450">
        <v>0.0</v>
      </c>
      <c r="AB69" s="409">
        <v>46.25</v>
      </c>
      <c r="AC69" s="395">
        <v>65.0</v>
      </c>
      <c r="AD69" s="439"/>
      <c r="AE69" s="440">
        <v>10.0</v>
      </c>
      <c r="AF69" s="441"/>
      <c r="AG69" s="439"/>
      <c r="AH69" s="451">
        <v>12.0</v>
      </c>
      <c r="AI69" s="451"/>
      <c r="AJ69" s="451"/>
      <c r="AK69" s="442">
        <f t="shared" si="1"/>
        <v>4</v>
      </c>
      <c r="AL69" s="442">
        <f t="shared" si="2"/>
        <v>0</v>
      </c>
      <c r="AM69" s="424">
        <f t="shared" si="3"/>
        <v>3</v>
      </c>
      <c r="AN69" s="442" t="str">
        <f t="shared" si="4"/>
        <v>0</v>
      </c>
      <c r="AO69" s="442">
        <f t="shared" si="5"/>
        <v>0</v>
      </c>
      <c r="AP69" s="367"/>
    </row>
    <row r="70">
      <c r="A70" s="385">
        <v>66.0</v>
      </c>
      <c r="B70" s="446" t="s">
        <v>2228</v>
      </c>
      <c r="C70" s="446" t="s">
        <v>3228</v>
      </c>
      <c r="D70" s="402" t="str">
        <f>VLOOKUP(B70,USN!$1:$1088,2,False)</f>
        <v>1CR23EC066</v>
      </c>
      <c r="E70" s="447">
        <v>9.15362401E9</v>
      </c>
      <c r="F70" s="447" t="s">
        <v>3736</v>
      </c>
      <c r="G70" s="367"/>
      <c r="H70" s="447">
        <v>82.0</v>
      </c>
      <c r="I70" s="448">
        <v>85.0</v>
      </c>
      <c r="J70" s="433">
        <f>VLOOKUP(D70,'L3'!$1:$2060,2,False)</f>
        <v>85</v>
      </c>
      <c r="K70" s="433">
        <f>VLOOKUP(D70,'L4'!$1:$2059,2,False)</f>
        <v>70</v>
      </c>
      <c r="L70" s="434">
        <f>VLOOKUP(D70,'A1 RETEST 5 DEC'!$1:$2096,2,FALSE)</f>
        <v>50</v>
      </c>
      <c r="M70" s="434">
        <f>VLOOKUP(D70,'A2 RETEST 4 DEC'!$1:$2096,2,FALSE)</f>
        <v>50</v>
      </c>
      <c r="N70" s="435">
        <v>50.0</v>
      </c>
      <c r="O70" s="449"/>
      <c r="P70" s="436">
        <f>IFNA(VLOOKUP(D70,'S1'!$1:$1325,2,False),0)</f>
        <v>50</v>
      </c>
      <c r="Q70" s="436">
        <f>vlookup(D70,'S2'!A66:B1268,2,0)</f>
        <v>66</v>
      </c>
      <c r="R70" s="436">
        <f>ifna(vlookup(D70,'S3'!$1:$1311,2,False),0)</f>
        <v>77</v>
      </c>
      <c r="S70" s="436"/>
      <c r="T70" s="437">
        <v>13.0</v>
      </c>
      <c r="U70" s="437">
        <v>19.0</v>
      </c>
      <c r="V70" s="437">
        <v>38.0</v>
      </c>
      <c r="W70" s="437">
        <v>84.0</v>
      </c>
      <c r="X70" s="445"/>
      <c r="Y70" s="437"/>
      <c r="Z70" s="438"/>
      <c r="AA70" s="450">
        <v>100.0</v>
      </c>
      <c r="AB70" s="409">
        <v>76.25</v>
      </c>
      <c r="AC70" s="395">
        <v>70.0</v>
      </c>
      <c r="AD70" s="439"/>
      <c r="AE70" s="440">
        <v>45.0</v>
      </c>
      <c r="AF70" s="441"/>
      <c r="AG70" s="439">
        <v>77.0</v>
      </c>
      <c r="AH70" s="441"/>
      <c r="AI70" s="441"/>
      <c r="AJ70" s="441"/>
      <c r="AK70" s="442">
        <f t="shared" si="1"/>
        <v>4</v>
      </c>
      <c r="AL70" s="442">
        <f t="shared" si="2"/>
        <v>3</v>
      </c>
      <c r="AM70" s="424">
        <f t="shared" si="3"/>
        <v>3</v>
      </c>
      <c r="AN70" s="442" t="str">
        <f t="shared" si="4"/>
        <v>3</v>
      </c>
      <c r="AO70" s="442">
        <f t="shared" si="5"/>
        <v>3</v>
      </c>
      <c r="AP70" s="367"/>
    </row>
    <row r="71">
      <c r="A71" s="385">
        <v>67.0</v>
      </c>
      <c r="B71" s="446" t="s">
        <v>2208</v>
      </c>
      <c r="C71" s="446" t="s">
        <v>3229</v>
      </c>
      <c r="D71" s="402" t="str">
        <f>VLOOKUP(B71,USN!$1:$1088,2,False)</f>
        <v>1CR23EC067</v>
      </c>
      <c r="E71" s="446">
        <v>9.392730656E9</v>
      </c>
      <c r="F71" s="446" t="s">
        <v>3736</v>
      </c>
      <c r="G71" s="367"/>
      <c r="H71" s="447">
        <v>70.0</v>
      </c>
      <c r="I71" s="448">
        <v>73.0</v>
      </c>
      <c r="J71" s="433">
        <f>VLOOKUP(D71,'L3'!$1:$2060,2,False)</f>
        <v>75</v>
      </c>
      <c r="K71" s="433">
        <f>VLOOKUP(D71,'L4'!$1:$2059,2,False)</f>
        <v>81</v>
      </c>
      <c r="L71" s="434">
        <f>VLOOKUP(D71,'A1 RETEST 5 DEC'!$1:$2096,2,FALSE)</f>
        <v>81</v>
      </c>
      <c r="M71" s="434">
        <f>VLOOKUP(D71,'A2 RETEST 4 DEC'!$1:$2096,2,FALSE)</f>
        <v>50</v>
      </c>
      <c r="N71" s="435">
        <v>56.0</v>
      </c>
      <c r="O71" s="449"/>
      <c r="P71" s="436">
        <f>IFNA(VLOOKUP(D71,'S1'!$1:$1325,2,False),0)</f>
        <v>95</v>
      </c>
      <c r="Q71" s="436">
        <f>vlookup(D71,'S2'!A67:B1269,2,0)</f>
        <v>65</v>
      </c>
      <c r="R71" s="436">
        <f>ifna(vlookup(D71,'S3'!$1:$1311,2,False),0)</f>
        <v>88</v>
      </c>
      <c r="S71" s="436"/>
      <c r="T71" s="437">
        <v>10.0</v>
      </c>
      <c r="U71" s="437">
        <v>18.0</v>
      </c>
      <c r="V71" s="437">
        <v>60.0</v>
      </c>
      <c r="W71" s="437">
        <v>86.0</v>
      </c>
      <c r="X71" s="437">
        <v>74.0</v>
      </c>
      <c r="Y71" s="437"/>
      <c r="Z71" s="438"/>
      <c r="AA71" s="450">
        <v>94.0</v>
      </c>
      <c r="AB71" s="409">
        <v>73.0</v>
      </c>
      <c r="AC71" s="395">
        <v>86.0</v>
      </c>
      <c r="AD71" s="439"/>
      <c r="AE71" s="440">
        <v>75.0</v>
      </c>
      <c r="AF71" s="441"/>
      <c r="AG71" s="439"/>
      <c r="AH71" s="451">
        <v>80.0</v>
      </c>
      <c r="AI71" s="441"/>
      <c r="AJ71" s="441"/>
      <c r="AK71" s="442">
        <f t="shared" si="1"/>
        <v>4</v>
      </c>
      <c r="AL71" s="442">
        <f t="shared" si="2"/>
        <v>3</v>
      </c>
      <c r="AM71" s="424">
        <f t="shared" si="3"/>
        <v>3</v>
      </c>
      <c r="AN71" s="442" t="str">
        <f t="shared" si="4"/>
        <v>3.5</v>
      </c>
      <c r="AO71" s="442">
        <f t="shared" si="5"/>
        <v>3</v>
      </c>
      <c r="AP71" s="367"/>
    </row>
    <row r="72">
      <c r="A72" s="385">
        <v>68.0</v>
      </c>
      <c r="B72" s="446" t="s">
        <v>2215</v>
      </c>
      <c r="C72" s="446" t="s">
        <v>3230</v>
      </c>
      <c r="D72" s="402" t="str">
        <f>VLOOKUP(B72,USN!$1:$1088,2,False)</f>
        <v>1CR23EC068</v>
      </c>
      <c r="E72" s="446">
        <v>8.91910447E9</v>
      </c>
      <c r="F72" s="446" t="s">
        <v>3736</v>
      </c>
      <c r="G72" s="367"/>
      <c r="H72" s="447">
        <v>73.0</v>
      </c>
      <c r="I72" s="448">
        <v>72.0</v>
      </c>
      <c r="J72" s="433">
        <f>VLOOKUP(D72,'L3'!$1:$2060,2,False)</f>
        <v>26</v>
      </c>
      <c r="K72" s="433">
        <f>VLOOKUP(D72,'L4'!$1:$2059,2,False)</f>
        <v>70</v>
      </c>
      <c r="L72" s="434">
        <f>VLOOKUP(D72,'A1 RETEST 5 DEC'!$1:$2096,2,FALSE)</f>
        <v>51</v>
      </c>
      <c r="M72" s="434">
        <f>VLOOKUP(D72,'A2 RETEST 4 DEC'!$1:$2096,2,FALSE)</f>
        <v>50</v>
      </c>
      <c r="N72" s="435">
        <v>4.0</v>
      </c>
      <c r="O72" s="449"/>
      <c r="P72" s="436">
        <f>IFNA(VLOOKUP(D72,'S1'!$1:$1325,2,False),0)</f>
        <v>76</v>
      </c>
      <c r="Q72" s="436">
        <f>vlookup(D72,'S2'!A68:B1270,2,0)</f>
        <v>0</v>
      </c>
      <c r="R72" s="436">
        <f>ifna(vlookup(D72,'S3'!$1:$1311,2,False),0)</f>
        <v>0</v>
      </c>
      <c r="S72" s="436"/>
      <c r="T72" s="437">
        <v>10.0</v>
      </c>
      <c r="U72" s="437">
        <v>18.0</v>
      </c>
      <c r="V72" s="437">
        <v>50.0</v>
      </c>
      <c r="W72" s="437">
        <v>80.0</v>
      </c>
      <c r="X72" s="437">
        <v>60.0</v>
      </c>
      <c r="Y72" s="437"/>
      <c r="Z72" s="438"/>
      <c r="AA72" s="450">
        <v>50.0</v>
      </c>
      <c r="AB72" s="409">
        <v>72.0</v>
      </c>
      <c r="AC72" s="395">
        <v>0.0</v>
      </c>
      <c r="AD72" s="439"/>
      <c r="AE72" s="440">
        <v>10.0</v>
      </c>
      <c r="AF72" s="441"/>
      <c r="AG72" s="439"/>
      <c r="AH72" s="451">
        <v>0.0</v>
      </c>
      <c r="AI72" s="441"/>
      <c r="AJ72" s="441"/>
      <c r="AK72" s="442">
        <f t="shared" si="1"/>
        <v>2</v>
      </c>
      <c r="AL72" s="442">
        <f t="shared" si="2"/>
        <v>2</v>
      </c>
      <c r="AM72" s="424">
        <f t="shared" si="3"/>
        <v>3</v>
      </c>
      <c r="AN72" s="442" t="str">
        <f t="shared" si="4"/>
        <v>2</v>
      </c>
      <c r="AO72" s="442">
        <f t="shared" si="5"/>
        <v>1</v>
      </c>
      <c r="AP72" s="367"/>
    </row>
    <row r="73">
      <c r="A73" s="385">
        <v>69.0</v>
      </c>
      <c r="B73" s="446" t="s">
        <v>2229</v>
      </c>
      <c r="C73" s="446" t="s">
        <v>3231</v>
      </c>
      <c r="D73" s="402" t="str">
        <f>VLOOKUP(B73,USN!$1:$1088,2,False)</f>
        <v>1CR23EC069</v>
      </c>
      <c r="E73" s="447">
        <v>9.480381614E9</v>
      </c>
      <c r="F73" s="447" t="s">
        <v>3736</v>
      </c>
      <c r="G73" s="367"/>
      <c r="H73" s="447">
        <v>82.0</v>
      </c>
      <c r="I73" s="448">
        <v>86.0</v>
      </c>
      <c r="J73" s="433">
        <f>VLOOKUP(D73,'L3'!$1:$2060,2,False)</f>
        <v>82</v>
      </c>
      <c r="K73" s="433">
        <f>VLOOKUP(D73,'L4'!$1:$2059,2,False)</f>
        <v>71</v>
      </c>
      <c r="L73" s="434">
        <f>VLOOKUP(D73,'A1 RETEST 5 DEC'!$1:$2096,2,FALSE)</f>
        <v>36</v>
      </c>
      <c r="M73" s="434">
        <f>VLOOKUP(D73,'A2 RETEST 4 DEC'!$1:$2096,2,FALSE)</f>
        <v>31</v>
      </c>
      <c r="N73" s="435">
        <v>35.0</v>
      </c>
      <c r="O73" s="449"/>
      <c r="P73" s="436">
        <f>IFNA(VLOOKUP(D73,'S1'!$1:$1325,2,False),0)</f>
        <v>79</v>
      </c>
      <c r="Q73" s="436">
        <f>vlookup(D73,'S2'!A69:B1271,2,0)</f>
        <v>70</v>
      </c>
      <c r="R73" s="436">
        <f>ifna(vlookup(D73,'S3'!$1:$1311,2,False),0)</f>
        <v>78</v>
      </c>
      <c r="S73" s="436"/>
      <c r="T73" s="437">
        <v>11.0</v>
      </c>
      <c r="U73" s="437">
        <v>17.0</v>
      </c>
      <c r="V73" s="437">
        <v>54.0</v>
      </c>
      <c r="W73" s="437">
        <v>68.0</v>
      </c>
      <c r="X73" s="437">
        <v>82.0</v>
      </c>
      <c r="Y73" s="437"/>
      <c r="Z73" s="438"/>
      <c r="AA73" s="450">
        <v>65.0</v>
      </c>
      <c r="AB73" s="409">
        <v>75.0</v>
      </c>
      <c r="AC73" s="395">
        <v>79.0</v>
      </c>
      <c r="AD73" s="439"/>
      <c r="AE73" s="440">
        <v>70.0</v>
      </c>
      <c r="AF73" s="441"/>
      <c r="AG73" s="439"/>
      <c r="AH73" s="451">
        <v>80.0</v>
      </c>
      <c r="AI73" s="441"/>
      <c r="AJ73" s="441"/>
      <c r="AK73" s="442">
        <f t="shared" si="1"/>
        <v>4</v>
      </c>
      <c r="AL73" s="442">
        <f t="shared" si="2"/>
        <v>0</v>
      </c>
      <c r="AM73" s="424">
        <f t="shared" si="3"/>
        <v>3</v>
      </c>
      <c r="AN73" s="442" t="str">
        <f t="shared" si="4"/>
        <v>3.5</v>
      </c>
      <c r="AO73" s="442">
        <f t="shared" si="5"/>
        <v>3</v>
      </c>
      <c r="AP73" s="367"/>
    </row>
    <row r="74">
      <c r="A74" s="385">
        <v>70.0</v>
      </c>
      <c r="B74" s="446" t="s">
        <v>2230</v>
      </c>
      <c r="C74" s="446" t="s">
        <v>3232</v>
      </c>
      <c r="D74" s="402" t="str">
        <f>VLOOKUP(B74,USN!$1:$1088,2,False)</f>
        <v>1CR23EC070</v>
      </c>
      <c r="E74" s="447">
        <v>7.619627854E9</v>
      </c>
      <c r="F74" s="447" t="s">
        <v>3736</v>
      </c>
      <c r="G74" s="367"/>
      <c r="H74" s="447">
        <v>79.0</v>
      </c>
      <c r="I74" s="448">
        <v>75.0</v>
      </c>
      <c r="J74" s="433">
        <f>VLOOKUP(D74,'L3'!$1:$2060,2,False)</f>
        <v>41</v>
      </c>
      <c r="K74" s="433">
        <f>VLOOKUP(D74,'L4'!$1:$2059,2,False)</f>
        <v>70</v>
      </c>
      <c r="L74" s="434">
        <f>VLOOKUP(D74,'A1 RETEST 5 DEC'!$1:$2096,2,FALSE)</f>
        <v>4</v>
      </c>
      <c r="M74" s="434">
        <f>VLOOKUP(D74,'A2 RETEST 4 DEC'!$1:$2096,2,FALSE)</f>
        <v>17</v>
      </c>
      <c r="N74" s="435">
        <v>6.0</v>
      </c>
      <c r="O74" s="449"/>
      <c r="P74" s="436">
        <f>IFNA(VLOOKUP(D74,'S1'!$1:$1325,2,False),0)</f>
        <v>50</v>
      </c>
      <c r="Q74" s="436">
        <f>vlookup(D74,'S2'!A70:B1272,2,0)</f>
        <v>0</v>
      </c>
      <c r="R74" s="436">
        <f>ifna(vlookup(D74,'S3'!$1:$1311,2,False),0)</f>
        <v>50</v>
      </c>
      <c r="S74" s="436"/>
      <c r="T74" s="437">
        <v>18.0</v>
      </c>
      <c r="U74" s="437">
        <v>10.0</v>
      </c>
      <c r="V74" s="437">
        <v>64.0</v>
      </c>
      <c r="W74" s="437">
        <v>82.0</v>
      </c>
      <c r="X74" s="437">
        <v>70.0</v>
      </c>
      <c r="Y74" s="437"/>
      <c r="Z74" s="438"/>
      <c r="AA74" s="450">
        <v>0.0</v>
      </c>
      <c r="AB74" s="409">
        <v>30.0</v>
      </c>
      <c r="AC74" s="395">
        <v>0.0</v>
      </c>
      <c r="AD74" s="439"/>
      <c r="AE74" s="440">
        <v>10.0</v>
      </c>
      <c r="AF74" s="441"/>
      <c r="AG74" s="439"/>
      <c r="AH74" s="451">
        <v>0.0</v>
      </c>
      <c r="AI74" s="441"/>
      <c r="AJ74" s="441"/>
      <c r="AK74" s="442">
        <f t="shared" si="1"/>
        <v>2</v>
      </c>
      <c r="AL74" s="442">
        <f t="shared" si="2"/>
        <v>0</v>
      </c>
      <c r="AM74" s="424">
        <f t="shared" si="3"/>
        <v>3</v>
      </c>
      <c r="AN74" s="442" t="str">
        <f t="shared" si="4"/>
        <v>0</v>
      </c>
      <c r="AO74" s="442">
        <f t="shared" si="5"/>
        <v>1</v>
      </c>
      <c r="AP74" s="367"/>
    </row>
    <row r="75">
      <c r="A75" s="385">
        <v>71.0</v>
      </c>
      <c r="B75" s="446" t="s">
        <v>2259</v>
      </c>
      <c r="C75" s="446" t="s">
        <v>3233</v>
      </c>
      <c r="D75" s="402" t="str">
        <f>VLOOKUP(B75,USN!$1:$1088,2,False)</f>
        <v>1CR23EC071</v>
      </c>
      <c r="E75" s="447">
        <v>7.411341398E9</v>
      </c>
      <c r="F75" s="447" t="s">
        <v>3736</v>
      </c>
      <c r="G75" s="367"/>
      <c r="H75" s="447">
        <v>77.0</v>
      </c>
      <c r="I75" s="448">
        <v>71.0</v>
      </c>
      <c r="J75" s="433">
        <f>VLOOKUP(D75,'L3'!$1:$2060,2,False)</f>
        <v>70</v>
      </c>
      <c r="K75" s="433">
        <f>VLOOKUP(D75,'L4'!$1:$2059,2,False)</f>
        <v>70</v>
      </c>
      <c r="L75" s="434">
        <f>VLOOKUP(D75,'A1 RETEST 5 DEC'!$1:$2096,2,FALSE)</f>
        <v>21</v>
      </c>
      <c r="M75" s="434">
        <f>VLOOKUP(D75,'A2 RETEST 4 DEC'!$1:$2096,2,FALSE)</f>
        <v>20</v>
      </c>
      <c r="N75" s="435">
        <v>0.0</v>
      </c>
      <c r="O75" s="449"/>
      <c r="P75" s="436">
        <f>IFNA(VLOOKUP(D75,'S1'!$1:$1325,2,False),0)</f>
        <v>0</v>
      </c>
      <c r="Q75" s="436">
        <f>vlookup(D75,'S2'!A71:B1273,2,0)</f>
        <v>0</v>
      </c>
      <c r="R75" s="436">
        <f>ifna(vlookup(D75,'S3'!$1:$1311,2,False),0)</f>
        <v>0</v>
      </c>
      <c r="S75" s="436"/>
      <c r="T75" s="437">
        <v>10.0</v>
      </c>
      <c r="U75" s="437">
        <v>18.0</v>
      </c>
      <c r="V75" s="437">
        <v>46.0</v>
      </c>
      <c r="W75" s="437">
        <v>0.0</v>
      </c>
      <c r="X75" s="437">
        <v>64.0</v>
      </c>
      <c r="Y75" s="437"/>
      <c r="Z75" s="438"/>
      <c r="AA75" s="450">
        <v>12.0</v>
      </c>
      <c r="AB75" s="409">
        <v>45.0</v>
      </c>
      <c r="AC75" s="395">
        <v>0.0</v>
      </c>
      <c r="AD75" s="439"/>
      <c r="AE75" s="440">
        <v>10.0</v>
      </c>
      <c r="AF75" s="441"/>
      <c r="AG75" s="439"/>
      <c r="AH75" s="441"/>
      <c r="AI75" s="441"/>
      <c r="AJ75" s="441"/>
      <c r="AK75" s="442">
        <f t="shared" si="1"/>
        <v>4</v>
      </c>
      <c r="AL75" s="442">
        <f t="shared" si="2"/>
        <v>0</v>
      </c>
      <c r="AM75" s="424">
        <f t="shared" si="3"/>
        <v>2</v>
      </c>
      <c r="AN75" s="442" t="str">
        <f t="shared" si="4"/>
        <v>0</v>
      </c>
      <c r="AO75" s="442">
        <f t="shared" si="5"/>
        <v>0</v>
      </c>
      <c r="AP75" s="367"/>
    </row>
    <row r="76">
      <c r="A76" s="385">
        <v>72.0</v>
      </c>
      <c r="B76" s="446" t="s">
        <v>2231</v>
      </c>
      <c r="C76" s="446" t="s">
        <v>3234</v>
      </c>
      <c r="D76" s="402" t="str">
        <f>VLOOKUP(B76,USN!$1:$1088,2,False)</f>
        <v>1CR23EC072</v>
      </c>
      <c r="E76" s="447">
        <v>7.899851094E9</v>
      </c>
      <c r="F76" s="447" t="s">
        <v>3736</v>
      </c>
      <c r="G76" s="367"/>
      <c r="H76" s="447">
        <v>80.0</v>
      </c>
      <c r="I76" s="448">
        <v>80.0</v>
      </c>
      <c r="J76" s="433">
        <f>VLOOKUP(D76,'L3'!$1:$2060,2,False)</f>
        <v>39</v>
      </c>
      <c r="K76" s="433">
        <f>VLOOKUP(D76,'L4'!$1:$2059,2,False)</f>
        <v>70</v>
      </c>
      <c r="L76" s="434">
        <f>VLOOKUP(D76,'A1 RETEST 5 DEC'!$1:$2096,2,FALSE)</f>
        <v>12</v>
      </c>
      <c r="M76" s="434">
        <f>VLOOKUP(D76,'A2 RETEST 4 DEC'!$1:$2096,2,FALSE)</f>
        <v>17</v>
      </c>
      <c r="N76" s="435">
        <v>0.0</v>
      </c>
      <c r="O76" s="449"/>
      <c r="P76" s="436">
        <f>IFNA(VLOOKUP(D76,'S1'!$1:$1325,2,False),0)</f>
        <v>70</v>
      </c>
      <c r="Q76" s="436">
        <f>vlookup(D76,'S2'!A72:B1274,2,0)</f>
        <v>0</v>
      </c>
      <c r="R76" s="436">
        <f>ifna(vlookup(D76,'S3'!$1:$1311,2,False),0)</f>
        <v>30</v>
      </c>
      <c r="S76" s="436"/>
      <c r="T76" s="437">
        <v>19.0</v>
      </c>
      <c r="U76" s="437">
        <v>17.0</v>
      </c>
      <c r="V76" s="437">
        <v>42.0</v>
      </c>
      <c r="W76" s="437">
        <v>80.0</v>
      </c>
      <c r="X76" s="437">
        <v>68.0</v>
      </c>
      <c r="Y76" s="437"/>
      <c r="Z76" s="438"/>
      <c r="AA76" s="450">
        <v>7.0</v>
      </c>
      <c r="AB76" s="409">
        <v>25.0</v>
      </c>
      <c r="AC76" s="395">
        <v>0.0</v>
      </c>
      <c r="AD76" s="439"/>
      <c r="AE76" s="440">
        <v>10.0</v>
      </c>
      <c r="AF76" s="441"/>
      <c r="AG76" s="439"/>
      <c r="AH76" s="451">
        <v>14.0</v>
      </c>
      <c r="AI76" s="441"/>
      <c r="AJ76" s="441"/>
      <c r="AK76" s="442">
        <f t="shared" si="1"/>
        <v>2</v>
      </c>
      <c r="AL76" s="442">
        <f t="shared" si="2"/>
        <v>0</v>
      </c>
      <c r="AM76" s="424">
        <f t="shared" si="3"/>
        <v>3</v>
      </c>
      <c r="AN76" s="442" t="str">
        <f t="shared" si="4"/>
        <v>0</v>
      </c>
      <c r="AO76" s="442">
        <f t="shared" si="5"/>
        <v>1</v>
      </c>
      <c r="AP76" s="367"/>
    </row>
    <row r="77">
      <c r="A77" s="385">
        <v>73.0</v>
      </c>
      <c r="B77" s="446" t="s">
        <v>2232</v>
      </c>
      <c r="C77" s="446" t="s">
        <v>3235</v>
      </c>
      <c r="D77" s="402" t="str">
        <f>VLOOKUP(B77,USN!$1:$1088,2,False)</f>
        <v>1CR23EC073</v>
      </c>
      <c r="E77" s="447">
        <v>6.362981868E9</v>
      </c>
      <c r="F77" s="447" t="s">
        <v>3736</v>
      </c>
      <c r="G77" s="367"/>
      <c r="H77" s="447">
        <v>79.0</v>
      </c>
      <c r="I77" s="448">
        <v>82.0</v>
      </c>
      <c r="J77" s="433">
        <f>VLOOKUP(D77,'L3'!$1:$2060,2,False)</f>
        <v>72</v>
      </c>
      <c r="K77" s="433">
        <f>VLOOKUP(D77,'L4'!$1:$2059,2,False)</f>
        <v>76</v>
      </c>
      <c r="L77" s="434">
        <f>VLOOKUP(D77,'A1 RETEST 5 DEC'!$1:$2096,2,FALSE)</f>
        <v>50</v>
      </c>
      <c r="M77" s="434">
        <f>VLOOKUP(D77,'A2 RETEST 4 DEC'!$1:$2096,2,FALSE)</f>
        <v>20</v>
      </c>
      <c r="N77" s="435">
        <v>50.0</v>
      </c>
      <c r="O77" s="449"/>
      <c r="P77" s="436">
        <f>IFNA(VLOOKUP(D77,'S1'!$1:$1325,2,False),0)</f>
        <v>90</v>
      </c>
      <c r="Q77" s="436">
        <f>vlookup(D77,'S2'!A73:B1275,2,0)</f>
        <v>66</v>
      </c>
      <c r="R77" s="436">
        <f>ifna(vlookup(D77,'S3'!$1:$1311,2,False),0)</f>
        <v>85</v>
      </c>
      <c r="S77" s="436"/>
      <c r="T77" s="437">
        <v>12.0</v>
      </c>
      <c r="U77" s="437">
        <v>16.0</v>
      </c>
      <c r="V77" s="437">
        <v>50.0</v>
      </c>
      <c r="W77" s="437">
        <v>74.0</v>
      </c>
      <c r="X77" s="437">
        <v>66.0</v>
      </c>
      <c r="Y77" s="437"/>
      <c r="Z77" s="438"/>
      <c r="AA77" s="450">
        <v>70.0</v>
      </c>
      <c r="AB77" s="409">
        <v>75.0</v>
      </c>
      <c r="AC77" s="395">
        <v>58.0</v>
      </c>
      <c r="AD77" s="439"/>
      <c r="AE77" s="440">
        <v>73.0</v>
      </c>
      <c r="AF77" s="441"/>
      <c r="AG77" s="439">
        <v>98.0</v>
      </c>
      <c r="AH77" s="441"/>
      <c r="AI77" s="441"/>
      <c r="AJ77" s="441"/>
      <c r="AK77" s="442">
        <f t="shared" si="1"/>
        <v>4</v>
      </c>
      <c r="AL77" s="442">
        <f t="shared" si="2"/>
        <v>1</v>
      </c>
      <c r="AM77" s="424">
        <f t="shared" si="3"/>
        <v>3</v>
      </c>
      <c r="AN77" s="442" t="str">
        <f t="shared" si="4"/>
        <v>2</v>
      </c>
      <c r="AO77" s="442">
        <f t="shared" si="5"/>
        <v>3</v>
      </c>
      <c r="AP77" s="367"/>
    </row>
    <row r="78">
      <c r="A78" s="385">
        <v>74.0</v>
      </c>
      <c r="B78" s="446" t="s">
        <v>2233</v>
      </c>
      <c r="C78" s="446" t="s">
        <v>3236</v>
      </c>
      <c r="D78" s="402" t="str">
        <f>VLOOKUP(B78,USN!$1:$1088,2,False)</f>
        <v>1CR23EC074</v>
      </c>
      <c r="E78" s="447">
        <v>7.892013935E9</v>
      </c>
      <c r="F78" s="447" t="s">
        <v>3736</v>
      </c>
      <c r="G78" s="367"/>
      <c r="H78" s="447">
        <v>87.0</v>
      </c>
      <c r="I78" s="448">
        <v>88.0</v>
      </c>
      <c r="J78" s="433">
        <f>VLOOKUP(D78,'L3'!$1:$2060,2,False)</f>
        <v>73</v>
      </c>
      <c r="K78" s="433">
        <f>VLOOKUP(D78,'L4'!$1:$2059,2,False)</f>
        <v>72</v>
      </c>
      <c r="L78" s="434">
        <f>VLOOKUP(D78,'A1 RETEST 5 DEC'!$1:$2096,2,FALSE)</f>
        <v>50</v>
      </c>
      <c r="M78" s="434">
        <f>VLOOKUP(D78,'A2 RETEST 4 DEC'!$1:$2096,2,FALSE)</f>
        <v>50</v>
      </c>
      <c r="N78" s="435">
        <v>50.0</v>
      </c>
      <c r="O78" s="449"/>
      <c r="P78" s="436">
        <f>IFNA(VLOOKUP(D78,'S1'!$1:$1325,2,False),0)</f>
        <v>90</v>
      </c>
      <c r="Q78" s="436">
        <f>vlookup(D78,'S2'!A74:B1276,2,0)</f>
        <v>81</v>
      </c>
      <c r="R78" s="436">
        <f>ifna(vlookup(D78,'S3'!$1:$1311,2,False),0)</f>
        <v>83</v>
      </c>
      <c r="S78" s="436"/>
      <c r="T78" s="437">
        <v>16.0</v>
      </c>
      <c r="U78" s="437">
        <v>21.0</v>
      </c>
      <c r="V78" s="437">
        <v>58.0</v>
      </c>
      <c r="W78" s="437">
        <v>74.0</v>
      </c>
      <c r="X78" s="437">
        <v>60.0</v>
      </c>
      <c r="Y78" s="437"/>
      <c r="Z78" s="438"/>
      <c r="AA78" s="450">
        <v>40.0</v>
      </c>
      <c r="AB78" s="409">
        <v>90.0</v>
      </c>
      <c r="AC78" s="395">
        <v>100.0</v>
      </c>
      <c r="AD78" s="439"/>
      <c r="AE78" s="440">
        <v>80.0</v>
      </c>
      <c r="AF78" s="441"/>
      <c r="AG78" s="439"/>
      <c r="AH78" s="451">
        <v>79.0</v>
      </c>
      <c r="AI78" s="441"/>
      <c r="AJ78" s="441"/>
      <c r="AK78" s="442">
        <f t="shared" si="1"/>
        <v>4</v>
      </c>
      <c r="AL78" s="442">
        <f t="shared" si="2"/>
        <v>3</v>
      </c>
      <c r="AM78" s="424">
        <f t="shared" si="3"/>
        <v>3</v>
      </c>
      <c r="AN78" s="442" t="str">
        <f t="shared" si="4"/>
        <v>3.5</v>
      </c>
      <c r="AO78" s="442">
        <f t="shared" si="5"/>
        <v>3</v>
      </c>
      <c r="AP78" s="367"/>
    </row>
    <row r="79">
      <c r="A79" s="385">
        <v>75.0</v>
      </c>
      <c r="B79" s="446" t="s">
        <v>2339</v>
      </c>
      <c r="C79" s="446" t="s">
        <v>3237</v>
      </c>
      <c r="D79" s="402" t="str">
        <f>VLOOKUP(B79,USN!$1:$1088,2,False)</f>
        <v>1CR23EC075</v>
      </c>
      <c r="E79" s="447">
        <v>6.362784504E9</v>
      </c>
      <c r="F79" s="446" t="s">
        <v>3736</v>
      </c>
      <c r="G79" s="367"/>
      <c r="H79" s="447">
        <v>80.0</v>
      </c>
      <c r="I79" s="448">
        <v>82.0</v>
      </c>
      <c r="J79" s="433">
        <f>VLOOKUP(D79,'L3'!$1:$2060,2,False)</f>
        <v>70</v>
      </c>
      <c r="K79" s="433">
        <f>VLOOKUP(D79,'L4'!$1:$2059,2,False)</f>
        <v>70</v>
      </c>
      <c r="L79" s="434">
        <f>VLOOKUP(D79,'A1 RETEST 5 DEC'!$1:$2096,2,FALSE)</f>
        <v>50</v>
      </c>
      <c r="M79" s="434">
        <f>VLOOKUP(D79,'A2 RETEST 4 DEC'!$1:$2096,2,FALSE)</f>
        <v>50</v>
      </c>
      <c r="N79" s="435">
        <v>50.0</v>
      </c>
      <c r="O79" s="449"/>
      <c r="P79" s="436">
        <f>IFNA(VLOOKUP(D79,'S1'!$1:$1325,2,False),0)</f>
        <v>80</v>
      </c>
      <c r="Q79" s="436">
        <f>vlookup(D79,'S2'!A75:B1277,2,0)</f>
        <v>65</v>
      </c>
      <c r="R79" s="436">
        <f>ifna(vlookup(D79,'S3'!$1:$1311,2,False),0)</f>
        <v>88</v>
      </c>
      <c r="S79" s="436"/>
      <c r="T79" s="437">
        <v>10.0</v>
      </c>
      <c r="U79" s="437">
        <v>19.0</v>
      </c>
      <c r="V79" s="437">
        <v>64.0</v>
      </c>
      <c r="W79" s="437">
        <v>80.0</v>
      </c>
      <c r="X79" s="437">
        <v>74.0</v>
      </c>
      <c r="Y79" s="437"/>
      <c r="Z79" s="438"/>
      <c r="AA79" s="450">
        <v>80.0</v>
      </c>
      <c r="AB79" s="409">
        <v>91.0</v>
      </c>
      <c r="AC79" s="395">
        <v>70.0</v>
      </c>
      <c r="AD79" s="439"/>
      <c r="AE79" s="440">
        <v>70.0</v>
      </c>
      <c r="AF79" s="441"/>
      <c r="AG79" s="439"/>
      <c r="AH79" s="451">
        <v>75.0</v>
      </c>
      <c r="AI79" s="441"/>
      <c r="AJ79" s="441"/>
      <c r="AK79" s="442">
        <f t="shared" si="1"/>
        <v>4</v>
      </c>
      <c r="AL79" s="442">
        <f t="shared" si="2"/>
        <v>3</v>
      </c>
      <c r="AM79" s="424">
        <f t="shared" si="3"/>
        <v>3</v>
      </c>
      <c r="AN79" s="442" t="str">
        <f t="shared" si="4"/>
        <v>3.5</v>
      </c>
      <c r="AO79" s="442">
        <f t="shared" si="5"/>
        <v>3</v>
      </c>
      <c r="AP79" s="367"/>
    </row>
    <row r="80">
      <c r="A80" s="385">
        <v>76.0</v>
      </c>
      <c r="B80" s="446" t="s">
        <v>2234</v>
      </c>
      <c r="C80" s="446" t="s">
        <v>3238</v>
      </c>
      <c r="D80" s="402" t="str">
        <f>VLOOKUP(B80,USN!$1:$1088,2,False)</f>
        <v>1CR23EC076</v>
      </c>
      <c r="E80" s="447">
        <v>8.197678661E9</v>
      </c>
      <c r="F80" s="447" t="s">
        <v>3736</v>
      </c>
      <c r="G80" s="367"/>
      <c r="H80" s="447">
        <v>77.0</v>
      </c>
      <c r="I80" s="448">
        <v>85.0</v>
      </c>
      <c r="J80" s="433">
        <f>VLOOKUP(D80,'L3'!$1:$2060,2,False)</f>
        <v>72</v>
      </c>
      <c r="K80" s="433">
        <f>VLOOKUP(D80,'L4'!$1:$2059,2,False)</f>
        <v>70</v>
      </c>
      <c r="L80" s="434">
        <f>VLOOKUP(D80,'A1 RETEST 5 DEC'!$1:$2096,2,FALSE)</f>
        <v>50</v>
      </c>
      <c r="M80" s="434">
        <f>VLOOKUP(D80,'A2 RETEST 4 DEC'!$1:$2096,2,FALSE)</f>
        <v>50</v>
      </c>
      <c r="N80" s="435">
        <v>50.0</v>
      </c>
      <c r="O80" s="449"/>
      <c r="P80" s="436">
        <f>IFNA(VLOOKUP(D80,'S1'!$1:$1325,2,False),0)</f>
        <v>50</v>
      </c>
      <c r="Q80" s="436">
        <f>vlookup(D80,'S2'!A76:B1278,2,0)</f>
        <v>81</v>
      </c>
      <c r="R80" s="436">
        <f>ifna(vlookup(D80,'S3'!$1:$1311,2,False),0)</f>
        <v>84</v>
      </c>
      <c r="S80" s="436"/>
      <c r="T80" s="437">
        <v>17.0</v>
      </c>
      <c r="U80" s="437">
        <v>21.0</v>
      </c>
      <c r="V80" s="437">
        <v>54.0</v>
      </c>
      <c r="W80" s="437">
        <v>82.0</v>
      </c>
      <c r="X80" s="437">
        <v>76.0</v>
      </c>
      <c r="Y80" s="437"/>
      <c r="Z80" s="438"/>
      <c r="AA80" s="450">
        <v>52.0</v>
      </c>
      <c r="AB80" s="409">
        <v>92.5</v>
      </c>
      <c r="AC80" s="395">
        <v>100.0</v>
      </c>
      <c r="AD80" s="439"/>
      <c r="AE80" s="439">
        <v>70.0</v>
      </c>
      <c r="AF80" s="441"/>
      <c r="AG80" s="439"/>
      <c r="AH80" s="451">
        <v>80.0</v>
      </c>
      <c r="AI80" s="441"/>
      <c r="AJ80" s="441"/>
      <c r="AK80" s="442">
        <f t="shared" si="1"/>
        <v>4</v>
      </c>
      <c r="AL80" s="442">
        <f t="shared" si="2"/>
        <v>3</v>
      </c>
      <c r="AM80" s="424">
        <f t="shared" si="3"/>
        <v>3</v>
      </c>
      <c r="AN80" s="442" t="str">
        <f t="shared" si="4"/>
        <v>3.5</v>
      </c>
      <c r="AO80" s="442">
        <f t="shared" si="5"/>
        <v>3</v>
      </c>
      <c r="AP80" s="367"/>
    </row>
    <row r="81">
      <c r="A81" s="385">
        <v>77.0</v>
      </c>
      <c r="B81" s="446" t="s">
        <v>2214</v>
      </c>
      <c r="C81" s="446" t="s">
        <v>3239</v>
      </c>
      <c r="D81" s="402" t="str">
        <f>VLOOKUP(B81,USN!$1:$1088,2,False)</f>
        <v>1CR23EC077</v>
      </c>
      <c r="E81" s="446">
        <v>9.036223156E9</v>
      </c>
      <c r="F81" s="446" t="s">
        <v>3736</v>
      </c>
      <c r="G81" s="367"/>
      <c r="H81" s="447">
        <v>84.0</v>
      </c>
      <c r="I81" s="448">
        <v>83.0</v>
      </c>
      <c r="J81" s="433">
        <f>VLOOKUP(D81,'L3'!$1:$2060,2,False)</f>
        <v>80</v>
      </c>
      <c r="K81" s="433">
        <f>VLOOKUP(D81,'L4'!$1:$2059,2,False)</f>
        <v>81</v>
      </c>
      <c r="L81" s="434">
        <f>VLOOKUP(D81,'A1 RETEST 5 DEC'!$1:$2096,2,FALSE)</f>
        <v>50</v>
      </c>
      <c r="M81" s="434">
        <f>VLOOKUP(D81,'A2 RETEST 4 DEC'!$1:$2096,2,FALSE)</f>
        <v>50</v>
      </c>
      <c r="N81" s="435">
        <v>50.0</v>
      </c>
      <c r="O81" s="449"/>
      <c r="P81" s="436">
        <f>IFNA(VLOOKUP(D81,'S1'!$1:$1325,2,False),0)</f>
        <v>95</v>
      </c>
      <c r="Q81" s="436">
        <f>vlookup(D81,'S2'!A77:B1279,2,0)</f>
        <v>65</v>
      </c>
      <c r="R81" s="436">
        <f>ifna(vlookup(D81,'S3'!$1:$1311,2,False),0)</f>
        <v>86</v>
      </c>
      <c r="S81" s="436"/>
      <c r="T81" s="437">
        <v>20.0</v>
      </c>
      <c r="U81" s="437">
        <v>19.0</v>
      </c>
      <c r="V81" s="437">
        <v>62.0</v>
      </c>
      <c r="W81" s="437">
        <v>86.0</v>
      </c>
      <c r="X81" s="437">
        <v>74.0</v>
      </c>
      <c r="Y81" s="437"/>
      <c r="Z81" s="438"/>
      <c r="AA81" s="450">
        <v>85.0</v>
      </c>
      <c r="AB81" s="409">
        <v>100.0</v>
      </c>
      <c r="AC81" s="395">
        <v>79.0</v>
      </c>
      <c r="AD81" s="439"/>
      <c r="AE81" s="440">
        <v>70.0</v>
      </c>
      <c r="AF81" s="441"/>
      <c r="AG81" s="439"/>
      <c r="AH81" s="451">
        <v>77.0</v>
      </c>
      <c r="AI81" s="441"/>
      <c r="AJ81" s="441"/>
      <c r="AK81" s="442">
        <f t="shared" si="1"/>
        <v>4</v>
      </c>
      <c r="AL81" s="442">
        <f t="shared" si="2"/>
        <v>3</v>
      </c>
      <c r="AM81" s="424">
        <f t="shared" si="3"/>
        <v>3</v>
      </c>
      <c r="AN81" s="442" t="str">
        <f t="shared" si="4"/>
        <v>3.5</v>
      </c>
      <c r="AO81" s="442">
        <f t="shared" si="5"/>
        <v>3</v>
      </c>
      <c r="AP81" s="367"/>
    </row>
    <row r="82">
      <c r="A82" s="385">
        <v>78.0</v>
      </c>
      <c r="B82" s="446" t="s">
        <v>2235</v>
      </c>
      <c r="C82" s="446" t="s">
        <v>3240</v>
      </c>
      <c r="D82" s="402" t="str">
        <f>VLOOKUP(B82,USN!$1:$1088,2,False)</f>
        <v>1CR23EC078</v>
      </c>
      <c r="E82" s="447">
        <v>9.535808451E9</v>
      </c>
      <c r="F82" s="447" t="s">
        <v>3736</v>
      </c>
      <c r="G82" s="367"/>
      <c r="H82" s="447">
        <v>71.0</v>
      </c>
      <c r="I82" s="448">
        <v>77.0</v>
      </c>
      <c r="J82" s="433">
        <f>VLOOKUP(D82,'L3'!$1:$2060,2,False)</f>
        <v>70</v>
      </c>
      <c r="K82" s="433">
        <f>VLOOKUP(D82,'L4'!$1:$2059,2,False)</f>
        <v>70</v>
      </c>
      <c r="L82" s="434">
        <f>VLOOKUP(D82,'A1 RETEST 5 DEC'!$1:$2096,2,FALSE)</f>
        <v>50</v>
      </c>
      <c r="M82" s="434">
        <f>VLOOKUP(D82,'A2 RETEST 4 DEC'!$1:$2096,2,FALSE)</f>
        <v>50</v>
      </c>
      <c r="N82" s="435">
        <v>50.0</v>
      </c>
      <c r="O82" s="449"/>
      <c r="P82" s="436">
        <f>IFNA(VLOOKUP(D82,'S1'!$1:$1325,2,False),0)</f>
        <v>50</v>
      </c>
      <c r="Q82" s="436">
        <f>vlookup(D82,'S2'!A78:B1280,2,0)</f>
        <v>81</v>
      </c>
      <c r="R82" s="436">
        <f>ifna(vlookup(D82,'S3'!$1:$1311,2,False),0)</f>
        <v>90</v>
      </c>
      <c r="S82" s="436"/>
      <c r="T82" s="437">
        <v>12.0</v>
      </c>
      <c r="U82" s="437">
        <v>17.0</v>
      </c>
      <c r="V82" s="437">
        <v>68.0</v>
      </c>
      <c r="W82" s="437">
        <v>68.0</v>
      </c>
      <c r="X82" s="437">
        <v>60.0</v>
      </c>
      <c r="Y82" s="437"/>
      <c r="Z82" s="438"/>
      <c r="AA82" s="450">
        <v>70.0</v>
      </c>
      <c r="AB82" s="409">
        <v>100.0</v>
      </c>
      <c r="AC82" s="395">
        <v>60.0</v>
      </c>
      <c r="AD82" s="439"/>
      <c r="AE82" s="439">
        <v>70.0</v>
      </c>
      <c r="AF82" s="441"/>
      <c r="AG82" s="439">
        <v>87.0</v>
      </c>
      <c r="AH82" s="441"/>
      <c r="AI82" s="441"/>
      <c r="AJ82" s="441"/>
      <c r="AK82" s="442">
        <f t="shared" si="1"/>
        <v>4</v>
      </c>
      <c r="AL82" s="442">
        <f t="shared" si="2"/>
        <v>3</v>
      </c>
      <c r="AM82" s="424">
        <f t="shared" si="3"/>
        <v>3</v>
      </c>
      <c r="AN82" s="442" t="str">
        <f t="shared" si="4"/>
        <v>3.5</v>
      </c>
      <c r="AO82" s="442">
        <f t="shared" si="5"/>
        <v>3</v>
      </c>
      <c r="AP82" s="367"/>
    </row>
    <row r="83">
      <c r="A83" s="385">
        <v>79.0</v>
      </c>
      <c r="B83" s="446" t="s">
        <v>2236</v>
      </c>
      <c r="C83" s="446" t="s">
        <v>3241</v>
      </c>
      <c r="D83" s="402" t="str">
        <f>VLOOKUP(B83,USN!$1:$1088,2,False)</f>
        <v>1CR23EC079</v>
      </c>
      <c r="E83" s="447">
        <v>8.073024463E9</v>
      </c>
      <c r="F83" s="447" t="s">
        <v>3736</v>
      </c>
      <c r="G83" s="367"/>
      <c r="H83" s="447">
        <v>77.0</v>
      </c>
      <c r="I83" s="448">
        <v>80.0</v>
      </c>
      <c r="J83" s="433">
        <f>VLOOKUP(D83,'L3'!$1:$2060,2,False)</f>
        <v>76</v>
      </c>
      <c r="K83" s="433">
        <f>VLOOKUP(D83,'L4'!$1:$2059,2,False)</f>
        <v>82</v>
      </c>
      <c r="L83" s="434">
        <f>VLOOKUP(D83,'A1 RETEST 5 DEC'!$1:$2096,2,FALSE)</f>
        <v>50</v>
      </c>
      <c r="M83" s="434">
        <f>VLOOKUP(D83,'A2 RETEST 4 DEC'!$1:$2096,2,FALSE)</f>
        <v>50</v>
      </c>
      <c r="N83" s="435">
        <v>50.0</v>
      </c>
      <c r="O83" s="449"/>
      <c r="P83" s="436">
        <f>IFNA(VLOOKUP(D83,'S1'!$1:$1325,2,False),0)</f>
        <v>71</v>
      </c>
      <c r="Q83" s="436">
        <f>vlookup(D83,'S2'!A79:B1281,2,0)</f>
        <v>68</v>
      </c>
      <c r="R83" s="436">
        <f>ifna(vlookup(D83,'S3'!$1:$1311,2,False),0)</f>
        <v>79</v>
      </c>
      <c r="S83" s="436"/>
      <c r="T83" s="437">
        <v>19.0</v>
      </c>
      <c r="U83" s="437">
        <v>22.0</v>
      </c>
      <c r="V83" s="437">
        <v>24.0</v>
      </c>
      <c r="W83" s="437">
        <v>86.0</v>
      </c>
      <c r="X83" s="437">
        <v>76.0</v>
      </c>
      <c r="Y83" s="437"/>
      <c r="Z83" s="438"/>
      <c r="AA83" s="450">
        <v>50.0</v>
      </c>
      <c r="AB83" s="409">
        <v>60.0</v>
      </c>
      <c r="AC83" s="395">
        <v>100.0</v>
      </c>
      <c r="AD83" s="439"/>
      <c r="AE83" s="440">
        <v>70.0</v>
      </c>
      <c r="AF83" s="441"/>
      <c r="AG83" s="439"/>
      <c r="AH83" s="451">
        <v>80.0</v>
      </c>
      <c r="AI83" s="441"/>
      <c r="AJ83" s="441"/>
      <c r="AK83" s="442">
        <f t="shared" si="1"/>
        <v>4</v>
      </c>
      <c r="AL83" s="442">
        <f t="shared" si="2"/>
        <v>3</v>
      </c>
      <c r="AM83" s="424">
        <f t="shared" si="3"/>
        <v>3</v>
      </c>
      <c r="AN83" s="442" t="str">
        <f t="shared" si="4"/>
        <v>3.5</v>
      </c>
      <c r="AO83" s="442">
        <f t="shared" si="5"/>
        <v>3</v>
      </c>
      <c r="AP83" s="367"/>
    </row>
    <row r="84">
      <c r="A84" s="385">
        <v>80.0</v>
      </c>
      <c r="B84" s="446" t="s">
        <v>2237</v>
      </c>
      <c r="C84" s="446" t="s">
        <v>3242</v>
      </c>
      <c r="D84" s="402" t="str">
        <f>VLOOKUP(B84,USN!$1:$1088,2,False)</f>
        <v>1CR23EC080</v>
      </c>
      <c r="E84" s="447">
        <v>7.760439398E9</v>
      </c>
      <c r="F84" s="447" t="s">
        <v>3736</v>
      </c>
      <c r="G84" s="367"/>
      <c r="H84" s="447">
        <v>87.0</v>
      </c>
      <c r="I84" s="448">
        <v>82.0</v>
      </c>
      <c r="J84" s="433">
        <f>VLOOKUP(D84,'L3'!$1:$2060,2,False)</f>
        <v>69</v>
      </c>
      <c r="K84" s="433">
        <f>VLOOKUP(D84,'L4'!$1:$2059,2,False)</f>
        <v>70</v>
      </c>
      <c r="L84" s="434">
        <f>VLOOKUP(D84,'A1 RETEST 5 DEC'!$1:$2096,2,FALSE)</f>
        <v>18</v>
      </c>
      <c r="M84" s="434">
        <f>VLOOKUP(D84,'A2 RETEST 4 DEC'!$1:$2096,2,FALSE)</f>
        <v>12</v>
      </c>
      <c r="N84" s="435">
        <v>33.0</v>
      </c>
      <c r="O84" s="449"/>
      <c r="P84" s="436">
        <f>IFNA(VLOOKUP(D84,'S1'!$1:$1325,2,False),0)</f>
        <v>73</v>
      </c>
      <c r="Q84" s="436">
        <f>vlookup(D84,'S2'!A80:B1282,2,0)</f>
        <v>53</v>
      </c>
      <c r="R84" s="436">
        <f>ifna(vlookup(D84,'S3'!$1:$1311,2,False),0)</f>
        <v>50</v>
      </c>
      <c r="S84" s="436"/>
      <c r="T84" s="437">
        <v>10.0</v>
      </c>
      <c r="U84" s="437">
        <v>7.0</v>
      </c>
      <c r="V84" s="437">
        <v>24.0</v>
      </c>
      <c r="W84" s="437">
        <v>0.0</v>
      </c>
      <c r="X84" s="437">
        <v>28.0</v>
      </c>
      <c r="Y84" s="437"/>
      <c r="Z84" s="438"/>
      <c r="AA84" s="450">
        <v>42.0</v>
      </c>
      <c r="AB84" s="409">
        <v>46.25</v>
      </c>
      <c r="AC84" s="395">
        <v>8.0</v>
      </c>
      <c r="AD84" s="439"/>
      <c r="AE84" s="440">
        <v>15.0</v>
      </c>
      <c r="AF84" s="441"/>
      <c r="AG84" s="439"/>
      <c r="AH84" s="451">
        <v>71.0</v>
      </c>
      <c r="AI84" s="441"/>
      <c r="AJ84" s="441"/>
      <c r="AK84" s="442">
        <f t="shared" si="1"/>
        <v>2</v>
      </c>
      <c r="AL84" s="442">
        <f t="shared" si="2"/>
        <v>0</v>
      </c>
      <c r="AM84" s="424">
        <f t="shared" si="3"/>
        <v>0</v>
      </c>
      <c r="AN84" s="442" t="str">
        <f t="shared" si="4"/>
        <v>0</v>
      </c>
      <c r="AO84" s="442">
        <f t="shared" si="5"/>
        <v>3</v>
      </c>
      <c r="AP84" s="367"/>
    </row>
    <row r="85">
      <c r="A85" s="385">
        <v>81.0</v>
      </c>
      <c r="B85" s="446" t="s">
        <v>133</v>
      </c>
      <c r="C85" s="446" t="s">
        <v>3243</v>
      </c>
      <c r="D85" s="402" t="str">
        <f>VLOOKUP(B85,USN!$1:$1088,2,False)</f>
        <v>1CR23EC081</v>
      </c>
      <c r="E85" s="447">
        <v>9.141535779E9</v>
      </c>
      <c r="F85" s="447" t="s">
        <v>3736</v>
      </c>
      <c r="G85" s="367"/>
      <c r="H85" s="447">
        <v>77.0</v>
      </c>
      <c r="I85" s="433">
        <v>70.0</v>
      </c>
      <c r="J85" s="433">
        <f>VLOOKUP(D85,'L3'!$1:$2060,2,False)</f>
        <v>64</v>
      </c>
      <c r="K85" s="433">
        <f>VLOOKUP(D85,'L4'!$1:$2059,2,False)</f>
        <v>70</v>
      </c>
      <c r="L85" s="434">
        <f>VLOOKUP(D85,'A1 RETEST 5 DEC'!$1:$2096,2,FALSE)</f>
        <v>50</v>
      </c>
      <c r="M85" s="434">
        <f>VLOOKUP(D85,'A2 RETEST 4 DEC'!$1:$2096,2,FALSE)</f>
        <v>50</v>
      </c>
      <c r="N85" s="435">
        <v>50.0</v>
      </c>
      <c r="O85" s="449"/>
      <c r="P85" s="436">
        <f>IFNA(VLOOKUP(D85,'S1'!$1:$1325,2,False),0)</f>
        <v>0</v>
      </c>
      <c r="Q85" s="436">
        <f>vlookup(D85,'S2'!A81:B1283,2,0)</f>
        <v>50</v>
      </c>
      <c r="R85" s="436">
        <f>ifna(vlookup(D85,'S3'!$1:$1311,2,False),0)</f>
        <v>73</v>
      </c>
      <c r="S85" s="436"/>
      <c r="T85" s="437">
        <v>15.0</v>
      </c>
      <c r="U85" s="437">
        <v>12.0</v>
      </c>
      <c r="V85" s="437">
        <v>48.0</v>
      </c>
      <c r="W85" s="437">
        <v>64.0</v>
      </c>
      <c r="X85" s="437">
        <v>56.0</v>
      </c>
      <c r="Y85" s="437"/>
      <c r="Z85" s="438"/>
      <c r="AA85" s="450">
        <v>6.0</v>
      </c>
      <c r="AB85" s="409">
        <v>60.0</v>
      </c>
      <c r="AC85" s="395">
        <v>0.0</v>
      </c>
      <c r="AD85" s="439"/>
      <c r="AE85" s="440">
        <v>12.0</v>
      </c>
      <c r="AF85" s="441"/>
      <c r="AG85" s="439">
        <v>71.0</v>
      </c>
      <c r="AH85" s="441"/>
      <c r="AI85" s="441"/>
      <c r="AJ85" s="441"/>
      <c r="AK85" s="442">
        <f t="shared" si="1"/>
        <v>2</v>
      </c>
      <c r="AL85" s="442">
        <f t="shared" si="2"/>
        <v>3</v>
      </c>
      <c r="AM85" s="424">
        <f t="shared" si="3"/>
        <v>3</v>
      </c>
      <c r="AN85" s="442" t="str">
        <f t="shared" si="4"/>
        <v>2</v>
      </c>
      <c r="AO85" s="442">
        <f t="shared" si="5"/>
        <v>0</v>
      </c>
      <c r="AP85" s="367"/>
    </row>
    <row r="86">
      <c r="A86" s="385">
        <v>82.0</v>
      </c>
      <c r="B86" s="446" t="s">
        <v>137</v>
      </c>
      <c r="C86" s="446" t="s">
        <v>3244</v>
      </c>
      <c r="D86" s="402" t="str">
        <f>VLOOKUP(B86,USN!$1:$1088,2,False)</f>
        <v>1CR23EC082</v>
      </c>
      <c r="E86" s="447">
        <v>8.748050707E9</v>
      </c>
      <c r="F86" s="447" t="s">
        <v>3736</v>
      </c>
      <c r="G86" s="367"/>
      <c r="H86" s="447">
        <v>70.0</v>
      </c>
      <c r="I86" s="433">
        <v>70.0</v>
      </c>
      <c r="J86" s="433">
        <f>VLOOKUP(D86,'L3'!$1:$2060,2,False)</f>
        <v>39</v>
      </c>
      <c r="K86" s="433">
        <f>VLOOKUP(D86,'L4'!$1:$2059,2,False)</f>
        <v>70</v>
      </c>
      <c r="L86" s="434">
        <f>VLOOKUP(D86,'A1 RETEST 5 DEC'!$1:$2096,2,FALSE)</f>
        <v>50</v>
      </c>
      <c r="M86" s="434">
        <f>VLOOKUP(D86,'A2 RETEST 4 DEC'!$1:$2096,2,FALSE)</f>
        <v>13</v>
      </c>
      <c r="N86" s="435">
        <v>3.0</v>
      </c>
      <c r="O86" s="449"/>
      <c r="P86" s="436">
        <f>IFNA(VLOOKUP(D86,'S1'!$1:$1325,2,False),0)</f>
        <v>73</v>
      </c>
      <c r="Q86" s="436">
        <f>vlookup(D86,'S2'!A82:B1284,2,0)</f>
        <v>0</v>
      </c>
      <c r="R86" s="436">
        <f>ifna(vlookup(D86,'S3'!$1:$1311,2,False),0)</f>
        <v>0</v>
      </c>
      <c r="S86" s="436"/>
      <c r="T86" s="437">
        <v>17.0</v>
      </c>
      <c r="U86" s="437">
        <v>18.0</v>
      </c>
      <c r="V86" s="437">
        <v>42.0</v>
      </c>
      <c r="W86" s="437">
        <v>86.0</v>
      </c>
      <c r="X86" s="437">
        <v>58.0</v>
      </c>
      <c r="Y86" s="437"/>
      <c r="Z86" s="438"/>
      <c r="AA86" s="450">
        <v>0.0</v>
      </c>
      <c r="AB86" s="409">
        <v>70.0</v>
      </c>
      <c r="AC86" s="395">
        <v>70.0</v>
      </c>
      <c r="AD86" s="439"/>
      <c r="AE86" s="440">
        <v>16.0</v>
      </c>
      <c r="AF86" s="441"/>
      <c r="AG86" s="439"/>
      <c r="AH86" s="441"/>
      <c r="AI86" s="441"/>
      <c r="AJ86" s="441"/>
      <c r="AK86" s="442">
        <f t="shared" si="1"/>
        <v>2</v>
      </c>
      <c r="AL86" s="442">
        <f t="shared" si="2"/>
        <v>1</v>
      </c>
      <c r="AM86" s="424">
        <f t="shared" si="3"/>
        <v>3</v>
      </c>
      <c r="AN86" s="442" t="str">
        <f t="shared" si="4"/>
        <v>3</v>
      </c>
      <c r="AO86" s="442">
        <f t="shared" si="5"/>
        <v>1</v>
      </c>
      <c r="AP86" s="367"/>
    </row>
    <row r="87">
      <c r="A87" s="385">
        <v>83.0</v>
      </c>
      <c r="B87" s="446" t="s">
        <v>2267</v>
      </c>
      <c r="C87" s="446" t="s">
        <v>3245</v>
      </c>
      <c r="D87" s="402" t="str">
        <f>VLOOKUP(B87,USN!$1:$1088,2,False)</f>
        <v>1CR23EC083</v>
      </c>
      <c r="E87" s="447">
        <v>8.310077237E9</v>
      </c>
      <c r="F87" s="447" t="s">
        <v>3736</v>
      </c>
      <c r="G87" s="367"/>
      <c r="H87" s="447">
        <v>83.0</v>
      </c>
      <c r="I87" s="448">
        <v>81.0</v>
      </c>
      <c r="J87" s="433">
        <f>VLOOKUP(D87,'L3'!$1:$2060,2,False)</f>
        <v>70</v>
      </c>
      <c r="K87" s="433">
        <f>VLOOKUP(D87,'L4'!$1:$2059,2,False)</f>
        <v>70</v>
      </c>
      <c r="L87" s="434">
        <f>VLOOKUP(D87,'A1 RETEST 5 DEC'!$1:$2096,2,FALSE)</f>
        <v>31</v>
      </c>
      <c r="M87" s="434">
        <f>VLOOKUP(D87,'A2 RETEST 4 DEC'!$1:$2096,2,FALSE)</f>
        <v>13</v>
      </c>
      <c r="N87" s="435">
        <v>0.0</v>
      </c>
      <c r="O87" s="449"/>
      <c r="P87" s="436">
        <f>IFNA(VLOOKUP(D87,'S1'!$1:$1325,2,False),0)</f>
        <v>72</v>
      </c>
      <c r="Q87" s="436">
        <f>vlookup(D87,'S2'!A83:B1285,2,0)</f>
        <v>0</v>
      </c>
      <c r="R87" s="436">
        <f>ifna(vlookup(D87,'S3'!$1:$1311,2,False),0)</f>
        <v>0</v>
      </c>
      <c r="S87" s="436"/>
      <c r="T87" s="437">
        <v>13.0</v>
      </c>
      <c r="U87" s="437">
        <v>19.0</v>
      </c>
      <c r="V87" s="437">
        <v>48.0</v>
      </c>
      <c r="W87" s="437">
        <v>76.0</v>
      </c>
      <c r="X87" s="437">
        <v>78.0</v>
      </c>
      <c r="Y87" s="437"/>
      <c r="Z87" s="438"/>
      <c r="AA87" s="450">
        <v>74.0</v>
      </c>
      <c r="AB87" s="409">
        <v>79.0</v>
      </c>
      <c r="AC87" s="395">
        <v>11.0</v>
      </c>
      <c r="AD87" s="439"/>
      <c r="AE87" s="440">
        <v>10.0</v>
      </c>
      <c r="AF87" s="441"/>
      <c r="AG87" s="439"/>
      <c r="AH87" s="451">
        <v>15.0</v>
      </c>
      <c r="AI87" s="441"/>
      <c r="AJ87" s="441"/>
      <c r="AK87" s="442">
        <f t="shared" si="1"/>
        <v>4</v>
      </c>
      <c r="AL87" s="442">
        <f t="shared" si="2"/>
        <v>0</v>
      </c>
      <c r="AM87" s="424">
        <f t="shared" si="3"/>
        <v>3</v>
      </c>
      <c r="AN87" s="442" t="str">
        <f t="shared" si="4"/>
        <v>2</v>
      </c>
      <c r="AO87" s="442">
        <f t="shared" si="5"/>
        <v>1</v>
      </c>
      <c r="AP87" s="367"/>
    </row>
    <row r="88">
      <c r="A88" s="385">
        <v>84.0</v>
      </c>
      <c r="B88" s="446" t="s">
        <v>132</v>
      </c>
      <c r="C88" s="446" t="s">
        <v>3246</v>
      </c>
      <c r="D88" s="402" t="str">
        <f>VLOOKUP(B88,USN!$1:$1088,2,False)</f>
        <v>1CR23EC084</v>
      </c>
      <c r="E88" s="447">
        <v>6.302362375E9</v>
      </c>
      <c r="F88" s="447" t="s">
        <v>3736</v>
      </c>
      <c r="G88" s="367"/>
      <c r="H88" s="447">
        <v>70.0</v>
      </c>
      <c r="I88" s="433">
        <v>70.0</v>
      </c>
      <c r="J88" s="433">
        <f>VLOOKUP(D88,'L3'!$1:$2060,2,False)</f>
        <v>70</v>
      </c>
      <c r="K88" s="433">
        <f>VLOOKUP(D88,'L4'!$1:$2059,2,False)</f>
        <v>70</v>
      </c>
      <c r="L88" s="434">
        <f>VLOOKUP(D88,'A1 RETEST 5 DEC'!$1:$2096,2,FALSE)</f>
        <v>50</v>
      </c>
      <c r="M88" s="434">
        <f>VLOOKUP(D88,'A2 RETEST 4 DEC'!$1:$2096,2,FALSE)</f>
        <v>6</v>
      </c>
      <c r="N88" s="435">
        <v>50.0</v>
      </c>
      <c r="O88" s="449"/>
      <c r="P88" s="436">
        <f>IFNA(VLOOKUP(D88,'S1'!$1:$1325,2,False),0)</f>
        <v>0</v>
      </c>
      <c r="Q88" s="436">
        <f>vlookup(D88,'S2'!A84:B1286,2,0)</f>
        <v>50</v>
      </c>
      <c r="R88" s="436">
        <f>ifna(vlookup(D88,'S3'!$1:$1311,2,False),0)</f>
        <v>0</v>
      </c>
      <c r="S88" s="436"/>
      <c r="T88" s="437">
        <v>16.0</v>
      </c>
      <c r="U88" s="437">
        <v>13.0</v>
      </c>
      <c r="V88" s="437">
        <v>34.0</v>
      </c>
      <c r="W88" s="437">
        <v>64.0</v>
      </c>
      <c r="X88" s="437">
        <v>66.0</v>
      </c>
      <c r="Y88" s="437"/>
      <c r="Z88" s="438"/>
      <c r="AA88" s="450">
        <v>0.0</v>
      </c>
      <c r="AB88" s="409">
        <v>41.25</v>
      </c>
      <c r="AC88" s="395">
        <v>66.0</v>
      </c>
      <c r="AD88" s="439"/>
      <c r="AE88" s="440">
        <v>10.0</v>
      </c>
      <c r="AF88" s="441"/>
      <c r="AG88" s="439"/>
      <c r="AH88" s="441"/>
      <c r="AI88" s="441"/>
      <c r="AJ88" s="441"/>
      <c r="AK88" s="442">
        <f t="shared" si="1"/>
        <v>4</v>
      </c>
      <c r="AL88" s="442">
        <f t="shared" si="2"/>
        <v>1</v>
      </c>
      <c r="AM88" s="424">
        <f t="shared" si="3"/>
        <v>3</v>
      </c>
      <c r="AN88" s="442" t="str">
        <f t="shared" si="4"/>
        <v>0</v>
      </c>
      <c r="AO88" s="442">
        <f t="shared" si="5"/>
        <v>0</v>
      </c>
      <c r="AP88" s="367"/>
    </row>
    <row r="89">
      <c r="A89" s="385">
        <v>85.0</v>
      </c>
      <c r="B89" s="446" t="s">
        <v>2238</v>
      </c>
      <c r="C89" s="446" t="s">
        <v>3247</v>
      </c>
      <c r="D89" s="402" t="str">
        <f>VLOOKUP(B89,USN!$1:$1088,2,False)</f>
        <v>1CR23EC085</v>
      </c>
      <c r="E89" s="447">
        <v>8.197040404E9</v>
      </c>
      <c r="F89" s="447" t="s">
        <v>3736</v>
      </c>
      <c r="G89" s="367"/>
      <c r="H89" s="447">
        <v>87.0</v>
      </c>
      <c r="I89" s="448">
        <v>90.0</v>
      </c>
      <c r="J89" s="433">
        <f>VLOOKUP(D89,'L3'!$1:$2060,2,False)</f>
        <v>70</v>
      </c>
      <c r="K89" s="433">
        <f>VLOOKUP(D89,'L4'!$1:$2059,2,False)</f>
        <v>70</v>
      </c>
      <c r="L89" s="434">
        <f>VLOOKUP(D89,'A1 RETEST 5 DEC'!$1:$2096,2,FALSE)</f>
        <v>68</v>
      </c>
      <c r="M89" s="434">
        <f>VLOOKUP(D89,'A2 RETEST 4 DEC'!$1:$2096,2,FALSE)</f>
        <v>50</v>
      </c>
      <c r="N89" s="435">
        <v>54.0</v>
      </c>
      <c r="O89" s="449"/>
      <c r="P89" s="436">
        <f>IFNA(VLOOKUP(D89,'S1'!$1:$1325,2,False),0)</f>
        <v>90</v>
      </c>
      <c r="Q89" s="436">
        <f>vlookup(D89,'S2'!A85:B1287,2,0)</f>
        <v>81</v>
      </c>
      <c r="R89" s="436">
        <f>ifna(vlookup(D89,'S3'!$1:$1311,2,False),0)</f>
        <v>92</v>
      </c>
      <c r="S89" s="436"/>
      <c r="T89" s="437">
        <v>15.0</v>
      </c>
      <c r="U89" s="437">
        <v>21.0</v>
      </c>
      <c r="V89" s="437">
        <v>48.0</v>
      </c>
      <c r="W89" s="437">
        <v>62.0</v>
      </c>
      <c r="X89" s="437">
        <v>74.0</v>
      </c>
      <c r="Y89" s="437"/>
      <c r="Z89" s="438"/>
      <c r="AA89" s="450">
        <v>53.0</v>
      </c>
      <c r="AB89" s="409">
        <v>100.0</v>
      </c>
      <c r="AC89" s="395">
        <v>100.0</v>
      </c>
      <c r="AD89" s="439"/>
      <c r="AE89" s="440">
        <v>70.0</v>
      </c>
      <c r="AF89" s="441"/>
      <c r="AG89" s="439"/>
      <c r="AH89" s="451">
        <v>73.0</v>
      </c>
      <c r="AI89" s="441"/>
      <c r="AJ89" s="441"/>
      <c r="AK89" s="442">
        <f t="shared" si="1"/>
        <v>4</v>
      </c>
      <c r="AL89" s="442">
        <f t="shared" si="2"/>
        <v>3</v>
      </c>
      <c r="AM89" s="424">
        <f t="shared" si="3"/>
        <v>3</v>
      </c>
      <c r="AN89" s="442" t="str">
        <f t="shared" si="4"/>
        <v>3.5</v>
      </c>
      <c r="AO89" s="442">
        <f t="shared" si="5"/>
        <v>3</v>
      </c>
      <c r="AP89" s="367"/>
    </row>
    <row r="90">
      <c r="A90" s="385">
        <v>86.0</v>
      </c>
      <c r="B90" s="446" t="s">
        <v>2217</v>
      </c>
      <c r="C90" s="446" t="s">
        <v>3248</v>
      </c>
      <c r="D90" s="402" t="str">
        <f>VLOOKUP(B90,USN!$1:$1088,2,False)</f>
        <v>1CR23EC086</v>
      </c>
      <c r="E90" s="447">
        <v>8.317374425E9</v>
      </c>
      <c r="F90" s="446" t="s">
        <v>3736</v>
      </c>
      <c r="G90" s="367"/>
      <c r="H90" s="447">
        <v>76.0</v>
      </c>
      <c r="I90" s="448">
        <v>76.0</v>
      </c>
      <c r="J90" s="433">
        <f>VLOOKUP(D90,'L3'!$1:$2060,2,False)</f>
        <v>70</v>
      </c>
      <c r="K90" s="433">
        <f>VLOOKUP(D90,'L4'!$1:$2059,2,False)</f>
        <v>70</v>
      </c>
      <c r="L90" s="434">
        <f>VLOOKUP(D90,'A1 RETEST 5 DEC'!$1:$2096,2,FALSE)</f>
        <v>50</v>
      </c>
      <c r="M90" s="434">
        <f>VLOOKUP(D90,'A2 RETEST 4 DEC'!$1:$2096,2,FALSE)</f>
        <v>50</v>
      </c>
      <c r="N90" s="435">
        <v>50.0</v>
      </c>
      <c r="O90" s="449"/>
      <c r="P90" s="436">
        <f>IFNA(VLOOKUP(D90,'S1'!$1:$1325,2,False),0)</f>
        <v>76</v>
      </c>
      <c r="Q90" s="436">
        <f>vlookup(D90,'S2'!A86:B1288,2,0)</f>
        <v>66</v>
      </c>
      <c r="R90" s="436">
        <f>ifna(vlookup(D90,'S3'!$1:$1311,2,False),0)</f>
        <v>77</v>
      </c>
      <c r="S90" s="436"/>
      <c r="T90" s="437">
        <v>16.0</v>
      </c>
      <c r="U90" s="437">
        <v>12.0</v>
      </c>
      <c r="V90" s="437">
        <v>50.0</v>
      </c>
      <c r="W90" s="437">
        <v>78.0</v>
      </c>
      <c r="X90" s="437">
        <v>68.0</v>
      </c>
      <c r="Y90" s="437"/>
      <c r="Z90" s="438"/>
      <c r="AA90" s="450">
        <v>52.0</v>
      </c>
      <c r="AB90" s="409">
        <v>64.0</v>
      </c>
      <c r="AC90" s="395">
        <v>80.0</v>
      </c>
      <c r="AD90" s="439"/>
      <c r="AE90" s="440">
        <v>77.0</v>
      </c>
      <c r="AF90" s="441"/>
      <c r="AG90" s="439"/>
      <c r="AH90" s="441"/>
      <c r="AI90" s="441"/>
      <c r="AJ90" s="441"/>
      <c r="AK90" s="442">
        <f t="shared" si="1"/>
        <v>4</v>
      </c>
      <c r="AL90" s="442">
        <f t="shared" si="2"/>
        <v>3</v>
      </c>
      <c r="AM90" s="424">
        <f t="shared" si="3"/>
        <v>3</v>
      </c>
      <c r="AN90" s="442" t="str">
        <f t="shared" si="4"/>
        <v>3.5</v>
      </c>
      <c r="AO90" s="442">
        <f t="shared" si="5"/>
        <v>3</v>
      </c>
      <c r="AP90" s="367"/>
    </row>
    <row r="91">
      <c r="A91" s="385">
        <v>87.0</v>
      </c>
      <c r="B91" s="446" t="s">
        <v>131</v>
      </c>
      <c r="C91" s="446" t="s">
        <v>3249</v>
      </c>
      <c r="D91" s="402" t="str">
        <f>VLOOKUP(B91,USN!$1:$1088,2,False)</f>
        <v>1CR23EC087</v>
      </c>
      <c r="E91" s="447">
        <v>8.885505499E9</v>
      </c>
      <c r="F91" s="447" t="s">
        <v>3736</v>
      </c>
      <c r="G91" s="367"/>
      <c r="H91" s="447">
        <v>70.0</v>
      </c>
      <c r="I91" s="433">
        <v>70.0</v>
      </c>
      <c r="J91" s="433">
        <f>VLOOKUP(D91,'L3'!$1:$2060,2,False)</f>
        <v>70</v>
      </c>
      <c r="K91" s="433">
        <f>VLOOKUP(D91,'L4'!$1:$2059,2,False)</f>
        <v>70</v>
      </c>
      <c r="L91" s="434">
        <f>VLOOKUP(D91,'A1 RETEST 5 DEC'!$1:$2096,2,FALSE)</f>
        <v>20</v>
      </c>
      <c r="M91" s="434">
        <f>VLOOKUP(D91,'A2 RETEST 4 DEC'!$1:$2096,2,FALSE)</f>
        <v>6</v>
      </c>
      <c r="N91" s="435">
        <v>12.0</v>
      </c>
      <c r="O91" s="449"/>
      <c r="P91" s="436">
        <f>IFNA(VLOOKUP(D91,'S1'!$1:$1325,2,False),0)</f>
        <v>72</v>
      </c>
      <c r="Q91" s="436">
        <f>vlookup(D91,'S2'!A87:B1289,2,0)</f>
        <v>0</v>
      </c>
      <c r="R91" s="436">
        <f>ifna(vlookup(D91,'S3'!$1:$1311,2,False),0)</f>
        <v>0</v>
      </c>
      <c r="S91" s="436"/>
      <c r="T91" s="437">
        <v>18.0</v>
      </c>
      <c r="U91" s="437">
        <v>18.0</v>
      </c>
      <c r="V91" s="437">
        <v>44.0</v>
      </c>
      <c r="W91" s="437">
        <v>78.0</v>
      </c>
      <c r="X91" s="445"/>
      <c r="Y91" s="437"/>
      <c r="Z91" s="438"/>
      <c r="AA91" s="450">
        <v>6.0</v>
      </c>
      <c r="AB91" s="409">
        <v>60.0</v>
      </c>
      <c r="AC91" s="395">
        <v>77.0</v>
      </c>
      <c r="AD91" s="439"/>
      <c r="AE91" s="440">
        <v>10.0</v>
      </c>
      <c r="AF91" s="441"/>
      <c r="AG91" s="439"/>
      <c r="AH91" s="441"/>
      <c r="AI91" s="441"/>
      <c r="AJ91" s="441"/>
      <c r="AK91" s="442">
        <f t="shared" si="1"/>
        <v>4</v>
      </c>
      <c r="AL91" s="442">
        <f t="shared" si="2"/>
        <v>0</v>
      </c>
      <c r="AM91" s="424">
        <f t="shared" si="3"/>
        <v>3</v>
      </c>
      <c r="AN91" s="442" t="str">
        <f t="shared" si="4"/>
        <v>3</v>
      </c>
      <c r="AO91" s="442">
        <f t="shared" si="5"/>
        <v>1</v>
      </c>
      <c r="AP91" s="367"/>
    </row>
    <row r="92">
      <c r="A92" s="385">
        <v>88.0</v>
      </c>
      <c r="B92" s="446" t="s">
        <v>2260</v>
      </c>
      <c r="C92" s="446" t="s">
        <v>3250</v>
      </c>
      <c r="D92" s="402" t="str">
        <f>VLOOKUP(B92,USN!$1:$1088,2,False)</f>
        <v>1CR23EC088</v>
      </c>
      <c r="E92" s="447">
        <v>8.31083785E9</v>
      </c>
      <c r="F92" s="447" t="s">
        <v>3736</v>
      </c>
      <c r="G92" s="367"/>
      <c r="H92" s="447">
        <v>72.0</v>
      </c>
      <c r="I92" s="448">
        <v>91.0</v>
      </c>
      <c r="J92" s="433">
        <f>VLOOKUP(D92,'L3'!$1:$2060,2,False)</f>
        <v>83</v>
      </c>
      <c r="K92" s="433">
        <f>VLOOKUP(D92,'L4'!$1:$2059,2,False)</f>
        <v>76</v>
      </c>
      <c r="L92" s="434">
        <f>VLOOKUP(D92,'A1 RETEST 5 DEC'!$1:$2096,2,FALSE)</f>
        <v>50</v>
      </c>
      <c r="M92" s="434">
        <f>VLOOKUP(D92,'A2 RETEST 4 DEC'!$1:$2096,2,FALSE)</f>
        <v>50</v>
      </c>
      <c r="N92" s="435">
        <v>50.0</v>
      </c>
      <c r="O92" s="449"/>
      <c r="P92" s="436">
        <f>IFNA(VLOOKUP(D92,'S1'!$1:$1325,2,False),0)</f>
        <v>50</v>
      </c>
      <c r="Q92" s="436">
        <f>vlookup(D92,'S2'!A88:B1290,2,0)</f>
        <v>66</v>
      </c>
      <c r="R92" s="436">
        <f>ifna(vlookup(D92,'S3'!$1:$1311,2,False),0)</f>
        <v>80</v>
      </c>
      <c r="S92" s="436"/>
      <c r="T92" s="437">
        <v>13.0</v>
      </c>
      <c r="U92" s="437">
        <v>14.0</v>
      </c>
      <c r="V92" s="437">
        <v>50.0</v>
      </c>
      <c r="W92" s="437">
        <v>80.0</v>
      </c>
      <c r="X92" s="437">
        <v>80.0</v>
      </c>
      <c r="Y92" s="437"/>
      <c r="Z92" s="438"/>
      <c r="AA92" s="450">
        <v>49.0</v>
      </c>
      <c r="AB92" s="409">
        <v>75.0</v>
      </c>
      <c r="AC92" s="395">
        <v>43.0</v>
      </c>
      <c r="AD92" s="439"/>
      <c r="AE92" s="440">
        <v>25.0</v>
      </c>
      <c r="AF92" s="441"/>
      <c r="AG92" s="439">
        <v>79.0</v>
      </c>
      <c r="AH92" s="441"/>
      <c r="AI92" s="441"/>
      <c r="AJ92" s="441"/>
      <c r="AK92" s="442">
        <f t="shared" si="1"/>
        <v>4</v>
      </c>
      <c r="AL92" s="442">
        <f t="shared" si="2"/>
        <v>3</v>
      </c>
      <c r="AM92" s="424">
        <f t="shared" si="3"/>
        <v>3</v>
      </c>
      <c r="AN92" s="442" t="str">
        <f t="shared" si="4"/>
        <v>2</v>
      </c>
      <c r="AO92" s="442">
        <f t="shared" si="5"/>
        <v>3</v>
      </c>
      <c r="AP92" s="367"/>
    </row>
    <row r="93">
      <c r="A93" s="385">
        <v>89.0</v>
      </c>
      <c r="B93" s="446" t="s">
        <v>2257</v>
      </c>
      <c r="C93" s="446" t="s">
        <v>3251</v>
      </c>
      <c r="D93" s="402" t="str">
        <f>VLOOKUP(B93,USN!$1:$1088,2,False)</f>
        <v>1CR23EC089</v>
      </c>
      <c r="E93" s="443">
        <v>8.431830906E9</v>
      </c>
      <c r="F93" s="447" t="s">
        <v>3736</v>
      </c>
      <c r="G93" s="367"/>
      <c r="H93" s="447">
        <v>77.0</v>
      </c>
      <c r="I93" s="448">
        <v>74.0</v>
      </c>
      <c r="J93" s="433">
        <f>VLOOKUP(D93,'L3'!$1:$2060,2,False)</f>
        <v>70</v>
      </c>
      <c r="K93" s="433">
        <f>VLOOKUP(D93,'L4'!$1:$2059,2,False)</f>
        <v>70</v>
      </c>
      <c r="L93" s="434">
        <f>VLOOKUP(D93,'A1 RETEST 5 DEC'!$1:$2096,2,FALSE)</f>
        <v>20</v>
      </c>
      <c r="M93" s="434">
        <f>VLOOKUP(D93,'A2 RETEST 4 DEC'!$1:$2096,2,FALSE)</f>
        <v>13</v>
      </c>
      <c r="N93" s="435">
        <v>0.0</v>
      </c>
      <c r="O93" s="449"/>
      <c r="P93" s="436">
        <f>IFNA(VLOOKUP(D93,'S1'!$1:$1325,2,False),0)</f>
        <v>90</v>
      </c>
      <c r="Q93" s="436">
        <f>vlookup(D93,'S2'!A89:B1291,2,0)</f>
        <v>50</v>
      </c>
      <c r="R93" s="436">
        <f>ifna(vlookup(D93,'S3'!$1:$1311,2,False),0)</f>
        <v>80</v>
      </c>
      <c r="S93" s="436"/>
      <c r="T93" s="437">
        <v>15.0</v>
      </c>
      <c r="U93" s="437">
        <v>18.0</v>
      </c>
      <c r="V93" s="437">
        <v>58.0</v>
      </c>
      <c r="W93" s="437">
        <v>72.0</v>
      </c>
      <c r="X93" s="437">
        <v>58.0</v>
      </c>
      <c r="Y93" s="437"/>
      <c r="Z93" s="438"/>
      <c r="AA93" s="450">
        <v>0.0</v>
      </c>
      <c r="AB93" s="409">
        <v>62.0</v>
      </c>
      <c r="AC93" s="395">
        <v>0.0</v>
      </c>
      <c r="AD93" s="439"/>
      <c r="AE93" s="440">
        <v>10.0</v>
      </c>
      <c r="AF93" s="441"/>
      <c r="AG93" s="439"/>
      <c r="AH93" s="441"/>
      <c r="AI93" s="441"/>
      <c r="AJ93" s="441"/>
      <c r="AK93" s="442">
        <f t="shared" si="1"/>
        <v>4</v>
      </c>
      <c r="AL93" s="442">
        <f t="shared" si="2"/>
        <v>0</v>
      </c>
      <c r="AM93" s="424">
        <f t="shared" si="3"/>
        <v>3</v>
      </c>
      <c r="AN93" s="442" t="str">
        <f t="shared" si="4"/>
        <v>2</v>
      </c>
      <c r="AO93" s="442">
        <f t="shared" si="5"/>
        <v>3</v>
      </c>
      <c r="AP93" s="367"/>
    </row>
    <row r="94">
      <c r="A94" s="385">
        <v>90.0</v>
      </c>
      <c r="B94" s="446" t="s">
        <v>2239</v>
      </c>
      <c r="C94" s="446" t="s">
        <v>3252</v>
      </c>
      <c r="D94" s="402" t="str">
        <f>VLOOKUP(B94,USN!$1:$1088,2,False)</f>
        <v>1CR23EC090</v>
      </c>
      <c r="E94" s="447">
        <v>7.975685601E9</v>
      </c>
      <c r="F94" s="447" t="s">
        <v>3736</v>
      </c>
      <c r="G94" s="367"/>
      <c r="H94" s="447">
        <v>84.0</v>
      </c>
      <c r="I94" s="448">
        <v>83.0</v>
      </c>
      <c r="J94" s="433">
        <f>VLOOKUP(D94,'L3'!$1:$2060,2,False)</f>
        <v>70</v>
      </c>
      <c r="K94" s="433">
        <f>VLOOKUP(D94,'L4'!$1:$2059,2,False)</f>
        <v>70</v>
      </c>
      <c r="L94" s="434">
        <f>VLOOKUP(D94,'A1 RETEST 5 DEC'!$1:$2096,2,FALSE)</f>
        <v>58</v>
      </c>
      <c r="M94" s="434">
        <f>VLOOKUP(D94,'A2 RETEST 4 DEC'!$1:$2096,2,FALSE)</f>
        <v>50</v>
      </c>
      <c r="N94" s="435">
        <v>22.0</v>
      </c>
      <c r="O94" s="449"/>
      <c r="P94" s="436">
        <f>IFNA(VLOOKUP(D94,'S1'!$1:$1325,2,False),0)</f>
        <v>75</v>
      </c>
      <c r="Q94" s="436">
        <f>vlookup(D94,'S2'!A90:B1292,2,0)</f>
        <v>50</v>
      </c>
      <c r="R94" s="436">
        <f>ifna(vlookup(D94,'S3'!$1:$1311,2,False),0)</f>
        <v>74</v>
      </c>
      <c r="S94" s="436"/>
      <c r="T94" s="437">
        <v>13.0</v>
      </c>
      <c r="U94" s="437">
        <v>19.0</v>
      </c>
      <c r="V94" s="437">
        <v>34.0</v>
      </c>
      <c r="W94" s="437"/>
      <c r="X94" s="437">
        <v>82.0</v>
      </c>
      <c r="Y94" s="437"/>
      <c r="Z94" s="438"/>
      <c r="AA94" s="450">
        <v>76.0</v>
      </c>
      <c r="AB94" s="409">
        <v>100.0</v>
      </c>
      <c r="AC94" s="395">
        <v>98.0</v>
      </c>
      <c r="AD94" s="439"/>
      <c r="AE94" s="440">
        <v>45.0</v>
      </c>
      <c r="AF94" s="441"/>
      <c r="AG94" s="439"/>
      <c r="AH94" s="451">
        <v>73.0</v>
      </c>
      <c r="AI94" s="441"/>
      <c r="AJ94" s="441"/>
      <c r="AK94" s="442">
        <f t="shared" si="1"/>
        <v>4</v>
      </c>
      <c r="AL94" s="442">
        <f t="shared" si="2"/>
        <v>2</v>
      </c>
      <c r="AM94" s="424">
        <f t="shared" si="3"/>
        <v>2</v>
      </c>
      <c r="AN94" s="442" t="str">
        <f t="shared" si="4"/>
        <v>3</v>
      </c>
      <c r="AO94" s="442">
        <f t="shared" si="5"/>
        <v>3</v>
      </c>
      <c r="AP94" s="367"/>
    </row>
    <row r="95">
      <c r="A95" s="385">
        <v>91.0</v>
      </c>
      <c r="B95" s="446" t="s">
        <v>127</v>
      </c>
      <c r="C95" s="446" t="s">
        <v>3253</v>
      </c>
      <c r="D95" s="402" t="str">
        <f>VLOOKUP(B95,USN!$1:$1088,2,False)</f>
        <v>1CR23EC091</v>
      </c>
      <c r="E95" s="447">
        <v>6.303539793E9</v>
      </c>
      <c r="F95" s="447" t="s">
        <v>3736</v>
      </c>
      <c r="G95" s="367"/>
      <c r="H95" s="447">
        <v>74.0</v>
      </c>
      <c r="I95" s="433">
        <v>65.0</v>
      </c>
      <c r="J95" s="433">
        <f>VLOOKUP(D95,'L3'!$1:$2060,2,False)</f>
        <v>37</v>
      </c>
      <c r="K95" s="433">
        <f>VLOOKUP(D95,'L4'!$1:$2059,2,False)</f>
        <v>32</v>
      </c>
      <c r="L95" s="434">
        <f>VLOOKUP(D95,'A1 RETEST 5 DEC'!$1:$2096,2,FALSE)</f>
        <v>50</v>
      </c>
      <c r="M95" s="434">
        <f>VLOOKUP(D95,'A2 RETEST 4 DEC'!$1:$2096,2,FALSE)</f>
        <v>6</v>
      </c>
      <c r="N95" s="435">
        <v>5.0</v>
      </c>
      <c r="O95" s="449"/>
      <c r="P95" s="436">
        <f>IFNA(VLOOKUP(D95,'S1'!$1:$1325,2,False),0)</f>
        <v>0</v>
      </c>
      <c r="Q95" s="436">
        <f>vlookup(D95,'S2'!A91:B1293,2,0)</f>
        <v>50</v>
      </c>
      <c r="R95" s="436">
        <f>ifna(vlookup(D95,'S3'!$1:$1311,2,False),0)</f>
        <v>50</v>
      </c>
      <c r="S95" s="436"/>
      <c r="T95" s="437">
        <v>17.0</v>
      </c>
      <c r="U95" s="437">
        <v>11.0</v>
      </c>
      <c r="V95" s="437">
        <v>0.0</v>
      </c>
      <c r="W95" s="437">
        <v>50.0</v>
      </c>
      <c r="X95" s="437">
        <v>66.0</v>
      </c>
      <c r="Y95" s="437"/>
      <c r="Z95" s="438"/>
      <c r="AA95" s="450">
        <v>32.0</v>
      </c>
      <c r="AB95" s="409">
        <v>65.0</v>
      </c>
      <c r="AC95" s="395">
        <v>0.0</v>
      </c>
      <c r="AD95" s="439"/>
      <c r="AE95" s="440">
        <v>10.0</v>
      </c>
      <c r="AF95" s="441"/>
      <c r="AG95" s="439"/>
      <c r="AH95" s="441"/>
      <c r="AI95" s="441"/>
      <c r="AJ95" s="441"/>
      <c r="AK95" s="442">
        <f t="shared" si="1"/>
        <v>2</v>
      </c>
      <c r="AL95" s="442">
        <f t="shared" si="2"/>
        <v>1</v>
      </c>
      <c r="AM95" s="424">
        <f t="shared" si="3"/>
        <v>3</v>
      </c>
      <c r="AN95" s="442" t="str">
        <f t="shared" si="4"/>
        <v>2</v>
      </c>
      <c r="AO95" s="442">
        <f t="shared" si="5"/>
        <v>0</v>
      </c>
      <c r="AP95" s="367"/>
    </row>
    <row r="96">
      <c r="A96" s="385">
        <v>92.0</v>
      </c>
      <c r="B96" s="446" t="s">
        <v>2261</v>
      </c>
      <c r="C96" s="446" t="s">
        <v>3254</v>
      </c>
      <c r="D96" s="402" t="str">
        <f>VLOOKUP(B96,USN!$1:$1088,2,False)</f>
        <v>1CR23EC092</v>
      </c>
      <c r="E96" s="447">
        <v>7.892935878E9</v>
      </c>
      <c r="F96" s="447" t="s">
        <v>3736</v>
      </c>
      <c r="G96" s="367"/>
      <c r="H96" s="447">
        <v>77.0</v>
      </c>
      <c r="I96" s="448">
        <v>78.0</v>
      </c>
      <c r="J96" s="433">
        <f>VLOOKUP(D96,'L3'!$1:$2060,2,False)</f>
        <v>64</v>
      </c>
      <c r="K96" s="433">
        <f>VLOOKUP(D96,'L4'!$1:$2059,2,False)</f>
        <v>78</v>
      </c>
      <c r="L96" s="434">
        <f>VLOOKUP(D96,'A1 RETEST 5 DEC'!$1:$2096,2,FALSE)</f>
        <v>50</v>
      </c>
      <c r="M96" s="434">
        <f>VLOOKUP(D96,'A2 RETEST 4 DEC'!$1:$2096,2,FALSE)</f>
        <v>8</v>
      </c>
      <c r="N96" s="435">
        <v>8.0</v>
      </c>
      <c r="O96" s="449"/>
      <c r="P96" s="436">
        <f>IFNA(VLOOKUP(D96,'S1'!$1:$1325,2,False),0)</f>
        <v>0</v>
      </c>
      <c r="Q96" s="436">
        <f>vlookup(D96,'S2'!A92:B1294,2,0)</f>
        <v>0</v>
      </c>
      <c r="R96" s="436">
        <f>ifna(vlookup(D96,'S3'!$1:$1311,2,False),0)</f>
        <v>0</v>
      </c>
      <c r="S96" s="436"/>
      <c r="T96" s="437">
        <v>15.0</v>
      </c>
      <c r="U96" s="437">
        <v>20.0</v>
      </c>
      <c r="V96" s="437">
        <v>48.0</v>
      </c>
      <c r="W96" s="437">
        <v>82.0</v>
      </c>
      <c r="X96" s="437">
        <v>76.0</v>
      </c>
      <c r="Y96" s="437"/>
      <c r="Z96" s="438"/>
      <c r="AA96" s="450">
        <v>69.6</v>
      </c>
      <c r="AB96" s="409">
        <v>88.0</v>
      </c>
      <c r="AC96" s="395">
        <v>43.0</v>
      </c>
      <c r="AD96" s="439"/>
      <c r="AE96" s="440">
        <v>10.0</v>
      </c>
      <c r="AF96" s="441"/>
      <c r="AG96" s="439"/>
      <c r="AH96" s="441"/>
      <c r="AI96" s="441"/>
      <c r="AJ96" s="441"/>
      <c r="AK96" s="442">
        <f t="shared" si="1"/>
        <v>2</v>
      </c>
      <c r="AL96" s="442">
        <f t="shared" si="2"/>
        <v>1</v>
      </c>
      <c r="AM96" s="424">
        <f t="shared" si="3"/>
        <v>3</v>
      </c>
      <c r="AN96" s="442" t="str">
        <f t="shared" si="4"/>
        <v>2</v>
      </c>
      <c r="AO96" s="442">
        <f t="shared" si="5"/>
        <v>0</v>
      </c>
      <c r="AP96" s="367"/>
    </row>
    <row r="97">
      <c r="A97" s="385">
        <v>93.0</v>
      </c>
      <c r="B97" s="446" t="s">
        <v>2213</v>
      </c>
      <c r="C97" s="446" t="s">
        <v>3255</v>
      </c>
      <c r="D97" s="402" t="str">
        <f>VLOOKUP(B97,USN!$1:$1088,2,False)</f>
        <v>1CR23EC093</v>
      </c>
      <c r="E97" s="446">
        <v>9.098914544E9</v>
      </c>
      <c r="F97" s="446" t="s">
        <v>3736</v>
      </c>
      <c r="G97" s="367"/>
      <c r="H97" s="447">
        <v>86.0</v>
      </c>
      <c r="I97" s="448">
        <v>88.0</v>
      </c>
      <c r="J97" s="433">
        <f>VLOOKUP(D97,'L3'!$1:$2060,2,False)</f>
        <v>89</v>
      </c>
      <c r="K97" s="433">
        <f>VLOOKUP(D97,'L4'!$1:$2059,2,False)</f>
        <v>72</v>
      </c>
      <c r="L97" s="434">
        <f>VLOOKUP(D97,'A1 RETEST 5 DEC'!$1:$2096,2,FALSE)</f>
        <v>54</v>
      </c>
      <c r="M97" s="434">
        <f>VLOOKUP(D97,'A2 RETEST 4 DEC'!$1:$2096,2,FALSE)</f>
        <v>50</v>
      </c>
      <c r="N97" s="435">
        <v>57.0</v>
      </c>
      <c r="O97" s="449"/>
      <c r="P97" s="436">
        <f>IFNA(VLOOKUP(D97,'S1'!$1:$1325,2,False),0)</f>
        <v>95</v>
      </c>
      <c r="Q97" s="436">
        <f>vlookup(D97,'S2'!A93:B1295,2,0)</f>
        <v>65</v>
      </c>
      <c r="R97" s="436">
        <f>ifna(vlookup(D97,'S3'!$1:$1311,2,False),0)</f>
        <v>85</v>
      </c>
      <c r="S97" s="436"/>
      <c r="T97" s="437">
        <v>18.0</v>
      </c>
      <c r="U97" s="437">
        <v>18.0</v>
      </c>
      <c r="V97" s="437">
        <v>66.0</v>
      </c>
      <c r="W97" s="437">
        <v>76.0</v>
      </c>
      <c r="X97" s="437">
        <v>70.0</v>
      </c>
      <c r="Y97" s="437"/>
      <c r="Z97" s="438"/>
      <c r="AA97" s="450">
        <v>94.0</v>
      </c>
      <c r="AB97" s="409">
        <v>85.0</v>
      </c>
      <c r="AC97" s="395">
        <v>79.0</v>
      </c>
      <c r="AD97" s="439"/>
      <c r="AE97" s="440">
        <v>70.0</v>
      </c>
      <c r="AF97" s="441"/>
      <c r="AG97" s="439"/>
      <c r="AH97" s="451">
        <v>75.0</v>
      </c>
      <c r="AI97" s="441"/>
      <c r="AJ97" s="441"/>
      <c r="AK97" s="442">
        <f t="shared" si="1"/>
        <v>4</v>
      </c>
      <c r="AL97" s="442">
        <f t="shared" si="2"/>
        <v>3</v>
      </c>
      <c r="AM97" s="424">
        <f t="shared" si="3"/>
        <v>3</v>
      </c>
      <c r="AN97" s="442" t="str">
        <f t="shared" si="4"/>
        <v>3.5</v>
      </c>
      <c r="AO97" s="442">
        <f t="shared" si="5"/>
        <v>3</v>
      </c>
      <c r="AP97" s="367"/>
    </row>
    <row r="98">
      <c r="A98" s="385">
        <v>94.0</v>
      </c>
      <c r="B98" s="446" t="s">
        <v>2240</v>
      </c>
      <c r="C98" s="446" t="s">
        <v>3256</v>
      </c>
      <c r="D98" s="402" t="str">
        <f>VLOOKUP(B98,USN!$1:$1088,2,False)</f>
        <v>1CR23EC094</v>
      </c>
      <c r="E98" s="447">
        <v>8.210437277E9</v>
      </c>
      <c r="F98" s="447" t="s">
        <v>3736</v>
      </c>
      <c r="G98" s="367"/>
      <c r="H98" s="447">
        <v>78.0</v>
      </c>
      <c r="I98" s="448">
        <v>79.0</v>
      </c>
      <c r="J98" s="433">
        <f>VLOOKUP(D98,'L3'!$1:$2060,2,False)</f>
        <v>70</v>
      </c>
      <c r="K98" s="433">
        <f>VLOOKUP(D98,'L4'!$1:$2059,2,False)</f>
        <v>55</v>
      </c>
      <c r="L98" s="434">
        <f>VLOOKUP(D98,'A1 RETEST 5 DEC'!$1:$2096,2,FALSE)</f>
        <v>50</v>
      </c>
      <c r="M98" s="434">
        <f>VLOOKUP(D98,'A2 RETEST 4 DEC'!$1:$2096,2,FALSE)</f>
        <v>10</v>
      </c>
      <c r="N98" s="435">
        <v>0.0</v>
      </c>
      <c r="O98" s="449"/>
      <c r="P98" s="436">
        <f>IFNA(VLOOKUP(D98,'S1'!$1:$1325,2,False),0)</f>
        <v>0</v>
      </c>
      <c r="Q98" s="436">
        <f>vlookup(D98,'S2'!A94:B1296,2,0)</f>
        <v>0</v>
      </c>
      <c r="R98" s="436">
        <f>ifna(vlookup(D98,'S3'!$1:$1311,2,False),0)</f>
        <v>0</v>
      </c>
      <c r="S98" s="436"/>
      <c r="T98" s="437">
        <v>14.0</v>
      </c>
      <c r="U98" s="437">
        <v>15.0</v>
      </c>
      <c r="V98" s="437">
        <v>50.0</v>
      </c>
      <c r="W98" s="437"/>
      <c r="X98" s="453"/>
      <c r="Y98" s="437"/>
      <c r="Z98" s="438"/>
      <c r="AA98" s="450">
        <v>24.0</v>
      </c>
      <c r="AB98" s="409">
        <v>50.0</v>
      </c>
      <c r="AC98" s="395">
        <v>0.0</v>
      </c>
      <c r="AD98" s="439"/>
      <c r="AE98" s="440">
        <v>10.0</v>
      </c>
      <c r="AF98" s="441"/>
      <c r="AG98" s="439"/>
      <c r="AH98" s="441"/>
      <c r="AI98" s="441"/>
      <c r="AJ98" s="441"/>
      <c r="AK98" s="442">
        <f t="shared" si="1"/>
        <v>3</v>
      </c>
      <c r="AL98" s="442">
        <f t="shared" si="2"/>
        <v>1</v>
      </c>
      <c r="AM98" s="424">
        <f t="shared" si="3"/>
        <v>2</v>
      </c>
      <c r="AN98" s="442" t="str">
        <f t="shared" si="4"/>
        <v>2</v>
      </c>
      <c r="AO98" s="442">
        <f t="shared" si="5"/>
        <v>0</v>
      </c>
      <c r="AP98" s="367"/>
    </row>
    <row r="99">
      <c r="A99" s="385">
        <v>95.0</v>
      </c>
      <c r="B99" s="446" t="s">
        <v>2262</v>
      </c>
      <c r="C99" s="446" t="s">
        <v>3257</v>
      </c>
      <c r="D99" s="402" t="str">
        <f>VLOOKUP(B99,USN!$1:$1088,2,False)</f>
        <v>1CR23EC096</v>
      </c>
      <c r="E99" s="447">
        <v>7.760690261E9</v>
      </c>
      <c r="F99" s="447" t="s">
        <v>3736</v>
      </c>
      <c r="G99" s="367"/>
      <c r="H99" s="447">
        <v>86.0</v>
      </c>
      <c r="I99" s="448">
        <v>92.0</v>
      </c>
      <c r="J99" s="433">
        <f>VLOOKUP(D99,'L3'!$1:$2060,2,False)</f>
        <v>82</v>
      </c>
      <c r="K99" s="433">
        <f>VLOOKUP(D99,'L4'!$1:$2059,2,False)</f>
        <v>82</v>
      </c>
      <c r="L99" s="434">
        <f>VLOOKUP(D99,'A1 RETEST 5 DEC'!$1:$2096,2,FALSE)</f>
        <v>50</v>
      </c>
      <c r="M99" s="434">
        <f>VLOOKUP(D99,'A2 RETEST 4 DEC'!$1:$2096,2,FALSE)</f>
        <v>50</v>
      </c>
      <c r="N99" s="435">
        <v>50.0</v>
      </c>
      <c r="O99" s="449"/>
      <c r="P99" s="436">
        <f>IFNA(VLOOKUP(D99,'S1'!$1:$1325,2,False),0)</f>
        <v>70</v>
      </c>
      <c r="Q99" s="436">
        <f>vlookup(D99,'S2'!A95:B1297,2,0)</f>
        <v>66</v>
      </c>
      <c r="R99" s="436">
        <f>ifna(vlookup(D99,'S3'!$1:$1311,2,False),0)</f>
        <v>86</v>
      </c>
      <c r="S99" s="436"/>
      <c r="T99" s="437">
        <v>11.0</v>
      </c>
      <c r="U99" s="437">
        <v>19.0</v>
      </c>
      <c r="V99" s="437">
        <v>50.0</v>
      </c>
      <c r="W99" s="437">
        <v>82.0</v>
      </c>
      <c r="X99" s="437">
        <v>74.0</v>
      </c>
      <c r="Y99" s="437"/>
      <c r="Z99" s="438"/>
      <c r="AA99" s="450">
        <v>84.0</v>
      </c>
      <c r="AB99" s="409">
        <v>100.0</v>
      </c>
      <c r="AC99" s="395">
        <v>13.0</v>
      </c>
      <c r="AD99" s="439"/>
      <c r="AE99" s="440">
        <v>70.0</v>
      </c>
      <c r="AF99" s="441"/>
      <c r="AG99" s="439">
        <v>75.0</v>
      </c>
      <c r="AH99" s="441"/>
      <c r="AI99" s="441"/>
      <c r="AJ99" s="441"/>
      <c r="AK99" s="442">
        <f t="shared" si="1"/>
        <v>4</v>
      </c>
      <c r="AL99" s="442">
        <f t="shared" si="2"/>
        <v>3</v>
      </c>
      <c r="AM99" s="424">
        <f t="shared" si="3"/>
        <v>3</v>
      </c>
      <c r="AN99" s="442" t="str">
        <f t="shared" si="4"/>
        <v>2</v>
      </c>
      <c r="AO99" s="442">
        <f t="shared" si="5"/>
        <v>3</v>
      </c>
      <c r="AP99" s="367"/>
    </row>
    <row r="100">
      <c r="A100" s="385">
        <v>96.0</v>
      </c>
      <c r="B100" s="446" t="s">
        <v>2241</v>
      </c>
      <c r="C100" s="446" t="s">
        <v>3258</v>
      </c>
      <c r="D100" s="402" t="str">
        <f>VLOOKUP(B100,USN!$1:$1088,2,False)</f>
        <v>1CR23EC097</v>
      </c>
      <c r="E100" s="447">
        <v>9.972744156E9</v>
      </c>
      <c r="F100" s="447" t="s">
        <v>3736</v>
      </c>
      <c r="G100" s="367"/>
      <c r="H100" s="447">
        <v>78.0</v>
      </c>
      <c r="I100" s="448">
        <v>71.0</v>
      </c>
      <c r="J100" s="433">
        <f>VLOOKUP(D100,'L3'!$1:$2060,2,False)</f>
        <v>70</v>
      </c>
      <c r="K100" s="433">
        <f>VLOOKUP(D100,'L4'!$1:$2059,2,False)</f>
        <v>70</v>
      </c>
      <c r="L100" s="434">
        <f>VLOOKUP(D100,'A1 RETEST 5 DEC'!$1:$2096,2,FALSE)</f>
        <v>50</v>
      </c>
      <c r="M100" s="434">
        <f>VLOOKUP(D100,'A2 RETEST 4 DEC'!$1:$2096,2,FALSE)</f>
        <v>50</v>
      </c>
      <c r="N100" s="435">
        <v>24.0</v>
      </c>
      <c r="O100" s="449"/>
      <c r="P100" s="436">
        <f>IFNA(VLOOKUP(D100,'S1'!$1:$1325,2,False),0)</f>
        <v>75</v>
      </c>
      <c r="Q100" s="436">
        <f>vlookup(D100,'S2'!A96:B1298,2,0)</f>
        <v>50</v>
      </c>
      <c r="R100" s="436">
        <f>ifna(vlookup(D100,'S3'!$1:$1311,2,False),0)</f>
        <v>85</v>
      </c>
      <c r="S100" s="436"/>
      <c r="T100" s="437">
        <v>16.0</v>
      </c>
      <c r="U100" s="437">
        <v>17.0</v>
      </c>
      <c r="V100" s="437">
        <v>54.0</v>
      </c>
      <c r="W100" s="437">
        <v>78.0</v>
      </c>
      <c r="X100" s="437">
        <v>64.0</v>
      </c>
      <c r="Y100" s="437"/>
      <c r="Z100" s="438"/>
      <c r="AA100" s="450">
        <v>20.0</v>
      </c>
      <c r="AB100" s="409">
        <v>100.0</v>
      </c>
      <c r="AC100" s="395">
        <v>70.0</v>
      </c>
      <c r="AD100" s="439"/>
      <c r="AE100" s="440">
        <v>60.0</v>
      </c>
      <c r="AF100" s="441"/>
      <c r="AG100" s="439"/>
      <c r="AH100" s="441"/>
      <c r="AI100" s="441"/>
      <c r="AJ100" s="441"/>
      <c r="AK100" s="442">
        <f t="shared" si="1"/>
        <v>4</v>
      </c>
      <c r="AL100" s="442">
        <f t="shared" si="2"/>
        <v>2</v>
      </c>
      <c r="AM100" s="424">
        <f t="shared" si="3"/>
        <v>3</v>
      </c>
      <c r="AN100" s="442" t="str">
        <f t="shared" si="4"/>
        <v>3</v>
      </c>
      <c r="AO100" s="442">
        <f t="shared" si="5"/>
        <v>3</v>
      </c>
      <c r="AP100" s="367"/>
    </row>
    <row r="101">
      <c r="A101" s="385">
        <v>97.0</v>
      </c>
      <c r="B101" s="446" t="s">
        <v>2242</v>
      </c>
      <c r="C101" s="446" t="s">
        <v>3259</v>
      </c>
      <c r="D101" s="402" t="str">
        <f>VLOOKUP(B101,USN!$1:$1088,2,False)</f>
        <v>1CR23EC098</v>
      </c>
      <c r="E101" s="447">
        <v>9.611355322E9</v>
      </c>
      <c r="F101" s="447" t="s">
        <v>3736</v>
      </c>
      <c r="G101" s="367"/>
      <c r="H101" s="447">
        <v>82.0</v>
      </c>
      <c r="I101" s="448">
        <v>85.0</v>
      </c>
      <c r="J101" s="433">
        <f>VLOOKUP(D101,'L3'!$1:$2060,2,False)</f>
        <v>72</v>
      </c>
      <c r="K101" s="433">
        <f>VLOOKUP(D101,'L4'!$1:$2059,2,False)</f>
        <v>70</v>
      </c>
      <c r="L101" s="434">
        <f>VLOOKUP(D101,'A1 RETEST 5 DEC'!$1:$2096,2,FALSE)</f>
        <v>50</v>
      </c>
      <c r="M101" s="434">
        <f>VLOOKUP(D101,'A2 RETEST 4 DEC'!$1:$2096,2,FALSE)</f>
        <v>50</v>
      </c>
      <c r="N101" s="435">
        <v>15.0</v>
      </c>
      <c r="O101" s="449"/>
      <c r="P101" s="436">
        <f>IFNA(VLOOKUP(D101,'S1'!$1:$1325,2,False),0)</f>
        <v>79</v>
      </c>
      <c r="Q101" s="436">
        <f>vlookup(D101,'S2'!A97:B1299,2,0)</f>
        <v>56</v>
      </c>
      <c r="R101" s="436">
        <f>ifna(vlookup(D101,'S3'!$1:$1311,2,False),0)</f>
        <v>74</v>
      </c>
      <c r="S101" s="436"/>
      <c r="T101" s="437">
        <v>11.0</v>
      </c>
      <c r="U101" s="437">
        <v>21.0</v>
      </c>
      <c r="V101" s="437">
        <v>30.0</v>
      </c>
      <c r="W101" s="437">
        <v>0.0</v>
      </c>
      <c r="X101" s="437">
        <v>82.0</v>
      </c>
      <c r="Y101" s="437"/>
      <c r="Z101" s="438"/>
      <c r="AA101" s="450">
        <v>87.0</v>
      </c>
      <c r="AB101" s="409">
        <v>84.0</v>
      </c>
      <c r="AC101" s="395">
        <v>100.0</v>
      </c>
      <c r="AD101" s="439"/>
      <c r="AE101" s="440">
        <v>10.0</v>
      </c>
      <c r="AF101" s="441"/>
      <c r="AG101" s="439"/>
      <c r="AH101" s="451">
        <v>12.0</v>
      </c>
      <c r="AI101" s="441"/>
      <c r="AJ101" s="441"/>
      <c r="AK101" s="442">
        <f t="shared" si="1"/>
        <v>4</v>
      </c>
      <c r="AL101" s="442">
        <f t="shared" si="2"/>
        <v>2</v>
      </c>
      <c r="AM101" s="424">
        <f t="shared" si="3"/>
        <v>2</v>
      </c>
      <c r="AN101" s="442" t="str">
        <f t="shared" si="4"/>
        <v>3</v>
      </c>
      <c r="AO101" s="442">
        <f t="shared" si="5"/>
        <v>3</v>
      </c>
      <c r="AP101" s="367"/>
    </row>
    <row r="102">
      <c r="A102" s="385">
        <v>98.0</v>
      </c>
      <c r="B102" s="446" t="s">
        <v>2243</v>
      </c>
      <c r="C102" s="446" t="s">
        <v>3762</v>
      </c>
      <c r="D102" s="402" t="str">
        <f>VLOOKUP(B102,USN!$1:$1088,2,False)</f>
        <v>1CR23EC099</v>
      </c>
      <c r="E102" s="447">
        <v>9.019596616E9</v>
      </c>
      <c r="F102" s="447" t="s">
        <v>3736</v>
      </c>
      <c r="G102" s="367"/>
      <c r="H102" s="447">
        <v>81.0</v>
      </c>
      <c r="I102" s="448">
        <v>85.0</v>
      </c>
      <c r="J102" s="433">
        <f>VLOOKUP(D102,'L3'!$1:$2060,2,False)</f>
        <v>71</v>
      </c>
      <c r="K102" s="433">
        <f>VLOOKUP(D102,'L4'!$1:$2059,2,False)</f>
        <v>70</v>
      </c>
      <c r="L102" s="434">
        <f>VLOOKUP(D102,'A1 RETEST 5 DEC'!$1:$2096,2,FALSE)</f>
        <v>50</v>
      </c>
      <c r="M102" s="434">
        <f>VLOOKUP(D102,'A2 RETEST 4 DEC'!$1:$2096,2,FALSE)</f>
        <v>11</v>
      </c>
      <c r="N102" s="435">
        <v>0.0</v>
      </c>
      <c r="O102" s="449"/>
      <c r="P102" s="436">
        <f>IFNA(VLOOKUP(D102,'S1'!$1:$1325,2,False),0)</f>
        <v>71</v>
      </c>
      <c r="Q102" s="436">
        <f>vlookup(D102,'S2'!A98:B1300,2,0)</f>
        <v>68</v>
      </c>
      <c r="R102" s="436">
        <f>ifna(vlookup(D102,'S3'!$1:$1311,2,False),0)</f>
        <v>0</v>
      </c>
      <c r="S102" s="436"/>
      <c r="T102" s="437">
        <v>18.0</v>
      </c>
      <c r="U102" s="437">
        <v>13.0</v>
      </c>
      <c r="V102" s="437">
        <v>24.0</v>
      </c>
      <c r="W102" s="437">
        <v>84.0</v>
      </c>
      <c r="X102" s="437">
        <v>58.0</v>
      </c>
      <c r="Y102" s="437"/>
      <c r="Z102" s="438"/>
      <c r="AA102" s="450">
        <v>81.8</v>
      </c>
      <c r="AB102" s="409">
        <v>68.0</v>
      </c>
      <c r="AC102" s="395">
        <v>70.0</v>
      </c>
      <c r="AD102" s="439"/>
      <c r="AE102" s="440">
        <v>10.0</v>
      </c>
      <c r="AF102" s="441"/>
      <c r="AG102" s="439"/>
      <c r="AH102" s="441"/>
      <c r="AI102" s="441"/>
      <c r="AJ102" s="441"/>
      <c r="AK102" s="442">
        <f t="shared" si="1"/>
        <v>4</v>
      </c>
      <c r="AL102" s="442">
        <f t="shared" si="2"/>
        <v>1</v>
      </c>
      <c r="AM102" s="424">
        <f t="shared" si="3"/>
        <v>3</v>
      </c>
      <c r="AN102" s="442" t="str">
        <f t="shared" si="4"/>
        <v>3</v>
      </c>
      <c r="AO102" s="442">
        <f t="shared" si="5"/>
        <v>2</v>
      </c>
      <c r="AP102" s="367"/>
    </row>
    <row r="103">
      <c r="A103" s="385">
        <v>99.0</v>
      </c>
      <c r="B103" s="446" t="s">
        <v>2244</v>
      </c>
      <c r="C103" s="446" t="s">
        <v>3763</v>
      </c>
      <c r="D103" s="402" t="str">
        <f>VLOOKUP(B103,USN!$1:$1088,2,False)</f>
        <v>1CR23EC100</v>
      </c>
      <c r="E103" s="447">
        <v>9.538792572E9</v>
      </c>
      <c r="F103" s="447" t="s">
        <v>3736</v>
      </c>
      <c r="G103" s="367"/>
      <c r="H103" s="447">
        <v>85.0</v>
      </c>
      <c r="I103" s="448">
        <v>90.0</v>
      </c>
      <c r="J103" s="433">
        <f>VLOOKUP(D103,'L3'!$1:$2060,2,False)</f>
        <v>84</v>
      </c>
      <c r="K103" s="433">
        <f>VLOOKUP(D103,'L4'!$1:$2059,2,False)</f>
        <v>85</v>
      </c>
      <c r="L103" s="434">
        <f>VLOOKUP(D103,'A1 RETEST 5 DEC'!$1:$2096,2,FALSE)</f>
        <v>50</v>
      </c>
      <c r="M103" s="434">
        <f>VLOOKUP(D103,'A2 RETEST 4 DEC'!$1:$2096,2,FALSE)</f>
        <v>50</v>
      </c>
      <c r="N103" s="435">
        <v>50.0</v>
      </c>
      <c r="O103" s="449"/>
      <c r="P103" s="436">
        <f>IFNA(VLOOKUP(D103,'S1'!$1:$1325,2,False),0)</f>
        <v>71</v>
      </c>
      <c r="Q103" s="436">
        <f>vlookup(D103,'S2'!A99:B1301,2,0)</f>
        <v>68</v>
      </c>
      <c r="R103" s="436">
        <f>ifna(vlookup(D103,'S3'!$1:$1311,2,False),0)</f>
        <v>72</v>
      </c>
      <c r="S103" s="436"/>
      <c r="T103" s="437">
        <v>16.0</v>
      </c>
      <c r="U103" s="437">
        <v>15.0</v>
      </c>
      <c r="V103" s="437">
        <v>24.0</v>
      </c>
      <c r="W103" s="437">
        <v>82.0</v>
      </c>
      <c r="X103" s="437">
        <v>66.0</v>
      </c>
      <c r="Y103" s="437"/>
      <c r="Z103" s="438"/>
      <c r="AA103" s="450">
        <v>98.6</v>
      </c>
      <c r="AB103" s="409">
        <v>90.0</v>
      </c>
      <c r="AC103" s="395">
        <v>66.0</v>
      </c>
      <c r="AD103" s="439"/>
      <c r="AE103" s="440">
        <v>70.0</v>
      </c>
      <c r="AF103" s="441"/>
      <c r="AG103" s="439">
        <v>74.0</v>
      </c>
      <c r="AH103" s="441"/>
      <c r="AI103" s="441"/>
      <c r="AJ103" s="441"/>
      <c r="AK103" s="442">
        <f t="shared" si="1"/>
        <v>4</v>
      </c>
      <c r="AL103" s="442">
        <f t="shared" si="2"/>
        <v>3</v>
      </c>
      <c r="AM103" s="424">
        <f t="shared" si="3"/>
        <v>3</v>
      </c>
      <c r="AN103" s="442" t="str">
        <f t="shared" si="4"/>
        <v>3.5</v>
      </c>
      <c r="AO103" s="442">
        <f t="shared" si="5"/>
        <v>3</v>
      </c>
      <c r="AP103" s="367"/>
    </row>
    <row r="104">
      <c r="A104" s="385">
        <v>100.0</v>
      </c>
      <c r="B104" s="446" t="s">
        <v>2245</v>
      </c>
      <c r="C104" s="446" t="s">
        <v>3262</v>
      </c>
      <c r="D104" s="402" t="str">
        <f>VLOOKUP(B104,USN!$1:$1088,2,False)</f>
        <v>1CR23EC101</v>
      </c>
      <c r="E104" s="447">
        <v>8.088878107E9</v>
      </c>
      <c r="F104" s="447" t="s">
        <v>3736</v>
      </c>
      <c r="G104" s="367"/>
      <c r="H104" s="447">
        <v>86.0</v>
      </c>
      <c r="I104" s="448">
        <v>84.0</v>
      </c>
      <c r="J104" s="433">
        <f>VLOOKUP(D104,'L3'!$1:$2060,2,False)</f>
        <v>72</v>
      </c>
      <c r="K104" s="433">
        <f>VLOOKUP(D104,'L4'!$1:$2059,2,False)</f>
        <v>80</v>
      </c>
      <c r="L104" s="434">
        <f>VLOOKUP(D104,'A1 RETEST 5 DEC'!$1:$2096,2,FALSE)</f>
        <v>50</v>
      </c>
      <c r="M104" s="434">
        <f>VLOOKUP(D104,'A2 RETEST 4 DEC'!$1:$2096,2,FALSE)</f>
        <v>50</v>
      </c>
      <c r="N104" s="435">
        <v>50.0</v>
      </c>
      <c r="O104" s="449"/>
      <c r="P104" s="436">
        <f>IFNA(VLOOKUP(D104,'S1'!$1:$1325,2,False),0)</f>
        <v>70</v>
      </c>
      <c r="Q104" s="436">
        <f>vlookup(D104,'S2'!A100:B1302,2,0)</f>
        <v>50</v>
      </c>
      <c r="R104" s="436">
        <f>ifna(vlookup(D104,'S3'!$1:$1311,2,False),0)</f>
        <v>72</v>
      </c>
      <c r="S104" s="436"/>
      <c r="T104" s="437">
        <v>14.0</v>
      </c>
      <c r="U104" s="437">
        <v>7.0</v>
      </c>
      <c r="V104" s="437">
        <v>50.0</v>
      </c>
      <c r="W104" s="437">
        <v>76.0</v>
      </c>
      <c r="X104" s="437">
        <v>64.0</v>
      </c>
      <c r="Y104" s="437"/>
      <c r="Z104" s="438"/>
      <c r="AA104" s="450">
        <v>0.0</v>
      </c>
      <c r="AB104" s="409">
        <v>60.0</v>
      </c>
      <c r="AC104" s="395">
        <v>60.0</v>
      </c>
      <c r="AD104" s="439"/>
      <c r="AE104" s="440">
        <v>15.0</v>
      </c>
      <c r="AF104" s="441"/>
      <c r="AG104" s="439"/>
      <c r="AH104" s="441"/>
      <c r="AI104" s="441"/>
      <c r="AJ104" s="441"/>
      <c r="AK104" s="442">
        <f t="shared" si="1"/>
        <v>4</v>
      </c>
      <c r="AL104" s="442">
        <f t="shared" si="2"/>
        <v>3</v>
      </c>
      <c r="AM104" s="424">
        <f t="shared" si="3"/>
        <v>0</v>
      </c>
      <c r="AN104" s="442" t="str">
        <f t="shared" si="4"/>
        <v>3</v>
      </c>
      <c r="AO104" s="442">
        <f t="shared" si="5"/>
        <v>3</v>
      </c>
      <c r="AP104" s="367"/>
    </row>
    <row r="105">
      <c r="A105" s="385">
        <v>101.0</v>
      </c>
      <c r="B105" s="446" t="s">
        <v>2246</v>
      </c>
      <c r="C105" s="446" t="s">
        <v>3263</v>
      </c>
      <c r="D105" s="402" t="str">
        <f>VLOOKUP(B105,USN!$1:$1088,2,False)</f>
        <v>1CR23EC102</v>
      </c>
      <c r="E105" s="447">
        <v>7.348810518E9</v>
      </c>
      <c r="F105" s="447" t="s">
        <v>3736</v>
      </c>
      <c r="G105" s="367"/>
      <c r="H105" s="447">
        <v>87.0</v>
      </c>
      <c r="I105" s="448">
        <v>83.0</v>
      </c>
      <c r="J105" s="433">
        <f>VLOOKUP(D105,'L3'!$1:$2060,2,False)</f>
        <v>77</v>
      </c>
      <c r="K105" s="433">
        <f>VLOOKUP(D105,'L4'!$1:$2059,2,False)</f>
        <v>70</v>
      </c>
      <c r="L105" s="434">
        <f>VLOOKUP(D105,'A1 RETEST 5 DEC'!$1:$2096,2,FALSE)</f>
        <v>50</v>
      </c>
      <c r="M105" s="434">
        <f>VLOOKUP(D105,'A2 RETEST 4 DEC'!$1:$2096,2,FALSE)</f>
        <v>50</v>
      </c>
      <c r="N105" s="435">
        <v>50.0</v>
      </c>
      <c r="O105" s="449"/>
      <c r="P105" s="436">
        <f>IFNA(VLOOKUP(D105,'S1'!$1:$1325,2,False),0)</f>
        <v>70</v>
      </c>
      <c r="Q105" s="436">
        <f>vlookup(D105,'S2'!A101:B1303,2,0)</f>
        <v>70</v>
      </c>
      <c r="R105" s="436">
        <f>ifna(vlookup(D105,'S3'!$1:$1311,2,False),0)</f>
        <v>77</v>
      </c>
      <c r="S105" s="436"/>
      <c r="T105" s="437">
        <v>20.0</v>
      </c>
      <c r="U105" s="437">
        <v>21.0</v>
      </c>
      <c r="V105" s="437">
        <v>0.0</v>
      </c>
      <c r="W105" s="437">
        <v>80.0</v>
      </c>
      <c r="X105" s="437">
        <v>78.0</v>
      </c>
      <c r="Y105" s="437"/>
      <c r="Z105" s="438"/>
      <c r="AA105" s="450">
        <v>100.0</v>
      </c>
      <c r="AB105" s="409">
        <v>100.0</v>
      </c>
      <c r="AC105" s="395">
        <v>60.0</v>
      </c>
      <c r="AD105" s="439"/>
      <c r="AE105" s="440">
        <v>10.0</v>
      </c>
      <c r="AF105" s="441"/>
      <c r="AG105" s="439"/>
      <c r="AH105" s="441"/>
      <c r="AI105" s="441"/>
      <c r="AJ105" s="441"/>
      <c r="AK105" s="442">
        <f t="shared" si="1"/>
        <v>4</v>
      </c>
      <c r="AL105" s="442">
        <f t="shared" si="2"/>
        <v>3</v>
      </c>
      <c r="AM105" s="424">
        <f t="shared" si="3"/>
        <v>3</v>
      </c>
      <c r="AN105" s="442" t="str">
        <f t="shared" si="4"/>
        <v>3</v>
      </c>
      <c r="AO105" s="442">
        <f t="shared" si="5"/>
        <v>3</v>
      </c>
      <c r="AP105" s="367"/>
    </row>
    <row r="106">
      <c r="A106" s="385">
        <v>102.0</v>
      </c>
      <c r="B106" s="446" t="s">
        <v>2247</v>
      </c>
      <c r="C106" s="446" t="s">
        <v>3264</v>
      </c>
      <c r="D106" s="402" t="str">
        <f>VLOOKUP(B106,USN!$1:$1088,2,False)</f>
        <v>1CR23EC103</v>
      </c>
      <c r="E106" s="447">
        <v>6.361445365E9</v>
      </c>
      <c r="F106" s="447" t="s">
        <v>3736</v>
      </c>
      <c r="G106" s="367"/>
      <c r="H106" s="447">
        <v>87.0</v>
      </c>
      <c r="I106" s="448">
        <v>79.0</v>
      </c>
      <c r="J106" s="433">
        <f>VLOOKUP(D106,'L3'!$1:$2060,2,False)</f>
        <v>82</v>
      </c>
      <c r="K106" s="433">
        <f>VLOOKUP(D106,'L4'!$1:$2059,2,False)</f>
        <v>70</v>
      </c>
      <c r="L106" s="434">
        <f>VLOOKUP(D106,'A1 RETEST 5 DEC'!$1:$2096,2,FALSE)</f>
        <v>50</v>
      </c>
      <c r="M106" s="434">
        <f>VLOOKUP(D106,'A2 RETEST 4 DEC'!$1:$2096,2,FALSE)</f>
        <v>13</v>
      </c>
      <c r="N106" s="435">
        <v>50.0</v>
      </c>
      <c r="O106" s="449"/>
      <c r="P106" s="436">
        <f>IFNA(VLOOKUP(D106,'S1'!$1:$1325,2,False),0)</f>
        <v>71</v>
      </c>
      <c r="Q106" s="436">
        <f>vlookup(D106,'S2'!A102:B1304,2,0)</f>
        <v>68</v>
      </c>
      <c r="R106" s="436">
        <f>ifna(vlookup(D106,'S3'!$1:$1311,2,False),0)</f>
        <v>50</v>
      </c>
      <c r="S106" s="436"/>
      <c r="T106" s="437">
        <v>16.0</v>
      </c>
      <c r="U106" s="437">
        <v>22.0</v>
      </c>
      <c r="V106" s="437">
        <v>28.0</v>
      </c>
      <c r="W106" s="437">
        <v>80.0</v>
      </c>
      <c r="X106" s="437">
        <v>56.0</v>
      </c>
      <c r="Y106" s="437"/>
      <c r="Z106" s="438"/>
      <c r="AA106" s="450">
        <v>81.8</v>
      </c>
      <c r="AB106" s="409">
        <v>72.0</v>
      </c>
      <c r="AC106" s="395">
        <v>35.0</v>
      </c>
      <c r="AD106" s="439"/>
      <c r="AE106" s="440">
        <v>10.0</v>
      </c>
      <c r="AF106" s="441"/>
      <c r="AG106" s="439"/>
      <c r="AH106" s="451">
        <v>40.0</v>
      </c>
      <c r="AI106" s="441"/>
      <c r="AJ106" s="441"/>
      <c r="AK106" s="442">
        <f t="shared" si="1"/>
        <v>4</v>
      </c>
      <c r="AL106" s="442">
        <f t="shared" si="2"/>
        <v>1</v>
      </c>
      <c r="AM106" s="424">
        <f t="shared" si="3"/>
        <v>3</v>
      </c>
      <c r="AN106" s="442" t="str">
        <f t="shared" si="4"/>
        <v>2</v>
      </c>
      <c r="AO106" s="442">
        <f t="shared" si="5"/>
        <v>3</v>
      </c>
      <c r="AP106" s="367"/>
    </row>
    <row r="107">
      <c r="A107" s="385">
        <v>103.0</v>
      </c>
      <c r="B107" s="446" t="s">
        <v>2248</v>
      </c>
      <c r="C107" s="446" t="s">
        <v>3265</v>
      </c>
      <c r="D107" s="402" t="str">
        <f>VLOOKUP(B107,USN!$1:$1088,2,False)</f>
        <v>1CR23EC104</v>
      </c>
      <c r="E107" s="447">
        <v>7.022801269E9</v>
      </c>
      <c r="F107" s="447" t="s">
        <v>3736</v>
      </c>
      <c r="G107" s="367"/>
      <c r="H107" s="447">
        <v>74.0</v>
      </c>
      <c r="I107" s="448">
        <v>84.0</v>
      </c>
      <c r="J107" s="433">
        <f>VLOOKUP(D107,'L3'!$1:$2060,2,False)</f>
        <v>80</v>
      </c>
      <c r="K107" s="433">
        <f>VLOOKUP(D107,'L4'!$1:$2059,2,False)</f>
        <v>70</v>
      </c>
      <c r="L107" s="434">
        <f>VLOOKUP(D107,'A1 RETEST 5 DEC'!$1:$2096,2,FALSE)</f>
        <v>50</v>
      </c>
      <c r="M107" s="434">
        <f>VLOOKUP(D107,'A2 RETEST 4 DEC'!$1:$2096,2,FALSE)</f>
        <v>50</v>
      </c>
      <c r="N107" s="435">
        <v>18.0</v>
      </c>
      <c r="O107" s="449"/>
      <c r="P107" s="436">
        <f>IFNA(VLOOKUP(D107,'S1'!$1:$1325,2,False),0)</f>
        <v>72</v>
      </c>
      <c r="Q107" s="436">
        <f>vlookup(D107,'S2'!A103:B1305,2,0)</f>
        <v>70</v>
      </c>
      <c r="R107" s="436">
        <f>ifna(vlookup(D107,'S3'!$1:$1311,2,False),0)</f>
        <v>69</v>
      </c>
      <c r="S107" s="436"/>
      <c r="T107" s="437">
        <v>11.0</v>
      </c>
      <c r="U107" s="437">
        <v>13.0</v>
      </c>
      <c r="V107" s="437">
        <v>36.0</v>
      </c>
      <c r="W107" s="437">
        <v>70.0</v>
      </c>
      <c r="X107" s="445"/>
      <c r="Y107" s="437"/>
      <c r="Z107" s="438"/>
      <c r="AA107" s="450">
        <v>98.19999999999999</v>
      </c>
      <c r="AB107" s="409">
        <v>60.0</v>
      </c>
      <c r="AC107" s="395">
        <v>100.0</v>
      </c>
      <c r="AD107" s="439"/>
      <c r="AE107" s="440">
        <v>50.0</v>
      </c>
      <c r="AF107" s="441"/>
      <c r="AG107" s="439"/>
      <c r="AH107" s="451">
        <v>81.0</v>
      </c>
      <c r="AI107" s="441"/>
      <c r="AJ107" s="441"/>
      <c r="AK107" s="442">
        <f t="shared" si="1"/>
        <v>4</v>
      </c>
      <c r="AL107" s="442">
        <f t="shared" si="2"/>
        <v>2</v>
      </c>
      <c r="AM107" s="424">
        <f t="shared" si="3"/>
        <v>3</v>
      </c>
      <c r="AN107" s="442" t="str">
        <f t="shared" si="4"/>
        <v>3</v>
      </c>
      <c r="AO107" s="442">
        <f t="shared" si="5"/>
        <v>3</v>
      </c>
      <c r="AP107" s="367"/>
    </row>
    <row r="108">
      <c r="A108" s="385">
        <v>104.0</v>
      </c>
      <c r="B108" s="446" t="s">
        <v>2249</v>
      </c>
      <c r="C108" s="446" t="s">
        <v>3266</v>
      </c>
      <c r="D108" s="402" t="str">
        <f>VLOOKUP(B108,USN!$1:$1088,2,False)</f>
        <v>1CR23EC105</v>
      </c>
      <c r="E108" s="447">
        <v>9.972819049E9</v>
      </c>
      <c r="F108" s="447" t="s">
        <v>3736</v>
      </c>
      <c r="G108" s="367"/>
      <c r="H108" s="447">
        <v>89.0</v>
      </c>
      <c r="I108" s="448">
        <v>91.0</v>
      </c>
      <c r="J108" s="433">
        <f>VLOOKUP(D108,'L3'!$1:$2060,2,False)</f>
        <v>82</v>
      </c>
      <c r="K108" s="433">
        <f>VLOOKUP(D108,'L4'!$1:$2059,2,False)</f>
        <v>80</v>
      </c>
      <c r="L108" s="434">
        <f>VLOOKUP(D108,'A1 RETEST 5 DEC'!$1:$2096,2,FALSE)</f>
        <v>72</v>
      </c>
      <c r="M108" s="434">
        <f>VLOOKUP(D108,'A2 RETEST 4 DEC'!$1:$2096,2,FALSE)</f>
        <v>50</v>
      </c>
      <c r="N108" s="435">
        <v>61.0</v>
      </c>
      <c r="O108" s="449"/>
      <c r="P108" s="436">
        <f>IFNA(VLOOKUP(D108,'S1'!$1:$1325,2,False),0)</f>
        <v>71</v>
      </c>
      <c r="Q108" s="436">
        <f>vlookup(D108,'S2'!A104:B1306,2,0)</f>
        <v>68</v>
      </c>
      <c r="R108" s="436">
        <f>ifna(vlookup(D108,'S3'!$1:$1311,2,False),0)</f>
        <v>89</v>
      </c>
      <c r="S108" s="436"/>
      <c r="T108" s="437">
        <v>16.0</v>
      </c>
      <c r="U108" s="437">
        <v>22.0</v>
      </c>
      <c r="V108" s="437">
        <v>24.0</v>
      </c>
      <c r="W108" s="437">
        <v>84.0</v>
      </c>
      <c r="X108" s="437">
        <v>62.0</v>
      </c>
      <c r="Y108" s="437"/>
      <c r="Z108" s="438"/>
      <c r="AA108" s="450">
        <v>99.6</v>
      </c>
      <c r="AB108" s="409">
        <v>100.0</v>
      </c>
      <c r="AC108" s="395">
        <v>100.0</v>
      </c>
      <c r="AD108" s="439"/>
      <c r="AE108" s="440">
        <v>70.0</v>
      </c>
      <c r="AF108" s="441"/>
      <c r="AG108" s="439">
        <v>82.0</v>
      </c>
      <c r="AH108" s="441"/>
      <c r="AI108" s="441"/>
      <c r="AJ108" s="441"/>
      <c r="AK108" s="442">
        <f t="shared" si="1"/>
        <v>4</v>
      </c>
      <c r="AL108" s="442">
        <f t="shared" si="2"/>
        <v>3</v>
      </c>
      <c r="AM108" s="424">
        <f t="shared" si="3"/>
        <v>3</v>
      </c>
      <c r="AN108" s="442" t="str">
        <f t="shared" si="4"/>
        <v>3.5</v>
      </c>
      <c r="AO108" s="442">
        <f t="shared" si="5"/>
        <v>3</v>
      </c>
      <c r="AP108" s="367"/>
    </row>
    <row r="109">
      <c r="A109" s="385">
        <v>105.0</v>
      </c>
      <c r="B109" s="446" t="s">
        <v>2250</v>
      </c>
      <c r="C109" s="446" t="s">
        <v>3267</v>
      </c>
      <c r="D109" s="402" t="str">
        <f>VLOOKUP(B109,USN!$1:$1088,2,False)</f>
        <v>1CR23EC106</v>
      </c>
      <c r="E109" s="447">
        <v>9.39292162E9</v>
      </c>
      <c r="F109" s="447" t="s">
        <v>3736</v>
      </c>
      <c r="G109" s="367"/>
      <c r="H109" s="447">
        <v>75.0</v>
      </c>
      <c r="I109" s="448">
        <v>79.0</v>
      </c>
      <c r="J109" s="433">
        <f>VLOOKUP(D109,'L3'!$1:$2060,2,False)</f>
        <v>70</v>
      </c>
      <c r="K109" s="433">
        <f>VLOOKUP(D109,'L4'!$1:$2059,2,False)</f>
        <v>70</v>
      </c>
      <c r="L109" s="434">
        <f>VLOOKUP(D109,'A1 RETEST 5 DEC'!$1:$2096,2,FALSE)</f>
        <v>53</v>
      </c>
      <c r="M109" s="434">
        <f>VLOOKUP(D109,'A2 RETEST 4 DEC'!$1:$2096,2,FALSE)</f>
        <v>50</v>
      </c>
      <c r="N109" s="435">
        <v>50.0</v>
      </c>
      <c r="O109" s="449"/>
      <c r="P109" s="436">
        <f>IFNA(VLOOKUP(D109,'S1'!$1:$1325,2,False),0)</f>
        <v>75</v>
      </c>
      <c r="Q109" s="436">
        <f>vlookup(D109,'S2'!A105:B1307,2,0)</f>
        <v>68</v>
      </c>
      <c r="R109" s="436">
        <f>ifna(vlookup(D109,'S3'!$1:$1311,2,False),0)</f>
        <v>50</v>
      </c>
      <c r="S109" s="436"/>
      <c r="T109" s="437">
        <v>11.0</v>
      </c>
      <c r="U109" s="437">
        <v>13.0</v>
      </c>
      <c r="V109" s="437">
        <v>40.0</v>
      </c>
      <c r="W109" s="437">
        <v>76.0</v>
      </c>
      <c r="X109" s="437">
        <v>72.0</v>
      </c>
      <c r="Y109" s="437"/>
      <c r="Z109" s="438"/>
      <c r="AA109" s="450">
        <v>77.2</v>
      </c>
      <c r="AB109" s="409">
        <v>68.0</v>
      </c>
      <c r="AC109" s="395">
        <v>49.0</v>
      </c>
      <c r="AD109" s="439"/>
      <c r="AE109" s="440">
        <v>13.0</v>
      </c>
      <c r="AF109" s="441"/>
      <c r="AG109" s="439">
        <v>70.0</v>
      </c>
      <c r="AH109" s="441"/>
      <c r="AI109" s="441"/>
      <c r="AJ109" s="441"/>
      <c r="AK109" s="442">
        <f t="shared" si="1"/>
        <v>4</v>
      </c>
      <c r="AL109" s="442">
        <f t="shared" si="2"/>
        <v>3</v>
      </c>
      <c r="AM109" s="424">
        <f t="shared" si="3"/>
        <v>3</v>
      </c>
      <c r="AN109" s="442" t="str">
        <f t="shared" si="4"/>
        <v>2</v>
      </c>
      <c r="AO109" s="442">
        <f t="shared" si="5"/>
        <v>3</v>
      </c>
      <c r="AP109" s="367"/>
    </row>
    <row r="110">
      <c r="A110" s="385">
        <v>106.0</v>
      </c>
      <c r="B110" s="446" t="s">
        <v>2344</v>
      </c>
      <c r="C110" s="446" t="s">
        <v>3268</v>
      </c>
      <c r="D110" s="402" t="str">
        <f>VLOOKUP(B110,USN!$1:$1088,2,False)</f>
        <v>1CR23EC107</v>
      </c>
      <c r="E110" s="447">
        <v>9.949935712E9</v>
      </c>
      <c r="F110" s="446" t="s">
        <v>3736</v>
      </c>
      <c r="G110" s="367"/>
      <c r="H110" s="447">
        <v>76.0</v>
      </c>
      <c r="I110" s="448">
        <v>75.0</v>
      </c>
      <c r="J110" s="433">
        <f>VLOOKUP(D110,'L3'!$1:$2060,2,False)</f>
        <v>5</v>
      </c>
      <c r="K110" s="433">
        <f>VLOOKUP(D110,'L4'!$1:$2059,2,False)</f>
        <v>32</v>
      </c>
      <c r="L110" s="434">
        <f>VLOOKUP(D110,'A1 RETEST 5 DEC'!$1:$2096,2,FALSE)</f>
        <v>51</v>
      </c>
      <c r="M110" s="434">
        <f>VLOOKUP(D110,'A2 RETEST 4 DEC'!$1:$2096,2,FALSE)</f>
        <v>50</v>
      </c>
      <c r="N110" s="435">
        <v>0.0</v>
      </c>
      <c r="O110" s="449"/>
      <c r="P110" s="436">
        <f>IFNA(VLOOKUP(D110,'S1'!$1:$1325,2,False),0)</f>
        <v>50</v>
      </c>
      <c r="Q110" s="436">
        <f>vlookup(D110,'S2'!A106:B1308,2,0)</f>
        <v>0</v>
      </c>
      <c r="R110" s="436">
        <f>ifna(vlookup(D110,'S3'!$1:$1311,2,False),0)</f>
        <v>50</v>
      </c>
      <c r="S110" s="436"/>
      <c r="T110" s="437" t="s">
        <v>2477</v>
      </c>
      <c r="U110" s="437" t="s">
        <v>2477</v>
      </c>
      <c r="V110" s="437">
        <v>0.0</v>
      </c>
      <c r="W110" s="437"/>
      <c r="X110" s="453"/>
      <c r="Y110" s="437"/>
      <c r="Z110" s="438"/>
      <c r="AA110" s="450">
        <v>0.0</v>
      </c>
      <c r="AB110" s="409">
        <v>63.0</v>
      </c>
      <c r="AC110" s="395">
        <v>0.0</v>
      </c>
      <c r="AD110" s="439"/>
      <c r="AE110" s="440">
        <v>10.0</v>
      </c>
      <c r="AF110" s="441"/>
      <c r="AG110" s="439"/>
      <c r="AH110" s="451">
        <v>0.0</v>
      </c>
      <c r="AI110" s="441"/>
      <c r="AJ110" s="441"/>
      <c r="AK110" s="442">
        <f t="shared" si="1"/>
        <v>2</v>
      </c>
      <c r="AL110" s="442">
        <f t="shared" si="2"/>
        <v>2</v>
      </c>
      <c r="AM110" s="424">
        <f t="shared" si="3"/>
        <v>2</v>
      </c>
      <c r="AN110" s="442" t="str">
        <f t="shared" si="4"/>
        <v>2</v>
      </c>
      <c r="AO110" s="442">
        <f t="shared" si="5"/>
        <v>1</v>
      </c>
      <c r="AP110" s="367"/>
    </row>
    <row r="111">
      <c r="A111" s="385">
        <v>107.0</v>
      </c>
      <c r="B111" s="446" t="s">
        <v>2336</v>
      </c>
      <c r="C111" s="446" t="s">
        <v>3269</v>
      </c>
      <c r="D111" s="402" t="str">
        <f>VLOOKUP(B111,USN!$1:$1088,2,False)</f>
        <v>1CR23EC108</v>
      </c>
      <c r="E111" s="447">
        <v>9.620755956E9</v>
      </c>
      <c r="F111" s="446" t="s">
        <v>3736</v>
      </c>
      <c r="G111" s="367"/>
      <c r="H111" s="447">
        <v>75.0</v>
      </c>
      <c r="I111" s="448">
        <v>73.0</v>
      </c>
      <c r="J111" s="433">
        <f>VLOOKUP(D111,'L3'!$1:$2060,2,False)</f>
        <v>43</v>
      </c>
      <c r="K111" s="433">
        <f>VLOOKUP(D111,'L4'!$1:$2059,2,False)</f>
        <v>70</v>
      </c>
      <c r="L111" s="434">
        <f>VLOOKUP(D111,'A1 RETEST 5 DEC'!$1:$2096,2,FALSE)</f>
        <v>26</v>
      </c>
      <c r="M111" s="434">
        <f>VLOOKUP(D111,'A2 RETEST 4 DEC'!$1:$2096,2,FALSE)</f>
        <v>13</v>
      </c>
      <c r="N111" s="435">
        <v>33.0</v>
      </c>
      <c r="O111" s="449"/>
      <c r="P111" s="436">
        <f>IFNA(VLOOKUP(D111,'S1'!$1:$1325,2,False),0)</f>
        <v>78</v>
      </c>
      <c r="Q111" s="436">
        <f>vlookup(D111,'S2'!A107:B1309,2,0)</f>
        <v>38</v>
      </c>
      <c r="R111" s="436">
        <f>ifna(vlookup(D111,'S3'!$1:$1311,2,False),0)</f>
        <v>0</v>
      </c>
      <c r="S111" s="436"/>
      <c r="T111" s="437">
        <v>10.0</v>
      </c>
      <c r="U111" s="437">
        <v>18.0</v>
      </c>
      <c r="V111" s="437">
        <v>42.0</v>
      </c>
      <c r="W111" s="437">
        <v>70.0</v>
      </c>
      <c r="X111" s="437">
        <v>70.0</v>
      </c>
      <c r="Y111" s="437"/>
      <c r="Z111" s="438"/>
      <c r="AA111" s="450">
        <v>57.0</v>
      </c>
      <c r="AB111" s="409">
        <v>83.0</v>
      </c>
      <c r="AC111" s="395">
        <v>21.0</v>
      </c>
      <c r="AD111" s="439"/>
      <c r="AE111" s="440">
        <v>10.0</v>
      </c>
      <c r="AF111" s="441"/>
      <c r="AG111" s="439"/>
      <c r="AH111" s="441"/>
      <c r="AI111" s="441"/>
      <c r="AJ111" s="441"/>
      <c r="AK111" s="442">
        <f t="shared" si="1"/>
        <v>2</v>
      </c>
      <c r="AL111" s="442">
        <f t="shared" si="2"/>
        <v>0</v>
      </c>
      <c r="AM111" s="424">
        <f t="shared" si="3"/>
        <v>3</v>
      </c>
      <c r="AN111" s="442" t="str">
        <f t="shared" si="4"/>
        <v>2</v>
      </c>
      <c r="AO111" s="442">
        <f t="shared" si="5"/>
        <v>1</v>
      </c>
      <c r="AP111" s="367"/>
    </row>
    <row r="112">
      <c r="A112" s="385">
        <v>108.0</v>
      </c>
      <c r="B112" s="446" t="s">
        <v>2251</v>
      </c>
      <c r="C112" s="446" t="s">
        <v>3270</v>
      </c>
      <c r="D112" s="402" t="str">
        <f>VLOOKUP(B112,USN!$1:$1088,2,False)</f>
        <v>1CR23EC109</v>
      </c>
      <c r="E112" s="447">
        <v>7.76052505E9</v>
      </c>
      <c r="F112" s="447" t="s">
        <v>3736</v>
      </c>
      <c r="G112" s="367"/>
      <c r="H112" s="447">
        <v>92.0</v>
      </c>
      <c r="I112" s="448">
        <v>85.0</v>
      </c>
      <c r="J112" s="433">
        <f>VLOOKUP(D112,'L3'!$1:$2060,2,False)</f>
        <v>90</v>
      </c>
      <c r="K112" s="433">
        <f>VLOOKUP(D112,'L4'!$1:$2059,2,False)</f>
        <v>84</v>
      </c>
      <c r="L112" s="434">
        <f>VLOOKUP(D112,'A1 RETEST 5 DEC'!$1:$2096,2,FALSE)</f>
        <v>50</v>
      </c>
      <c r="M112" s="434">
        <f>VLOOKUP(D112,'A2 RETEST 4 DEC'!$1:$2096,2,FALSE)</f>
        <v>26</v>
      </c>
      <c r="N112" s="435">
        <v>51.0</v>
      </c>
      <c r="O112" s="449"/>
      <c r="P112" s="436">
        <f>IFNA(VLOOKUP(D112,'S1'!$1:$1325,2,False),0)</f>
        <v>73</v>
      </c>
      <c r="Q112" s="436">
        <f>vlookup(D112,'S2'!A108:B1310,2,0)</f>
        <v>70</v>
      </c>
      <c r="R112" s="436">
        <f>ifna(vlookup(D112,'S3'!$1:$1311,2,False),0)</f>
        <v>89</v>
      </c>
      <c r="S112" s="436"/>
      <c r="T112" s="437">
        <v>12.0</v>
      </c>
      <c r="U112" s="437">
        <v>22.0</v>
      </c>
      <c r="V112" s="437">
        <v>28.0</v>
      </c>
      <c r="W112" s="437">
        <v>84.0</v>
      </c>
      <c r="X112" s="437">
        <v>64.0</v>
      </c>
      <c r="Y112" s="437"/>
      <c r="Z112" s="438"/>
      <c r="AA112" s="450">
        <v>78.0</v>
      </c>
      <c r="AB112" s="409">
        <v>69.0</v>
      </c>
      <c r="AC112" s="395">
        <v>100.0</v>
      </c>
      <c r="AD112" s="439"/>
      <c r="AE112" s="440">
        <v>70.0</v>
      </c>
      <c r="AF112" s="441"/>
      <c r="AG112" s="439">
        <v>76.0</v>
      </c>
      <c r="AH112" s="441"/>
      <c r="AI112" s="441"/>
      <c r="AJ112" s="441"/>
      <c r="AK112" s="442">
        <f t="shared" si="1"/>
        <v>4</v>
      </c>
      <c r="AL112" s="442">
        <f t="shared" si="2"/>
        <v>1</v>
      </c>
      <c r="AM112" s="424">
        <f t="shared" si="3"/>
        <v>3</v>
      </c>
      <c r="AN112" s="442" t="str">
        <f t="shared" si="4"/>
        <v>3.5</v>
      </c>
      <c r="AO112" s="442">
        <f t="shared" si="5"/>
        <v>3</v>
      </c>
      <c r="AP112" s="367"/>
    </row>
    <row r="113">
      <c r="A113" s="385">
        <v>109.0</v>
      </c>
      <c r="B113" s="446" t="s">
        <v>2252</v>
      </c>
      <c r="C113" s="446" t="s">
        <v>3271</v>
      </c>
      <c r="D113" s="402" t="str">
        <f>VLOOKUP(B113,USN!$1:$1088,2,False)</f>
        <v>1CR23EC110</v>
      </c>
      <c r="E113" s="447">
        <v>9.353041669E9</v>
      </c>
      <c r="F113" s="447" t="s">
        <v>3736</v>
      </c>
      <c r="G113" s="367"/>
      <c r="H113" s="447">
        <v>88.0</v>
      </c>
      <c r="I113" s="448">
        <v>78.0</v>
      </c>
      <c r="J113" s="433">
        <f>VLOOKUP(D113,'L3'!$1:$2060,2,False)</f>
        <v>70</v>
      </c>
      <c r="K113" s="433">
        <f>VLOOKUP(D113,'L4'!$1:$2059,2,False)</f>
        <v>70</v>
      </c>
      <c r="L113" s="434">
        <f>VLOOKUP(D113,'A1 RETEST 5 DEC'!$1:$2096,2,FALSE)</f>
        <v>11</v>
      </c>
      <c r="M113" s="434">
        <f>VLOOKUP(D113,'A2 RETEST 4 DEC'!$1:$2096,2,FALSE)</f>
        <v>15</v>
      </c>
      <c r="N113" s="435">
        <v>17.0</v>
      </c>
      <c r="O113" s="449"/>
      <c r="P113" s="436">
        <f>IFNA(VLOOKUP(D113,'S1'!$1:$1325,2,False),0)</f>
        <v>50</v>
      </c>
      <c r="Q113" s="436">
        <f>vlookup(D113,'S2'!A109:B1311,2,0)</f>
        <v>70</v>
      </c>
      <c r="R113" s="436">
        <f>ifna(vlookup(D113,'S3'!$1:$1311,2,False),0)</f>
        <v>69</v>
      </c>
      <c r="S113" s="436"/>
      <c r="T113" s="437">
        <v>20.0</v>
      </c>
      <c r="U113" s="437">
        <v>21.0</v>
      </c>
      <c r="V113" s="437">
        <v>30.0</v>
      </c>
      <c r="W113" s="437">
        <v>80.0</v>
      </c>
      <c r="X113" s="437">
        <v>78.0</v>
      </c>
      <c r="Y113" s="437"/>
      <c r="Z113" s="438"/>
      <c r="AA113" s="450">
        <v>100.0</v>
      </c>
      <c r="AB113" s="409">
        <v>100.0</v>
      </c>
      <c r="AC113" s="395">
        <v>60.0</v>
      </c>
      <c r="AD113" s="439"/>
      <c r="AE113" s="440">
        <v>10.0</v>
      </c>
      <c r="AF113" s="441"/>
      <c r="AG113" s="439"/>
      <c r="AH113" s="451">
        <v>38.0</v>
      </c>
      <c r="AI113" s="441"/>
      <c r="AJ113" s="441"/>
      <c r="AK113" s="442">
        <f t="shared" si="1"/>
        <v>4</v>
      </c>
      <c r="AL113" s="442">
        <f t="shared" si="2"/>
        <v>0</v>
      </c>
      <c r="AM113" s="424">
        <f t="shared" si="3"/>
        <v>3</v>
      </c>
      <c r="AN113" s="442" t="str">
        <f t="shared" si="4"/>
        <v>3</v>
      </c>
      <c r="AO113" s="442">
        <f t="shared" si="5"/>
        <v>3</v>
      </c>
      <c r="AP113" s="367"/>
    </row>
    <row r="114">
      <c r="A114" s="385">
        <v>110.0</v>
      </c>
      <c r="B114" s="446" t="s">
        <v>2322</v>
      </c>
      <c r="C114" s="446" t="s">
        <v>3272</v>
      </c>
      <c r="D114" s="402" t="str">
        <f>VLOOKUP(B114,USN!$1:$1088,2,False)</f>
        <v>1CR23EC112</v>
      </c>
      <c r="E114" s="447">
        <v>9.740165994E9</v>
      </c>
      <c r="F114" s="447" t="s">
        <v>3736</v>
      </c>
      <c r="G114" s="367"/>
      <c r="H114" s="447">
        <v>70.0</v>
      </c>
      <c r="I114" s="448">
        <v>76.0</v>
      </c>
      <c r="J114" s="433">
        <f>VLOOKUP(D114,'L3'!$1:$2060,2,False)</f>
        <v>39</v>
      </c>
      <c r="K114" s="433">
        <f>VLOOKUP(D114,'L4'!$1:$2059,2,False)</f>
        <v>29</v>
      </c>
      <c r="L114" s="434">
        <f>VLOOKUP(D114,'A1 RETEST 5 DEC'!$1:$2096,2,FALSE)</f>
        <v>44</v>
      </c>
      <c r="M114" s="434">
        <f>VLOOKUP(D114,'A2 RETEST 4 DEC'!$1:$2096,2,FALSE)</f>
        <v>8</v>
      </c>
      <c r="N114" s="435">
        <v>0.0</v>
      </c>
      <c r="O114" s="449"/>
      <c r="P114" s="436">
        <f>IFNA(VLOOKUP(D114,'S1'!$1:$1325,2,False),0)</f>
        <v>73</v>
      </c>
      <c r="Q114" s="436">
        <f>vlookup(D114,'S2'!A110:B1312,2,0)</f>
        <v>0</v>
      </c>
      <c r="R114" s="436">
        <f>ifna(vlookup(D114,'S3'!$1:$1311,2,False),0)</f>
        <v>0</v>
      </c>
      <c r="S114" s="436"/>
      <c r="T114" s="437">
        <v>6.0</v>
      </c>
      <c r="U114" s="437">
        <v>14.0</v>
      </c>
      <c r="V114" s="437">
        <v>38.0</v>
      </c>
      <c r="W114" s="437">
        <v>74.0</v>
      </c>
      <c r="X114" s="445"/>
      <c r="Y114" s="437"/>
      <c r="Z114" s="438"/>
      <c r="AA114" s="450">
        <v>0.0</v>
      </c>
      <c r="AB114" s="409">
        <v>92.0</v>
      </c>
      <c r="AC114" s="395">
        <v>0.0</v>
      </c>
      <c r="AD114" s="439"/>
      <c r="AE114" s="440">
        <v>10.0</v>
      </c>
      <c r="AF114" s="441"/>
      <c r="AG114" s="439"/>
      <c r="AH114" s="441"/>
      <c r="AI114" s="441"/>
      <c r="AJ114" s="441"/>
      <c r="AK114" s="442">
        <f t="shared" si="1"/>
        <v>2</v>
      </c>
      <c r="AL114" s="442">
        <f t="shared" si="2"/>
        <v>0</v>
      </c>
      <c r="AM114" s="424">
        <f t="shared" si="3"/>
        <v>3</v>
      </c>
      <c r="AN114" s="442" t="str">
        <f t="shared" si="4"/>
        <v>2</v>
      </c>
      <c r="AO114" s="442">
        <f t="shared" si="5"/>
        <v>1</v>
      </c>
      <c r="AP114" s="367"/>
    </row>
    <row r="115">
      <c r="A115" s="385">
        <v>111.0</v>
      </c>
      <c r="B115" s="446" t="s">
        <v>2253</v>
      </c>
      <c r="C115" s="446" t="s">
        <v>3273</v>
      </c>
      <c r="D115" s="402" t="str">
        <f>VLOOKUP(B115,USN!$1:$1088,2,False)</f>
        <v>1CR23EC113</v>
      </c>
      <c r="E115" s="447">
        <v>7.975477283E9</v>
      </c>
      <c r="F115" s="447" t="s">
        <v>3736</v>
      </c>
      <c r="G115" s="367"/>
      <c r="H115" s="447">
        <v>75.0</v>
      </c>
      <c r="I115" s="448">
        <v>70.0</v>
      </c>
      <c r="J115" s="433">
        <f>VLOOKUP(D115,'L3'!$1:$2060,2,False)</f>
        <v>27</v>
      </c>
      <c r="K115" s="433">
        <f>VLOOKUP(D115,'L4'!$1:$2059,2,False)</f>
        <v>6</v>
      </c>
      <c r="L115" s="434">
        <f>VLOOKUP(D115,'A1 RETEST 5 DEC'!$1:$2096,2,FALSE)</f>
        <v>22</v>
      </c>
      <c r="M115" s="434">
        <f>VLOOKUP(D115,'A2 RETEST 4 DEC'!$1:$2096,2,FALSE)</f>
        <v>13</v>
      </c>
      <c r="N115" s="435">
        <v>13.0</v>
      </c>
      <c r="O115" s="449"/>
      <c r="P115" s="436">
        <f>IFNA(VLOOKUP(D115,'S1'!$1:$1325,2,False),0)</f>
        <v>72</v>
      </c>
      <c r="Q115" s="436">
        <f>vlookup(D115,'S2'!A111:B1313,2,0)</f>
        <v>0</v>
      </c>
      <c r="R115" s="436">
        <f>ifna(vlookup(D115,'S3'!$1:$1311,2,False),0)</f>
        <v>0</v>
      </c>
      <c r="S115" s="436"/>
      <c r="T115" s="437">
        <v>16.0</v>
      </c>
      <c r="U115" s="437">
        <v>18.0</v>
      </c>
      <c r="V115" s="437">
        <v>42.0</v>
      </c>
      <c r="W115" s="437"/>
      <c r="X115" s="437">
        <v>64.0</v>
      </c>
      <c r="Y115" s="437"/>
      <c r="Z115" s="438"/>
      <c r="AA115" s="450">
        <v>0.0</v>
      </c>
      <c r="AB115" s="409">
        <v>58.0</v>
      </c>
      <c r="AC115" s="395">
        <v>80.0</v>
      </c>
      <c r="AD115" s="439"/>
      <c r="AE115" s="440">
        <v>10.0</v>
      </c>
      <c r="AF115" s="441"/>
      <c r="AG115" s="439"/>
      <c r="AH115" s="441"/>
      <c r="AI115" s="441"/>
      <c r="AJ115" s="441"/>
      <c r="AK115" s="442">
        <f t="shared" si="1"/>
        <v>2</v>
      </c>
      <c r="AL115" s="442">
        <f t="shared" si="2"/>
        <v>0</v>
      </c>
      <c r="AM115" s="424">
        <f t="shared" si="3"/>
        <v>2</v>
      </c>
      <c r="AN115" s="442" t="str">
        <f t="shared" si="4"/>
        <v>3</v>
      </c>
      <c r="AO115" s="442">
        <f t="shared" si="5"/>
        <v>1</v>
      </c>
      <c r="AP115" s="367"/>
    </row>
    <row r="116">
      <c r="A116" s="385">
        <v>112.0</v>
      </c>
      <c r="B116" s="446" t="s">
        <v>2253</v>
      </c>
      <c r="C116" s="446" t="s">
        <v>3275</v>
      </c>
      <c r="D116" s="414" t="s">
        <v>495</v>
      </c>
      <c r="E116" s="447">
        <v>9.019521059E9</v>
      </c>
      <c r="F116" s="447" t="s">
        <v>3736</v>
      </c>
      <c r="G116" s="367"/>
      <c r="H116" s="447">
        <v>81.0</v>
      </c>
      <c r="I116" s="448">
        <v>82.0</v>
      </c>
      <c r="J116" s="433">
        <f>VLOOKUP(D116,'L3'!$1:$2060,2,False)</f>
        <v>70</v>
      </c>
      <c r="K116" s="433">
        <f>VLOOKUP(D116,'L4'!$1:$2059,2,False)</f>
        <v>70</v>
      </c>
      <c r="L116" s="434">
        <f>VLOOKUP(D116,'A1 RETEST 5 DEC'!$1:$2096,2,FALSE)</f>
        <v>50</v>
      </c>
      <c r="M116" s="434">
        <f>VLOOKUP(D116,'A2 RETEST 4 DEC'!$1:$2096,2,FALSE)</f>
        <v>50</v>
      </c>
      <c r="N116" s="435">
        <v>13.0</v>
      </c>
      <c r="O116" s="449"/>
      <c r="P116" s="436">
        <f>IFNA(VLOOKUP(D116,'S1'!$1:$1325,2,False),0)</f>
        <v>72</v>
      </c>
      <c r="Q116" s="436">
        <f>vlookup(D116,'S2'!A112:B1314,2,0)</f>
        <v>70</v>
      </c>
      <c r="R116" s="436">
        <f>ifna(vlookup(D116,'S3'!$1:$1311,2,False),0)</f>
        <v>76</v>
      </c>
      <c r="S116" s="436"/>
      <c r="T116" s="437">
        <v>11.0</v>
      </c>
      <c r="U116" s="437">
        <v>19.0</v>
      </c>
      <c r="V116" s="437">
        <v>36.0</v>
      </c>
      <c r="W116" s="437"/>
      <c r="X116" s="437">
        <v>64.0</v>
      </c>
      <c r="Y116" s="437"/>
      <c r="Z116" s="438"/>
      <c r="AA116" s="450">
        <v>16.4</v>
      </c>
      <c r="AB116" s="409">
        <v>100.0</v>
      </c>
      <c r="AC116" s="395">
        <v>100.0</v>
      </c>
      <c r="AD116" s="439"/>
      <c r="AE116" s="440">
        <v>70.0</v>
      </c>
      <c r="AF116" s="441"/>
      <c r="AG116" s="439"/>
      <c r="AH116" s="441"/>
      <c r="AI116" s="441"/>
      <c r="AJ116" s="441"/>
      <c r="AK116" s="442">
        <f t="shared" si="1"/>
        <v>4</v>
      </c>
      <c r="AL116" s="442">
        <f t="shared" si="2"/>
        <v>2</v>
      </c>
      <c r="AM116" s="424">
        <f t="shared" si="3"/>
        <v>2</v>
      </c>
      <c r="AN116" s="442" t="str">
        <f t="shared" si="4"/>
        <v>3.5</v>
      </c>
      <c r="AO116" s="442">
        <f t="shared" si="5"/>
        <v>3</v>
      </c>
      <c r="AP116" s="367"/>
    </row>
    <row r="117">
      <c r="A117" s="385">
        <v>113.0</v>
      </c>
      <c r="B117" s="446" t="s">
        <v>2255</v>
      </c>
      <c r="C117" s="446" t="s">
        <v>3276</v>
      </c>
      <c r="D117" s="402" t="str">
        <f>VLOOKUP(B117,USN!$1:$1088,2,False)</f>
        <v>1CR23EC116</v>
      </c>
      <c r="E117" s="447">
        <v>6.36603122E9</v>
      </c>
      <c r="F117" s="447" t="s">
        <v>3736</v>
      </c>
      <c r="G117" s="367"/>
      <c r="H117" s="447">
        <v>86.0</v>
      </c>
      <c r="I117" s="448">
        <v>85.0</v>
      </c>
      <c r="J117" s="433">
        <f>VLOOKUP(D117,'L3'!$1:$2060,2,False)</f>
        <v>70</v>
      </c>
      <c r="K117" s="433">
        <f>VLOOKUP(D117,'L4'!$1:$2059,2,False)</f>
        <v>70</v>
      </c>
      <c r="L117" s="434">
        <f>VLOOKUP(D117,'A1 RETEST 5 DEC'!$1:$2096,2,FALSE)</f>
        <v>50</v>
      </c>
      <c r="M117" s="434">
        <f>VLOOKUP(D117,'A2 RETEST 4 DEC'!$1:$2096,2,FALSE)</f>
        <v>8</v>
      </c>
      <c r="N117" s="435">
        <v>8.0</v>
      </c>
      <c r="O117" s="449"/>
      <c r="P117" s="436">
        <f>IFNA(VLOOKUP(D117,'S1'!$1:$1325,2,False),0)</f>
        <v>79</v>
      </c>
      <c r="Q117" s="436">
        <f>vlookup(D117,'S2'!A113:B1315,2,0)</f>
        <v>70</v>
      </c>
      <c r="R117" s="436">
        <f>ifna(vlookup(D117,'S3'!$1:$1311,2,False),0)</f>
        <v>87</v>
      </c>
      <c r="S117" s="436"/>
      <c r="T117" s="437">
        <v>12.0</v>
      </c>
      <c r="U117" s="437">
        <v>18.0</v>
      </c>
      <c r="V117" s="437">
        <v>24.0</v>
      </c>
      <c r="W117" s="437">
        <v>76.0</v>
      </c>
      <c r="X117" s="437">
        <v>74.0</v>
      </c>
      <c r="Y117" s="437"/>
      <c r="Z117" s="438"/>
      <c r="AA117" s="450">
        <v>87.4</v>
      </c>
      <c r="AB117" s="409">
        <v>82.0</v>
      </c>
      <c r="AC117" s="395">
        <v>100.0</v>
      </c>
      <c r="AD117" s="439"/>
      <c r="AE117" s="440">
        <v>75.0</v>
      </c>
      <c r="AF117" s="441"/>
      <c r="AG117" s="439"/>
      <c r="AH117" s="451">
        <v>81.0</v>
      </c>
      <c r="AI117" s="441"/>
      <c r="AJ117" s="441"/>
      <c r="AK117" s="442">
        <f t="shared" si="1"/>
        <v>4</v>
      </c>
      <c r="AL117" s="442">
        <f t="shared" si="2"/>
        <v>1</v>
      </c>
      <c r="AM117" s="424">
        <f t="shared" si="3"/>
        <v>3</v>
      </c>
      <c r="AN117" s="442" t="str">
        <f t="shared" si="4"/>
        <v>3.5</v>
      </c>
      <c r="AO117" s="442">
        <f t="shared" si="5"/>
        <v>3</v>
      </c>
      <c r="AP117" s="367"/>
    </row>
    <row r="118">
      <c r="A118" s="385">
        <v>114.0</v>
      </c>
      <c r="B118" s="446" t="s">
        <v>2278</v>
      </c>
      <c r="C118" s="446" t="s">
        <v>3277</v>
      </c>
      <c r="D118" s="402" t="str">
        <f>VLOOKUP(B118,USN!$1:$1088,2,False)</f>
        <v>1CR23EC117</v>
      </c>
      <c r="E118" s="447">
        <v>7.892439692E9</v>
      </c>
      <c r="F118" s="447" t="s">
        <v>3736</v>
      </c>
      <c r="G118" s="367"/>
      <c r="H118" s="447">
        <v>74.0</v>
      </c>
      <c r="I118" s="448">
        <v>76.0</v>
      </c>
      <c r="J118" s="433">
        <f>VLOOKUP(D118,'L3'!$1:$2060,2,False)</f>
        <v>13</v>
      </c>
      <c r="K118" s="433">
        <f>VLOOKUP(D118,'L4'!$1:$2059,2,False)</f>
        <v>70</v>
      </c>
      <c r="L118" s="434">
        <f>VLOOKUP(D118,'A1 RETEST 5 DEC'!$1:$2096,2,FALSE)</f>
        <v>5</v>
      </c>
      <c r="M118" s="434">
        <f>VLOOKUP(D118,'A2 RETEST 4 DEC'!$1:$2096,2,FALSE)</f>
        <v>0</v>
      </c>
      <c r="N118" s="435">
        <v>0.0</v>
      </c>
      <c r="O118" s="449"/>
      <c r="P118" s="436">
        <f>IFNA(VLOOKUP(D118,'S1'!$1:$1325,2,False),0)</f>
        <v>0</v>
      </c>
      <c r="Q118" s="436">
        <f>vlookup(D118,'S2'!A114:B1316,2,0)</f>
        <v>0</v>
      </c>
      <c r="R118" s="436">
        <f>ifna(vlookup(D118,'S3'!$1:$1311,2,False),0)</f>
        <v>0</v>
      </c>
      <c r="S118" s="436"/>
      <c r="T118" s="437">
        <v>13.0</v>
      </c>
      <c r="U118" s="437">
        <v>4.0</v>
      </c>
      <c r="V118" s="437">
        <v>0.0</v>
      </c>
      <c r="W118" s="437"/>
      <c r="X118" s="453"/>
      <c r="Y118" s="437"/>
      <c r="Z118" s="438"/>
      <c r="AA118" s="450">
        <v>0.0</v>
      </c>
      <c r="AB118" s="409">
        <v>29.0</v>
      </c>
      <c r="AC118" s="395">
        <v>0.0</v>
      </c>
      <c r="AD118" s="439"/>
      <c r="AE118" s="440">
        <v>10.0</v>
      </c>
      <c r="AF118" s="441"/>
      <c r="AG118" s="439"/>
      <c r="AH118" s="441"/>
      <c r="AI118" s="441"/>
      <c r="AJ118" s="441"/>
      <c r="AK118" s="442">
        <f t="shared" si="1"/>
        <v>2</v>
      </c>
      <c r="AL118" s="442">
        <f t="shared" si="2"/>
        <v>0</v>
      </c>
      <c r="AM118" s="424">
        <f t="shared" si="3"/>
        <v>0</v>
      </c>
      <c r="AN118" s="442" t="str">
        <f t="shared" si="4"/>
        <v>0</v>
      </c>
      <c r="AO118" s="442">
        <f t="shared" si="5"/>
        <v>0</v>
      </c>
      <c r="AP118" s="367"/>
    </row>
    <row r="119">
      <c r="A119" s="385">
        <v>115.0</v>
      </c>
      <c r="B119" s="446" t="s">
        <v>2276</v>
      </c>
      <c r="C119" s="446" t="s">
        <v>3278</v>
      </c>
      <c r="D119" s="402" t="str">
        <f>VLOOKUP(B119,USN!$1:$1088,2,False)</f>
        <v>1CR23EC118</v>
      </c>
      <c r="E119" s="447">
        <v>6.363240094E9</v>
      </c>
      <c r="F119" s="447" t="s">
        <v>3736</v>
      </c>
      <c r="G119" s="367"/>
      <c r="H119" s="447">
        <v>81.0</v>
      </c>
      <c r="I119" s="448">
        <v>84.0</v>
      </c>
      <c r="J119" s="433">
        <f>VLOOKUP(D119,'L3'!$1:$2060,2,False)</f>
        <v>32</v>
      </c>
      <c r="K119" s="433">
        <f>VLOOKUP(D119,'L4'!$1:$2059,2,False)</f>
        <v>70</v>
      </c>
      <c r="L119" s="434">
        <f>VLOOKUP(D119,'A1 RETEST 5 DEC'!$1:$2096,2,FALSE)</f>
        <v>17</v>
      </c>
      <c r="M119" s="434">
        <f>VLOOKUP(D119,'A2 RETEST 4 DEC'!$1:$2096,2,FALSE)</f>
        <v>0</v>
      </c>
      <c r="N119" s="435">
        <v>0.0</v>
      </c>
      <c r="O119" s="449"/>
      <c r="P119" s="436">
        <f>IFNA(VLOOKUP(D119,'S1'!$1:$1325,2,False),0)</f>
        <v>0</v>
      </c>
      <c r="Q119" s="436">
        <f>vlookup(D119,'S2'!A115:B1317,2,0)</f>
        <v>0</v>
      </c>
      <c r="R119" s="436">
        <f>ifna(vlookup(D119,'S3'!$1:$1311,2,False),0)</f>
        <v>0</v>
      </c>
      <c r="S119" s="436"/>
      <c r="T119" s="437">
        <v>18.0</v>
      </c>
      <c r="U119" s="437">
        <v>20.0</v>
      </c>
      <c r="V119" s="437">
        <v>30.0</v>
      </c>
      <c r="W119" s="437">
        <v>66.0</v>
      </c>
      <c r="X119" s="437">
        <v>68.0</v>
      </c>
      <c r="Y119" s="437"/>
      <c r="Z119" s="438"/>
      <c r="AA119" s="450">
        <v>4.0</v>
      </c>
      <c r="AB119" s="409">
        <v>29.0</v>
      </c>
      <c r="AC119" s="395">
        <v>0.0</v>
      </c>
      <c r="AD119" s="439"/>
      <c r="AE119" s="440">
        <v>10.0</v>
      </c>
      <c r="AF119" s="441"/>
      <c r="AG119" s="439"/>
      <c r="AH119" s="441"/>
      <c r="AI119" s="441"/>
      <c r="AJ119" s="441"/>
      <c r="AK119" s="442">
        <f t="shared" si="1"/>
        <v>2</v>
      </c>
      <c r="AL119" s="442">
        <f t="shared" si="2"/>
        <v>0</v>
      </c>
      <c r="AM119" s="424">
        <f t="shared" si="3"/>
        <v>3</v>
      </c>
      <c r="AN119" s="442" t="str">
        <f t="shared" si="4"/>
        <v>0</v>
      </c>
      <c r="AO119" s="442">
        <f t="shared" si="5"/>
        <v>0</v>
      </c>
      <c r="AP119" s="367"/>
    </row>
    <row r="120">
      <c r="A120" s="385">
        <v>116.0</v>
      </c>
      <c r="B120" s="446" t="s">
        <v>2256</v>
      </c>
      <c r="C120" s="446" t="s">
        <v>3279</v>
      </c>
      <c r="D120" s="402" t="str">
        <f>VLOOKUP(B120,USN!$1:$1088,2,False)</f>
        <v>1CR23EC119</v>
      </c>
      <c r="E120" s="447">
        <v>8.431640361E9</v>
      </c>
      <c r="F120" s="447" t="s">
        <v>3736</v>
      </c>
      <c r="G120" s="367"/>
      <c r="H120" s="447">
        <v>83.0</v>
      </c>
      <c r="I120" s="448">
        <v>76.0</v>
      </c>
      <c r="J120" s="433">
        <f>VLOOKUP(D120,'L3'!$1:$2060,2,False)</f>
        <v>45</v>
      </c>
      <c r="K120" s="433">
        <f>VLOOKUP(D120,'L4'!$1:$2059,2,False)</f>
        <v>20</v>
      </c>
      <c r="L120" s="434">
        <f>VLOOKUP(D120,'A1 RETEST 5 DEC'!$1:$2096,2,FALSE)</f>
        <v>24</v>
      </c>
      <c r="M120" s="434">
        <f>VLOOKUP(D120,'A2 RETEST 4 DEC'!$1:$2096,2,FALSE)</f>
        <v>10</v>
      </c>
      <c r="N120" s="435">
        <v>0.0</v>
      </c>
      <c r="O120" s="449"/>
      <c r="P120" s="436">
        <f>IFNA(VLOOKUP(D120,'S1'!$1:$1325,2,False),0)</f>
        <v>79</v>
      </c>
      <c r="Q120" s="436">
        <f>vlookup(D120,'S2'!A116:B1318,2,0)</f>
        <v>0</v>
      </c>
      <c r="R120" s="436">
        <f>ifna(vlookup(D120,'S3'!$1:$1311,2,False),0)</f>
        <v>0</v>
      </c>
      <c r="S120" s="436"/>
      <c r="T120" s="437">
        <v>14.0</v>
      </c>
      <c r="U120" s="437">
        <v>12.0</v>
      </c>
      <c r="V120" s="437">
        <v>0.0</v>
      </c>
      <c r="W120" s="437">
        <v>76.0</v>
      </c>
      <c r="X120" s="453"/>
      <c r="Y120" s="437"/>
      <c r="Z120" s="438"/>
      <c r="AA120" s="450">
        <v>0.0</v>
      </c>
      <c r="AB120" s="409">
        <v>63.0</v>
      </c>
      <c r="AC120" s="395">
        <v>0.0</v>
      </c>
      <c r="AD120" s="439"/>
      <c r="AE120" s="440">
        <v>10.0</v>
      </c>
      <c r="AF120" s="441"/>
      <c r="AG120" s="439"/>
      <c r="AH120" s="451">
        <v>0.0</v>
      </c>
      <c r="AI120" s="441"/>
      <c r="AJ120" s="441"/>
      <c r="AK120" s="442">
        <f t="shared" si="1"/>
        <v>2</v>
      </c>
      <c r="AL120" s="442">
        <f t="shared" si="2"/>
        <v>0</v>
      </c>
      <c r="AM120" s="424">
        <f t="shared" si="3"/>
        <v>3</v>
      </c>
      <c r="AN120" s="442" t="str">
        <f t="shared" si="4"/>
        <v>2</v>
      </c>
      <c r="AO120" s="442">
        <f t="shared" si="5"/>
        <v>1</v>
      </c>
      <c r="AP120" s="367"/>
    </row>
    <row r="121">
      <c r="A121" s="385">
        <v>117.0</v>
      </c>
      <c r="B121" s="446" t="s">
        <v>2284</v>
      </c>
      <c r="C121" s="446" t="s">
        <v>3280</v>
      </c>
      <c r="D121" s="402" t="str">
        <f>VLOOKUP(B121,USN!$1:$1088,2,False)</f>
        <v>1CR23EC120</v>
      </c>
      <c r="E121" s="447">
        <v>7.483167279E9</v>
      </c>
      <c r="F121" s="447" t="s">
        <v>3736</v>
      </c>
      <c r="G121" s="367"/>
      <c r="H121" s="447">
        <v>82.0</v>
      </c>
      <c r="I121" s="448">
        <v>81.0</v>
      </c>
      <c r="J121" s="433">
        <f>VLOOKUP(D121,'L3'!$1:$2060,2,False)</f>
        <v>70</v>
      </c>
      <c r="K121" s="433">
        <f>VLOOKUP(D121,'L4'!$1:$2059,2,False)</f>
        <v>76</v>
      </c>
      <c r="L121" s="434">
        <f>VLOOKUP(D121,'A1 RETEST 5 DEC'!$1:$2096,2,FALSE)</f>
        <v>50</v>
      </c>
      <c r="M121" s="434">
        <f>VLOOKUP(D121,'A2 RETEST 4 DEC'!$1:$2096,2,FALSE)</f>
        <v>50</v>
      </c>
      <c r="N121" s="435">
        <v>64.0</v>
      </c>
      <c r="O121" s="449"/>
      <c r="P121" s="436">
        <f>IFNA(VLOOKUP(D121,'S1'!$1:$1325,2,False),0)</f>
        <v>75</v>
      </c>
      <c r="Q121" s="436">
        <f>vlookup(D121,'S2'!A117:B1319,2,0)</f>
        <v>65</v>
      </c>
      <c r="R121" s="436">
        <f>ifna(vlookup(D121,'S3'!$1:$1311,2,False),0)</f>
        <v>87</v>
      </c>
      <c r="S121" s="436"/>
      <c r="T121" s="437">
        <v>16.0</v>
      </c>
      <c r="U121" s="437">
        <v>22.0</v>
      </c>
      <c r="V121" s="437">
        <v>64.0</v>
      </c>
      <c r="W121" s="437">
        <v>74.0</v>
      </c>
      <c r="X121" s="437">
        <v>64.0</v>
      </c>
      <c r="Y121" s="437"/>
      <c r="Z121" s="438"/>
      <c r="AA121" s="450">
        <v>100.0</v>
      </c>
      <c r="AB121" s="409">
        <v>100.0</v>
      </c>
      <c r="AC121" s="395">
        <v>100.0</v>
      </c>
      <c r="AD121" s="439"/>
      <c r="AE121" s="440">
        <v>71.0</v>
      </c>
      <c r="AF121" s="441"/>
      <c r="AG121" s="439"/>
      <c r="AH121" s="451">
        <v>79.0</v>
      </c>
      <c r="AI121" s="441"/>
      <c r="AJ121" s="441"/>
      <c r="AK121" s="442">
        <f t="shared" si="1"/>
        <v>4</v>
      </c>
      <c r="AL121" s="442">
        <f t="shared" si="2"/>
        <v>3</v>
      </c>
      <c r="AM121" s="424">
        <f t="shared" si="3"/>
        <v>3</v>
      </c>
      <c r="AN121" s="442" t="str">
        <f t="shared" si="4"/>
        <v>3.5</v>
      </c>
      <c r="AO121" s="442">
        <f t="shared" si="5"/>
        <v>3</v>
      </c>
      <c r="AP121" s="367"/>
    </row>
    <row r="122">
      <c r="A122" s="385">
        <v>118.0</v>
      </c>
      <c r="B122" s="446" t="s">
        <v>2258</v>
      </c>
      <c r="C122" s="446" t="s">
        <v>3281</v>
      </c>
      <c r="D122" s="402" t="str">
        <f>VLOOKUP(B122,USN!$1:$1088,2,False)</f>
        <v>1CR23EC121</v>
      </c>
      <c r="E122" s="447">
        <v>6.362639627E9</v>
      </c>
      <c r="F122" s="447" t="s">
        <v>3736</v>
      </c>
      <c r="G122" s="367"/>
      <c r="H122" s="447">
        <v>73.0</v>
      </c>
      <c r="I122" s="448">
        <v>71.0</v>
      </c>
      <c r="J122" s="433">
        <f>VLOOKUP(D122,'L3'!$1:$2060,2,False)</f>
        <v>32</v>
      </c>
      <c r="K122" s="433">
        <f>VLOOKUP(D122,'L4'!$1:$2059,2,False)</f>
        <v>70</v>
      </c>
      <c r="L122" s="434">
        <f>VLOOKUP(D122,'A1 RETEST 5 DEC'!$1:$2096,2,FALSE)</f>
        <v>25</v>
      </c>
      <c r="M122" s="434">
        <f>VLOOKUP(D122,'A2 RETEST 4 DEC'!$1:$2096,2,FALSE)</f>
        <v>18</v>
      </c>
      <c r="N122" s="435">
        <v>0.0</v>
      </c>
      <c r="O122" s="449"/>
      <c r="P122" s="436">
        <f>IFNA(VLOOKUP(D122,'S1'!$1:$1325,2,False),0)</f>
        <v>0</v>
      </c>
      <c r="Q122" s="436">
        <f>vlookup(D122,'S2'!A118:B1320,2,0)</f>
        <v>0</v>
      </c>
      <c r="R122" s="436">
        <f>ifna(vlookup(D122,'S3'!$1:$1311,2,False),0)</f>
        <v>0</v>
      </c>
      <c r="S122" s="436"/>
      <c r="T122" s="437">
        <v>16.0</v>
      </c>
      <c r="U122" s="437">
        <v>12.0</v>
      </c>
      <c r="V122" s="437">
        <v>46.0</v>
      </c>
      <c r="W122" s="437">
        <v>0.0</v>
      </c>
      <c r="X122" s="437">
        <v>56.0</v>
      </c>
      <c r="Y122" s="437"/>
      <c r="Z122" s="438"/>
      <c r="AA122" s="450">
        <v>0.0</v>
      </c>
      <c r="AB122" s="409">
        <v>44.0</v>
      </c>
      <c r="AC122" s="395">
        <v>0.0</v>
      </c>
      <c r="AD122" s="439"/>
      <c r="AE122" s="440">
        <v>10.0</v>
      </c>
      <c r="AF122" s="441"/>
      <c r="AG122" s="439"/>
      <c r="AH122" s="441"/>
      <c r="AI122" s="441"/>
      <c r="AJ122" s="441"/>
      <c r="AK122" s="442">
        <f t="shared" si="1"/>
        <v>2</v>
      </c>
      <c r="AL122" s="442">
        <f t="shared" si="2"/>
        <v>0</v>
      </c>
      <c r="AM122" s="424">
        <f t="shared" si="3"/>
        <v>2</v>
      </c>
      <c r="AN122" s="442" t="str">
        <f t="shared" si="4"/>
        <v>0</v>
      </c>
      <c r="AO122" s="442">
        <f t="shared" si="5"/>
        <v>0</v>
      </c>
      <c r="AP122" s="367"/>
    </row>
    <row r="123">
      <c r="A123" s="385">
        <v>119.0</v>
      </c>
      <c r="B123" s="446" t="s">
        <v>2268</v>
      </c>
      <c r="C123" s="446" t="s">
        <v>3282</v>
      </c>
      <c r="D123" s="402" t="str">
        <f>VLOOKUP(B123,USN!$1:$1088,2,False)</f>
        <v>1CR23EC122</v>
      </c>
      <c r="E123" s="447">
        <v>7.204551621E9</v>
      </c>
      <c r="F123" s="447" t="s">
        <v>3736</v>
      </c>
      <c r="G123" s="367"/>
      <c r="H123" s="447">
        <v>75.0</v>
      </c>
      <c r="I123" s="433">
        <v>70.0</v>
      </c>
      <c r="J123" s="433">
        <f>VLOOKUP(D123,'L3'!$1:$2060,2,False)</f>
        <v>35</v>
      </c>
      <c r="K123" s="433">
        <f>VLOOKUP(D123,'L4'!$1:$2059,2,False)</f>
        <v>70</v>
      </c>
      <c r="L123" s="434">
        <f>VLOOKUP(D123,'A1 RETEST 5 DEC'!$1:$2096,2,FALSE)</f>
        <v>5</v>
      </c>
      <c r="M123" s="434">
        <f>VLOOKUP(D123,'A2 RETEST 4 DEC'!$1:$2096,2,FALSE)</f>
        <v>0</v>
      </c>
      <c r="N123" s="435">
        <v>0.0</v>
      </c>
      <c r="O123" s="449"/>
      <c r="P123" s="436">
        <f>IFNA(VLOOKUP(D123,'S1'!$1:$1325,2,False),0)</f>
        <v>0</v>
      </c>
      <c r="Q123" s="436">
        <f>vlookup(D123,'S2'!A119:B1321,2,0)</f>
        <v>0</v>
      </c>
      <c r="R123" s="436">
        <f>ifna(vlookup(D123,'S3'!$1:$1311,2,False),0)</f>
        <v>0</v>
      </c>
      <c r="S123" s="436"/>
      <c r="T123" s="437">
        <v>14.0</v>
      </c>
      <c r="U123" s="437">
        <v>15.0</v>
      </c>
      <c r="V123" s="437">
        <v>36.0</v>
      </c>
      <c r="W123" s="437">
        <v>0.0</v>
      </c>
      <c r="X123" s="437">
        <v>66.0</v>
      </c>
      <c r="Y123" s="437"/>
      <c r="Z123" s="438"/>
      <c r="AA123" s="450">
        <v>12.0</v>
      </c>
      <c r="AB123" s="409">
        <v>42.0</v>
      </c>
      <c r="AC123" s="395">
        <v>0.0</v>
      </c>
      <c r="AD123" s="439"/>
      <c r="AE123" s="440">
        <v>10.0</v>
      </c>
      <c r="AF123" s="441"/>
      <c r="AG123" s="439"/>
      <c r="AH123" s="441"/>
      <c r="AI123" s="441"/>
      <c r="AJ123" s="441"/>
      <c r="AK123" s="442">
        <f t="shared" si="1"/>
        <v>2</v>
      </c>
      <c r="AL123" s="442">
        <f t="shared" si="2"/>
        <v>0</v>
      </c>
      <c r="AM123" s="424">
        <f t="shared" si="3"/>
        <v>2</v>
      </c>
      <c r="AN123" s="442" t="str">
        <f t="shared" si="4"/>
        <v>0</v>
      </c>
      <c r="AO123" s="442">
        <f t="shared" si="5"/>
        <v>0</v>
      </c>
      <c r="AP123" s="367"/>
    </row>
    <row r="124">
      <c r="A124" s="385">
        <v>120.0</v>
      </c>
      <c r="B124" s="446" t="s">
        <v>2285</v>
      </c>
      <c r="C124" s="446" t="s">
        <v>3283</v>
      </c>
      <c r="D124" s="402" t="str">
        <f>VLOOKUP(B124,USN!$1:$1088,2,False)</f>
        <v>1CR23EC123</v>
      </c>
      <c r="E124" s="447">
        <v>8.318723739E9</v>
      </c>
      <c r="F124" s="447" t="s">
        <v>3736</v>
      </c>
      <c r="G124" s="367"/>
      <c r="H124" s="447">
        <v>79.0</v>
      </c>
      <c r="I124" s="448">
        <v>80.0</v>
      </c>
      <c r="J124" s="433">
        <f>VLOOKUP(D124,'L3'!$1:$2060,2,False)</f>
        <v>70</v>
      </c>
      <c r="K124" s="433">
        <f>VLOOKUP(D124,'L4'!$1:$2059,2,False)</f>
        <v>71</v>
      </c>
      <c r="L124" s="434">
        <f>VLOOKUP(D124,'A1 RETEST 5 DEC'!$1:$2096,2,FALSE)</f>
        <v>51</v>
      </c>
      <c r="M124" s="434">
        <f>VLOOKUP(D124,'A2 RETEST 4 DEC'!$1:$2096,2,FALSE)</f>
        <v>50</v>
      </c>
      <c r="N124" s="435">
        <v>63.0</v>
      </c>
      <c r="O124" s="449"/>
      <c r="P124" s="436">
        <f>IFNA(VLOOKUP(D124,'S1'!$1:$1325,2,False),0)</f>
        <v>80</v>
      </c>
      <c r="Q124" s="436">
        <f>vlookup(D124,'S2'!A120:B1322,2,0)</f>
        <v>50</v>
      </c>
      <c r="R124" s="436">
        <f>ifna(vlookup(D124,'S3'!$1:$1311,2,False),0)</f>
        <v>89</v>
      </c>
      <c r="S124" s="436"/>
      <c r="T124" s="437">
        <v>19.0</v>
      </c>
      <c r="U124" s="437">
        <v>13.0</v>
      </c>
      <c r="V124" s="437">
        <v>46.0</v>
      </c>
      <c r="W124" s="437">
        <v>78.0</v>
      </c>
      <c r="X124" s="437">
        <v>72.0</v>
      </c>
      <c r="Y124" s="437"/>
      <c r="Z124" s="438"/>
      <c r="AA124" s="450">
        <v>88.0</v>
      </c>
      <c r="AB124" s="409">
        <v>100.0</v>
      </c>
      <c r="AC124" s="395">
        <v>80.0</v>
      </c>
      <c r="AD124" s="439"/>
      <c r="AE124" s="440">
        <v>73.0</v>
      </c>
      <c r="AF124" s="441"/>
      <c r="AG124" s="439">
        <v>75.0</v>
      </c>
      <c r="AH124" s="441"/>
      <c r="AI124" s="441"/>
      <c r="AJ124" s="441"/>
      <c r="AK124" s="442">
        <f t="shared" si="1"/>
        <v>4</v>
      </c>
      <c r="AL124" s="442">
        <f t="shared" si="2"/>
        <v>3</v>
      </c>
      <c r="AM124" s="424">
        <f t="shared" si="3"/>
        <v>3</v>
      </c>
      <c r="AN124" s="442" t="str">
        <f t="shared" si="4"/>
        <v>3.5</v>
      </c>
      <c r="AO124" s="442">
        <f t="shared" si="5"/>
        <v>3</v>
      </c>
      <c r="AP124" s="367"/>
    </row>
    <row r="125">
      <c r="A125" s="385">
        <v>121.0</v>
      </c>
      <c r="B125" s="446" t="s">
        <v>2271</v>
      </c>
      <c r="C125" s="446" t="s">
        <v>3284</v>
      </c>
      <c r="D125" s="402" t="str">
        <f>VLOOKUP(B125,USN!$1:$1088,2,False)</f>
        <v>1CR23EC124</v>
      </c>
      <c r="E125" s="447">
        <v>6.361716404E9</v>
      </c>
      <c r="F125" s="447" t="s">
        <v>3736</v>
      </c>
      <c r="G125" s="367"/>
      <c r="H125" s="447">
        <v>84.0</v>
      </c>
      <c r="I125" s="448">
        <v>79.0</v>
      </c>
      <c r="J125" s="433">
        <f>VLOOKUP(D125,'L3'!$1:$2060,2,False)</f>
        <v>70</v>
      </c>
      <c r="K125" s="433">
        <f>VLOOKUP(D125,'L4'!$1:$2059,2,False)</f>
        <v>70</v>
      </c>
      <c r="L125" s="434">
        <f>VLOOKUP(D125,'A1 RETEST 5 DEC'!$1:$2096,2,FALSE)</f>
        <v>33</v>
      </c>
      <c r="M125" s="434">
        <f>VLOOKUP(D125,'A2 RETEST 4 DEC'!$1:$2096,2,FALSE)</f>
        <v>0</v>
      </c>
      <c r="N125" s="435">
        <v>31.0</v>
      </c>
      <c r="O125" s="449"/>
      <c r="P125" s="436">
        <f>IFNA(VLOOKUP(D125,'S1'!$1:$1325,2,False),0)</f>
        <v>50</v>
      </c>
      <c r="Q125" s="436">
        <f>vlookup(D125,'S2'!A121:B1323,2,0)</f>
        <v>0</v>
      </c>
      <c r="R125" s="436">
        <f>ifna(vlookup(D125,'S3'!$1:$1311,2,False),0)</f>
        <v>50</v>
      </c>
      <c r="S125" s="436"/>
      <c r="T125" s="437">
        <v>10.0</v>
      </c>
      <c r="U125" s="437">
        <v>18.0</v>
      </c>
      <c r="V125" s="437">
        <v>42.0</v>
      </c>
      <c r="W125" s="437">
        <v>0.0</v>
      </c>
      <c r="X125" s="437">
        <v>68.0</v>
      </c>
      <c r="Y125" s="437"/>
      <c r="Z125" s="438"/>
      <c r="AA125" s="450">
        <v>44.0</v>
      </c>
      <c r="AB125" s="409">
        <v>40.0</v>
      </c>
      <c r="AC125" s="395">
        <v>70.0</v>
      </c>
      <c r="AD125" s="439"/>
      <c r="AE125" s="440">
        <v>10.0</v>
      </c>
      <c r="AF125" s="441"/>
      <c r="AG125" s="439"/>
      <c r="AH125" s="441"/>
      <c r="AI125" s="441"/>
      <c r="AJ125" s="441"/>
      <c r="AK125" s="442">
        <f t="shared" si="1"/>
        <v>4</v>
      </c>
      <c r="AL125" s="442">
        <f t="shared" si="2"/>
        <v>0</v>
      </c>
      <c r="AM125" s="424">
        <f t="shared" si="3"/>
        <v>2</v>
      </c>
      <c r="AN125" s="442" t="str">
        <f t="shared" si="4"/>
        <v>0</v>
      </c>
      <c r="AO125" s="442">
        <f t="shared" si="5"/>
        <v>1</v>
      </c>
      <c r="AP125" s="367"/>
    </row>
    <row r="126">
      <c r="A126" s="385">
        <v>122.0</v>
      </c>
      <c r="B126" s="446" t="s">
        <v>2401</v>
      </c>
      <c r="C126" s="454" t="s">
        <v>3285</v>
      </c>
      <c r="D126" s="402" t="str">
        <f>VLOOKUP(B126,USN!$1:$1088,2,False)</f>
        <v>1CR23EC125</v>
      </c>
      <c r="E126" s="447">
        <v>7.89290336E9</v>
      </c>
      <c r="F126" s="447" t="s">
        <v>3736</v>
      </c>
      <c r="G126" s="367"/>
      <c r="H126" s="447">
        <v>72.0</v>
      </c>
      <c r="I126" s="448">
        <v>72.0</v>
      </c>
      <c r="J126" s="433">
        <f>VLOOKUP(D126,'L3'!$1:$2060,2,False)</f>
        <v>70</v>
      </c>
      <c r="K126" s="433">
        <f>VLOOKUP(D126,'L4'!$1:$2059,2,False)</f>
        <v>70</v>
      </c>
      <c r="L126" s="434">
        <f>VLOOKUP(D126,'A1 RETEST 5 DEC'!$1:$2096,2,FALSE)</f>
        <v>45</v>
      </c>
      <c r="M126" s="434">
        <f>VLOOKUP(D126,'A2 RETEST 4 DEC'!$1:$2096,2,FALSE)</f>
        <v>61</v>
      </c>
      <c r="N126" s="435">
        <v>72.0</v>
      </c>
      <c r="O126" s="449"/>
      <c r="P126" s="436">
        <f>IFNA(VLOOKUP(D126,'S1'!$1:$1325,2,False),0)</f>
        <v>75</v>
      </c>
      <c r="Q126" s="436">
        <f>vlookup(D126,'S2'!A122:B1324,2,0)</f>
        <v>70</v>
      </c>
      <c r="R126" s="436">
        <f>ifna(vlookup(D126,'S3'!$1:$1311,2,False),0)</f>
        <v>95</v>
      </c>
      <c r="S126" s="436"/>
      <c r="T126" s="437">
        <v>20.0</v>
      </c>
      <c r="U126" s="437">
        <v>20.0</v>
      </c>
      <c r="V126" s="437">
        <v>38.0</v>
      </c>
      <c r="W126" s="437">
        <v>72.0</v>
      </c>
      <c r="X126" s="437">
        <v>64.0</v>
      </c>
      <c r="Y126" s="437"/>
      <c r="Z126" s="438"/>
      <c r="AA126" s="450">
        <v>95.0</v>
      </c>
      <c r="AB126" s="409">
        <v>100.0</v>
      </c>
      <c r="AC126" s="395">
        <v>70.0</v>
      </c>
      <c r="AD126" s="439"/>
      <c r="AE126" s="440">
        <v>84.0</v>
      </c>
      <c r="AF126" s="441"/>
      <c r="AG126" s="439"/>
      <c r="AH126" s="441"/>
      <c r="AI126" s="441"/>
      <c r="AJ126" s="441"/>
      <c r="AK126" s="442">
        <f t="shared" si="1"/>
        <v>4</v>
      </c>
      <c r="AL126" s="442">
        <f t="shared" si="2"/>
        <v>0</v>
      </c>
      <c r="AM126" s="424">
        <f t="shared" si="3"/>
        <v>3</v>
      </c>
      <c r="AN126" s="442" t="str">
        <f t="shared" si="4"/>
        <v>3.5</v>
      </c>
      <c r="AO126" s="442">
        <f t="shared" si="5"/>
        <v>3</v>
      </c>
      <c r="AP126" s="367"/>
    </row>
    <row r="127">
      <c r="A127" s="385">
        <v>123.0</v>
      </c>
      <c r="B127" s="446" t="s">
        <v>2286</v>
      </c>
      <c r="C127" s="446" t="s">
        <v>3286</v>
      </c>
      <c r="D127" s="402" t="str">
        <f>VLOOKUP(B127,USN!$1:$1088,2,False)</f>
        <v>1CR23EC126</v>
      </c>
      <c r="E127" s="447">
        <v>9.980598283E9</v>
      </c>
      <c r="F127" s="447" t="s">
        <v>3736</v>
      </c>
      <c r="G127" s="367"/>
      <c r="H127" s="447">
        <v>74.0</v>
      </c>
      <c r="I127" s="448">
        <v>78.0</v>
      </c>
      <c r="J127" s="433">
        <f>VLOOKUP(D127,'L3'!$1:$2060,2,False)</f>
        <v>71</v>
      </c>
      <c r="K127" s="433">
        <f>VLOOKUP(D127,'L4'!$1:$2059,2,False)</f>
        <v>70</v>
      </c>
      <c r="L127" s="434">
        <f>VLOOKUP(D127,'A1 RETEST 5 DEC'!$1:$2096,2,FALSE)</f>
        <v>50</v>
      </c>
      <c r="M127" s="434">
        <f>VLOOKUP(D127,'A2 RETEST 4 DEC'!$1:$2096,2,FALSE)</f>
        <v>50</v>
      </c>
      <c r="N127" s="435">
        <v>50.0</v>
      </c>
      <c r="O127" s="449"/>
      <c r="P127" s="436">
        <f>IFNA(VLOOKUP(D127,'S1'!$1:$1325,2,False),0)</f>
        <v>70</v>
      </c>
      <c r="Q127" s="436">
        <f>vlookup(D127,'S2'!A123:B1325,2,0)</f>
        <v>65</v>
      </c>
      <c r="R127" s="436">
        <f>ifna(vlookup(D127,'S3'!$1:$1311,2,False),0)</f>
        <v>87</v>
      </c>
      <c r="S127" s="436"/>
      <c r="T127" s="437">
        <v>22.0</v>
      </c>
      <c r="U127" s="437">
        <v>15.0</v>
      </c>
      <c r="V127" s="437">
        <v>66.0</v>
      </c>
      <c r="W127" s="437">
        <v>76.0</v>
      </c>
      <c r="X127" s="437">
        <v>84.0</v>
      </c>
      <c r="Y127" s="437"/>
      <c r="Z127" s="438"/>
      <c r="AA127" s="450">
        <v>60.0</v>
      </c>
      <c r="AB127" s="409">
        <v>89.0</v>
      </c>
      <c r="AC127" s="395">
        <v>70.0</v>
      </c>
      <c r="AD127" s="439"/>
      <c r="AE127" s="440">
        <v>80.0</v>
      </c>
      <c r="AF127" s="441"/>
      <c r="AG127" s="439">
        <v>79.0</v>
      </c>
      <c r="AH127" s="441"/>
      <c r="AI127" s="441"/>
      <c r="AJ127" s="441"/>
      <c r="AK127" s="442">
        <f t="shared" si="1"/>
        <v>4</v>
      </c>
      <c r="AL127" s="442">
        <f t="shared" si="2"/>
        <v>3</v>
      </c>
      <c r="AM127" s="424">
        <f t="shared" si="3"/>
        <v>3</v>
      </c>
      <c r="AN127" s="442" t="str">
        <f t="shared" si="4"/>
        <v>3.5</v>
      </c>
      <c r="AO127" s="442">
        <f t="shared" si="5"/>
        <v>3</v>
      </c>
      <c r="AP127" s="367"/>
    </row>
    <row r="128">
      <c r="A128" s="385">
        <v>124.0</v>
      </c>
      <c r="B128" s="446" t="s">
        <v>2221</v>
      </c>
      <c r="C128" s="446" t="s">
        <v>3287</v>
      </c>
      <c r="D128" s="402" t="str">
        <f>VLOOKUP(B128,USN!$1:$1088,2,False)</f>
        <v>1CR23EC127</v>
      </c>
      <c r="E128" s="447">
        <v>8.660124275E9</v>
      </c>
      <c r="F128" s="446" t="s">
        <v>3736</v>
      </c>
      <c r="G128" s="367"/>
      <c r="H128" s="447">
        <v>80.0</v>
      </c>
      <c r="I128" s="433">
        <v>70.0</v>
      </c>
      <c r="J128" s="433">
        <f>VLOOKUP(D128,'L3'!$1:$2060,2,False)</f>
        <v>70</v>
      </c>
      <c r="K128" s="433">
        <f>VLOOKUP(D128,'L4'!$1:$2059,2,False)</f>
        <v>70</v>
      </c>
      <c r="L128" s="434">
        <f>VLOOKUP(D128,'A1 RETEST 5 DEC'!$1:$2096,2,FALSE)</f>
        <v>50</v>
      </c>
      <c r="M128" s="434">
        <f>VLOOKUP(D128,'A2 RETEST 4 DEC'!$1:$2096,2,FALSE)</f>
        <v>50</v>
      </c>
      <c r="N128" s="435">
        <v>40.0</v>
      </c>
      <c r="O128" s="449"/>
      <c r="P128" s="436">
        <f>IFNA(VLOOKUP(D128,'S1'!$1:$1325,2,False),0)</f>
        <v>76</v>
      </c>
      <c r="Q128" s="436">
        <f>vlookup(D128,'S2'!A124:B1326,2,0)</f>
        <v>50</v>
      </c>
      <c r="R128" s="436">
        <f>ifna(vlookup(D128,'S3'!$1:$1311,2,False),0)</f>
        <v>86</v>
      </c>
      <c r="S128" s="436"/>
      <c r="T128" s="437">
        <v>11.0</v>
      </c>
      <c r="U128" s="437">
        <v>18.0</v>
      </c>
      <c r="V128" s="437">
        <v>50.0</v>
      </c>
      <c r="W128" s="437">
        <v>76.0</v>
      </c>
      <c r="X128" s="437">
        <v>74.0</v>
      </c>
      <c r="Y128" s="437"/>
      <c r="Z128" s="438"/>
      <c r="AA128" s="450">
        <v>67.0</v>
      </c>
      <c r="AB128" s="409">
        <v>72.0</v>
      </c>
      <c r="AC128" s="395">
        <v>16.0</v>
      </c>
      <c r="AD128" s="439"/>
      <c r="AE128" s="440">
        <v>55.0</v>
      </c>
      <c r="AF128" s="441"/>
      <c r="AG128" s="439"/>
      <c r="AH128" s="441"/>
      <c r="AI128" s="441"/>
      <c r="AJ128" s="441"/>
      <c r="AK128" s="442">
        <f t="shared" si="1"/>
        <v>4</v>
      </c>
      <c r="AL128" s="442">
        <f t="shared" si="2"/>
        <v>2</v>
      </c>
      <c r="AM128" s="424">
        <f t="shared" si="3"/>
        <v>3</v>
      </c>
      <c r="AN128" s="442" t="str">
        <f t="shared" si="4"/>
        <v>2</v>
      </c>
      <c r="AO128" s="442">
        <f t="shared" si="5"/>
        <v>3</v>
      </c>
      <c r="AP128" s="367"/>
    </row>
    <row r="129">
      <c r="A129" s="385">
        <v>125.0</v>
      </c>
      <c r="B129" s="446" t="s">
        <v>2287</v>
      </c>
      <c r="C129" s="446" t="s">
        <v>3288</v>
      </c>
      <c r="D129" s="402" t="str">
        <f>VLOOKUP(B129,USN!$1:$1088,2,False)</f>
        <v>1CR23EC128</v>
      </c>
      <c r="E129" s="447">
        <v>9.731826179E9</v>
      </c>
      <c r="F129" s="447" t="s">
        <v>3736</v>
      </c>
      <c r="G129" s="367"/>
      <c r="H129" s="447">
        <v>85.0</v>
      </c>
      <c r="I129" s="448">
        <v>83.0</v>
      </c>
      <c r="J129" s="433">
        <f>VLOOKUP(D129,'L3'!$1:$2060,2,False)</f>
        <v>70</v>
      </c>
      <c r="K129" s="433">
        <f>VLOOKUP(D129,'L4'!$1:$2059,2,False)</f>
        <v>71</v>
      </c>
      <c r="L129" s="434">
        <f>VLOOKUP(D129,'A1 RETEST 5 DEC'!$1:$2096,2,FALSE)</f>
        <v>64</v>
      </c>
      <c r="M129" s="434">
        <f>VLOOKUP(D129,'A2 RETEST 4 DEC'!$1:$2096,2,FALSE)</f>
        <v>53</v>
      </c>
      <c r="N129" s="435">
        <v>65.0</v>
      </c>
      <c r="O129" s="449"/>
      <c r="P129" s="436">
        <f>IFNA(VLOOKUP(D129,'S1'!$1:$1325,2,False),0)</f>
        <v>70</v>
      </c>
      <c r="Q129" s="436">
        <f>vlookup(D129,'S2'!A125:B1327,2,0)</f>
        <v>81</v>
      </c>
      <c r="R129" s="436">
        <f>ifna(vlookup(D129,'S3'!$1:$1311,2,False),0)</f>
        <v>84</v>
      </c>
      <c r="S129" s="436"/>
      <c r="T129" s="437">
        <v>12.0</v>
      </c>
      <c r="U129" s="437">
        <v>19.0</v>
      </c>
      <c r="V129" s="437">
        <v>50.0</v>
      </c>
      <c r="W129" s="437">
        <v>74.0</v>
      </c>
      <c r="X129" s="437">
        <v>52.0</v>
      </c>
      <c r="Y129" s="437"/>
      <c r="Z129" s="438"/>
      <c r="AA129" s="450">
        <v>90.0</v>
      </c>
      <c r="AB129" s="409">
        <v>97.0</v>
      </c>
      <c r="AC129" s="395">
        <v>100.0</v>
      </c>
      <c r="AD129" s="439"/>
      <c r="AE129" s="440">
        <v>82.0</v>
      </c>
      <c r="AF129" s="441"/>
      <c r="AG129" s="439">
        <v>75.0</v>
      </c>
      <c r="AH129" s="441"/>
      <c r="AI129" s="441"/>
      <c r="AJ129" s="441"/>
      <c r="AK129" s="442">
        <f t="shared" si="1"/>
        <v>4</v>
      </c>
      <c r="AL129" s="442">
        <f t="shared" si="2"/>
        <v>3</v>
      </c>
      <c r="AM129" s="424">
        <f t="shared" si="3"/>
        <v>3</v>
      </c>
      <c r="AN129" s="442" t="str">
        <f t="shared" si="4"/>
        <v>3.5</v>
      </c>
      <c r="AO129" s="442">
        <f t="shared" si="5"/>
        <v>3</v>
      </c>
      <c r="AP129" s="367"/>
    </row>
    <row r="130">
      <c r="A130" s="385">
        <v>126.0</v>
      </c>
      <c r="B130" s="446" t="s">
        <v>2289</v>
      </c>
      <c r="C130" s="446" t="s">
        <v>3290</v>
      </c>
      <c r="D130" s="402" t="str">
        <f>VLOOKUP(B130,USN!$1:$1088,2,False)</f>
        <v>1CR23EC130</v>
      </c>
      <c r="E130" s="447">
        <v>7.416011574E9</v>
      </c>
      <c r="F130" s="447" t="s">
        <v>3736</v>
      </c>
      <c r="G130" s="367"/>
      <c r="H130" s="447">
        <v>81.0</v>
      </c>
      <c r="I130" s="448">
        <v>73.0</v>
      </c>
      <c r="J130" s="433">
        <f>VLOOKUP(D130,'L3'!$1:$2060,2,False)</f>
        <v>44</v>
      </c>
      <c r="K130" s="433">
        <f>VLOOKUP(D130,'L4'!$1:$2059,2,False)</f>
        <v>70</v>
      </c>
      <c r="L130" s="434">
        <f>VLOOKUP(D130,'A1 RETEST 5 DEC'!$1:$2096,2,FALSE)</f>
        <v>67</v>
      </c>
      <c r="M130" s="434">
        <f>VLOOKUP(D130,'A2 RETEST 4 DEC'!$1:$2096,2,FALSE)</f>
        <v>50</v>
      </c>
      <c r="N130" s="435">
        <v>78.0</v>
      </c>
      <c r="O130" s="449"/>
      <c r="P130" s="436">
        <f>IFNA(VLOOKUP(D130,'S1'!$1:$1325,2,False),0)</f>
        <v>77</v>
      </c>
      <c r="Q130" s="436">
        <f>vlookup(D130,'S2'!A126:B1328,2,0)</f>
        <v>50</v>
      </c>
      <c r="R130" s="436">
        <f>ifna(vlookup(D130,'S3'!$1:$1311,2,False),0)</f>
        <v>50</v>
      </c>
      <c r="S130" s="436"/>
      <c r="T130" s="437">
        <v>19.0</v>
      </c>
      <c r="U130" s="437">
        <v>14.0</v>
      </c>
      <c r="V130" s="437">
        <v>50.0</v>
      </c>
      <c r="W130" s="437">
        <v>80.0</v>
      </c>
      <c r="X130" s="437">
        <v>78.0</v>
      </c>
      <c r="Y130" s="437"/>
      <c r="Z130" s="438"/>
      <c r="AA130" s="450">
        <v>72.0</v>
      </c>
      <c r="AB130" s="409">
        <v>100.0</v>
      </c>
      <c r="AC130" s="395">
        <v>99.0</v>
      </c>
      <c r="AD130" s="439"/>
      <c r="AE130" s="440">
        <v>84.0</v>
      </c>
      <c r="AF130" s="441"/>
      <c r="AG130" s="439">
        <v>72.0</v>
      </c>
      <c r="AH130" s="441"/>
      <c r="AI130" s="441"/>
      <c r="AJ130" s="441"/>
      <c r="AK130" s="442">
        <f t="shared" si="1"/>
        <v>2</v>
      </c>
      <c r="AL130" s="442">
        <f t="shared" si="2"/>
        <v>3</v>
      </c>
      <c r="AM130" s="424">
        <f t="shared" si="3"/>
        <v>3</v>
      </c>
      <c r="AN130" s="442" t="str">
        <f t="shared" si="4"/>
        <v>3.5</v>
      </c>
      <c r="AO130" s="442">
        <f t="shared" si="5"/>
        <v>3</v>
      </c>
      <c r="AP130" s="367"/>
    </row>
    <row r="131">
      <c r="A131" s="385">
        <v>127.0</v>
      </c>
      <c r="B131" s="446" t="s">
        <v>2290</v>
      </c>
      <c r="C131" s="446" t="s">
        <v>3291</v>
      </c>
      <c r="D131" s="402" t="str">
        <f>VLOOKUP(B131,USN!$1:$1088,2,False)</f>
        <v>1CR23EC131</v>
      </c>
      <c r="E131" s="447">
        <v>9.632997924E9</v>
      </c>
      <c r="F131" s="447" t="s">
        <v>3736</v>
      </c>
      <c r="G131" s="367"/>
      <c r="H131" s="447">
        <v>87.0</v>
      </c>
      <c r="I131" s="448">
        <v>92.0</v>
      </c>
      <c r="J131" s="433">
        <f>VLOOKUP(D131,'L3'!$1:$2060,2,False)</f>
        <v>70</v>
      </c>
      <c r="K131" s="433">
        <f>VLOOKUP(D131,'L4'!$1:$2059,2,False)</f>
        <v>70</v>
      </c>
      <c r="L131" s="434">
        <f>VLOOKUP(D131,'A1 RETEST 5 DEC'!$1:$2096,2,FALSE)</f>
        <v>44</v>
      </c>
      <c r="M131" s="434">
        <f>VLOOKUP(D131,'A2 RETEST 4 DEC'!$1:$2096,2,FALSE)</f>
        <v>22</v>
      </c>
      <c r="N131" s="435">
        <v>15.0</v>
      </c>
      <c r="O131" s="449"/>
      <c r="P131" s="436">
        <f>IFNA(VLOOKUP(D131,'S1'!$1:$1325,2,False),0)</f>
        <v>80</v>
      </c>
      <c r="Q131" s="436">
        <f>vlookup(D131,'S2'!A127:B1329,2,0)</f>
        <v>72</v>
      </c>
      <c r="R131" s="436">
        <f>ifna(vlookup(D131,'S3'!$1:$1311,2,False),0)</f>
        <v>38</v>
      </c>
      <c r="S131" s="436"/>
      <c r="T131" s="437">
        <v>10.0</v>
      </c>
      <c r="U131" s="437">
        <v>16.0</v>
      </c>
      <c r="V131" s="437">
        <v>54.0</v>
      </c>
      <c r="W131" s="437">
        <v>78.0</v>
      </c>
      <c r="X131" s="453"/>
      <c r="Y131" s="437"/>
      <c r="Z131" s="438"/>
      <c r="AA131" s="450">
        <v>76.0</v>
      </c>
      <c r="AB131" s="409">
        <v>90.0</v>
      </c>
      <c r="AC131" s="395">
        <v>78.0</v>
      </c>
      <c r="AD131" s="439"/>
      <c r="AE131" s="440">
        <v>24.0</v>
      </c>
      <c r="AF131" s="441"/>
      <c r="AG131" s="439"/>
      <c r="AH131" s="441"/>
      <c r="AI131" s="441"/>
      <c r="AJ131" s="441"/>
      <c r="AK131" s="442">
        <f t="shared" si="1"/>
        <v>4</v>
      </c>
      <c r="AL131" s="442">
        <f t="shared" si="2"/>
        <v>0</v>
      </c>
      <c r="AM131" s="424">
        <f t="shared" si="3"/>
        <v>3</v>
      </c>
      <c r="AN131" s="442" t="str">
        <f t="shared" si="4"/>
        <v>3</v>
      </c>
      <c r="AO131" s="442">
        <f t="shared" si="5"/>
        <v>2</v>
      </c>
      <c r="AP131" s="367"/>
    </row>
    <row r="132">
      <c r="A132" s="385">
        <v>128.0</v>
      </c>
      <c r="B132" s="446" t="s">
        <v>2291</v>
      </c>
      <c r="C132" s="446" t="s">
        <v>3292</v>
      </c>
      <c r="D132" s="402" t="str">
        <f>VLOOKUP(B132,USN!$1:$1088,2,False)</f>
        <v>1CR23EC132</v>
      </c>
      <c r="E132" s="447">
        <v>9.986077379E9</v>
      </c>
      <c r="F132" s="447" t="s">
        <v>3736</v>
      </c>
      <c r="G132" s="367"/>
      <c r="H132" s="447">
        <v>72.0</v>
      </c>
      <c r="I132" s="448">
        <v>73.0</v>
      </c>
      <c r="J132" s="433">
        <f>VLOOKUP(D132,'L3'!$1:$2060,2,False)</f>
        <v>70</v>
      </c>
      <c r="K132" s="433">
        <f>VLOOKUP(D132,'L4'!$1:$2059,2,False)</f>
        <v>78</v>
      </c>
      <c r="L132" s="434">
        <f>VLOOKUP(D132,'A1 RETEST 5 DEC'!$1:$2096,2,FALSE)</f>
        <v>52</v>
      </c>
      <c r="M132" s="434">
        <f>VLOOKUP(D132,'A2 RETEST 4 DEC'!$1:$2096,2,FALSE)</f>
        <v>50</v>
      </c>
      <c r="N132" s="435">
        <v>29.0</v>
      </c>
      <c r="O132" s="449"/>
      <c r="P132" s="436">
        <f>IFNA(VLOOKUP(D132,'S1'!$1:$1325,2,False),0)</f>
        <v>80</v>
      </c>
      <c r="Q132" s="436">
        <f>vlookup(D132,'S2'!A128:B1330,2,0)</f>
        <v>85</v>
      </c>
      <c r="R132" s="436">
        <f>ifna(vlookup(D132,'S3'!$1:$1311,2,False),0)</f>
        <v>85</v>
      </c>
      <c r="S132" s="436"/>
      <c r="T132" s="437">
        <v>11.0</v>
      </c>
      <c r="U132" s="437">
        <v>19.0</v>
      </c>
      <c r="V132" s="437">
        <v>42.0</v>
      </c>
      <c r="W132" s="437">
        <v>84.0</v>
      </c>
      <c r="X132" s="437">
        <v>76.0</v>
      </c>
      <c r="Y132" s="437"/>
      <c r="Z132" s="438"/>
      <c r="AA132" s="450">
        <v>76.0</v>
      </c>
      <c r="AB132" s="409">
        <v>100.0</v>
      </c>
      <c r="AC132" s="395">
        <v>80.0</v>
      </c>
      <c r="AD132" s="439"/>
      <c r="AE132" s="440">
        <v>80.0</v>
      </c>
      <c r="AF132" s="441"/>
      <c r="AG132" s="439">
        <v>79.0</v>
      </c>
      <c r="AH132" s="441"/>
      <c r="AI132" s="441"/>
      <c r="AJ132" s="441"/>
      <c r="AK132" s="442">
        <f t="shared" si="1"/>
        <v>4</v>
      </c>
      <c r="AL132" s="442">
        <f t="shared" si="2"/>
        <v>2</v>
      </c>
      <c r="AM132" s="424">
        <f t="shared" si="3"/>
        <v>3</v>
      </c>
      <c r="AN132" s="442" t="str">
        <f t="shared" si="4"/>
        <v>3.5</v>
      </c>
      <c r="AO132" s="442">
        <f t="shared" si="5"/>
        <v>3</v>
      </c>
      <c r="AP132" s="367"/>
    </row>
    <row r="133">
      <c r="A133" s="385">
        <v>129.0</v>
      </c>
      <c r="B133" s="446" t="s">
        <v>2292</v>
      </c>
      <c r="C133" s="446" t="s">
        <v>3764</v>
      </c>
      <c r="D133" s="455" t="s">
        <v>513</v>
      </c>
      <c r="E133" s="447">
        <v>7.204231983E9</v>
      </c>
      <c r="F133" s="446" t="s">
        <v>3736</v>
      </c>
      <c r="G133" s="367"/>
      <c r="H133" s="447">
        <v>82.0</v>
      </c>
      <c r="I133" s="448">
        <v>84.0</v>
      </c>
      <c r="J133" s="433">
        <f>VLOOKUP(D133,'L3'!$1:$2060,2,False)</f>
        <v>70</v>
      </c>
      <c r="K133" s="433">
        <f>VLOOKUP(D133,'L4'!$1:$2059,2,False)</f>
        <v>70</v>
      </c>
      <c r="L133" s="434">
        <f>VLOOKUP(D133,'A1 RETEST 5 DEC'!$1:$2096,2,FALSE)</f>
        <v>61</v>
      </c>
      <c r="M133" s="434">
        <f>VLOOKUP(D133,'A2 RETEST 4 DEC'!$1:$2096,2,FALSE)</f>
        <v>50</v>
      </c>
      <c r="N133" s="435">
        <v>44.0</v>
      </c>
      <c r="O133" s="449"/>
      <c r="P133" s="436">
        <f>IFNA(VLOOKUP(D133,'S1'!$1:$1325,2,False),0)</f>
        <v>70</v>
      </c>
      <c r="Q133" s="436">
        <f>vlookup(D133,'S2'!A129:B1331,2,0)</f>
        <v>74</v>
      </c>
      <c r="R133" s="436">
        <f>ifna(vlookup(D133,'S3'!$1:$1311,2,False),0)</f>
        <v>95</v>
      </c>
      <c r="S133" s="436"/>
      <c r="T133" s="437">
        <v>10.0</v>
      </c>
      <c r="U133" s="437">
        <v>18.0</v>
      </c>
      <c r="V133" s="437">
        <v>56.0</v>
      </c>
      <c r="W133" s="437">
        <v>86.0</v>
      </c>
      <c r="X133" s="437">
        <v>72.0</v>
      </c>
      <c r="Y133" s="437"/>
      <c r="Z133" s="438"/>
      <c r="AA133" s="450">
        <v>53.0</v>
      </c>
      <c r="AB133" s="409">
        <v>93.0</v>
      </c>
      <c r="AC133" s="395">
        <v>60.0</v>
      </c>
      <c r="AD133" s="439"/>
      <c r="AE133" s="440">
        <v>70.0</v>
      </c>
      <c r="AF133" s="441"/>
      <c r="AG133" s="439"/>
      <c r="AH133" s="441"/>
      <c r="AI133" s="441"/>
      <c r="AJ133" s="441"/>
      <c r="AK133" s="442">
        <f t="shared" si="1"/>
        <v>4</v>
      </c>
      <c r="AL133" s="442">
        <f t="shared" si="2"/>
        <v>2</v>
      </c>
      <c r="AM133" s="424">
        <f t="shared" si="3"/>
        <v>3</v>
      </c>
      <c r="AN133" s="442" t="str">
        <f t="shared" si="4"/>
        <v>3.5</v>
      </c>
      <c r="AO133" s="442">
        <f t="shared" si="5"/>
        <v>3</v>
      </c>
      <c r="AP133" s="367"/>
    </row>
    <row r="134">
      <c r="A134" s="385">
        <v>130.0</v>
      </c>
      <c r="B134" s="446" t="s">
        <v>2292</v>
      </c>
      <c r="C134" s="446" t="s">
        <v>3294</v>
      </c>
      <c r="D134" s="456" t="s">
        <v>514</v>
      </c>
      <c r="E134" s="447">
        <v>8.105858914E9</v>
      </c>
      <c r="F134" s="447" t="s">
        <v>3736</v>
      </c>
      <c r="G134" s="367"/>
      <c r="H134" s="447">
        <v>81.0</v>
      </c>
      <c r="I134" s="433">
        <v>84.0</v>
      </c>
      <c r="J134" s="433">
        <f>VLOOKUP(D134,'L3'!$1:$2060,2,False)</f>
        <v>83</v>
      </c>
      <c r="K134" s="433">
        <f>VLOOKUP(D134,'L4'!$1:$2059,2,False)</f>
        <v>77</v>
      </c>
      <c r="L134" s="434">
        <f>VLOOKUP(D134,'A1 RETEST 5 DEC'!$1:$2096,2,FALSE)</f>
        <v>50</v>
      </c>
      <c r="M134" s="434">
        <f>VLOOKUP(D134,'A2 RETEST 4 DEC'!$1:$2096,2,FALSE)</f>
        <v>50</v>
      </c>
      <c r="N134" s="435">
        <v>50.0</v>
      </c>
      <c r="O134" s="449"/>
      <c r="P134" s="436">
        <f>IFNA(VLOOKUP(D134,'S1'!$1:$1325,2,False),0)</f>
        <v>80</v>
      </c>
      <c r="Q134" s="436">
        <f>vlookup(D134,'S2'!A130:B1332,2,0)</f>
        <v>87</v>
      </c>
      <c r="R134" s="436">
        <f>ifna(vlookup(D134,'S3'!$1:$1311,2,False),0)</f>
        <v>92</v>
      </c>
      <c r="S134" s="436"/>
      <c r="T134" s="437">
        <v>14.0</v>
      </c>
      <c r="U134" s="437">
        <v>13.0</v>
      </c>
      <c r="V134" s="437">
        <v>54.0</v>
      </c>
      <c r="W134" s="437">
        <v>84.0</v>
      </c>
      <c r="X134" s="437">
        <v>72.0</v>
      </c>
      <c r="Y134" s="437"/>
      <c r="Z134" s="438"/>
      <c r="AA134" s="450">
        <v>100.0</v>
      </c>
      <c r="AB134" s="409">
        <v>100.0</v>
      </c>
      <c r="AC134" s="395">
        <v>86.0</v>
      </c>
      <c r="AD134" s="439"/>
      <c r="AE134" s="440">
        <v>70.0</v>
      </c>
      <c r="AF134" s="441"/>
      <c r="AG134" s="439"/>
      <c r="AH134" s="451">
        <v>81.0</v>
      </c>
      <c r="AI134" s="441"/>
      <c r="AJ134" s="441"/>
      <c r="AK134" s="442">
        <f t="shared" si="1"/>
        <v>4</v>
      </c>
      <c r="AL134" s="442">
        <f t="shared" si="2"/>
        <v>3</v>
      </c>
      <c r="AM134" s="424">
        <f t="shared" si="3"/>
        <v>3</v>
      </c>
      <c r="AN134" s="442" t="str">
        <f t="shared" si="4"/>
        <v>3.5</v>
      </c>
      <c r="AO134" s="442">
        <f t="shared" si="5"/>
        <v>3</v>
      </c>
      <c r="AP134" s="367"/>
    </row>
    <row r="135">
      <c r="A135" s="385">
        <v>131.0</v>
      </c>
      <c r="B135" s="446" t="s">
        <v>2293</v>
      </c>
      <c r="C135" s="446" t="s">
        <v>3295</v>
      </c>
      <c r="D135" s="402" t="str">
        <f>VLOOKUP(B135,USN!$1:$1088,2,False)</f>
        <v>1CR23EC135</v>
      </c>
      <c r="E135" s="447">
        <v>7.892966523E9</v>
      </c>
      <c r="F135" s="447" t="s">
        <v>3736</v>
      </c>
      <c r="G135" s="367"/>
      <c r="H135" s="447">
        <v>80.0</v>
      </c>
      <c r="I135" s="448">
        <v>85.0</v>
      </c>
      <c r="J135" s="433">
        <f>VLOOKUP(D135,'L3'!$1:$2060,2,False)</f>
        <v>70</v>
      </c>
      <c r="K135" s="433">
        <f>VLOOKUP(D135,'L4'!$1:$2059,2,False)</f>
        <v>70</v>
      </c>
      <c r="L135" s="434">
        <f>VLOOKUP(D135,'A1 RETEST 5 DEC'!$1:$2096,2,FALSE)</f>
        <v>50</v>
      </c>
      <c r="M135" s="434">
        <f>VLOOKUP(D135,'A2 RETEST 4 DEC'!$1:$2096,2,FALSE)</f>
        <v>15</v>
      </c>
      <c r="N135" s="435">
        <v>44.0</v>
      </c>
      <c r="O135" s="449"/>
      <c r="P135" s="436">
        <f>IFNA(VLOOKUP(D135,'S1'!$1:$1325,2,False),0)</f>
        <v>73</v>
      </c>
      <c r="Q135" s="436">
        <f>vlookup(D135,'S2'!A131:B1333,2,0)</f>
        <v>85</v>
      </c>
      <c r="R135" s="436">
        <f>ifna(vlookup(D135,'S3'!$1:$1311,2,False),0)</f>
        <v>89</v>
      </c>
      <c r="S135" s="436"/>
      <c r="T135" s="437">
        <v>11.0</v>
      </c>
      <c r="U135" s="437">
        <v>15.0</v>
      </c>
      <c r="V135" s="457">
        <v>20.0</v>
      </c>
      <c r="W135" s="437">
        <v>82.0</v>
      </c>
      <c r="X135" s="437">
        <v>80.0</v>
      </c>
      <c r="Y135" s="437"/>
      <c r="Z135" s="438"/>
      <c r="AA135" s="450">
        <v>60.0</v>
      </c>
      <c r="AB135" s="409">
        <v>84.0</v>
      </c>
      <c r="AC135" s="395">
        <v>94.0</v>
      </c>
      <c r="AD135" s="439"/>
      <c r="AE135" s="440">
        <v>26.0</v>
      </c>
      <c r="AF135" s="441"/>
      <c r="AG135" s="439"/>
      <c r="AH135" s="451">
        <v>45.0</v>
      </c>
      <c r="AI135" s="441"/>
      <c r="AJ135" s="441"/>
      <c r="AK135" s="442">
        <f t="shared" si="1"/>
        <v>4</v>
      </c>
      <c r="AL135" s="442">
        <f t="shared" si="2"/>
        <v>1</v>
      </c>
      <c r="AM135" s="424">
        <f t="shared" si="3"/>
        <v>3</v>
      </c>
      <c r="AN135" s="442" t="str">
        <f t="shared" si="4"/>
        <v>3</v>
      </c>
      <c r="AO135" s="442">
        <f t="shared" si="5"/>
        <v>3</v>
      </c>
      <c r="AP135" s="367"/>
    </row>
    <row r="136">
      <c r="A136" s="385">
        <v>132.0</v>
      </c>
      <c r="B136" s="446" t="s">
        <v>2224</v>
      </c>
      <c r="C136" s="458" t="s">
        <v>3296</v>
      </c>
      <c r="D136" s="402" t="str">
        <f>VLOOKUP(B136,USN!$1:$1088,2,False)</f>
        <v>1CR23EC136</v>
      </c>
      <c r="E136" s="447">
        <v>6.363447757E9</v>
      </c>
      <c r="F136" s="459" t="s">
        <v>3736</v>
      </c>
      <c r="G136" s="367"/>
      <c r="H136" s="447">
        <v>79.0</v>
      </c>
      <c r="I136" s="448">
        <v>84.0</v>
      </c>
      <c r="J136" s="433">
        <f>VLOOKUP(D136,'L3'!$1:$2060,2,False)</f>
        <v>72</v>
      </c>
      <c r="K136" s="433">
        <f>VLOOKUP(D136,'L4'!$1:$2059,2,False)</f>
        <v>70</v>
      </c>
      <c r="L136" s="434">
        <f>VLOOKUP(D136,'A1 RETEST 5 DEC'!$1:$2096,2,FALSE)</f>
        <v>50</v>
      </c>
      <c r="M136" s="434">
        <f>VLOOKUP(D136,'A2 RETEST 4 DEC'!$1:$2096,2,FALSE)</f>
        <v>50</v>
      </c>
      <c r="N136" s="435">
        <v>70.0</v>
      </c>
      <c r="O136" s="449"/>
      <c r="P136" s="436">
        <f>IFNA(VLOOKUP(D136,'S1'!$1:$1325,2,False),0)</f>
        <v>76</v>
      </c>
      <c r="Q136" s="436">
        <f>vlookup(D136,'S2'!A132:B1334,2,0)</f>
        <v>50</v>
      </c>
      <c r="R136" s="436">
        <f>ifna(vlookup(D136,'S3'!$1:$1311,2,False),0)</f>
        <v>62</v>
      </c>
      <c r="S136" s="436"/>
      <c r="T136" s="437">
        <v>22.0</v>
      </c>
      <c r="U136" s="437">
        <v>18.0</v>
      </c>
      <c r="V136" s="437">
        <v>40.0</v>
      </c>
      <c r="W136" s="437">
        <v>80.0</v>
      </c>
      <c r="X136" s="437">
        <v>78.0</v>
      </c>
      <c r="Y136" s="437"/>
      <c r="Z136" s="438"/>
      <c r="AA136" s="450">
        <v>82.0</v>
      </c>
      <c r="AB136" s="409">
        <v>87.0</v>
      </c>
      <c r="AC136" s="395">
        <v>80.0</v>
      </c>
      <c r="AD136" s="439"/>
      <c r="AE136" s="440">
        <v>40.0</v>
      </c>
      <c r="AF136" s="441"/>
      <c r="AG136" s="439"/>
      <c r="AH136" s="451">
        <v>31.0</v>
      </c>
      <c r="AI136" s="441"/>
      <c r="AJ136" s="441"/>
      <c r="AK136" s="442">
        <f t="shared" si="1"/>
        <v>4</v>
      </c>
      <c r="AL136" s="442">
        <f t="shared" si="2"/>
        <v>3</v>
      </c>
      <c r="AM136" s="424">
        <f t="shared" si="3"/>
        <v>3</v>
      </c>
      <c r="AN136" s="442" t="str">
        <f t="shared" si="4"/>
        <v>3</v>
      </c>
      <c r="AO136" s="442">
        <f t="shared" si="5"/>
        <v>3</v>
      </c>
      <c r="AP136" s="367"/>
    </row>
    <row r="137">
      <c r="A137" s="385">
        <v>133.0</v>
      </c>
      <c r="B137" s="446" t="s">
        <v>2294</v>
      </c>
      <c r="C137" s="446" t="s">
        <v>3297</v>
      </c>
      <c r="D137" s="402" t="str">
        <f>VLOOKUP(B137,USN!$1:$1088,2,False)</f>
        <v>1CR23EC137</v>
      </c>
      <c r="E137" s="447">
        <v>9.008134646E9</v>
      </c>
      <c r="F137" s="447" t="s">
        <v>3736</v>
      </c>
      <c r="G137" s="367"/>
      <c r="H137" s="447">
        <v>83.0</v>
      </c>
      <c r="I137" s="448">
        <v>81.0</v>
      </c>
      <c r="J137" s="433">
        <f>VLOOKUP(D137,'L3'!$1:$2060,2,False)</f>
        <v>5</v>
      </c>
      <c r="K137" s="433">
        <f>VLOOKUP(D137,'L4'!$1:$2059,2,False)</f>
        <v>8</v>
      </c>
      <c r="L137" s="434">
        <f>VLOOKUP(D137,'A1 RETEST 5 DEC'!$1:$2096,2,FALSE)</f>
        <v>25</v>
      </c>
      <c r="M137" s="434">
        <f>VLOOKUP(D137,'A2 RETEST 4 DEC'!$1:$2096,2,FALSE)</f>
        <v>0</v>
      </c>
      <c r="N137" s="435">
        <v>0.0</v>
      </c>
      <c r="O137" s="449"/>
      <c r="P137" s="436">
        <f>IFNA(VLOOKUP(D137,'S1'!$1:$1325,2,False),0)</f>
        <v>78</v>
      </c>
      <c r="Q137" s="436">
        <f>vlookup(D137,'S2'!A133:B1335,2,0)</f>
        <v>0</v>
      </c>
      <c r="R137" s="436">
        <f>ifna(vlookup(D137,'S3'!$1:$1311,2,False),0)</f>
        <v>0</v>
      </c>
      <c r="S137" s="436"/>
      <c r="T137" s="437">
        <v>13.0</v>
      </c>
      <c r="U137" s="437">
        <v>13.0</v>
      </c>
      <c r="V137" s="437">
        <v>0.0</v>
      </c>
      <c r="W137" s="437"/>
      <c r="X137" s="453"/>
      <c r="Y137" s="437"/>
      <c r="Z137" s="438"/>
      <c r="AA137" s="450">
        <v>8.0</v>
      </c>
      <c r="AB137" s="409">
        <v>75.0</v>
      </c>
      <c r="AC137" s="395">
        <v>0.0</v>
      </c>
      <c r="AD137" s="439"/>
      <c r="AE137" s="440">
        <v>10.0</v>
      </c>
      <c r="AF137" s="441"/>
      <c r="AG137" s="439"/>
      <c r="AH137" s="451">
        <v>0.0</v>
      </c>
      <c r="AI137" s="441"/>
      <c r="AJ137" s="441"/>
      <c r="AK137" s="442">
        <f t="shared" si="1"/>
        <v>2</v>
      </c>
      <c r="AL137" s="442">
        <f t="shared" si="2"/>
        <v>0</v>
      </c>
      <c r="AM137" s="424">
        <f t="shared" si="3"/>
        <v>2</v>
      </c>
      <c r="AN137" s="442" t="str">
        <f t="shared" si="4"/>
        <v>2</v>
      </c>
      <c r="AO137" s="442">
        <f t="shared" si="5"/>
        <v>1</v>
      </c>
      <c r="AP137" s="367"/>
    </row>
    <row r="138">
      <c r="A138" s="385">
        <v>134.0</v>
      </c>
      <c r="B138" s="446" t="s">
        <v>2340</v>
      </c>
      <c r="C138" s="446" t="s">
        <v>3298</v>
      </c>
      <c r="D138" s="402" t="str">
        <f>VLOOKUP(B138,USN!$1:$1088,2,False)</f>
        <v>1CR23EC138</v>
      </c>
      <c r="E138" s="447">
        <v>6.361088178E9</v>
      </c>
      <c r="F138" s="446" t="s">
        <v>3736</v>
      </c>
      <c r="G138" s="367"/>
      <c r="H138" s="447">
        <v>79.0</v>
      </c>
      <c r="I138" s="448">
        <v>84.0</v>
      </c>
      <c r="J138" s="433">
        <f>VLOOKUP(D138,'L3'!$1:$2060,2,False)</f>
        <v>75</v>
      </c>
      <c r="K138" s="433">
        <f>VLOOKUP(D138,'L4'!$1:$2059,2,False)</f>
        <v>70</v>
      </c>
      <c r="L138" s="434">
        <f>VLOOKUP(D138,'A1 RETEST 5 DEC'!$1:$2096,2,FALSE)</f>
        <v>50</v>
      </c>
      <c r="M138" s="434">
        <f>VLOOKUP(D138,'A2 RETEST 4 DEC'!$1:$2096,2,FALSE)</f>
        <v>50</v>
      </c>
      <c r="N138" s="435">
        <v>64.0</v>
      </c>
      <c r="O138" s="449"/>
      <c r="P138" s="436">
        <f>IFNA(VLOOKUP(D138,'S1'!$1:$1325,2,False),0)</f>
        <v>50</v>
      </c>
      <c r="Q138" s="436">
        <f>vlookup(D138,'S2'!A134:B1336,2,0)</f>
        <v>72</v>
      </c>
      <c r="R138" s="436">
        <f>ifna(vlookup(D138,'S3'!$1:$1311,2,False),0)</f>
        <v>91</v>
      </c>
      <c r="S138" s="436"/>
      <c r="T138" s="437">
        <v>18.0</v>
      </c>
      <c r="U138" s="437">
        <v>17.0</v>
      </c>
      <c r="V138" s="437">
        <v>48.0</v>
      </c>
      <c r="W138" s="437">
        <v>80.0</v>
      </c>
      <c r="X138" s="437">
        <v>74.0</v>
      </c>
      <c r="Y138" s="437"/>
      <c r="Z138" s="438"/>
      <c r="AA138" s="450">
        <v>79.0</v>
      </c>
      <c r="AB138" s="409">
        <v>75.0</v>
      </c>
      <c r="AC138" s="395">
        <v>60.0</v>
      </c>
      <c r="AD138" s="439"/>
      <c r="AE138" s="440">
        <v>75.0</v>
      </c>
      <c r="AF138" s="441"/>
      <c r="AG138" s="439">
        <v>81.0</v>
      </c>
      <c r="AH138" s="441"/>
      <c r="AI138" s="441"/>
      <c r="AJ138" s="441"/>
      <c r="AK138" s="442">
        <f t="shared" si="1"/>
        <v>4</v>
      </c>
      <c r="AL138" s="442">
        <f t="shared" si="2"/>
        <v>3</v>
      </c>
      <c r="AM138" s="424">
        <f t="shared" si="3"/>
        <v>3</v>
      </c>
      <c r="AN138" s="442" t="str">
        <f t="shared" si="4"/>
        <v>3.5</v>
      </c>
      <c r="AO138" s="442">
        <f t="shared" si="5"/>
        <v>3</v>
      </c>
      <c r="AP138" s="367"/>
    </row>
    <row r="139">
      <c r="A139" s="385">
        <v>135.0</v>
      </c>
      <c r="B139" s="446" t="s">
        <v>2296</v>
      </c>
      <c r="C139" s="446" t="s">
        <v>3300</v>
      </c>
      <c r="D139" s="402" t="str">
        <f>VLOOKUP(B139,USN!$1:$1088,2,False)</f>
        <v>1CR23EC140</v>
      </c>
      <c r="E139" s="447">
        <v>7.89982417E9</v>
      </c>
      <c r="F139" s="447" t="s">
        <v>3736</v>
      </c>
      <c r="G139" s="367"/>
      <c r="H139" s="447">
        <v>70.0</v>
      </c>
      <c r="I139" s="448">
        <v>68.0</v>
      </c>
      <c r="J139" s="433">
        <f>VLOOKUP(D139,'L3'!$1:$2060,2,False)</f>
        <v>5</v>
      </c>
      <c r="K139" s="433">
        <f>VLOOKUP(D139,'L4'!$1:$2059,2,False)</f>
        <v>22</v>
      </c>
      <c r="L139" s="434">
        <f>VLOOKUP(D139,'A1 RETEST 5 DEC'!$1:$2096,2,FALSE)</f>
        <v>17</v>
      </c>
      <c r="M139" s="434">
        <f>VLOOKUP(D139,'A2 RETEST 4 DEC'!$1:$2096,2,FALSE)</f>
        <v>0</v>
      </c>
      <c r="N139" s="435">
        <v>0.0</v>
      </c>
      <c r="O139" s="449"/>
      <c r="P139" s="436">
        <f>IFNA(VLOOKUP(D139,'S1'!$1:$1325,2,False),0)</f>
        <v>0</v>
      </c>
      <c r="Q139" s="436">
        <f>vlookup(D139,'S2'!A135:B1337,2,0)</f>
        <v>0</v>
      </c>
      <c r="R139" s="436">
        <f>ifna(vlookup(D139,'S3'!$1:$1311,2,False),0)</f>
        <v>0</v>
      </c>
      <c r="S139" s="436"/>
      <c r="T139" s="437">
        <v>16.0</v>
      </c>
      <c r="U139" s="437" t="s">
        <v>2477</v>
      </c>
      <c r="V139" s="437">
        <v>0.0</v>
      </c>
      <c r="W139" s="437">
        <v>0.0</v>
      </c>
      <c r="X139" s="453"/>
      <c r="Y139" s="437"/>
      <c r="Z139" s="438"/>
      <c r="AA139" s="450">
        <v>0.0</v>
      </c>
      <c r="AB139" s="409">
        <v>23.0</v>
      </c>
      <c r="AC139" s="395">
        <v>0.0</v>
      </c>
      <c r="AD139" s="439"/>
      <c r="AE139" s="440">
        <v>10.0</v>
      </c>
      <c r="AF139" s="441"/>
      <c r="AG139" s="439"/>
      <c r="AH139" s="441"/>
      <c r="AI139" s="441"/>
      <c r="AJ139" s="441"/>
      <c r="AK139" s="442">
        <f t="shared" si="1"/>
        <v>2</v>
      </c>
      <c r="AL139" s="442">
        <f t="shared" si="2"/>
        <v>0</v>
      </c>
      <c r="AM139" s="424">
        <f t="shared" si="3"/>
        <v>2</v>
      </c>
      <c r="AN139" s="442" t="str">
        <f t="shared" si="4"/>
        <v>0</v>
      </c>
      <c r="AO139" s="442">
        <f t="shared" si="5"/>
        <v>0</v>
      </c>
      <c r="AP139" s="367"/>
    </row>
    <row r="140">
      <c r="A140" s="385">
        <v>136.0</v>
      </c>
      <c r="B140" s="446" t="s">
        <v>2399</v>
      </c>
      <c r="C140" s="446" t="s">
        <v>3301</v>
      </c>
      <c r="D140" s="402" t="str">
        <f>VLOOKUP(B140,USN!$1:$1088,2,False)</f>
        <v>1CR23EC141</v>
      </c>
      <c r="E140" s="447">
        <v>8.792263549E9</v>
      </c>
      <c r="F140" s="452" t="s">
        <v>3736</v>
      </c>
      <c r="G140" s="367"/>
      <c r="H140" s="447">
        <v>87.0</v>
      </c>
      <c r="I140" s="448">
        <v>85.0</v>
      </c>
      <c r="J140" s="433">
        <f>VLOOKUP(D140,'L3'!$1:$2060,2,False)</f>
        <v>81</v>
      </c>
      <c r="K140" s="433">
        <f>VLOOKUP(D140,'L4'!$1:$2059,2,False)</f>
        <v>71</v>
      </c>
      <c r="L140" s="434">
        <f>VLOOKUP(D140,'A1 RETEST 5 DEC'!$1:$2096,2,FALSE)</f>
        <v>50</v>
      </c>
      <c r="M140" s="434">
        <f>VLOOKUP(D140,'A2 RETEST 4 DEC'!$1:$2096,2,FALSE)</f>
        <v>50</v>
      </c>
      <c r="N140" s="435">
        <v>34.0</v>
      </c>
      <c r="O140" s="449"/>
      <c r="P140" s="436">
        <f>IFNA(VLOOKUP(D140,'S1'!$1:$1325,2,False),0)</f>
        <v>75</v>
      </c>
      <c r="Q140" s="436">
        <f>vlookup(D140,'S2'!A136:B1338,2,0)</f>
        <v>50</v>
      </c>
      <c r="R140" s="436">
        <f>ifna(vlookup(D140,'S3'!$1:$1311,2,False),0)</f>
        <v>88</v>
      </c>
      <c r="S140" s="436"/>
      <c r="T140" s="437">
        <v>12.0</v>
      </c>
      <c r="U140" s="437">
        <v>20.0</v>
      </c>
      <c r="V140" s="437">
        <v>0.0</v>
      </c>
      <c r="W140" s="437">
        <v>56.0</v>
      </c>
      <c r="X140" s="437">
        <v>54.0</v>
      </c>
      <c r="Y140" s="437"/>
      <c r="Z140" s="438"/>
      <c r="AA140" s="450">
        <v>72.0</v>
      </c>
      <c r="AB140" s="409">
        <v>90.0</v>
      </c>
      <c r="AC140" s="395">
        <v>99.0</v>
      </c>
      <c r="AD140" s="439"/>
      <c r="AE140" s="440">
        <v>26.0</v>
      </c>
      <c r="AF140" s="441"/>
      <c r="AG140" s="439"/>
      <c r="AH140" s="451">
        <v>34.0</v>
      </c>
      <c r="AI140" s="441"/>
      <c r="AJ140" s="441"/>
      <c r="AK140" s="442">
        <f t="shared" si="1"/>
        <v>4</v>
      </c>
      <c r="AL140" s="442">
        <f t="shared" si="2"/>
        <v>2</v>
      </c>
      <c r="AM140" s="424">
        <f t="shared" si="3"/>
        <v>3</v>
      </c>
      <c r="AN140" s="442" t="str">
        <f t="shared" si="4"/>
        <v>3</v>
      </c>
      <c r="AO140" s="442">
        <f t="shared" si="5"/>
        <v>3</v>
      </c>
      <c r="AP140" s="367"/>
    </row>
    <row r="141">
      <c r="A141" s="385">
        <v>137.0</v>
      </c>
      <c r="B141" s="446" t="s">
        <v>2264</v>
      </c>
      <c r="C141" s="446" t="s">
        <v>3765</v>
      </c>
      <c r="D141" s="402" t="str">
        <f>VLOOKUP(B141,USN!$1:$1088,2,False)</f>
        <v>1CR23EC142</v>
      </c>
      <c r="E141" s="447">
        <v>9.353030811E9</v>
      </c>
      <c r="F141" s="447" t="s">
        <v>3736</v>
      </c>
      <c r="G141" s="367"/>
      <c r="H141" s="447">
        <v>77.0</v>
      </c>
      <c r="I141" s="448">
        <v>84.0</v>
      </c>
      <c r="J141" s="433">
        <f>VLOOKUP(D141,'L3'!$1:$2060,2,False)</f>
        <v>70</v>
      </c>
      <c r="K141" s="433">
        <f>VLOOKUP(D141,'L4'!$1:$2059,2,False)</f>
        <v>70</v>
      </c>
      <c r="L141" s="434">
        <f>VLOOKUP(D141,'A1 RETEST 5 DEC'!$1:$2096,2,FALSE)</f>
        <v>13</v>
      </c>
      <c r="M141" s="434">
        <f>VLOOKUP(D141,'A2 RETEST 4 DEC'!$1:$2096,2,FALSE)</f>
        <v>25</v>
      </c>
      <c r="N141" s="435">
        <v>53.0</v>
      </c>
      <c r="O141" s="449"/>
      <c r="P141" s="436">
        <f>IFNA(VLOOKUP(D141,'S1'!$1:$1325,2,False),0)</f>
        <v>50</v>
      </c>
      <c r="Q141" s="436">
        <f>vlookup(D141,'S2'!A137:B1339,2,0)</f>
        <v>50</v>
      </c>
      <c r="R141" s="436">
        <f>ifna(vlookup(D141,'S3'!$1:$1311,2,False),0)</f>
        <v>50</v>
      </c>
      <c r="S141" s="436"/>
      <c r="T141" s="437">
        <v>12.0</v>
      </c>
      <c r="U141" s="437">
        <v>20.0</v>
      </c>
      <c r="V141" s="437">
        <v>0.0</v>
      </c>
      <c r="W141" s="437">
        <v>84.0</v>
      </c>
      <c r="X141" s="437">
        <v>58.0</v>
      </c>
      <c r="Y141" s="437"/>
      <c r="Z141" s="438"/>
      <c r="AA141" s="450">
        <v>62.0</v>
      </c>
      <c r="AB141" s="409">
        <v>63.0</v>
      </c>
      <c r="AC141" s="395">
        <v>78.0</v>
      </c>
      <c r="AD141" s="439"/>
      <c r="AE141" s="440">
        <v>70.0</v>
      </c>
      <c r="AF141" s="441"/>
      <c r="AG141" s="439"/>
      <c r="AH141" s="451">
        <v>32.0</v>
      </c>
      <c r="AI141" s="441"/>
      <c r="AJ141" s="441"/>
      <c r="AK141" s="442">
        <f t="shared" si="1"/>
        <v>4</v>
      </c>
      <c r="AL141" s="442">
        <f t="shared" si="2"/>
        <v>0</v>
      </c>
      <c r="AM141" s="424">
        <f t="shared" si="3"/>
        <v>3</v>
      </c>
      <c r="AN141" s="442" t="str">
        <f t="shared" si="4"/>
        <v>3.5</v>
      </c>
      <c r="AO141" s="442">
        <f t="shared" si="5"/>
        <v>3</v>
      </c>
      <c r="AP141" s="367"/>
    </row>
    <row r="142">
      <c r="A142" s="385">
        <v>138.0</v>
      </c>
      <c r="B142" s="446" t="s">
        <v>2218</v>
      </c>
      <c r="C142" s="446" t="s">
        <v>3303</v>
      </c>
      <c r="D142" s="402" t="str">
        <f>VLOOKUP(B142,USN!$1:$1088,2,False)</f>
        <v>1CR23EC143</v>
      </c>
      <c r="E142" s="447">
        <v>9.741794997E9</v>
      </c>
      <c r="F142" s="446" t="s">
        <v>3736</v>
      </c>
      <c r="G142" s="367"/>
      <c r="H142" s="447">
        <v>84.0</v>
      </c>
      <c r="I142" s="448">
        <v>80.0</v>
      </c>
      <c r="J142" s="433">
        <f>VLOOKUP(D142,'L3'!$1:$2060,2,False)</f>
        <v>79</v>
      </c>
      <c r="K142" s="433">
        <f>VLOOKUP(D142,'L4'!$1:$2059,2,False)</f>
        <v>72</v>
      </c>
      <c r="L142" s="434">
        <f>VLOOKUP(D142,'A1 RETEST 5 DEC'!$1:$2096,2,FALSE)</f>
        <v>50</v>
      </c>
      <c r="M142" s="434">
        <f>VLOOKUP(D142,'A2 RETEST 4 DEC'!$1:$2096,2,FALSE)</f>
        <v>50</v>
      </c>
      <c r="N142" s="435">
        <v>35.0</v>
      </c>
      <c r="O142" s="449"/>
      <c r="P142" s="436">
        <f>IFNA(VLOOKUP(D142,'S1'!$1:$1325,2,False),0)</f>
        <v>76</v>
      </c>
      <c r="Q142" s="436">
        <f>vlookup(D142,'S2'!A138:B1340,2,0)</f>
        <v>50</v>
      </c>
      <c r="R142" s="436">
        <f>ifna(vlookup(D142,'S3'!$1:$1311,2,False),0)</f>
        <v>86</v>
      </c>
      <c r="S142" s="436"/>
      <c r="T142" s="437">
        <v>12.0</v>
      </c>
      <c r="U142" s="437">
        <v>18.0</v>
      </c>
      <c r="V142" s="437">
        <v>44.0</v>
      </c>
      <c r="W142" s="437">
        <v>86.0</v>
      </c>
      <c r="X142" s="437">
        <v>78.0</v>
      </c>
      <c r="Y142" s="437"/>
      <c r="Z142" s="438"/>
      <c r="AA142" s="450">
        <v>67.0</v>
      </c>
      <c r="AB142" s="409">
        <v>85.0</v>
      </c>
      <c r="AC142" s="395">
        <v>80.0</v>
      </c>
      <c r="AD142" s="439"/>
      <c r="AE142" s="440">
        <v>70.0</v>
      </c>
      <c r="AF142" s="441"/>
      <c r="AG142" s="439">
        <v>81.0</v>
      </c>
      <c r="AH142" s="441"/>
      <c r="AI142" s="441"/>
      <c r="AJ142" s="441"/>
      <c r="AK142" s="442">
        <f t="shared" si="1"/>
        <v>4</v>
      </c>
      <c r="AL142" s="442">
        <f t="shared" si="2"/>
        <v>2</v>
      </c>
      <c r="AM142" s="424">
        <f t="shared" si="3"/>
        <v>3</v>
      </c>
      <c r="AN142" s="442" t="str">
        <f t="shared" si="4"/>
        <v>3.5</v>
      </c>
      <c r="AO142" s="442">
        <f t="shared" si="5"/>
        <v>3</v>
      </c>
      <c r="AP142" s="367"/>
    </row>
    <row r="143">
      <c r="A143" s="385">
        <v>139.0</v>
      </c>
      <c r="B143" s="446" t="s">
        <v>2297</v>
      </c>
      <c r="C143" s="446" t="s">
        <v>3304</v>
      </c>
      <c r="D143" s="402" t="str">
        <f>VLOOKUP(B143,USN!$1:$1088,2,False)</f>
        <v>1CR23EC144</v>
      </c>
      <c r="E143" s="447">
        <v>7.892559103E9</v>
      </c>
      <c r="F143" s="447" t="s">
        <v>3736</v>
      </c>
      <c r="G143" s="367"/>
      <c r="H143" s="447">
        <v>79.0</v>
      </c>
      <c r="I143" s="448">
        <v>80.0</v>
      </c>
      <c r="J143" s="433">
        <f>VLOOKUP(D143,'L3'!$1:$2060,2,False)</f>
        <v>70</v>
      </c>
      <c r="K143" s="433">
        <f>VLOOKUP(D143,'L4'!$1:$2059,2,False)</f>
        <v>70</v>
      </c>
      <c r="L143" s="434">
        <f>VLOOKUP(D143,'A1 RETEST 5 DEC'!$1:$2096,2,FALSE)</f>
        <v>50</v>
      </c>
      <c r="M143" s="434">
        <f>VLOOKUP(D143,'A2 RETEST 4 DEC'!$1:$2096,2,FALSE)</f>
        <v>50</v>
      </c>
      <c r="N143" s="435">
        <v>31.0</v>
      </c>
      <c r="O143" s="449"/>
      <c r="P143" s="436">
        <f>IFNA(VLOOKUP(D143,'S1'!$1:$1325,2,False),0)</f>
        <v>80</v>
      </c>
      <c r="Q143" s="436">
        <f>vlookup(D143,'S2'!A139:B1341,2,0)</f>
        <v>85</v>
      </c>
      <c r="R143" s="436">
        <f>ifna(vlookup(D143,'S3'!$1:$1311,2,False),0)</f>
        <v>74</v>
      </c>
      <c r="S143" s="436"/>
      <c r="T143" s="437">
        <v>11.0</v>
      </c>
      <c r="U143" s="437">
        <v>19.0</v>
      </c>
      <c r="V143" s="437">
        <v>42.0</v>
      </c>
      <c r="W143" s="437">
        <v>80.0</v>
      </c>
      <c r="X143" s="437">
        <v>60.0</v>
      </c>
      <c r="Y143" s="437"/>
      <c r="Z143" s="438"/>
      <c r="AA143" s="450">
        <v>50.0</v>
      </c>
      <c r="AB143" s="409">
        <v>100.0</v>
      </c>
      <c r="AC143" s="395">
        <v>80.0</v>
      </c>
      <c r="AD143" s="439"/>
      <c r="AE143" s="440">
        <v>70.0</v>
      </c>
      <c r="AF143" s="441"/>
      <c r="AG143" s="439">
        <v>77.0</v>
      </c>
      <c r="AH143" s="441"/>
      <c r="AI143" s="441"/>
      <c r="AJ143" s="441"/>
      <c r="AK143" s="442">
        <f t="shared" si="1"/>
        <v>4</v>
      </c>
      <c r="AL143" s="442">
        <f t="shared" si="2"/>
        <v>2</v>
      </c>
      <c r="AM143" s="424">
        <f t="shared" si="3"/>
        <v>3</v>
      </c>
      <c r="AN143" s="442" t="str">
        <f t="shared" si="4"/>
        <v>3.5</v>
      </c>
      <c r="AO143" s="442">
        <f t="shared" si="5"/>
        <v>3</v>
      </c>
      <c r="AP143" s="367"/>
    </row>
    <row r="144">
      <c r="A144" s="385">
        <v>140.0</v>
      </c>
      <c r="B144" s="446" t="s">
        <v>2299</v>
      </c>
      <c r="C144" s="446" t="s">
        <v>3305</v>
      </c>
      <c r="D144" s="402" t="str">
        <f>VLOOKUP(B144,USN!$1:$1088,2,False)</f>
        <v>1CR23EC145</v>
      </c>
      <c r="E144" s="447">
        <v>7.760179033E9</v>
      </c>
      <c r="F144" s="447" t="s">
        <v>3736</v>
      </c>
      <c r="G144" s="367"/>
      <c r="H144" s="447">
        <v>78.0</v>
      </c>
      <c r="I144" s="448">
        <v>76.0</v>
      </c>
      <c r="J144" s="433">
        <f>VLOOKUP(D144,'L3'!$1:$2060,2,False)</f>
        <v>70</v>
      </c>
      <c r="K144" s="433">
        <f>VLOOKUP(D144,'L4'!$1:$2059,2,False)</f>
        <v>74</v>
      </c>
      <c r="L144" s="434">
        <f>VLOOKUP(D144,'A1 RETEST 5 DEC'!$1:$2096,2,FALSE)</f>
        <v>50</v>
      </c>
      <c r="M144" s="434">
        <f>VLOOKUP(D144,'A2 RETEST 4 DEC'!$1:$2096,2,FALSE)</f>
        <v>50</v>
      </c>
      <c r="N144" s="435">
        <v>26.0</v>
      </c>
      <c r="O144" s="449"/>
      <c r="P144" s="436">
        <f>IFNA(VLOOKUP(D144,'S1'!$1:$1325,2,False),0)</f>
        <v>78</v>
      </c>
      <c r="Q144" s="436">
        <f>vlookup(D144,'S2'!A140:B1342,2,0)</f>
        <v>85</v>
      </c>
      <c r="R144" s="436">
        <f>ifna(vlookup(D144,'S3'!$1:$1311,2,False),0)</f>
        <v>77</v>
      </c>
      <c r="S144" s="436"/>
      <c r="T144" s="437">
        <v>15.0</v>
      </c>
      <c r="U144" s="437">
        <v>19.0</v>
      </c>
      <c r="V144" s="437">
        <v>36.0</v>
      </c>
      <c r="W144" s="437">
        <v>68.0</v>
      </c>
      <c r="X144" s="437">
        <v>60.0</v>
      </c>
      <c r="Y144" s="437"/>
      <c r="Z144" s="438"/>
      <c r="AA144" s="450">
        <v>34.0</v>
      </c>
      <c r="AB144" s="409">
        <v>75.0</v>
      </c>
      <c r="AC144" s="395">
        <v>60.0</v>
      </c>
      <c r="AD144" s="439"/>
      <c r="AE144" s="440">
        <v>78.0</v>
      </c>
      <c r="AF144" s="441"/>
      <c r="AG144" s="439"/>
      <c r="AH144" s="441"/>
      <c r="AI144" s="441"/>
      <c r="AJ144" s="441"/>
      <c r="AK144" s="442">
        <f t="shared" si="1"/>
        <v>4</v>
      </c>
      <c r="AL144" s="442">
        <f t="shared" si="2"/>
        <v>2</v>
      </c>
      <c r="AM144" s="424">
        <f t="shared" si="3"/>
        <v>3</v>
      </c>
      <c r="AN144" s="442" t="str">
        <f t="shared" si="4"/>
        <v>3.5</v>
      </c>
      <c r="AO144" s="442">
        <f t="shared" si="5"/>
        <v>3</v>
      </c>
      <c r="AP144" s="367"/>
    </row>
    <row r="145">
      <c r="A145" s="385">
        <v>141.0</v>
      </c>
      <c r="B145" s="446" t="s">
        <v>2300</v>
      </c>
      <c r="C145" s="446" t="s">
        <v>3306</v>
      </c>
      <c r="D145" s="402" t="str">
        <f>VLOOKUP(B145,USN!$1:$1088,2,False)</f>
        <v>1CR23EC146</v>
      </c>
      <c r="E145" s="447">
        <v>7.61962809E9</v>
      </c>
      <c r="F145" s="447" t="s">
        <v>3736</v>
      </c>
      <c r="G145" s="367"/>
      <c r="H145" s="447">
        <v>78.0</v>
      </c>
      <c r="I145" s="448">
        <v>78.0</v>
      </c>
      <c r="J145" s="433">
        <f>VLOOKUP(D145,'L3'!$1:$2060,2,False)</f>
        <v>10</v>
      </c>
      <c r="K145" s="433">
        <f>VLOOKUP(D145,'L4'!$1:$2059,2,False)</f>
        <v>8</v>
      </c>
      <c r="L145" s="434">
        <f>VLOOKUP(D145,'A1 RETEST 5 DEC'!$1:$2096,2,FALSE)</f>
        <v>54</v>
      </c>
      <c r="M145" s="434">
        <f>VLOOKUP(D145,'A2 RETEST 4 DEC'!$1:$2096,2,FALSE)</f>
        <v>50</v>
      </c>
      <c r="N145" s="435">
        <v>0.0</v>
      </c>
      <c r="O145" s="449"/>
      <c r="P145" s="436">
        <f>IFNA(VLOOKUP(D145,'S1'!$1:$1325,2,False),0)</f>
        <v>0</v>
      </c>
      <c r="Q145" s="436">
        <f>vlookup(D145,'S2'!A141:B1343,2,0)</f>
        <v>0</v>
      </c>
      <c r="R145" s="436">
        <f>ifna(vlookup(D145,'S3'!$1:$1311,2,False),0)</f>
        <v>0</v>
      </c>
      <c r="S145" s="436"/>
      <c r="T145" s="437">
        <v>10.0</v>
      </c>
      <c r="U145" s="437" t="s">
        <v>2477</v>
      </c>
      <c r="V145" s="437">
        <v>0.0</v>
      </c>
      <c r="W145" s="437"/>
      <c r="X145" s="437">
        <v>60.0</v>
      </c>
      <c r="Y145" s="437"/>
      <c r="Z145" s="438"/>
      <c r="AA145" s="450">
        <v>0.0</v>
      </c>
      <c r="AB145" s="409">
        <v>70.0</v>
      </c>
      <c r="AC145" s="395">
        <v>0.0</v>
      </c>
      <c r="AD145" s="439"/>
      <c r="AE145" s="440">
        <v>10.0</v>
      </c>
      <c r="AF145" s="441"/>
      <c r="AG145" s="439"/>
      <c r="AH145" s="441"/>
      <c r="AI145" s="441"/>
      <c r="AJ145" s="441"/>
      <c r="AK145" s="442">
        <f t="shared" si="1"/>
        <v>2</v>
      </c>
      <c r="AL145" s="442">
        <f t="shared" si="2"/>
        <v>2</v>
      </c>
      <c r="AM145" s="424">
        <f t="shared" si="3"/>
        <v>2</v>
      </c>
      <c r="AN145" s="442" t="str">
        <f t="shared" si="4"/>
        <v>2</v>
      </c>
      <c r="AO145" s="442">
        <f t="shared" si="5"/>
        <v>0</v>
      </c>
      <c r="AP145" s="367"/>
    </row>
    <row r="146">
      <c r="A146" s="385">
        <v>142.0</v>
      </c>
      <c r="B146" s="446" t="s">
        <v>2301</v>
      </c>
      <c r="C146" s="446" t="s">
        <v>3307</v>
      </c>
      <c r="D146" s="402" t="str">
        <f>VLOOKUP(B146,USN!$1:$1088,2,False)</f>
        <v>1CR23EC147</v>
      </c>
      <c r="E146" s="447">
        <v>8.277254187E9</v>
      </c>
      <c r="F146" s="447" t="s">
        <v>3736</v>
      </c>
      <c r="G146" s="367"/>
      <c r="H146" s="447">
        <v>83.0</v>
      </c>
      <c r="I146" s="448">
        <v>80.0</v>
      </c>
      <c r="J146" s="433">
        <f>VLOOKUP(D146,'L3'!$1:$2060,2,False)</f>
        <v>40</v>
      </c>
      <c r="K146" s="433">
        <f>VLOOKUP(D146,'L4'!$1:$2059,2,False)</f>
        <v>70</v>
      </c>
      <c r="L146" s="434">
        <f>VLOOKUP(D146,'A1 RETEST 5 DEC'!$1:$2096,2,FALSE)</f>
        <v>23</v>
      </c>
      <c r="M146" s="434">
        <f>VLOOKUP(D146,'A2 RETEST 4 DEC'!$1:$2096,2,FALSE)</f>
        <v>10</v>
      </c>
      <c r="N146" s="435">
        <v>8.0</v>
      </c>
      <c r="O146" s="449"/>
      <c r="P146" s="436">
        <f>IFNA(VLOOKUP(D146,'S1'!$1:$1325,2,False),0)</f>
        <v>77</v>
      </c>
      <c r="Q146" s="436">
        <f>vlookup(D146,'S2'!A142:B1344,2,0)</f>
        <v>0</v>
      </c>
      <c r="R146" s="436">
        <f>ifna(vlookup(D146,'S3'!$1:$1311,2,False),0)</f>
        <v>0</v>
      </c>
      <c r="S146" s="436"/>
      <c r="T146" s="437">
        <v>13.0</v>
      </c>
      <c r="U146" s="437">
        <v>22.0</v>
      </c>
      <c r="V146" s="437">
        <v>0.0</v>
      </c>
      <c r="W146" s="437"/>
      <c r="X146" s="437">
        <v>74.0</v>
      </c>
      <c r="Y146" s="437"/>
      <c r="Z146" s="438"/>
      <c r="AA146" s="450">
        <v>40.0</v>
      </c>
      <c r="AB146" s="409">
        <v>85.0</v>
      </c>
      <c r="AC146" s="395">
        <v>88.0</v>
      </c>
      <c r="AD146" s="439"/>
      <c r="AE146" s="440">
        <v>10.0</v>
      </c>
      <c r="AF146" s="441"/>
      <c r="AG146" s="439"/>
      <c r="AH146" s="451">
        <v>0.0</v>
      </c>
      <c r="AI146" s="441"/>
      <c r="AJ146" s="441"/>
      <c r="AK146" s="442">
        <f t="shared" si="1"/>
        <v>2</v>
      </c>
      <c r="AL146" s="442">
        <f t="shared" si="2"/>
        <v>0</v>
      </c>
      <c r="AM146" s="424">
        <f t="shared" si="3"/>
        <v>2</v>
      </c>
      <c r="AN146" s="442" t="str">
        <f t="shared" si="4"/>
        <v>3</v>
      </c>
      <c r="AO146" s="442">
        <f t="shared" si="5"/>
        <v>1</v>
      </c>
      <c r="AP146" s="367"/>
    </row>
    <row r="147">
      <c r="A147" s="385">
        <v>143.0</v>
      </c>
      <c r="B147" s="446" t="s">
        <v>2302</v>
      </c>
      <c r="C147" s="446" t="s">
        <v>3308</v>
      </c>
      <c r="D147" s="402" t="str">
        <f>VLOOKUP(B147,USN!$1:$1088,2,False)</f>
        <v>1CR23EC148</v>
      </c>
      <c r="E147" s="447">
        <v>6.360732663E9</v>
      </c>
      <c r="F147" s="447" t="s">
        <v>3736</v>
      </c>
      <c r="G147" s="367"/>
      <c r="H147" s="447">
        <v>70.0</v>
      </c>
      <c r="I147" s="448">
        <v>59.0</v>
      </c>
      <c r="J147" s="433">
        <f>VLOOKUP(D147,'L3'!$1:$2060,2,False)</f>
        <v>13</v>
      </c>
      <c r="K147" s="433">
        <f>VLOOKUP(D147,'L4'!$1:$2059,2,False)</f>
        <v>8</v>
      </c>
      <c r="L147" s="434">
        <f>VLOOKUP(D147,'A1 RETEST 5 DEC'!$1:$2096,2,FALSE)</f>
        <v>47</v>
      </c>
      <c r="M147" s="434">
        <f>VLOOKUP(D147,'A2 RETEST 4 DEC'!$1:$2096,2,FALSE)</f>
        <v>13</v>
      </c>
      <c r="N147" s="435">
        <v>0.0</v>
      </c>
      <c r="O147" s="449"/>
      <c r="P147" s="436">
        <f>IFNA(VLOOKUP(D147,'S1'!$1:$1325,2,False),0)</f>
        <v>0</v>
      </c>
      <c r="Q147" s="436">
        <f>vlookup(D147,'S2'!A143:B1345,2,0)</f>
        <v>0</v>
      </c>
      <c r="R147" s="436">
        <f>ifna(vlookup(D147,'S3'!$1:$1311,2,False),0)</f>
        <v>0</v>
      </c>
      <c r="S147" s="436"/>
      <c r="T147" s="437" t="s">
        <v>2477</v>
      </c>
      <c r="U147" s="437">
        <v>10.0</v>
      </c>
      <c r="V147" s="437">
        <v>0.0</v>
      </c>
      <c r="W147" s="437"/>
      <c r="X147" s="437">
        <v>64.0</v>
      </c>
      <c r="Y147" s="437"/>
      <c r="Z147" s="438"/>
      <c r="AA147" s="450">
        <v>0.0</v>
      </c>
      <c r="AB147" s="409">
        <v>77.0</v>
      </c>
      <c r="AC147" s="395">
        <v>0.0</v>
      </c>
      <c r="AD147" s="439"/>
      <c r="AE147" s="440">
        <v>10.0</v>
      </c>
      <c r="AF147" s="441"/>
      <c r="AG147" s="439"/>
      <c r="AH147" s="441"/>
      <c r="AI147" s="441"/>
      <c r="AJ147" s="441"/>
      <c r="AK147" s="442">
        <f t="shared" si="1"/>
        <v>1</v>
      </c>
      <c r="AL147" s="442">
        <f t="shared" si="2"/>
        <v>0</v>
      </c>
      <c r="AM147" s="424">
        <f t="shared" si="3"/>
        <v>2</v>
      </c>
      <c r="AN147" s="442" t="str">
        <f t="shared" si="4"/>
        <v>2</v>
      </c>
      <c r="AO147" s="442">
        <f t="shared" si="5"/>
        <v>0</v>
      </c>
      <c r="AP147" s="367"/>
    </row>
    <row r="148">
      <c r="A148" s="385">
        <v>144.0</v>
      </c>
      <c r="B148" s="446" t="s">
        <v>2303</v>
      </c>
      <c r="C148" s="446" t="s">
        <v>3309</v>
      </c>
      <c r="D148" s="402" t="str">
        <f>VLOOKUP(B148,USN!$1:$1088,2,False)</f>
        <v>1CR23EC149</v>
      </c>
      <c r="E148" s="447">
        <v>7.259346001E9</v>
      </c>
      <c r="F148" s="447" t="s">
        <v>3736</v>
      </c>
      <c r="G148" s="367"/>
      <c r="H148" s="447">
        <v>70.0</v>
      </c>
      <c r="I148" s="448">
        <v>72.0</v>
      </c>
      <c r="J148" s="433">
        <f>VLOOKUP(D148,'L3'!$1:$2060,2,False)</f>
        <v>65</v>
      </c>
      <c r="K148" s="433">
        <f>VLOOKUP(D148,'L4'!$1:$2059,2,False)</f>
        <v>70</v>
      </c>
      <c r="L148" s="434">
        <f>VLOOKUP(D148,'A1 RETEST 5 DEC'!$1:$2096,2,FALSE)</f>
        <v>50</v>
      </c>
      <c r="M148" s="434">
        <f>VLOOKUP(D148,'A2 RETEST 4 DEC'!$1:$2096,2,FALSE)</f>
        <v>50</v>
      </c>
      <c r="N148" s="435">
        <v>11.0</v>
      </c>
      <c r="O148" s="449"/>
      <c r="P148" s="436">
        <f>IFNA(VLOOKUP(D148,'S1'!$1:$1325,2,False),0)</f>
        <v>78</v>
      </c>
      <c r="Q148" s="436">
        <f>vlookup(D148,'S2'!A144:B1346,2,0)</f>
        <v>50</v>
      </c>
      <c r="R148" s="436">
        <f>ifna(vlookup(D148,'S3'!$1:$1311,2,False),0)</f>
        <v>78</v>
      </c>
      <c r="S148" s="436"/>
      <c r="T148" s="437">
        <v>18.0</v>
      </c>
      <c r="U148" s="437">
        <v>19.0</v>
      </c>
      <c r="V148" s="437">
        <v>0.0</v>
      </c>
      <c r="W148" s="437">
        <v>72.0</v>
      </c>
      <c r="X148" s="437">
        <v>58.0</v>
      </c>
      <c r="Y148" s="437"/>
      <c r="Z148" s="438"/>
      <c r="AA148" s="450">
        <v>28.0</v>
      </c>
      <c r="AB148" s="409">
        <v>43.0</v>
      </c>
      <c r="AC148" s="395">
        <v>0.0</v>
      </c>
      <c r="AD148" s="439"/>
      <c r="AE148" s="440">
        <v>10.0</v>
      </c>
      <c r="AF148" s="441"/>
      <c r="AG148" s="439"/>
      <c r="AH148" s="441"/>
      <c r="AI148" s="441"/>
      <c r="AJ148" s="441"/>
      <c r="AK148" s="442">
        <f t="shared" si="1"/>
        <v>2</v>
      </c>
      <c r="AL148" s="442">
        <f t="shared" si="2"/>
        <v>2</v>
      </c>
      <c r="AM148" s="424">
        <f t="shared" si="3"/>
        <v>3</v>
      </c>
      <c r="AN148" s="442" t="str">
        <f t="shared" si="4"/>
        <v>0</v>
      </c>
      <c r="AO148" s="442">
        <f t="shared" si="5"/>
        <v>3</v>
      </c>
      <c r="AP148" s="367"/>
    </row>
    <row r="149">
      <c r="A149" s="385">
        <v>145.0</v>
      </c>
      <c r="B149" s="446" t="s">
        <v>2304</v>
      </c>
      <c r="C149" s="446" t="s">
        <v>3766</v>
      </c>
      <c r="D149" s="402" t="str">
        <f>VLOOKUP(B149,USN!$1:$1088,2,False)</f>
        <v>1CR23EC150</v>
      </c>
      <c r="E149" s="447">
        <v>9.686593229E9</v>
      </c>
      <c r="F149" s="447" t="s">
        <v>3736</v>
      </c>
      <c r="G149" s="367"/>
      <c r="H149" s="447">
        <v>73.0</v>
      </c>
      <c r="I149" s="448">
        <v>70.0</v>
      </c>
      <c r="J149" s="433">
        <f>VLOOKUP(D149,'L3'!$1:$2060,2,False)</f>
        <v>70</v>
      </c>
      <c r="K149" s="433">
        <f>VLOOKUP(D149,'L4'!$1:$2059,2,False)</f>
        <v>70</v>
      </c>
      <c r="L149" s="434">
        <f>VLOOKUP(D149,'A1 RETEST 5 DEC'!$1:$2096,2,FALSE)</f>
        <v>50</v>
      </c>
      <c r="M149" s="434">
        <f>VLOOKUP(D149,'A2 RETEST 4 DEC'!$1:$2096,2,FALSE)</f>
        <v>50</v>
      </c>
      <c r="N149" s="435">
        <v>59.0</v>
      </c>
      <c r="O149" s="449"/>
      <c r="P149" s="436">
        <f>IFNA(VLOOKUP(D149,'S1'!$1:$1325,2,False),0)</f>
        <v>70</v>
      </c>
      <c r="Q149" s="436">
        <f>vlookup(D149,'S2'!A145:B1347,2,0)</f>
        <v>77</v>
      </c>
      <c r="R149" s="436">
        <f>ifna(vlookup(D149,'S3'!$1:$1311,2,False),0)</f>
        <v>81</v>
      </c>
      <c r="S149" s="436"/>
      <c r="T149" s="437">
        <v>10.0</v>
      </c>
      <c r="U149" s="437">
        <v>15.0</v>
      </c>
      <c r="V149" s="437">
        <v>42.0</v>
      </c>
      <c r="W149" s="437">
        <v>82.0</v>
      </c>
      <c r="X149" s="437">
        <v>70.0</v>
      </c>
      <c r="Y149" s="437"/>
      <c r="Z149" s="438"/>
      <c r="AA149" s="450">
        <v>60.0</v>
      </c>
      <c r="AB149" s="409">
        <v>79.0</v>
      </c>
      <c r="AC149" s="395">
        <v>70.0</v>
      </c>
      <c r="AD149" s="439"/>
      <c r="AE149" s="440">
        <v>10.0</v>
      </c>
      <c r="AF149" s="441"/>
      <c r="AG149" s="439"/>
      <c r="AH149" s="441"/>
      <c r="AI149" s="441"/>
      <c r="AJ149" s="441"/>
      <c r="AK149" s="442">
        <f t="shared" si="1"/>
        <v>4</v>
      </c>
      <c r="AL149" s="442">
        <f t="shared" si="2"/>
        <v>3</v>
      </c>
      <c r="AM149" s="424">
        <f t="shared" si="3"/>
        <v>3</v>
      </c>
      <c r="AN149" s="442" t="str">
        <f t="shared" si="4"/>
        <v>3</v>
      </c>
      <c r="AO149" s="442">
        <f t="shared" si="5"/>
        <v>3</v>
      </c>
      <c r="AP149" s="367"/>
    </row>
    <row r="150">
      <c r="A150" s="385">
        <v>146.0</v>
      </c>
      <c r="B150" s="446" t="s">
        <v>2305</v>
      </c>
      <c r="C150" s="446" t="s">
        <v>3311</v>
      </c>
      <c r="D150" s="402" t="str">
        <f>VLOOKUP(B150,USN!$1:$1088,2,False)</f>
        <v>1CR23EC151</v>
      </c>
      <c r="E150" s="447">
        <v>9.430800867E9</v>
      </c>
      <c r="F150" s="447" t="s">
        <v>3736</v>
      </c>
      <c r="G150" s="367"/>
      <c r="H150" s="447">
        <v>83.0</v>
      </c>
      <c r="I150" s="448">
        <v>84.0</v>
      </c>
      <c r="J150" s="433">
        <f>VLOOKUP(D150,'L3'!$1:$2060,2,False)</f>
        <v>70</v>
      </c>
      <c r="K150" s="433">
        <f>VLOOKUP(D150,'L4'!$1:$2059,2,False)</f>
        <v>70</v>
      </c>
      <c r="L150" s="434">
        <f>VLOOKUP(D150,'A1 RETEST 5 DEC'!$1:$2096,2,FALSE)</f>
        <v>66</v>
      </c>
      <c r="M150" s="434">
        <f>VLOOKUP(D150,'A2 RETEST 4 DEC'!$1:$2096,2,FALSE)</f>
        <v>50</v>
      </c>
      <c r="N150" s="435">
        <v>28.0</v>
      </c>
      <c r="O150" s="449"/>
      <c r="P150" s="436">
        <f>IFNA(VLOOKUP(D150,'S1'!$1:$1325,2,False),0)</f>
        <v>75</v>
      </c>
      <c r="Q150" s="436">
        <f>vlookup(D150,'S2'!A146:B1348,2,0)</f>
        <v>52</v>
      </c>
      <c r="R150" s="436">
        <f>ifna(vlookup(D150,'S3'!$1:$1311,2,False),0)</f>
        <v>83</v>
      </c>
      <c r="S150" s="436"/>
      <c r="T150" s="437">
        <v>16.0</v>
      </c>
      <c r="U150" s="437">
        <v>18.0</v>
      </c>
      <c r="V150" s="437">
        <v>42.0</v>
      </c>
      <c r="W150" s="437">
        <v>80.0</v>
      </c>
      <c r="X150" s="437">
        <v>66.0</v>
      </c>
      <c r="Y150" s="437"/>
      <c r="Z150" s="438"/>
      <c r="AA150" s="450">
        <v>94.0</v>
      </c>
      <c r="AB150" s="409">
        <v>67.0</v>
      </c>
      <c r="AC150" s="395">
        <v>94.0</v>
      </c>
      <c r="AD150" s="439"/>
      <c r="AE150" s="440">
        <v>10.0</v>
      </c>
      <c r="AF150" s="441"/>
      <c r="AG150" s="439"/>
      <c r="AH150" s="441"/>
      <c r="AI150" s="441"/>
      <c r="AJ150" s="441"/>
      <c r="AK150" s="442">
        <f t="shared" si="1"/>
        <v>4</v>
      </c>
      <c r="AL150" s="442">
        <f t="shared" si="2"/>
        <v>2</v>
      </c>
      <c r="AM150" s="424">
        <f t="shared" si="3"/>
        <v>3</v>
      </c>
      <c r="AN150" s="442" t="str">
        <f t="shared" si="4"/>
        <v>3</v>
      </c>
      <c r="AO150" s="442">
        <f t="shared" si="5"/>
        <v>3</v>
      </c>
      <c r="AP150" s="367"/>
    </row>
    <row r="151">
      <c r="A151" s="385">
        <v>147.0</v>
      </c>
      <c r="B151" s="446" t="s">
        <v>2306</v>
      </c>
      <c r="C151" s="446" t="s">
        <v>3312</v>
      </c>
      <c r="D151" s="402" t="str">
        <f>VLOOKUP(B151,USN!$1:$1088,2,False)</f>
        <v>1CR23EC152</v>
      </c>
      <c r="E151" s="447">
        <v>8.987844921E9</v>
      </c>
      <c r="F151" s="447" t="s">
        <v>3736</v>
      </c>
      <c r="G151" s="367"/>
      <c r="H151" s="447">
        <v>81.0</v>
      </c>
      <c r="I151" s="448">
        <v>79.0</v>
      </c>
      <c r="J151" s="433">
        <f>VLOOKUP(D151,'L3'!$1:$2060,2,False)</f>
        <v>70</v>
      </c>
      <c r="K151" s="433">
        <f>VLOOKUP(D151,'L4'!$1:$2059,2,False)</f>
        <v>70</v>
      </c>
      <c r="L151" s="434">
        <f>VLOOKUP(D151,'A1 RETEST 5 DEC'!$1:$2096,2,FALSE)</f>
        <v>52</v>
      </c>
      <c r="M151" s="434">
        <f>VLOOKUP(D151,'A2 RETEST 4 DEC'!$1:$2096,2,FALSE)</f>
        <v>50</v>
      </c>
      <c r="N151" s="435">
        <v>50.0</v>
      </c>
      <c r="O151" s="449"/>
      <c r="P151" s="436">
        <f>IFNA(VLOOKUP(D151,'S1'!$1:$1325,2,False),0)</f>
        <v>80</v>
      </c>
      <c r="Q151" s="436">
        <f>vlookup(D151,'S2'!A147:B1349,2,0)</f>
        <v>72</v>
      </c>
      <c r="R151" s="436">
        <f>ifna(vlookup(D151,'S3'!$1:$1311,2,False),0)</f>
        <v>88</v>
      </c>
      <c r="S151" s="436"/>
      <c r="T151" s="437">
        <v>13.0</v>
      </c>
      <c r="U151" s="437">
        <v>12.0</v>
      </c>
      <c r="V151" s="437">
        <v>40.0</v>
      </c>
      <c r="W151" s="437">
        <v>80.0</v>
      </c>
      <c r="X151" s="437">
        <v>72.0</v>
      </c>
      <c r="Y151" s="437"/>
      <c r="Z151" s="438"/>
      <c r="AA151" s="450">
        <v>54.0</v>
      </c>
      <c r="AB151" s="409">
        <v>99.0</v>
      </c>
      <c r="AC151" s="395">
        <v>95.0</v>
      </c>
      <c r="AD151" s="439"/>
      <c r="AE151" s="440">
        <v>98.0</v>
      </c>
      <c r="AF151" s="441"/>
      <c r="AG151" s="439">
        <v>72.0</v>
      </c>
      <c r="AH151" s="441"/>
      <c r="AI151" s="441"/>
      <c r="AJ151" s="441"/>
      <c r="AK151" s="442">
        <f t="shared" si="1"/>
        <v>4</v>
      </c>
      <c r="AL151" s="442">
        <f t="shared" si="2"/>
        <v>3</v>
      </c>
      <c r="AM151" s="424">
        <f t="shared" si="3"/>
        <v>3</v>
      </c>
      <c r="AN151" s="442" t="str">
        <f t="shared" si="4"/>
        <v>3.5</v>
      </c>
      <c r="AO151" s="442">
        <f t="shared" si="5"/>
        <v>3</v>
      </c>
      <c r="AP151" s="367"/>
    </row>
    <row r="152">
      <c r="A152" s="385">
        <v>148.0</v>
      </c>
      <c r="B152" s="446" t="s">
        <v>2306</v>
      </c>
      <c r="C152" s="446" t="s">
        <v>3313</v>
      </c>
      <c r="D152" s="460" t="s">
        <v>533</v>
      </c>
      <c r="E152" s="446">
        <v>6.361658916E9</v>
      </c>
      <c r="F152" s="446" t="s">
        <v>3736</v>
      </c>
      <c r="G152" s="367"/>
      <c r="H152" s="447">
        <v>77.0</v>
      </c>
      <c r="I152" s="448">
        <v>77.0</v>
      </c>
      <c r="J152" s="433">
        <f>VLOOKUP(D152,'L3'!$1:$2060,2,False)</f>
        <v>70</v>
      </c>
      <c r="K152" s="433">
        <f>VLOOKUP(D152,'L4'!$1:$2059,2,False)</f>
        <v>70</v>
      </c>
      <c r="L152" s="434">
        <f>VLOOKUP(D152,'A1 RETEST 5 DEC'!$1:$2096,2,FALSE)</f>
        <v>50</v>
      </c>
      <c r="M152" s="434">
        <f>VLOOKUP(D152,'A2 RETEST 4 DEC'!$1:$2096,2,FALSE)</f>
        <v>50</v>
      </c>
      <c r="N152" s="435">
        <v>52.0</v>
      </c>
      <c r="O152" s="449"/>
      <c r="P152" s="436">
        <f>IFNA(VLOOKUP(D152,'S1'!$1:$1325,2,False),0)</f>
        <v>73</v>
      </c>
      <c r="Q152" s="436">
        <f>vlookup(D152,'S2'!A148:B1350,2,0)</f>
        <v>72</v>
      </c>
      <c r="R152" s="436">
        <f>ifna(vlookup(D152,'S3'!$1:$1311,2,False),0)</f>
        <v>85</v>
      </c>
      <c r="S152" s="436"/>
      <c r="T152" s="437">
        <v>10.0</v>
      </c>
      <c r="U152" s="437">
        <v>18.0</v>
      </c>
      <c r="V152" s="437">
        <v>40.0</v>
      </c>
      <c r="W152" s="437">
        <v>0.0</v>
      </c>
      <c r="X152" s="437">
        <v>72.0</v>
      </c>
      <c r="Y152" s="437"/>
      <c r="Z152" s="438"/>
      <c r="AA152" s="450">
        <v>60.0</v>
      </c>
      <c r="AB152" s="409">
        <v>70.0</v>
      </c>
      <c r="AC152" s="395">
        <v>88.0</v>
      </c>
      <c r="AD152" s="439"/>
      <c r="AE152" s="440">
        <v>70.0</v>
      </c>
      <c r="AF152" s="441"/>
      <c r="AG152" s="439"/>
      <c r="AH152" s="441"/>
      <c r="AI152" s="441"/>
      <c r="AJ152" s="441"/>
      <c r="AK152" s="442">
        <f t="shared" si="1"/>
        <v>4</v>
      </c>
      <c r="AL152" s="442">
        <f t="shared" si="2"/>
        <v>3</v>
      </c>
      <c r="AM152" s="424">
        <f t="shared" si="3"/>
        <v>2</v>
      </c>
      <c r="AN152" s="442" t="str">
        <f t="shared" si="4"/>
        <v>3.5</v>
      </c>
      <c r="AO152" s="442">
        <f t="shared" si="5"/>
        <v>3</v>
      </c>
      <c r="AP152" s="367"/>
    </row>
    <row r="153">
      <c r="A153" s="385">
        <v>149.0</v>
      </c>
      <c r="B153" s="446" t="s">
        <v>2320</v>
      </c>
      <c r="C153" s="446" t="s">
        <v>3314</v>
      </c>
      <c r="D153" s="402" t="str">
        <f>VLOOKUP(B153,USN!$1:$1088,2,False)</f>
        <v>1CR23EC154</v>
      </c>
      <c r="E153" s="447">
        <v>7.411376073E9</v>
      </c>
      <c r="F153" s="447" t="s">
        <v>3736</v>
      </c>
      <c r="G153" s="367"/>
      <c r="H153" s="447">
        <v>70.0</v>
      </c>
      <c r="I153" s="433">
        <v>70.0</v>
      </c>
      <c r="J153" s="433">
        <f>VLOOKUP(D153,'L3'!$1:$2060,2,False)</f>
        <v>70</v>
      </c>
      <c r="K153" s="433">
        <f>VLOOKUP(D153,'L4'!$1:$2059,2,False)</f>
        <v>70</v>
      </c>
      <c r="L153" s="434">
        <f>VLOOKUP(D153,'A1 RETEST 5 DEC'!$1:$2096,2,FALSE)</f>
        <v>50</v>
      </c>
      <c r="M153" s="434">
        <f>VLOOKUP(D153,'A2 RETEST 4 DEC'!$1:$2096,2,FALSE)</f>
        <v>50</v>
      </c>
      <c r="N153" s="435">
        <v>50.0</v>
      </c>
      <c r="O153" s="449"/>
      <c r="P153" s="436">
        <f>IFNA(VLOOKUP(D153,'S1'!$1:$1325,2,False),0)</f>
        <v>75</v>
      </c>
      <c r="Q153" s="436">
        <f>vlookup(D153,'S2'!A149:B1351,2,0)</f>
        <v>50</v>
      </c>
      <c r="R153" s="436">
        <f>ifna(vlookup(D153,'S3'!$1:$1311,2,False),0)</f>
        <v>82</v>
      </c>
      <c r="S153" s="436"/>
      <c r="T153" s="437">
        <v>18.0</v>
      </c>
      <c r="U153" s="437">
        <v>22.0</v>
      </c>
      <c r="V153" s="437">
        <v>42.0</v>
      </c>
      <c r="W153" s="437">
        <v>76.0</v>
      </c>
      <c r="X153" s="437">
        <v>68.0</v>
      </c>
      <c r="Y153" s="437"/>
      <c r="Z153" s="438"/>
      <c r="AA153" s="450">
        <v>62.0</v>
      </c>
      <c r="AB153" s="409">
        <v>69.0</v>
      </c>
      <c r="AC153" s="395">
        <v>67.0</v>
      </c>
      <c r="AD153" s="439"/>
      <c r="AE153" s="440">
        <v>57.0</v>
      </c>
      <c r="AF153" s="441"/>
      <c r="AG153" s="439"/>
      <c r="AH153" s="441"/>
      <c r="AI153" s="441"/>
      <c r="AJ153" s="441"/>
      <c r="AK153" s="442">
        <f t="shared" si="1"/>
        <v>4</v>
      </c>
      <c r="AL153" s="442">
        <f t="shared" si="2"/>
        <v>3</v>
      </c>
      <c r="AM153" s="424">
        <f t="shared" si="3"/>
        <v>3</v>
      </c>
      <c r="AN153" s="442" t="str">
        <f t="shared" si="4"/>
        <v>3</v>
      </c>
      <c r="AO153" s="442">
        <f t="shared" si="5"/>
        <v>3</v>
      </c>
      <c r="AP153" s="367"/>
    </row>
    <row r="154">
      <c r="A154" s="385">
        <v>150.0</v>
      </c>
      <c r="B154" s="446" t="s">
        <v>124</v>
      </c>
      <c r="C154" s="446" t="s">
        <v>3767</v>
      </c>
      <c r="D154" s="402" t="str">
        <f>VLOOKUP(B154,USN!$1:$1088,2,False)</f>
        <v>1CR23EC155</v>
      </c>
      <c r="E154" s="447">
        <v>9.019061844E9</v>
      </c>
      <c r="F154" s="452" t="s">
        <v>3736</v>
      </c>
      <c r="G154" s="367"/>
      <c r="H154" s="447">
        <v>80.0</v>
      </c>
      <c r="I154" s="433">
        <v>80.0</v>
      </c>
      <c r="J154" s="433">
        <f>VLOOKUP(D154,'L3'!$1:$2060,2,False)</f>
        <v>38</v>
      </c>
      <c r="K154" s="433">
        <f>VLOOKUP(D154,'L4'!$1:$2059,2,False)</f>
        <v>70</v>
      </c>
      <c r="L154" s="434">
        <f>VLOOKUP(D154,'A1 RETEST 5 DEC'!$1:$2096,2,FALSE)</f>
        <v>51</v>
      </c>
      <c r="M154" s="434">
        <f>VLOOKUP(D154,'A2 RETEST 4 DEC'!$1:$2096,2,FALSE)</f>
        <v>50</v>
      </c>
      <c r="N154" s="435">
        <v>5.0</v>
      </c>
      <c r="O154" s="449"/>
      <c r="P154" s="436">
        <f>IFNA(VLOOKUP(D154,'S1'!$1:$1325,2,False),0)</f>
        <v>50</v>
      </c>
      <c r="Q154" s="436">
        <f>vlookup(D154,'S2'!A150:B1352,2,0)</f>
        <v>50</v>
      </c>
      <c r="R154" s="436">
        <f>ifna(vlookup(D154,'S3'!$1:$1311,2,False),0)</f>
        <v>50</v>
      </c>
      <c r="S154" s="436"/>
      <c r="T154" s="437">
        <v>16.0</v>
      </c>
      <c r="U154" s="437">
        <v>18.0</v>
      </c>
      <c r="V154" s="437">
        <v>40.0</v>
      </c>
      <c r="W154" s="437">
        <v>86.0</v>
      </c>
      <c r="X154" s="437">
        <v>70.0</v>
      </c>
      <c r="Y154" s="437"/>
      <c r="Z154" s="438"/>
      <c r="AA154" s="450">
        <v>50.0</v>
      </c>
      <c r="AB154" s="409">
        <v>78.0</v>
      </c>
      <c r="AC154" s="395">
        <v>38.0</v>
      </c>
      <c r="AD154" s="439"/>
      <c r="AE154" s="440">
        <v>80.0</v>
      </c>
      <c r="AF154" s="441"/>
      <c r="AG154" s="439"/>
      <c r="AH154" s="451">
        <v>15.0</v>
      </c>
      <c r="AI154" s="441"/>
      <c r="AJ154" s="441"/>
      <c r="AK154" s="442">
        <f t="shared" si="1"/>
        <v>2</v>
      </c>
      <c r="AL154" s="442">
        <f t="shared" si="2"/>
        <v>2</v>
      </c>
      <c r="AM154" s="424">
        <f t="shared" si="3"/>
        <v>3</v>
      </c>
      <c r="AN154" s="442" t="str">
        <f t="shared" si="4"/>
        <v>2</v>
      </c>
      <c r="AO154" s="442">
        <f t="shared" si="5"/>
        <v>3</v>
      </c>
      <c r="AP154" s="367"/>
    </row>
    <row r="155">
      <c r="A155" s="385">
        <v>151.0</v>
      </c>
      <c r="B155" s="446" t="s">
        <v>2216</v>
      </c>
      <c r="C155" s="446" t="s">
        <v>3316</v>
      </c>
      <c r="D155" s="402" t="str">
        <f>VLOOKUP(B155,USN!$1:$1088,2,False)</f>
        <v>1CR23EC156</v>
      </c>
      <c r="E155" s="447">
        <v>7.488364981E9</v>
      </c>
      <c r="F155" s="446" t="s">
        <v>3736</v>
      </c>
      <c r="G155" s="367"/>
      <c r="H155" s="447">
        <v>86.0</v>
      </c>
      <c r="I155" s="448">
        <v>87.0</v>
      </c>
      <c r="J155" s="433">
        <f>VLOOKUP(D155,'L3'!$1:$2060,2,False)</f>
        <v>70</v>
      </c>
      <c r="K155" s="433">
        <f>VLOOKUP(D155,'L4'!$1:$2059,2,False)</f>
        <v>70</v>
      </c>
      <c r="L155" s="434">
        <f>VLOOKUP(D155,'A1 RETEST 5 DEC'!$1:$2096,2,FALSE)</f>
        <v>50</v>
      </c>
      <c r="M155" s="434">
        <f>VLOOKUP(D155,'A2 RETEST 4 DEC'!$1:$2096,2,FALSE)</f>
        <v>50</v>
      </c>
      <c r="N155" s="435">
        <v>58.0</v>
      </c>
      <c r="O155" s="449"/>
      <c r="P155" s="436">
        <f>IFNA(VLOOKUP(D155,'S1'!$1:$1325,2,False),0)</f>
        <v>79</v>
      </c>
      <c r="Q155" s="436">
        <f>vlookup(D155,'S2'!A151:B1353,2,0)</f>
        <v>50</v>
      </c>
      <c r="R155" s="436">
        <f>ifna(vlookup(D155,'S3'!$1:$1311,2,False),0)</f>
        <v>83</v>
      </c>
      <c r="S155" s="436"/>
      <c r="T155" s="437">
        <v>16.0</v>
      </c>
      <c r="U155" s="437">
        <v>20.0</v>
      </c>
      <c r="V155" s="437">
        <v>42.0</v>
      </c>
      <c r="W155" s="437">
        <v>86.0</v>
      </c>
      <c r="X155" s="437">
        <v>70.0</v>
      </c>
      <c r="Y155" s="437"/>
      <c r="Z155" s="438"/>
      <c r="AA155" s="450">
        <v>76.0</v>
      </c>
      <c r="AB155" s="409">
        <v>73.0</v>
      </c>
      <c r="AC155" s="395">
        <v>65.0</v>
      </c>
      <c r="AD155" s="439"/>
      <c r="AE155" s="440">
        <v>85.0</v>
      </c>
      <c r="AF155" s="441"/>
      <c r="AG155" s="439"/>
      <c r="AH155" s="451">
        <v>15.0</v>
      </c>
      <c r="AI155" s="441"/>
      <c r="AJ155" s="441"/>
      <c r="AK155" s="442">
        <f t="shared" si="1"/>
        <v>4</v>
      </c>
      <c r="AL155" s="442">
        <f t="shared" si="2"/>
        <v>3</v>
      </c>
      <c r="AM155" s="424">
        <f t="shared" si="3"/>
        <v>3</v>
      </c>
      <c r="AN155" s="442" t="str">
        <f t="shared" si="4"/>
        <v>3.5</v>
      </c>
      <c r="AO155" s="442">
        <f t="shared" si="5"/>
        <v>3</v>
      </c>
      <c r="AP155" s="367"/>
    </row>
    <row r="156">
      <c r="A156" s="385">
        <v>152.0</v>
      </c>
      <c r="B156" s="446" t="s">
        <v>2332</v>
      </c>
      <c r="C156" s="446" t="s">
        <v>3317</v>
      </c>
      <c r="D156" s="402" t="str">
        <f>VLOOKUP(B156,USN!$1:$1088,2,False)</f>
        <v>1CR23EC157</v>
      </c>
      <c r="E156" s="447">
        <v>8.123306627E9</v>
      </c>
      <c r="F156" s="446" t="s">
        <v>3736</v>
      </c>
      <c r="G156" s="367"/>
      <c r="H156" s="447">
        <v>77.0</v>
      </c>
      <c r="I156" s="448">
        <v>67.0</v>
      </c>
      <c r="J156" s="433">
        <f>VLOOKUP(D156,'L3'!$1:$2060,2,False)</f>
        <v>18</v>
      </c>
      <c r="K156" s="433">
        <f>VLOOKUP(D156,'L4'!$1:$2059,2,False)</f>
        <v>22</v>
      </c>
      <c r="L156" s="434">
        <f>VLOOKUP(D156,'A1 RETEST 5 DEC'!$1:$2096,2,FALSE)</f>
        <v>47</v>
      </c>
      <c r="M156" s="434">
        <f>VLOOKUP(D156,'A2 RETEST 4 DEC'!$1:$2096,2,FALSE)</f>
        <v>3</v>
      </c>
      <c r="N156" s="435">
        <v>0.0</v>
      </c>
      <c r="O156" s="449"/>
      <c r="P156" s="436">
        <f>IFNA(VLOOKUP(D156,'S1'!$1:$1325,2,False),0)</f>
        <v>70</v>
      </c>
      <c r="Q156" s="436">
        <f>vlookup(D156,'S2'!A152:B1354,2,0)</f>
        <v>0</v>
      </c>
      <c r="R156" s="436">
        <f>ifna(vlookup(D156,'S3'!$1:$1311,2,False),0)</f>
        <v>0</v>
      </c>
      <c r="S156" s="436"/>
      <c r="T156" s="437">
        <v>19.0</v>
      </c>
      <c r="U156" s="437">
        <v>15.0</v>
      </c>
      <c r="V156" s="437">
        <v>38.0</v>
      </c>
      <c r="W156" s="437">
        <v>64.0</v>
      </c>
      <c r="X156" s="445"/>
      <c r="Y156" s="437"/>
      <c r="Z156" s="438"/>
      <c r="AA156" s="450">
        <v>11.0</v>
      </c>
      <c r="AB156" s="409">
        <v>87.0</v>
      </c>
      <c r="AC156" s="395">
        <v>0.0</v>
      </c>
      <c r="AD156" s="439"/>
      <c r="AE156" s="440">
        <v>10.0</v>
      </c>
      <c r="AF156" s="441"/>
      <c r="AG156" s="439"/>
      <c r="AH156" s="441"/>
      <c r="AI156" s="441"/>
      <c r="AJ156" s="441"/>
      <c r="AK156" s="442">
        <f t="shared" si="1"/>
        <v>2</v>
      </c>
      <c r="AL156" s="442">
        <f t="shared" si="2"/>
        <v>0</v>
      </c>
      <c r="AM156" s="424">
        <f t="shared" si="3"/>
        <v>3</v>
      </c>
      <c r="AN156" s="442" t="str">
        <f t="shared" si="4"/>
        <v>2</v>
      </c>
      <c r="AO156" s="442">
        <f t="shared" si="5"/>
        <v>1</v>
      </c>
      <c r="AP156" s="367"/>
    </row>
    <row r="157">
      <c r="A157" s="385">
        <v>153.0</v>
      </c>
      <c r="B157" s="446" t="s">
        <v>2307</v>
      </c>
      <c r="C157" s="446" t="s">
        <v>3318</v>
      </c>
      <c r="D157" s="402" t="str">
        <f>VLOOKUP(B157,USN!$1:$1088,2,False)</f>
        <v>1CR23EC158</v>
      </c>
      <c r="E157" s="447">
        <v>7.899105052E9</v>
      </c>
      <c r="F157" s="447" t="s">
        <v>3736</v>
      </c>
      <c r="G157" s="367"/>
      <c r="H157" s="447">
        <v>70.0</v>
      </c>
      <c r="I157" s="433">
        <v>70.0</v>
      </c>
      <c r="J157" s="433">
        <f>VLOOKUP(D157,'L3'!$1:$2060,2,False)</f>
        <v>70</v>
      </c>
      <c r="K157" s="433">
        <f>VLOOKUP(D157,'L4'!$1:$2059,2,False)</f>
        <v>70</v>
      </c>
      <c r="L157" s="434">
        <f>VLOOKUP(D157,'A1 RETEST 5 DEC'!$1:$2096,2,FALSE)</f>
        <v>50</v>
      </c>
      <c r="M157" s="434">
        <f>VLOOKUP(D157,'A2 RETEST 4 DEC'!$1:$2096,2,FALSE)</f>
        <v>50</v>
      </c>
      <c r="N157" s="435">
        <v>55.0</v>
      </c>
      <c r="O157" s="449"/>
      <c r="P157" s="436">
        <f>IFNA(VLOOKUP(D157,'S1'!$1:$1325,2,False),0)</f>
        <v>75</v>
      </c>
      <c r="Q157" s="436">
        <f>vlookup(D157,'S2'!A153:B1355,2,0)</f>
        <v>75</v>
      </c>
      <c r="R157" s="436">
        <f>ifna(vlookup(D157,'S3'!$1:$1311,2,False),0)</f>
        <v>72</v>
      </c>
      <c r="S157" s="436"/>
      <c r="T157" s="437">
        <v>19.0</v>
      </c>
      <c r="U157" s="437">
        <v>18.0</v>
      </c>
      <c r="V157" s="437">
        <v>56.0</v>
      </c>
      <c r="W157" s="437">
        <v>62.0</v>
      </c>
      <c r="X157" s="437">
        <v>70.0</v>
      </c>
      <c r="Y157" s="437"/>
      <c r="Z157" s="438"/>
      <c r="AA157" s="450">
        <v>48.0</v>
      </c>
      <c r="AB157" s="409">
        <v>68.0</v>
      </c>
      <c r="AC157" s="395">
        <v>70.0</v>
      </c>
      <c r="AD157" s="439"/>
      <c r="AE157" s="440">
        <v>30.0</v>
      </c>
      <c r="AF157" s="441"/>
      <c r="AG157" s="439"/>
      <c r="AH157" s="441"/>
      <c r="AI157" s="441"/>
      <c r="AJ157" s="441"/>
      <c r="AK157" s="442">
        <f t="shared" si="1"/>
        <v>4</v>
      </c>
      <c r="AL157" s="442">
        <f t="shared" si="2"/>
        <v>3</v>
      </c>
      <c r="AM157" s="424">
        <f t="shared" si="3"/>
        <v>3</v>
      </c>
      <c r="AN157" s="442" t="str">
        <f t="shared" si="4"/>
        <v>3</v>
      </c>
      <c r="AO157" s="442">
        <f t="shared" si="5"/>
        <v>3</v>
      </c>
      <c r="AP157" s="367"/>
    </row>
    <row r="158">
      <c r="A158" s="385">
        <v>154.0</v>
      </c>
      <c r="B158" s="446" t="s">
        <v>2308</v>
      </c>
      <c r="C158" s="446" t="s">
        <v>3319</v>
      </c>
      <c r="D158" s="402" t="str">
        <f>VLOOKUP(B158,USN!$1:$1088,2,False)</f>
        <v>1CR23EC159</v>
      </c>
      <c r="E158" s="447">
        <v>7.349342042E9</v>
      </c>
      <c r="F158" s="447" t="s">
        <v>3736</v>
      </c>
      <c r="G158" s="367"/>
      <c r="H158" s="447">
        <v>87.0</v>
      </c>
      <c r="I158" s="448">
        <v>88.0</v>
      </c>
      <c r="J158" s="433">
        <f>VLOOKUP(D158,'L3'!$1:$2060,2,False)</f>
        <v>86</v>
      </c>
      <c r="K158" s="433">
        <f>VLOOKUP(D158,'L4'!$1:$2059,2,False)</f>
        <v>70</v>
      </c>
      <c r="L158" s="434">
        <f>VLOOKUP(D158,'A1 RETEST 5 DEC'!$1:$2096,2,FALSE)</f>
        <v>53</v>
      </c>
      <c r="M158" s="434">
        <f>VLOOKUP(D158,'A2 RETEST 4 DEC'!$1:$2096,2,FALSE)</f>
        <v>44</v>
      </c>
      <c r="N158" s="435">
        <v>61.0</v>
      </c>
      <c r="O158" s="449"/>
      <c r="P158" s="436">
        <f>IFNA(VLOOKUP(D158,'S1'!$1:$1325,2,False),0)</f>
        <v>78</v>
      </c>
      <c r="Q158" s="436">
        <f>vlookup(D158,'S2'!A154:B1356,2,0)</f>
        <v>52</v>
      </c>
      <c r="R158" s="436">
        <f>ifna(vlookup(D158,'S3'!$1:$1311,2,False),0)</f>
        <v>70</v>
      </c>
      <c r="S158" s="436"/>
      <c r="T158" s="437">
        <v>13.0</v>
      </c>
      <c r="U158" s="437">
        <v>18.0</v>
      </c>
      <c r="V158" s="437">
        <v>38.0</v>
      </c>
      <c r="W158" s="437">
        <v>84.0</v>
      </c>
      <c r="X158" s="437">
        <v>80.0</v>
      </c>
      <c r="Y158" s="437"/>
      <c r="Z158" s="438"/>
      <c r="AA158" s="450">
        <v>100.0</v>
      </c>
      <c r="AB158" s="409">
        <v>95.0</v>
      </c>
      <c r="AC158" s="395">
        <v>99.0</v>
      </c>
      <c r="AD158" s="439"/>
      <c r="AE158" s="440">
        <v>100.0</v>
      </c>
      <c r="AF158" s="441"/>
      <c r="AG158" s="439"/>
      <c r="AH158" s="441"/>
      <c r="AI158" s="441"/>
      <c r="AJ158" s="441"/>
      <c r="AK158" s="442">
        <f t="shared" si="1"/>
        <v>4</v>
      </c>
      <c r="AL158" s="442">
        <f t="shared" si="2"/>
        <v>1</v>
      </c>
      <c r="AM158" s="424">
        <f t="shared" si="3"/>
        <v>3</v>
      </c>
      <c r="AN158" s="442" t="str">
        <f t="shared" si="4"/>
        <v>3.5</v>
      </c>
      <c r="AO158" s="442">
        <f t="shared" si="5"/>
        <v>3</v>
      </c>
      <c r="AP158" s="367"/>
    </row>
    <row r="159">
      <c r="A159" s="385">
        <v>155.0</v>
      </c>
      <c r="B159" s="446" t="s">
        <v>2309</v>
      </c>
      <c r="C159" s="446" t="s">
        <v>3320</v>
      </c>
      <c r="D159" s="402" t="str">
        <f>VLOOKUP(B159,USN!$1:$1088,2,False)</f>
        <v>1CR23EC160</v>
      </c>
      <c r="E159" s="447">
        <v>9.717115225E9</v>
      </c>
      <c r="F159" s="447" t="s">
        <v>3736</v>
      </c>
      <c r="G159" s="367"/>
      <c r="H159" s="447">
        <v>81.0</v>
      </c>
      <c r="I159" s="448">
        <v>80.0</v>
      </c>
      <c r="J159" s="433">
        <f>VLOOKUP(D159,'L3'!$1:$2060,2,False)</f>
        <v>70</v>
      </c>
      <c r="K159" s="433">
        <f>VLOOKUP(D159,'L4'!$1:$2059,2,False)</f>
        <v>70</v>
      </c>
      <c r="L159" s="434">
        <f>VLOOKUP(D159,'A1 RETEST 5 DEC'!$1:$2096,2,FALSE)</f>
        <v>53</v>
      </c>
      <c r="M159" s="434">
        <f>VLOOKUP(D159,'A2 RETEST 4 DEC'!$1:$2096,2,FALSE)</f>
        <v>50</v>
      </c>
      <c r="N159" s="435">
        <v>50.0</v>
      </c>
      <c r="O159" s="449"/>
      <c r="P159" s="436">
        <f>IFNA(VLOOKUP(D159,'S1'!$1:$1325,2,False),0)</f>
        <v>78</v>
      </c>
      <c r="Q159" s="436">
        <f>vlookup(D159,'S2'!A155:B1357,2,0)</f>
        <v>52</v>
      </c>
      <c r="R159" s="436">
        <f>ifna(vlookup(D159,'S3'!$1:$1311,2,False),0)</f>
        <v>84</v>
      </c>
      <c r="S159" s="436"/>
      <c r="T159" s="437">
        <v>22.0</v>
      </c>
      <c r="U159" s="437">
        <v>18.0</v>
      </c>
      <c r="V159" s="437">
        <v>44.0</v>
      </c>
      <c r="W159" s="437">
        <v>86.0</v>
      </c>
      <c r="X159" s="437">
        <v>76.0</v>
      </c>
      <c r="Y159" s="437"/>
      <c r="Z159" s="438"/>
      <c r="AA159" s="450">
        <v>66.0</v>
      </c>
      <c r="AB159" s="409">
        <v>78.0</v>
      </c>
      <c r="AC159" s="395">
        <v>60.0</v>
      </c>
      <c r="AD159" s="439"/>
      <c r="AE159" s="440">
        <v>70.0</v>
      </c>
      <c r="AF159" s="441"/>
      <c r="AG159" s="439">
        <v>70.0</v>
      </c>
      <c r="AH159" s="441"/>
      <c r="AI159" s="441"/>
      <c r="AJ159" s="441"/>
      <c r="AK159" s="442">
        <f t="shared" si="1"/>
        <v>4</v>
      </c>
      <c r="AL159" s="442">
        <f t="shared" si="2"/>
        <v>3</v>
      </c>
      <c r="AM159" s="424">
        <f t="shared" si="3"/>
        <v>3</v>
      </c>
      <c r="AN159" s="442" t="str">
        <f t="shared" si="4"/>
        <v>3.5</v>
      </c>
      <c r="AO159" s="442">
        <f t="shared" si="5"/>
        <v>3</v>
      </c>
      <c r="AP159" s="367"/>
    </row>
    <row r="160">
      <c r="A160" s="385">
        <v>156.0</v>
      </c>
      <c r="B160" s="446" t="s">
        <v>2223</v>
      </c>
      <c r="C160" s="458" t="s">
        <v>3321</v>
      </c>
      <c r="D160" s="402" t="str">
        <f>VLOOKUP(B160,USN!$1:$1088,2,False)</f>
        <v>1CR23EC161</v>
      </c>
      <c r="E160" s="447">
        <v>9.148767975E9</v>
      </c>
      <c r="F160" s="459" t="s">
        <v>3736</v>
      </c>
      <c r="G160" s="367"/>
      <c r="H160" s="447">
        <v>70.0</v>
      </c>
      <c r="I160" s="448">
        <v>79.0</v>
      </c>
      <c r="J160" s="433">
        <f>VLOOKUP(D160,'L3'!$1:$2060,2,False)</f>
        <v>70</v>
      </c>
      <c r="K160" s="433">
        <f>VLOOKUP(D160,'L4'!$1:$2059,2,False)</f>
        <v>70</v>
      </c>
      <c r="L160" s="434">
        <f>VLOOKUP(D160,'A1 RETEST 5 DEC'!$1:$2096,2,FALSE)</f>
        <v>53</v>
      </c>
      <c r="M160" s="434">
        <f>VLOOKUP(D160,'A2 RETEST 4 DEC'!$1:$2096,2,FALSE)</f>
        <v>50</v>
      </c>
      <c r="N160" s="435">
        <v>51.0</v>
      </c>
      <c r="O160" s="449"/>
      <c r="P160" s="436">
        <f>IFNA(VLOOKUP(D160,'S1'!$1:$1325,2,False),0)</f>
        <v>70</v>
      </c>
      <c r="Q160" s="436">
        <f>vlookup(D160,'S2'!A156:B1358,2,0)</f>
        <v>50</v>
      </c>
      <c r="R160" s="436">
        <f>ifna(vlookup(D160,'S3'!$1:$1311,2,False),0)</f>
        <v>86</v>
      </c>
      <c r="S160" s="436"/>
      <c r="T160" s="437">
        <v>20.0</v>
      </c>
      <c r="U160" s="437">
        <v>17.0</v>
      </c>
      <c r="V160" s="437">
        <v>40.0</v>
      </c>
      <c r="W160" s="437">
        <v>80.0</v>
      </c>
      <c r="X160" s="437">
        <v>74.0</v>
      </c>
      <c r="Y160" s="437"/>
      <c r="Z160" s="438"/>
      <c r="AA160" s="450">
        <v>62.0</v>
      </c>
      <c r="AB160" s="409">
        <v>75.0</v>
      </c>
      <c r="AC160" s="395">
        <v>60.0</v>
      </c>
      <c r="AD160" s="439"/>
      <c r="AE160" s="440">
        <v>70.0</v>
      </c>
      <c r="AF160" s="441"/>
      <c r="AG160" s="439"/>
      <c r="AH160" s="441"/>
      <c r="AI160" s="441"/>
      <c r="AJ160" s="441"/>
      <c r="AK160" s="442">
        <f t="shared" si="1"/>
        <v>4</v>
      </c>
      <c r="AL160" s="442">
        <f t="shared" si="2"/>
        <v>3</v>
      </c>
      <c r="AM160" s="424">
        <f t="shared" si="3"/>
        <v>3</v>
      </c>
      <c r="AN160" s="442" t="str">
        <f t="shared" si="4"/>
        <v>3.5</v>
      </c>
      <c r="AO160" s="442">
        <f t="shared" si="5"/>
        <v>3</v>
      </c>
      <c r="AP160" s="367"/>
    </row>
    <row r="161">
      <c r="A161" s="385">
        <v>157.0</v>
      </c>
      <c r="B161" s="446" t="s">
        <v>2298</v>
      </c>
      <c r="C161" s="446" t="s">
        <v>3322</v>
      </c>
      <c r="D161" s="402" t="str">
        <f>VLOOKUP(B161,USN!$1:$1088,2,False)</f>
        <v>1CR23EC162</v>
      </c>
      <c r="E161" s="447">
        <v>8.074776845E9</v>
      </c>
      <c r="F161" s="447" t="s">
        <v>3736</v>
      </c>
      <c r="G161" s="367"/>
      <c r="H161" s="447">
        <v>76.0</v>
      </c>
      <c r="I161" s="448">
        <v>78.0</v>
      </c>
      <c r="J161" s="433">
        <f>VLOOKUP(D161,'L3'!$1:$2060,2,False)</f>
        <v>51</v>
      </c>
      <c r="K161" s="433">
        <f>VLOOKUP(D161,'L4'!$1:$2059,2,False)</f>
        <v>70</v>
      </c>
      <c r="L161" s="434">
        <f>VLOOKUP(D161,'A1 RETEST 5 DEC'!$1:$2096,2,FALSE)</f>
        <v>65</v>
      </c>
      <c r="M161" s="434">
        <f>VLOOKUP(D161,'A2 RETEST 4 DEC'!$1:$2096,2,FALSE)</f>
        <v>50</v>
      </c>
      <c r="N161" s="435">
        <v>52.0</v>
      </c>
      <c r="O161" s="449"/>
      <c r="P161" s="436">
        <f>IFNA(VLOOKUP(D161,'S1'!$1:$1325,2,False),0)</f>
        <v>70</v>
      </c>
      <c r="Q161" s="436">
        <f>vlookup(D161,'S2'!A157:B1359,2,0)</f>
        <v>50</v>
      </c>
      <c r="R161" s="436">
        <f>ifna(vlookup(D161,'S3'!$1:$1311,2,False),0)</f>
        <v>87</v>
      </c>
      <c r="S161" s="436"/>
      <c r="T161" s="437">
        <v>13.0</v>
      </c>
      <c r="U161" s="437">
        <v>13.0</v>
      </c>
      <c r="V161" s="437">
        <v>44.0</v>
      </c>
      <c r="W161" s="437">
        <v>72.0</v>
      </c>
      <c r="X161" s="437">
        <v>58.0</v>
      </c>
      <c r="Y161" s="437"/>
      <c r="Z161" s="438"/>
      <c r="AA161" s="450">
        <v>14.0</v>
      </c>
      <c r="AB161" s="409">
        <v>95.0</v>
      </c>
      <c r="AC161" s="395">
        <v>94.0</v>
      </c>
      <c r="AD161" s="439"/>
      <c r="AE161" s="440">
        <v>60.0</v>
      </c>
      <c r="AF161" s="441"/>
      <c r="AG161" s="439"/>
      <c r="AH161" s="441"/>
      <c r="AI161" s="441"/>
      <c r="AJ161" s="441"/>
      <c r="AK161" s="442">
        <f t="shared" si="1"/>
        <v>2</v>
      </c>
      <c r="AL161" s="442">
        <f t="shared" si="2"/>
        <v>3</v>
      </c>
      <c r="AM161" s="424">
        <f t="shared" si="3"/>
        <v>3</v>
      </c>
      <c r="AN161" s="442" t="str">
        <f t="shared" si="4"/>
        <v>3</v>
      </c>
      <c r="AO161" s="442">
        <f t="shared" si="5"/>
        <v>3</v>
      </c>
      <c r="AP161" s="367"/>
    </row>
    <row r="162">
      <c r="A162" s="385">
        <v>158.0</v>
      </c>
      <c r="B162" s="446" t="s">
        <v>2225</v>
      </c>
      <c r="C162" s="446" t="s">
        <v>3323</v>
      </c>
      <c r="D162" s="402" t="str">
        <f>VLOOKUP(B162,USN!$1:$1088,2,False)</f>
        <v>1CR23EC163</v>
      </c>
      <c r="E162" s="447" t="s">
        <v>3768</v>
      </c>
      <c r="F162" s="452" t="s">
        <v>3736</v>
      </c>
      <c r="G162" s="367"/>
      <c r="H162" s="447">
        <v>71.0</v>
      </c>
      <c r="I162" s="448">
        <v>79.0</v>
      </c>
      <c r="J162" s="433">
        <f>VLOOKUP(D162,'L3'!$1:$2060,2,False)</f>
        <v>77</v>
      </c>
      <c r="K162" s="433">
        <f>VLOOKUP(D162,'L4'!$1:$2059,2,False)</f>
        <v>70</v>
      </c>
      <c r="L162" s="434">
        <f>VLOOKUP(D162,'A1 RETEST 5 DEC'!$1:$2096,2,FALSE)</f>
        <v>50</v>
      </c>
      <c r="M162" s="434">
        <f>VLOOKUP(D162,'A2 RETEST 4 DEC'!$1:$2096,2,FALSE)</f>
        <v>50</v>
      </c>
      <c r="N162" s="435">
        <v>54.0</v>
      </c>
      <c r="O162" s="449"/>
      <c r="P162" s="436">
        <f>IFNA(VLOOKUP(D162,'S1'!$1:$1325,2,False),0)</f>
        <v>78</v>
      </c>
      <c r="Q162" s="436">
        <f>vlookup(D162,'S2'!A158:B1360,2,0)</f>
        <v>50</v>
      </c>
      <c r="R162" s="436">
        <f>ifna(vlookup(D162,'S3'!$1:$1311,2,False),0)</f>
        <v>87</v>
      </c>
      <c r="S162" s="436"/>
      <c r="T162" s="437">
        <v>20.0</v>
      </c>
      <c r="U162" s="437">
        <v>19.0</v>
      </c>
      <c r="V162" s="437">
        <v>48.0</v>
      </c>
      <c r="W162" s="437">
        <v>82.0</v>
      </c>
      <c r="X162" s="437">
        <v>80.0</v>
      </c>
      <c r="Y162" s="437"/>
      <c r="Z162" s="438"/>
      <c r="AA162" s="450">
        <v>52.0</v>
      </c>
      <c r="AB162" s="409">
        <v>92.0</v>
      </c>
      <c r="AC162" s="395">
        <v>93.0</v>
      </c>
      <c r="AD162" s="439"/>
      <c r="AE162" s="440">
        <v>10.0</v>
      </c>
      <c r="AF162" s="441"/>
      <c r="AG162" s="439"/>
      <c r="AH162" s="441"/>
      <c r="AI162" s="441"/>
      <c r="AJ162" s="441"/>
      <c r="AK162" s="442">
        <f t="shared" si="1"/>
        <v>4</v>
      </c>
      <c r="AL162" s="442">
        <f t="shared" si="2"/>
        <v>3</v>
      </c>
      <c r="AM162" s="424">
        <f t="shared" si="3"/>
        <v>3</v>
      </c>
      <c r="AN162" s="442" t="str">
        <f t="shared" si="4"/>
        <v>3</v>
      </c>
      <c r="AO162" s="442">
        <f t="shared" si="5"/>
        <v>3</v>
      </c>
      <c r="AP162" s="367"/>
    </row>
    <row r="163">
      <c r="A163" s="385">
        <v>159.0</v>
      </c>
      <c r="B163" s="446" t="s">
        <v>2280</v>
      </c>
      <c r="C163" s="446" t="s">
        <v>3324</v>
      </c>
      <c r="D163" s="402" t="str">
        <f>VLOOKUP(B163,USN!$1:$1088,2,False)</f>
        <v>1CR23EC164</v>
      </c>
      <c r="E163" s="447">
        <v>7.259887221E9</v>
      </c>
      <c r="F163" s="447" t="s">
        <v>3736</v>
      </c>
      <c r="G163" s="367"/>
      <c r="H163" s="447">
        <v>82.0</v>
      </c>
      <c r="I163" s="448">
        <v>84.0</v>
      </c>
      <c r="J163" s="433">
        <f>VLOOKUP(D163,'L3'!$1:$2060,2,False)</f>
        <v>76</v>
      </c>
      <c r="K163" s="433">
        <f>VLOOKUP(D163,'L4'!$1:$2059,2,False)</f>
        <v>70</v>
      </c>
      <c r="L163" s="434">
        <f>VLOOKUP(D163,'A1 RETEST 5 DEC'!$1:$2096,2,FALSE)</f>
        <v>50</v>
      </c>
      <c r="M163" s="434">
        <f>VLOOKUP(D163,'A2 RETEST 4 DEC'!$1:$2096,2,FALSE)</f>
        <v>50</v>
      </c>
      <c r="N163" s="435">
        <v>58.0</v>
      </c>
      <c r="O163" s="449"/>
      <c r="P163" s="436">
        <f>IFNA(VLOOKUP(D163,'S1'!$1:$1325,2,False),0)</f>
        <v>75</v>
      </c>
      <c r="Q163" s="436">
        <f>vlookup(D163,'S2'!A159:B1361,2,0)</f>
        <v>50</v>
      </c>
      <c r="R163" s="436">
        <f>ifna(vlookup(D163,'S3'!$1:$1311,2,False),0)</f>
        <v>94</v>
      </c>
      <c r="S163" s="436"/>
      <c r="T163" s="437">
        <v>16.0</v>
      </c>
      <c r="U163" s="437">
        <v>20.0</v>
      </c>
      <c r="V163" s="437">
        <v>40.0</v>
      </c>
      <c r="W163" s="437">
        <v>80.0</v>
      </c>
      <c r="X163" s="437">
        <v>78.0</v>
      </c>
      <c r="Y163" s="437"/>
      <c r="Z163" s="438"/>
      <c r="AA163" s="450">
        <v>92.0</v>
      </c>
      <c r="AB163" s="409">
        <v>100.0</v>
      </c>
      <c r="AC163" s="395">
        <v>70.0</v>
      </c>
      <c r="AD163" s="439"/>
      <c r="AE163" s="440">
        <v>56.0</v>
      </c>
      <c r="AF163" s="441"/>
      <c r="AG163" s="439"/>
      <c r="AH163" s="441"/>
      <c r="AI163" s="441"/>
      <c r="AJ163" s="441"/>
      <c r="AK163" s="442">
        <f t="shared" si="1"/>
        <v>4</v>
      </c>
      <c r="AL163" s="442">
        <f t="shared" si="2"/>
        <v>3</v>
      </c>
      <c r="AM163" s="424">
        <f t="shared" si="3"/>
        <v>3</v>
      </c>
      <c r="AN163" s="442" t="str">
        <f t="shared" si="4"/>
        <v>3</v>
      </c>
      <c r="AO163" s="442">
        <f t="shared" si="5"/>
        <v>3</v>
      </c>
      <c r="AP163" s="367"/>
    </row>
    <row r="164">
      <c r="A164" s="385">
        <v>160.0</v>
      </c>
      <c r="B164" s="446" t="s">
        <v>2327</v>
      </c>
      <c r="C164" s="446" t="s">
        <v>3325</v>
      </c>
      <c r="D164" s="402" t="str">
        <f>VLOOKUP(B164,USN!$1:$1088,2,False)</f>
        <v>1CR23EC165</v>
      </c>
      <c r="E164" s="446">
        <v>9.945902651E9</v>
      </c>
      <c r="F164" s="446" t="s">
        <v>3736</v>
      </c>
      <c r="G164" s="367"/>
      <c r="H164" s="447">
        <v>74.0</v>
      </c>
      <c r="I164" s="448">
        <v>75.0</v>
      </c>
      <c r="J164" s="433">
        <f>VLOOKUP(D164,'L3'!$1:$2060,2,False)</f>
        <v>75</v>
      </c>
      <c r="K164" s="433">
        <f>VLOOKUP(D164,'L4'!$1:$2059,2,False)</f>
        <v>77</v>
      </c>
      <c r="L164" s="434">
        <f>VLOOKUP(D164,'A1 RETEST 5 DEC'!$1:$2096,2,FALSE)</f>
        <v>50</v>
      </c>
      <c r="M164" s="434">
        <f>VLOOKUP(D164,'A2 RETEST 4 DEC'!$1:$2096,2,FALSE)</f>
        <v>50</v>
      </c>
      <c r="N164" s="435">
        <v>37.0</v>
      </c>
      <c r="O164" s="449"/>
      <c r="P164" s="436">
        <f>IFNA(VLOOKUP(D164,'S1'!$1:$1325,2,False),0)</f>
        <v>73</v>
      </c>
      <c r="Q164" s="436">
        <f>vlookup(D164,'S2'!A160:B1362,2,0)</f>
        <v>85</v>
      </c>
      <c r="R164" s="436">
        <f>ifna(vlookup(D164,'S3'!$1:$1311,2,False),0)</f>
        <v>77</v>
      </c>
      <c r="S164" s="436"/>
      <c r="T164" s="437">
        <v>11.0</v>
      </c>
      <c r="U164" s="437">
        <v>19.0</v>
      </c>
      <c r="V164" s="437">
        <v>62.0</v>
      </c>
      <c r="W164" s="437">
        <v>84.0</v>
      </c>
      <c r="X164" s="437">
        <v>72.0</v>
      </c>
      <c r="Y164" s="437"/>
      <c r="Z164" s="438"/>
      <c r="AA164" s="450">
        <v>76.0</v>
      </c>
      <c r="AB164" s="409">
        <v>71.0</v>
      </c>
      <c r="AC164" s="395">
        <v>67.0</v>
      </c>
      <c r="AD164" s="439"/>
      <c r="AE164" s="440">
        <v>75.0</v>
      </c>
      <c r="AF164" s="441"/>
      <c r="AG164" s="439">
        <v>71.0</v>
      </c>
      <c r="AH164" s="441"/>
      <c r="AI164" s="441"/>
      <c r="AJ164" s="441"/>
      <c r="AK164" s="442">
        <f t="shared" si="1"/>
        <v>4</v>
      </c>
      <c r="AL164" s="442">
        <f t="shared" si="2"/>
        <v>2</v>
      </c>
      <c r="AM164" s="424">
        <f t="shared" si="3"/>
        <v>3</v>
      </c>
      <c r="AN164" s="442" t="str">
        <f t="shared" si="4"/>
        <v>3.5</v>
      </c>
      <c r="AO164" s="442">
        <f t="shared" si="5"/>
        <v>3</v>
      </c>
      <c r="AP164" s="367"/>
    </row>
    <row r="165">
      <c r="A165" s="385">
        <v>161.0</v>
      </c>
      <c r="B165" s="446" t="s">
        <v>2310</v>
      </c>
      <c r="C165" s="446" t="s">
        <v>3326</v>
      </c>
      <c r="D165" s="402" t="str">
        <f>VLOOKUP(B165,USN!$1:$1088,2,False)</f>
        <v>1CR23EC166</v>
      </c>
      <c r="E165" s="447">
        <v>7.651815914E9</v>
      </c>
      <c r="F165" s="447" t="s">
        <v>3736</v>
      </c>
      <c r="G165" s="367"/>
      <c r="H165" s="447">
        <v>78.0</v>
      </c>
      <c r="I165" s="448">
        <v>76.0</v>
      </c>
      <c r="J165" s="433">
        <f>VLOOKUP(D165,'L3'!$1:$2060,2,False)</f>
        <v>70</v>
      </c>
      <c r="K165" s="433">
        <f>VLOOKUP(D165,'L4'!$1:$2059,2,False)</f>
        <v>70</v>
      </c>
      <c r="L165" s="434">
        <f>VLOOKUP(D165,'A1 RETEST 5 DEC'!$1:$2096,2,FALSE)</f>
        <v>50</v>
      </c>
      <c r="M165" s="434">
        <f>VLOOKUP(D165,'A2 RETEST 4 DEC'!$1:$2096,2,FALSE)</f>
        <v>50</v>
      </c>
      <c r="N165" s="435">
        <v>50.0</v>
      </c>
      <c r="O165" s="449"/>
      <c r="P165" s="436">
        <f>IFNA(VLOOKUP(D165,'S1'!$1:$1325,2,False),0)</f>
        <v>73</v>
      </c>
      <c r="Q165" s="436">
        <f>vlookup(D165,'S2'!A161:B1363,2,0)</f>
        <v>74</v>
      </c>
      <c r="R165" s="436">
        <f>ifna(vlookup(D165,'S3'!$1:$1311,2,False),0)</f>
        <v>94</v>
      </c>
      <c r="S165" s="436"/>
      <c r="T165" s="437">
        <v>10.0</v>
      </c>
      <c r="U165" s="437">
        <v>12.0</v>
      </c>
      <c r="V165" s="437">
        <v>40.0</v>
      </c>
      <c r="W165" s="437">
        <v>74.0</v>
      </c>
      <c r="X165" s="437">
        <v>76.0</v>
      </c>
      <c r="Y165" s="437"/>
      <c r="Z165" s="438"/>
      <c r="AA165" s="450">
        <v>34.0</v>
      </c>
      <c r="AB165" s="409">
        <v>72.0</v>
      </c>
      <c r="AC165" s="395">
        <v>89.0</v>
      </c>
      <c r="AD165" s="439"/>
      <c r="AE165" s="440">
        <v>74.0</v>
      </c>
      <c r="AF165" s="441"/>
      <c r="AG165" s="439">
        <v>77.0</v>
      </c>
      <c r="AH165" s="441"/>
      <c r="AI165" s="441"/>
      <c r="AJ165" s="441"/>
      <c r="AK165" s="442">
        <f t="shared" si="1"/>
        <v>4</v>
      </c>
      <c r="AL165" s="442">
        <f t="shared" si="2"/>
        <v>3</v>
      </c>
      <c r="AM165" s="424">
        <f t="shared" si="3"/>
        <v>3</v>
      </c>
      <c r="AN165" s="442" t="str">
        <f t="shared" si="4"/>
        <v>3.5</v>
      </c>
      <c r="AO165" s="442">
        <f t="shared" si="5"/>
        <v>3</v>
      </c>
      <c r="AP165" s="367"/>
    </row>
    <row r="166">
      <c r="A166" s="385">
        <v>162.0</v>
      </c>
      <c r="B166" s="446" t="s">
        <v>2398</v>
      </c>
      <c r="C166" s="446" t="s">
        <v>3327</v>
      </c>
      <c r="D166" s="402" t="str">
        <f>VLOOKUP(B166,USN!$1:$1088,2,False)</f>
        <v>1CR23EC167</v>
      </c>
      <c r="E166" s="447">
        <v>7.25953024E9</v>
      </c>
      <c r="F166" s="452" t="s">
        <v>3736</v>
      </c>
      <c r="G166" s="367"/>
      <c r="H166" s="447">
        <v>86.0</v>
      </c>
      <c r="I166" s="448">
        <v>86.0</v>
      </c>
      <c r="J166" s="433">
        <f>VLOOKUP(D166,'L3'!$1:$2060,2,False)</f>
        <v>62</v>
      </c>
      <c r="K166" s="433">
        <f>VLOOKUP(D166,'L4'!$1:$2059,2,False)</f>
        <v>70</v>
      </c>
      <c r="L166" s="434">
        <f>VLOOKUP(D166,'A1 RETEST 5 DEC'!$1:$2096,2,FALSE)</f>
        <v>50</v>
      </c>
      <c r="M166" s="434">
        <f>VLOOKUP(D166,'A2 RETEST 4 DEC'!$1:$2096,2,FALSE)</f>
        <v>50</v>
      </c>
      <c r="N166" s="435">
        <v>53.0</v>
      </c>
      <c r="O166" s="449"/>
      <c r="P166" s="436">
        <f>IFNA(VLOOKUP(D166,'S1'!$1:$1325,2,False),0)</f>
        <v>70</v>
      </c>
      <c r="Q166" s="436">
        <f>vlookup(D166,'S2'!A162:B1364,2,0)</f>
        <v>50</v>
      </c>
      <c r="R166" s="436">
        <f>ifna(vlookup(D166,'S3'!$1:$1311,2,False),0)</f>
        <v>94</v>
      </c>
      <c r="S166" s="436"/>
      <c r="T166" s="437">
        <v>17.0</v>
      </c>
      <c r="U166" s="437">
        <v>15.0</v>
      </c>
      <c r="V166" s="437">
        <v>46.0</v>
      </c>
      <c r="W166" s="437">
        <v>78.0</v>
      </c>
      <c r="X166" s="437">
        <v>76.0</v>
      </c>
      <c r="Y166" s="437"/>
      <c r="Z166" s="438"/>
      <c r="AA166" s="450">
        <v>52.0</v>
      </c>
      <c r="AB166" s="409">
        <v>81.25</v>
      </c>
      <c r="AC166" s="395">
        <v>93.0</v>
      </c>
      <c r="AD166" s="439"/>
      <c r="AE166" s="440">
        <v>54.0</v>
      </c>
      <c r="AF166" s="441"/>
      <c r="AG166" s="439"/>
      <c r="AH166" s="441"/>
      <c r="AI166" s="441"/>
      <c r="AJ166" s="441"/>
      <c r="AK166" s="442">
        <f t="shared" si="1"/>
        <v>2</v>
      </c>
      <c r="AL166" s="442">
        <f t="shared" si="2"/>
        <v>3</v>
      </c>
      <c r="AM166" s="424">
        <f t="shared" si="3"/>
        <v>3</v>
      </c>
      <c r="AN166" s="442" t="str">
        <f t="shared" si="4"/>
        <v>3</v>
      </c>
      <c r="AO166" s="442">
        <f t="shared" si="5"/>
        <v>3</v>
      </c>
      <c r="AP166" s="367"/>
    </row>
    <row r="167">
      <c r="A167" s="385">
        <v>163.0</v>
      </c>
      <c r="B167" s="446" t="s">
        <v>2311</v>
      </c>
      <c r="C167" s="446" t="s">
        <v>3328</v>
      </c>
      <c r="D167" s="402" t="str">
        <f>VLOOKUP(B167,USN!$1:$1088,2,False)</f>
        <v>1CR23EC168</v>
      </c>
      <c r="E167" s="447">
        <v>9.14894831E9</v>
      </c>
      <c r="F167" s="447" t="s">
        <v>3736</v>
      </c>
      <c r="G167" s="367"/>
      <c r="H167" s="447">
        <v>78.0</v>
      </c>
      <c r="I167" s="448">
        <v>83.0</v>
      </c>
      <c r="J167" s="433">
        <f>VLOOKUP(D167,'L3'!$1:$2060,2,False)</f>
        <v>77</v>
      </c>
      <c r="K167" s="433">
        <f>VLOOKUP(D167,'L4'!$1:$2059,2,False)</f>
        <v>88</v>
      </c>
      <c r="L167" s="434">
        <f>VLOOKUP(D167,'A1 RETEST 5 DEC'!$1:$2096,2,FALSE)</f>
        <v>51</v>
      </c>
      <c r="M167" s="434">
        <f>VLOOKUP(D167,'A2 RETEST 4 DEC'!$1:$2096,2,FALSE)</f>
        <v>50</v>
      </c>
      <c r="N167" s="435">
        <v>44.0</v>
      </c>
      <c r="O167" s="449"/>
      <c r="P167" s="436">
        <f>IFNA(VLOOKUP(D167,'S1'!$1:$1325,2,False),0)</f>
        <v>73</v>
      </c>
      <c r="Q167" s="436">
        <f>vlookup(D167,'S2'!A163:B1365,2,0)</f>
        <v>77</v>
      </c>
      <c r="R167" s="436">
        <f>ifna(vlookup(D167,'S3'!$1:$1311,2,False),0)</f>
        <v>92</v>
      </c>
      <c r="S167" s="436"/>
      <c r="T167" s="437">
        <v>15.0</v>
      </c>
      <c r="U167" s="437">
        <v>19.0</v>
      </c>
      <c r="V167" s="437">
        <v>56.0</v>
      </c>
      <c r="W167" s="437">
        <v>84.0</v>
      </c>
      <c r="X167" s="437">
        <v>70.0</v>
      </c>
      <c r="Y167" s="437"/>
      <c r="Z167" s="438"/>
      <c r="AA167" s="450">
        <v>100.0</v>
      </c>
      <c r="AB167" s="409">
        <v>75.0</v>
      </c>
      <c r="AC167" s="395">
        <v>79.0</v>
      </c>
      <c r="AD167" s="439"/>
      <c r="AE167" s="440">
        <v>70.0</v>
      </c>
      <c r="AF167" s="441"/>
      <c r="AG167" s="439"/>
      <c r="AH167" s="451">
        <v>73.0</v>
      </c>
      <c r="AI167" s="441"/>
      <c r="AJ167" s="441"/>
      <c r="AK167" s="442">
        <f t="shared" si="1"/>
        <v>4</v>
      </c>
      <c r="AL167" s="442">
        <f t="shared" si="2"/>
        <v>2</v>
      </c>
      <c r="AM167" s="424">
        <f t="shared" si="3"/>
        <v>3</v>
      </c>
      <c r="AN167" s="442" t="str">
        <f t="shared" si="4"/>
        <v>3.5</v>
      </c>
      <c r="AO167" s="442">
        <f t="shared" si="5"/>
        <v>3</v>
      </c>
      <c r="AP167" s="367"/>
    </row>
    <row r="168">
      <c r="A168" s="385">
        <v>164.0</v>
      </c>
      <c r="B168" s="446" t="s">
        <v>2341</v>
      </c>
      <c r="C168" s="446" t="s">
        <v>3769</v>
      </c>
      <c r="D168" s="402" t="str">
        <f>VLOOKUP(B168,USN!$1:$1088,2,False)</f>
        <v>1CR23EC169</v>
      </c>
      <c r="E168" s="447">
        <v>6.360685295E9</v>
      </c>
      <c r="F168" s="446" t="s">
        <v>3736</v>
      </c>
      <c r="G168" s="367"/>
      <c r="H168" s="447">
        <v>74.0</v>
      </c>
      <c r="I168" s="433">
        <v>70.0</v>
      </c>
      <c r="J168" s="433">
        <f>VLOOKUP(D168,'L3'!$1:$2060,2,False)</f>
        <v>70</v>
      </c>
      <c r="K168" s="433">
        <f>VLOOKUP(D168,'L4'!$1:$2059,2,False)</f>
        <v>70</v>
      </c>
      <c r="L168" s="434">
        <f>VLOOKUP(D168,'A1 RETEST 5 DEC'!$1:$2096,2,FALSE)</f>
        <v>50</v>
      </c>
      <c r="M168" s="434">
        <f>VLOOKUP(D168,'A2 RETEST 4 DEC'!$1:$2096,2,FALSE)</f>
        <v>50</v>
      </c>
      <c r="N168" s="435">
        <v>58.0</v>
      </c>
      <c r="O168" s="449"/>
      <c r="P168" s="436">
        <f>IFNA(VLOOKUP(D168,'S1'!$1:$1325,2,False),0)</f>
        <v>78</v>
      </c>
      <c r="Q168" s="436">
        <f>vlookup(D168,'S2'!A164:B1366,2,0)</f>
        <v>85</v>
      </c>
      <c r="R168" s="436">
        <f>ifna(vlookup(D168,'S3'!$1:$1311,2,False),0)</f>
        <v>83</v>
      </c>
      <c r="S168" s="436"/>
      <c r="T168" s="437">
        <v>16.0</v>
      </c>
      <c r="U168" s="437">
        <v>16.0</v>
      </c>
      <c r="V168" s="437">
        <v>28.0</v>
      </c>
      <c r="W168" s="437">
        <v>82.0</v>
      </c>
      <c r="X168" s="437">
        <v>84.0</v>
      </c>
      <c r="Y168" s="437"/>
      <c r="Z168" s="438"/>
      <c r="AA168" s="450">
        <v>82.0</v>
      </c>
      <c r="AB168" s="409">
        <v>72.0</v>
      </c>
      <c r="AC168" s="395">
        <v>48.0</v>
      </c>
      <c r="AD168" s="439"/>
      <c r="AE168" s="440">
        <v>34.0</v>
      </c>
      <c r="AF168" s="441"/>
      <c r="AG168" s="439"/>
      <c r="AH168" s="441"/>
      <c r="AI168" s="441"/>
      <c r="AJ168" s="441"/>
      <c r="AK168" s="442">
        <f t="shared" si="1"/>
        <v>4</v>
      </c>
      <c r="AL168" s="442">
        <f t="shared" si="2"/>
        <v>3</v>
      </c>
      <c r="AM168" s="424">
        <f t="shared" si="3"/>
        <v>3</v>
      </c>
      <c r="AN168" s="442" t="str">
        <f t="shared" si="4"/>
        <v>2</v>
      </c>
      <c r="AO168" s="442">
        <f t="shared" si="5"/>
        <v>3</v>
      </c>
      <c r="AP168" s="367"/>
    </row>
    <row r="169">
      <c r="A169" s="385">
        <v>165.0</v>
      </c>
      <c r="B169" s="446" t="s">
        <v>2312</v>
      </c>
      <c r="C169" s="446" t="s">
        <v>3770</v>
      </c>
      <c r="D169" s="402" t="str">
        <f>VLOOKUP(B169,USN!$1:$1088,2,False)</f>
        <v>1CR23EC170</v>
      </c>
      <c r="E169" s="447">
        <v>7.20442504E9</v>
      </c>
      <c r="F169" s="447" t="s">
        <v>3736</v>
      </c>
      <c r="G169" s="367"/>
      <c r="H169" s="447">
        <v>80.0</v>
      </c>
      <c r="I169" s="448">
        <v>77.0</v>
      </c>
      <c r="J169" s="433">
        <f>VLOOKUP(D169,'L3'!$1:$2060,2,False)</f>
        <v>70</v>
      </c>
      <c r="K169" s="433">
        <f>VLOOKUP(D169,'L4'!$1:$2059,2,False)</f>
        <v>73</v>
      </c>
      <c r="L169" s="434">
        <f>VLOOKUP(D169,'A1 RETEST 5 DEC'!$1:$2096,2,FALSE)</f>
        <v>50</v>
      </c>
      <c r="M169" s="434">
        <f>VLOOKUP(D169,'A2 RETEST 4 DEC'!$1:$2096,2,FALSE)</f>
        <v>50</v>
      </c>
      <c r="N169" s="435">
        <v>60.0</v>
      </c>
      <c r="O169" s="449"/>
      <c r="P169" s="436">
        <f>IFNA(VLOOKUP(D169,'S1'!$1:$1325,2,False),0)</f>
        <v>78</v>
      </c>
      <c r="Q169" s="436">
        <f>vlookup(D169,'S2'!A165:B1367,2,0)</f>
        <v>75</v>
      </c>
      <c r="R169" s="436">
        <f>ifna(vlookup(D169,'S3'!$1:$1311,2,False),0)</f>
        <v>82</v>
      </c>
      <c r="S169" s="436"/>
      <c r="T169" s="437">
        <v>12.0</v>
      </c>
      <c r="U169" s="437">
        <v>20.0</v>
      </c>
      <c r="V169" s="437">
        <v>44.0</v>
      </c>
      <c r="W169" s="437">
        <v>76.0</v>
      </c>
      <c r="X169" s="437">
        <v>80.0</v>
      </c>
      <c r="Y169" s="437"/>
      <c r="Z169" s="438"/>
      <c r="AA169" s="450">
        <v>60.0</v>
      </c>
      <c r="AB169" s="409">
        <v>75.0</v>
      </c>
      <c r="AC169" s="395">
        <v>62.0</v>
      </c>
      <c r="AD169" s="439"/>
      <c r="AE169" s="439">
        <v>86.0</v>
      </c>
      <c r="AF169" s="441"/>
      <c r="AG169" s="439"/>
      <c r="AH169" s="441"/>
      <c r="AI169" s="441"/>
      <c r="AJ169" s="441"/>
      <c r="AK169" s="442">
        <f t="shared" si="1"/>
        <v>4</v>
      </c>
      <c r="AL169" s="442">
        <f t="shared" si="2"/>
        <v>3</v>
      </c>
      <c r="AM169" s="424">
        <f t="shared" si="3"/>
        <v>3</v>
      </c>
      <c r="AN169" s="442" t="str">
        <f t="shared" si="4"/>
        <v>3.5</v>
      </c>
      <c r="AO169" s="442">
        <f t="shared" si="5"/>
        <v>3</v>
      </c>
      <c r="AP169" s="367"/>
    </row>
    <row r="170">
      <c r="A170" s="385">
        <v>166.0</v>
      </c>
      <c r="B170" s="446" t="s">
        <v>2397</v>
      </c>
      <c r="C170" s="446" t="s">
        <v>3331</v>
      </c>
      <c r="D170" s="402" t="str">
        <f>VLOOKUP(B170,USN!$1:$1088,2,False)</f>
        <v>1CR23EC171</v>
      </c>
      <c r="E170" s="447">
        <v>9.900333093E9</v>
      </c>
      <c r="F170" s="452" t="s">
        <v>3736</v>
      </c>
      <c r="G170" s="367"/>
      <c r="H170" s="447">
        <v>70.0</v>
      </c>
      <c r="I170" s="448">
        <v>75.0</v>
      </c>
      <c r="J170" s="433">
        <f>VLOOKUP(D170,'L3'!$1:$2060,2,False)</f>
        <v>70</v>
      </c>
      <c r="K170" s="433">
        <f>VLOOKUP(D170,'L4'!$1:$2059,2,False)</f>
        <v>70</v>
      </c>
      <c r="L170" s="434">
        <f>VLOOKUP(D170,'A1 RETEST 5 DEC'!$1:$2096,2,FALSE)</f>
        <v>50</v>
      </c>
      <c r="M170" s="434">
        <f>VLOOKUP(D170,'A2 RETEST 4 DEC'!$1:$2096,2,FALSE)</f>
        <v>50</v>
      </c>
      <c r="N170" s="435">
        <v>58.0</v>
      </c>
      <c r="O170" s="449"/>
      <c r="P170" s="436">
        <f>IFNA(VLOOKUP(D170,'S1'!$1:$1325,2,False),0)</f>
        <v>75</v>
      </c>
      <c r="Q170" s="436">
        <f>vlookup(D170,'S2'!A166:B1368,2,0)</f>
        <v>50</v>
      </c>
      <c r="R170" s="436">
        <f>ifna(vlookup(D170,'S3'!$1:$1311,2,False),0)</f>
        <v>94</v>
      </c>
      <c r="S170" s="436"/>
      <c r="T170" s="437">
        <v>12.0</v>
      </c>
      <c r="U170" s="437">
        <v>18.0</v>
      </c>
      <c r="V170" s="437">
        <v>36.0</v>
      </c>
      <c r="W170" s="437">
        <v>72.0</v>
      </c>
      <c r="X170" s="437">
        <v>64.0</v>
      </c>
      <c r="Y170" s="437"/>
      <c r="Z170" s="438"/>
      <c r="AA170" s="450">
        <v>48.0</v>
      </c>
      <c r="AB170" s="409">
        <v>85.0</v>
      </c>
      <c r="AC170" s="395">
        <v>82.0</v>
      </c>
      <c r="AD170" s="439"/>
      <c r="AE170" s="440">
        <v>90.0</v>
      </c>
      <c r="AF170" s="441"/>
      <c r="AG170" s="439"/>
      <c r="AH170" s="441"/>
      <c r="AI170" s="441"/>
      <c r="AJ170" s="441"/>
      <c r="AK170" s="442">
        <f t="shared" si="1"/>
        <v>4</v>
      </c>
      <c r="AL170" s="442">
        <f t="shared" si="2"/>
        <v>3</v>
      </c>
      <c r="AM170" s="424">
        <f t="shared" si="3"/>
        <v>3</v>
      </c>
      <c r="AN170" s="442" t="str">
        <f t="shared" si="4"/>
        <v>3.5</v>
      </c>
      <c r="AO170" s="442">
        <f t="shared" si="5"/>
        <v>3</v>
      </c>
      <c r="AP170" s="367"/>
    </row>
    <row r="171">
      <c r="A171" s="385">
        <v>167.0</v>
      </c>
      <c r="B171" s="446" t="s">
        <v>2313</v>
      </c>
      <c r="C171" s="446" t="s">
        <v>3332</v>
      </c>
      <c r="D171" s="402" t="str">
        <f>VLOOKUP(B171,USN!$1:$1088,2,False)</f>
        <v>1CR23EC172</v>
      </c>
      <c r="E171" s="447">
        <v>8.830057539E9</v>
      </c>
      <c r="F171" s="447" t="s">
        <v>3736</v>
      </c>
      <c r="G171" s="367"/>
      <c r="H171" s="447">
        <v>81.0</v>
      </c>
      <c r="I171" s="448">
        <v>81.0</v>
      </c>
      <c r="J171" s="433">
        <f>VLOOKUP(D171,'L3'!$1:$2060,2,False)</f>
        <v>70</v>
      </c>
      <c r="K171" s="433">
        <f>VLOOKUP(D171,'L4'!$1:$2059,2,False)</f>
        <v>70</v>
      </c>
      <c r="L171" s="434">
        <f>VLOOKUP(D171,'A1 RETEST 5 DEC'!$1:$2096,2,FALSE)</f>
        <v>50</v>
      </c>
      <c r="M171" s="434">
        <f>VLOOKUP(D171,'A2 RETEST 4 DEC'!$1:$2096,2,FALSE)</f>
        <v>50</v>
      </c>
      <c r="N171" s="435">
        <v>46.0</v>
      </c>
      <c r="O171" s="449"/>
      <c r="P171" s="436">
        <f>IFNA(VLOOKUP(D171,'S1'!$1:$1325,2,False),0)</f>
        <v>75</v>
      </c>
      <c r="Q171" s="436">
        <f>vlookup(D171,'S2'!A167:B1369,2,0)</f>
        <v>50</v>
      </c>
      <c r="R171" s="436">
        <f>ifna(vlookup(D171,'S3'!$1:$1311,2,False),0)</f>
        <v>70</v>
      </c>
      <c r="S171" s="436"/>
      <c r="T171" s="437">
        <v>14.0</v>
      </c>
      <c r="U171" s="437">
        <v>17.0</v>
      </c>
      <c r="V171" s="437">
        <v>40.0</v>
      </c>
      <c r="W171" s="437">
        <v>78.0</v>
      </c>
      <c r="X171" s="437">
        <v>62.0</v>
      </c>
      <c r="Y171" s="437"/>
      <c r="Z171" s="438"/>
      <c r="AA171" s="450">
        <v>94.0</v>
      </c>
      <c r="AB171" s="409">
        <v>100.0</v>
      </c>
      <c r="AC171" s="395">
        <v>89.0</v>
      </c>
      <c r="AD171" s="439"/>
      <c r="AE171" s="440">
        <v>70.0</v>
      </c>
      <c r="AF171" s="441"/>
      <c r="AG171" s="439"/>
      <c r="AH171" s="451">
        <v>70.0</v>
      </c>
      <c r="AI171" s="441"/>
      <c r="AJ171" s="441"/>
      <c r="AK171" s="442">
        <f t="shared" si="1"/>
        <v>4</v>
      </c>
      <c r="AL171" s="442">
        <f t="shared" si="2"/>
        <v>2</v>
      </c>
      <c r="AM171" s="424">
        <f t="shared" si="3"/>
        <v>3</v>
      </c>
      <c r="AN171" s="442" t="str">
        <f t="shared" si="4"/>
        <v>3.5</v>
      </c>
      <c r="AO171" s="442">
        <f t="shared" si="5"/>
        <v>3</v>
      </c>
      <c r="AP171" s="367"/>
    </row>
    <row r="172">
      <c r="A172" s="385">
        <v>168.0</v>
      </c>
      <c r="B172" s="446" t="s">
        <v>2314</v>
      </c>
      <c r="C172" s="446" t="s">
        <v>3333</v>
      </c>
      <c r="D172" s="402" t="str">
        <f>VLOOKUP(B172,USN!$1:$1088,2,False)</f>
        <v>1CR23EC173</v>
      </c>
      <c r="E172" s="447">
        <v>9.381788636E9</v>
      </c>
      <c r="F172" s="447" t="s">
        <v>3736</v>
      </c>
      <c r="G172" s="367"/>
      <c r="H172" s="447">
        <v>80.0</v>
      </c>
      <c r="I172" s="448">
        <v>75.0</v>
      </c>
      <c r="J172" s="433">
        <f>VLOOKUP(D172,'L3'!$1:$2060,2,False)</f>
        <v>70</v>
      </c>
      <c r="K172" s="433">
        <f>VLOOKUP(D172,'L4'!$1:$2059,2,False)</f>
        <v>73</v>
      </c>
      <c r="L172" s="434">
        <f>VLOOKUP(D172,'A1 RETEST 5 DEC'!$1:$2096,2,FALSE)</f>
        <v>51</v>
      </c>
      <c r="M172" s="434">
        <f>VLOOKUP(D172,'A2 RETEST 4 DEC'!$1:$2096,2,FALSE)</f>
        <v>50</v>
      </c>
      <c r="N172" s="435">
        <v>50.0</v>
      </c>
      <c r="O172" s="449"/>
      <c r="P172" s="436">
        <f>IFNA(VLOOKUP(D172,'S1'!$1:$1325,2,False),0)</f>
        <v>73</v>
      </c>
      <c r="Q172" s="436">
        <f>vlookup(D172,'S2'!A168:B1370,2,0)</f>
        <v>75</v>
      </c>
      <c r="R172" s="436">
        <f>ifna(vlookup(D172,'S3'!$1:$1311,2,False),0)</f>
        <v>81</v>
      </c>
      <c r="S172" s="436"/>
      <c r="T172" s="437">
        <v>19.0</v>
      </c>
      <c r="U172" s="437">
        <v>16.0</v>
      </c>
      <c r="V172" s="437">
        <v>48.0</v>
      </c>
      <c r="W172" s="437">
        <v>82.0</v>
      </c>
      <c r="X172" s="437">
        <v>76.0</v>
      </c>
      <c r="Y172" s="437"/>
      <c r="Z172" s="438"/>
      <c r="AA172" s="450">
        <v>96.0</v>
      </c>
      <c r="AB172" s="409">
        <v>92.0</v>
      </c>
      <c r="AC172" s="395">
        <v>62.0</v>
      </c>
      <c r="AD172" s="439"/>
      <c r="AE172" s="440">
        <v>70.0</v>
      </c>
      <c r="AF172" s="441"/>
      <c r="AG172" s="439">
        <v>79.0</v>
      </c>
      <c r="AH172" s="441"/>
      <c r="AI172" s="441"/>
      <c r="AJ172" s="441"/>
      <c r="AK172" s="442">
        <f t="shared" si="1"/>
        <v>4</v>
      </c>
      <c r="AL172" s="442">
        <f t="shared" si="2"/>
        <v>3</v>
      </c>
      <c r="AM172" s="424">
        <f t="shared" si="3"/>
        <v>3</v>
      </c>
      <c r="AN172" s="442" t="str">
        <f t="shared" si="4"/>
        <v>3.5</v>
      </c>
      <c r="AO172" s="442">
        <f t="shared" si="5"/>
        <v>3</v>
      </c>
      <c r="AP172" s="367"/>
    </row>
    <row r="173">
      <c r="A173" s="385">
        <v>169.0</v>
      </c>
      <c r="B173" s="446" t="s">
        <v>2323</v>
      </c>
      <c r="C173" s="446" t="s">
        <v>3334</v>
      </c>
      <c r="D173" s="402" t="str">
        <f>VLOOKUP(B173,USN!$1:$1088,2,False)</f>
        <v>1CR23EC174</v>
      </c>
      <c r="E173" s="447">
        <v>7.899635368E9</v>
      </c>
      <c r="F173" s="447" t="s">
        <v>3736</v>
      </c>
      <c r="G173" s="367"/>
      <c r="H173" s="447">
        <v>84.0</v>
      </c>
      <c r="I173" s="448">
        <v>87.0</v>
      </c>
      <c r="J173" s="433">
        <f>VLOOKUP(D173,'L3'!$1:$2060,2,False)</f>
        <v>70</v>
      </c>
      <c r="K173" s="433">
        <f>VLOOKUP(D173,'L4'!$1:$2059,2,False)</f>
        <v>78</v>
      </c>
      <c r="L173" s="434">
        <f>VLOOKUP(D173,'A1 RETEST 5 DEC'!$1:$2096,2,FALSE)</f>
        <v>55</v>
      </c>
      <c r="M173" s="434">
        <f>VLOOKUP(D173,'A2 RETEST 4 DEC'!$1:$2096,2,FALSE)</f>
        <v>50</v>
      </c>
      <c r="N173" s="435">
        <v>37.0</v>
      </c>
      <c r="O173" s="449"/>
      <c r="P173" s="436">
        <f>IFNA(VLOOKUP(D173,'S1'!$1:$1325,2,False),0)</f>
        <v>77</v>
      </c>
      <c r="Q173" s="436">
        <f>vlookup(D173,'S2'!A169:B1371,2,0)</f>
        <v>74</v>
      </c>
      <c r="R173" s="436">
        <f>ifna(vlookup(D173,'S3'!$1:$1311,2,False),0)</f>
        <v>94</v>
      </c>
      <c r="S173" s="436"/>
      <c r="T173" s="437">
        <v>12.0</v>
      </c>
      <c r="U173" s="437">
        <v>18.0</v>
      </c>
      <c r="V173" s="437">
        <v>48.0</v>
      </c>
      <c r="W173" s="437">
        <v>72.0</v>
      </c>
      <c r="X173" s="437">
        <v>76.0</v>
      </c>
      <c r="Y173" s="437"/>
      <c r="Z173" s="438"/>
      <c r="AA173" s="450">
        <v>90.0</v>
      </c>
      <c r="AB173" s="409">
        <v>92.0</v>
      </c>
      <c r="AC173" s="395">
        <v>97.0</v>
      </c>
      <c r="AD173" s="439"/>
      <c r="AE173" s="440">
        <v>77.0</v>
      </c>
      <c r="AF173" s="441"/>
      <c r="AG173" s="439"/>
      <c r="AH173" s="441"/>
      <c r="AI173" s="441"/>
      <c r="AJ173" s="441"/>
      <c r="AK173" s="442">
        <f t="shared" si="1"/>
        <v>4</v>
      </c>
      <c r="AL173" s="442">
        <f t="shared" si="2"/>
        <v>2</v>
      </c>
      <c r="AM173" s="424">
        <f t="shared" si="3"/>
        <v>3</v>
      </c>
      <c r="AN173" s="442" t="str">
        <f t="shared" si="4"/>
        <v>3.5</v>
      </c>
      <c r="AO173" s="442">
        <f t="shared" si="5"/>
        <v>3</v>
      </c>
      <c r="AP173" s="367"/>
    </row>
    <row r="174">
      <c r="A174" s="385">
        <v>170.0</v>
      </c>
      <c r="B174" s="446" t="s">
        <v>2321</v>
      </c>
      <c r="C174" s="446" t="s">
        <v>3335</v>
      </c>
      <c r="D174" s="402" t="str">
        <f>VLOOKUP(B174,USN!$1:$1088,2,False)</f>
        <v>1CR23EC175</v>
      </c>
      <c r="E174" s="447">
        <v>7.483204054E9</v>
      </c>
      <c r="F174" s="447" t="s">
        <v>3736</v>
      </c>
      <c r="G174" s="367"/>
      <c r="H174" s="447">
        <v>85.0</v>
      </c>
      <c r="I174" s="448">
        <v>86.0</v>
      </c>
      <c r="J174" s="433">
        <f>VLOOKUP(D174,'L3'!$1:$2060,2,False)</f>
        <v>74</v>
      </c>
      <c r="K174" s="433">
        <f>VLOOKUP(D174,'L4'!$1:$2059,2,False)</f>
        <v>81</v>
      </c>
      <c r="L174" s="434">
        <f>VLOOKUP(D174,'A1 RETEST 5 DEC'!$1:$2096,2,FALSE)</f>
        <v>50</v>
      </c>
      <c r="M174" s="434">
        <f>VLOOKUP(D174,'A2 RETEST 4 DEC'!$1:$2096,2,FALSE)</f>
        <v>50</v>
      </c>
      <c r="N174" s="435">
        <v>45.0</v>
      </c>
      <c r="O174" s="449"/>
      <c r="P174" s="436">
        <f>IFNA(VLOOKUP(D174,'S1'!$1:$1325,2,False),0)</f>
        <v>78</v>
      </c>
      <c r="Q174" s="436">
        <f>vlookup(D174,'S2'!A170:B1372,2,0)</f>
        <v>75</v>
      </c>
      <c r="R174" s="436">
        <f>ifna(vlookup(D174,'S3'!$1:$1311,2,False),0)</f>
        <v>63</v>
      </c>
      <c r="S174" s="436"/>
      <c r="T174" s="437">
        <v>19.0</v>
      </c>
      <c r="U174" s="437">
        <v>21.0</v>
      </c>
      <c r="V174" s="437">
        <v>40.0</v>
      </c>
      <c r="W174" s="437">
        <v>78.0</v>
      </c>
      <c r="X174" s="437">
        <v>70.0</v>
      </c>
      <c r="Y174" s="437"/>
      <c r="Z174" s="438"/>
      <c r="AA174" s="450">
        <v>50.0</v>
      </c>
      <c r="AB174" s="409">
        <v>87.0</v>
      </c>
      <c r="AC174" s="395">
        <v>81.0</v>
      </c>
      <c r="AD174" s="439"/>
      <c r="AE174" s="440">
        <v>21.0</v>
      </c>
      <c r="AF174" s="441"/>
      <c r="AG174" s="439">
        <v>73.0</v>
      </c>
      <c r="AH174" s="441"/>
      <c r="AI174" s="441"/>
      <c r="AJ174" s="441"/>
      <c r="AK174" s="442">
        <f t="shared" si="1"/>
        <v>4</v>
      </c>
      <c r="AL174" s="442">
        <f t="shared" si="2"/>
        <v>2</v>
      </c>
      <c r="AM174" s="424">
        <f t="shared" si="3"/>
        <v>3</v>
      </c>
      <c r="AN174" s="442" t="str">
        <f t="shared" si="4"/>
        <v>3</v>
      </c>
      <c r="AO174" s="442">
        <f t="shared" si="5"/>
        <v>3</v>
      </c>
      <c r="AP174" s="367"/>
    </row>
    <row r="175">
      <c r="A175" s="385">
        <v>171.0</v>
      </c>
      <c r="B175" s="446" t="s">
        <v>2329</v>
      </c>
      <c r="C175" s="446" t="s">
        <v>3336</v>
      </c>
      <c r="D175" s="402" t="str">
        <f>VLOOKUP(B175,USN!$1:$1088,2,False)</f>
        <v>1CR23EC176</v>
      </c>
      <c r="E175" s="447">
        <v>8.277214912E9</v>
      </c>
      <c r="F175" s="446" t="s">
        <v>3736</v>
      </c>
      <c r="G175" s="367"/>
      <c r="H175" s="447">
        <v>89.0</v>
      </c>
      <c r="I175" s="448">
        <v>91.0</v>
      </c>
      <c r="J175" s="433">
        <f>VLOOKUP(D175,'L3'!$1:$2060,2,False)</f>
        <v>82</v>
      </c>
      <c r="K175" s="433">
        <f>VLOOKUP(D175,'L4'!$1:$2059,2,False)</f>
        <v>70</v>
      </c>
      <c r="L175" s="434">
        <f>VLOOKUP(D175,'A1 RETEST 5 DEC'!$1:$2096,2,FALSE)</f>
        <v>62</v>
      </c>
      <c r="M175" s="434">
        <f>VLOOKUP(D175,'A2 RETEST 4 DEC'!$1:$2096,2,FALSE)</f>
        <v>50</v>
      </c>
      <c r="N175" s="435">
        <v>66.0</v>
      </c>
      <c r="O175" s="449"/>
      <c r="P175" s="436">
        <f>IFNA(VLOOKUP(D175,'S1'!$1:$1325,2,False),0)</f>
        <v>70</v>
      </c>
      <c r="Q175" s="436">
        <f>vlookup(D175,'S2'!A171:B1373,2,0)</f>
        <v>72</v>
      </c>
      <c r="R175" s="436">
        <f>ifna(vlookup(D175,'S3'!$1:$1311,2,False),0)</f>
        <v>88</v>
      </c>
      <c r="S175" s="436"/>
      <c r="T175" s="437">
        <v>11.0</v>
      </c>
      <c r="U175" s="437">
        <v>14.0</v>
      </c>
      <c r="V175" s="437">
        <v>36.0</v>
      </c>
      <c r="W175" s="437">
        <v>82.0</v>
      </c>
      <c r="X175" s="437">
        <v>70.0</v>
      </c>
      <c r="Y175" s="437"/>
      <c r="Z175" s="438"/>
      <c r="AA175" s="450">
        <v>92.0</v>
      </c>
      <c r="AB175" s="409">
        <v>98.0</v>
      </c>
      <c r="AC175" s="395">
        <v>71.0</v>
      </c>
      <c r="AD175" s="439"/>
      <c r="AE175" s="440">
        <v>90.0</v>
      </c>
      <c r="AF175" s="441"/>
      <c r="AG175" s="439">
        <v>94.0</v>
      </c>
      <c r="AH175" s="441"/>
      <c r="AI175" s="441"/>
      <c r="AJ175" s="441"/>
      <c r="AK175" s="442">
        <f t="shared" si="1"/>
        <v>4</v>
      </c>
      <c r="AL175" s="442">
        <f t="shared" si="2"/>
        <v>3</v>
      </c>
      <c r="AM175" s="424">
        <f t="shared" si="3"/>
        <v>3</v>
      </c>
      <c r="AN175" s="442" t="str">
        <f t="shared" si="4"/>
        <v>3.5</v>
      </c>
      <c r="AO175" s="442">
        <f t="shared" si="5"/>
        <v>3</v>
      </c>
      <c r="AP175" s="367"/>
    </row>
    <row r="176">
      <c r="A176" s="385">
        <v>172.0</v>
      </c>
      <c r="B176" s="446" t="s">
        <v>2282</v>
      </c>
      <c r="C176" s="446" t="s">
        <v>3338</v>
      </c>
      <c r="D176" s="402" t="str">
        <f>VLOOKUP(B176,USN!$1:$1088,2,False)</f>
        <v>1CR23EC178</v>
      </c>
      <c r="E176" s="447">
        <v>7.892743866E9</v>
      </c>
      <c r="F176" s="447" t="s">
        <v>3736</v>
      </c>
      <c r="G176" s="367"/>
      <c r="H176" s="447">
        <v>76.0</v>
      </c>
      <c r="I176" s="448">
        <v>86.0</v>
      </c>
      <c r="J176" s="433">
        <f>VLOOKUP(D176,'L3'!$1:$2060,2,False)</f>
        <v>59</v>
      </c>
      <c r="K176" s="433">
        <f>VLOOKUP(D176,'L4'!$1:$2059,2,False)</f>
        <v>41</v>
      </c>
      <c r="L176" s="434">
        <f>VLOOKUP(D176,'A1 RETEST 5 DEC'!$1:$2096,2,FALSE)</f>
        <v>8</v>
      </c>
      <c r="M176" s="434">
        <f>VLOOKUP(D176,'A2 RETEST 4 DEC'!$1:$2096,2,FALSE)</f>
        <v>3</v>
      </c>
      <c r="N176" s="435">
        <v>0.0</v>
      </c>
      <c r="O176" s="449"/>
      <c r="P176" s="436">
        <f>IFNA(VLOOKUP(D176,'S1'!$1:$1325,2,False),0)</f>
        <v>0</v>
      </c>
      <c r="Q176" s="436">
        <f>vlookup(D176,'S2'!A172:B1374,2,0)</f>
        <v>0</v>
      </c>
      <c r="R176" s="436">
        <f>ifna(vlookup(D176,'S3'!$1:$1311,2,False),0)</f>
        <v>0</v>
      </c>
      <c r="S176" s="436"/>
      <c r="T176" s="437">
        <v>15.0</v>
      </c>
      <c r="U176" s="437">
        <v>19.0</v>
      </c>
      <c r="V176" s="437">
        <v>26.0</v>
      </c>
      <c r="W176" s="437">
        <v>0.0</v>
      </c>
      <c r="X176" s="453"/>
      <c r="Y176" s="437"/>
      <c r="Z176" s="438"/>
      <c r="AA176" s="450">
        <v>76.0</v>
      </c>
      <c r="AB176" s="409">
        <v>100.0</v>
      </c>
      <c r="AC176" s="395">
        <v>45.0</v>
      </c>
      <c r="AD176" s="439"/>
      <c r="AE176" s="440">
        <v>10.0</v>
      </c>
      <c r="AF176" s="441"/>
      <c r="AG176" s="439"/>
      <c r="AH176" s="451">
        <v>0.0</v>
      </c>
      <c r="AI176" s="441"/>
      <c r="AJ176" s="441"/>
      <c r="AK176" s="442">
        <f t="shared" si="1"/>
        <v>2</v>
      </c>
      <c r="AL176" s="442">
        <f t="shared" si="2"/>
        <v>0</v>
      </c>
      <c r="AM176" s="424">
        <f t="shared" si="3"/>
        <v>2</v>
      </c>
      <c r="AN176" s="442" t="str">
        <f t="shared" si="4"/>
        <v>2</v>
      </c>
      <c r="AO176" s="442">
        <f t="shared" si="5"/>
        <v>0</v>
      </c>
      <c r="AP176" s="367"/>
    </row>
    <row r="177">
      <c r="A177" s="385">
        <v>173.0</v>
      </c>
      <c r="B177" s="446" t="s">
        <v>2337</v>
      </c>
      <c r="C177" s="446" t="s">
        <v>3339</v>
      </c>
      <c r="D177" s="402" t="str">
        <f>VLOOKUP(B177,USN!$1:$1088,2,False)</f>
        <v>1CR23EC179</v>
      </c>
      <c r="E177" s="447">
        <v>9.110613678E9</v>
      </c>
      <c r="F177" s="446" t="s">
        <v>3736</v>
      </c>
      <c r="G177" s="367"/>
      <c r="H177" s="447">
        <v>78.0</v>
      </c>
      <c r="I177" s="448">
        <v>80.0</v>
      </c>
      <c r="J177" s="433">
        <f>VLOOKUP(D177,'L3'!$1:$2060,2,False)</f>
        <v>70</v>
      </c>
      <c r="K177" s="433">
        <f>VLOOKUP(D177,'L4'!$1:$2059,2,False)</f>
        <v>70</v>
      </c>
      <c r="L177" s="434">
        <f>VLOOKUP(D177,'A1 RETEST 5 DEC'!$1:$2096,2,FALSE)</f>
        <v>50</v>
      </c>
      <c r="M177" s="434">
        <f>VLOOKUP(D177,'A2 RETEST 4 DEC'!$1:$2096,2,FALSE)</f>
        <v>50</v>
      </c>
      <c r="N177" s="435">
        <v>58.0</v>
      </c>
      <c r="O177" s="449"/>
      <c r="P177" s="436">
        <f>IFNA(VLOOKUP(D177,'S1'!$1:$1325,2,False),0)</f>
        <v>70</v>
      </c>
      <c r="Q177" s="436">
        <f>vlookup(D177,'S2'!A173:B1375,2,0)</f>
        <v>74</v>
      </c>
      <c r="R177" s="436">
        <f>ifna(vlookup(D177,'S3'!$1:$1311,2,False),0)</f>
        <v>50</v>
      </c>
      <c r="S177" s="436"/>
      <c r="T177" s="437">
        <v>17.0</v>
      </c>
      <c r="U177" s="437">
        <v>18.0</v>
      </c>
      <c r="V177" s="437">
        <v>48.0</v>
      </c>
      <c r="W177" s="437">
        <v>84.0</v>
      </c>
      <c r="X177" s="437">
        <v>66.0</v>
      </c>
      <c r="Y177" s="437"/>
      <c r="Z177" s="438"/>
      <c r="AA177" s="450">
        <v>74.0</v>
      </c>
      <c r="AB177" s="409">
        <v>69.0</v>
      </c>
      <c r="AC177" s="395">
        <v>96.0</v>
      </c>
      <c r="AD177" s="439"/>
      <c r="AE177" s="440">
        <v>70.0</v>
      </c>
      <c r="AF177" s="441"/>
      <c r="AG177" s="439"/>
      <c r="AH177" s="441"/>
      <c r="AI177" s="441"/>
      <c r="AJ177" s="441"/>
      <c r="AK177" s="442">
        <f t="shared" si="1"/>
        <v>4</v>
      </c>
      <c r="AL177" s="442">
        <f t="shared" si="2"/>
        <v>3</v>
      </c>
      <c r="AM177" s="424">
        <f t="shared" si="3"/>
        <v>3</v>
      </c>
      <c r="AN177" s="442" t="str">
        <f t="shared" si="4"/>
        <v>3.5</v>
      </c>
      <c r="AO177" s="442">
        <f t="shared" si="5"/>
        <v>3</v>
      </c>
      <c r="AP177" s="367"/>
    </row>
    <row r="178">
      <c r="A178" s="385">
        <v>174.0</v>
      </c>
      <c r="B178" s="446" t="s">
        <v>2316</v>
      </c>
      <c r="C178" s="446" t="s">
        <v>3340</v>
      </c>
      <c r="D178" s="402" t="str">
        <f>VLOOKUP(B178,USN!$1:$1088,2,False)</f>
        <v>1CR23EC180</v>
      </c>
      <c r="E178" s="447">
        <v>9.148261193E9</v>
      </c>
      <c r="F178" s="447" t="s">
        <v>3736</v>
      </c>
      <c r="G178" s="367"/>
      <c r="H178" s="447">
        <v>81.0</v>
      </c>
      <c r="I178" s="448">
        <v>77.0</v>
      </c>
      <c r="J178" s="433">
        <f>VLOOKUP(D178,'L3'!$1:$2060,2,False)</f>
        <v>73</v>
      </c>
      <c r="K178" s="433">
        <f>VLOOKUP(D178,'L4'!$1:$2059,2,False)</f>
        <v>75</v>
      </c>
      <c r="L178" s="434">
        <f>VLOOKUP(D178,'A1 RETEST 5 DEC'!$1:$2096,2,FALSE)</f>
        <v>50</v>
      </c>
      <c r="M178" s="434">
        <f>VLOOKUP(D178,'A2 RETEST 4 DEC'!$1:$2096,2,FALSE)</f>
        <v>50</v>
      </c>
      <c r="N178" s="435">
        <v>43.0</v>
      </c>
      <c r="O178" s="449"/>
      <c r="P178" s="436">
        <f>IFNA(VLOOKUP(D178,'S1'!$1:$1325,2,False),0)</f>
        <v>73</v>
      </c>
      <c r="Q178" s="436">
        <f>vlookup(D178,'S2'!A174:B1376,2,0)</f>
        <v>75</v>
      </c>
      <c r="R178" s="436">
        <f>ifna(vlookup(D178,'S3'!$1:$1311,2,False),0)</f>
        <v>79</v>
      </c>
      <c r="S178" s="436"/>
      <c r="T178" s="437">
        <v>14.0</v>
      </c>
      <c r="U178" s="437">
        <v>18.0</v>
      </c>
      <c r="V178" s="437">
        <v>40.0</v>
      </c>
      <c r="W178" s="437">
        <v>42.0</v>
      </c>
      <c r="X178" s="437">
        <v>60.0</v>
      </c>
      <c r="Y178" s="437"/>
      <c r="Z178" s="438"/>
      <c r="AA178" s="450">
        <v>100.0</v>
      </c>
      <c r="AB178" s="409">
        <v>100.0</v>
      </c>
      <c r="AC178" s="395">
        <v>81.0</v>
      </c>
      <c r="AD178" s="439"/>
      <c r="AE178" s="440">
        <v>70.0</v>
      </c>
      <c r="AF178" s="441"/>
      <c r="AG178" s="439">
        <v>71.0</v>
      </c>
      <c r="AH178" s="441"/>
      <c r="AI178" s="441"/>
      <c r="AJ178" s="441"/>
      <c r="AK178" s="442">
        <f t="shared" si="1"/>
        <v>4</v>
      </c>
      <c r="AL178" s="442">
        <f t="shared" si="2"/>
        <v>2</v>
      </c>
      <c r="AM178" s="424">
        <f t="shared" si="3"/>
        <v>2</v>
      </c>
      <c r="AN178" s="442" t="str">
        <f t="shared" si="4"/>
        <v>3.5</v>
      </c>
      <c r="AO178" s="442">
        <f t="shared" si="5"/>
        <v>3</v>
      </c>
      <c r="AP178" s="367"/>
    </row>
    <row r="179">
      <c r="A179" s="385">
        <v>175.0</v>
      </c>
      <c r="B179" s="446" t="s">
        <v>2317</v>
      </c>
      <c r="C179" s="446" t="s">
        <v>3341</v>
      </c>
      <c r="D179" s="402" t="str">
        <f>VLOOKUP(B179,USN!$1:$1088,2,False)</f>
        <v>1CR23EC181</v>
      </c>
      <c r="E179" s="447">
        <v>8.150002004E9</v>
      </c>
      <c r="F179" s="447" t="s">
        <v>3736</v>
      </c>
      <c r="G179" s="367"/>
      <c r="H179" s="447">
        <v>82.0</v>
      </c>
      <c r="I179" s="448">
        <v>83.0</v>
      </c>
      <c r="J179" s="433">
        <f>VLOOKUP(D179,'L3'!$1:$2060,2,False)</f>
        <v>70</v>
      </c>
      <c r="K179" s="433">
        <f>VLOOKUP(D179,'L4'!$1:$2059,2,False)</f>
        <v>70</v>
      </c>
      <c r="L179" s="434">
        <f>VLOOKUP(D179,'A1 RETEST 5 DEC'!$1:$2096,2,FALSE)</f>
        <v>50</v>
      </c>
      <c r="M179" s="434">
        <f>VLOOKUP(D179,'A2 RETEST 4 DEC'!$1:$2096,2,FALSE)</f>
        <v>50</v>
      </c>
      <c r="N179" s="435">
        <v>63.0</v>
      </c>
      <c r="O179" s="449"/>
      <c r="P179" s="436">
        <f>IFNA(VLOOKUP(D179,'S1'!$1:$1325,2,False),0)</f>
        <v>95</v>
      </c>
      <c r="Q179" s="436">
        <f>vlookup(D179,'S2'!A175:B1377,2,0)</f>
        <v>50</v>
      </c>
      <c r="R179" s="436">
        <f>ifna(vlookup(D179,'S3'!$1:$1311,2,False),0)</f>
        <v>50</v>
      </c>
      <c r="S179" s="436"/>
      <c r="T179" s="437">
        <v>12.0</v>
      </c>
      <c r="U179" s="437">
        <v>16.0</v>
      </c>
      <c r="V179" s="437">
        <v>44.0</v>
      </c>
      <c r="W179" s="437">
        <v>62.0</v>
      </c>
      <c r="X179" s="437">
        <v>74.0</v>
      </c>
      <c r="Y179" s="437"/>
      <c r="Z179" s="438"/>
      <c r="AA179" s="450">
        <v>98.0</v>
      </c>
      <c r="AB179" s="409">
        <v>95.0</v>
      </c>
      <c r="AC179" s="395">
        <v>73.0</v>
      </c>
      <c r="AD179" s="439"/>
      <c r="AE179" s="440">
        <v>38.0</v>
      </c>
      <c r="AF179" s="441"/>
      <c r="AG179" s="439"/>
      <c r="AH179" s="451">
        <v>60.0</v>
      </c>
      <c r="AI179" s="441"/>
      <c r="AJ179" s="441"/>
      <c r="AK179" s="442">
        <f t="shared" si="1"/>
        <v>4</v>
      </c>
      <c r="AL179" s="442">
        <f t="shared" si="2"/>
        <v>3</v>
      </c>
      <c r="AM179" s="424">
        <f t="shared" si="3"/>
        <v>3</v>
      </c>
      <c r="AN179" s="442" t="str">
        <f t="shared" si="4"/>
        <v>3</v>
      </c>
      <c r="AO179" s="442">
        <f t="shared" si="5"/>
        <v>3</v>
      </c>
      <c r="AP179" s="367"/>
    </row>
    <row r="180">
      <c r="A180" s="385">
        <v>176.0</v>
      </c>
      <c r="B180" s="446" t="s">
        <v>2318</v>
      </c>
      <c r="C180" s="446" t="s">
        <v>3343</v>
      </c>
      <c r="D180" s="402" t="str">
        <f>VLOOKUP(B180,USN!$1:$1088,2,False)</f>
        <v>1CR23EC183</v>
      </c>
      <c r="E180" s="447">
        <v>8.825564815E9</v>
      </c>
      <c r="F180" s="447" t="s">
        <v>3736</v>
      </c>
      <c r="G180" s="367"/>
      <c r="H180" s="447">
        <v>82.0</v>
      </c>
      <c r="I180" s="448">
        <v>86.0</v>
      </c>
      <c r="J180" s="433">
        <f>VLOOKUP(D180,'L3'!$1:$2060,2,False)</f>
        <v>70</v>
      </c>
      <c r="K180" s="433">
        <f>VLOOKUP(D180,'L4'!$1:$2059,2,False)</f>
        <v>70</v>
      </c>
      <c r="L180" s="434">
        <f>VLOOKUP(D180,'A1 RETEST 5 DEC'!$1:$2096,2,FALSE)</f>
        <v>57</v>
      </c>
      <c r="M180" s="434">
        <f>VLOOKUP(D180,'A2 RETEST 4 DEC'!$1:$2096,2,FALSE)</f>
        <v>14</v>
      </c>
      <c r="N180" s="435">
        <v>42.0</v>
      </c>
      <c r="O180" s="449"/>
      <c r="P180" s="436">
        <f>IFNA(VLOOKUP(D180,'S1'!$1:$1325,2,False),0)</f>
        <v>78</v>
      </c>
      <c r="Q180" s="436">
        <f>vlookup(D180,'S2'!A176:B1378,2,0)</f>
        <v>53</v>
      </c>
      <c r="R180" s="436">
        <f>ifna(vlookup(D180,'S3'!$1:$1311,2,False),0)</f>
        <v>91</v>
      </c>
      <c r="S180" s="436"/>
      <c r="T180" s="437">
        <v>13.0</v>
      </c>
      <c r="U180" s="437">
        <v>19.0</v>
      </c>
      <c r="V180" s="437">
        <v>48.0</v>
      </c>
      <c r="W180" s="437">
        <v>76.0</v>
      </c>
      <c r="X180" s="437">
        <v>68.0</v>
      </c>
      <c r="Y180" s="437"/>
      <c r="Z180" s="438"/>
      <c r="AA180" s="450">
        <v>42.0</v>
      </c>
      <c r="AB180" s="409">
        <v>83.0</v>
      </c>
      <c r="AC180" s="395">
        <v>86.0</v>
      </c>
      <c r="AD180" s="439"/>
      <c r="AE180" s="440">
        <v>70.0</v>
      </c>
      <c r="AF180" s="441"/>
      <c r="AG180" s="439"/>
      <c r="AH180" s="451">
        <v>29.0</v>
      </c>
      <c r="AI180" s="441"/>
      <c r="AJ180" s="441"/>
      <c r="AK180" s="442">
        <f t="shared" si="1"/>
        <v>4</v>
      </c>
      <c r="AL180" s="442">
        <f t="shared" si="2"/>
        <v>1</v>
      </c>
      <c r="AM180" s="424">
        <f t="shared" si="3"/>
        <v>3</v>
      </c>
      <c r="AN180" s="442" t="str">
        <f t="shared" si="4"/>
        <v>3.5</v>
      </c>
      <c r="AO180" s="442">
        <f t="shared" si="5"/>
        <v>3</v>
      </c>
      <c r="AP180" s="367"/>
    </row>
    <row r="181">
      <c r="A181" s="385">
        <v>177.0</v>
      </c>
      <c r="B181" s="446" t="s">
        <v>2319</v>
      </c>
      <c r="C181" s="446" t="s">
        <v>3344</v>
      </c>
      <c r="D181" s="402" t="str">
        <f>VLOOKUP(B181,USN!$1:$1088,2,False)</f>
        <v>1CR23EC184</v>
      </c>
      <c r="E181" s="447">
        <v>9.845541417E9</v>
      </c>
      <c r="F181" s="447" t="s">
        <v>3736</v>
      </c>
      <c r="G181" s="367"/>
      <c r="H181" s="447">
        <v>77.0</v>
      </c>
      <c r="I181" s="448">
        <v>79.0</v>
      </c>
      <c r="J181" s="433">
        <f>VLOOKUP(D181,'L3'!$1:$2060,2,False)</f>
        <v>36</v>
      </c>
      <c r="K181" s="433">
        <f>VLOOKUP(D181,'L4'!$1:$2059,2,False)</f>
        <v>12</v>
      </c>
      <c r="L181" s="434">
        <f>VLOOKUP(D181,'A1 RETEST 5 DEC'!$1:$2096,2,FALSE)</f>
        <v>59</v>
      </c>
      <c r="M181" s="434">
        <f>VLOOKUP(D181,'A2 RETEST 4 DEC'!$1:$2096,2,FALSE)</f>
        <v>50</v>
      </c>
      <c r="N181" s="435">
        <v>50.0</v>
      </c>
      <c r="O181" s="449"/>
      <c r="P181" s="436">
        <f>IFNA(VLOOKUP(D181,'S1'!$1:$1325,2,False),0)</f>
        <v>73</v>
      </c>
      <c r="Q181" s="436">
        <f>vlookup(D181,'S2'!A177:B1379,2,0)</f>
        <v>50</v>
      </c>
      <c r="R181" s="436">
        <f>ifna(vlookup(D181,'S3'!$1:$1311,2,False),0)</f>
        <v>85</v>
      </c>
      <c r="S181" s="436"/>
      <c r="T181" s="437">
        <v>19.0</v>
      </c>
      <c r="U181" s="437">
        <v>19.0</v>
      </c>
      <c r="V181" s="437">
        <v>0.0</v>
      </c>
      <c r="W181" s="437">
        <v>62.0</v>
      </c>
      <c r="X181" s="437">
        <v>72.0</v>
      </c>
      <c r="Y181" s="437"/>
      <c r="Z181" s="438"/>
      <c r="AA181" s="450">
        <v>34.0</v>
      </c>
      <c r="AB181" s="409">
        <v>97.0</v>
      </c>
      <c r="AC181" s="395">
        <v>70.0</v>
      </c>
      <c r="AD181" s="439"/>
      <c r="AE181" s="440">
        <v>87.0</v>
      </c>
      <c r="AF181" s="441"/>
      <c r="AG181" s="439">
        <v>70.0</v>
      </c>
      <c r="AH181" s="441"/>
      <c r="AI181" s="441"/>
      <c r="AJ181" s="441"/>
      <c r="AK181" s="442">
        <f t="shared" si="1"/>
        <v>2</v>
      </c>
      <c r="AL181" s="442">
        <f t="shared" si="2"/>
        <v>3</v>
      </c>
      <c r="AM181" s="424">
        <f t="shared" si="3"/>
        <v>3</v>
      </c>
      <c r="AN181" s="442" t="str">
        <f t="shared" si="4"/>
        <v>3.5</v>
      </c>
      <c r="AO181" s="442">
        <f t="shared" si="5"/>
        <v>3</v>
      </c>
      <c r="AP181" s="367"/>
    </row>
    <row r="182">
      <c r="A182" s="385">
        <v>178.0</v>
      </c>
      <c r="B182" s="446" t="s">
        <v>2403</v>
      </c>
      <c r="C182" s="446" t="s">
        <v>3345</v>
      </c>
      <c r="D182" s="402" t="str">
        <f>VLOOKUP(B182,USN!$1:$1088,2,False)</f>
        <v>1CR23EC185</v>
      </c>
      <c r="E182" s="447">
        <v>9.353719056E9</v>
      </c>
      <c r="F182" s="447" t="s">
        <v>3736</v>
      </c>
      <c r="G182" s="367"/>
      <c r="H182" s="447">
        <v>77.0</v>
      </c>
      <c r="I182" s="433">
        <v>70.0</v>
      </c>
      <c r="J182" s="433">
        <f>VLOOKUP(D182,'L3'!$1:$2060,2,False)</f>
        <v>70</v>
      </c>
      <c r="K182" s="433">
        <f>VLOOKUP(D182,'L4'!$1:$2059,2,False)</f>
        <v>70</v>
      </c>
      <c r="L182" s="434">
        <f>VLOOKUP(D182,'A1 RETEST 5 DEC'!$1:$2096,2,FALSE)</f>
        <v>50</v>
      </c>
      <c r="M182" s="434">
        <f>VLOOKUP(D182,'A2 RETEST 4 DEC'!$1:$2096,2,FALSE)</f>
        <v>50</v>
      </c>
      <c r="N182" s="435">
        <v>54.0</v>
      </c>
      <c r="O182" s="449"/>
      <c r="P182" s="436">
        <f>IFNA(VLOOKUP(D182,'S1'!$1:$1325,2,False),0)</f>
        <v>70</v>
      </c>
      <c r="Q182" s="436">
        <f>vlookup(D182,'S2'!A178:B1380,2,0)</f>
        <v>50</v>
      </c>
      <c r="R182" s="436">
        <f>ifna(vlookup(D182,'S3'!$1:$1311,2,False),0)</f>
        <v>50</v>
      </c>
      <c r="S182" s="436"/>
      <c r="T182" s="437">
        <v>18.0</v>
      </c>
      <c r="U182" s="437">
        <v>21.0</v>
      </c>
      <c r="V182" s="437">
        <v>38.0</v>
      </c>
      <c r="W182" s="437">
        <v>84.0</v>
      </c>
      <c r="X182" s="437">
        <v>76.0</v>
      </c>
      <c r="Y182" s="437"/>
      <c r="Z182" s="438"/>
      <c r="AA182" s="450">
        <v>48.0</v>
      </c>
      <c r="AB182" s="409">
        <v>60.0</v>
      </c>
      <c r="AC182" s="395">
        <v>39.0</v>
      </c>
      <c r="AD182" s="439"/>
      <c r="AE182" s="440">
        <v>70.0</v>
      </c>
      <c r="AF182" s="441"/>
      <c r="AG182" s="439"/>
      <c r="AH182" s="451">
        <v>23.0</v>
      </c>
      <c r="AI182" s="441"/>
      <c r="AJ182" s="441"/>
      <c r="AK182" s="442">
        <f t="shared" si="1"/>
        <v>4</v>
      </c>
      <c r="AL182" s="442">
        <f t="shared" si="2"/>
        <v>3</v>
      </c>
      <c r="AM182" s="424">
        <f t="shared" si="3"/>
        <v>3</v>
      </c>
      <c r="AN182" s="442" t="str">
        <f t="shared" si="4"/>
        <v>2</v>
      </c>
      <c r="AO182" s="442">
        <f t="shared" si="5"/>
        <v>3</v>
      </c>
      <c r="AP182" s="367"/>
    </row>
    <row r="183">
      <c r="A183" s="385">
        <v>179.0</v>
      </c>
      <c r="B183" s="446" t="s">
        <v>2326</v>
      </c>
      <c r="C183" s="446" t="s">
        <v>3346</v>
      </c>
      <c r="D183" s="402" t="str">
        <f>VLOOKUP(B183,USN!$1:$1088,2,False)</f>
        <v>1CR23EC186</v>
      </c>
      <c r="E183" s="446">
        <v>6.361164252E9</v>
      </c>
      <c r="F183" s="446" t="s">
        <v>3736</v>
      </c>
      <c r="G183" s="367"/>
      <c r="H183" s="447">
        <v>74.0</v>
      </c>
      <c r="I183" s="448">
        <v>83.0</v>
      </c>
      <c r="J183" s="433">
        <f>VLOOKUP(D183,'L3'!$1:$2060,2,False)</f>
        <v>70</v>
      </c>
      <c r="K183" s="433">
        <f>VLOOKUP(D183,'L4'!$1:$2059,2,False)</f>
        <v>70</v>
      </c>
      <c r="L183" s="434">
        <f>VLOOKUP(D183,'A1 RETEST 5 DEC'!$1:$2096,2,FALSE)</f>
        <v>50</v>
      </c>
      <c r="M183" s="434">
        <f>VLOOKUP(D183,'A2 RETEST 4 DEC'!$1:$2096,2,FALSE)</f>
        <v>50</v>
      </c>
      <c r="N183" s="435">
        <v>54.0</v>
      </c>
      <c r="O183" s="449"/>
      <c r="P183" s="436">
        <f>IFNA(VLOOKUP(D183,'S1'!$1:$1325,2,False),0)</f>
        <v>73</v>
      </c>
      <c r="Q183" s="436">
        <f>vlookup(D183,'S2'!A179:B1381,2,0)</f>
        <v>72</v>
      </c>
      <c r="R183" s="436">
        <f>ifna(vlookup(D183,'S3'!$1:$1311,2,False),0)</f>
        <v>87</v>
      </c>
      <c r="S183" s="436"/>
      <c r="T183" s="437">
        <v>10.0</v>
      </c>
      <c r="U183" s="437">
        <v>13.0</v>
      </c>
      <c r="V183" s="437">
        <v>44.0</v>
      </c>
      <c r="W183" s="437">
        <v>78.0</v>
      </c>
      <c r="X183" s="437">
        <v>62.0</v>
      </c>
      <c r="Y183" s="437"/>
      <c r="Z183" s="438"/>
      <c r="AA183" s="450">
        <v>84.0</v>
      </c>
      <c r="AB183" s="409">
        <v>88.0</v>
      </c>
      <c r="AC183" s="395">
        <v>70.0</v>
      </c>
      <c r="AD183" s="439"/>
      <c r="AE183" s="440">
        <v>76.0</v>
      </c>
      <c r="AF183" s="441"/>
      <c r="AG183" s="439">
        <v>71.0</v>
      </c>
      <c r="AH183" s="441"/>
      <c r="AI183" s="441"/>
      <c r="AJ183" s="441"/>
      <c r="AK183" s="442">
        <f t="shared" si="1"/>
        <v>4</v>
      </c>
      <c r="AL183" s="442">
        <f t="shared" si="2"/>
        <v>3</v>
      </c>
      <c r="AM183" s="424">
        <f t="shared" si="3"/>
        <v>3</v>
      </c>
      <c r="AN183" s="442" t="str">
        <f t="shared" si="4"/>
        <v>3.5</v>
      </c>
      <c r="AO183" s="442">
        <f t="shared" si="5"/>
        <v>3</v>
      </c>
      <c r="AP183" s="367"/>
    </row>
    <row r="184">
      <c r="A184" s="385">
        <v>180.0</v>
      </c>
      <c r="B184" s="446" t="s">
        <v>2333</v>
      </c>
      <c r="C184" s="446" t="s">
        <v>3347</v>
      </c>
      <c r="D184" s="402" t="str">
        <f>VLOOKUP(B184,USN!$1:$1088,2,False)</f>
        <v>1CR23EC187</v>
      </c>
      <c r="E184" s="447">
        <v>6.360726352E9</v>
      </c>
      <c r="F184" s="446" t="s">
        <v>3736</v>
      </c>
      <c r="G184" s="367"/>
      <c r="H184" s="447">
        <v>82.0</v>
      </c>
      <c r="I184" s="448">
        <v>78.0</v>
      </c>
      <c r="J184" s="433">
        <f>VLOOKUP(D184,'L3'!$1:$2060,2,False)</f>
        <v>43</v>
      </c>
      <c r="K184" s="433">
        <f>VLOOKUP(D184,'L4'!$1:$2059,2,False)</f>
        <v>48</v>
      </c>
      <c r="L184" s="434">
        <f>VLOOKUP(D184,'A1 RETEST 5 DEC'!$1:$2096,2,FALSE)</f>
        <v>52</v>
      </c>
      <c r="M184" s="434">
        <f>VLOOKUP(D184,'A2 RETEST 4 DEC'!$1:$2096,2,FALSE)</f>
        <v>8</v>
      </c>
      <c r="N184" s="435">
        <v>0.0</v>
      </c>
      <c r="O184" s="449"/>
      <c r="P184" s="436">
        <f>IFNA(VLOOKUP(D184,'S1'!$1:$1325,2,False),0)</f>
        <v>0</v>
      </c>
      <c r="Q184" s="436">
        <f>vlookup(D184,'S2'!A180:B1382,2,0)</f>
        <v>0</v>
      </c>
      <c r="R184" s="436">
        <f>ifna(vlookup(D184,'S3'!$1:$1311,2,False),0)</f>
        <v>0</v>
      </c>
      <c r="S184" s="436"/>
      <c r="T184" s="437">
        <v>11.0</v>
      </c>
      <c r="U184" s="437">
        <v>15.0</v>
      </c>
      <c r="V184" s="437">
        <v>48.0</v>
      </c>
      <c r="W184" s="437">
        <v>66.0</v>
      </c>
      <c r="X184" s="437">
        <v>74.0</v>
      </c>
      <c r="Y184" s="437"/>
      <c r="Z184" s="438"/>
      <c r="AA184" s="450">
        <v>3.8</v>
      </c>
      <c r="AB184" s="409">
        <v>65.0</v>
      </c>
      <c r="AC184" s="395">
        <v>0.0</v>
      </c>
      <c r="AD184" s="439"/>
      <c r="AE184" s="440">
        <v>29.0</v>
      </c>
      <c r="AF184" s="441"/>
      <c r="AG184" s="439"/>
      <c r="AH184" s="441"/>
      <c r="AI184" s="441"/>
      <c r="AJ184" s="441"/>
      <c r="AK184" s="442">
        <f t="shared" si="1"/>
        <v>2</v>
      </c>
      <c r="AL184" s="442">
        <f t="shared" si="2"/>
        <v>1</v>
      </c>
      <c r="AM184" s="424">
        <f t="shared" si="3"/>
        <v>3</v>
      </c>
      <c r="AN184" s="442" t="str">
        <f t="shared" si="4"/>
        <v>2</v>
      </c>
      <c r="AO184" s="442">
        <f t="shared" si="5"/>
        <v>0</v>
      </c>
      <c r="AP184" s="367"/>
    </row>
    <row r="185">
      <c r="A185" s="385">
        <v>181.0</v>
      </c>
      <c r="B185" s="446" t="s">
        <v>2324</v>
      </c>
      <c r="C185" s="446" t="s">
        <v>3348</v>
      </c>
      <c r="D185" s="402" t="str">
        <f>VLOOKUP(B185,USN!$1:$1088,2,False)</f>
        <v>1CR23EC188</v>
      </c>
      <c r="E185" s="447">
        <v>6.363864115E9</v>
      </c>
      <c r="F185" s="447" t="s">
        <v>3736</v>
      </c>
      <c r="G185" s="367"/>
      <c r="H185" s="447">
        <v>86.0</v>
      </c>
      <c r="I185" s="448">
        <v>89.0</v>
      </c>
      <c r="J185" s="433">
        <f>VLOOKUP(D185,'L3'!$1:$2060,2,False)</f>
        <v>70</v>
      </c>
      <c r="K185" s="433">
        <f>VLOOKUP(D185,'L4'!$1:$2059,2,False)</f>
        <v>70</v>
      </c>
      <c r="L185" s="434">
        <f>VLOOKUP(D185,'A1 RETEST 5 DEC'!$1:$2096,2,FALSE)</f>
        <v>50</v>
      </c>
      <c r="M185" s="434">
        <f>VLOOKUP(D185,'A2 RETEST 4 DEC'!$1:$2096,2,FALSE)</f>
        <v>50</v>
      </c>
      <c r="N185" s="435">
        <v>53.0</v>
      </c>
      <c r="O185" s="449"/>
      <c r="P185" s="436">
        <f>IFNA(VLOOKUP(D185,'S1'!$1:$1325,2,False),0)</f>
        <v>77</v>
      </c>
      <c r="Q185" s="436">
        <f>vlookup(D185,'S2'!A181:B1383,2,0)</f>
        <v>72</v>
      </c>
      <c r="R185" s="436">
        <f>ifna(vlookup(D185,'S3'!$1:$1311,2,False),0)</f>
        <v>89</v>
      </c>
      <c r="S185" s="436"/>
      <c r="T185" s="437">
        <v>15.0</v>
      </c>
      <c r="U185" s="437">
        <v>18.0</v>
      </c>
      <c r="V185" s="437">
        <v>64.0</v>
      </c>
      <c r="W185" s="437">
        <v>86.0</v>
      </c>
      <c r="X185" s="437">
        <v>66.0</v>
      </c>
      <c r="Y185" s="437"/>
      <c r="Z185" s="438"/>
      <c r="AA185" s="450">
        <v>70.0</v>
      </c>
      <c r="AB185" s="409">
        <v>90.0</v>
      </c>
      <c r="AC185" s="395">
        <v>86.0</v>
      </c>
      <c r="AD185" s="439"/>
      <c r="AE185" s="440">
        <v>82.0</v>
      </c>
      <c r="AF185" s="441"/>
      <c r="AG185" s="439">
        <v>92.0</v>
      </c>
      <c r="AH185" s="441"/>
      <c r="AI185" s="441"/>
      <c r="AJ185" s="441"/>
      <c r="AK185" s="442">
        <f t="shared" si="1"/>
        <v>4</v>
      </c>
      <c r="AL185" s="442">
        <f t="shared" si="2"/>
        <v>3</v>
      </c>
      <c r="AM185" s="424">
        <f t="shared" si="3"/>
        <v>3</v>
      </c>
      <c r="AN185" s="442" t="str">
        <f t="shared" si="4"/>
        <v>3.5</v>
      </c>
      <c r="AO185" s="442">
        <f t="shared" si="5"/>
        <v>3</v>
      </c>
      <c r="AP185" s="367"/>
    </row>
    <row r="186">
      <c r="A186" s="385">
        <v>182.0</v>
      </c>
      <c r="B186" s="446" t="s">
        <v>2328</v>
      </c>
      <c r="C186" s="446" t="s">
        <v>3771</v>
      </c>
      <c r="D186" s="402" t="str">
        <f>VLOOKUP(B186,USN!$1:$1088,2,False)</f>
        <v>1CR23EC189</v>
      </c>
      <c r="E186" s="447">
        <v>9.731663668E9</v>
      </c>
      <c r="F186" s="446" t="s">
        <v>3736</v>
      </c>
      <c r="G186" s="367"/>
      <c r="H186" s="447">
        <v>73.0</v>
      </c>
      <c r="I186" s="433">
        <v>70.0</v>
      </c>
      <c r="J186" s="433">
        <f>VLOOKUP(D186,'L3'!$1:$2060,2,False)</f>
        <v>70</v>
      </c>
      <c r="K186" s="433">
        <f>VLOOKUP(D186,'L4'!$1:$2059,2,False)</f>
        <v>70</v>
      </c>
      <c r="L186" s="434">
        <f>VLOOKUP(D186,'A1 RETEST 5 DEC'!$1:$2096,2,FALSE)</f>
        <v>62</v>
      </c>
      <c r="M186" s="434">
        <f>VLOOKUP(D186,'A2 RETEST 4 DEC'!$1:$2096,2,FALSE)</f>
        <v>50</v>
      </c>
      <c r="N186" s="435">
        <v>64.0</v>
      </c>
      <c r="O186" s="449"/>
      <c r="P186" s="436">
        <f>IFNA(VLOOKUP(D186,'S1'!$1:$1325,2,False),0)</f>
        <v>50</v>
      </c>
      <c r="Q186" s="436">
        <f>vlookup(D186,'S2'!A182:B1384,2,0)</f>
        <v>50</v>
      </c>
      <c r="R186" s="436">
        <f>ifna(vlookup(D186,'S3'!$1:$1311,2,False),0)</f>
        <v>84</v>
      </c>
      <c r="S186" s="436"/>
      <c r="T186" s="437">
        <v>18.0</v>
      </c>
      <c r="U186" s="437">
        <v>20.0</v>
      </c>
      <c r="V186" s="437">
        <v>48.0</v>
      </c>
      <c r="W186" s="437">
        <v>86.0</v>
      </c>
      <c r="X186" s="437">
        <v>76.0</v>
      </c>
      <c r="Y186" s="437"/>
      <c r="Z186" s="438"/>
      <c r="AA186" s="450">
        <v>60.0</v>
      </c>
      <c r="AB186" s="409">
        <v>81.0</v>
      </c>
      <c r="AC186" s="395">
        <v>80.0</v>
      </c>
      <c r="AD186" s="439"/>
      <c r="AE186" s="440">
        <v>29.0</v>
      </c>
      <c r="AF186" s="441"/>
      <c r="AG186" s="439"/>
      <c r="AH186" s="441"/>
      <c r="AI186" s="441"/>
      <c r="AJ186" s="441"/>
      <c r="AK186" s="442">
        <f t="shared" si="1"/>
        <v>4</v>
      </c>
      <c r="AL186" s="442">
        <f t="shared" si="2"/>
        <v>3</v>
      </c>
      <c r="AM186" s="424">
        <f t="shared" si="3"/>
        <v>3</v>
      </c>
      <c r="AN186" s="442" t="str">
        <f t="shared" si="4"/>
        <v>3</v>
      </c>
      <c r="AO186" s="442">
        <f t="shared" si="5"/>
        <v>3</v>
      </c>
      <c r="AP186" s="367"/>
    </row>
    <row r="187">
      <c r="A187" s="385">
        <v>183.0</v>
      </c>
      <c r="B187" s="446" t="s">
        <v>2345</v>
      </c>
      <c r="C187" s="446" t="s">
        <v>3350</v>
      </c>
      <c r="D187" s="402" t="str">
        <f>VLOOKUP(B187,USN!$1:$1088,2,False)</f>
        <v>1CR23EC190</v>
      </c>
      <c r="E187" s="447">
        <v>8.095187662E9</v>
      </c>
      <c r="F187" s="447" t="s">
        <v>3736</v>
      </c>
      <c r="G187" s="367"/>
      <c r="H187" s="447">
        <v>86.0</v>
      </c>
      <c r="I187" s="448">
        <v>86.0</v>
      </c>
      <c r="J187" s="433">
        <f>VLOOKUP(D187,'L3'!$1:$2060,2,False)</f>
        <v>70</v>
      </c>
      <c r="K187" s="433">
        <f>VLOOKUP(D187,'L4'!$1:$2059,2,False)</f>
        <v>70</v>
      </c>
      <c r="L187" s="434">
        <f>VLOOKUP(D187,'A1 RETEST 5 DEC'!$1:$2096,2,FALSE)</f>
        <v>50</v>
      </c>
      <c r="M187" s="434">
        <f>VLOOKUP(D187,'A2 RETEST 4 DEC'!$1:$2096,2,FALSE)</f>
        <v>4</v>
      </c>
      <c r="N187" s="435">
        <v>50.0</v>
      </c>
      <c r="O187" s="449"/>
      <c r="P187" s="436">
        <f>IFNA(VLOOKUP(D187,'S1'!$1:$1325,2,False),0)</f>
        <v>75</v>
      </c>
      <c r="Q187" s="436">
        <f>vlookup(D187,'S2'!A183:B1385,2,0)</f>
        <v>50</v>
      </c>
      <c r="R187" s="436">
        <f>ifna(vlookup(D187,'S3'!$1:$1311,2,False),0)</f>
        <v>87</v>
      </c>
      <c r="S187" s="436"/>
      <c r="T187" s="437">
        <v>17.0</v>
      </c>
      <c r="U187" s="437">
        <v>17.0</v>
      </c>
      <c r="V187" s="437">
        <v>40.0</v>
      </c>
      <c r="W187" s="437">
        <v>74.0</v>
      </c>
      <c r="X187" s="437">
        <v>76.0</v>
      </c>
      <c r="Y187" s="437"/>
      <c r="Z187" s="438"/>
      <c r="AA187" s="450">
        <v>54.0</v>
      </c>
      <c r="AB187" s="409">
        <v>84.0</v>
      </c>
      <c r="AC187" s="395">
        <v>12.0</v>
      </c>
      <c r="AD187" s="439"/>
      <c r="AE187" s="440">
        <v>10.0</v>
      </c>
      <c r="AF187" s="441"/>
      <c r="AG187" s="439"/>
      <c r="AH187" s="451">
        <v>0.0</v>
      </c>
      <c r="AI187" s="441"/>
      <c r="AJ187" s="441"/>
      <c r="AK187" s="442">
        <f t="shared" si="1"/>
        <v>4</v>
      </c>
      <c r="AL187" s="442">
        <f t="shared" si="2"/>
        <v>1</v>
      </c>
      <c r="AM187" s="424">
        <f t="shared" si="3"/>
        <v>3</v>
      </c>
      <c r="AN187" s="442" t="str">
        <f t="shared" si="4"/>
        <v>2</v>
      </c>
      <c r="AO187" s="442">
        <f t="shared" si="5"/>
        <v>3</v>
      </c>
      <c r="AP187" s="367"/>
    </row>
    <row r="188">
      <c r="A188" s="385">
        <v>184.0</v>
      </c>
      <c r="B188" s="446" t="s">
        <v>2334</v>
      </c>
      <c r="C188" s="446" t="s">
        <v>3772</v>
      </c>
      <c r="D188" s="402" t="str">
        <f>VLOOKUP(B188,USN!$1:$1088,2,False)</f>
        <v>1CR23EC192</v>
      </c>
      <c r="E188" s="447">
        <v>9.448609368E9</v>
      </c>
      <c r="F188" s="446" t="s">
        <v>3736</v>
      </c>
      <c r="G188" s="367"/>
      <c r="H188" s="447">
        <v>80.0</v>
      </c>
      <c r="I188" s="448">
        <v>90.0</v>
      </c>
      <c r="J188" s="433">
        <f>VLOOKUP(D188,'L3'!$1:$2060,2,False)</f>
        <v>70</v>
      </c>
      <c r="K188" s="433">
        <f>VLOOKUP(D188,'L4'!$1:$2059,2,False)</f>
        <v>70</v>
      </c>
      <c r="L188" s="434">
        <f>VLOOKUP(D188,'A1 RETEST 5 DEC'!$1:$2096,2,FALSE)</f>
        <v>50</v>
      </c>
      <c r="M188" s="434">
        <f>VLOOKUP(D188,'A2 RETEST 4 DEC'!$1:$2096,2,FALSE)</f>
        <v>50</v>
      </c>
      <c r="N188" s="435">
        <v>51.0</v>
      </c>
      <c r="O188" s="449"/>
      <c r="P188" s="436">
        <f>IFNA(VLOOKUP(D188,'S1'!$1:$1325,2,False),0)</f>
        <v>77</v>
      </c>
      <c r="Q188" s="436">
        <f>vlookup(D188,'S2'!A184:B1386,2,0)</f>
        <v>56</v>
      </c>
      <c r="R188" s="436">
        <f>ifna(vlookup(D188,'S3'!$1:$1311,2,False),0)</f>
        <v>50</v>
      </c>
      <c r="S188" s="436"/>
      <c r="T188" s="437">
        <v>16.0</v>
      </c>
      <c r="U188" s="437">
        <v>15.0</v>
      </c>
      <c r="V188" s="437">
        <v>52.0</v>
      </c>
      <c r="W188" s="437">
        <v>84.0</v>
      </c>
      <c r="X188" s="437">
        <v>80.0</v>
      </c>
      <c r="Y188" s="437"/>
      <c r="Z188" s="438"/>
      <c r="AA188" s="450">
        <v>98.0</v>
      </c>
      <c r="AB188" s="409">
        <v>98.0</v>
      </c>
      <c r="AC188" s="395">
        <v>80.0</v>
      </c>
      <c r="AD188" s="439"/>
      <c r="AE188" s="440">
        <v>10.0</v>
      </c>
      <c r="AF188" s="441"/>
      <c r="AG188" s="439"/>
      <c r="AH188" s="441"/>
      <c r="AI188" s="441"/>
      <c r="AJ188" s="441"/>
      <c r="AK188" s="442">
        <f t="shared" si="1"/>
        <v>4</v>
      </c>
      <c r="AL188" s="442">
        <f t="shared" si="2"/>
        <v>3</v>
      </c>
      <c r="AM188" s="424">
        <f t="shared" si="3"/>
        <v>3</v>
      </c>
      <c r="AN188" s="442" t="str">
        <f t="shared" si="4"/>
        <v>3</v>
      </c>
      <c r="AO188" s="442">
        <f t="shared" si="5"/>
        <v>3</v>
      </c>
      <c r="AP188" s="367"/>
    </row>
    <row r="189">
      <c r="A189" s="385">
        <v>185.0</v>
      </c>
      <c r="B189" s="446" t="s">
        <v>2325</v>
      </c>
      <c r="C189" s="446" t="s">
        <v>3352</v>
      </c>
      <c r="D189" s="402" t="str">
        <f>VLOOKUP(B189,USN!$1:$1088,2,False)</f>
        <v>1CR23EC193</v>
      </c>
      <c r="E189" s="447">
        <v>6.361675645E9</v>
      </c>
      <c r="F189" s="447" t="s">
        <v>3736</v>
      </c>
      <c r="G189" s="367"/>
      <c r="H189" s="447">
        <v>83.0</v>
      </c>
      <c r="I189" s="448">
        <v>83.0</v>
      </c>
      <c r="J189" s="433">
        <f>VLOOKUP(D189,'L3'!$1:$2060,2,False)</f>
        <v>72</v>
      </c>
      <c r="K189" s="433">
        <f>VLOOKUP(D189,'L4'!$1:$2059,2,False)</f>
        <v>70</v>
      </c>
      <c r="L189" s="434">
        <f>VLOOKUP(D189,'A1 RETEST 5 DEC'!$1:$2096,2,FALSE)</f>
        <v>50</v>
      </c>
      <c r="M189" s="434">
        <f>VLOOKUP(D189,'A2 RETEST 4 DEC'!$1:$2096,2,FALSE)</f>
        <v>50</v>
      </c>
      <c r="N189" s="435">
        <v>28.0</v>
      </c>
      <c r="O189" s="449"/>
      <c r="P189" s="436">
        <f>IFNA(VLOOKUP(D189,'S1'!$1:$1325,2,False),0)</f>
        <v>78</v>
      </c>
      <c r="Q189" s="436">
        <f>vlookup(D189,'S2'!A185:B1387,2,0)</f>
        <v>70</v>
      </c>
      <c r="R189" s="436">
        <f>ifna(vlookup(D189,'S3'!$1:$1311,2,False),0)</f>
        <v>85</v>
      </c>
      <c r="S189" s="436"/>
      <c r="T189" s="437">
        <v>15.0</v>
      </c>
      <c r="U189" s="437">
        <v>17.0</v>
      </c>
      <c r="V189" s="437">
        <v>40.0</v>
      </c>
      <c r="W189" s="437">
        <v>76.0</v>
      </c>
      <c r="X189" s="437">
        <v>70.0</v>
      </c>
      <c r="Y189" s="437"/>
      <c r="Z189" s="438"/>
      <c r="AA189" s="450">
        <v>86.0</v>
      </c>
      <c r="AB189" s="409">
        <v>83.0</v>
      </c>
      <c r="AC189" s="395">
        <v>60.0</v>
      </c>
      <c r="AD189" s="439"/>
      <c r="AE189" s="440">
        <v>45.0</v>
      </c>
      <c r="AF189" s="441"/>
      <c r="AG189" s="439"/>
      <c r="AH189" s="441"/>
      <c r="AI189" s="441"/>
      <c r="AJ189" s="441"/>
      <c r="AK189" s="442">
        <f t="shared" si="1"/>
        <v>4</v>
      </c>
      <c r="AL189" s="442">
        <f t="shared" si="2"/>
        <v>2</v>
      </c>
      <c r="AM189" s="424">
        <f t="shared" si="3"/>
        <v>3</v>
      </c>
      <c r="AN189" s="442" t="str">
        <f t="shared" si="4"/>
        <v>3</v>
      </c>
      <c r="AO189" s="442">
        <f t="shared" si="5"/>
        <v>3</v>
      </c>
      <c r="AP189" s="367"/>
    </row>
    <row r="190">
      <c r="A190" s="385">
        <v>186.0</v>
      </c>
      <c r="B190" s="446" t="s">
        <v>2347</v>
      </c>
      <c r="C190" s="446" t="s">
        <v>3353</v>
      </c>
      <c r="D190" s="402" t="str">
        <f>VLOOKUP(B190,USN!$1:$1088,2,False)</f>
        <v>1CR23EC194</v>
      </c>
      <c r="E190" s="447">
        <v>9.035420392E9</v>
      </c>
      <c r="F190" s="447" t="s">
        <v>3736</v>
      </c>
      <c r="G190" s="367"/>
      <c r="H190" s="447">
        <v>76.0</v>
      </c>
      <c r="I190" s="448">
        <v>82.0</v>
      </c>
      <c r="J190" s="433">
        <f>VLOOKUP(D190,'L3'!$1:$2060,2,False)</f>
        <v>78</v>
      </c>
      <c r="K190" s="433">
        <f>VLOOKUP(D190,'L4'!$1:$2059,2,False)</f>
        <v>70</v>
      </c>
      <c r="L190" s="434">
        <f>VLOOKUP(D190,'A1 RETEST 5 DEC'!$1:$2096,2,FALSE)</f>
        <v>50</v>
      </c>
      <c r="M190" s="434">
        <f>VLOOKUP(D190,'A2 RETEST 4 DEC'!$1:$2096,2,FALSE)</f>
        <v>50</v>
      </c>
      <c r="N190" s="435">
        <v>50.0</v>
      </c>
      <c r="O190" s="449"/>
      <c r="P190" s="436">
        <f>IFNA(VLOOKUP(D190,'S1'!$1:$1325,2,False),0)</f>
        <v>75</v>
      </c>
      <c r="Q190" s="436">
        <f>vlookup(D190,'S2'!A186:B1388,2,0)</f>
        <v>88</v>
      </c>
      <c r="R190" s="436">
        <f>ifna(vlookup(D190,'S3'!$1:$1311,2,False),0)</f>
        <v>93</v>
      </c>
      <c r="S190" s="436"/>
      <c r="T190" s="437">
        <v>11.0</v>
      </c>
      <c r="U190" s="437">
        <v>17.0</v>
      </c>
      <c r="V190" s="437">
        <v>50.0</v>
      </c>
      <c r="W190" s="437">
        <v>84.0</v>
      </c>
      <c r="X190" s="437">
        <v>68.0</v>
      </c>
      <c r="Y190" s="437"/>
      <c r="Z190" s="438"/>
      <c r="AA190" s="450">
        <v>80.0</v>
      </c>
      <c r="AB190" s="409">
        <v>80.0</v>
      </c>
      <c r="AC190" s="395">
        <v>68.0</v>
      </c>
      <c r="AD190" s="439"/>
      <c r="AE190" s="440">
        <v>78.0</v>
      </c>
      <c r="AF190" s="441"/>
      <c r="AG190" s="439">
        <v>93.0</v>
      </c>
      <c r="AH190" s="441"/>
      <c r="AI190" s="441"/>
      <c r="AJ190" s="441"/>
      <c r="AK190" s="442">
        <f t="shared" si="1"/>
        <v>4</v>
      </c>
      <c r="AL190" s="442">
        <f t="shared" si="2"/>
        <v>3</v>
      </c>
      <c r="AM190" s="424">
        <f t="shared" si="3"/>
        <v>3</v>
      </c>
      <c r="AN190" s="442" t="str">
        <f t="shared" si="4"/>
        <v>3.5</v>
      </c>
      <c r="AO190" s="442">
        <f t="shared" si="5"/>
        <v>3</v>
      </c>
      <c r="AP190" s="367"/>
    </row>
    <row r="191">
      <c r="A191" s="385">
        <v>187.0</v>
      </c>
      <c r="B191" s="446" t="s">
        <v>2219</v>
      </c>
      <c r="C191" s="446" t="s">
        <v>3354</v>
      </c>
      <c r="D191" s="402" t="str">
        <f>VLOOKUP(B191,USN!$1:$1088,2,False)</f>
        <v>1CR23EC195</v>
      </c>
      <c r="E191" s="447">
        <v>8.762427587E9</v>
      </c>
      <c r="F191" s="446" t="s">
        <v>3736</v>
      </c>
      <c r="G191" s="367"/>
      <c r="H191" s="447">
        <v>87.0</v>
      </c>
      <c r="I191" s="448">
        <v>89.0</v>
      </c>
      <c r="J191" s="433">
        <f>VLOOKUP(D191,'L3'!$1:$2060,2,False)</f>
        <v>85</v>
      </c>
      <c r="K191" s="433">
        <f>VLOOKUP(D191,'L4'!$1:$2059,2,False)</f>
        <v>70</v>
      </c>
      <c r="L191" s="434">
        <f>VLOOKUP(D191,'A1 RETEST 5 DEC'!$1:$2096,2,FALSE)</f>
        <v>50</v>
      </c>
      <c r="M191" s="434">
        <f>VLOOKUP(D191,'A2 RETEST 4 DEC'!$1:$2096,2,FALSE)</f>
        <v>50</v>
      </c>
      <c r="N191" s="435">
        <v>50.0</v>
      </c>
      <c r="O191" s="449"/>
      <c r="P191" s="436">
        <f>IFNA(VLOOKUP(D191,'S1'!$1:$1325,2,False),0)</f>
        <v>50</v>
      </c>
      <c r="Q191" s="436">
        <f>vlookup(D191,'S2'!A187:B1389,2,0)</f>
        <v>61</v>
      </c>
      <c r="R191" s="436">
        <f>ifna(vlookup(D191,'S3'!$1:$1311,2,False),0)</f>
        <v>84</v>
      </c>
      <c r="S191" s="436"/>
      <c r="T191" s="437">
        <v>22.0</v>
      </c>
      <c r="U191" s="437">
        <v>20.0</v>
      </c>
      <c r="V191" s="437">
        <v>46.0</v>
      </c>
      <c r="W191" s="437">
        <v>84.0</v>
      </c>
      <c r="X191" s="437">
        <v>80.0</v>
      </c>
      <c r="Y191" s="437"/>
      <c r="Z191" s="438"/>
      <c r="AA191" s="450">
        <v>65.0</v>
      </c>
      <c r="AB191" s="409">
        <v>99.0</v>
      </c>
      <c r="AC191" s="395">
        <v>95.0</v>
      </c>
      <c r="AD191" s="439"/>
      <c r="AE191" s="440">
        <v>77.0</v>
      </c>
      <c r="AF191" s="441"/>
      <c r="AG191" s="439"/>
      <c r="AH191" s="441"/>
      <c r="AI191" s="441"/>
      <c r="AJ191" s="441"/>
      <c r="AK191" s="442">
        <f t="shared" si="1"/>
        <v>4</v>
      </c>
      <c r="AL191" s="442">
        <f t="shared" si="2"/>
        <v>3</v>
      </c>
      <c r="AM191" s="424">
        <f t="shared" si="3"/>
        <v>3</v>
      </c>
      <c r="AN191" s="442" t="str">
        <f t="shared" si="4"/>
        <v>3.5</v>
      </c>
      <c r="AO191" s="442">
        <f t="shared" si="5"/>
        <v>3</v>
      </c>
      <c r="AP191" s="367"/>
    </row>
    <row r="192">
      <c r="A192" s="385">
        <v>188.0</v>
      </c>
      <c r="B192" s="446" t="s">
        <v>2348</v>
      </c>
      <c r="C192" s="446" t="s">
        <v>3355</v>
      </c>
      <c r="D192" s="402" t="str">
        <f>VLOOKUP(B192,USN!$1:$1088,2,False)</f>
        <v>1CR23EC196</v>
      </c>
      <c r="E192" s="447">
        <v>7.349495332E9</v>
      </c>
      <c r="F192" s="447" t="s">
        <v>3736</v>
      </c>
      <c r="G192" s="367"/>
      <c r="H192" s="447">
        <v>86.0</v>
      </c>
      <c r="I192" s="448">
        <v>86.0</v>
      </c>
      <c r="J192" s="433">
        <f>VLOOKUP(D192,'L3'!$1:$2060,2,False)</f>
        <v>75</v>
      </c>
      <c r="K192" s="433">
        <f>VLOOKUP(D192,'L4'!$1:$2059,2,False)</f>
        <v>70</v>
      </c>
      <c r="L192" s="434">
        <f>VLOOKUP(D192,'A1 RETEST 5 DEC'!$1:$2096,2,FALSE)</f>
        <v>28</v>
      </c>
      <c r="M192" s="434">
        <f>VLOOKUP(D192,'A2 RETEST 4 DEC'!$1:$2096,2,FALSE)</f>
        <v>50</v>
      </c>
      <c r="N192" s="435">
        <v>0.0</v>
      </c>
      <c r="O192" s="449"/>
      <c r="P192" s="436">
        <f>IFNA(VLOOKUP(D192,'S1'!$1:$1325,2,False),0)</f>
        <v>75</v>
      </c>
      <c r="Q192" s="436">
        <f>vlookup(D192,'S2'!A188:B1390,2,0)</f>
        <v>88</v>
      </c>
      <c r="R192" s="436">
        <f>ifna(vlookup(D192,'S3'!$1:$1311,2,False),0)</f>
        <v>70</v>
      </c>
      <c r="S192" s="436"/>
      <c r="T192" s="437">
        <v>16.0</v>
      </c>
      <c r="U192" s="437">
        <v>15.0</v>
      </c>
      <c r="V192" s="437">
        <v>28.0</v>
      </c>
      <c r="W192" s="437">
        <v>74.0</v>
      </c>
      <c r="X192" s="437">
        <v>68.0</v>
      </c>
      <c r="Y192" s="437"/>
      <c r="Z192" s="438"/>
      <c r="AA192" s="450">
        <v>76.0</v>
      </c>
      <c r="AB192" s="409">
        <v>75.0</v>
      </c>
      <c r="AC192" s="395">
        <v>79.0</v>
      </c>
      <c r="AD192" s="439"/>
      <c r="AE192" s="440">
        <v>45.0</v>
      </c>
      <c r="AF192" s="441"/>
      <c r="AG192" s="439"/>
      <c r="AH192" s="441"/>
      <c r="AI192" s="441"/>
      <c r="AJ192" s="441"/>
      <c r="AK192" s="442">
        <f t="shared" si="1"/>
        <v>4</v>
      </c>
      <c r="AL192" s="442">
        <f t="shared" si="2"/>
        <v>0</v>
      </c>
      <c r="AM192" s="424">
        <f t="shared" si="3"/>
        <v>3</v>
      </c>
      <c r="AN192" s="442" t="str">
        <f t="shared" si="4"/>
        <v>3</v>
      </c>
      <c r="AO192" s="442">
        <f t="shared" si="5"/>
        <v>3</v>
      </c>
      <c r="AP192" s="367"/>
    </row>
    <row r="193">
      <c r="A193" s="385">
        <v>189.0</v>
      </c>
      <c r="B193" s="446" t="s">
        <v>2349</v>
      </c>
      <c r="C193" s="446" t="s">
        <v>3356</v>
      </c>
      <c r="D193" s="402" t="str">
        <f>VLOOKUP(B193,USN!$1:$1088,2,False)</f>
        <v>1CR23EC197</v>
      </c>
      <c r="E193" s="447">
        <v>9.502606786E9</v>
      </c>
      <c r="F193" s="447" t="s">
        <v>3736</v>
      </c>
      <c r="G193" s="367"/>
      <c r="H193" s="447">
        <v>86.0</v>
      </c>
      <c r="I193" s="448">
        <v>77.0</v>
      </c>
      <c r="J193" s="433">
        <f>VLOOKUP(D193,'L3'!$1:$2060,2,False)</f>
        <v>60</v>
      </c>
      <c r="K193" s="433">
        <f>VLOOKUP(D193,'L4'!$1:$2059,2,False)</f>
        <v>70</v>
      </c>
      <c r="L193" s="434">
        <f>VLOOKUP(D193,'A1 RETEST 5 DEC'!$1:$2096,2,FALSE)</f>
        <v>50</v>
      </c>
      <c r="M193" s="434">
        <f>VLOOKUP(D193,'A2 RETEST 4 DEC'!$1:$2096,2,FALSE)</f>
        <v>50</v>
      </c>
      <c r="N193" s="435">
        <v>50.0</v>
      </c>
      <c r="O193" s="449"/>
      <c r="P193" s="436">
        <f>IFNA(VLOOKUP(D193,'S1'!$1:$1325,2,False),0)</f>
        <v>70</v>
      </c>
      <c r="Q193" s="436">
        <f>vlookup(D193,'S2'!A189:B1391,2,0)</f>
        <v>64</v>
      </c>
      <c r="R193" s="436">
        <f>ifna(vlookup(D193,'S3'!$1:$1311,2,False),0)</f>
        <v>91</v>
      </c>
      <c r="S193" s="436"/>
      <c r="T193" s="437">
        <v>17.0</v>
      </c>
      <c r="U193" s="437">
        <v>19.0</v>
      </c>
      <c r="V193" s="437">
        <v>48.0</v>
      </c>
      <c r="W193" s="437">
        <v>82.0</v>
      </c>
      <c r="X193" s="437">
        <v>68.0</v>
      </c>
      <c r="Y193" s="437"/>
      <c r="Z193" s="438"/>
      <c r="AA193" s="450">
        <v>41.0</v>
      </c>
      <c r="AB193" s="409">
        <v>85.0</v>
      </c>
      <c r="AC193" s="395">
        <v>70.0</v>
      </c>
      <c r="AD193" s="439"/>
      <c r="AE193" s="440">
        <v>14.0</v>
      </c>
      <c r="AF193" s="441"/>
      <c r="AG193" s="439"/>
      <c r="AH193" s="451">
        <v>15.0</v>
      </c>
      <c r="AI193" s="441"/>
      <c r="AJ193" s="441"/>
      <c r="AK193" s="442">
        <f t="shared" si="1"/>
        <v>2</v>
      </c>
      <c r="AL193" s="442">
        <f t="shared" si="2"/>
        <v>3</v>
      </c>
      <c r="AM193" s="424">
        <f t="shared" si="3"/>
        <v>3</v>
      </c>
      <c r="AN193" s="442" t="str">
        <f t="shared" si="4"/>
        <v>3</v>
      </c>
      <c r="AO193" s="442">
        <f t="shared" si="5"/>
        <v>3</v>
      </c>
      <c r="AP193" s="367"/>
    </row>
    <row r="194">
      <c r="A194" s="385">
        <v>190.0</v>
      </c>
      <c r="B194" s="446" t="s">
        <v>2383</v>
      </c>
      <c r="C194" s="446" t="s">
        <v>3357</v>
      </c>
      <c r="D194" s="402" t="str">
        <f>VLOOKUP(B194,USN!$1:$1088,2,False)</f>
        <v>1CR23EC198</v>
      </c>
      <c r="E194" s="447">
        <v>6.366252417E9</v>
      </c>
      <c r="F194" s="447" t="s">
        <v>3736</v>
      </c>
      <c r="G194" s="367"/>
      <c r="H194" s="447">
        <v>75.0</v>
      </c>
      <c r="I194" s="448">
        <v>74.0</v>
      </c>
      <c r="J194" s="433">
        <f>VLOOKUP(D194,'L3'!$1:$2060,2,False)</f>
        <v>77</v>
      </c>
      <c r="K194" s="433">
        <f>VLOOKUP(D194,'L4'!$1:$2059,2,False)</f>
        <v>70</v>
      </c>
      <c r="L194" s="434">
        <f>VLOOKUP(D194,'A1 RETEST 5 DEC'!$1:$2096,2,FALSE)</f>
        <v>6</v>
      </c>
      <c r="M194" s="434">
        <f>VLOOKUP(D194,'A2 RETEST 4 DEC'!$1:$2096,2,FALSE)</f>
        <v>8</v>
      </c>
      <c r="N194" s="435">
        <v>0.0</v>
      </c>
      <c r="O194" s="449"/>
      <c r="P194" s="436">
        <f>IFNA(VLOOKUP(D194,'S1'!$1:$1325,2,False),0)</f>
        <v>0</v>
      </c>
      <c r="Q194" s="436">
        <f>vlookup(D194,'S2'!A190:B1392,2,0)</f>
        <v>67</v>
      </c>
      <c r="R194" s="436">
        <f>ifna(vlookup(D194,'S3'!$1:$1311,2,False),0)</f>
        <v>0</v>
      </c>
      <c r="S194" s="436"/>
      <c r="T194" s="437">
        <v>15.0</v>
      </c>
      <c r="U194" s="437" t="s">
        <v>2477</v>
      </c>
      <c r="V194" s="437">
        <v>44.0</v>
      </c>
      <c r="W194" s="437">
        <v>74.0</v>
      </c>
      <c r="X194" s="437">
        <v>76.0</v>
      </c>
      <c r="Y194" s="437"/>
      <c r="Z194" s="438"/>
      <c r="AA194" s="450">
        <v>11.0</v>
      </c>
      <c r="AB194" s="409">
        <v>18.0</v>
      </c>
      <c r="AC194" s="395">
        <v>8.0</v>
      </c>
      <c r="AD194" s="439"/>
      <c r="AE194" s="440">
        <v>10.0</v>
      </c>
      <c r="AF194" s="441"/>
      <c r="AG194" s="439"/>
      <c r="AH194" s="441"/>
      <c r="AI194" s="441"/>
      <c r="AJ194" s="441"/>
      <c r="AK194" s="442">
        <f t="shared" si="1"/>
        <v>4</v>
      </c>
      <c r="AL194" s="442">
        <f t="shared" si="2"/>
        <v>0</v>
      </c>
      <c r="AM194" s="424">
        <f t="shared" si="3"/>
        <v>3</v>
      </c>
      <c r="AN194" s="442" t="str">
        <f t="shared" si="4"/>
        <v>0</v>
      </c>
      <c r="AO194" s="442">
        <f t="shared" si="5"/>
        <v>0</v>
      </c>
      <c r="AP194" s="367"/>
    </row>
    <row r="195">
      <c r="A195" s="385">
        <v>191.0</v>
      </c>
      <c r="B195" s="446" t="s">
        <v>2350</v>
      </c>
      <c r="C195" s="446" t="s">
        <v>3358</v>
      </c>
      <c r="D195" s="402" t="str">
        <f>VLOOKUP(B195,USN!$1:$1088,2,False)</f>
        <v>1CR23EC199</v>
      </c>
      <c r="E195" s="447">
        <v>9.482978987E9</v>
      </c>
      <c r="F195" s="447" t="s">
        <v>3736</v>
      </c>
      <c r="G195" s="367"/>
      <c r="H195" s="447">
        <v>81.0</v>
      </c>
      <c r="I195" s="448">
        <v>84.0</v>
      </c>
      <c r="J195" s="433">
        <f>VLOOKUP(D195,'L3'!$1:$2060,2,False)</f>
        <v>45</v>
      </c>
      <c r="K195" s="433">
        <f>VLOOKUP(D195,'L4'!$1:$2059,2,False)</f>
        <v>70</v>
      </c>
      <c r="L195" s="434">
        <f>VLOOKUP(D195,'A1 RETEST 5 DEC'!$1:$2096,2,FALSE)</f>
        <v>50</v>
      </c>
      <c r="M195" s="434">
        <f>VLOOKUP(D195,'A2 RETEST 4 DEC'!$1:$2096,2,FALSE)</f>
        <v>50</v>
      </c>
      <c r="N195" s="435">
        <v>50.0</v>
      </c>
      <c r="O195" s="449"/>
      <c r="P195" s="436">
        <f>IFNA(VLOOKUP(D195,'S1'!$1:$1325,2,False),0)</f>
        <v>83</v>
      </c>
      <c r="Q195" s="436">
        <f>vlookup(D195,'S2'!A191:B1393,2,0)</f>
        <v>68</v>
      </c>
      <c r="R195" s="436">
        <f>ifna(vlookup(D195,'S3'!$1:$1311,2,False),0)</f>
        <v>89</v>
      </c>
      <c r="S195" s="436"/>
      <c r="T195" s="437">
        <v>13.0</v>
      </c>
      <c r="U195" s="437">
        <v>20.0</v>
      </c>
      <c r="V195" s="437">
        <v>54.0</v>
      </c>
      <c r="W195" s="437">
        <v>74.0</v>
      </c>
      <c r="X195" s="437">
        <v>70.0</v>
      </c>
      <c r="Y195" s="437"/>
      <c r="Z195" s="438"/>
      <c r="AA195" s="450">
        <v>80.0</v>
      </c>
      <c r="AB195" s="409">
        <v>99.0</v>
      </c>
      <c r="AC195" s="395">
        <v>70.0</v>
      </c>
      <c r="AD195" s="439"/>
      <c r="AE195" s="440">
        <v>87.0</v>
      </c>
      <c r="AF195" s="441"/>
      <c r="AG195" s="439"/>
      <c r="AH195" s="441"/>
      <c r="AI195" s="441"/>
      <c r="AJ195" s="441"/>
      <c r="AK195" s="442">
        <f t="shared" si="1"/>
        <v>2</v>
      </c>
      <c r="AL195" s="442">
        <f t="shared" si="2"/>
        <v>3</v>
      </c>
      <c r="AM195" s="424">
        <f t="shared" si="3"/>
        <v>3</v>
      </c>
      <c r="AN195" s="442" t="str">
        <f t="shared" si="4"/>
        <v>3.5</v>
      </c>
      <c r="AO195" s="442">
        <f t="shared" si="5"/>
        <v>3</v>
      </c>
      <c r="AP195" s="367"/>
    </row>
    <row r="196">
      <c r="A196" s="385">
        <v>192.0</v>
      </c>
      <c r="B196" s="446" t="s">
        <v>2351</v>
      </c>
      <c r="C196" s="446" t="s">
        <v>3359</v>
      </c>
      <c r="D196" s="402" t="str">
        <f>VLOOKUP(B196,USN!$1:$1088,2,False)</f>
        <v>1CR23EC200</v>
      </c>
      <c r="E196" s="447">
        <v>9.148189679E9</v>
      </c>
      <c r="F196" s="447" t="s">
        <v>3736</v>
      </c>
      <c r="G196" s="367"/>
      <c r="H196" s="447">
        <v>72.0</v>
      </c>
      <c r="I196" s="448">
        <v>77.0</v>
      </c>
      <c r="J196" s="433">
        <f>VLOOKUP(D196,'L3'!$1:$2060,2,False)</f>
        <v>49</v>
      </c>
      <c r="K196" s="433">
        <f>VLOOKUP(D196,'L4'!$1:$2059,2,False)</f>
        <v>17</v>
      </c>
      <c r="L196" s="434">
        <f>VLOOKUP(D196,'A1 RETEST 5 DEC'!$1:$2096,2,FALSE)</f>
        <v>50</v>
      </c>
      <c r="M196" s="434">
        <f>VLOOKUP(D196,'A2 RETEST 4 DEC'!$1:$2096,2,FALSE)</f>
        <v>8</v>
      </c>
      <c r="N196" s="435">
        <v>0.0</v>
      </c>
      <c r="O196" s="449"/>
      <c r="P196" s="436">
        <f>IFNA(VLOOKUP(D196,'S1'!$1:$1325,2,False),0)</f>
        <v>0</v>
      </c>
      <c r="Q196" s="436">
        <f>vlookup(D196,'S2'!A192:B1394,2,0)</f>
        <v>72</v>
      </c>
      <c r="R196" s="436">
        <f>ifna(vlookup(D196,'S3'!$1:$1311,2,False),0)</f>
        <v>40</v>
      </c>
      <c r="S196" s="436"/>
      <c r="T196" s="437">
        <v>13.0</v>
      </c>
      <c r="U196" s="437">
        <v>13.0</v>
      </c>
      <c r="V196" s="437">
        <v>56.0</v>
      </c>
      <c r="W196" s="437">
        <v>70.0</v>
      </c>
      <c r="X196" s="453"/>
      <c r="Y196" s="437"/>
      <c r="Z196" s="438"/>
      <c r="AA196" s="450">
        <v>4.0</v>
      </c>
      <c r="AB196" s="409">
        <v>83.0</v>
      </c>
      <c r="AC196" s="395">
        <v>4.0</v>
      </c>
      <c r="AD196" s="439"/>
      <c r="AE196" s="440">
        <v>10.0</v>
      </c>
      <c r="AF196" s="441"/>
      <c r="AG196" s="439"/>
      <c r="AH196" s="441"/>
      <c r="AI196" s="441"/>
      <c r="AJ196" s="441"/>
      <c r="AK196" s="442">
        <f t="shared" si="1"/>
        <v>2</v>
      </c>
      <c r="AL196" s="442">
        <f t="shared" si="2"/>
        <v>1</v>
      </c>
      <c r="AM196" s="424">
        <f t="shared" si="3"/>
        <v>3</v>
      </c>
      <c r="AN196" s="442" t="str">
        <f t="shared" si="4"/>
        <v>2</v>
      </c>
      <c r="AO196" s="442">
        <f t="shared" si="5"/>
        <v>0</v>
      </c>
      <c r="AP196" s="367"/>
    </row>
    <row r="197">
      <c r="A197" s="385">
        <v>193.0</v>
      </c>
      <c r="B197" s="446" t="s">
        <v>2352</v>
      </c>
      <c r="C197" s="446" t="s">
        <v>3360</v>
      </c>
      <c r="D197" s="402" t="str">
        <f>VLOOKUP(B197,USN!$1:$1088,2,False)</f>
        <v>1CR23EC201</v>
      </c>
      <c r="E197" s="447">
        <v>7.348864418E9</v>
      </c>
      <c r="F197" s="447" t="s">
        <v>3736</v>
      </c>
      <c r="G197" s="367"/>
      <c r="H197" s="447">
        <v>71.0</v>
      </c>
      <c r="I197" s="448">
        <v>73.0</v>
      </c>
      <c r="J197" s="433">
        <f>VLOOKUP(D197,'L3'!$1:$2060,2,False)</f>
        <v>70</v>
      </c>
      <c r="K197" s="433">
        <f>VLOOKUP(D197,'L4'!$1:$2059,2,False)</f>
        <v>70</v>
      </c>
      <c r="L197" s="434">
        <f>VLOOKUP(D197,'A1 RETEST 5 DEC'!$1:$2096,2,FALSE)</f>
        <v>50</v>
      </c>
      <c r="M197" s="434">
        <f>VLOOKUP(D197,'A2 RETEST 4 DEC'!$1:$2096,2,FALSE)</f>
        <v>18</v>
      </c>
      <c r="N197" s="435">
        <v>50.0</v>
      </c>
      <c r="O197" s="449"/>
      <c r="P197" s="436">
        <f>IFNA(VLOOKUP(D197,'S1'!$1:$1325,2,False),0)</f>
        <v>84</v>
      </c>
      <c r="Q197" s="436">
        <f>vlookup(D197,'S2'!A193:B1395,2,0)</f>
        <v>59</v>
      </c>
      <c r="R197" s="436">
        <f>ifna(vlookup(D197,'S3'!$1:$1311,2,False),0)</f>
        <v>99</v>
      </c>
      <c r="S197" s="436"/>
      <c r="T197" s="437">
        <v>10.0</v>
      </c>
      <c r="U197" s="437">
        <v>19.0</v>
      </c>
      <c r="V197" s="437">
        <v>54.0</v>
      </c>
      <c r="W197" s="437">
        <v>78.0</v>
      </c>
      <c r="X197" s="437">
        <v>78.0</v>
      </c>
      <c r="Y197" s="437"/>
      <c r="Z197" s="438"/>
      <c r="AA197" s="450">
        <v>90.0</v>
      </c>
      <c r="AB197" s="409">
        <v>95.0</v>
      </c>
      <c r="AC197" s="395">
        <v>60.0</v>
      </c>
      <c r="AD197" s="439"/>
      <c r="AE197" s="440">
        <v>31.0</v>
      </c>
      <c r="AF197" s="441"/>
      <c r="AG197" s="439">
        <v>84.0</v>
      </c>
      <c r="AH197" s="441"/>
      <c r="AI197" s="441"/>
      <c r="AJ197" s="441"/>
      <c r="AK197" s="442">
        <f t="shared" si="1"/>
        <v>4</v>
      </c>
      <c r="AL197" s="442">
        <f t="shared" si="2"/>
        <v>1</v>
      </c>
      <c r="AM197" s="424">
        <f t="shared" si="3"/>
        <v>3</v>
      </c>
      <c r="AN197" s="442" t="str">
        <f t="shared" si="4"/>
        <v>3</v>
      </c>
      <c r="AO197" s="442">
        <f t="shared" si="5"/>
        <v>3</v>
      </c>
      <c r="AP197" s="367"/>
    </row>
    <row r="198">
      <c r="A198" s="385">
        <v>194.0</v>
      </c>
      <c r="B198" s="446" t="s">
        <v>2275</v>
      </c>
      <c r="C198" s="446" t="s">
        <v>3361</v>
      </c>
      <c r="D198" s="402" t="str">
        <f>VLOOKUP(B198,USN!$1:$1088,2,False)</f>
        <v>1CR23EC202</v>
      </c>
      <c r="E198" s="447">
        <v>9.902344266E9</v>
      </c>
      <c r="F198" s="447" t="s">
        <v>3736</v>
      </c>
      <c r="G198" s="367"/>
      <c r="H198" s="447">
        <v>75.0</v>
      </c>
      <c r="I198" s="448">
        <v>74.0</v>
      </c>
      <c r="J198" s="433">
        <f>VLOOKUP(D198,'L3'!$1:$2060,2,False)</f>
        <v>51</v>
      </c>
      <c r="K198" s="433">
        <f>VLOOKUP(D198,'L4'!$1:$2059,2,False)</f>
        <v>4</v>
      </c>
      <c r="L198" s="434">
        <f>VLOOKUP(D198,'A1 RETEST 5 DEC'!$1:$2096,2,FALSE)</f>
        <v>30</v>
      </c>
      <c r="M198" s="434">
        <f>VLOOKUP(D198,'A2 RETEST 4 DEC'!$1:$2096,2,FALSE)</f>
        <v>10</v>
      </c>
      <c r="N198" s="435">
        <v>0.0</v>
      </c>
      <c r="O198" s="449"/>
      <c r="P198" s="436">
        <f>IFNA(VLOOKUP(D198,'S1'!$1:$1325,2,False),0)</f>
        <v>79</v>
      </c>
      <c r="Q198" s="436">
        <f>vlookup(D198,'S2'!A194:B1396,2,0)</f>
        <v>0</v>
      </c>
      <c r="R198" s="436">
        <f>ifna(vlookup(D198,'S3'!$1:$1311,2,False),0)</f>
        <v>0</v>
      </c>
      <c r="S198" s="436"/>
      <c r="T198" s="437">
        <v>11.0</v>
      </c>
      <c r="U198" s="437">
        <v>12.0</v>
      </c>
      <c r="V198" s="437">
        <v>46.0</v>
      </c>
      <c r="W198" s="437">
        <v>0.0</v>
      </c>
      <c r="X198" s="453"/>
      <c r="Y198" s="437"/>
      <c r="Z198" s="438"/>
      <c r="AA198" s="450">
        <v>20.0</v>
      </c>
      <c r="AB198" s="409">
        <v>48.0</v>
      </c>
      <c r="AC198" s="395">
        <v>0.0</v>
      </c>
      <c r="AD198" s="439"/>
      <c r="AE198" s="440">
        <v>10.0</v>
      </c>
      <c r="AF198" s="441"/>
      <c r="AG198" s="439"/>
      <c r="AH198" s="451">
        <v>0.0</v>
      </c>
      <c r="AI198" s="441"/>
      <c r="AJ198" s="441"/>
      <c r="AK198" s="442">
        <f t="shared" si="1"/>
        <v>2</v>
      </c>
      <c r="AL198" s="442">
        <f t="shared" si="2"/>
        <v>0</v>
      </c>
      <c r="AM198" s="424">
        <f t="shared" si="3"/>
        <v>2</v>
      </c>
      <c r="AN198" s="442" t="str">
        <f t="shared" si="4"/>
        <v>0</v>
      </c>
      <c r="AO198" s="442">
        <f t="shared" si="5"/>
        <v>1</v>
      </c>
      <c r="AP198" s="367"/>
    </row>
    <row r="199">
      <c r="A199" s="385">
        <v>195.0</v>
      </c>
      <c r="B199" s="446" t="s">
        <v>2384</v>
      </c>
      <c r="C199" s="446" t="s">
        <v>3362</v>
      </c>
      <c r="D199" s="402" t="str">
        <f>VLOOKUP(B199,USN!$1:$1088,2,False)</f>
        <v>1CR23EC203</v>
      </c>
      <c r="E199" s="447">
        <v>9.611844116E9</v>
      </c>
      <c r="F199" s="447" t="s">
        <v>3736</v>
      </c>
      <c r="G199" s="367"/>
      <c r="H199" s="447">
        <v>71.0</v>
      </c>
      <c r="I199" s="433">
        <v>70.0</v>
      </c>
      <c r="J199" s="433">
        <f>VLOOKUP(D199,'L3'!$1:$2060,2,False)</f>
        <v>70</v>
      </c>
      <c r="K199" s="433">
        <f>VLOOKUP(D199,'L4'!$1:$2059,2,False)</f>
        <v>70</v>
      </c>
      <c r="L199" s="434">
        <f>VLOOKUP(D199,'A1 RETEST 5 DEC'!$1:$2096,2,FALSE)</f>
        <v>50</v>
      </c>
      <c r="M199" s="434">
        <f>VLOOKUP(D199,'A2 RETEST 4 DEC'!$1:$2096,2,FALSE)</f>
        <v>24</v>
      </c>
      <c r="N199" s="435">
        <v>50.0</v>
      </c>
      <c r="O199" s="449"/>
      <c r="P199" s="436">
        <f>IFNA(VLOOKUP(D199,'S1'!$1:$1325,2,False),0)</f>
        <v>0</v>
      </c>
      <c r="Q199" s="436">
        <f>vlookup(D199,'S2'!A195:B1397,2,0)</f>
        <v>67</v>
      </c>
      <c r="R199" s="436">
        <f>ifna(vlookup(D199,'S3'!$1:$1311,2,False),0)</f>
        <v>74</v>
      </c>
      <c r="S199" s="436"/>
      <c r="T199" s="437">
        <v>8.0</v>
      </c>
      <c r="U199" s="437">
        <v>16.0</v>
      </c>
      <c r="V199" s="437">
        <v>44.0</v>
      </c>
      <c r="W199" s="437">
        <v>72.0</v>
      </c>
      <c r="X199" s="437">
        <v>66.0</v>
      </c>
      <c r="Y199" s="437"/>
      <c r="Z199" s="438"/>
      <c r="AA199" s="450">
        <v>10.0</v>
      </c>
      <c r="AB199" s="409">
        <v>34.0</v>
      </c>
      <c r="AC199" s="395">
        <v>52.0</v>
      </c>
      <c r="AD199" s="439"/>
      <c r="AE199" s="440">
        <v>15.0</v>
      </c>
      <c r="AF199" s="441"/>
      <c r="AG199" s="439"/>
      <c r="AH199" s="441"/>
      <c r="AI199" s="441"/>
      <c r="AJ199" s="441"/>
      <c r="AK199" s="442">
        <f t="shared" si="1"/>
        <v>4</v>
      </c>
      <c r="AL199" s="442">
        <f t="shared" si="2"/>
        <v>1</v>
      </c>
      <c r="AM199" s="424">
        <f t="shared" si="3"/>
        <v>3</v>
      </c>
      <c r="AN199" s="442" t="str">
        <f t="shared" si="4"/>
        <v>0</v>
      </c>
      <c r="AO199" s="442">
        <f t="shared" si="5"/>
        <v>0</v>
      </c>
      <c r="AP199" s="367"/>
    </row>
    <row r="200">
      <c r="A200" s="385">
        <v>196.0</v>
      </c>
      <c r="B200" s="446" t="s">
        <v>2353</v>
      </c>
      <c r="C200" s="446" t="s">
        <v>3363</v>
      </c>
      <c r="D200" s="402" t="str">
        <f>VLOOKUP(B200,USN!$1:$1088,2,False)</f>
        <v>1CR23EC204</v>
      </c>
      <c r="E200" s="447">
        <v>9.591898777E9</v>
      </c>
      <c r="F200" s="447" t="s">
        <v>3736</v>
      </c>
      <c r="G200" s="367"/>
      <c r="H200" s="447">
        <v>74.0</v>
      </c>
      <c r="I200" s="448">
        <v>73.0</v>
      </c>
      <c r="J200" s="433">
        <f>VLOOKUP(D200,'L3'!$1:$2060,2,False)</f>
        <v>70</v>
      </c>
      <c r="K200" s="433">
        <f>VLOOKUP(D200,'L4'!$1:$2059,2,False)</f>
        <v>70</v>
      </c>
      <c r="L200" s="434">
        <f>VLOOKUP(D200,'A1 RETEST 5 DEC'!$1:$2096,2,FALSE)</f>
        <v>50</v>
      </c>
      <c r="M200" s="434">
        <f>VLOOKUP(D200,'A2 RETEST 4 DEC'!$1:$2096,2,FALSE)</f>
        <v>15</v>
      </c>
      <c r="N200" s="435">
        <v>50.0</v>
      </c>
      <c r="O200" s="449"/>
      <c r="P200" s="436">
        <f>IFNA(VLOOKUP(D200,'S1'!$1:$1325,2,False),0)</f>
        <v>84</v>
      </c>
      <c r="Q200" s="436">
        <f>vlookup(D200,'S2'!A196:B1398,2,0)</f>
        <v>61</v>
      </c>
      <c r="R200" s="436">
        <f>ifna(vlookup(D200,'S3'!$1:$1311,2,False),0)</f>
        <v>85</v>
      </c>
      <c r="S200" s="436"/>
      <c r="T200" s="437">
        <v>13.0</v>
      </c>
      <c r="U200" s="437">
        <v>18.0</v>
      </c>
      <c r="V200" s="437">
        <v>46.0</v>
      </c>
      <c r="W200" s="437">
        <v>72.0</v>
      </c>
      <c r="X200" s="437">
        <v>68.0</v>
      </c>
      <c r="Y200" s="437"/>
      <c r="Z200" s="438"/>
      <c r="AA200" s="450">
        <v>76.0</v>
      </c>
      <c r="AB200" s="409">
        <v>74.0</v>
      </c>
      <c r="AC200" s="395">
        <v>97.0</v>
      </c>
      <c r="AD200" s="439"/>
      <c r="AE200" s="440">
        <v>70.0</v>
      </c>
      <c r="AF200" s="441"/>
      <c r="AG200" s="439"/>
      <c r="AH200" s="441"/>
      <c r="AI200" s="441"/>
      <c r="AJ200" s="441"/>
      <c r="AK200" s="442">
        <f t="shared" si="1"/>
        <v>4</v>
      </c>
      <c r="AL200" s="442">
        <f t="shared" si="2"/>
        <v>1</v>
      </c>
      <c r="AM200" s="424">
        <f t="shared" si="3"/>
        <v>3</v>
      </c>
      <c r="AN200" s="442" t="str">
        <f t="shared" si="4"/>
        <v>3.5</v>
      </c>
      <c r="AO200" s="442">
        <f t="shared" si="5"/>
        <v>3</v>
      </c>
      <c r="AP200" s="367"/>
    </row>
    <row r="201">
      <c r="A201" s="385">
        <v>197.0</v>
      </c>
      <c r="B201" s="446" t="s">
        <v>2331</v>
      </c>
      <c r="C201" s="446" t="s">
        <v>3773</v>
      </c>
      <c r="D201" s="402" t="str">
        <f>VLOOKUP(B201,USN!$1:$1088,2,False)</f>
        <v>1CR23EC205</v>
      </c>
      <c r="E201" s="447">
        <v>8.217827602E9</v>
      </c>
      <c r="F201" s="446" t="s">
        <v>3736</v>
      </c>
      <c r="G201" s="367"/>
      <c r="H201" s="447">
        <v>82.0</v>
      </c>
      <c r="I201" s="448">
        <v>86.0</v>
      </c>
      <c r="J201" s="433">
        <f>VLOOKUP(D201,'L3'!$1:$2060,2,False)</f>
        <v>78</v>
      </c>
      <c r="K201" s="433">
        <f>VLOOKUP(D201,'L4'!$1:$2059,2,False)</f>
        <v>70</v>
      </c>
      <c r="L201" s="434">
        <f>VLOOKUP(D201,'A1 RETEST 5 DEC'!$1:$2096,2,FALSE)</f>
        <v>50</v>
      </c>
      <c r="M201" s="434">
        <f>VLOOKUP(D201,'A2 RETEST 4 DEC'!$1:$2096,2,FALSE)</f>
        <v>26</v>
      </c>
      <c r="N201" s="435">
        <v>50.0</v>
      </c>
      <c r="O201" s="449"/>
      <c r="P201" s="436">
        <f>IFNA(VLOOKUP(D201,'S1'!$1:$1325,2,False),0)</f>
        <v>70</v>
      </c>
      <c r="Q201" s="436">
        <f>vlookup(D201,'S2'!A197:B1399,2,0)</f>
        <v>88</v>
      </c>
      <c r="R201" s="436">
        <f>ifna(vlookup(D201,'S3'!$1:$1311,2,False),0)</f>
        <v>95</v>
      </c>
      <c r="S201" s="436"/>
      <c r="T201" s="437">
        <v>18.0</v>
      </c>
      <c r="U201" s="437">
        <v>14.0</v>
      </c>
      <c r="V201" s="437">
        <v>46.0</v>
      </c>
      <c r="W201" s="437">
        <v>84.0</v>
      </c>
      <c r="X201" s="437">
        <v>72.0</v>
      </c>
      <c r="Y201" s="437"/>
      <c r="Z201" s="438"/>
      <c r="AA201" s="450">
        <v>92.0</v>
      </c>
      <c r="AB201" s="409">
        <v>88.0</v>
      </c>
      <c r="AC201" s="395">
        <v>64.0</v>
      </c>
      <c r="AD201" s="439"/>
      <c r="AE201" s="440">
        <v>70.0</v>
      </c>
      <c r="AF201" s="441"/>
      <c r="AG201" s="439">
        <v>91.0</v>
      </c>
      <c r="AH201" s="441"/>
      <c r="AI201" s="441"/>
      <c r="AJ201" s="441"/>
      <c r="AK201" s="442">
        <f t="shared" si="1"/>
        <v>4</v>
      </c>
      <c r="AL201" s="442">
        <f t="shared" si="2"/>
        <v>1</v>
      </c>
      <c r="AM201" s="424">
        <f t="shared" si="3"/>
        <v>3</v>
      </c>
      <c r="AN201" s="442" t="str">
        <f t="shared" si="4"/>
        <v>3.5</v>
      </c>
      <c r="AO201" s="442">
        <f t="shared" si="5"/>
        <v>3</v>
      </c>
      <c r="AP201" s="367"/>
    </row>
    <row r="202">
      <c r="A202" s="385">
        <v>198.0</v>
      </c>
      <c r="B202" s="446" t="s">
        <v>2385</v>
      </c>
      <c r="C202" s="446" t="s">
        <v>3366</v>
      </c>
      <c r="D202" s="402" t="str">
        <f>VLOOKUP(B202,USN!$1:$1088,2,False)</f>
        <v>1CR23EC207</v>
      </c>
      <c r="E202" s="447">
        <v>7.795412571E9</v>
      </c>
      <c r="F202" s="447" t="s">
        <v>3736</v>
      </c>
      <c r="G202" s="367"/>
      <c r="H202" s="447">
        <v>79.0</v>
      </c>
      <c r="I202" s="448">
        <v>78.0</v>
      </c>
      <c r="J202" s="433">
        <f>VLOOKUP(D202,'L3'!$1:$2060,2,False)</f>
        <v>57</v>
      </c>
      <c r="K202" s="433">
        <f>VLOOKUP(D202,'L4'!$1:$2059,2,False)</f>
        <v>70</v>
      </c>
      <c r="L202" s="434">
        <f>VLOOKUP(D202,'A1 RETEST 5 DEC'!$1:$2096,2,FALSE)</f>
        <v>50</v>
      </c>
      <c r="M202" s="434">
        <f>VLOOKUP(D202,'A2 RETEST 4 DEC'!$1:$2096,2,FALSE)</f>
        <v>50</v>
      </c>
      <c r="N202" s="435">
        <v>50.0</v>
      </c>
      <c r="O202" s="449"/>
      <c r="P202" s="436">
        <f>IFNA(VLOOKUP(D202,'S1'!$1:$1325,2,False),0)</f>
        <v>75</v>
      </c>
      <c r="Q202" s="436">
        <f>vlookup(D202,'S2'!A198:B1400,2,0)</f>
        <v>64</v>
      </c>
      <c r="R202" s="436">
        <f>ifna(vlookup(D202,'S3'!$1:$1311,2,False),0)</f>
        <v>50</v>
      </c>
      <c r="S202" s="436"/>
      <c r="T202" s="437">
        <v>20.0</v>
      </c>
      <c r="U202" s="437">
        <v>18.0</v>
      </c>
      <c r="V202" s="437">
        <v>38.0</v>
      </c>
      <c r="W202" s="437">
        <v>80.0</v>
      </c>
      <c r="X202" s="437">
        <v>66.0</v>
      </c>
      <c r="Y202" s="437"/>
      <c r="Z202" s="438"/>
      <c r="AA202" s="450">
        <v>63.2</v>
      </c>
      <c r="AB202" s="409">
        <v>74.0</v>
      </c>
      <c r="AC202" s="395">
        <v>69.0</v>
      </c>
      <c r="AD202" s="439"/>
      <c r="AE202" s="440">
        <v>70.0</v>
      </c>
      <c r="AF202" s="441"/>
      <c r="AG202" s="439"/>
      <c r="AH202" s="451">
        <v>0.0</v>
      </c>
      <c r="AI202" s="441"/>
      <c r="AJ202" s="441"/>
      <c r="AK202" s="442">
        <f t="shared" si="1"/>
        <v>2</v>
      </c>
      <c r="AL202" s="442">
        <f t="shared" si="2"/>
        <v>3</v>
      </c>
      <c r="AM202" s="424">
        <f t="shared" si="3"/>
        <v>3</v>
      </c>
      <c r="AN202" s="442" t="str">
        <f t="shared" si="4"/>
        <v>3.5</v>
      </c>
      <c r="AO202" s="442">
        <f t="shared" si="5"/>
        <v>3</v>
      </c>
      <c r="AP202" s="367"/>
    </row>
    <row r="203">
      <c r="A203" s="385">
        <v>199.0</v>
      </c>
      <c r="B203" s="446" t="s">
        <v>2355</v>
      </c>
      <c r="C203" s="446" t="s">
        <v>3367</v>
      </c>
      <c r="D203" s="402" t="str">
        <f>VLOOKUP(B203,USN!$1:$1088,2,False)</f>
        <v>1CR23EC208</v>
      </c>
      <c r="E203" s="447">
        <v>8.618175984E9</v>
      </c>
      <c r="F203" s="447" t="s">
        <v>3736</v>
      </c>
      <c r="G203" s="367"/>
      <c r="H203" s="447">
        <v>80.0</v>
      </c>
      <c r="I203" s="448">
        <v>89.0</v>
      </c>
      <c r="J203" s="433">
        <f>VLOOKUP(D203,'L3'!$1:$2060,2,False)</f>
        <v>71</v>
      </c>
      <c r="K203" s="433">
        <f>VLOOKUP(D203,'L4'!$1:$2059,2,False)</f>
        <v>70</v>
      </c>
      <c r="L203" s="434">
        <f>VLOOKUP(D203,'A1 RETEST 5 DEC'!$1:$2096,2,FALSE)</f>
        <v>50</v>
      </c>
      <c r="M203" s="434">
        <f>VLOOKUP(D203,'A2 RETEST 4 DEC'!$1:$2096,2,FALSE)</f>
        <v>50</v>
      </c>
      <c r="N203" s="435">
        <v>50.0</v>
      </c>
      <c r="O203" s="449"/>
      <c r="P203" s="436">
        <f>IFNA(VLOOKUP(D203,'S1'!$1:$1325,2,False),0)</f>
        <v>70</v>
      </c>
      <c r="Q203" s="436">
        <f>vlookup(D203,'S2'!A199:B1401,2,0)</f>
        <v>56</v>
      </c>
      <c r="R203" s="436">
        <f>ifna(vlookup(D203,'S3'!$1:$1311,2,False),0)</f>
        <v>50</v>
      </c>
      <c r="S203" s="436"/>
      <c r="T203" s="437">
        <v>12.0</v>
      </c>
      <c r="U203" s="437">
        <v>20.0</v>
      </c>
      <c r="V203" s="437">
        <v>30.0</v>
      </c>
      <c r="W203" s="437">
        <v>84.0</v>
      </c>
      <c r="X203" s="437">
        <v>56.0</v>
      </c>
      <c r="Y203" s="437"/>
      <c r="Z203" s="438"/>
      <c r="AA203" s="450">
        <v>80.0</v>
      </c>
      <c r="AB203" s="409">
        <v>100.0</v>
      </c>
      <c r="AC203" s="395">
        <v>77.0</v>
      </c>
      <c r="AD203" s="439"/>
      <c r="AE203" s="440">
        <v>27.0</v>
      </c>
      <c r="AF203" s="441"/>
      <c r="AG203" s="439"/>
      <c r="AH203" s="451">
        <v>70.0</v>
      </c>
      <c r="AI203" s="441"/>
      <c r="AJ203" s="441"/>
      <c r="AK203" s="442">
        <f t="shared" si="1"/>
        <v>4</v>
      </c>
      <c r="AL203" s="442">
        <f t="shared" si="2"/>
        <v>3</v>
      </c>
      <c r="AM203" s="424">
        <f t="shared" si="3"/>
        <v>3</v>
      </c>
      <c r="AN203" s="442" t="str">
        <f t="shared" si="4"/>
        <v>3</v>
      </c>
      <c r="AO203" s="442">
        <f t="shared" si="5"/>
        <v>3</v>
      </c>
      <c r="AP203" s="367"/>
    </row>
    <row r="204">
      <c r="A204" s="385">
        <v>200.0</v>
      </c>
      <c r="B204" s="446" t="s">
        <v>2386</v>
      </c>
      <c r="C204" s="446" t="s">
        <v>3368</v>
      </c>
      <c r="D204" s="402" t="str">
        <f>VLOOKUP(B204,USN!$1:$1088,2,False)</f>
        <v>1CR23EC209</v>
      </c>
      <c r="E204" s="447">
        <v>8.884476139E9</v>
      </c>
      <c r="F204" s="447" t="s">
        <v>3736</v>
      </c>
      <c r="G204" s="367"/>
      <c r="H204" s="447">
        <v>88.0</v>
      </c>
      <c r="I204" s="448">
        <v>83.0</v>
      </c>
      <c r="J204" s="433">
        <f>VLOOKUP(D204,'L3'!$1:$2060,2,False)</f>
        <v>71</v>
      </c>
      <c r="K204" s="433">
        <f>VLOOKUP(D204,'L4'!$1:$2059,2,False)</f>
        <v>70</v>
      </c>
      <c r="L204" s="434">
        <f>VLOOKUP(D204,'A1 RETEST 5 DEC'!$1:$2096,2,FALSE)</f>
        <v>55</v>
      </c>
      <c r="M204" s="434">
        <f>VLOOKUP(D204,'A2 RETEST 4 DEC'!$1:$2096,2,FALSE)</f>
        <v>50</v>
      </c>
      <c r="N204" s="435">
        <v>50.0</v>
      </c>
      <c r="O204" s="449"/>
      <c r="P204" s="436">
        <f>IFNA(VLOOKUP(D204,'S1'!$1:$1325,2,False),0)</f>
        <v>70</v>
      </c>
      <c r="Q204" s="436">
        <f>vlookup(D204,'S2'!A200:B1402,2,0)</f>
        <v>75</v>
      </c>
      <c r="R204" s="436">
        <f>ifna(vlookup(D204,'S3'!$1:$1311,2,False),0)</f>
        <v>89</v>
      </c>
      <c r="S204" s="436"/>
      <c r="T204" s="437">
        <v>16.0</v>
      </c>
      <c r="U204" s="437">
        <v>16.0</v>
      </c>
      <c r="V204" s="437">
        <v>42.0</v>
      </c>
      <c r="W204" s="437">
        <v>78.0</v>
      </c>
      <c r="X204" s="437">
        <v>68.0</v>
      </c>
      <c r="Y204" s="437"/>
      <c r="Z204" s="438"/>
      <c r="AA204" s="450">
        <v>67.0</v>
      </c>
      <c r="AB204" s="409">
        <v>85.0</v>
      </c>
      <c r="AC204" s="395">
        <v>63.0</v>
      </c>
      <c r="AD204" s="439"/>
      <c r="AE204" s="440">
        <v>70.0</v>
      </c>
      <c r="AF204" s="441"/>
      <c r="AG204" s="439"/>
      <c r="AH204" s="441"/>
      <c r="AI204" s="441"/>
      <c r="AJ204" s="441"/>
      <c r="AK204" s="442">
        <f t="shared" si="1"/>
        <v>4</v>
      </c>
      <c r="AL204" s="442">
        <f t="shared" si="2"/>
        <v>3</v>
      </c>
      <c r="AM204" s="424">
        <f t="shared" si="3"/>
        <v>3</v>
      </c>
      <c r="AN204" s="442" t="str">
        <f t="shared" si="4"/>
        <v>3.5</v>
      </c>
      <c r="AO204" s="442">
        <f t="shared" si="5"/>
        <v>3</v>
      </c>
      <c r="AP204" s="367"/>
    </row>
    <row r="205">
      <c r="A205" s="385">
        <v>201.0</v>
      </c>
      <c r="B205" s="446" t="s">
        <v>2392</v>
      </c>
      <c r="C205" s="446" t="s">
        <v>3369</v>
      </c>
      <c r="D205" s="402" t="str">
        <f>VLOOKUP(B205,USN!$1:$1088,2,False)</f>
        <v>1CR23EC210</v>
      </c>
      <c r="E205" s="447">
        <v>9.008789067E9</v>
      </c>
      <c r="F205" s="447" t="s">
        <v>3736</v>
      </c>
      <c r="G205" s="367"/>
      <c r="H205" s="447">
        <v>86.0</v>
      </c>
      <c r="I205" s="448">
        <v>78.0</v>
      </c>
      <c r="J205" s="433">
        <f>VLOOKUP(D205,'L3'!$1:$2060,2,False)</f>
        <v>72</v>
      </c>
      <c r="K205" s="433">
        <f>VLOOKUP(D205,'L4'!$1:$2059,2,False)</f>
        <v>70</v>
      </c>
      <c r="L205" s="434">
        <f>VLOOKUP(D205,'A1 RETEST 5 DEC'!$1:$2096,2,FALSE)</f>
        <v>59</v>
      </c>
      <c r="M205" s="434">
        <f>VLOOKUP(D205,'A2 RETEST 4 DEC'!$1:$2096,2,FALSE)</f>
        <v>7</v>
      </c>
      <c r="N205" s="435">
        <v>50.0</v>
      </c>
      <c r="O205" s="449"/>
      <c r="P205" s="436">
        <f>IFNA(VLOOKUP(D205,'S1'!$1:$1325,2,False),0)</f>
        <v>70</v>
      </c>
      <c r="Q205" s="436">
        <f>vlookup(D205,'S2'!A201:B1403,2,0)</f>
        <v>56</v>
      </c>
      <c r="R205" s="436">
        <f>ifna(vlookup(D205,'S3'!$1:$1311,2,False),0)</f>
        <v>82</v>
      </c>
      <c r="S205" s="436"/>
      <c r="T205" s="437">
        <v>14.0</v>
      </c>
      <c r="U205" s="437">
        <v>18.0</v>
      </c>
      <c r="V205" s="437">
        <v>52.0</v>
      </c>
      <c r="W205" s="437">
        <v>76.0</v>
      </c>
      <c r="X205" s="437">
        <v>72.0</v>
      </c>
      <c r="Y205" s="437"/>
      <c r="Z205" s="438"/>
      <c r="AA205" s="450">
        <v>68.0</v>
      </c>
      <c r="AB205" s="409">
        <v>100.0</v>
      </c>
      <c r="AC205" s="395">
        <v>77.0</v>
      </c>
      <c r="AD205" s="439"/>
      <c r="AE205" s="440">
        <v>70.0</v>
      </c>
      <c r="AF205" s="441"/>
      <c r="AG205" s="439"/>
      <c r="AH205" s="441"/>
      <c r="AI205" s="441"/>
      <c r="AJ205" s="441"/>
      <c r="AK205" s="442">
        <f t="shared" si="1"/>
        <v>4</v>
      </c>
      <c r="AL205" s="442">
        <f t="shared" si="2"/>
        <v>1</v>
      </c>
      <c r="AM205" s="424">
        <f t="shared" si="3"/>
        <v>3</v>
      </c>
      <c r="AN205" s="442" t="str">
        <f t="shared" si="4"/>
        <v>3.5</v>
      </c>
      <c r="AO205" s="442">
        <f t="shared" si="5"/>
        <v>3</v>
      </c>
      <c r="AP205" s="367"/>
    </row>
    <row r="206">
      <c r="A206" s="385">
        <v>202.0</v>
      </c>
      <c r="B206" s="446" t="s">
        <v>2356</v>
      </c>
      <c r="C206" s="446" t="s">
        <v>3370</v>
      </c>
      <c r="D206" s="402" t="str">
        <f>VLOOKUP(B206,USN!$1:$1088,2,False)</f>
        <v>1CR23EC211</v>
      </c>
      <c r="E206" s="447">
        <v>8.017393847E9</v>
      </c>
      <c r="F206" s="447" t="s">
        <v>3736</v>
      </c>
      <c r="G206" s="367"/>
      <c r="H206" s="447">
        <v>95.0</v>
      </c>
      <c r="I206" s="448">
        <v>92.0</v>
      </c>
      <c r="J206" s="433">
        <f>VLOOKUP(D206,'L3'!$1:$2060,2,False)</f>
        <v>85</v>
      </c>
      <c r="K206" s="433">
        <f>VLOOKUP(D206,'L4'!$1:$2059,2,False)</f>
        <v>77</v>
      </c>
      <c r="L206" s="434">
        <f>VLOOKUP(D206,'A1 RETEST 5 DEC'!$1:$2096,2,FALSE)</f>
        <v>56</v>
      </c>
      <c r="M206" s="434">
        <f>VLOOKUP(D206,'A2 RETEST 4 DEC'!$1:$2096,2,FALSE)</f>
        <v>50</v>
      </c>
      <c r="N206" s="435">
        <v>50.0</v>
      </c>
      <c r="O206" s="449"/>
      <c r="P206" s="436">
        <f>IFNA(VLOOKUP(D206,'S1'!$1:$1325,2,False),0)</f>
        <v>78</v>
      </c>
      <c r="Q206" s="436">
        <f>vlookup(D206,'S2'!A202:B1404,2,0)</f>
        <v>88</v>
      </c>
      <c r="R206" s="436">
        <f>ifna(vlookup(D206,'S3'!$1:$1311,2,False),0)</f>
        <v>92</v>
      </c>
      <c r="S206" s="436"/>
      <c r="T206" s="437">
        <v>12.0</v>
      </c>
      <c r="U206" s="437">
        <v>19.0</v>
      </c>
      <c r="V206" s="437">
        <v>60.0</v>
      </c>
      <c r="W206" s="437">
        <v>70.0</v>
      </c>
      <c r="X206" s="437">
        <v>66.0</v>
      </c>
      <c r="Y206" s="437"/>
      <c r="Z206" s="438"/>
      <c r="AA206" s="450">
        <v>100.0</v>
      </c>
      <c r="AB206" s="409">
        <v>100.0</v>
      </c>
      <c r="AC206" s="395">
        <v>60.0</v>
      </c>
      <c r="AD206" s="439"/>
      <c r="AE206" s="440">
        <v>40.0</v>
      </c>
      <c r="AF206" s="441"/>
      <c r="AG206" s="439"/>
      <c r="AH206" s="451">
        <v>13.0</v>
      </c>
      <c r="AI206" s="441"/>
      <c r="AJ206" s="441"/>
      <c r="AK206" s="442">
        <f t="shared" si="1"/>
        <v>4</v>
      </c>
      <c r="AL206" s="442">
        <f t="shared" si="2"/>
        <v>3</v>
      </c>
      <c r="AM206" s="424">
        <f t="shared" si="3"/>
        <v>3</v>
      </c>
      <c r="AN206" s="442" t="str">
        <f t="shared" si="4"/>
        <v>3</v>
      </c>
      <c r="AO206" s="442">
        <f t="shared" si="5"/>
        <v>3</v>
      </c>
      <c r="AP206" s="367"/>
    </row>
    <row r="207">
      <c r="A207" s="385">
        <v>203.0</v>
      </c>
      <c r="B207" s="446" t="s">
        <v>2330</v>
      </c>
      <c r="C207" s="446" t="s">
        <v>3371</v>
      </c>
      <c r="D207" s="402" t="str">
        <f>VLOOKUP(B207,USN!$1:$1088,2,False)</f>
        <v>1CR23EC212</v>
      </c>
      <c r="E207" s="447">
        <v>9.591116299E9</v>
      </c>
      <c r="F207" s="446" t="s">
        <v>3736</v>
      </c>
      <c r="G207" s="367"/>
      <c r="H207" s="447">
        <v>74.0</v>
      </c>
      <c r="I207" s="448">
        <v>74.0</v>
      </c>
      <c r="J207" s="433">
        <f>VLOOKUP(D207,'L3'!$1:$2060,2,False)</f>
        <v>62</v>
      </c>
      <c r="K207" s="433">
        <f>VLOOKUP(D207,'L4'!$1:$2059,2,False)</f>
        <v>70</v>
      </c>
      <c r="L207" s="434">
        <f>VLOOKUP(D207,'A1 RETEST 5 DEC'!$1:$2096,2,FALSE)</f>
        <v>27</v>
      </c>
      <c r="M207" s="434">
        <f>VLOOKUP(D207,'A2 RETEST 4 DEC'!$1:$2096,2,FALSE)</f>
        <v>50</v>
      </c>
      <c r="N207" s="435">
        <v>50.0</v>
      </c>
      <c r="O207" s="449"/>
      <c r="P207" s="436">
        <f>IFNA(VLOOKUP(D207,'S1'!$1:$1325,2,False),0)</f>
        <v>77</v>
      </c>
      <c r="Q207" s="436">
        <f>vlookup(D207,'S2'!A203:B1405,2,0)</f>
        <v>64</v>
      </c>
      <c r="R207" s="436">
        <f>ifna(vlookup(D207,'S3'!$1:$1311,2,False),0)</f>
        <v>50</v>
      </c>
      <c r="S207" s="436"/>
      <c r="T207" s="437">
        <v>13.0</v>
      </c>
      <c r="U207" s="437">
        <v>18.0</v>
      </c>
      <c r="V207" s="437">
        <v>38.0</v>
      </c>
      <c r="W207" s="437">
        <v>82.0</v>
      </c>
      <c r="X207" s="437">
        <v>72.0</v>
      </c>
      <c r="Y207" s="437"/>
      <c r="Z207" s="438"/>
      <c r="AA207" s="450">
        <v>69.0</v>
      </c>
      <c r="AB207" s="409">
        <v>93.0</v>
      </c>
      <c r="AC207" s="395">
        <v>80.0</v>
      </c>
      <c r="AD207" s="439"/>
      <c r="AE207" s="440">
        <v>90.0</v>
      </c>
      <c r="AF207" s="441"/>
      <c r="AG207" s="439"/>
      <c r="AH207" s="441"/>
      <c r="AI207" s="441"/>
      <c r="AJ207" s="441"/>
      <c r="AK207" s="442">
        <f t="shared" si="1"/>
        <v>2</v>
      </c>
      <c r="AL207" s="442">
        <f t="shared" si="2"/>
        <v>0</v>
      </c>
      <c r="AM207" s="424">
        <f t="shared" si="3"/>
        <v>3</v>
      </c>
      <c r="AN207" s="442" t="str">
        <f t="shared" si="4"/>
        <v>3.5</v>
      </c>
      <c r="AO207" s="442">
        <f t="shared" si="5"/>
        <v>3</v>
      </c>
      <c r="AP207" s="367"/>
    </row>
    <row r="208">
      <c r="A208" s="385">
        <v>204.0</v>
      </c>
      <c r="B208" s="446" t="s">
        <v>2357</v>
      </c>
      <c r="C208" s="446" t="s">
        <v>3372</v>
      </c>
      <c r="D208" s="402" t="str">
        <f>VLOOKUP(B208,USN!$1:$1088,2,False)</f>
        <v>1CR23EC213</v>
      </c>
      <c r="E208" s="447">
        <v>9.108129684E9</v>
      </c>
      <c r="F208" s="447" t="s">
        <v>3736</v>
      </c>
      <c r="G208" s="367"/>
      <c r="H208" s="447">
        <v>88.0</v>
      </c>
      <c r="I208" s="448">
        <v>88.0</v>
      </c>
      <c r="J208" s="433">
        <f>VLOOKUP(D208,'L3'!$1:$2060,2,False)</f>
        <v>72</v>
      </c>
      <c r="K208" s="433">
        <f>VLOOKUP(D208,'L4'!$1:$2059,2,False)</f>
        <v>79</v>
      </c>
      <c r="L208" s="434">
        <f>VLOOKUP(D208,'A1 RETEST 5 DEC'!$1:$2096,2,FALSE)</f>
        <v>50</v>
      </c>
      <c r="M208" s="434">
        <f>VLOOKUP(D208,'A2 RETEST 4 DEC'!$1:$2096,2,FALSE)</f>
        <v>0</v>
      </c>
      <c r="N208" s="435">
        <v>0.0</v>
      </c>
      <c r="O208" s="449"/>
      <c r="P208" s="436">
        <f>IFNA(VLOOKUP(D208,'S1'!$1:$1325,2,False),0)</f>
        <v>75</v>
      </c>
      <c r="Q208" s="436">
        <f>vlookup(D208,'S2'!A204:B1406,2,0)</f>
        <v>0</v>
      </c>
      <c r="R208" s="436">
        <f>ifna(vlookup(D208,'S3'!$1:$1311,2,False),0)</f>
        <v>45</v>
      </c>
      <c r="S208" s="436"/>
      <c r="T208" s="437">
        <v>11.0</v>
      </c>
      <c r="U208" s="437">
        <v>16.0</v>
      </c>
      <c r="V208" s="437">
        <v>52.0</v>
      </c>
      <c r="W208" s="437">
        <v>86.0</v>
      </c>
      <c r="X208" s="453"/>
      <c r="Y208" s="437"/>
      <c r="Z208" s="438"/>
      <c r="AA208" s="450">
        <v>100.0</v>
      </c>
      <c r="AB208" s="409">
        <v>100.0</v>
      </c>
      <c r="AC208" s="395">
        <v>0.0</v>
      </c>
      <c r="AD208" s="439"/>
      <c r="AE208" s="440">
        <v>10.0</v>
      </c>
      <c r="AF208" s="441"/>
      <c r="AG208" s="439"/>
      <c r="AH208" s="451">
        <v>0.0</v>
      </c>
      <c r="AI208" s="441"/>
      <c r="AJ208" s="441"/>
      <c r="AK208" s="442">
        <f t="shared" si="1"/>
        <v>4</v>
      </c>
      <c r="AL208" s="442">
        <f t="shared" si="2"/>
        <v>1</v>
      </c>
      <c r="AM208" s="424">
        <f t="shared" si="3"/>
        <v>3</v>
      </c>
      <c r="AN208" s="442" t="str">
        <f t="shared" si="4"/>
        <v>2</v>
      </c>
      <c r="AO208" s="442">
        <f t="shared" si="5"/>
        <v>1</v>
      </c>
      <c r="AP208" s="367"/>
    </row>
    <row r="209">
      <c r="A209" s="385">
        <v>205.0</v>
      </c>
      <c r="B209" s="446" t="s">
        <v>2359</v>
      </c>
      <c r="C209" s="446" t="s">
        <v>3374</v>
      </c>
      <c r="D209" s="402" t="str">
        <f>VLOOKUP(B209,USN!$1:$1088,2,False)</f>
        <v>1CR23EC215</v>
      </c>
      <c r="E209" s="447">
        <v>8.105148087E9</v>
      </c>
      <c r="F209" s="447" t="s">
        <v>3736</v>
      </c>
      <c r="G209" s="367"/>
      <c r="H209" s="447">
        <v>86.0</v>
      </c>
      <c r="I209" s="448">
        <v>76.0</v>
      </c>
      <c r="J209" s="433">
        <f>VLOOKUP(D209,'L3'!$1:$2060,2,False)</f>
        <v>74</v>
      </c>
      <c r="K209" s="433">
        <f>VLOOKUP(D209,'L4'!$1:$2059,2,False)</f>
        <v>70</v>
      </c>
      <c r="L209" s="434">
        <f>VLOOKUP(D209,'A1 RETEST 5 DEC'!$1:$2096,2,FALSE)</f>
        <v>50</v>
      </c>
      <c r="M209" s="434">
        <f>VLOOKUP(D209,'A2 RETEST 4 DEC'!$1:$2096,2,FALSE)</f>
        <v>10</v>
      </c>
      <c r="N209" s="435">
        <v>50.0</v>
      </c>
      <c r="O209" s="449"/>
      <c r="P209" s="436">
        <f>IFNA(VLOOKUP(D209,'S1'!$1:$1325,2,False),0)</f>
        <v>75</v>
      </c>
      <c r="Q209" s="436">
        <f>vlookup(D209,'S2'!A205:B1407,2,0)</f>
        <v>70</v>
      </c>
      <c r="R209" s="436">
        <f>ifna(vlookup(D209,'S3'!$1:$1311,2,False),0)</f>
        <v>84</v>
      </c>
      <c r="S209" s="436"/>
      <c r="T209" s="437">
        <v>11.0</v>
      </c>
      <c r="U209" s="437">
        <v>20.0</v>
      </c>
      <c r="V209" s="437">
        <v>52.0</v>
      </c>
      <c r="W209" s="437">
        <v>80.0</v>
      </c>
      <c r="X209" s="437">
        <v>72.0</v>
      </c>
      <c r="Y209" s="437"/>
      <c r="Z209" s="438"/>
      <c r="AA209" s="450">
        <v>82.0</v>
      </c>
      <c r="AB209" s="409">
        <v>100.0</v>
      </c>
      <c r="AC209" s="395">
        <v>77.0</v>
      </c>
      <c r="AD209" s="439"/>
      <c r="AE209" s="440">
        <v>70.0</v>
      </c>
      <c r="AF209" s="441"/>
      <c r="AG209" s="439"/>
      <c r="AH209" s="441"/>
      <c r="AI209" s="441"/>
      <c r="AJ209" s="441"/>
      <c r="AK209" s="442">
        <f t="shared" si="1"/>
        <v>4</v>
      </c>
      <c r="AL209" s="442">
        <f t="shared" si="2"/>
        <v>1</v>
      </c>
      <c r="AM209" s="424">
        <f t="shared" si="3"/>
        <v>3</v>
      </c>
      <c r="AN209" s="442" t="str">
        <f t="shared" si="4"/>
        <v>3.5</v>
      </c>
      <c r="AO209" s="442">
        <f t="shared" si="5"/>
        <v>3</v>
      </c>
      <c r="AP209" s="367"/>
    </row>
    <row r="210">
      <c r="A210" s="385">
        <v>206.0</v>
      </c>
      <c r="B210" s="446" t="s">
        <v>2360</v>
      </c>
      <c r="C210" s="446" t="s">
        <v>3375</v>
      </c>
      <c r="D210" s="402" t="str">
        <f>VLOOKUP(B210,USN!$1:$1088,2,False)</f>
        <v>1CR23EC216</v>
      </c>
      <c r="E210" s="447">
        <v>9.48086773E9</v>
      </c>
      <c r="F210" s="447" t="s">
        <v>3736</v>
      </c>
      <c r="G210" s="367"/>
      <c r="H210" s="447">
        <v>83.0</v>
      </c>
      <c r="I210" s="448">
        <v>77.0</v>
      </c>
      <c r="J210" s="433">
        <f>VLOOKUP(D210,'L3'!$1:$2060,2,False)</f>
        <v>70</v>
      </c>
      <c r="K210" s="433">
        <f>VLOOKUP(D210,'L4'!$1:$2059,2,False)</f>
        <v>70</v>
      </c>
      <c r="L210" s="434">
        <f>VLOOKUP(D210,'A1 RETEST 5 DEC'!$1:$2096,2,FALSE)</f>
        <v>50</v>
      </c>
      <c r="M210" s="434">
        <f>VLOOKUP(D210,'A2 RETEST 4 DEC'!$1:$2096,2,FALSE)</f>
        <v>23</v>
      </c>
      <c r="N210" s="435">
        <v>50.0</v>
      </c>
      <c r="O210" s="449"/>
      <c r="P210" s="436">
        <f>IFNA(VLOOKUP(D210,'S1'!$1:$1325,2,False),0)</f>
        <v>70</v>
      </c>
      <c r="Q210" s="436">
        <f>vlookup(D210,'S2'!A206:B1408,2,0)</f>
        <v>67</v>
      </c>
      <c r="R210" s="436">
        <f>ifna(vlookup(D210,'S3'!$1:$1311,2,False),0)</f>
        <v>84</v>
      </c>
      <c r="S210" s="436"/>
      <c r="T210" s="437">
        <v>10.0</v>
      </c>
      <c r="U210" s="437">
        <v>12.0</v>
      </c>
      <c r="V210" s="437">
        <v>54.0</v>
      </c>
      <c r="W210" s="437">
        <v>74.0</v>
      </c>
      <c r="X210" s="437">
        <v>74.0</v>
      </c>
      <c r="Y210" s="437"/>
      <c r="Z210" s="438"/>
      <c r="AA210" s="450">
        <v>45.0</v>
      </c>
      <c r="AB210" s="409">
        <v>92.0</v>
      </c>
      <c r="AC210" s="395">
        <v>77.0</v>
      </c>
      <c r="AD210" s="439"/>
      <c r="AE210" s="440">
        <v>40.0</v>
      </c>
      <c r="AF210" s="441"/>
      <c r="AG210" s="439"/>
      <c r="AH210" s="441"/>
      <c r="AI210" s="441"/>
      <c r="AJ210" s="441"/>
      <c r="AK210" s="442">
        <f t="shared" si="1"/>
        <v>4</v>
      </c>
      <c r="AL210" s="442">
        <f t="shared" si="2"/>
        <v>1</v>
      </c>
      <c r="AM210" s="424">
        <f t="shared" si="3"/>
        <v>3</v>
      </c>
      <c r="AN210" s="442" t="str">
        <f t="shared" si="4"/>
        <v>3</v>
      </c>
      <c r="AO210" s="442">
        <f t="shared" si="5"/>
        <v>3</v>
      </c>
      <c r="AP210" s="367"/>
    </row>
    <row r="211">
      <c r="A211" s="385">
        <v>207.0</v>
      </c>
      <c r="B211" s="446" t="s">
        <v>2405</v>
      </c>
      <c r="C211" s="446" t="s">
        <v>3376</v>
      </c>
      <c r="D211" s="402" t="str">
        <f>VLOOKUP(B211,USN!$1:$1088,2,False)</f>
        <v>1CR23EC217</v>
      </c>
      <c r="E211" s="447">
        <v>6.005770266E9</v>
      </c>
      <c r="F211" s="447" t="s">
        <v>3736</v>
      </c>
      <c r="G211" s="367"/>
      <c r="H211" s="447">
        <v>81.0</v>
      </c>
      <c r="I211" s="448">
        <v>86.0</v>
      </c>
      <c r="J211" s="433">
        <f>VLOOKUP(D211,'L3'!$1:$2060,2,False)</f>
        <v>70</v>
      </c>
      <c r="K211" s="433">
        <f>VLOOKUP(D211,'L4'!$1:$2059,2,False)</f>
        <v>70</v>
      </c>
      <c r="L211" s="434">
        <f>VLOOKUP(D211,'A1 RETEST 5 DEC'!$1:$2096,2,FALSE)</f>
        <v>50</v>
      </c>
      <c r="M211" s="434">
        <f>VLOOKUP(D211,'A2 RETEST 4 DEC'!$1:$2096,2,FALSE)</f>
        <v>0</v>
      </c>
      <c r="N211" s="435">
        <v>25.0</v>
      </c>
      <c r="O211" s="449"/>
      <c r="P211" s="436">
        <f>IFNA(VLOOKUP(D211,'S1'!$1:$1325,2,False),0)</f>
        <v>50</v>
      </c>
      <c r="Q211" s="436">
        <f>vlookup(D211,'S2'!A207:B1409,2,0)</f>
        <v>64</v>
      </c>
      <c r="R211" s="436">
        <f>ifna(vlookup(D211,'S3'!$1:$1311,2,False),0)</f>
        <v>50</v>
      </c>
      <c r="S211" s="436"/>
      <c r="T211" s="437">
        <v>14.0</v>
      </c>
      <c r="U211" s="437" t="s">
        <v>2477</v>
      </c>
      <c r="V211" s="437">
        <v>0.0</v>
      </c>
      <c r="W211" s="437">
        <v>78.0</v>
      </c>
      <c r="X211" s="437">
        <v>76.0</v>
      </c>
      <c r="Y211" s="437"/>
      <c r="Z211" s="438"/>
      <c r="AA211" s="450">
        <v>0.0</v>
      </c>
      <c r="AB211" s="409">
        <v>70.0</v>
      </c>
      <c r="AC211" s="395">
        <v>0.0</v>
      </c>
      <c r="AD211" s="439">
        <v>70.0</v>
      </c>
      <c r="AE211" s="440">
        <v>10.0</v>
      </c>
      <c r="AF211" s="441"/>
      <c r="AG211" s="439"/>
      <c r="AH211" s="441"/>
      <c r="AI211" s="441"/>
      <c r="AJ211" s="441"/>
      <c r="AK211" s="442">
        <f t="shared" si="1"/>
        <v>4</v>
      </c>
      <c r="AL211" s="442">
        <f t="shared" si="2"/>
        <v>1</v>
      </c>
      <c r="AM211" s="424">
        <f t="shared" si="3"/>
        <v>3</v>
      </c>
      <c r="AN211" s="442" t="str">
        <f t="shared" si="4"/>
        <v>3</v>
      </c>
      <c r="AO211" s="442">
        <f t="shared" si="5"/>
        <v>3</v>
      </c>
      <c r="AP211" s="367"/>
    </row>
    <row r="212">
      <c r="A212" s="385">
        <v>208.0</v>
      </c>
      <c r="B212" s="446" t="s">
        <v>2361</v>
      </c>
      <c r="C212" s="446" t="s">
        <v>3377</v>
      </c>
      <c r="D212" s="402" t="str">
        <f>VLOOKUP(B212,USN!$1:$1088,2,False)</f>
        <v>1CR23EC218</v>
      </c>
      <c r="E212" s="447">
        <v>8.360602138E9</v>
      </c>
      <c r="F212" s="447" t="s">
        <v>3736</v>
      </c>
      <c r="G212" s="367"/>
      <c r="H212" s="447">
        <v>83.0</v>
      </c>
      <c r="I212" s="448">
        <v>78.0</v>
      </c>
      <c r="J212" s="433">
        <f>VLOOKUP(D212,'L3'!$1:$2060,2,False)</f>
        <v>70</v>
      </c>
      <c r="K212" s="433">
        <f>VLOOKUP(D212,'L4'!$1:$2059,2,False)</f>
        <v>70</v>
      </c>
      <c r="L212" s="434">
        <f>VLOOKUP(D212,'A1 RETEST 5 DEC'!$1:$2096,2,FALSE)</f>
        <v>50</v>
      </c>
      <c r="M212" s="434">
        <f>VLOOKUP(D212,'A2 RETEST 4 DEC'!$1:$2096,2,FALSE)</f>
        <v>50</v>
      </c>
      <c r="N212" s="435">
        <v>55.0</v>
      </c>
      <c r="O212" s="449"/>
      <c r="P212" s="436">
        <f>IFNA(VLOOKUP(D212,'S1'!$1:$1325,2,False),0)</f>
        <v>70</v>
      </c>
      <c r="Q212" s="436">
        <f>vlookup(D212,'S2'!A208:B1410,2,0)</f>
        <v>56</v>
      </c>
      <c r="R212" s="436">
        <f>ifna(vlookup(D212,'S3'!$1:$1311,2,False),0)</f>
        <v>99</v>
      </c>
      <c r="S212" s="436"/>
      <c r="T212" s="437">
        <v>10.0</v>
      </c>
      <c r="U212" s="437">
        <v>12.0</v>
      </c>
      <c r="V212" s="437">
        <v>36.0</v>
      </c>
      <c r="W212" s="437">
        <v>82.0</v>
      </c>
      <c r="X212" s="437">
        <v>74.0</v>
      </c>
      <c r="Y212" s="437"/>
      <c r="Z212" s="438"/>
      <c r="AA212" s="450">
        <v>77.0</v>
      </c>
      <c r="AB212" s="409">
        <v>97.0</v>
      </c>
      <c r="AC212" s="395">
        <v>63.0</v>
      </c>
      <c r="AD212" s="439"/>
      <c r="AE212" s="440">
        <v>70.0</v>
      </c>
      <c r="AF212" s="441"/>
      <c r="AG212" s="439"/>
      <c r="AH212" s="441"/>
      <c r="AI212" s="441"/>
      <c r="AJ212" s="441"/>
      <c r="AK212" s="442">
        <f t="shared" si="1"/>
        <v>4</v>
      </c>
      <c r="AL212" s="442">
        <f t="shared" si="2"/>
        <v>3</v>
      </c>
      <c r="AM212" s="424">
        <f t="shared" si="3"/>
        <v>3</v>
      </c>
      <c r="AN212" s="442" t="str">
        <f t="shared" si="4"/>
        <v>3.5</v>
      </c>
      <c r="AO212" s="442">
        <f t="shared" si="5"/>
        <v>3</v>
      </c>
      <c r="AP212" s="367"/>
    </row>
    <row r="213">
      <c r="A213" s="385">
        <v>209.0</v>
      </c>
      <c r="B213" s="446" t="s">
        <v>2362</v>
      </c>
      <c r="C213" s="446" t="s">
        <v>3378</v>
      </c>
      <c r="D213" s="402" t="str">
        <f>VLOOKUP(B213,USN!$1:$1088,2,False)</f>
        <v>1CR23EC219</v>
      </c>
      <c r="E213" s="447">
        <v>9.83209315E9</v>
      </c>
      <c r="F213" s="447" t="s">
        <v>3736</v>
      </c>
      <c r="G213" s="367"/>
      <c r="H213" s="447">
        <v>82.0</v>
      </c>
      <c r="I213" s="448">
        <v>79.0</v>
      </c>
      <c r="J213" s="433">
        <f>VLOOKUP(D213,'L3'!$1:$2060,2,False)</f>
        <v>74</v>
      </c>
      <c r="K213" s="433">
        <f>VLOOKUP(D213,'L4'!$1:$2059,2,False)</f>
        <v>70</v>
      </c>
      <c r="L213" s="434">
        <f>VLOOKUP(D213,'A1 RETEST 5 DEC'!$1:$2096,2,FALSE)</f>
        <v>50</v>
      </c>
      <c r="M213" s="434">
        <f>VLOOKUP(D213,'A2 RETEST 4 DEC'!$1:$2096,2,FALSE)</f>
        <v>50</v>
      </c>
      <c r="N213" s="435">
        <v>59.0</v>
      </c>
      <c r="O213" s="449"/>
      <c r="P213" s="436">
        <f>IFNA(VLOOKUP(D213,'S1'!$1:$1325,2,False),0)</f>
        <v>50</v>
      </c>
      <c r="Q213" s="436">
        <f>vlookup(D213,'S2'!A209:B1411,2,0)</f>
        <v>64</v>
      </c>
      <c r="R213" s="436">
        <f>ifna(vlookup(D213,'S3'!$1:$1311,2,False),0)</f>
        <v>100</v>
      </c>
      <c r="S213" s="436"/>
      <c r="T213" s="437">
        <v>13.0</v>
      </c>
      <c r="U213" s="437">
        <v>20.0</v>
      </c>
      <c r="V213" s="437">
        <v>38.0</v>
      </c>
      <c r="W213" s="437">
        <v>78.0</v>
      </c>
      <c r="X213" s="437">
        <v>68.0</v>
      </c>
      <c r="Y213" s="437"/>
      <c r="Z213" s="438"/>
      <c r="AA213" s="450">
        <v>0.0</v>
      </c>
      <c r="AB213" s="409">
        <v>60.0</v>
      </c>
      <c r="AC213" s="395">
        <v>70.0</v>
      </c>
      <c r="AD213" s="439"/>
      <c r="AE213" s="440">
        <v>78.0</v>
      </c>
      <c r="AF213" s="441"/>
      <c r="AG213" s="439"/>
      <c r="AH213" s="441"/>
      <c r="AI213" s="441"/>
      <c r="AJ213" s="441"/>
      <c r="AK213" s="442">
        <f t="shared" si="1"/>
        <v>4</v>
      </c>
      <c r="AL213" s="442">
        <f t="shared" si="2"/>
        <v>3</v>
      </c>
      <c r="AM213" s="424">
        <f t="shared" si="3"/>
        <v>3</v>
      </c>
      <c r="AN213" s="442" t="str">
        <f t="shared" si="4"/>
        <v>3.5</v>
      </c>
      <c r="AO213" s="442">
        <f t="shared" si="5"/>
        <v>3</v>
      </c>
      <c r="AP213" s="367"/>
    </row>
    <row r="214">
      <c r="A214" s="385">
        <v>210.0</v>
      </c>
      <c r="B214" s="446" t="s">
        <v>2363</v>
      </c>
      <c r="C214" s="446" t="s">
        <v>3379</v>
      </c>
      <c r="D214" s="402" t="str">
        <f>VLOOKUP(B214,USN!$1:$1088,2,False)</f>
        <v>1CR23EC220</v>
      </c>
      <c r="E214" s="447">
        <v>7.619492305E9</v>
      </c>
      <c r="F214" s="447" t="s">
        <v>3736</v>
      </c>
      <c r="G214" s="367"/>
      <c r="H214" s="447">
        <v>82.0</v>
      </c>
      <c r="I214" s="448">
        <v>84.0</v>
      </c>
      <c r="J214" s="433">
        <f>VLOOKUP(D214,'L3'!$1:$2060,2,False)</f>
        <v>70</v>
      </c>
      <c r="K214" s="433">
        <f>VLOOKUP(D214,'L4'!$1:$2059,2,False)</f>
        <v>70</v>
      </c>
      <c r="L214" s="434">
        <f>VLOOKUP(D214,'A1 RETEST 5 DEC'!$1:$2096,2,FALSE)</f>
        <v>50</v>
      </c>
      <c r="M214" s="434">
        <f>VLOOKUP(D214,'A2 RETEST 4 DEC'!$1:$2096,2,FALSE)</f>
        <v>50</v>
      </c>
      <c r="N214" s="435">
        <v>22.0</v>
      </c>
      <c r="O214" s="449"/>
      <c r="P214" s="436">
        <f>IFNA(VLOOKUP(D214,'S1'!$1:$1325,2,False),0)</f>
        <v>83</v>
      </c>
      <c r="Q214" s="436">
        <f>vlookup(D214,'S2'!A210:B1412,2,0)</f>
        <v>72</v>
      </c>
      <c r="R214" s="436">
        <f>ifna(vlookup(D214,'S3'!$1:$1311,2,False),0)</f>
        <v>87</v>
      </c>
      <c r="S214" s="436"/>
      <c r="T214" s="437">
        <v>18.0</v>
      </c>
      <c r="U214" s="437">
        <v>13.0</v>
      </c>
      <c r="V214" s="437">
        <v>54.0</v>
      </c>
      <c r="W214" s="437">
        <v>70.0</v>
      </c>
      <c r="X214" s="437">
        <v>66.0</v>
      </c>
      <c r="Y214" s="437"/>
      <c r="Z214" s="438"/>
      <c r="AA214" s="450">
        <v>0.0</v>
      </c>
      <c r="AB214" s="409">
        <v>82.0</v>
      </c>
      <c r="AC214" s="395">
        <v>44.0</v>
      </c>
      <c r="AD214" s="439"/>
      <c r="AE214" s="440">
        <v>13.0</v>
      </c>
      <c r="AF214" s="441"/>
      <c r="AG214" s="439"/>
      <c r="AH214" s="451">
        <v>0.0</v>
      </c>
      <c r="AI214" s="441"/>
      <c r="AJ214" s="441"/>
      <c r="AK214" s="442">
        <f t="shared" si="1"/>
        <v>4</v>
      </c>
      <c r="AL214" s="442">
        <f t="shared" si="2"/>
        <v>2</v>
      </c>
      <c r="AM214" s="424">
        <f t="shared" si="3"/>
        <v>3</v>
      </c>
      <c r="AN214" s="442" t="str">
        <f t="shared" si="4"/>
        <v>2</v>
      </c>
      <c r="AO214" s="442">
        <f t="shared" si="5"/>
        <v>3</v>
      </c>
      <c r="AP214" s="367"/>
    </row>
    <row r="215">
      <c r="A215" s="385">
        <v>211.0</v>
      </c>
      <c r="B215" s="446" t="s">
        <v>122</v>
      </c>
      <c r="C215" s="446" t="s">
        <v>3380</v>
      </c>
      <c r="D215" s="402" t="str">
        <f>VLOOKUP(B215,USN!$1:$1088,2,False)</f>
        <v>1CR23EC221</v>
      </c>
      <c r="E215" s="447">
        <v>9.663447002E9</v>
      </c>
      <c r="F215" s="447" t="s">
        <v>3736</v>
      </c>
      <c r="G215" s="367"/>
      <c r="H215" s="447">
        <v>80.0</v>
      </c>
      <c r="I215" s="448">
        <v>83.0</v>
      </c>
      <c r="J215" s="433">
        <f>VLOOKUP(D215,'L3'!$1:$2060,2,False)</f>
        <v>70</v>
      </c>
      <c r="K215" s="433">
        <f>VLOOKUP(D215,'L4'!$1:$2059,2,False)</f>
        <v>70</v>
      </c>
      <c r="L215" s="434">
        <f>VLOOKUP(D215,'A1 RETEST 5 DEC'!$1:$2096,2,FALSE)</f>
        <v>50</v>
      </c>
      <c r="M215" s="434">
        <f>VLOOKUP(D215,'A2 RETEST 4 DEC'!$1:$2096,2,FALSE)</f>
        <v>0</v>
      </c>
      <c r="N215" s="435">
        <v>40.0</v>
      </c>
      <c r="O215" s="449"/>
      <c r="P215" s="436">
        <f>IFNA(VLOOKUP(D215,'S1'!$1:$1325,2,False),0)</f>
        <v>83</v>
      </c>
      <c r="Q215" s="436">
        <f>vlookup(D215,'S2'!A211:B1413,2,0)</f>
        <v>0</v>
      </c>
      <c r="R215" s="436">
        <f>ifna(vlookup(D215,'S3'!$1:$1311,2,False),0)</f>
        <v>0</v>
      </c>
      <c r="S215" s="436"/>
      <c r="T215" s="437">
        <v>12.0</v>
      </c>
      <c r="U215" s="437">
        <v>18.0</v>
      </c>
      <c r="V215" s="437">
        <v>42.0</v>
      </c>
      <c r="W215" s="437">
        <v>82.0</v>
      </c>
      <c r="X215" s="437">
        <v>60.0</v>
      </c>
      <c r="Y215" s="437"/>
      <c r="Z215" s="438"/>
      <c r="AA215" s="450">
        <v>0.0</v>
      </c>
      <c r="AB215" s="409">
        <v>64.0</v>
      </c>
      <c r="AC215" s="395">
        <v>80.0</v>
      </c>
      <c r="AD215" s="439"/>
      <c r="AE215" s="440">
        <v>10.0</v>
      </c>
      <c r="AF215" s="441"/>
      <c r="AG215" s="439"/>
      <c r="AH215" s="451">
        <v>0.0</v>
      </c>
      <c r="AI215" s="441"/>
      <c r="AJ215" s="441"/>
      <c r="AK215" s="442">
        <f t="shared" si="1"/>
        <v>4</v>
      </c>
      <c r="AL215" s="442">
        <f t="shared" si="2"/>
        <v>1</v>
      </c>
      <c r="AM215" s="424">
        <f t="shared" si="3"/>
        <v>3</v>
      </c>
      <c r="AN215" s="442" t="str">
        <f t="shared" si="4"/>
        <v>3</v>
      </c>
      <c r="AO215" s="442">
        <f t="shared" si="5"/>
        <v>1</v>
      </c>
      <c r="AP215" s="367"/>
    </row>
    <row r="216">
      <c r="A216" s="385">
        <v>212.0</v>
      </c>
      <c r="B216" s="446" t="s">
        <v>2364</v>
      </c>
      <c r="C216" s="446" t="s">
        <v>3381</v>
      </c>
      <c r="D216" s="402" t="str">
        <f>VLOOKUP(B216,USN!$1:$1088,2,False)</f>
        <v>1CR23EC222</v>
      </c>
      <c r="E216" s="447">
        <v>9.008743637E9</v>
      </c>
      <c r="F216" s="447" t="s">
        <v>3736</v>
      </c>
      <c r="G216" s="367"/>
      <c r="H216" s="447">
        <v>86.0</v>
      </c>
      <c r="I216" s="448">
        <v>96.0</v>
      </c>
      <c r="J216" s="433">
        <f>VLOOKUP(D216,'L3'!$1:$2060,2,False)</f>
        <v>87</v>
      </c>
      <c r="K216" s="433">
        <f>VLOOKUP(D216,'L4'!$1:$2059,2,False)</f>
        <v>76</v>
      </c>
      <c r="L216" s="434">
        <f>VLOOKUP(D216,'A1 RETEST 5 DEC'!$1:$2096,2,FALSE)</f>
        <v>50</v>
      </c>
      <c r="M216" s="434">
        <f>VLOOKUP(D216,'A2 RETEST 4 DEC'!$1:$2096,2,FALSE)</f>
        <v>11</v>
      </c>
      <c r="N216" s="435">
        <v>50.0</v>
      </c>
      <c r="O216" s="449"/>
      <c r="P216" s="436">
        <f>IFNA(VLOOKUP(D216,'S1'!$1:$1325,2,False),0)</f>
        <v>84</v>
      </c>
      <c r="Q216" s="436">
        <f>vlookup(D216,'S2'!A212:B1414,2,0)</f>
        <v>88</v>
      </c>
      <c r="R216" s="436">
        <f>ifna(vlookup(D216,'S3'!$1:$1311,2,False),0)</f>
        <v>93</v>
      </c>
      <c r="S216" s="436"/>
      <c r="T216" s="437">
        <v>10.0</v>
      </c>
      <c r="U216" s="437">
        <v>12.0</v>
      </c>
      <c r="V216" s="437">
        <v>62.0</v>
      </c>
      <c r="W216" s="437">
        <v>62.0</v>
      </c>
      <c r="X216" s="437">
        <v>60.0</v>
      </c>
      <c r="Y216" s="437"/>
      <c r="Z216" s="438"/>
      <c r="AA216" s="450">
        <v>100.0</v>
      </c>
      <c r="AB216" s="409">
        <v>100.0</v>
      </c>
      <c r="AC216" s="395">
        <v>72.0</v>
      </c>
      <c r="AD216" s="439"/>
      <c r="AE216" s="440">
        <v>83.0</v>
      </c>
      <c r="AF216" s="441"/>
      <c r="AG216" s="439"/>
      <c r="AH216" s="451">
        <v>85.0</v>
      </c>
      <c r="AI216" s="441"/>
      <c r="AJ216" s="441"/>
      <c r="AK216" s="442">
        <f t="shared" si="1"/>
        <v>4</v>
      </c>
      <c r="AL216" s="442">
        <f t="shared" si="2"/>
        <v>1</v>
      </c>
      <c r="AM216" s="424">
        <f t="shared" si="3"/>
        <v>3</v>
      </c>
      <c r="AN216" s="442" t="str">
        <f t="shared" si="4"/>
        <v>3.5</v>
      </c>
      <c r="AO216" s="442">
        <f t="shared" si="5"/>
        <v>3</v>
      </c>
      <c r="AP216" s="367"/>
    </row>
    <row r="217">
      <c r="A217" s="385">
        <v>213.0</v>
      </c>
      <c r="B217" s="446" t="s">
        <v>2365</v>
      </c>
      <c r="C217" s="446" t="s">
        <v>3382</v>
      </c>
      <c r="D217" s="402" t="str">
        <f>VLOOKUP(B217,USN!$1:$1088,2,False)</f>
        <v>1CR23EC223</v>
      </c>
      <c r="E217" s="447">
        <v>7.738971347E9</v>
      </c>
      <c r="F217" s="447" t="s">
        <v>3736</v>
      </c>
      <c r="G217" s="367"/>
      <c r="H217" s="447">
        <v>89.0</v>
      </c>
      <c r="I217" s="448">
        <v>86.0</v>
      </c>
      <c r="J217" s="433">
        <f>VLOOKUP(D217,'L3'!$1:$2060,2,False)</f>
        <v>71</v>
      </c>
      <c r="K217" s="433">
        <f>VLOOKUP(D217,'L4'!$1:$2059,2,False)</f>
        <v>70</v>
      </c>
      <c r="L217" s="434">
        <f>VLOOKUP(D217,'A1 RETEST 5 DEC'!$1:$2096,2,FALSE)</f>
        <v>50</v>
      </c>
      <c r="M217" s="434">
        <f>VLOOKUP(D217,'A2 RETEST 4 DEC'!$1:$2096,2,FALSE)</f>
        <v>50</v>
      </c>
      <c r="N217" s="435">
        <v>50.0</v>
      </c>
      <c r="O217" s="449"/>
      <c r="P217" s="436">
        <f>IFNA(VLOOKUP(D217,'S1'!$1:$1325,2,False),0)</f>
        <v>70</v>
      </c>
      <c r="Q217" s="436">
        <f>vlookup(D217,'S2'!A213:B1415,2,0)</f>
        <v>56</v>
      </c>
      <c r="R217" s="436">
        <f>ifna(vlookup(D217,'S3'!$1:$1311,2,False),0)</f>
        <v>100</v>
      </c>
      <c r="S217" s="436"/>
      <c r="T217" s="437">
        <v>12.0</v>
      </c>
      <c r="U217" s="437">
        <v>18.0</v>
      </c>
      <c r="V217" s="437">
        <v>30.0</v>
      </c>
      <c r="W217" s="437">
        <v>82.0</v>
      </c>
      <c r="X217" s="437">
        <v>70.0</v>
      </c>
      <c r="Y217" s="437"/>
      <c r="Z217" s="438"/>
      <c r="AA217" s="450">
        <v>84.0</v>
      </c>
      <c r="AB217" s="409">
        <v>100.0</v>
      </c>
      <c r="AC217" s="395">
        <v>63.0</v>
      </c>
      <c r="AD217" s="439"/>
      <c r="AE217" s="440">
        <v>79.0</v>
      </c>
      <c r="AF217" s="441"/>
      <c r="AG217" s="439"/>
      <c r="AH217" s="441"/>
      <c r="AI217" s="441"/>
      <c r="AJ217" s="441"/>
      <c r="AK217" s="442">
        <f t="shared" si="1"/>
        <v>4</v>
      </c>
      <c r="AL217" s="442">
        <f t="shared" si="2"/>
        <v>3</v>
      </c>
      <c r="AM217" s="424">
        <f t="shared" si="3"/>
        <v>3</v>
      </c>
      <c r="AN217" s="442" t="str">
        <f t="shared" si="4"/>
        <v>3.5</v>
      </c>
      <c r="AO217" s="442">
        <f t="shared" si="5"/>
        <v>3</v>
      </c>
      <c r="AP217" s="367"/>
    </row>
    <row r="218">
      <c r="A218" s="385">
        <v>214.0</v>
      </c>
      <c r="B218" s="446" t="s">
        <v>2366</v>
      </c>
      <c r="C218" s="446" t="s">
        <v>3383</v>
      </c>
      <c r="D218" s="402" t="str">
        <f>VLOOKUP(B218,USN!$1:$1088,2,False)</f>
        <v>1CR23EC224</v>
      </c>
      <c r="E218" s="447">
        <v>9.945022343E9</v>
      </c>
      <c r="F218" s="447" t="s">
        <v>3736</v>
      </c>
      <c r="G218" s="367"/>
      <c r="H218" s="447">
        <v>76.0</v>
      </c>
      <c r="I218" s="448">
        <v>76.0</v>
      </c>
      <c r="J218" s="433">
        <f>VLOOKUP(D218,'L3'!$1:$2060,2,False)</f>
        <v>70</v>
      </c>
      <c r="K218" s="433">
        <f>VLOOKUP(D218,'L4'!$1:$2059,2,False)</f>
        <v>70</v>
      </c>
      <c r="L218" s="434">
        <f>VLOOKUP(D218,'A1 RETEST 5 DEC'!$1:$2096,2,FALSE)</f>
        <v>50</v>
      </c>
      <c r="M218" s="434">
        <f>VLOOKUP(D218,'A2 RETEST 4 DEC'!$1:$2096,2,FALSE)</f>
        <v>16</v>
      </c>
      <c r="N218" s="435">
        <v>50.0</v>
      </c>
      <c r="O218" s="449"/>
      <c r="P218" s="436">
        <f>IFNA(VLOOKUP(D218,'S1'!$1:$1325,2,False),0)</f>
        <v>70</v>
      </c>
      <c r="Q218" s="436">
        <f>vlookup(D218,'S2'!A214:B1416,2,0)</f>
        <v>67</v>
      </c>
      <c r="R218" s="436">
        <f>ifna(vlookup(D218,'S3'!$1:$1311,2,False),0)</f>
        <v>80</v>
      </c>
      <c r="S218" s="436"/>
      <c r="T218" s="437">
        <v>21.0</v>
      </c>
      <c r="U218" s="437">
        <v>21.0</v>
      </c>
      <c r="V218" s="437">
        <v>48.0</v>
      </c>
      <c r="W218" s="437">
        <v>76.0</v>
      </c>
      <c r="X218" s="437">
        <v>72.0</v>
      </c>
      <c r="Y218" s="437"/>
      <c r="Z218" s="438"/>
      <c r="AA218" s="450">
        <v>6.2</v>
      </c>
      <c r="AB218" s="409">
        <v>77.0</v>
      </c>
      <c r="AC218" s="395">
        <v>77.0</v>
      </c>
      <c r="AD218" s="439"/>
      <c r="AE218" s="440">
        <v>73.0</v>
      </c>
      <c r="AF218" s="441"/>
      <c r="AG218" s="439"/>
      <c r="AH218" s="441"/>
      <c r="AI218" s="441"/>
      <c r="AJ218" s="441"/>
      <c r="AK218" s="442">
        <f t="shared" si="1"/>
        <v>4</v>
      </c>
      <c r="AL218" s="442">
        <f t="shared" si="2"/>
        <v>1</v>
      </c>
      <c r="AM218" s="424">
        <f t="shared" si="3"/>
        <v>3</v>
      </c>
      <c r="AN218" s="442" t="str">
        <f t="shared" si="4"/>
        <v>3.5</v>
      </c>
      <c r="AO218" s="442">
        <f t="shared" si="5"/>
        <v>3</v>
      </c>
      <c r="AP218" s="367"/>
    </row>
    <row r="219">
      <c r="A219" s="385">
        <v>215.0</v>
      </c>
      <c r="B219" s="446" t="s">
        <v>2338</v>
      </c>
      <c r="C219" s="446" t="s">
        <v>3384</v>
      </c>
      <c r="D219" s="402" t="str">
        <f>VLOOKUP(B219,USN!$1:$1088,2,False)</f>
        <v>1CR23EC225</v>
      </c>
      <c r="E219" s="443">
        <v>8.431347269E9</v>
      </c>
      <c r="F219" s="446" t="s">
        <v>3736</v>
      </c>
      <c r="G219" s="367"/>
      <c r="H219" s="447">
        <v>83.0</v>
      </c>
      <c r="I219" s="448">
        <v>77.0</v>
      </c>
      <c r="J219" s="433">
        <f>VLOOKUP(D219,'L3'!$1:$2060,2,False)</f>
        <v>70</v>
      </c>
      <c r="K219" s="433">
        <f>VLOOKUP(D219,'L4'!$1:$2059,2,False)</f>
        <v>70</v>
      </c>
      <c r="L219" s="434">
        <f>VLOOKUP(D219,'A1 RETEST 5 DEC'!$1:$2096,2,FALSE)</f>
        <v>50</v>
      </c>
      <c r="M219" s="434">
        <f>VLOOKUP(D219,'A2 RETEST 4 DEC'!$1:$2096,2,FALSE)</f>
        <v>50</v>
      </c>
      <c r="N219" s="435">
        <v>50.0</v>
      </c>
      <c r="O219" s="449"/>
      <c r="P219" s="436">
        <f>IFNA(VLOOKUP(D219,'S1'!$1:$1325,2,False),0)</f>
        <v>73</v>
      </c>
      <c r="Q219" s="436">
        <f>vlookup(D219,'S2'!A215:B1417,2,0)</f>
        <v>0</v>
      </c>
      <c r="R219" s="436">
        <f>ifna(vlookup(D219,'S3'!$1:$1311,2,False),0)</f>
        <v>50</v>
      </c>
      <c r="S219" s="436"/>
      <c r="T219" s="437">
        <v>21.0</v>
      </c>
      <c r="U219" s="437">
        <v>20.0</v>
      </c>
      <c r="V219" s="437">
        <v>0.0</v>
      </c>
      <c r="W219" s="437">
        <v>86.0</v>
      </c>
      <c r="X219" s="437">
        <v>74.0</v>
      </c>
      <c r="Y219" s="437"/>
      <c r="Z219" s="438"/>
      <c r="AA219" s="450">
        <v>84.0</v>
      </c>
      <c r="AB219" s="409">
        <v>80.0</v>
      </c>
      <c r="AC219" s="395">
        <v>86.0</v>
      </c>
      <c r="AD219" s="439"/>
      <c r="AE219" s="439">
        <v>95.0</v>
      </c>
      <c r="AF219" s="441"/>
      <c r="AG219" s="439"/>
      <c r="AH219" s="441"/>
      <c r="AI219" s="441"/>
      <c r="AJ219" s="441"/>
      <c r="AK219" s="442">
        <f t="shared" si="1"/>
        <v>4</v>
      </c>
      <c r="AL219" s="442">
        <f t="shared" si="2"/>
        <v>3</v>
      </c>
      <c r="AM219" s="424">
        <f t="shared" si="3"/>
        <v>3</v>
      </c>
      <c r="AN219" s="442" t="str">
        <f t="shared" si="4"/>
        <v>3.5</v>
      </c>
      <c r="AO219" s="442">
        <f t="shared" si="5"/>
        <v>1</v>
      </c>
      <c r="AP219" s="367"/>
    </row>
    <row r="220">
      <c r="A220" s="385">
        <v>216.0</v>
      </c>
      <c r="B220" s="446" t="s">
        <v>2367</v>
      </c>
      <c r="C220" s="446" t="s">
        <v>3385</v>
      </c>
      <c r="D220" s="402" t="str">
        <f>VLOOKUP(B220,USN!$1:$1088,2,False)</f>
        <v>1CR23EC226</v>
      </c>
      <c r="E220" s="447">
        <v>7.67754766E9</v>
      </c>
      <c r="F220" s="447" t="s">
        <v>3736</v>
      </c>
      <c r="G220" s="367"/>
      <c r="H220" s="447">
        <v>84.0</v>
      </c>
      <c r="I220" s="448">
        <v>86.0</v>
      </c>
      <c r="J220" s="433">
        <f>VLOOKUP(D220,'L3'!$1:$2060,2,False)</f>
        <v>77</v>
      </c>
      <c r="K220" s="433">
        <f>VLOOKUP(D220,'L4'!$1:$2059,2,False)</f>
        <v>70</v>
      </c>
      <c r="L220" s="434">
        <f>VLOOKUP(D220,'A1 RETEST 5 DEC'!$1:$2096,2,FALSE)</f>
        <v>50</v>
      </c>
      <c r="M220" s="434">
        <f>VLOOKUP(D220,'A2 RETEST 4 DEC'!$1:$2096,2,FALSE)</f>
        <v>50</v>
      </c>
      <c r="N220" s="435">
        <v>65.0</v>
      </c>
      <c r="O220" s="449"/>
      <c r="P220" s="436">
        <f>IFNA(VLOOKUP(D220,'S1'!$1:$1325,2,False),0)</f>
        <v>70</v>
      </c>
      <c r="Q220" s="436">
        <f>vlookup(D220,'S2'!A216:B1418,2,0)</f>
        <v>64</v>
      </c>
      <c r="R220" s="436">
        <f>ifna(vlookup(D220,'S3'!$1:$1311,2,False),0)</f>
        <v>50</v>
      </c>
      <c r="S220" s="436"/>
      <c r="T220" s="437">
        <v>10.0</v>
      </c>
      <c r="U220" s="437">
        <v>15.0</v>
      </c>
      <c r="V220" s="437">
        <v>44.0</v>
      </c>
      <c r="W220" s="437">
        <v>80.0</v>
      </c>
      <c r="X220" s="437">
        <v>78.0</v>
      </c>
      <c r="Y220" s="437"/>
      <c r="Z220" s="438"/>
      <c r="AA220" s="450">
        <v>74.19999999999999</v>
      </c>
      <c r="AB220" s="409">
        <v>74.0</v>
      </c>
      <c r="AC220" s="395">
        <v>100.0</v>
      </c>
      <c r="AD220" s="439"/>
      <c r="AE220" s="440">
        <v>85.0</v>
      </c>
      <c r="AF220" s="441"/>
      <c r="AG220" s="439"/>
      <c r="AH220" s="451">
        <v>38.0</v>
      </c>
      <c r="AI220" s="441"/>
      <c r="AJ220" s="441"/>
      <c r="AK220" s="442">
        <f t="shared" si="1"/>
        <v>4</v>
      </c>
      <c r="AL220" s="442">
        <f t="shared" si="2"/>
        <v>3</v>
      </c>
      <c r="AM220" s="424">
        <f t="shared" si="3"/>
        <v>3</v>
      </c>
      <c r="AN220" s="442" t="str">
        <f t="shared" si="4"/>
        <v>3.5</v>
      </c>
      <c r="AO220" s="442">
        <f t="shared" si="5"/>
        <v>3</v>
      </c>
      <c r="AP220" s="367"/>
    </row>
    <row r="221">
      <c r="A221" s="385">
        <v>217.0</v>
      </c>
      <c r="B221" s="446" t="s">
        <v>2368</v>
      </c>
      <c r="C221" s="446" t="s">
        <v>3386</v>
      </c>
      <c r="D221" s="402" t="str">
        <f>VLOOKUP(B221,USN!$1:$1088,2,False)</f>
        <v>1CR23EC227</v>
      </c>
      <c r="E221" s="447">
        <v>9.7410008882E10</v>
      </c>
      <c r="F221" s="447" t="s">
        <v>3736</v>
      </c>
      <c r="G221" s="367"/>
      <c r="H221" s="447">
        <v>83.0</v>
      </c>
      <c r="I221" s="448">
        <v>86.0</v>
      </c>
      <c r="J221" s="433">
        <f>VLOOKUP(D221,'L3'!$1:$2060,2,False)</f>
        <v>62</v>
      </c>
      <c r="K221" s="433">
        <f>VLOOKUP(D221,'L4'!$1:$2059,2,False)</f>
        <v>70</v>
      </c>
      <c r="L221" s="434">
        <f>VLOOKUP(D221,'A1 RETEST 5 DEC'!$1:$2096,2,FALSE)</f>
        <v>50</v>
      </c>
      <c r="M221" s="434">
        <f>VLOOKUP(D221,'A2 RETEST 4 DEC'!$1:$2096,2,FALSE)</f>
        <v>50</v>
      </c>
      <c r="N221" s="435">
        <v>0.0</v>
      </c>
      <c r="O221" s="449"/>
      <c r="P221" s="436">
        <f>IFNA(VLOOKUP(D221,'S1'!$1:$1325,2,False),0)</f>
        <v>50</v>
      </c>
      <c r="Q221" s="436">
        <f>vlookup(D221,'S2'!A217:B1419,2,0)</f>
        <v>72</v>
      </c>
      <c r="R221" s="436">
        <f>ifna(vlookup(D221,'S3'!$1:$1311,2,False),0)</f>
        <v>50</v>
      </c>
      <c r="S221" s="436"/>
      <c r="T221" s="437">
        <v>10.0</v>
      </c>
      <c r="U221" s="437">
        <v>16.0</v>
      </c>
      <c r="V221" s="437">
        <v>56.0</v>
      </c>
      <c r="W221" s="437">
        <v>66.0</v>
      </c>
      <c r="X221" s="437">
        <v>60.0</v>
      </c>
      <c r="Y221" s="437"/>
      <c r="Z221" s="438"/>
      <c r="AA221" s="450">
        <v>59.2</v>
      </c>
      <c r="AB221" s="409">
        <v>63.0</v>
      </c>
      <c r="AC221" s="395">
        <v>75.0</v>
      </c>
      <c r="AD221" s="439"/>
      <c r="AE221" s="440">
        <v>14.0</v>
      </c>
      <c r="AF221" s="441"/>
      <c r="AG221" s="439"/>
      <c r="AH221" s="441"/>
      <c r="AI221" s="441"/>
      <c r="AJ221" s="441"/>
      <c r="AK221" s="442">
        <f t="shared" si="1"/>
        <v>2</v>
      </c>
      <c r="AL221" s="442">
        <f t="shared" si="2"/>
        <v>2</v>
      </c>
      <c r="AM221" s="424">
        <f t="shared" si="3"/>
        <v>3</v>
      </c>
      <c r="AN221" s="442" t="str">
        <f t="shared" si="4"/>
        <v>3</v>
      </c>
      <c r="AO221" s="442">
        <f t="shared" si="5"/>
        <v>3</v>
      </c>
      <c r="AP221" s="367"/>
    </row>
    <row r="222">
      <c r="A222" s="385">
        <v>218.0</v>
      </c>
      <c r="B222" s="446" t="s">
        <v>27</v>
      </c>
      <c r="C222" s="446" t="s">
        <v>3387</v>
      </c>
      <c r="D222" s="402" t="str">
        <f>VLOOKUP(B222,USN!$1:$1088,2,False)</f>
        <v>1CR23EC228</v>
      </c>
      <c r="E222" s="447">
        <v>8.105285773E9</v>
      </c>
      <c r="F222" s="447" t="s">
        <v>3736</v>
      </c>
      <c r="G222" s="367"/>
      <c r="H222" s="447">
        <v>81.0</v>
      </c>
      <c r="I222" s="448">
        <v>72.0</v>
      </c>
      <c r="J222" s="433">
        <f>VLOOKUP(D222,'L3'!$1:$2060,2,False)</f>
        <v>70</v>
      </c>
      <c r="K222" s="433">
        <f>VLOOKUP(D222,'L4'!$1:$2059,2,False)</f>
        <v>70</v>
      </c>
      <c r="L222" s="434">
        <f>VLOOKUP(D222,'A1 RETEST 5 DEC'!$1:$2096,2,FALSE)</f>
        <v>25</v>
      </c>
      <c r="M222" s="434">
        <f>VLOOKUP(D222,'A2 RETEST 4 DEC'!$1:$2096,2,FALSE)</f>
        <v>8</v>
      </c>
      <c r="N222" s="435">
        <v>13.0</v>
      </c>
      <c r="O222" s="449"/>
      <c r="P222" s="436">
        <f>IFNA(VLOOKUP(D222,'S1'!$1:$1325,2,False),0)</f>
        <v>0</v>
      </c>
      <c r="Q222" s="436">
        <f>vlookup(D222,'S2'!A218:B1420,2,0)</f>
        <v>0</v>
      </c>
      <c r="R222" s="436">
        <f>ifna(vlookup(D222,'S3'!$1:$1311,2,False),0)</f>
        <v>0</v>
      </c>
      <c r="S222" s="436"/>
      <c r="T222" s="437">
        <v>10.0</v>
      </c>
      <c r="U222" s="437">
        <v>17.0</v>
      </c>
      <c r="V222" s="437">
        <v>54.0</v>
      </c>
      <c r="W222" s="437">
        <v>80.0</v>
      </c>
      <c r="X222" s="437">
        <v>64.0</v>
      </c>
      <c r="Y222" s="437"/>
      <c r="Z222" s="438"/>
      <c r="AA222" s="450">
        <v>9.0</v>
      </c>
      <c r="AB222" s="409">
        <v>65.0</v>
      </c>
      <c r="AC222" s="395">
        <v>27.0</v>
      </c>
      <c r="AD222" s="439"/>
      <c r="AE222" s="440">
        <v>12.0</v>
      </c>
      <c r="AF222" s="441"/>
      <c r="AG222" s="439"/>
      <c r="AH222" s="441"/>
      <c r="AI222" s="441"/>
      <c r="AJ222" s="441"/>
      <c r="AK222" s="442">
        <f t="shared" si="1"/>
        <v>4</v>
      </c>
      <c r="AL222" s="442">
        <f t="shared" si="2"/>
        <v>0</v>
      </c>
      <c r="AM222" s="424">
        <f t="shared" si="3"/>
        <v>3</v>
      </c>
      <c r="AN222" s="442" t="str">
        <f t="shared" si="4"/>
        <v>2</v>
      </c>
      <c r="AO222" s="442">
        <f t="shared" si="5"/>
        <v>0</v>
      </c>
      <c r="AP222" s="367"/>
    </row>
    <row r="223">
      <c r="A223" s="385">
        <v>219.0</v>
      </c>
      <c r="B223" s="446" t="s">
        <v>2369</v>
      </c>
      <c r="C223" s="446" t="s">
        <v>3388</v>
      </c>
      <c r="D223" s="402" t="str">
        <f>VLOOKUP(B223,USN!$1:$1088,2,False)</f>
        <v>1CR23EC229</v>
      </c>
      <c r="E223" s="447">
        <v>9.063748161E9</v>
      </c>
      <c r="F223" s="447" t="s">
        <v>3736</v>
      </c>
      <c r="G223" s="367"/>
      <c r="H223" s="447">
        <v>71.0</v>
      </c>
      <c r="I223" s="448">
        <v>65.0</v>
      </c>
      <c r="J223" s="433">
        <f>VLOOKUP(D223,'L3'!$1:$2060,2,False)</f>
        <v>15</v>
      </c>
      <c r="K223" s="433">
        <f>VLOOKUP(D223,'L4'!$1:$2059,2,False)</f>
        <v>26</v>
      </c>
      <c r="L223" s="434">
        <f>VLOOKUP(D223,'A1 RETEST 5 DEC'!$1:$2096,2,FALSE)</f>
        <v>5</v>
      </c>
      <c r="M223" s="434">
        <f>VLOOKUP(D223,'A2 RETEST 4 DEC'!$1:$2096,2,FALSE)</f>
        <v>0</v>
      </c>
      <c r="N223" s="435">
        <v>0.0</v>
      </c>
      <c r="O223" s="449"/>
      <c r="P223" s="436">
        <f>IFNA(VLOOKUP(D223,'S1'!$1:$1325,2,False),0)</f>
        <v>0</v>
      </c>
      <c r="Q223" s="436">
        <f>vlookup(D223,'S2'!A219:B1421,2,0)</f>
        <v>0</v>
      </c>
      <c r="R223" s="436">
        <f>ifna(vlookup(D223,'S3'!$1:$1311,2,False),0)</f>
        <v>0</v>
      </c>
      <c r="S223" s="436"/>
      <c r="T223" s="437" t="s">
        <v>2477</v>
      </c>
      <c r="U223" s="437">
        <v>19.0</v>
      </c>
      <c r="V223" s="437">
        <v>50.0</v>
      </c>
      <c r="W223" s="437">
        <v>78.0</v>
      </c>
      <c r="X223" s="437">
        <v>80.0</v>
      </c>
      <c r="Y223" s="437"/>
      <c r="Z223" s="438"/>
      <c r="AA223" s="450">
        <v>1.4000000000000001</v>
      </c>
      <c r="AB223" s="409">
        <v>16.0</v>
      </c>
      <c r="AC223" s="395">
        <v>45.0</v>
      </c>
      <c r="AD223" s="439"/>
      <c r="AE223" s="440">
        <v>10.0</v>
      </c>
      <c r="AF223" s="441"/>
      <c r="AG223" s="439"/>
      <c r="AH223" s="441"/>
      <c r="AI223" s="441"/>
      <c r="AJ223" s="441"/>
      <c r="AK223" s="442">
        <f t="shared" si="1"/>
        <v>2</v>
      </c>
      <c r="AL223" s="442">
        <f t="shared" si="2"/>
        <v>0</v>
      </c>
      <c r="AM223" s="424">
        <f t="shared" si="3"/>
        <v>3</v>
      </c>
      <c r="AN223" s="442" t="str">
        <f t="shared" si="4"/>
        <v>0</v>
      </c>
      <c r="AO223" s="442">
        <f t="shared" si="5"/>
        <v>0</v>
      </c>
      <c r="AP223" s="367"/>
    </row>
    <row r="224">
      <c r="A224" s="385">
        <v>220.0</v>
      </c>
      <c r="B224" s="446" t="s">
        <v>2370</v>
      </c>
      <c r="C224" s="446" t="s">
        <v>3389</v>
      </c>
      <c r="D224" s="402" t="str">
        <f>VLOOKUP(B224,USN!$1:$1088,2,False)</f>
        <v>1CR23EC230</v>
      </c>
      <c r="E224" s="447">
        <v>9.010866567E9</v>
      </c>
      <c r="F224" s="447" t="s">
        <v>3736</v>
      </c>
      <c r="G224" s="367"/>
      <c r="H224" s="447">
        <v>81.0</v>
      </c>
      <c r="I224" s="448">
        <v>75.0</v>
      </c>
      <c r="J224" s="433">
        <f>VLOOKUP(D224,'L3'!$1:$2060,2,False)</f>
        <v>65</v>
      </c>
      <c r="K224" s="433">
        <f>VLOOKUP(D224,'L4'!$1:$2059,2,False)</f>
        <v>25</v>
      </c>
      <c r="L224" s="434">
        <f>VLOOKUP(D224,'A1 RETEST 5 DEC'!$1:$2096,2,FALSE)</f>
        <v>50</v>
      </c>
      <c r="M224" s="434">
        <f>VLOOKUP(D224,'A2 RETEST 4 DEC'!$1:$2096,2,FALSE)</f>
        <v>7</v>
      </c>
      <c r="N224" s="435">
        <v>0.0</v>
      </c>
      <c r="O224" s="449"/>
      <c r="P224" s="436">
        <f>IFNA(VLOOKUP(D224,'S1'!$1:$1325,2,False),0)</f>
        <v>0</v>
      </c>
      <c r="Q224" s="436">
        <f>vlookup(D224,'S2'!A220:B1422,2,0)</f>
        <v>0</v>
      </c>
      <c r="R224" s="436">
        <f>ifna(vlookup(D224,'S3'!$1:$1311,2,False),0)</f>
        <v>0</v>
      </c>
      <c r="S224" s="436"/>
      <c r="T224" s="437">
        <v>22.0</v>
      </c>
      <c r="U224" s="437">
        <v>17.0</v>
      </c>
      <c r="V224" s="437">
        <v>48.0</v>
      </c>
      <c r="W224" s="437">
        <v>80.0</v>
      </c>
      <c r="X224" s="453"/>
      <c r="Y224" s="437"/>
      <c r="Z224" s="438"/>
      <c r="AA224" s="450">
        <v>12.8</v>
      </c>
      <c r="AB224" s="409">
        <v>25.0</v>
      </c>
      <c r="AC224" s="395">
        <v>0.0</v>
      </c>
      <c r="AD224" s="439"/>
      <c r="AE224" s="440">
        <v>10.0</v>
      </c>
      <c r="AF224" s="441"/>
      <c r="AG224" s="439"/>
      <c r="AH224" s="441"/>
      <c r="AI224" s="441"/>
      <c r="AJ224" s="441"/>
      <c r="AK224" s="442">
        <f t="shared" si="1"/>
        <v>2</v>
      </c>
      <c r="AL224" s="442">
        <f t="shared" si="2"/>
        <v>1</v>
      </c>
      <c r="AM224" s="424">
        <f t="shared" si="3"/>
        <v>3</v>
      </c>
      <c r="AN224" s="442" t="str">
        <f t="shared" si="4"/>
        <v>0</v>
      </c>
      <c r="AO224" s="442">
        <f t="shared" si="5"/>
        <v>0</v>
      </c>
      <c r="AP224" s="367"/>
    </row>
    <row r="225">
      <c r="A225" s="385">
        <v>221.0</v>
      </c>
      <c r="B225" s="446" t="s">
        <v>2393</v>
      </c>
      <c r="C225" s="446" t="s">
        <v>3774</v>
      </c>
      <c r="D225" s="402" t="str">
        <f>VLOOKUP(B225,USN!$1:$1088,2,False)</f>
        <v>1CR23EC231</v>
      </c>
      <c r="E225" s="447">
        <v>6.364125455E9</v>
      </c>
      <c r="F225" s="447" t="s">
        <v>3736</v>
      </c>
      <c r="G225" s="367"/>
      <c r="H225" s="447">
        <v>87.0</v>
      </c>
      <c r="I225" s="448">
        <v>88.0</v>
      </c>
      <c r="J225" s="433">
        <f>VLOOKUP(D225,'L3'!$1:$2060,2,False)</f>
        <v>70</v>
      </c>
      <c r="K225" s="433">
        <f>VLOOKUP(D225,'L4'!$1:$2059,2,False)</f>
        <v>70</v>
      </c>
      <c r="L225" s="434">
        <f>VLOOKUP(D225,'A1 RETEST 5 DEC'!$1:$2096,2,FALSE)</f>
        <v>50</v>
      </c>
      <c r="M225" s="434">
        <f>VLOOKUP(D225,'A2 RETEST 4 DEC'!$1:$2096,2,FALSE)</f>
        <v>50</v>
      </c>
      <c r="N225" s="435">
        <v>50.0</v>
      </c>
      <c r="O225" s="449"/>
      <c r="P225" s="436">
        <f>IFNA(VLOOKUP(D225,'S1'!$1:$1325,2,False),0)</f>
        <v>75</v>
      </c>
      <c r="Q225" s="436">
        <f>vlookup(D225,'S2'!A221:B1423,2,0)</f>
        <v>61</v>
      </c>
      <c r="R225" s="436">
        <f>ifna(vlookup(D225,'S3'!$1:$1311,2,False),0)</f>
        <v>83</v>
      </c>
      <c r="S225" s="436"/>
      <c r="T225" s="437">
        <v>10.0</v>
      </c>
      <c r="U225" s="437">
        <v>15.0</v>
      </c>
      <c r="V225" s="437">
        <v>58.0</v>
      </c>
      <c r="W225" s="437">
        <v>76.0</v>
      </c>
      <c r="X225" s="437">
        <v>76.0</v>
      </c>
      <c r="Y225" s="437"/>
      <c r="Z225" s="438"/>
      <c r="AA225" s="450">
        <v>12.0</v>
      </c>
      <c r="AB225" s="409">
        <v>98.0</v>
      </c>
      <c r="AC225" s="395">
        <v>70.0</v>
      </c>
      <c r="AD225" s="439"/>
      <c r="AE225" s="440">
        <v>82.0</v>
      </c>
      <c r="AF225" s="441"/>
      <c r="AG225" s="439"/>
      <c r="AH225" s="451">
        <v>14.0</v>
      </c>
      <c r="AI225" s="441"/>
      <c r="AJ225" s="441"/>
      <c r="AK225" s="442">
        <f t="shared" si="1"/>
        <v>4</v>
      </c>
      <c r="AL225" s="442">
        <f t="shared" si="2"/>
        <v>3</v>
      </c>
      <c r="AM225" s="424">
        <f t="shared" si="3"/>
        <v>3</v>
      </c>
      <c r="AN225" s="442" t="str">
        <f t="shared" si="4"/>
        <v>3.5</v>
      </c>
      <c r="AO225" s="442">
        <f t="shared" si="5"/>
        <v>3</v>
      </c>
      <c r="AP225" s="367"/>
    </row>
    <row r="226">
      <c r="A226" s="385">
        <v>222.0</v>
      </c>
      <c r="B226" s="446" t="s">
        <v>2390</v>
      </c>
      <c r="C226" s="446" t="s">
        <v>3391</v>
      </c>
      <c r="D226" s="402" t="str">
        <f>VLOOKUP(B226,USN!$1:$1088,2,False)</f>
        <v>1CR23EC232</v>
      </c>
      <c r="E226" s="447">
        <v>6.364632527E9</v>
      </c>
      <c r="F226" s="447" t="s">
        <v>3736</v>
      </c>
      <c r="G226" s="367"/>
      <c r="H226" s="447">
        <v>82.0</v>
      </c>
      <c r="I226" s="448">
        <v>78.0</v>
      </c>
      <c r="J226" s="433">
        <f>VLOOKUP(D226,'L3'!$1:$2060,2,False)</f>
        <v>46</v>
      </c>
      <c r="K226" s="433">
        <f>VLOOKUP(D226,'L4'!$1:$2059,2,False)</f>
        <v>70</v>
      </c>
      <c r="L226" s="434">
        <f>VLOOKUP(D226,'A1 RETEST 5 DEC'!$1:$2096,2,FALSE)</f>
        <v>43</v>
      </c>
      <c r="M226" s="434">
        <f>VLOOKUP(D226,'A2 RETEST 4 DEC'!$1:$2096,2,FALSE)</f>
        <v>20</v>
      </c>
      <c r="N226" s="435">
        <v>0.0</v>
      </c>
      <c r="O226" s="449"/>
      <c r="P226" s="436">
        <f>IFNA(VLOOKUP(D226,'S1'!$1:$1325,2,False),0)</f>
        <v>78</v>
      </c>
      <c r="Q226" s="436">
        <f>vlookup(D226,'S2'!A222:B1424,2,0)</f>
        <v>81</v>
      </c>
      <c r="R226" s="436">
        <f>ifna(vlookup(D226,'S3'!$1:$1311,2,False),0)</f>
        <v>0</v>
      </c>
      <c r="S226" s="436"/>
      <c r="T226" s="437">
        <v>12.0</v>
      </c>
      <c r="U226" s="437">
        <v>16.0</v>
      </c>
      <c r="V226" s="437">
        <v>44.0</v>
      </c>
      <c r="W226" s="437">
        <v>0.0</v>
      </c>
      <c r="X226" s="445"/>
      <c r="Y226" s="437"/>
      <c r="Z226" s="438"/>
      <c r="AA226" s="450">
        <v>10.0</v>
      </c>
      <c r="AB226" s="409">
        <v>73.0</v>
      </c>
      <c r="AC226" s="395">
        <v>5.0</v>
      </c>
      <c r="AD226" s="439"/>
      <c r="AE226" s="440">
        <v>10.0</v>
      </c>
      <c r="AF226" s="441"/>
      <c r="AG226" s="439"/>
      <c r="AH226" s="451">
        <v>0.0</v>
      </c>
      <c r="AI226" s="441"/>
      <c r="AJ226" s="441"/>
      <c r="AK226" s="442">
        <f t="shared" si="1"/>
        <v>2</v>
      </c>
      <c r="AL226" s="442">
        <f t="shared" si="2"/>
        <v>0</v>
      </c>
      <c r="AM226" s="424">
        <f t="shared" si="3"/>
        <v>2</v>
      </c>
      <c r="AN226" s="442" t="str">
        <f t="shared" si="4"/>
        <v>2</v>
      </c>
      <c r="AO226" s="442">
        <f t="shared" si="5"/>
        <v>2</v>
      </c>
      <c r="AP226" s="367"/>
    </row>
    <row r="227">
      <c r="A227" s="385">
        <v>223.0</v>
      </c>
      <c r="B227" s="446" t="s">
        <v>2222</v>
      </c>
      <c r="C227" s="446" t="s">
        <v>3392</v>
      </c>
      <c r="D227" s="402" t="str">
        <f>VLOOKUP(B227,USN!$1:$1088,2,False)</f>
        <v>1CR23EC233</v>
      </c>
      <c r="E227" s="447">
        <v>7.795475775E9</v>
      </c>
      <c r="F227" s="446" t="s">
        <v>3736</v>
      </c>
      <c r="G227" s="367"/>
      <c r="H227" s="447">
        <v>77.0</v>
      </c>
      <c r="I227" s="448">
        <v>83.0</v>
      </c>
      <c r="J227" s="433">
        <f>VLOOKUP(D227,'L3'!$1:$2060,2,False)</f>
        <v>71</v>
      </c>
      <c r="K227" s="433">
        <f>VLOOKUP(D227,'L4'!$1:$2059,2,False)</f>
        <v>70</v>
      </c>
      <c r="L227" s="434">
        <f>VLOOKUP(D227,'A1 RETEST 5 DEC'!$1:$2096,2,FALSE)</f>
        <v>50</v>
      </c>
      <c r="M227" s="434">
        <f>VLOOKUP(D227,'A2 RETEST 4 DEC'!$1:$2096,2,FALSE)</f>
        <v>21</v>
      </c>
      <c r="N227" s="435">
        <v>50.0</v>
      </c>
      <c r="O227" s="449"/>
      <c r="P227" s="436">
        <f>IFNA(VLOOKUP(D227,'S1'!$1:$1325,2,False),0)</f>
        <v>75</v>
      </c>
      <c r="Q227" s="436">
        <f>vlookup(D227,'S2'!A223:B1425,2,0)</f>
        <v>61</v>
      </c>
      <c r="R227" s="436">
        <f>ifna(vlookup(D227,'S3'!$1:$1311,2,False),0)</f>
        <v>85</v>
      </c>
      <c r="S227" s="436"/>
      <c r="T227" s="437">
        <v>22.0</v>
      </c>
      <c r="U227" s="437">
        <v>15.0</v>
      </c>
      <c r="V227" s="437">
        <v>48.0</v>
      </c>
      <c r="W227" s="437">
        <v>84.0</v>
      </c>
      <c r="X227" s="437">
        <v>78.0</v>
      </c>
      <c r="Y227" s="437"/>
      <c r="Z227" s="438"/>
      <c r="AA227" s="450">
        <v>53.0</v>
      </c>
      <c r="AB227" s="409">
        <v>94.0</v>
      </c>
      <c r="AC227" s="395">
        <v>42.0</v>
      </c>
      <c r="AD227" s="439"/>
      <c r="AE227" s="440">
        <v>74.0</v>
      </c>
      <c r="AF227" s="441"/>
      <c r="AG227" s="439"/>
      <c r="AH227" s="441"/>
      <c r="AI227" s="441"/>
      <c r="AJ227" s="441"/>
      <c r="AK227" s="442">
        <f t="shared" si="1"/>
        <v>4</v>
      </c>
      <c r="AL227" s="442">
        <f t="shared" si="2"/>
        <v>1</v>
      </c>
      <c r="AM227" s="424">
        <f t="shared" si="3"/>
        <v>3</v>
      </c>
      <c r="AN227" s="442" t="str">
        <f t="shared" si="4"/>
        <v>2</v>
      </c>
      <c r="AO227" s="442">
        <f t="shared" si="5"/>
        <v>3</v>
      </c>
      <c r="AP227" s="367"/>
    </row>
    <row r="228">
      <c r="A228" s="385">
        <v>224.0</v>
      </c>
      <c r="B228" s="446" t="s">
        <v>2389</v>
      </c>
      <c r="C228" s="446" t="s">
        <v>3393</v>
      </c>
      <c r="D228" s="402" t="str">
        <f>VLOOKUP(B228,USN!$1:$1088,2,False)</f>
        <v>1CR23EC234</v>
      </c>
      <c r="E228" s="446">
        <v>7.349605978E9</v>
      </c>
      <c r="F228" s="447" t="s">
        <v>3736</v>
      </c>
      <c r="G228" s="367"/>
      <c r="H228" s="447">
        <v>82.0</v>
      </c>
      <c r="I228" s="448">
        <v>81.0</v>
      </c>
      <c r="J228" s="433">
        <f>VLOOKUP(D228,'L3'!$1:$2060,2,False)</f>
        <v>48</v>
      </c>
      <c r="K228" s="433">
        <f>VLOOKUP(D228,'L4'!$1:$2059,2,False)</f>
        <v>70</v>
      </c>
      <c r="L228" s="434">
        <f>VLOOKUP(D228,'A1 RETEST 5 DEC'!$1:$2096,2,FALSE)</f>
        <v>50</v>
      </c>
      <c r="M228" s="434">
        <f>VLOOKUP(D228,'A2 RETEST 4 DEC'!$1:$2096,2,FALSE)</f>
        <v>16</v>
      </c>
      <c r="N228" s="435">
        <v>0.0</v>
      </c>
      <c r="O228" s="449"/>
      <c r="P228" s="436">
        <f>IFNA(VLOOKUP(D228,'S1'!$1:$1325,2,False),0)</f>
        <v>78</v>
      </c>
      <c r="Q228" s="436">
        <f>vlookup(D228,'S2'!A224:B1426,2,0)</f>
        <v>82</v>
      </c>
      <c r="R228" s="436">
        <f>ifna(vlookup(D228,'S3'!$1:$1311,2,False),0)</f>
        <v>0</v>
      </c>
      <c r="S228" s="436"/>
      <c r="T228" s="437">
        <v>17.0</v>
      </c>
      <c r="U228" s="437">
        <v>15.0</v>
      </c>
      <c r="V228" s="437">
        <v>42.0</v>
      </c>
      <c r="W228" s="437">
        <v>0.0</v>
      </c>
      <c r="X228" s="445"/>
      <c r="Y228" s="437"/>
      <c r="Z228" s="438"/>
      <c r="AA228" s="450">
        <v>20.0</v>
      </c>
      <c r="AB228" s="409">
        <v>98.0</v>
      </c>
      <c r="AC228" s="395">
        <v>5.0</v>
      </c>
      <c r="AD228" s="439"/>
      <c r="AE228" s="440">
        <v>10.0</v>
      </c>
      <c r="AF228" s="441"/>
      <c r="AG228" s="439"/>
      <c r="AH228" s="451">
        <v>0.0</v>
      </c>
      <c r="AI228" s="441"/>
      <c r="AJ228" s="441"/>
      <c r="AK228" s="442">
        <f t="shared" si="1"/>
        <v>2</v>
      </c>
      <c r="AL228" s="442">
        <f t="shared" si="2"/>
        <v>1</v>
      </c>
      <c r="AM228" s="424">
        <f t="shared" si="3"/>
        <v>2</v>
      </c>
      <c r="AN228" s="442" t="str">
        <f t="shared" si="4"/>
        <v>2</v>
      </c>
      <c r="AO228" s="442">
        <f t="shared" si="5"/>
        <v>2</v>
      </c>
      <c r="AP228" s="367"/>
    </row>
    <row r="229">
      <c r="A229" s="385">
        <v>225.0</v>
      </c>
      <c r="B229" s="446" t="s">
        <v>2381</v>
      </c>
      <c r="C229" s="446" t="s">
        <v>3394</v>
      </c>
      <c r="D229" s="402" t="str">
        <f>VLOOKUP(B229,USN!$1:$1088,2,False)</f>
        <v>1CR23EC235</v>
      </c>
      <c r="E229" s="447">
        <v>7.975409334E9</v>
      </c>
      <c r="F229" s="447" t="s">
        <v>3736</v>
      </c>
      <c r="G229" s="367"/>
      <c r="H229" s="447">
        <v>85.0</v>
      </c>
      <c r="I229" s="448">
        <v>90.0</v>
      </c>
      <c r="J229" s="433">
        <f>VLOOKUP(D229,'L3'!$1:$2060,2,False)</f>
        <v>74</v>
      </c>
      <c r="K229" s="433">
        <f>VLOOKUP(D229,'L4'!$1:$2059,2,False)</f>
        <v>70</v>
      </c>
      <c r="L229" s="434">
        <f>VLOOKUP(D229,'A1 RETEST 5 DEC'!$1:$2096,2,FALSE)</f>
        <v>55</v>
      </c>
      <c r="M229" s="434">
        <f>VLOOKUP(D229,'A2 RETEST 4 DEC'!$1:$2096,2,FALSE)</f>
        <v>50</v>
      </c>
      <c r="N229" s="435">
        <v>50.0</v>
      </c>
      <c r="O229" s="449"/>
      <c r="P229" s="436">
        <f>IFNA(VLOOKUP(D229,'S1'!$1:$1325,2,False),0)</f>
        <v>75</v>
      </c>
      <c r="Q229" s="436">
        <f>vlookup(D229,'S2'!A225:B1427,2,0)</f>
        <v>75</v>
      </c>
      <c r="R229" s="436">
        <f>ifna(vlookup(D229,'S3'!$1:$1311,2,False),0)</f>
        <v>93</v>
      </c>
      <c r="S229" s="436"/>
      <c r="T229" s="437">
        <v>17.0</v>
      </c>
      <c r="U229" s="437">
        <v>17.0</v>
      </c>
      <c r="V229" s="437">
        <v>52.0</v>
      </c>
      <c r="W229" s="437">
        <v>58.0</v>
      </c>
      <c r="X229" s="437">
        <v>56.0</v>
      </c>
      <c r="Y229" s="437"/>
      <c r="Z229" s="438"/>
      <c r="AA229" s="450">
        <v>54.8</v>
      </c>
      <c r="AB229" s="409">
        <v>95.0</v>
      </c>
      <c r="AC229" s="395">
        <v>74.0</v>
      </c>
      <c r="AD229" s="439"/>
      <c r="AE229" s="440">
        <v>75.0</v>
      </c>
      <c r="AF229" s="441"/>
      <c r="AG229" s="439">
        <v>97.0</v>
      </c>
      <c r="AH229" s="441"/>
      <c r="AI229" s="441"/>
      <c r="AJ229" s="441"/>
      <c r="AK229" s="442">
        <f t="shared" si="1"/>
        <v>4</v>
      </c>
      <c r="AL229" s="442">
        <f t="shared" si="2"/>
        <v>3</v>
      </c>
      <c r="AM229" s="424">
        <f t="shared" si="3"/>
        <v>3</v>
      </c>
      <c r="AN229" s="442" t="str">
        <f t="shared" si="4"/>
        <v>3.5</v>
      </c>
      <c r="AO229" s="442">
        <f t="shared" si="5"/>
        <v>3</v>
      </c>
      <c r="AP229" s="367"/>
    </row>
    <row r="230">
      <c r="A230" s="385">
        <v>226.0</v>
      </c>
      <c r="B230" s="446" t="s">
        <v>2371</v>
      </c>
      <c r="C230" s="446" t="s">
        <v>3395</v>
      </c>
      <c r="D230" s="402" t="str">
        <f>VLOOKUP(B230,USN!$1:$1088,2,False)</f>
        <v>1CR23EC236</v>
      </c>
      <c r="E230" s="447">
        <v>9.341265034E9</v>
      </c>
      <c r="F230" s="447" t="s">
        <v>3736</v>
      </c>
      <c r="G230" s="367"/>
      <c r="H230" s="447">
        <v>82.0</v>
      </c>
      <c r="I230" s="448">
        <v>86.0</v>
      </c>
      <c r="J230" s="433">
        <f>VLOOKUP(D230,'L3'!$1:$2060,2,False)</f>
        <v>70</v>
      </c>
      <c r="K230" s="433">
        <f>VLOOKUP(D230,'L4'!$1:$2059,2,False)</f>
        <v>70</v>
      </c>
      <c r="L230" s="434">
        <f>VLOOKUP(D230,'A1 RETEST 5 DEC'!$1:$2096,2,FALSE)</f>
        <v>50</v>
      </c>
      <c r="M230" s="434">
        <f>VLOOKUP(D230,'A2 RETEST 4 DEC'!$1:$2096,2,FALSE)</f>
        <v>50</v>
      </c>
      <c r="N230" s="435">
        <v>50.0</v>
      </c>
      <c r="O230" s="449"/>
      <c r="P230" s="436">
        <f>IFNA(VLOOKUP(D230,'S1'!$1:$1325,2,False),0)</f>
        <v>75</v>
      </c>
      <c r="Q230" s="436">
        <f>vlookup(D230,'S2'!A226:B1428,2,0)</f>
        <v>64</v>
      </c>
      <c r="R230" s="436">
        <f>ifna(vlookup(D230,'S3'!$1:$1311,2,False),0)</f>
        <v>92</v>
      </c>
      <c r="S230" s="436"/>
      <c r="T230" s="437">
        <v>11.0</v>
      </c>
      <c r="U230" s="437">
        <v>19.0</v>
      </c>
      <c r="V230" s="437">
        <v>0.0</v>
      </c>
      <c r="W230" s="437">
        <v>76.0</v>
      </c>
      <c r="X230" s="437">
        <v>72.0</v>
      </c>
      <c r="Y230" s="437"/>
      <c r="Z230" s="438"/>
      <c r="AA230" s="450">
        <v>30.0</v>
      </c>
      <c r="AB230" s="409">
        <v>87.5</v>
      </c>
      <c r="AC230" s="395">
        <v>18.0</v>
      </c>
      <c r="AD230" s="439">
        <v>92.0</v>
      </c>
      <c r="AE230" s="440">
        <v>70.0</v>
      </c>
      <c r="AF230" s="441"/>
      <c r="AG230" s="439"/>
      <c r="AH230" s="441"/>
      <c r="AI230" s="441"/>
      <c r="AJ230" s="441"/>
      <c r="AK230" s="442">
        <f t="shared" si="1"/>
        <v>4</v>
      </c>
      <c r="AL230" s="442">
        <f t="shared" si="2"/>
        <v>3</v>
      </c>
      <c r="AM230" s="424">
        <f t="shared" si="3"/>
        <v>3</v>
      </c>
      <c r="AN230" s="442" t="str">
        <f t="shared" si="4"/>
        <v>3.5</v>
      </c>
      <c r="AO230" s="442">
        <f t="shared" si="5"/>
        <v>3</v>
      </c>
      <c r="AP230" s="367"/>
    </row>
    <row r="231">
      <c r="A231" s="385">
        <v>227.0</v>
      </c>
      <c r="B231" s="446" t="s">
        <v>2382</v>
      </c>
      <c r="C231" s="446" t="s">
        <v>3396</v>
      </c>
      <c r="D231" s="402" t="str">
        <f>VLOOKUP(B231,USN!$1:$1088,2,False)</f>
        <v>1CR23EC237</v>
      </c>
      <c r="E231" s="447">
        <v>6.363456867E9</v>
      </c>
      <c r="F231" s="447" t="s">
        <v>3736</v>
      </c>
      <c r="G231" s="367"/>
      <c r="H231" s="447">
        <v>71.0</v>
      </c>
      <c r="I231" s="448">
        <v>76.0</v>
      </c>
      <c r="J231" s="433">
        <f>VLOOKUP(D231,'L3'!$1:$2060,2,False)</f>
        <v>70</v>
      </c>
      <c r="K231" s="433">
        <f>VLOOKUP(D231,'L4'!$1:$2059,2,False)</f>
        <v>70</v>
      </c>
      <c r="L231" s="434">
        <f>VLOOKUP(D231,'A1 RETEST 5 DEC'!$1:$2096,2,FALSE)</f>
        <v>50</v>
      </c>
      <c r="M231" s="434">
        <f>VLOOKUP(D231,'A2 RETEST 4 DEC'!$1:$2096,2,FALSE)</f>
        <v>3</v>
      </c>
      <c r="N231" s="435">
        <v>14.0</v>
      </c>
      <c r="O231" s="449"/>
      <c r="P231" s="436">
        <f>IFNA(VLOOKUP(D231,'S1'!$1:$1325,2,False),0)</f>
        <v>75</v>
      </c>
      <c r="Q231" s="436">
        <f>vlookup(D231,'S2'!A227:B1429,2,0)</f>
        <v>61</v>
      </c>
      <c r="R231" s="436">
        <f>ifna(vlookup(D231,'S3'!$1:$1311,2,False),0)</f>
        <v>50</v>
      </c>
      <c r="S231" s="436"/>
      <c r="T231" s="437">
        <v>9.0</v>
      </c>
      <c r="U231" s="437">
        <v>10.0</v>
      </c>
      <c r="V231" s="437">
        <v>54.0</v>
      </c>
      <c r="W231" s="437">
        <v>78.0</v>
      </c>
      <c r="X231" s="445"/>
      <c r="Y231" s="437"/>
      <c r="Z231" s="438"/>
      <c r="AA231" s="450">
        <v>7.4</v>
      </c>
      <c r="AB231" s="409">
        <v>97.0</v>
      </c>
      <c r="AC231" s="395">
        <v>19.0</v>
      </c>
      <c r="AD231" s="439"/>
      <c r="AE231" s="440">
        <v>10.0</v>
      </c>
      <c r="AF231" s="441"/>
      <c r="AG231" s="439"/>
      <c r="AH231" s="441"/>
      <c r="AI231" s="441"/>
      <c r="AJ231" s="441"/>
      <c r="AK231" s="442">
        <f t="shared" si="1"/>
        <v>4</v>
      </c>
      <c r="AL231" s="442">
        <f t="shared" si="2"/>
        <v>1</v>
      </c>
      <c r="AM231" s="424">
        <f t="shared" si="3"/>
        <v>3</v>
      </c>
      <c r="AN231" s="442" t="str">
        <f t="shared" si="4"/>
        <v>2</v>
      </c>
      <c r="AO231" s="442">
        <f t="shared" si="5"/>
        <v>3</v>
      </c>
      <c r="AP231" s="367"/>
    </row>
    <row r="232">
      <c r="A232" s="385">
        <v>228.0</v>
      </c>
      <c r="B232" s="446" t="s">
        <v>2335</v>
      </c>
      <c r="C232" s="454" t="s">
        <v>3398</v>
      </c>
      <c r="D232" s="402" t="str">
        <f>VLOOKUP(B232,USN!$1:$1088,2,False)</f>
        <v>1CR23EC239</v>
      </c>
      <c r="E232" s="447">
        <v>8.660277298E9</v>
      </c>
      <c r="F232" s="446" t="s">
        <v>3736</v>
      </c>
      <c r="G232" s="367"/>
      <c r="H232" s="447">
        <v>71.0</v>
      </c>
      <c r="I232" s="433">
        <v>70.0</v>
      </c>
      <c r="J232" s="433">
        <f>VLOOKUP(D232,'L3'!$1:$2060,2,False)</f>
        <v>56</v>
      </c>
      <c r="K232" s="433">
        <f>VLOOKUP(D232,'L4'!$1:$2059,2,False)</f>
        <v>70</v>
      </c>
      <c r="L232" s="434">
        <f>VLOOKUP(D232,'A1 RETEST 5 DEC'!$1:$2096,2,FALSE)</f>
        <v>50</v>
      </c>
      <c r="M232" s="434">
        <f>VLOOKUP(D232,'A2 RETEST 4 DEC'!$1:$2096,2,FALSE)</f>
        <v>18</v>
      </c>
      <c r="N232" s="435">
        <v>8.0</v>
      </c>
      <c r="O232" s="449"/>
      <c r="P232" s="436">
        <f>IFNA(VLOOKUP(D232,'S1'!$1:$1325,2,False),0)</f>
        <v>0</v>
      </c>
      <c r="Q232" s="436">
        <f>vlookup(D232,'S2'!A228:B1430,2,0)</f>
        <v>0</v>
      </c>
      <c r="R232" s="436">
        <f>ifna(vlookup(D232,'S3'!$1:$1311,2,False),0)</f>
        <v>0</v>
      </c>
      <c r="S232" s="436"/>
      <c r="T232" s="437">
        <v>20.0</v>
      </c>
      <c r="U232" s="437">
        <v>16.0</v>
      </c>
      <c r="V232" s="437">
        <v>52.0</v>
      </c>
      <c r="W232" s="437">
        <v>76.0</v>
      </c>
      <c r="X232" s="437">
        <v>72.0</v>
      </c>
      <c r="Y232" s="437"/>
      <c r="Z232" s="438"/>
      <c r="AA232" s="450">
        <v>90.0</v>
      </c>
      <c r="AB232" s="409">
        <v>68.0</v>
      </c>
      <c r="AC232" s="395">
        <v>80.0</v>
      </c>
      <c r="AD232" s="439"/>
      <c r="AE232" s="440">
        <v>19.0</v>
      </c>
      <c r="AF232" s="441"/>
      <c r="AG232" s="439"/>
      <c r="AH232" s="441"/>
      <c r="AI232" s="441"/>
      <c r="AJ232" s="441"/>
      <c r="AK232" s="442">
        <f t="shared" si="1"/>
        <v>2</v>
      </c>
      <c r="AL232" s="442">
        <f t="shared" si="2"/>
        <v>1</v>
      </c>
      <c r="AM232" s="424">
        <f t="shared" si="3"/>
        <v>3</v>
      </c>
      <c r="AN232" s="442" t="str">
        <f t="shared" si="4"/>
        <v>3</v>
      </c>
      <c r="AO232" s="442">
        <f t="shared" si="5"/>
        <v>0</v>
      </c>
      <c r="AP232" s="367"/>
    </row>
    <row r="233">
      <c r="A233" s="385">
        <v>229.0</v>
      </c>
      <c r="B233" s="446" t="s">
        <v>2372</v>
      </c>
      <c r="C233" s="446" t="s">
        <v>3775</v>
      </c>
      <c r="D233" s="402" t="str">
        <f>VLOOKUP(B233,USN!$1:$1088,2,False)</f>
        <v>1CR23EC240</v>
      </c>
      <c r="E233" s="447">
        <v>8.885838476E9</v>
      </c>
      <c r="F233" s="447" t="s">
        <v>3736</v>
      </c>
      <c r="G233" s="367"/>
      <c r="H233" s="447">
        <v>73.0</v>
      </c>
      <c r="I233" s="448">
        <v>72.0</v>
      </c>
      <c r="J233" s="433">
        <f>VLOOKUP(D233,'L3'!$1:$2060,2,False)</f>
        <v>70</v>
      </c>
      <c r="K233" s="433">
        <f>VLOOKUP(D233,'L4'!$1:$2059,2,False)</f>
        <v>70</v>
      </c>
      <c r="L233" s="434">
        <f>VLOOKUP(D233,'A1 RETEST 5 DEC'!$1:$2096,2,FALSE)</f>
        <v>50</v>
      </c>
      <c r="M233" s="434">
        <f>VLOOKUP(D233,'A2 RETEST 4 DEC'!$1:$2096,2,FALSE)</f>
        <v>50</v>
      </c>
      <c r="N233" s="435">
        <v>50.0</v>
      </c>
      <c r="O233" s="449"/>
      <c r="P233" s="436">
        <f>IFNA(VLOOKUP(D233,'S1'!$1:$1325,2,False),0)</f>
        <v>75</v>
      </c>
      <c r="Q233" s="436">
        <f>vlookup(D233,'S2'!A229:B1431,2,0)</f>
        <v>64</v>
      </c>
      <c r="R233" s="436">
        <f>ifna(vlookup(D233,'S3'!$1:$1311,2,False),0)</f>
        <v>50</v>
      </c>
      <c r="S233" s="436"/>
      <c r="T233" s="437">
        <v>17.0</v>
      </c>
      <c r="U233" s="437">
        <v>17.0</v>
      </c>
      <c r="V233" s="437">
        <v>42.0</v>
      </c>
      <c r="W233" s="437">
        <v>82.0</v>
      </c>
      <c r="X233" s="437">
        <v>68.0</v>
      </c>
      <c r="Y233" s="437"/>
      <c r="Z233" s="438"/>
      <c r="AA233" s="450">
        <v>20.0</v>
      </c>
      <c r="AB233" s="409">
        <v>79.0</v>
      </c>
      <c r="AC233" s="395">
        <v>12.0</v>
      </c>
      <c r="AD233" s="439"/>
      <c r="AE233" s="440">
        <v>11.0</v>
      </c>
      <c r="AF233" s="441"/>
      <c r="AG233" s="439"/>
      <c r="AH233" s="441"/>
      <c r="AI233" s="441"/>
      <c r="AJ233" s="441"/>
      <c r="AK233" s="442">
        <f t="shared" si="1"/>
        <v>4</v>
      </c>
      <c r="AL233" s="442">
        <f t="shared" si="2"/>
        <v>3</v>
      </c>
      <c r="AM233" s="424">
        <f t="shared" si="3"/>
        <v>3</v>
      </c>
      <c r="AN233" s="442" t="str">
        <f t="shared" si="4"/>
        <v>2</v>
      </c>
      <c r="AO233" s="442">
        <f t="shared" si="5"/>
        <v>3</v>
      </c>
      <c r="AP233" s="367"/>
    </row>
    <row r="234">
      <c r="A234" s="385">
        <v>230.0</v>
      </c>
      <c r="B234" s="446" t="s">
        <v>2373</v>
      </c>
      <c r="C234" s="446" t="s">
        <v>3401</v>
      </c>
      <c r="D234" s="402" t="str">
        <f>VLOOKUP(B234,USN!$1:$1088,2,False)</f>
        <v>1CR23EC242</v>
      </c>
      <c r="E234" s="447">
        <v>7.349117571E9</v>
      </c>
      <c r="F234" s="447" t="s">
        <v>3736</v>
      </c>
      <c r="G234" s="367"/>
      <c r="H234" s="447">
        <v>75.0</v>
      </c>
      <c r="I234" s="448">
        <v>72.0</v>
      </c>
      <c r="J234" s="433">
        <f>VLOOKUP(D234,'L3'!$1:$2060,2,False)</f>
        <v>70</v>
      </c>
      <c r="K234" s="433">
        <f>VLOOKUP(D234,'L4'!$1:$2059,2,False)</f>
        <v>70</v>
      </c>
      <c r="L234" s="434">
        <f>VLOOKUP(D234,'A1 RETEST 5 DEC'!$1:$2096,2,FALSE)</f>
        <v>50</v>
      </c>
      <c r="M234" s="434">
        <f>VLOOKUP(D234,'A2 RETEST 4 DEC'!$1:$2096,2,FALSE)</f>
        <v>12</v>
      </c>
      <c r="N234" s="435">
        <v>26.0</v>
      </c>
      <c r="O234" s="449"/>
      <c r="P234" s="436">
        <f>IFNA(VLOOKUP(D234,'S1'!$1:$1325,2,False),0)</f>
        <v>75</v>
      </c>
      <c r="Q234" s="436">
        <f>vlookup(D234,'S2'!A230:B1432,2,0)</f>
        <v>61</v>
      </c>
      <c r="R234" s="436">
        <f>ifna(vlookup(D234,'S3'!$1:$1311,2,False),0)</f>
        <v>83</v>
      </c>
      <c r="S234" s="436"/>
      <c r="T234" s="437">
        <v>19.0</v>
      </c>
      <c r="U234" s="437">
        <v>13.0</v>
      </c>
      <c r="V234" s="437">
        <v>52.0</v>
      </c>
      <c r="W234" s="437">
        <v>82.0</v>
      </c>
      <c r="X234" s="437">
        <v>66.0</v>
      </c>
      <c r="Y234" s="437"/>
      <c r="Z234" s="438"/>
      <c r="AA234" s="450">
        <v>20.6</v>
      </c>
      <c r="AB234" s="409">
        <v>71.0</v>
      </c>
      <c r="AC234" s="395">
        <v>70.0</v>
      </c>
      <c r="AD234" s="439"/>
      <c r="AE234" s="440">
        <v>10.0</v>
      </c>
      <c r="AF234" s="441"/>
      <c r="AG234" s="439"/>
      <c r="AH234" s="451">
        <v>0.0</v>
      </c>
      <c r="AI234" s="441"/>
      <c r="AJ234" s="441"/>
      <c r="AK234" s="442">
        <f t="shared" si="1"/>
        <v>4</v>
      </c>
      <c r="AL234" s="442">
        <f t="shared" si="2"/>
        <v>1</v>
      </c>
      <c r="AM234" s="424">
        <f t="shared" si="3"/>
        <v>3</v>
      </c>
      <c r="AN234" s="442" t="str">
        <f t="shared" si="4"/>
        <v>3</v>
      </c>
      <c r="AO234" s="442">
        <f t="shared" si="5"/>
        <v>3</v>
      </c>
      <c r="AP234" s="367"/>
    </row>
    <row r="235">
      <c r="A235" s="385">
        <v>231.0</v>
      </c>
      <c r="B235" s="446" t="s">
        <v>2374</v>
      </c>
      <c r="C235" s="446" t="s">
        <v>3402</v>
      </c>
      <c r="D235" s="402" t="str">
        <f>VLOOKUP(B235,USN!$1:$1088,2,False)</f>
        <v>1CR23EC243</v>
      </c>
      <c r="E235" s="447">
        <v>6.366335396E9</v>
      </c>
      <c r="F235" s="447" t="s">
        <v>3736</v>
      </c>
      <c r="G235" s="367"/>
      <c r="H235" s="447">
        <v>86.0</v>
      </c>
      <c r="I235" s="448">
        <v>80.0</v>
      </c>
      <c r="J235" s="433">
        <f>VLOOKUP(D235,'L3'!$1:$2060,2,False)</f>
        <v>62</v>
      </c>
      <c r="K235" s="433">
        <f>VLOOKUP(D235,'L4'!$1:$2059,2,False)</f>
        <v>70</v>
      </c>
      <c r="L235" s="434">
        <f>VLOOKUP(D235,'A1 RETEST 5 DEC'!$1:$2096,2,FALSE)</f>
        <v>50</v>
      </c>
      <c r="M235" s="434">
        <f>VLOOKUP(D235,'A2 RETEST 4 DEC'!$1:$2096,2,FALSE)</f>
        <v>50</v>
      </c>
      <c r="N235" s="435">
        <v>18.0</v>
      </c>
      <c r="O235" s="449"/>
      <c r="P235" s="436">
        <f>IFNA(VLOOKUP(D235,'S1'!$1:$1325,2,False),0)</f>
        <v>83</v>
      </c>
      <c r="Q235" s="436">
        <f>vlookup(D235,'S2'!A231:B1433,2,0)</f>
        <v>72</v>
      </c>
      <c r="R235" s="436">
        <f>ifna(vlookup(D235,'S3'!$1:$1311,2,False),0)</f>
        <v>87</v>
      </c>
      <c r="S235" s="436"/>
      <c r="T235" s="437">
        <v>20.0</v>
      </c>
      <c r="U235" s="437">
        <v>15.0</v>
      </c>
      <c r="V235" s="437">
        <v>58.0</v>
      </c>
      <c r="W235" s="437">
        <v>70.0</v>
      </c>
      <c r="X235" s="437">
        <v>62.0</v>
      </c>
      <c r="Y235" s="437"/>
      <c r="Z235" s="438"/>
      <c r="AA235" s="450">
        <v>0.0</v>
      </c>
      <c r="AB235" s="409">
        <v>83.0</v>
      </c>
      <c r="AC235" s="395">
        <v>70.0</v>
      </c>
      <c r="AD235" s="439"/>
      <c r="AE235" s="440">
        <v>70.0</v>
      </c>
      <c r="AF235" s="441"/>
      <c r="AG235" s="439"/>
      <c r="AH235" s="451">
        <v>0.0</v>
      </c>
      <c r="AI235" s="441"/>
      <c r="AJ235" s="441"/>
      <c r="AK235" s="442">
        <f t="shared" si="1"/>
        <v>2</v>
      </c>
      <c r="AL235" s="442">
        <f t="shared" si="2"/>
        <v>2</v>
      </c>
      <c r="AM235" s="424">
        <f t="shared" si="3"/>
        <v>3</v>
      </c>
      <c r="AN235" s="442" t="str">
        <f t="shared" si="4"/>
        <v>3.5</v>
      </c>
      <c r="AO235" s="442">
        <f t="shared" si="5"/>
        <v>3</v>
      </c>
      <c r="AP235" s="367"/>
    </row>
    <row r="236">
      <c r="A236" s="385">
        <v>232.0</v>
      </c>
      <c r="B236" s="446" t="s">
        <v>2391</v>
      </c>
      <c r="C236" s="446" t="s">
        <v>3403</v>
      </c>
      <c r="D236" s="402" t="str">
        <f>VLOOKUP(B236,USN!$1:$1088,2,False)</f>
        <v>1CR23EC244</v>
      </c>
      <c r="E236" s="447">
        <v>9.591000817E9</v>
      </c>
      <c r="F236" s="447" t="s">
        <v>3736</v>
      </c>
      <c r="G236" s="367"/>
      <c r="H236" s="447">
        <v>75.0</v>
      </c>
      <c r="I236" s="448">
        <v>82.0</v>
      </c>
      <c r="J236" s="433">
        <f>VLOOKUP(D236,'L3'!$1:$2060,2,False)</f>
        <v>70</v>
      </c>
      <c r="K236" s="433">
        <f>VLOOKUP(D236,'L4'!$1:$2059,2,False)</f>
        <v>70</v>
      </c>
      <c r="L236" s="434">
        <f>VLOOKUP(D236,'A1 RETEST 5 DEC'!$1:$2096,2,FALSE)</f>
        <v>50</v>
      </c>
      <c r="M236" s="434">
        <f>VLOOKUP(D236,'A2 RETEST 4 DEC'!$1:$2096,2,FALSE)</f>
        <v>50</v>
      </c>
      <c r="N236" s="435">
        <v>50.0</v>
      </c>
      <c r="O236" s="449"/>
      <c r="P236" s="436">
        <f>IFNA(VLOOKUP(D236,'S1'!$1:$1325,2,False),0)</f>
        <v>70</v>
      </c>
      <c r="Q236" s="436">
        <f>vlookup(D236,'S2'!A232:B1434,2,0)</f>
        <v>79</v>
      </c>
      <c r="R236" s="436">
        <f>ifna(vlookup(D236,'S3'!$1:$1311,2,False),0)</f>
        <v>94</v>
      </c>
      <c r="S236" s="436"/>
      <c r="T236" s="437">
        <v>11.0</v>
      </c>
      <c r="U236" s="437">
        <v>21.0</v>
      </c>
      <c r="V236" s="437">
        <v>34.0</v>
      </c>
      <c r="W236" s="437">
        <v>84.0</v>
      </c>
      <c r="X236" s="437">
        <v>80.0</v>
      </c>
      <c r="Y236" s="437"/>
      <c r="Z236" s="438"/>
      <c r="AA236" s="450">
        <v>60.0</v>
      </c>
      <c r="AB236" s="409">
        <v>84.0</v>
      </c>
      <c r="AC236" s="395">
        <v>60.0</v>
      </c>
      <c r="AD236" s="439"/>
      <c r="AE236" s="439">
        <v>70.0</v>
      </c>
      <c r="AF236" s="441"/>
      <c r="AG236" s="439"/>
      <c r="AH236" s="451">
        <v>74.0</v>
      </c>
      <c r="AI236" s="441"/>
      <c r="AJ236" s="441"/>
      <c r="AK236" s="442">
        <f t="shared" si="1"/>
        <v>4</v>
      </c>
      <c r="AL236" s="442">
        <f t="shared" si="2"/>
        <v>3</v>
      </c>
      <c r="AM236" s="424">
        <f t="shared" si="3"/>
        <v>3</v>
      </c>
      <c r="AN236" s="442" t="str">
        <f t="shared" si="4"/>
        <v>3.5</v>
      </c>
      <c r="AO236" s="442">
        <f t="shared" si="5"/>
        <v>3</v>
      </c>
      <c r="AP236" s="367"/>
    </row>
    <row r="237">
      <c r="A237" s="385">
        <v>233.0</v>
      </c>
      <c r="B237" s="446" t="s">
        <v>2395</v>
      </c>
      <c r="C237" s="446" t="s">
        <v>3404</v>
      </c>
      <c r="D237" s="402" t="str">
        <f>VLOOKUP(B237,USN!$1:$1088,2,False)</f>
        <v>1CR23EC245</v>
      </c>
      <c r="E237" s="447">
        <v>7.975455224E9</v>
      </c>
      <c r="F237" s="452" t="s">
        <v>3736</v>
      </c>
      <c r="G237" s="367"/>
      <c r="H237" s="447">
        <v>79.0</v>
      </c>
      <c r="I237" s="448">
        <v>80.0</v>
      </c>
      <c r="J237" s="433">
        <f>VLOOKUP(D237,'L3'!$1:$2060,2,False)</f>
        <v>70</v>
      </c>
      <c r="K237" s="433">
        <f>VLOOKUP(D237,'L4'!$1:$2059,2,False)</f>
        <v>70</v>
      </c>
      <c r="L237" s="434">
        <f>VLOOKUP(D237,'A1 RETEST 5 DEC'!$1:$2096,2,FALSE)</f>
        <v>32</v>
      </c>
      <c r="M237" s="434">
        <f>VLOOKUP(D237,'A2 RETEST 4 DEC'!$1:$2096,2,FALSE)</f>
        <v>50</v>
      </c>
      <c r="N237" s="435">
        <v>50.0</v>
      </c>
      <c r="O237" s="449"/>
      <c r="P237" s="436">
        <f>IFNA(VLOOKUP(D237,'S1'!$1:$1325,2,False),0)</f>
        <v>50</v>
      </c>
      <c r="Q237" s="436">
        <f>vlookup(D237,'S2'!A233:B1435,2,0)</f>
        <v>64</v>
      </c>
      <c r="R237" s="436">
        <f>ifna(vlookup(D237,'S3'!$1:$1311,2,False),0)</f>
        <v>50</v>
      </c>
      <c r="S237" s="436"/>
      <c r="T237" s="437">
        <v>12.0</v>
      </c>
      <c r="U237" s="437">
        <v>21.0</v>
      </c>
      <c r="V237" s="437">
        <v>44.0</v>
      </c>
      <c r="W237" s="437">
        <v>84.0</v>
      </c>
      <c r="X237" s="437">
        <v>70.0</v>
      </c>
      <c r="Y237" s="437"/>
      <c r="Z237" s="438"/>
      <c r="AA237" s="450">
        <v>38.0</v>
      </c>
      <c r="AB237" s="409">
        <v>84.0</v>
      </c>
      <c r="AC237" s="395">
        <v>61.0</v>
      </c>
      <c r="AD237" s="439"/>
      <c r="AE237" s="440">
        <v>29.0</v>
      </c>
      <c r="AF237" s="441"/>
      <c r="AG237" s="439">
        <v>74.0</v>
      </c>
      <c r="AH237" s="451"/>
      <c r="AI237" s="441"/>
      <c r="AJ237" s="441"/>
      <c r="AK237" s="442">
        <f t="shared" si="1"/>
        <v>4</v>
      </c>
      <c r="AL237" s="442">
        <f t="shared" si="2"/>
        <v>0</v>
      </c>
      <c r="AM237" s="424">
        <f t="shared" si="3"/>
        <v>3</v>
      </c>
      <c r="AN237" s="442" t="str">
        <f t="shared" si="4"/>
        <v>3</v>
      </c>
      <c r="AO237" s="442">
        <f t="shared" si="5"/>
        <v>3</v>
      </c>
      <c r="AP237" s="367"/>
    </row>
    <row r="238">
      <c r="A238" s="385">
        <v>234.0</v>
      </c>
      <c r="B238" s="446" t="s">
        <v>2376</v>
      </c>
      <c r="C238" s="446" t="s">
        <v>3776</v>
      </c>
      <c r="D238" s="402" t="str">
        <f>VLOOKUP(B238,USN!$1:$1088,2,False)</f>
        <v>1CR23EC246</v>
      </c>
      <c r="E238" s="447">
        <v>7.338235685E9</v>
      </c>
      <c r="F238" s="447" t="s">
        <v>3736</v>
      </c>
      <c r="G238" s="367"/>
      <c r="H238" s="447">
        <v>72.0</v>
      </c>
      <c r="I238" s="433">
        <v>70.0</v>
      </c>
      <c r="J238" s="433">
        <f>VLOOKUP(D238,'L3'!$1:$2060,2,False)</f>
        <v>34</v>
      </c>
      <c r="K238" s="433">
        <f>VLOOKUP(D238,'L4'!$1:$2059,2,False)</f>
        <v>70</v>
      </c>
      <c r="L238" s="434">
        <f>VLOOKUP(D238,'A1 RETEST 5 DEC'!$1:$2096,2,FALSE)</f>
        <v>56</v>
      </c>
      <c r="M238" s="434">
        <f>VLOOKUP(D238,'A2 RETEST 4 DEC'!$1:$2096,2,FALSE)</f>
        <v>50</v>
      </c>
      <c r="N238" s="435">
        <v>34.0</v>
      </c>
      <c r="O238" s="449"/>
      <c r="P238" s="436">
        <f>IFNA(VLOOKUP(D238,'S1'!$1:$1325,2,False),0)</f>
        <v>0</v>
      </c>
      <c r="Q238" s="436">
        <f>vlookup(D238,'S2'!A234:B1436,2,0)</f>
        <v>0</v>
      </c>
      <c r="R238" s="436">
        <f>ifna(vlookup(D238,'S3'!$1:$1311,2,False),0)</f>
        <v>0</v>
      </c>
      <c r="S238" s="436"/>
      <c r="T238" s="437" t="s">
        <v>2477</v>
      </c>
      <c r="U238" s="437">
        <v>19.0</v>
      </c>
      <c r="V238" s="437">
        <v>28.0</v>
      </c>
      <c r="W238" s="437">
        <v>82.0</v>
      </c>
      <c r="X238" s="453"/>
      <c r="Y238" s="437"/>
      <c r="Z238" s="438"/>
      <c r="AA238" s="450">
        <v>0.0</v>
      </c>
      <c r="AB238" s="409">
        <v>13.0</v>
      </c>
      <c r="AC238" s="395">
        <v>10.0</v>
      </c>
      <c r="AD238" s="439"/>
      <c r="AE238" s="440">
        <v>10.0</v>
      </c>
      <c r="AF238" s="441"/>
      <c r="AG238" s="439"/>
      <c r="AH238" s="441"/>
      <c r="AI238" s="441"/>
      <c r="AJ238" s="441"/>
      <c r="AK238" s="442">
        <f t="shared" si="1"/>
        <v>2</v>
      </c>
      <c r="AL238" s="442">
        <f t="shared" si="2"/>
        <v>2</v>
      </c>
      <c r="AM238" s="424">
        <f t="shared" si="3"/>
        <v>3</v>
      </c>
      <c r="AN238" s="442" t="str">
        <f t="shared" si="4"/>
        <v>0</v>
      </c>
      <c r="AO238" s="442">
        <f t="shared" si="5"/>
        <v>0</v>
      </c>
      <c r="AP238" s="367"/>
    </row>
    <row r="239">
      <c r="A239" s="385">
        <v>235.0</v>
      </c>
      <c r="B239" s="446" t="s">
        <v>2375</v>
      </c>
      <c r="C239" s="446" t="s">
        <v>3406</v>
      </c>
      <c r="D239" s="402" t="str">
        <f>VLOOKUP(B239,USN!$1:$1088,2,False)</f>
        <v>1CR23EC247</v>
      </c>
      <c r="E239" s="447">
        <v>6.360059677E9</v>
      </c>
      <c r="F239" s="447" t="s">
        <v>3736</v>
      </c>
      <c r="G239" s="367"/>
      <c r="H239" s="447">
        <v>79.0</v>
      </c>
      <c r="I239" s="448">
        <v>74.0</v>
      </c>
      <c r="J239" s="433">
        <f>VLOOKUP(D239,'L3'!$1:$2060,2,False)</f>
        <v>19</v>
      </c>
      <c r="K239" s="433">
        <f>VLOOKUP(D239,'L4'!$1:$2059,2,False)</f>
        <v>6</v>
      </c>
      <c r="L239" s="434">
        <f>VLOOKUP(D239,'A1 RETEST 5 DEC'!$1:$2096,2,FALSE)</f>
        <v>49</v>
      </c>
      <c r="M239" s="434">
        <f>VLOOKUP(D239,'A2 RETEST 4 DEC'!$1:$2096,2,FALSE)</f>
        <v>0</v>
      </c>
      <c r="N239" s="435">
        <v>0.0</v>
      </c>
      <c r="O239" s="449"/>
      <c r="P239" s="436">
        <f>IFNA(VLOOKUP(D239,'S1'!$1:$1325,2,False),0)</f>
        <v>0</v>
      </c>
      <c r="Q239" s="436">
        <f>vlookup(D239,'S2'!A235:B1437,2,0)</f>
        <v>0</v>
      </c>
      <c r="R239" s="436">
        <f>ifna(vlookup(D239,'S3'!$1:$1311,2,False),0)</f>
        <v>0</v>
      </c>
      <c r="S239" s="436"/>
      <c r="T239" s="437">
        <v>21.0</v>
      </c>
      <c r="U239" s="437">
        <v>18.0</v>
      </c>
      <c r="V239" s="437">
        <v>0.0</v>
      </c>
      <c r="W239" s="437">
        <v>82.0</v>
      </c>
      <c r="X239" s="453"/>
      <c r="Y239" s="437"/>
      <c r="Z239" s="438"/>
      <c r="AA239" s="450">
        <v>18.0</v>
      </c>
      <c r="AB239" s="409">
        <v>93.0</v>
      </c>
      <c r="AC239" s="395">
        <v>0.0</v>
      </c>
      <c r="AD239" s="439"/>
      <c r="AE239" s="440">
        <v>10.0</v>
      </c>
      <c r="AF239" s="441"/>
      <c r="AG239" s="439"/>
      <c r="AH239" s="441"/>
      <c r="AI239" s="441"/>
      <c r="AJ239" s="441"/>
      <c r="AK239" s="442">
        <f t="shared" si="1"/>
        <v>2</v>
      </c>
      <c r="AL239" s="442">
        <f t="shared" si="2"/>
        <v>0</v>
      </c>
      <c r="AM239" s="424">
        <f t="shared" si="3"/>
        <v>3</v>
      </c>
      <c r="AN239" s="442" t="str">
        <f t="shared" si="4"/>
        <v>2</v>
      </c>
      <c r="AO239" s="442">
        <f t="shared" si="5"/>
        <v>0</v>
      </c>
      <c r="AP239" s="367"/>
    </row>
    <row r="240">
      <c r="A240" s="385">
        <v>236.0</v>
      </c>
      <c r="B240" s="446" t="s">
        <v>2377</v>
      </c>
      <c r="C240" s="446" t="s">
        <v>3407</v>
      </c>
      <c r="D240" s="402" t="str">
        <f>VLOOKUP(B240,USN!$1:$1088,2,False)</f>
        <v>1CR23EC248</v>
      </c>
      <c r="E240" s="447">
        <v>8.088886882E9</v>
      </c>
      <c r="F240" s="447" t="s">
        <v>3736</v>
      </c>
      <c r="G240" s="367"/>
      <c r="H240" s="443">
        <v>70.0</v>
      </c>
      <c r="I240" s="448">
        <v>73.0</v>
      </c>
      <c r="J240" s="433">
        <f>VLOOKUP(D240,'L3'!$1:$2060,2,False)</f>
        <v>70</v>
      </c>
      <c r="K240" s="433">
        <f>VLOOKUP(D240,'L4'!$1:$2059,2,False)</f>
        <v>70</v>
      </c>
      <c r="L240" s="434">
        <f>VLOOKUP(D240,'A1 RETEST 5 DEC'!$1:$2096,2,FALSE)</f>
        <v>50</v>
      </c>
      <c r="M240" s="434">
        <f>VLOOKUP(D240,'A2 RETEST 4 DEC'!$1:$2096,2,FALSE)</f>
        <v>50</v>
      </c>
      <c r="N240" s="435">
        <v>50.0</v>
      </c>
      <c r="O240" s="449"/>
      <c r="P240" s="436">
        <f>IFNA(VLOOKUP(D240,'S1'!$1:$1325,2,False),0)</f>
        <v>50</v>
      </c>
      <c r="Q240" s="436">
        <f>vlookup(D240,'S2'!A236:B1438,2,0)</f>
        <v>50</v>
      </c>
      <c r="R240" s="436">
        <f>ifna(vlookup(D240,'S3'!$1:$1311,2,False),0)</f>
        <v>50</v>
      </c>
      <c r="S240" s="436"/>
      <c r="T240" s="437">
        <v>21.0</v>
      </c>
      <c r="U240" s="437">
        <v>17.0</v>
      </c>
      <c r="V240" s="437">
        <v>48.0</v>
      </c>
      <c r="W240" s="437">
        <v>82.0</v>
      </c>
      <c r="X240" s="437">
        <v>70.0</v>
      </c>
      <c r="Y240" s="437"/>
      <c r="Z240" s="438"/>
      <c r="AA240" s="450">
        <v>34.0</v>
      </c>
      <c r="AB240" s="409">
        <v>71.0</v>
      </c>
      <c r="AC240" s="395">
        <v>100.0</v>
      </c>
      <c r="AD240" s="439"/>
      <c r="AE240" s="439">
        <v>70.0</v>
      </c>
      <c r="AF240" s="441"/>
      <c r="AG240" s="439"/>
      <c r="AH240" s="441"/>
      <c r="AI240" s="441"/>
      <c r="AJ240" s="441"/>
      <c r="AK240" s="442">
        <f t="shared" si="1"/>
        <v>4</v>
      </c>
      <c r="AL240" s="442">
        <f t="shared" si="2"/>
        <v>3</v>
      </c>
      <c r="AM240" s="424">
        <f t="shared" si="3"/>
        <v>3</v>
      </c>
      <c r="AN240" s="442" t="str">
        <f t="shared" si="4"/>
        <v>3.5</v>
      </c>
      <c r="AO240" s="442">
        <f t="shared" si="5"/>
        <v>3</v>
      </c>
      <c r="AP240" s="367"/>
    </row>
    <row r="241">
      <c r="A241" s="385">
        <v>237.0</v>
      </c>
      <c r="B241" s="446" t="s">
        <v>2388</v>
      </c>
      <c r="C241" s="446" t="s">
        <v>3408</v>
      </c>
      <c r="D241" s="402" t="str">
        <f>VLOOKUP(B241,USN!$1:$1088,2,False)</f>
        <v>1CR23EC249</v>
      </c>
      <c r="E241" s="446">
        <v>8.985233311E9</v>
      </c>
      <c r="F241" s="447" t="s">
        <v>3736</v>
      </c>
      <c r="G241" s="367"/>
      <c r="H241" s="447">
        <v>80.0</v>
      </c>
      <c r="I241" s="448">
        <v>90.0</v>
      </c>
      <c r="J241" s="433">
        <f>VLOOKUP(D241,'L3'!$1:$2060,2,False)</f>
        <v>74</v>
      </c>
      <c r="K241" s="433">
        <f>VLOOKUP(D241,'L4'!$1:$2059,2,False)</f>
        <v>70</v>
      </c>
      <c r="L241" s="434">
        <f>VLOOKUP(D241,'A1 RETEST 5 DEC'!$1:$2096,2,FALSE)</f>
        <v>62</v>
      </c>
      <c r="M241" s="434">
        <f>VLOOKUP(D241,'A2 RETEST 4 DEC'!$1:$2096,2,FALSE)</f>
        <v>10</v>
      </c>
      <c r="N241" s="435">
        <v>16.0</v>
      </c>
      <c r="O241" s="449"/>
      <c r="P241" s="436">
        <f>IFNA(VLOOKUP(D241,'S1'!$1:$1325,2,False),0)</f>
        <v>75</v>
      </c>
      <c r="Q241" s="436">
        <f>vlookup(D241,'S2'!A237:B1439,2,0)</f>
        <v>61</v>
      </c>
      <c r="R241" s="436">
        <f>ifna(vlookup(D241,'S3'!$1:$1311,2,False),0)</f>
        <v>0</v>
      </c>
      <c r="S241" s="436"/>
      <c r="T241" s="437">
        <v>12.0</v>
      </c>
      <c r="U241" s="437">
        <v>18.0</v>
      </c>
      <c r="V241" s="437">
        <v>24.0</v>
      </c>
      <c r="W241" s="437">
        <v>44.0</v>
      </c>
      <c r="X241" s="437">
        <v>40.0</v>
      </c>
      <c r="Y241" s="437"/>
      <c r="Z241" s="438"/>
      <c r="AA241" s="450">
        <v>14.0</v>
      </c>
      <c r="AB241" s="409">
        <v>85.0</v>
      </c>
      <c r="AC241" s="395">
        <v>10.0</v>
      </c>
      <c r="AD241" s="439"/>
      <c r="AE241" s="440">
        <v>10.0</v>
      </c>
      <c r="AF241" s="441"/>
      <c r="AG241" s="439"/>
      <c r="AH241" s="451">
        <v>20.0</v>
      </c>
      <c r="AI241" s="441"/>
      <c r="AJ241" s="441"/>
      <c r="AK241" s="442">
        <f t="shared" si="1"/>
        <v>4</v>
      </c>
      <c r="AL241" s="442">
        <f t="shared" si="2"/>
        <v>1</v>
      </c>
      <c r="AM241" s="424">
        <f t="shared" si="3"/>
        <v>2</v>
      </c>
      <c r="AN241" s="442" t="str">
        <f t="shared" si="4"/>
        <v>2</v>
      </c>
      <c r="AO241" s="442">
        <f t="shared" si="5"/>
        <v>2</v>
      </c>
      <c r="AP241" s="367"/>
    </row>
    <row r="242">
      <c r="A242" s="385">
        <v>238.0</v>
      </c>
      <c r="B242" s="446" t="s">
        <v>2378</v>
      </c>
      <c r="C242" s="446" t="s">
        <v>3409</v>
      </c>
      <c r="D242" s="402" t="str">
        <f>VLOOKUP(B242,USN!$1:$1088,2,False)</f>
        <v>1CR23EC250</v>
      </c>
      <c r="E242" s="447">
        <v>9.17150515E9</v>
      </c>
      <c r="F242" s="447" t="s">
        <v>3736</v>
      </c>
      <c r="G242" s="367"/>
      <c r="H242" s="447">
        <v>80.0</v>
      </c>
      <c r="I242" s="448">
        <v>88.0</v>
      </c>
      <c r="J242" s="433">
        <f>VLOOKUP(D242,'L3'!$1:$2060,2,False)</f>
        <v>80</v>
      </c>
      <c r="K242" s="433">
        <f>VLOOKUP(D242,'L4'!$1:$2059,2,False)</f>
        <v>70</v>
      </c>
      <c r="L242" s="434">
        <f>VLOOKUP(D242,'A1 RETEST 5 DEC'!$1:$2096,2,FALSE)</f>
        <v>50</v>
      </c>
      <c r="M242" s="434">
        <f>VLOOKUP(D242,'A2 RETEST 4 DEC'!$1:$2096,2,FALSE)</f>
        <v>50</v>
      </c>
      <c r="N242" s="435">
        <v>52.0</v>
      </c>
      <c r="O242" s="449"/>
      <c r="P242" s="436">
        <f>IFNA(VLOOKUP(D242,'S1'!$1:$1325,2,False),0)</f>
        <v>75</v>
      </c>
      <c r="Q242" s="436">
        <f>vlookup(D242,'S2'!A238:B1440,2,0)</f>
        <v>64</v>
      </c>
      <c r="R242" s="436">
        <f>ifna(vlookup(D242,'S3'!$1:$1311,2,False),0)</f>
        <v>99</v>
      </c>
      <c r="S242" s="436"/>
      <c r="T242" s="437">
        <v>11.0</v>
      </c>
      <c r="U242" s="437">
        <v>16.0</v>
      </c>
      <c r="V242" s="437">
        <v>38.0</v>
      </c>
      <c r="W242" s="437">
        <v>78.0</v>
      </c>
      <c r="X242" s="437">
        <v>64.0</v>
      </c>
      <c r="Y242" s="437"/>
      <c r="Z242" s="438"/>
      <c r="AA242" s="450">
        <v>95.0</v>
      </c>
      <c r="AB242" s="409">
        <v>100.0</v>
      </c>
      <c r="AC242" s="395">
        <v>61.0</v>
      </c>
      <c r="AD242" s="439"/>
      <c r="AE242" s="440">
        <v>90.0</v>
      </c>
      <c r="AF242" s="441"/>
      <c r="AG242" s="439"/>
      <c r="AH242" s="451">
        <v>33.0</v>
      </c>
      <c r="AI242" s="441"/>
      <c r="AJ242" s="441"/>
      <c r="AK242" s="442">
        <f t="shared" si="1"/>
        <v>4</v>
      </c>
      <c r="AL242" s="442">
        <f t="shared" si="2"/>
        <v>3</v>
      </c>
      <c r="AM242" s="424">
        <f t="shared" si="3"/>
        <v>3</v>
      </c>
      <c r="AN242" s="442" t="str">
        <f t="shared" si="4"/>
        <v>3.5</v>
      </c>
      <c r="AO242" s="442">
        <f t="shared" si="5"/>
        <v>3</v>
      </c>
      <c r="AP242" s="367"/>
    </row>
    <row r="243">
      <c r="A243" s="385">
        <v>239.0</v>
      </c>
      <c r="B243" s="446" t="s">
        <v>2404</v>
      </c>
      <c r="C243" s="446" t="s">
        <v>3777</v>
      </c>
      <c r="D243" s="402" t="str">
        <f>VLOOKUP(B243,USN!$1:$1088,2,False)</f>
        <v>1CR23EC251</v>
      </c>
      <c r="E243" s="447">
        <v>9.036305039E9</v>
      </c>
      <c r="F243" s="447" t="s">
        <v>3736</v>
      </c>
      <c r="G243" s="367"/>
      <c r="H243" s="447">
        <v>84.0</v>
      </c>
      <c r="I243" s="448">
        <v>87.0</v>
      </c>
      <c r="J243" s="433">
        <f>VLOOKUP(D243,'L3'!$1:$2060,2,False)</f>
        <v>51</v>
      </c>
      <c r="K243" s="433">
        <f>VLOOKUP(D243,'L4'!$1:$2059,2,False)</f>
        <v>72</v>
      </c>
      <c r="L243" s="434">
        <f>VLOOKUP(D243,'A1 RETEST 5 DEC'!$1:$2096,2,FALSE)</f>
        <v>50</v>
      </c>
      <c r="M243" s="434">
        <f>VLOOKUP(D243,'A2 RETEST 4 DEC'!$1:$2096,2,FALSE)</f>
        <v>50</v>
      </c>
      <c r="N243" s="435">
        <v>50.0</v>
      </c>
      <c r="O243" s="449"/>
      <c r="P243" s="436">
        <f>IFNA(VLOOKUP(D243,'S1'!$1:$1325,2,False),0)</f>
        <v>50</v>
      </c>
      <c r="Q243" s="436">
        <f>vlookup(D243,'S2'!A239:B1441,2,0)</f>
        <v>79</v>
      </c>
      <c r="R243" s="436">
        <f>ifna(vlookup(D243,'S3'!$1:$1311,2,False),0)</f>
        <v>50</v>
      </c>
      <c r="S243" s="436"/>
      <c r="T243" s="437">
        <v>12.0</v>
      </c>
      <c r="U243" s="437">
        <v>19.0</v>
      </c>
      <c r="V243" s="437">
        <v>32.0</v>
      </c>
      <c r="W243" s="437">
        <v>76.0</v>
      </c>
      <c r="X243" s="437">
        <v>66.0</v>
      </c>
      <c r="Y243" s="437"/>
      <c r="Z243" s="438"/>
      <c r="AA243" s="450">
        <v>66.0</v>
      </c>
      <c r="AB243" s="409">
        <v>95.0</v>
      </c>
      <c r="AC243" s="395">
        <v>60.0</v>
      </c>
      <c r="AD243" s="439"/>
      <c r="AE243" s="440">
        <v>20.0</v>
      </c>
      <c r="AF243" s="441"/>
      <c r="AG243" s="439"/>
      <c r="AH243" s="451">
        <v>18.0</v>
      </c>
      <c r="AI243" s="441"/>
      <c r="AJ243" s="441"/>
      <c r="AK243" s="442">
        <f t="shared" si="1"/>
        <v>2</v>
      </c>
      <c r="AL243" s="442">
        <f t="shared" si="2"/>
        <v>3</v>
      </c>
      <c r="AM243" s="424">
        <f t="shared" si="3"/>
        <v>3</v>
      </c>
      <c r="AN243" s="442" t="str">
        <f t="shared" si="4"/>
        <v>3</v>
      </c>
      <c r="AO243" s="442">
        <f t="shared" si="5"/>
        <v>3</v>
      </c>
      <c r="AP243" s="367"/>
    </row>
    <row r="244">
      <c r="A244" s="385">
        <v>240.0</v>
      </c>
      <c r="B244" s="401" t="s">
        <v>2380</v>
      </c>
      <c r="C244" s="401" t="s">
        <v>3412</v>
      </c>
      <c r="D244" s="402" t="str">
        <f>VLOOKUP(B244,USN!$1:$1088,2,False)</f>
        <v>1CR23EC253</v>
      </c>
      <c r="E244" s="461">
        <v>6.360655877E9</v>
      </c>
      <c r="F244" s="461" t="s">
        <v>3736</v>
      </c>
      <c r="G244" s="387"/>
      <c r="H244" s="461">
        <v>70.0</v>
      </c>
      <c r="I244" s="403">
        <v>70.0</v>
      </c>
      <c r="J244" s="433">
        <f>VLOOKUP(D244,'L3'!$1:$2060,2,False)</f>
        <v>38</v>
      </c>
      <c r="K244" s="433">
        <f>VLOOKUP(D244,'L4'!$1:$2059,2,False)</f>
        <v>51</v>
      </c>
      <c r="L244" s="434">
        <f>VLOOKUP(D244,'A1 RETEST 5 DEC'!$1:$2096,2,FALSE)</f>
        <v>50</v>
      </c>
      <c r="M244" s="434">
        <f>VLOOKUP(D244,'A2 RETEST 4 DEC'!$1:$2096,2,FALSE)</f>
        <v>0</v>
      </c>
      <c r="N244" s="435">
        <v>0.0</v>
      </c>
      <c r="O244" s="390"/>
      <c r="P244" s="436">
        <f>IFNA(VLOOKUP(D244,'S1'!$1:$1325,2,False),0)</f>
        <v>0</v>
      </c>
      <c r="Q244" s="436">
        <f>vlookup(D244,'S2'!A240:B1442,2,0)</f>
        <v>0</v>
      </c>
      <c r="R244" s="436">
        <f>ifna(vlookup(D244,'S3'!$1:$1311,2,False),0)</f>
        <v>0</v>
      </c>
      <c r="S244" s="391"/>
      <c r="T244" s="392">
        <v>23.0</v>
      </c>
      <c r="U244" s="392">
        <v>21.0</v>
      </c>
      <c r="V244" s="392">
        <v>46.0</v>
      </c>
      <c r="W244" s="392">
        <v>52.0</v>
      </c>
      <c r="X244" s="392">
        <v>70.0</v>
      </c>
      <c r="Y244" s="392"/>
      <c r="Z244" s="407"/>
      <c r="AA244" s="450">
        <v>35.8</v>
      </c>
      <c r="AB244" s="409">
        <v>64.0</v>
      </c>
      <c r="AC244" s="395">
        <v>4.0</v>
      </c>
      <c r="AD244" s="395"/>
      <c r="AE244" s="440">
        <v>10.0</v>
      </c>
      <c r="AF244" s="398"/>
      <c r="AG244" s="395"/>
      <c r="AH244" s="398"/>
      <c r="AI244" s="441"/>
      <c r="AJ244" s="441"/>
      <c r="AK244" s="442">
        <f t="shared" si="1"/>
        <v>2</v>
      </c>
      <c r="AL244" s="442">
        <f t="shared" si="2"/>
        <v>1</v>
      </c>
      <c r="AM244" s="424">
        <f t="shared" si="3"/>
        <v>3</v>
      </c>
      <c r="AN244" s="442" t="str">
        <f t="shared" si="4"/>
        <v>2</v>
      </c>
      <c r="AO244" s="442">
        <f t="shared" si="5"/>
        <v>0</v>
      </c>
      <c r="AP244" s="367"/>
    </row>
    <row r="245">
      <c r="A245" s="385">
        <v>241.0</v>
      </c>
      <c r="B245" s="401" t="s">
        <v>2402</v>
      </c>
      <c r="C245" s="401" t="s">
        <v>3413</v>
      </c>
      <c r="D245" s="402" t="str">
        <f>VLOOKUP(B245,USN!$1:$1088,2,False)</f>
        <v>1CR23EC254</v>
      </c>
      <c r="E245" s="461">
        <v>9.740373177E9</v>
      </c>
      <c r="F245" s="461" t="s">
        <v>3736</v>
      </c>
      <c r="G245" s="387"/>
      <c r="H245" s="461">
        <v>80.0</v>
      </c>
      <c r="I245" s="403">
        <v>81.0</v>
      </c>
      <c r="J245" s="433">
        <f>VLOOKUP(D245,'L3'!$1:$2060,2,False)</f>
        <v>46</v>
      </c>
      <c r="K245" s="433">
        <f>VLOOKUP(D245,'L4'!$1:$2059,2,False)</f>
        <v>70</v>
      </c>
      <c r="L245" s="434">
        <f>VLOOKUP(D245,'A1 RETEST 5 DEC'!$1:$2096,2,FALSE)</f>
        <v>50</v>
      </c>
      <c r="M245" s="434">
        <f>VLOOKUP(D245,'A2 RETEST 4 DEC'!$1:$2096,2,FALSE)</f>
        <v>8</v>
      </c>
      <c r="N245" s="435">
        <v>14.0</v>
      </c>
      <c r="O245" s="390"/>
      <c r="P245" s="436">
        <f>IFNA(VLOOKUP(D245,'S1'!$1:$1325,2,False),0)</f>
        <v>70</v>
      </c>
      <c r="Q245" s="436">
        <f>vlookup(D245,'S2'!A241:B1443,2,0)</f>
        <v>81</v>
      </c>
      <c r="R245" s="436">
        <f>ifna(vlookup(D245,'S3'!$1:$1311,2,False),0)</f>
        <v>0</v>
      </c>
      <c r="S245" s="391"/>
      <c r="T245" s="392">
        <v>16.0</v>
      </c>
      <c r="U245" s="392">
        <v>16.0</v>
      </c>
      <c r="V245" s="392">
        <v>36.0</v>
      </c>
      <c r="W245" s="392">
        <v>0.0</v>
      </c>
      <c r="X245" s="462"/>
      <c r="Y245" s="392"/>
      <c r="Z245" s="407"/>
      <c r="AA245" s="450">
        <v>60.0</v>
      </c>
      <c r="AB245" s="409">
        <v>91.0</v>
      </c>
      <c r="AC245" s="395">
        <v>16.0</v>
      </c>
      <c r="AD245" s="395"/>
      <c r="AE245" s="440">
        <v>10.0</v>
      </c>
      <c r="AF245" s="398"/>
      <c r="AG245" s="395"/>
      <c r="AH245" s="398"/>
      <c r="AI245" s="441"/>
      <c r="AJ245" s="441"/>
      <c r="AK245" s="442">
        <f t="shared" si="1"/>
        <v>2</v>
      </c>
      <c r="AL245" s="442">
        <f t="shared" si="2"/>
        <v>1</v>
      </c>
      <c r="AM245" s="424">
        <f t="shared" si="3"/>
        <v>2</v>
      </c>
      <c r="AN245" s="442" t="str">
        <f t="shared" si="4"/>
        <v>2</v>
      </c>
      <c r="AO245" s="442">
        <f t="shared" si="5"/>
        <v>2</v>
      </c>
      <c r="AP245" s="367"/>
    </row>
    <row r="246">
      <c r="A246" s="385">
        <v>242.0</v>
      </c>
      <c r="B246" s="386" t="s">
        <v>3414</v>
      </c>
      <c r="C246" s="463" t="s">
        <v>3415</v>
      </c>
      <c r="D246" s="463" t="s">
        <v>635</v>
      </c>
      <c r="E246" s="386"/>
      <c r="F246" s="386" t="s">
        <v>3736</v>
      </c>
      <c r="G246" s="387"/>
      <c r="H246" s="386">
        <v>70.0</v>
      </c>
      <c r="I246" s="386">
        <v>70.0</v>
      </c>
      <c r="J246" s="433">
        <f>VLOOKUP(D246,'L3'!$1:$2060,2,False)</f>
        <v>70</v>
      </c>
      <c r="K246" s="433">
        <f>VLOOKUP(D246,'L4'!$1:$2059,2,False)</f>
        <v>70</v>
      </c>
      <c r="L246" s="434">
        <f>VLOOKUP(D246,'A1 RETEST 5 DEC'!$1:$2096,2,FALSE)</f>
        <v>50</v>
      </c>
      <c r="M246" s="434">
        <f>VLOOKUP(D246,'A2 RETEST 4 DEC'!$1:$2096,2,FALSE)</f>
        <v>50</v>
      </c>
      <c r="N246" s="435">
        <v>0.0</v>
      </c>
      <c r="O246" s="464"/>
      <c r="P246" s="436">
        <f>IFNA(VLOOKUP(D246,'S1'!$1:$1325,2,False),0)</f>
        <v>50</v>
      </c>
      <c r="Q246" s="436">
        <f>vlookup(D246,'S2'!A242:B1444,2,0)</f>
        <v>52</v>
      </c>
      <c r="R246" s="436">
        <f>ifna(vlookup(D246,'S3'!$1:$1311,2,False),0)</f>
        <v>50</v>
      </c>
      <c r="S246" s="391"/>
      <c r="T246" s="392"/>
      <c r="U246" s="392"/>
      <c r="V246" s="392"/>
      <c r="W246" s="392">
        <v>0.0</v>
      </c>
      <c r="X246" s="392">
        <v>72.0</v>
      </c>
      <c r="Y246" s="392"/>
      <c r="Z246" s="407"/>
      <c r="AA246" s="25"/>
      <c r="AB246" s="395"/>
      <c r="AC246" s="395">
        <v>85.0</v>
      </c>
      <c r="AD246" s="395"/>
      <c r="AE246" s="440">
        <v>12.0</v>
      </c>
      <c r="AF246" s="398"/>
      <c r="AG246" s="395"/>
      <c r="AH246" s="397">
        <v>13.0</v>
      </c>
      <c r="AI246" s="441"/>
      <c r="AJ246" s="441"/>
      <c r="AK246" s="442">
        <f t="shared" si="1"/>
        <v>4</v>
      </c>
      <c r="AL246" s="442">
        <f t="shared" si="2"/>
        <v>2</v>
      </c>
      <c r="AM246" s="424">
        <f t="shared" si="3"/>
        <v>0</v>
      </c>
      <c r="AN246" s="442" t="str">
        <f t="shared" si="4"/>
        <v>0</v>
      </c>
      <c r="AO246" s="442">
        <f t="shared" si="5"/>
        <v>3</v>
      </c>
      <c r="AP246" s="367"/>
    </row>
    <row r="247">
      <c r="A247" s="385">
        <v>243.0</v>
      </c>
      <c r="B247" s="465" t="s">
        <v>3416</v>
      </c>
      <c r="C247" s="466" t="s">
        <v>3417</v>
      </c>
      <c r="D247" s="465" t="s">
        <v>1350</v>
      </c>
      <c r="E247" s="467">
        <v>7.411004632E9</v>
      </c>
      <c r="F247" s="465" t="s">
        <v>3736</v>
      </c>
      <c r="G247" s="468" t="s">
        <v>3778</v>
      </c>
      <c r="H247" s="461">
        <v>80.0</v>
      </c>
      <c r="I247" s="461">
        <v>60.0</v>
      </c>
      <c r="J247" s="419">
        <v>70.0</v>
      </c>
      <c r="K247" s="419">
        <v>20.5</v>
      </c>
      <c r="L247" s="434">
        <f>VLOOKUP(D247,'A1 RETEST 5 DEC'!$1:$2096,2,FALSE)</f>
        <v>0</v>
      </c>
      <c r="M247" s="434">
        <f>VLOOKUP(D247,'A2 RETEST 4 DEC'!$1:$2096,2,FALSE)</f>
        <v>31</v>
      </c>
      <c r="N247" s="435">
        <v>0.0</v>
      </c>
      <c r="O247" s="469"/>
      <c r="P247" s="436">
        <f>IFNA(VLOOKUP(D247,'S1'!$1:$1325,2,False),0)</f>
        <v>0</v>
      </c>
      <c r="Q247" s="436">
        <v>0.0</v>
      </c>
      <c r="R247" s="436">
        <f>ifna(vlookup(D247,'S3'!$1:$1311,2,False),0)</f>
        <v>0</v>
      </c>
      <c r="S247" s="470"/>
      <c r="T247" s="471">
        <v>62.0</v>
      </c>
      <c r="U247" s="471">
        <v>70.0</v>
      </c>
      <c r="V247" s="471">
        <v>62.0</v>
      </c>
      <c r="W247" s="472">
        <v>70.0</v>
      </c>
      <c r="X247" s="392">
        <v>80.0</v>
      </c>
      <c r="Y247" s="392"/>
      <c r="Z247" s="407"/>
      <c r="AA247" s="25"/>
      <c r="AB247" s="473">
        <v>27.5</v>
      </c>
      <c r="AC247" s="395" t="e">
        <v>#N/A</v>
      </c>
      <c r="AD247" s="395"/>
      <c r="AE247" s="440">
        <v>10.0</v>
      </c>
      <c r="AF247" s="398"/>
      <c r="AG247" s="473">
        <v>0.0</v>
      </c>
      <c r="AH247" s="398"/>
      <c r="AI247" s="441"/>
      <c r="AJ247" s="441"/>
      <c r="AK247" s="358"/>
      <c r="AL247" s="358"/>
      <c r="AM247" s="358"/>
      <c r="AN247" s="358"/>
      <c r="AO247" s="358"/>
      <c r="AP247" s="367"/>
    </row>
    <row r="248">
      <c r="A248" s="385">
        <v>244.0</v>
      </c>
      <c r="B248" s="383" t="s">
        <v>103</v>
      </c>
      <c r="C248" s="383" t="s">
        <v>3658</v>
      </c>
      <c r="D248" s="474" t="s">
        <v>647</v>
      </c>
      <c r="E248" s="386">
        <v>8.27711376E9</v>
      </c>
      <c r="F248" s="461" t="s">
        <v>3736</v>
      </c>
      <c r="G248" s="387"/>
      <c r="H248" s="386">
        <f>VLOOKUP(B248,'L1 '!$1:$1000,2,False)</f>
        <v>40</v>
      </c>
      <c r="I248" s="386">
        <f>VLOOKUP(B248,'L2'!$1:$1000,2,False)</f>
        <v>32</v>
      </c>
      <c r="J248" s="433">
        <f>VLOOKUP(D248,'L3'!$1:$2060,2,False)</f>
        <v>32</v>
      </c>
      <c r="K248" s="433">
        <f>VLOOKUP(D248,'L4'!$1:$2059,2,False)</f>
        <v>15</v>
      </c>
      <c r="L248" s="434">
        <f>VLOOKUP(D248,'A1 RETEST 5 DEC'!$1:$2096,2,FALSE)</f>
        <v>10</v>
      </c>
      <c r="M248" s="434">
        <f>VLOOKUP(D248,'A2 RETEST 4 DEC'!$1:$2096,2,FALSE)</f>
        <v>15</v>
      </c>
      <c r="N248" s="435">
        <v>0.0</v>
      </c>
      <c r="O248" s="464"/>
      <c r="P248" s="436">
        <f>IFNA(VLOOKUP(D248,'S1'!$1:$1325,2,False),0)</f>
        <v>0</v>
      </c>
      <c r="Q248" s="436">
        <f>vlookup(D248,'S2'!A244:B1446,2,0)</f>
        <v>0</v>
      </c>
      <c r="R248" s="436">
        <f>ifna(vlookup(D248,'S3'!$1:$1311,2,False),0)</f>
        <v>0</v>
      </c>
      <c r="S248" s="391"/>
      <c r="T248" s="392"/>
      <c r="U248" s="392"/>
      <c r="V248" s="392">
        <v>42.0</v>
      </c>
      <c r="W248" s="392">
        <v>68.0</v>
      </c>
      <c r="X248" s="471"/>
      <c r="Y248" s="392"/>
      <c r="Z248" s="407"/>
      <c r="AA248" s="25"/>
      <c r="AB248" s="395">
        <v>0.0</v>
      </c>
      <c r="AC248" s="395">
        <v>0.0</v>
      </c>
      <c r="AD248" s="395"/>
      <c r="AE248" s="440">
        <v>10.0</v>
      </c>
      <c r="AF248" s="398"/>
      <c r="AG248" s="395"/>
      <c r="AH248" s="398"/>
      <c r="AI248" s="441"/>
      <c r="AJ248" s="441"/>
      <c r="AK248" s="442">
        <f t="shared" ref="AK248:AK270" si="6">IF(H248&gt;=$H$4, 
    IF(I248&gt;=$I$4, 
        IF(J248&gt;=$J$4, 
            IF(K248&gt;=$K$4, 4, 3), 
            2), 
        1), 
    0)
</f>
        <v>0</v>
      </c>
      <c r="AL248" s="442">
        <f t="shared" ref="AL248:AL270" si="7">IF(L248&gt;=$L$4, 
    IF(M248&gt;=$M$4, 
        IF(N248&gt;=$N$4, 
            IF(O248&gt;=$O$4, 4, 3), 
            2), 
        1), 
    0)
</f>
        <v>0</v>
      </c>
      <c r="AM248" s="424">
        <f t="shared" ref="AM248:AM270" si="8">IF(AND(U248&gt;=$U$4, W248&gt;=$W$4, Y248&gt;=$Y$4, Z248&lt;&gt;"", Z248&gt;=$Z$4), 5,
 IF(AND(U248&gt;=$U$4, W248&gt;=$W$4, Y248&gt;=$Y$4), 4,
  IF(AND(U248&gt;=$U$4, W248&gt;=$W$4), 3,
   IF(AND(T248&gt;=$T$4, U248&gt;=$U$4), 2,
    0
   )
  )
 )
)
</f>
        <v>0</v>
      </c>
      <c r="AN248" s="442" t="str">
        <f t="shared" ref="AN248:AN270" si="9">IF(AB248&gt;=$AB$4, 
    IF(OR(AC248&gt;=$AC$4, AD248&gt;=$AD$4), 
        IF(AND(AE248&gt;=$AE$4, AF248&gt;=$AF$4, OR(AG248&gt;=$AG$4, AH248&gt;=$AH$4)), "4", 
            IF(OR(AE248&gt;=$AE$4, AF248&gt;=$AF$4), "3.5", 
                "3")), 
        "2"), 
    "0")</f>
        <v>0</v>
      </c>
      <c r="AO248" s="442">
        <f t="shared" ref="AO248:AO270" si="10">IF(P248&gt;=$P$4, 
    IF(Q248&gt;=$Q$4, 
        IF(R248&gt;=$R$4, 
            IF(S248&gt;=$S$4, 4, 3), 
            2), 
        1), 
    0)
</f>
        <v>0</v>
      </c>
      <c r="AP248" s="367"/>
    </row>
    <row r="249">
      <c r="A249" s="385">
        <v>245.0</v>
      </c>
      <c r="B249" s="383" t="s">
        <v>74</v>
      </c>
      <c r="C249" s="475" t="s">
        <v>3659</v>
      </c>
      <c r="D249" s="474" t="s">
        <v>637</v>
      </c>
      <c r="E249" s="386">
        <v>6.362657839E9</v>
      </c>
      <c r="F249" s="461" t="s">
        <v>3736</v>
      </c>
      <c r="G249" s="387"/>
      <c r="H249" s="386">
        <v>70.0</v>
      </c>
      <c r="I249" s="386">
        <v>70.0</v>
      </c>
      <c r="J249" s="433">
        <f>VLOOKUP(D249,'L3'!$1:$2060,2,False)</f>
        <v>70</v>
      </c>
      <c r="K249" s="433">
        <f>VLOOKUP(D249,'L4'!$1:$2059,2,False)</f>
        <v>70</v>
      </c>
      <c r="L249" s="434">
        <f>VLOOKUP(D249,'A1 RETEST 5 DEC'!$1:$2096,2,FALSE)</f>
        <v>0</v>
      </c>
      <c r="M249" s="434">
        <f>VLOOKUP(D249,'A2 RETEST 4 DEC'!$1:$2096,2,FALSE)</f>
        <v>0</v>
      </c>
      <c r="N249" s="435">
        <v>7.0</v>
      </c>
      <c r="O249" s="464"/>
      <c r="P249" s="436">
        <f>IFNA(VLOOKUP(D249,'S1'!$1:$1325,2,False),0)</f>
        <v>0</v>
      </c>
      <c r="Q249" s="436">
        <f>vlookup(D249,'S2'!A245:B1447,2,0)</f>
        <v>0</v>
      </c>
      <c r="R249" s="436">
        <f>ifna(vlookup(D249,'S3'!$1:$1311,2,False),0)</f>
        <v>0</v>
      </c>
      <c r="S249" s="391"/>
      <c r="T249" s="392"/>
      <c r="U249" s="392"/>
      <c r="V249" s="392">
        <v>52.0</v>
      </c>
      <c r="W249" s="392">
        <v>74.0</v>
      </c>
      <c r="X249" s="392">
        <v>70.0</v>
      </c>
      <c r="Y249" s="392"/>
      <c r="Z249" s="407"/>
      <c r="AA249" s="25"/>
      <c r="AB249" s="395">
        <v>80.0</v>
      </c>
      <c r="AC249" s="395">
        <v>80.0</v>
      </c>
      <c r="AD249" s="395"/>
      <c r="AE249" s="440">
        <v>10.0</v>
      </c>
      <c r="AF249" s="398"/>
      <c r="AG249" s="395"/>
      <c r="AH249" s="398"/>
      <c r="AI249" s="441"/>
      <c r="AJ249" s="441"/>
      <c r="AK249" s="442">
        <f t="shared" si="6"/>
        <v>4</v>
      </c>
      <c r="AL249" s="442">
        <f t="shared" si="7"/>
        <v>0</v>
      </c>
      <c r="AM249" s="424">
        <f t="shared" si="8"/>
        <v>0</v>
      </c>
      <c r="AN249" s="442" t="str">
        <f t="shared" si="9"/>
        <v>3</v>
      </c>
      <c r="AO249" s="442">
        <f t="shared" si="10"/>
        <v>0</v>
      </c>
      <c r="AP249" s="367"/>
    </row>
    <row r="250">
      <c r="A250" s="385">
        <v>246.0</v>
      </c>
      <c r="B250" s="383" t="s">
        <v>96</v>
      </c>
      <c r="C250" s="383" t="s">
        <v>3660</v>
      </c>
      <c r="D250" s="474" t="s">
        <v>642</v>
      </c>
      <c r="E250" s="386">
        <v>9.108515191E9</v>
      </c>
      <c r="F250" s="461" t="s">
        <v>3736</v>
      </c>
      <c r="G250" s="387"/>
      <c r="H250" s="386">
        <f>VLOOKUP(B250,'L1 '!$1:$1000,2,False)</f>
        <v>44</v>
      </c>
      <c r="I250" s="386">
        <f>VLOOKUP(B250,'L2'!$1:$1000,2,False)</f>
        <v>28</v>
      </c>
      <c r="J250" s="433">
        <f>VLOOKUP(D250,'L3'!$1:$2060,2,False)</f>
        <v>70</v>
      </c>
      <c r="K250" s="433">
        <f>VLOOKUP(D250,'L4'!$1:$2059,2,False)</f>
        <v>70</v>
      </c>
      <c r="L250" s="434">
        <f>VLOOKUP(D250,'A1 RETEST 5 DEC'!$1:$2096,2,FALSE)</f>
        <v>3</v>
      </c>
      <c r="M250" s="434">
        <f>VLOOKUP(D250,'A2 RETEST 4 DEC'!$1:$2096,2,FALSE)</f>
        <v>3</v>
      </c>
      <c r="N250" s="435">
        <v>50.0</v>
      </c>
      <c r="O250" s="464"/>
      <c r="P250" s="436">
        <f>IFNA(VLOOKUP(D250,'S1'!$1:$1325,2,False),0)</f>
        <v>50</v>
      </c>
      <c r="Q250" s="436">
        <f>vlookup(D250,'S2'!A246:B1448,2,0)</f>
        <v>56</v>
      </c>
      <c r="R250" s="436">
        <f>ifna(vlookup(D250,'S3'!$1:$1311,2,False),0)</f>
        <v>89</v>
      </c>
      <c r="S250" s="391"/>
      <c r="T250" s="392"/>
      <c r="U250" s="392"/>
      <c r="V250" s="392">
        <v>26.0</v>
      </c>
      <c r="W250" s="392">
        <v>80.0</v>
      </c>
      <c r="X250" s="392">
        <v>70.0</v>
      </c>
      <c r="Y250" s="392"/>
      <c r="Z250" s="407"/>
      <c r="AA250" s="25"/>
      <c r="AB250" s="395">
        <v>63.0</v>
      </c>
      <c r="AC250" s="395">
        <v>63.0</v>
      </c>
      <c r="AD250" s="395"/>
      <c r="AE250" s="440">
        <v>60.0</v>
      </c>
      <c r="AF250" s="398"/>
      <c r="AG250" s="395"/>
      <c r="AH250" s="397">
        <v>49.0</v>
      </c>
      <c r="AI250" s="441"/>
      <c r="AJ250" s="441"/>
      <c r="AK250" s="442">
        <f t="shared" si="6"/>
        <v>0</v>
      </c>
      <c r="AL250" s="442">
        <f t="shared" si="7"/>
        <v>0</v>
      </c>
      <c r="AM250" s="424">
        <f t="shared" si="8"/>
        <v>0</v>
      </c>
      <c r="AN250" s="442" t="str">
        <f t="shared" si="9"/>
        <v>3</v>
      </c>
      <c r="AO250" s="442">
        <f t="shared" si="10"/>
        <v>3</v>
      </c>
      <c r="AP250" s="367"/>
    </row>
    <row r="251">
      <c r="A251" s="385">
        <v>247.0</v>
      </c>
      <c r="B251" s="383" t="s">
        <v>112</v>
      </c>
      <c r="C251" s="475" t="s">
        <v>3661</v>
      </c>
      <c r="D251" s="413" t="s">
        <v>638</v>
      </c>
      <c r="E251" s="386">
        <v>9.741213534E9</v>
      </c>
      <c r="F251" s="461" t="s">
        <v>3736</v>
      </c>
      <c r="G251" s="387"/>
      <c r="H251" s="386">
        <v>70.0</v>
      </c>
      <c r="I251" s="386">
        <v>70.0</v>
      </c>
      <c r="J251" s="433">
        <f>VLOOKUP(D251,'L3'!$1:$2060,2,False)</f>
        <v>70</v>
      </c>
      <c r="K251" s="433">
        <f>VLOOKUP(D251,'L4'!$1:$2059,2,False)</f>
        <v>70</v>
      </c>
      <c r="L251" s="434">
        <f>VLOOKUP(D251,'A1 RETEST 5 DEC'!$1:$2096,2,FALSE)</f>
        <v>3</v>
      </c>
      <c r="M251" s="434">
        <f>VLOOKUP(D251,'A2 RETEST 4 DEC'!$1:$2096,2,FALSE)</f>
        <v>50</v>
      </c>
      <c r="N251" s="435">
        <v>12.0</v>
      </c>
      <c r="O251" s="464"/>
      <c r="P251" s="436">
        <f>IFNA(VLOOKUP(D251,'S1'!$1:$1325,2,False),0)</f>
        <v>0</v>
      </c>
      <c r="Q251" s="436">
        <f>vlookup(D251,'S2'!A247:B1449,2,0)</f>
        <v>56</v>
      </c>
      <c r="R251" s="436">
        <f>ifna(vlookup(D251,'S3'!$1:$1311,2,False),0)</f>
        <v>60</v>
      </c>
      <c r="S251" s="391"/>
      <c r="T251" s="392"/>
      <c r="U251" s="392"/>
      <c r="V251" s="392">
        <v>32.0</v>
      </c>
      <c r="W251" s="392">
        <v>82.0</v>
      </c>
      <c r="X251" s="392">
        <v>80.0</v>
      </c>
      <c r="Y251" s="392"/>
      <c r="Z251" s="407"/>
      <c r="AA251" s="25"/>
      <c r="AB251" s="395">
        <v>100.0</v>
      </c>
      <c r="AC251" s="395">
        <v>100.0</v>
      </c>
      <c r="AD251" s="395"/>
      <c r="AE251" s="440">
        <v>11.0</v>
      </c>
      <c r="AF251" s="398"/>
      <c r="AG251" s="395">
        <v>81.0</v>
      </c>
      <c r="AH251" s="398"/>
      <c r="AI251" s="441"/>
      <c r="AJ251" s="441"/>
      <c r="AK251" s="442">
        <f t="shared" si="6"/>
        <v>4</v>
      </c>
      <c r="AL251" s="442">
        <f t="shared" si="7"/>
        <v>0</v>
      </c>
      <c r="AM251" s="424">
        <f t="shared" si="8"/>
        <v>0</v>
      </c>
      <c r="AN251" s="442" t="str">
        <f t="shared" si="9"/>
        <v>3</v>
      </c>
      <c r="AO251" s="442">
        <f t="shared" si="10"/>
        <v>0</v>
      </c>
      <c r="AP251" s="367"/>
    </row>
    <row r="252">
      <c r="A252" s="385">
        <v>248.0</v>
      </c>
      <c r="B252" s="383" t="s">
        <v>73</v>
      </c>
      <c r="C252" s="475" t="s">
        <v>3662</v>
      </c>
      <c r="D252" s="474" t="s">
        <v>639</v>
      </c>
      <c r="E252" s="386">
        <v>8.496807726E9</v>
      </c>
      <c r="F252" s="461" t="s">
        <v>3736</v>
      </c>
      <c r="G252" s="387"/>
      <c r="H252" s="386">
        <v>70.0</v>
      </c>
      <c r="I252" s="386">
        <v>70.0</v>
      </c>
      <c r="J252" s="433">
        <f>VLOOKUP(D252,'L3'!$1:$2060,2,False)</f>
        <v>70</v>
      </c>
      <c r="K252" s="433">
        <f>VLOOKUP(D252,'L4'!$1:$2059,2,False)</f>
        <v>70</v>
      </c>
      <c r="L252" s="434">
        <f>VLOOKUP(D252,'A1 RETEST 5 DEC'!$1:$2096,2,FALSE)</f>
        <v>17</v>
      </c>
      <c r="M252" s="434">
        <f>VLOOKUP(D252,'A2 RETEST 4 DEC'!$1:$2096,2,FALSE)</f>
        <v>0</v>
      </c>
      <c r="N252" s="435">
        <v>31.0</v>
      </c>
      <c r="O252" s="464"/>
      <c r="P252" s="436">
        <f>IFNA(VLOOKUP(D252,'S1'!$1:$1325,2,False),0)</f>
        <v>0</v>
      </c>
      <c r="Q252" s="436">
        <f>vlookup(D252,'S2'!A248:B1450,2,0)</f>
        <v>56</v>
      </c>
      <c r="R252" s="436">
        <f>ifna(vlookup(D252,'S3'!$1:$1311,2,False),0)</f>
        <v>85</v>
      </c>
      <c r="S252" s="391"/>
      <c r="T252" s="392"/>
      <c r="U252" s="392"/>
      <c r="V252" s="392">
        <v>54.0</v>
      </c>
      <c r="W252" s="392">
        <v>82.0</v>
      </c>
      <c r="X252" s="392">
        <v>68.0</v>
      </c>
      <c r="Y252" s="392"/>
      <c r="Z252" s="407"/>
      <c r="AA252" s="25"/>
      <c r="AB252" s="395">
        <v>70.0</v>
      </c>
      <c r="AC252" s="395">
        <v>70.0</v>
      </c>
      <c r="AD252" s="395"/>
      <c r="AE252" s="440">
        <v>12.0</v>
      </c>
      <c r="AF252" s="398"/>
      <c r="AG252" s="395"/>
      <c r="AH252" s="397">
        <v>32.0</v>
      </c>
      <c r="AI252" s="441"/>
      <c r="AJ252" s="441"/>
      <c r="AK252" s="442">
        <f t="shared" si="6"/>
        <v>4</v>
      </c>
      <c r="AL252" s="442">
        <f t="shared" si="7"/>
        <v>0</v>
      </c>
      <c r="AM252" s="424">
        <f t="shared" si="8"/>
        <v>0</v>
      </c>
      <c r="AN252" s="442" t="str">
        <f t="shared" si="9"/>
        <v>3</v>
      </c>
      <c r="AO252" s="442">
        <f t="shared" si="10"/>
        <v>0</v>
      </c>
      <c r="AP252" s="367"/>
    </row>
    <row r="253">
      <c r="A253" s="385">
        <v>249.0</v>
      </c>
      <c r="B253" s="383" t="s">
        <v>59</v>
      </c>
      <c r="C253" s="475" t="s">
        <v>3663</v>
      </c>
      <c r="D253" s="474" t="s">
        <v>645</v>
      </c>
      <c r="E253" s="386">
        <v>9.35329719E9</v>
      </c>
      <c r="F253" s="461" t="s">
        <v>3736</v>
      </c>
      <c r="G253" s="387"/>
      <c r="H253" s="386">
        <v>70.0</v>
      </c>
      <c r="I253" s="386">
        <v>70.0</v>
      </c>
      <c r="J253" s="433">
        <f>VLOOKUP(D253,'L3'!$1:$2060,2,False)</f>
        <v>53</v>
      </c>
      <c r="K253" s="433">
        <f>VLOOKUP(D253,'L4'!$1:$2059,2,False)</f>
        <v>81</v>
      </c>
      <c r="L253" s="434">
        <f>VLOOKUP(D253,'A1 RETEST 5 DEC'!$1:$2096,2,FALSE)</f>
        <v>0</v>
      </c>
      <c r="M253" s="434">
        <f>VLOOKUP(D253,'A2 RETEST 4 DEC'!$1:$2096,2,FALSE)</f>
        <v>50</v>
      </c>
      <c r="N253" s="435">
        <v>50.0</v>
      </c>
      <c r="O253" s="464"/>
      <c r="P253" s="436">
        <f>IFNA(VLOOKUP(D253,'S1'!$1:$1325,2,False),0)</f>
        <v>50</v>
      </c>
      <c r="Q253" s="436">
        <f>vlookup(D253,'S2'!A249:B1451,2,0)</f>
        <v>0</v>
      </c>
      <c r="R253" s="436">
        <f>ifna(vlookup(D253,'S3'!$1:$1311,2,False),0)</f>
        <v>24</v>
      </c>
      <c r="S253" s="391"/>
      <c r="T253" s="392"/>
      <c r="U253" s="392"/>
      <c r="V253" s="392">
        <v>12.0</v>
      </c>
      <c r="W253" s="392">
        <v>80.0</v>
      </c>
      <c r="X253" s="392">
        <v>66.0</v>
      </c>
      <c r="Y253" s="392"/>
      <c r="Z253" s="407"/>
      <c r="AA253" s="25"/>
      <c r="AB253" s="395">
        <v>16.0</v>
      </c>
      <c r="AC253" s="395">
        <v>16.0</v>
      </c>
      <c r="AD253" s="395"/>
      <c r="AE253" s="440">
        <v>16.0</v>
      </c>
      <c r="AF253" s="398"/>
      <c r="AG253" s="395"/>
      <c r="AH253" s="398"/>
      <c r="AI253" s="441"/>
      <c r="AJ253" s="441"/>
      <c r="AK253" s="442">
        <f t="shared" si="6"/>
        <v>2</v>
      </c>
      <c r="AL253" s="442">
        <f t="shared" si="7"/>
        <v>0</v>
      </c>
      <c r="AM253" s="424">
        <f t="shared" si="8"/>
        <v>0</v>
      </c>
      <c r="AN253" s="442" t="str">
        <f t="shared" si="9"/>
        <v>0</v>
      </c>
      <c r="AO253" s="442">
        <f t="shared" si="10"/>
        <v>1</v>
      </c>
      <c r="AP253" s="367"/>
    </row>
    <row r="254">
      <c r="A254" s="385">
        <v>250.0</v>
      </c>
      <c r="B254" s="383" t="s">
        <v>84</v>
      </c>
      <c r="C254" s="383" t="s">
        <v>3664</v>
      </c>
      <c r="D254" s="413" t="s">
        <v>648</v>
      </c>
      <c r="E254" s="386">
        <v>9.110613949E9</v>
      </c>
      <c r="F254" s="461" t="s">
        <v>3736</v>
      </c>
      <c r="G254" s="387"/>
      <c r="H254" s="386">
        <v>70.0</v>
      </c>
      <c r="I254" s="386">
        <v>70.0</v>
      </c>
      <c r="J254" s="433">
        <f>VLOOKUP(D254,'L3'!$1:$2060,2,False)</f>
        <v>71</v>
      </c>
      <c r="K254" s="433">
        <f>VLOOKUP(D254,'L4'!$1:$2059,2,False)</f>
        <v>82</v>
      </c>
      <c r="L254" s="434">
        <f>VLOOKUP(D254,'A1 RETEST 5 DEC'!$1:$2096,2,FALSE)</f>
        <v>28</v>
      </c>
      <c r="M254" s="434">
        <f>VLOOKUP(D254,'A2 RETEST 4 DEC'!$1:$2096,2,FALSE)</f>
        <v>50</v>
      </c>
      <c r="N254" s="435">
        <v>47.0</v>
      </c>
      <c r="O254" s="464"/>
      <c r="P254" s="436">
        <f>IFNA(VLOOKUP(D254,'S1'!$1:$1325,2,False),0)</f>
        <v>50</v>
      </c>
      <c r="Q254" s="436">
        <f>vlookup(D254,'S2'!A250:B1452,2,0)</f>
        <v>81</v>
      </c>
      <c r="R254" s="436">
        <f>ifna(vlookup(D254,'S3'!$1:$1311,2,False),0)</f>
        <v>87</v>
      </c>
      <c r="S254" s="391"/>
      <c r="T254" s="392"/>
      <c r="U254" s="392"/>
      <c r="V254" s="392">
        <v>28.0</v>
      </c>
      <c r="W254" s="392">
        <v>74.0</v>
      </c>
      <c r="X254" s="392">
        <v>60.0</v>
      </c>
      <c r="Y254" s="392"/>
      <c r="Z254" s="407"/>
      <c r="AA254" s="25"/>
      <c r="AB254" s="395">
        <v>10.0</v>
      </c>
      <c r="AC254" s="395">
        <v>10.0</v>
      </c>
      <c r="AD254" s="395"/>
      <c r="AE254" s="440">
        <v>70.0</v>
      </c>
      <c r="AF254" s="398"/>
      <c r="AG254" s="395">
        <v>72.0</v>
      </c>
      <c r="AH254" s="398"/>
      <c r="AI254" s="441"/>
      <c r="AJ254" s="441"/>
      <c r="AK254" s="442">
        <f t="shared" si="6"/>
        <v>4</v>
      </c>
      <c r="AL254" s="442">
        <f t="shared" si="7"/>
        <v>0</v>
      </c>
      <c r="AM254" s="424">
        <f t="shared" si="8"/>
        <v>0</v>
      </c>
      <c r="AN254" s="442" t="str">
        <f t="shared" si="9"/>
        <v>0</v>
      </c>
      <c r="AO254" s="442">
        <f t="shared" si="10"/>
        <v>3</v>
      </c>
      <c r="AP254" s="367"/>
    </row>
    <row r="255">
      <c r="A255" s="385">
        <v>251.0</v>
      </c>
      <c r="B255" s="383" t="s">
        <v>93</v>
      </c>
      <c r="C255" s="475" t="s">
        <v>3665</v>
      </c>
      <c r="D255" s="413" t="s">
        <v>644</v>
      </c>
      <c r="E255" s="386">
        <v>6.362020969E9</v>
      </c>
      <c r="F255" s="461" t="s">
        <v>3736</v>
      </c>
      <c r="G255" s="387"/>
      <c r="H255" s="386">
        <v>70.0</v>
      </c>
      <c r="I255" s="386">
        <v>70.0</v>
      </c>
      <c r="J255" s="433">
        <f>VLOOKUP(D255,'L3'!$1:$2060,2,False)</f>
        <v>70</v>
      </c>
      <c r="K255" s="433">
        <f>VLOOKUP(D255,'L4'!$1:$2059,2,False)</f>
        <v>70</v>
      </c>
      <c r="L255" s="434">
        <f>VLOOKUP(D255,'A1 RETEST 5 DEC'!$1:$2096,2,FALSE)</f>
        <v>0</v>
      </c>
      <c r="M255" s="434">
        <f>VLOOKUP(D255,'A2 RETEST 4 DEC'!$1:$2096,2,FALSE)</f>
        <v>3</v>
      </c>
      <c r="N255" s="435">
        <v>11.0</v>
      </c>
      <c r="O255" s="464"/>
      <c r="P255" s="436">
        <f>IFNA(VLOOKUP(D255,'S1'!$1:$1325,2,False),0)</f>
        <v>0</v>
      </c>
      <c r="Q255" s="436">
        <f>vlookup(D255,'S2'!A251:B1453,2,0)</f>
        <v>50</v>
      </c>
      <c r="R255" s="436">
        <f>ifna(vlookup(D255,'S3'!$1:$1311,2,False),0)</f>
        <v>0</v>
      </c>
      <c r="S255" s="391"/>
      <c r="T255" s="392"/>
      <c r="U255" s="392"/>
      <c r="V255" s="392">
        <v>48.0</v>
      </c>
      <c r="W255" s="392">
        <v>78.0</v>
      </c>
      <c r="X255" s="392">
        <v>32.0</v>
      </c>
      <c r="Y255" s="392"/>
      <c r="Z255" s="407"/>
      <c r="AA255" s="25"/>
      <c r="AB255" s="395">
        <v>0.0</v>
      </c>
      <c r="AC255" s="395">
        <v>0.0</v>
      </c>
      <c r="AD255" s="395"/>
      <c r="AE255" s="440">
        <v>10.0</v>
      </c>
      <c r="AF255" s="398"/>
      <c r="AG255" s="395"/>
      <c r="AH255" s="397">
        <v>15.0</v>
      </c>
      <c r="AI255" s="441"/>
      <c r="AJ255" s="441"/>
      <c r="AK255" s="442">
        <f t="shared" si="6"/>
        <v>4</v>
      </c>
      <c r="AL255" s="442">
        <f t="shared" si="7"/>
        <v>0</v>
      </c>
      <c r="AM255" s="424">
        <f t="shared" si="8"/>
        <v>0</v>
      </c>
      <c r="AN255" s="442" t="str">
        <f t="shared" si="9"/>
        <v>0</v>
      </c>
      <c r="AO255" s="442">
        <f t="shared" si="10"/>
        <v>0</v>
      </c>
      <c r="AP255" s="367"/>
    </row>
    <row r="256">
      <c r="A256" s="385">
        <v>252.0</v>
      </c>
      <c r="B256" s="383" t="s">
        <v>3666</v>
      </c>
      <c r="C256" s="383" t="s">
        <v>3667</v>
      </c>
      <c r="D256" s="474" t="s">
        <v>640</v>
      </c>
      <c r="E256" s="386">
        <v>8.951712736E9</v>
      </c>
      <c r="F256" s="461" t="s">
        <v>3736</v>
      </c>
      <c r="G256" s="387"/>
      <c r="H256" s="386">
        <v>70.0</v>
      </c>
      <c r="I256" s="386">
        <v>70.0</v>
      </c>
      <c r="J256" s="433">
        <f>VLOOKUP(D256,'L3'!$1:$2060,2,False)</f>
        <v>70</v>
      </c>
      <c r="K256" s="433">
        <f>VLOOKUP(D256,'L4'!$1:$2059,2,False)</f>
        <v>70</v>
      </c>
      <c r="L256" s="434">
        <f>VLOOKUP(D256,'A1 RETEST 5 DEC'!$1:$2096,2,FALSE)</f>
        <v>0</v>
      </c>
      <c r="M256" s="434">
        <f>VLOOKUP(D256,'A2 RETEST 4 DEC'!$1:$2096,2,FALSE)</f>
        <v>50</v>
      </c>
      <c r="N256" s="435">
        <v>16.0</v>
      </c>
      <c r="O256" s="464"/>
      <c r="P256" s="436">
        <f>IFNA(VLOOKUP(D256,'S1'!$1:$1325,2,False),0)</f>
        <v>0</v>
      </c>
      <c r="Q256" s="436">
        <f>vlookup(D256,'S2'!A252:B1454,2,0)</f>
        <v>56</v>
      </c>
      <c r="R256" s="436">
        <f>ifna(vlookup(D256,'S3'!$1:$1311,2,False),0)</f>
        <v>84</v>
      </c>
      <c r="S256" s="391"/>
      <c r="T256" s="392"/>
      <c r="U256" s="392"/>
      <c r="V256" s="392">
        <v>46.0</v>
      </c>
      <c r="W256" s="392">
        <v>86.0</v>
      </c>
      <c r="X256" s="392">
        <v>80.0</v>
      </c>
      <c r="Y256" s="392"/>
      <c r="Z256" s="407"/>
      <c r="AA256" s="25"/>
      <c r="AB256" s="395">
        <v>100.0</v>
      </c>
      <c r="AC256" s="395">
        <v>100.0</v>
      </c>
      <c r="AD256" s="395"/>
      <c r="AE256" s="440">
        <v>12.0</v>
      </c>
      <c r="AF256" s="398"/>
      <c r="AG256" s="395">
        <v>75.0</v>
      </c>
      <c r="AH256" s="398"/>
      <c r="AI256" s="441"/>
      <c r="AJ256" s="441"/>
      <c r="AK256" s="442">
        <f t="shared" si="6"/>
        <v>4</v>
      </c>
      <c r="AL256" s="442">
        <f t="shared" si="7"/>
        <v>0</v>
      </c>
      <c r="AM256" s="424">
        <f t="shared" si="8"/>
        <v>0</v>
      </c>
      <c r="AN256" s="442" t="str">
        <f t="shared" si="9"/>
        <v>3</v>
      </c>
      <c r="AO256" s="442">
        <f t="shared" si="10"/>
        <v>0</v>
      </c>
      <c r="AP256" s="367"/>
    </row>
    <row r="257">
      <c r="A257" s="385">
        <v>253.0</v>
      </c>
      <c r="B257" s="383" t="s">
        <v>26</v>
      </c>
      <c r="C257" s="475" t="s">
        <v>3668</v>
      </c>
      <c r="D257" s="413" t="s">
        <v>646</v>
      </c>
      <c r="E257" s="386">
        <v>7.483112327E9</v>
      </c>
      <c r="F257" s="461" t="s">
        <v>3736</v>
      </c>
      <c r="G257" s="387"/>
      <c r="H257" s="386">
        <f>VLOOKUP(B257,'L1 '!$1:$1000,2,False)</f>
        <v>76</v>
      </c>
      <c r="I257" s="386">
        <f>VLOOKUP(B257,'L2'!$1:$1000,2,False)</f>
        <v>76</v>
      </c>
      <c r="J257" s="433">
        <f>VLOOKUP(D257,'L3'!$1:$2060,2,False)</f>
        <v>70</v>
      </c>
      <c r="K257" s="433">
        <f>VLOOKUP(D257,'L4'!$1:$2059,2,False)</f>
        <v>79</v>
      </c>
      <c r="L257" s="434">
        <f>VLOOKUP(D257,'A1 RETEST 5 DEC'!$1:$2096,2,FALSE)</f>
        <v>15</v>
      </c>
      <c r="M257" s="434">
        <f>VLOOKUP(D257,'A2 RETEST 4 DEC'!$1:$2096,2,FALSE)</f>
        <v>20</v>
      </c>
      <c r="N257" s="435">
        <v>50.0</v>
      </c>
      <c r="O257" s="464"/>
      <c r="P257" s="436">
        <f>IFNA(VLOOKUP(D257,'S1'!$1:$1325,2,False),0)</f>
        <v>50</v>
      </c>
      <c r="Q257" s="436">
        <f>vlookup(D257,'S2'!A253:B1455,2,0)</f>
        <v>0</v>
      </c>
      <c r="R257" s="436">
        <f>ifna(vlookup(D257,'S3'!$1:$1311,2,False),0)</f>
        <v>0</v>
      </c>
      <c r="S257" s="391"/>
      <c r="T257" s="392"/>
      <c r="U257" s="392"/>
      <c r="V257" s="392">
        <v>22.0</v>
      </c>
      <c r="W257" s="392">
        <v>82.0</v>
      </c>
      <c r="X257" s="392">
        <v>68.0</v>
      </c>
      <c r="Y257" s="392"/>
      <c r="Z257" s="407"/>
      <c r="AA257" s="25"/>
      <c r="AB257" s="395">
        <v>3.0</v>
      </c>
      <c r="AC257" s="395">
        <v>3.0</v>
      </c>
      <c r="AD257" s="395"/>
      <c r="AE257" s="440">
        <v>16.0</v>
      </c>
      <c r="AF257" s="398"/>
      <c r="AG257" s="395"/>
      <c r="AH257" s="398"/>
      <c r="AI257" s="441"/>
      <c r="AJ257" s="441"/>
      <c r="AK257" s="442">
        <f t="shared" si="6"/>
        <v>4</v>
      </c>
      <c r="AL257" s="442">
        <f t="shared" si="7"/>
        <v>0</v>
      </c>
      <c r="AM257" s="424">
        <f t="shared" si="8"/>
        <v>0</v>
      </c>
      <c r="AN257" s="442" t="str">
        <f t="shared" si="9"/>
        <v>0</v>
      </c>
      <c r="AO257" s="442">
        <f t="shared" si="10"/>
        <v>1</v>
      </c>
      <c r="AP257" s="367"/>
    </row>
    <row r="258">
      <c r="A258" s="385">
        <v>254.0</v>
      </c>
      <c r="B258" s="383" t="s">
        <v>68</v>
      </c>
      <c r="C258" s="383" t="s">
        <v>3669</v>
      </c>
      <c r="D258" s="413" t="s">
        <v>641</v>
      </c>
      <c r="E258" s="386" t="s">
        <v>3779</v>
      </c>
      <c r="F258" s="461" t="s">
        <v>3736</v>
      </c>
      <c r="G258" s="387"/>
      <c r="H258" s="386">
        <v>70.0</v>
      </c>
      <c r="I258" s="386">
        <v>70.0</v>
      </c>
      <c r="J258" s="433">
        <f>VLOOKUP(D258,'L3'!$1:$2060,2,False)</f>
        <v>70</v>
      </c>
      <c r="K258" s="433">
        <f>VLOOKUP(D258,'L4'!$1:$2059,2,False)</f>
        <v>70</v>
      </c>
      <c r="L258" s="434">
        <f>VLOOKUP(D258,'A1 RETEST 5 DEC'!$1:$2096,2,FALSE)</f>
        <v>0</v>
      </c>
      <c r="M258" s="434">
        <f>VLOOKUP(D258,'A2 RETEST 4 DEC'!$1:$2096,2,FALSE)</f>
        <v>20</v>
      </c>
      <c r="N258" s="435">
        <v>5.0</v>
      </c>
      <c r="O258" s="464"/>
      <c r="P258" s="436">
        <f>IFNA(VLOOKUP(D258,'S1'!$1:$1325,2,False),0)</f>
        <v>0</v>
      </c>
      <c r="Q258" s="436">
        <f>vlookup(D258,'S2'!A254:B1456,2,0)</f>
        <v>56</v>
      </c>
      <c r="R258" s="436">
        <f>ifna(vlookup(D258,'S3'!$1:$1311,2,False),0)</f>
        <v>80</v>
      </c>
      <c r="S258" s="391"/>
      <c r="T258" s="392"/>
      <c r="U258" s="392"/>
      <c r="V258" s="392">
        <v>60.0</v>
      </c>
      <c r="W258" s="392">
        <v>82.0</v>
      </c>
      <c r="X258" s="392">
        <v>82.0</v>
      </c>
      <c r="Y258" s="392"/>
      <c r="Z258" s="407"/>
      <c r="AA258" s="25"/>
      <c r="AB258" s="395">
        <v>100.0</v>
      </c>
      <c r="AC258" s="395">
        <v>100.0</v>
      </c>
      <c r="AD258" s="395"/>
      <c r="AE258" s="440">
        <v>13.0</v>
      </c>
      <c r="AF258" s="398"/>
      <c r="AG258" s="395"/>
      <c r="AH258" s="397">
        <v>35.0</v>
      </c>
      <c r="AI258" s="441"/>
      <c r="AJ258" s="441"/>
      <c r="AK258" s="442">
        <f t="shared" si="6"/>
        <v>4</v>
      </c>
      <c r="AL258" s="442">
        <f t="shared" si="7"/>
        <v>0</v>
      </c>
      <c r="AM258" s="424">
        <f t="shared" si="8"/>
        <v>0</v>
      </c>
      <c r="AN258" s="442" t="str">
        <f t="shared" si="9"/>
        <v>3</v>
      </c>
      <c r="AO258" s="442">
        <f t="shared" si="10"/>
        <v>0</v>
      </c>
      <c r="AP258" s="367"/>
    </row>
    <row r="259">
      <c r="A259" s="385">
        <v>255.0</v>
      </c>
      <c r="B259" s="383" t="s">
        <v>22</v>
      </c>
      <c r="C259" s="475" t="s">
        <v>3670</v>
      </c>
      <c r="D259" s="474" t="s">
        <v>652</v>
      </c>
      <c r="E259" s="386">
        <v>8.197896756E9</v>
      </c>
      <c r="F259" s="461" t="s">
        <v>3736</v>
      </c>
      <c r="G259" s="387"/>
      <c r="H259" s="386">
        <f>VLOOKUP(B259,'L1 '!$1:$1000,2,False)</f>
        <v>84</v>
      </c>
      <c r="I259" s="386">
        <f>VLOOKUP(B259,'L2'!$1:$1000,2,False)</f>
        <v>76</v>
      </c>
      <c r="J259" s="433">
        <f>VLOOKUP(D259,'L3'!$1:$2060,2,False)</f>
        <v>53</v>
      </c>
      <c r="K259" s="433">
        <f>VLOOKUP(D259,'L4'!$1:$2059,2,False)</f>
        <v>70</v>
      </c>
      <c r="L259" s="434">
        <f>VLOOKUP(D259,'A1 RETEST 5 DEC'!$1:$2096,2,FALSE)</f>
        <v>13</v>
      </c>
      <c r="M259" s="434">
        <f>VLOOKUP(D259,'A2 RETEST 4 DEC'!$1:$2096,2,FALSE)</f>
        <v>8</v>
      </c>
      <c r="N259" s="435">
        <v>31.0</v>
      </c>
      <c r="O259" s="464"/>
      <c r="P259" s="436">
        <f>IFNA(VLOOKUP(D259,'S1'!$1:$1325,2,False),0)</f>
        <v>0</v>
      </c>
      <c r="Q259" s="436">
        <f>vlookup(D259,'S2'!A255:B1457,2,0)</f>
        <v>0</v>
      </c>
      <c r="R259" s="436">
        <f>ifna(vlookup(D259,'S3'!$1:$1311,2,False),0)</f>
        <v>0</v>
      </c>
      <c r="S259" s="391"/>
      <c r="T259" s="392"/>
      <c r="U259" s="392"/>
      <c r="V259" s="392">
        <v>48.0</v>
      </c>
      <c r="W259" s="392">
        <v>84.0</v>
      </c>
      <c r="X259" s="392">
        <v>76.0</v>
      </c>
      <c r="Y259" s="392"/>
      <c r="Z259" s="407"/>
      <c r="AA259" s="25"/>
      <c r="AB259" s="395">
        <v>18.0</v>
      </c>
      <c r="AC259" s="395">
        <v>18.0</v>
      </c>
      <c r="AD259" s="395"/>
      <c r="AE259" s="440">
        <v>10.0</v>
      </c>
      <c r="AF259" s="398"/>
      <c r="AG259" s="395"/>
      <c r="AH259" s="398"/>
      <c r="AI259" s="441"/>
      <c r="AJ259" s="441"/>
      <c r="AK259" s="442">
        <f t="shared" si="6"/>
        <v>2</v>
      </c>
      <c r="AL259" s="442">
        <f t="shared" si="7"/>
        <v>0</v>
      </c>
      <c r="AM259" s="424">
        <f t="shared" si="8"/>
        <v>0</v>
      </c>
      <c r="AN259" s="442" t="str">
        <f t="shared" si="9"/>
        <v>0</v>
      </c>
      <c r="AO259" s="442">
        <f t="shared" si="10"/>
        <v>0</v>
      </c>
      <c r="AP259" s="367"/>
    </row>
    <row r="260">
      <c r="A260" s="385">
        <v>256.0</v>
      </c>
      <c r="B260" s="383" t="s">
        <v>58</v>
      </c>
      <c r="C260" s="475" t="s">
        <v>3671</v>
      </c>
      <c r="D260" s="474" t="s">
        <v>649</v>
      </c>
      <c r="E260" s="386">
        <v>8.050134677E9</v>
      </c>
      <c r="F260" s="461" t="s">
        <v>3736</v>
      </c>
      <c r="G260" s="387"/>
      <c r="H260" s="386">
        <v>70.0</v>
      </c>
      <c r="I260" s="386">
        <v>70.0</v>
      </c>
      <c r="J260" s="433">
        <f>VLOOKUP(D260,'L3'!$1:$2060,2,False)</f>
        <v>70</v>
      </c>
      <c r="K260" s="433">
        <f>VLOOKUP(D260,'L4'!$1:$2059,2,False)</f>
        <v>70</v>
      </c>
      <c r="L260" s="434">
        <f>VLOOKUP(D260,'A1 RETEST 5 DEC'!$1:$2096,2,FALSE)</f>
        <v>3</v>
      </c>
      <c r="M260" s="434">
        <f>VLOOKUP(D260,'A2 RETEST 4 DEC'!$1:$2096,2,FALSE)</f>
        <v>3</v>
      </c>
      <c r="N260" s="435">
        <v>25.0</v>
      </c>
      <c r="O260" s="464"/>
      <c r="P260" s="436">
        <f>IFNA(VLOOKUP(D260,'S1'!$1:$1325,2,False),0)</f>
        <v>50</v>
      </c>
      <c r="Q260" s="436">
        <f>vlookup(D260,'S2'!A256:B1458,2,0)</f>
        <v>74</v>
      </c>
      <c r="R260" s="436">
        <f>ifna(vlookup(D260,'S3'!$1:$1311,2,False),0)</f>
        <v>72</v>
      </c>
      <c r="S260" s="391"/>
      <c r="T260" s="392"/>
      <c r="U260" s="392"/>
      <c r="V260" s="392">
        <v>40.0</v>
      </c>
      <c r="W260" s="392">
        <v>78.0</v>
      </c>
      <c r="X260" s="392">
        <v>74.0</v>
      </c>
      <c r="Y260" s="392"/>
      <c r="Z260" s="407"/>
      <c r="AA260" s="25"/>
      <c r="AB260" s="395">
        <v>90.0</v>
      </c>
      <c r="AC260" s="395">
        <v>90.0</v>
      </c>
      <c r="AD260" s="395"/>
      <c r="AE260" s="440">
        <v>70.0</v>
      </c>
      <c r="AF260" s="398"/>
      <c r="AG260" s="395">
        <v>71.0</v>
      </c>
      <c r="AH260" s="398"/>
      <c r="AI260" s="441"/>
      <c r="AJ260" s="441"/>
      <c r="AK260" s="442">
        <f t="shared" si="6"/>
        <v>4</v>
      </c>
      <c r="AL260" s="442">
        <f t="shared" si="7"/>
        <v>0</v>
      </c>
      <c r="AM260" s="424">
        <f t="shared" si="8"/>
        <v>0</v>
      </c>
      <c r="AN260" s="442" t="str">
        <f t="shared" si="9"/>
        <v>3.5</v>
      </c>
      <c r="AO260" s="442">
        <f t="shared" si="10"/>
        <v>3</v>
      </c>
      <c r="AP260" s="367"/>
    </row>
    <row r="261">
      <c r="A261" s="385">
        <v>257.0</v>
      </c>
      <c r="B261" s="383" t="s">
        <v>108</v>
      </c>
      <c r="C261" s="475" t="s">
        <v>3672</v>
      </c>
      <c r="D261" s="474" t="s">
        <v>650</v>
      </c>
      <c r="E261" s="386">
        <v>9.980943512E9</v>
      </c>
      <c r="F261" s="461" t="s">
        <v>3736</v>
      </c>
      <c r="G261" s="387"/>
      <c r="H261" s="386">
        <v>70.0</v>
      </c>
      <c r="I261" s="386">
        <v>70.0</v>
      </c>
      <c r="J261" s="433">
        <f>VLOOKUP(D261,'L3'!$1:$2060,2,False)</f>
        <v>70</v>
      </c>
      <c r="K261" s="433">
        <f>VLOOKUP(D261,'L4'!$1:$2059,2,False)</f>
        <v>70</v>
      </c>
      <c r="L261" s="434">
        <f>VLOOKUP(D261,'A1 RETEST 5 DEC'!$1:$2096,2,FALSE)</f>
        <v>17</v>
      </c>
      <c r="M261" s="434">
        <f>VLOOKUP(D261,'A2 RETEST 4 DEC'!$1:$2096,2,FALSE)</f>
        <v>0</v>
      </c>
      <c r="N261" s="435">
        <v>0.0</v>
      </c>
      <c r="O261" s="464"/>
      <c r="P261" s="436">
        <f>IFNA(VLOOKUP(D261,'S1'!$1:$1325,2,False),0)</f>
        <v>50</v>
      </c>
      <c r="Q261" s="436">
        <f>vlookup(D261,'S2'!A257:B1459,2,0)</f>
        <v>0</v>
      </c>
      <c r="R261" s="436">
        <f>ifna(vlookup(D261,'S3'!$1:$1311,2,False),0)</f>
        <v>47</v>
      </c>
      <c r="S261" s="391"/>
      <c r="T261" s="392"/>
      <c r="U261" s="392"/>
      <c r="V261" s="392">
        <v>40.0</v>
      </c>
      <c r="W261" s="392">
        <v>78.0</v>
      </c>
      <c r="X261" s="392">
        <v>74.0</v>
      </c>
      <c r="Y261" s="392"/>
      <c r="Z261" s="407"/>
      <c r="AA261" s="25"/>
      <c r="AB261" s="395">
        <v>90.0</v>
      </c>
      <c r="AC261" s="395">
        <v>90.0</v>
      </c>
      <c r="AD261" s="395"/>
      <c r="AE261" s="440">
        <v>70.0</v>
      </c>
      <c r="AF261" s="398"/>
      <c r="AG261" s="395"/>
      <c r="AH261" s="398"/>
      <c r="AI261" s="441"/>
      <c r="AJ261" s="441"/>
      <c r="AK261" s="442">
        <f t="shared" si="6"/>
        <v>4</v>
      </c>
      <c r="AL261" s="442">
        <f t="shared" si="7"/>
        <v>0</v>
      </c>
      <c r="AM261" s="424">
        <f t="shared" si="8"/>
        <v>0</v>
      </c>
      <c r="AN261" s="442" t="str">
        <f t="shared" si="9"/>
        <v>3.5</v>
      </c>
      <c r="AO261" s="442">
        <f t="shared" si="10"/>
        <v>1</v>
      </c>
      <c r="AP261" s="367"/>
    </row>
    <row r="262">
      <c r="A262" s="385">
        <v>258.0</v>
      </c>
      <c r="B262" s="383" t="s">
        <v>104</v>
      </c>
      <c r="C262" s="383" t="s">
        <v>3673</v>
      </c>
      <c r="D262" s="413" t="s">
        <v>653</v>
      </c>
      <c r="E262" s="386">
        <v>8.088917722E9</v>
      </c>
      <c r="F262" s="461" t="s">
        <v>3736</v>
      </c>
      <c r="G262" s="387"/>
      <c r="H262" s="386">
        <v>70.0</v>
      </c>
      <c r="I262" s="386">
        <v>72.0</v>
      </c>
      <c r="J262" s="433">
        <f>VLOOKUP(D262,'L3'!$1:$2060,2,False)</f>
        <v>70</v>
      </c>
      <c r="K262" s="433">
        <f>VLOOKUP(D262,'L4'!$1:$2059,2,False)</f>
        <v>70</v>
      </c>
      <c r="L262" s="434">
        <f>VLOOKUP(D262,'A1 RETEST 5 DEC'!$1:$2096,2,FALSE)</f>
        <v>15</v>
      </c>
      <c r="M262" s="434">
        <f>VLOOKUP(D262,'A2 RETEST 4 DEC'!$1:$2096,2,FALSE)</f>
        <v>7</v>
      </c>
      <c r="N262" s="435">
        <v>55.0</v>
      </c>
      <c r="O262" s="464"/>
      <c r="P262" s="436">
        <f>IFNA(VLOOKUP(D262,'S1'!$1:$1325,2,False),0)</f>
        <v>0</v>
      </c>
      <c r="Q262" s="436">
        <f>vlookup(D262,'S2'!A258:B1460,2,0)</f>
        <v>50</v>
      </c>
      <c r="R262" s="436">
        <f>ifna(vlookup(D262,'S3'!$1:$1311,2,False),0)</f>
        <v>85</v>
      </c>
      <c r="S262" s="391"/>
      <c r="T262" s="392"/>
      <c r="U262" s="392"/>
      <c r="V262" s="392">
        <v>50.0</v>
      </c>
      <c r="W262" s="392">
        <v>84.0</v>
      </c>
      <c r="X262" s="392">
        <v>74.0</v>
      </c>
      <c r="Y262" s="392"/>
      <c r="Z262" s="407"/>
      <c r="AA262" s="25"/>
      <c r="AB262" s="395">
        <v>100.0</v>
      </c>
      <c r="AC262" s="395">
        <v>100.0</v>
      </c>
      <c r="AD262" s="395"/>
      <c r="AE262" s="440">
        <v>35.0</v>
      </c>
      <c r="AF262" s="398"/>
      <c r="AG262" s="395"/>
      <c r="AH262" s="397">
        <v>25.0</v>
      </c>
      <c r="AI262" s="441"/>
      <c r="AJ262" s="441"/>
      <c r="AK262" s="442">
        <f t="shared" si="6"/>
        <v>4</v>
      </c>
      <c r="AL262" s="442">
        <f t="shared" si="7"/>
        <v>0</v>
      </c>
      <c r="AM262" s="424">
        <f t="shared" si="8"/>
        <v>0</v>
      </c>
      <c r="AN262" s="442" t="str">
        <f t="shared" si="9"/>
        <v>3</v>
      </c>
      <c r="AO262" s="442">
        <f t="shared" si="10"/>
        <v>0</v>
      </c>
      <c r="AP262" s="367"/>
    </row>
    <row r="263">
      <c r="A263" s="385">
        <v>259.0</v>
      </c>
      <c r="B263" s="383" t="s">
        <v>23</v>
      </c>
      <c r="C263" s="384" t="s">
        <v>3674</v>
      </c>
      <c r="D263" s="476" t="s">
        <v>1351</v>
      </c>
      <c r="E263" s="386">
        <v>9.035726955E9</v>
      </c>
      <c r="F263" s="461" t="s">
        <v>3736</v>
      </c>
      <c r="G263" s="387"/>
      <c r="H263" s="386">
        <f>VLOOKUP(B263,'L1 '!$1:$1000,2,False)</f>
        <v>80</v>
      </c>
      <c r="I263" s="386">
        <f>VLOOKUP(B263,'L2'!$1:$1000,2,False)</f>
        <v>76</v>
      </c>
      <c r="J263" s="433">
        <v>0.0</v>
      </c>
      <c r="K263" s="433">
        <v>0.0</v>
      </c>
      <c r="L263" s="434">
        <f>VLOOKUP(D263,'A1 RETEST 5 DEC'!$1:$2096,2,FALSE)</f>
        <v>7</v>
      </c>
      <c r="M263" s="434">
        <f>VLOOKUP(D263,'A2 RETEST 4 DEC'!$1:$2096,2,FALSE)</f>
        <v>15</v>
      </c>
      <c r="N263" s="435">
        <v>3.0</v>
      </c>
      <c r="O263" s="464"/>
      <c r="P263" s="436">
        <f>IFNA(VLOOKUP(D263,'S1'!$1:$1325,2,False),0)</f>
        <v>0</v>
      </c>
      <c r="Q263" s="436">
        <f>vlookup(D263,'S2'!A259:B1461,2,0)</f>
        <v>0</v>
      </c>
      <c r="R263" s="436">
        <f>ifna(vlookup(D263,'S3'!$1:$1311,2,False),0)</f>
        <v>0</v>
      </c>
      <c r="S263" s="391"/>
      <c r="T263" s="392"/>
      <c r="U263" s="392"/>
      <c r="V263" s="392">
        <v>44.0</v>
      </c>
      <c r="W263" s="392">
        <v>58.0</v>
      </c>
      <c r="X263" s="392">
        <v>76.0</v>
      </c>
      <c r="Y263" s="392"/>
      <c r="Z263" s="407"/>
      <c r="AA263" s="25"/>
      <c r="AB263" s="395">
        <v>0.0</v>
      </c>
      <c r="AC263" s="395">
        <v>0.0</v>
      </c>
      <c r="AD263" s="395"/>
      <c r="AE263" s="440">
        <v>10.0</v>
      </c>
      <c r="AF263" s="398"/>
      <c r="AG263" s="395"/>
      <c r="AH263" s="398"/>
      <c r="AI263" s="441"/>
      <c r="AJ263" s="441"/>
      <c r="AK263" s="442">
        <f t="shared" si="6"/>
        <v>2</v>
      </c>
      <c r="AL263" s="442">
        <f t="shared" si="7"/>
        <v>0</v>
      </c>
      <c r="AM263" s="424">
        <f t="shared" si="8"/>
        <v>0</v>
      </c>
      <c r="AN263" s="442" t="str">
        <f t="shared" si="9"/>
        <v>0</v>
      </c>
      <c r="AO263" s="442">
        <f t="shared" si="10"/>
        <v>0</v>
      </c>
      <c r="AP263" s="367"/>
    </row>
    <row r="264">
      <c r="A264" s="385">
        <v>260.0</v>
      </c>
      <c r="B264" s="383" t="s">
        <v>63</v>
      </c>
      <c r="C264" s="475" t="s">
        <v>3675</v>
      </c>
      <c r="D264" s="413" t="s">
        <v>651</v>
      </c>
      <c r="E264" s="386">
        <v>8.971413777E9</v>
      </c>
      <c r="F264" s="461" t="s">
        <v>3736</v>
      </c>
      <c r="G264" s="387"/>
      <c r="H264" s="386">
        <v>70.0</v>
      </c>
      <c r="I264" s="386">
        <f>VLOOKUP(B264,'L2'!$1:$1000,2,False)</f>
        <v>72</v>
      </c>
      <c r="J264" s="433">
        <f>VLOOKUP(D264,'L3'!$1:$2060,2,False)</f>
        <v>70</v>
      </c>
      <c r="K264" s="433">
        <f>VLOOKUP(D264,'L4'!$1:$2059,2,False)</f>
        <v>70</v>
      </c>
      <c r="L264" s="434">
        <f>VLOOKUP(D264,'A1 RETEST 5 DEC'!$1:$2096,2,FALSE)</f>
        <v>4</v>
      </c>
      <c r="M264" s="434">
        <f>VLOOKUP(D264,'A2 RETEST 4 DEC'!$1:$2096,2,FALSE)</f>
        <v>7</v>
      </c>
      <c r="N264" s="435">
        <v>52.0</v>
      </c>
      <c r="O264" s="464"/>
      <c r="P264" s="436">
        <f>IFNA(VLOOKUP(D264,'S1'!$1:$1325,2,False),0)</f>
        <v>50</v>
      </c>
      <c r="Q264" s="436">
        <f>vlookup(D264,'S2'!A260:B1462,2,0)</f>
        <v>74</v>
      </c>
      <c r="R264" s="436">
        <f>ifna(vlookup(D264,'S3'!$1:$1311,2,False),0)</f>
        <v>50</v>
      </c>
      <c r="S264" s="391"/>
      <c r="T264" s="392"/>
      <c r="U264" s="392"/>
      <c r="V264" s="392">
        <v>40.0</v>
      </c>
      <c r="W264" s="392">
        <v>76.0</v>
      </c>
      <c r="X264" s="392">
        <v>80.0</v>
      </c>
      <c r="Y264" s="392"/>
      <c r="Z264" s="407"/>
      <c r="AA264" s="25"/>
      <c r="AB264" s="395">
        <v>73.0</v>
      </c>
      <c r="AC264" s="395">
        <v>73.0</v>
      </c>
      <c r="AD264" s="395"/>
      <c r="AE264" s="440">
        <v>77.0</v>
      </c>
      <c r="AF264" s="398"/>
      <c r="AG264" s="395"/>
      <c r="AH264" s="397">
        <v>19.0</v>
      </c>
      <c r="AI264" s="441"/>
      <c r="AJ264" s="441"/>
      <c r="AK264" s="442">
        <f t="shared" si="6"/>
        <v>4</v>
      </c>
      <c r="AL264" s="442">
        <f t="shared" si="7"/>
        <v>0</v>
      </c>
      <c r="AM264" s="424">
        <f t="shared" si="8"/>
        <v>0</v>
      </c>
      <c r="AN264" s="442" t="str">
        <f t="shared" si="9"/>
        <v>3.5</v>
      </c>
      <c r="AO264" s="442">
        <f t="shared" si="10"/>
        <v>3</v>
      </c>
      <c r="AP264" s="367"/>
    </row>
    <row r="265">
      <c r="A265" s="385">
        <v>261.0</v>
      </c>
      <c r="B265" s="383" t="s">
        <v>83</v>
      </c>
      <c r="C265" s="383" t="s">
        <v>3676</v>
      </c>
      <c r="D265" s="413" t="s">
        <v>658</v>
      </c>
      <c r="E265" s="386">
        <v>7.204990514E9</v>
      </c>
      <c r="F265" s="461" t="s">
        <v>3736</v>
      </c>
      <c r="G265" s="387"/>
      <c r="H265" s="386">
        <v>70.0</v>
      </c>
      <c r="I265" s="386">
        <v>70.0</v>
      </c>
      <c r="J265" s="433">
        <f>VLOOKUP(D265,'L3'!$1:$2060,2,False)</f>
        <v>45</v>
      </c>
      <c r="K265" s="433">
        <f>VLOOKUP(D265,'L4'!$1:$2059,2,False)</f>
        <v>70</v>
      </c>
      <c r="L265" s="434">
        <f>VLOOKUP(D265,'A1 RETEST 5 DEC'!$1:$2096,2,FALSE)</f>
        <v>12</v>
      </c>
      <c r="M265" s="434">
        <f>VLOOKUP(D265,'A2 RETEST 4 DEC'!$1:$2096,2,FALSE)</f>
        <v>9</v>
      </c>
      <c r="N265" s="435">
        <v>13.0</v>
      </c>
      <c r="O265" s="464"/>
      <c r="P265" s="436">
        <f>IFNA(VLOOKUP(D265,'S1'!$1:$1325,2,False),0)</f>
        <v>0</v>
      </c>
      <c r="Q265" s="436">
        <f>vlookup(D265,'S2'!A261:B1463,2,0)</f>
        <v>0</v>
      </c>
      <c r="R265" s="436">
        <f>ifna(vlookup(D265,'S3'!$1:$1311,2,False),0)</f>
        <v>0</v>
      </c>
      <c r="S265" s="391"/>
      <c r="T265" s="392"/>
      <c r="U265" s="392"/>
      <c r="V265" s="392">
        <v>52.0</v>
      </c>
      <c r="W265" s="392">
        <v>80.0</v>
      </c>
      <c r="X265" s="392">
        <v>56.0</v>
      </c>
      <c r="Y265" s="392"/>
      <c r="Z265" s="407"/>
      <c r="AA265" s="25"/>
      <c r="AB265" s="395">
        <v>100.0</v>
      </c>
      <c r="AC265" s="395">
        <v>100.0</v>
      </c>
      <c r="AD265" s="395"/>
      <c r="AE265" s="440">
        <v>12.0</v>
      </c>
      <c r="AF265" s="398"/>
      <c r="AG265" s="395"/>
      <c r="AH265" s="398"/>
      <c r="AI265" s="441"/>
      <c r="AJ265" s="441"/>
      <c r="AK265" s="442">
        <f t="shared" si="6"/>
        <v>2</v>
      </c>
      <c r="AL265" s="442">
        <f t="shared" si="7"/>
        <v>0</v>
      </c>
      <c r="AM265" s="424">
        <f t="shared" si="8"/>
        <v>0</v>
      </c>
      <c r="AN265" s="442" t="str">
        <f t="shared" si="9"/>
        <v>3</v>
      </c>
      <c r="AO265" s="442">
        <f t="shared" si="10"/>
        <v>0</v>
      </c>
      <c r="AP265" s="367"/>
    </row>
    <row r="266">
      <c r="A266" s="385">
        <v>262.0</v>
      </c>
      <c r="B266" s="383" t="s">
        <v>50</v>
      </c>
      <c r="C266" s="383" t="s">
        <v>3677</v>
      </c>
      <c r="D266" s="413" t="s">
        <v>657</v>
      </c>
      <c r="E266" s="386">
        <v>9.113882369E9</v>
      </c>
      <c r="F266" s="461" t="s">
        <v>3736</v>
      </c>
      <c r="G266" s="387"/>
      <c r="H266" s="386">
        <f>VLOOKUP(B266,'L1 '!$1:$1000,2,False)</f>
        <v>60</v>
      </c>
      <c r="I266" s="386">
        <f>VLOOKUP(B266,'L2'!$1:$1000,2,False)</f>
        <v>44</v>
      </c>
      <c r="J266" s="433">
        <f>VLOOKUP(D266,'L3'!$1:$2060,2,False)</f>
        <v>58</v>
      </c>
      <c r="K266" s="433">
        <f>VLOOKUP(D266,'L4'!$1:$2059,2,False)</f>
        <v>70</v>
      </c>
      <c r="L266" s="434">
        <f>VLOOKUP(D266,'A1 RETEST 5 DEC'!$1:$2096,2,FALSE)</f>
        <v>38</v>
      </c>
      <c r="M266" s="434">
        <f>VLOOKUP(D266,'A2 RETEST 4 DEC'!$1:$2096,2,FALSE)</f>
        <v>10</v>
      </c>
      <c r="N266" s="435">
        <v>50.0</v>
      </c>
      <c r="O266" s="464"/>
      <c r="P266" s="436">
        <f>IFNA(VLOOKUP(D266,'S1'!$1:$1325,2,False),0)</f>
        <v>0</v>
      </c>
      <c r="Q266" s="436">
        <f>vlookup(D266,'S2'!A262:B1464,2,0)</f>
        <v>0</v>
      </c>
      <c r="R266" s="436">
        <f>ifna(vlookup(D266,'S3'!$1:$1311,2,False),0)</f>
        <v>0</v>
      </c>
      <c r="S266" s="391"/>
      <c r="T266" s="392"/>
      <c r="U266" s="392"/>
      <c r="V266" s="392">
        <v>32.0</v>
      </c>
      <c r="W266" s="392">
        <v>80.0</v>
      </c>
      <c r="X266" s="392">
        <v>64.0</v>
      </c>
      <c r="Y266" s="392"/>
      <c r="Z266" s="407"/>
      <c r="AA266" s="25"/>
      <c r="AB266" s="395">
        <v>100.0</v>
      </c>
      <c r="AC266" s="395">
        <v>100.0</v>
      </c>
      <c r="AD266" s="395"/>
      <c r="AE266" s="440">
        <v>13.0</v>
      </c>
      <c r="AF266" s="398"/>
      <c r="AG266" s="395"/>
      <c r="AH266" s="398"/>
      <c r="AI266" s="441"/>
      <c r="AJ266" s="441"/>
      <c r="AK266" s="442">
        <f t="shared" si="6"/>
        <v>0</v>
      </c>
      <c r="AL266" s="442">
        <f t="shared" si="7"/>
        <v>0</v>
      </c>
      <c r="AM266" s="424">
        <f t="shared" si="8"/>
        <v>0</v>
      </c>
      <c r="AN266" s="442" t="str">
        <f t="shared" si="9"/>
        <v>3</v>
      </c>
      <c r="AO266" s="442">
        <f t="shared" si="10"/>
        <v>0</v>
      </c>
      <c r="AP266" s="367"/>
    </row>
    <row r="267">
      <c r="A267" s="385">
        <v>263.0</v>
      </c>
      <c r="B267" s="383" t="s">
        <v>3678</v>
      </c>
      <c r="C267" s="475" t="s">
        <v>3679</v>
      </c>
      <c r="D267" s="474" t="s">
        <v>1352</v>
      </c>
      <c r="E267" s="386">
        <v>9.845335992E9</v>
      </c>
      <c r="F267" s="461" t="s">
        <v>3736</v>
      </c>
      <c r="G267" s="387"/>
      <c r="H267" s="386">
        <v>0.0</v>
      </c>
      <c r="I267" s="386">
        <v>0.0</v>
      </c>
      <c r="J267" s="389">
        <v>0.0</v>
      </c>
      <c r="K267" s="433">
        <v>0.0</v>
      </c>
      <c r="L267" s="434">
        <f>VLOOKUP(D267,'A1 RETEST 5 DEC'!$1:$2096,2,FALSE)</f>
        <v>0</v>
      </c>
      <c r="M267" s="434">
        <f>VLOOKUP(D267,'A2 RETEST 4 DEC'!$1:$2096,2,FALSE)</f>
        <v>0</v>
      </c>
      <c r="N267" s="435">
        <v>0.0</v>
      </c>
      <c r="O267" s="464"/>
      <c r="P267" s="436">
        <f>IFNA(VLOOKUP(D267,'S1'!$1:$1325,2,False),0)</f>
        <v>0</v>
      </c>
      <c r="Q267" s="436">
        <v>0.0</v>
      </c>
      <c r="R267" s="436">
        <f>ifna(vlookup(D267,'S3'!$1:$1311,2,False),0)</f>
        <v>0</v>
      </c>
      <c r="S267" s="391"/>
      <c r="T267" s="392"/>
      <c r="U267" s="392"/>
      <c r="V267" s="392">
        <v>34.0</v>
      </c>
      <c r="W267" s="392">
        <v>80.0</v>
      </c>
      <c r="X267" s="392">
        <v>44.0</v>
      </c>
      <c r="Y267" s="392"/>
      <c r="Z267" s="407"/>
      <c r="AA267" s="25"/>
      <c r="AB267" s="395">
        <v>70.0</v>
      </c>
      <c r="AC267" s="395">
        <v>70.0</v>
      </c>
      <c r="AD267" s="395"/>
      <c r="AE267" s="440">
        <v>10.0</v>
      </c>
      <c r="AF267" s="398"/>
      <c r="AG267" s="395"/>
      <c r="AH267" s="398"/>
      <c r="AI267" s="441"/>
      <c r="AJ267" s="441"/>
      <c r="AK267" s="442">
        <f t="shared" si="6"/>
        <v>0</v>
      </c>
      <c r="AL267" s="442">
        <f t="shared" si="7"/>
        <v>0</v>
      </c>
      <c r="AM267" s="424">
        <f t="shared" si="8"/>
        <v>0</v>
      </c>
      <c r="AN267" s="442" t="str">
        <f t="shared" si="9"/>
        <v>3</v>
      </c>
      <c r="AO267" s="442">
        <f t="shared" si="10"/>
        <v>0</v>
      </c>
      <c r="AP267" s="367"/>
    </row>
    <row r="268">
      <c r="A268" s="385">
        <v>264.0</v>
      </c>
      <c r="B268" s="383" t="s">
        <v>115</v>
      </c>
      <c r="C268" s="383" t="s">
        <v>3682</v>
      </c>
      <c r="D268" s="474" t="s">
        <v>654</v>
      </c>
      <c r="E268" s="386">
        <v>8.867061906E9</v>
      </c>
      <c r="F268" s="461" t="s">
        <v>3736</v>
      </c>
      <c r="G268" s="387"/>
      <c r="H268" s="386">
        <f>VLOOKUP(B268,'L1 '!$1:$1000,2,False)</f>
        <v>32</v>
      </c>
      <c r="I268" s="386">
        <f>VLOOKUP(B268,'L2'!$1:$1000,2,False)</f>
        <v>44</v>
      </c>
      <c r="J268" s="389">
        <f>VLOOKUP(D268,'L3'!$1:$2060,2,False)</f>
        <v>40</v>
      </c>
      <c r="K268" s="389">
        <f>VLOOKUP(D268,'L4'!$1:$2059,2,False)</f>
        <v>53</v>
      </c>
      <c r="L268" s="434">
        <f>VLOOKUP(D268,'A1 RETEST 5 DEC'!$1:$2096,2,FALSE)</f>
        <v>5</v>
      </c>
      <c r="M268" s="434">
        <f>VLOOKUP(D268,'A2 RETEST 4 DEC'!$1:$2096,2,FALSE)</f>
        <v>6</v>
      </c>
      <c r="N268" s="435">
        <v>0.0</v>
      </c>
      <c r="O268" s="464"/>
      <c r="P268" s="436">
        <f>IFNA(VLOOKUP(D268,'S1'!$1:$1325,2,False),0)</f>
        <v>0</v>
      </c>
      <c r="Q268" s="436">
        <f>vlookup(D268,'S2'!A264:B1466,2,0)</f>
        <v>0</v>
      </c>
      <c r="R268" s="436">
        <f>ifna(vlookup(D268,'S3'!$1:$1311,2,False),0)</f>
        <v>85</v>
      </c>
      <c r="S268" s="391"/>
      <c r="T268" s="392"/>
      <c r="U268" s="392"/>
      <c r="V268" s="392">
        <v>38.0</v>
      </c>
      <c r="W268" s="392">
        <v>80.0</v>
      </c>
      <c r="X268" s="392">
        <v>74.0</v>
      </c>
      <c r="Y268" s="392"/>
      <c r="Z268" s="407"/>
      <c r="AA268" s="25"/>
      <c r="AB268" s="395">
        <v>90.0</v>
      </c>
      <c r="AC268" s="395">
        <v>90.0</v>
      </c>
      <c r="AD268" s="395"/>
      <c r="AE268" s="440">
        <v>75.0</v>
      </c>
      <c r="AF268" s="398"/>
      <c r="AG268" s="395"/>
      <c r="AH268" s="398"/>
      <c r="AI268" s="398"/>
      <c r="AJ268" s="398"/>
      <c r="AK268" s="399">
        <f t="shared" si="6"/>
        <v>0</v>
      </c>
      <c r="AL268" s="399">
        <f t="shared" si="7"/>
        <v>0</v>
      </c>
      <c r="AM268" s="400">
        <f t="shared" si="8"/>
        <v>0</v>
      </c>
      <c r="AN268" s="399" t="str">
        <f t="shared" si="9"/>
        <v>3.5</v>
      </c>
      <c r="AO268" s="399">
        <f t="shared" si="10"/>
        <v>0</v>
      </c>
      <c r="AP268" s="367"/>
    </row>
    <row r="269">
      <c r="A269" s="385">
        <v>265.0</v>
      </c>
      <c r="B269" s="383" t="s">
        <v>90</v>
      </c>
      <c r="C269" s="475" t="s">
        <v>3683</v>
      </c>
      <c r="D269" s="386" t="s">
        <v>655</v>
      </c>
      <c r="E269" s="386">
        <v>9.113940434E9</v>
      </c>
      <c r="F269" s="461" t="s">
        <v>3736</v>
      </c>
      <c r="G269" s="387"/>
      <c r="H269" s="386">
        <v>70.0</v>
      </c>
      <c r="I269" s="386">
        <v>70.0</v>
      </c>
      <c r="J269" s="389">
        <f>VLOOKUP(D269,'L3'!$1:$2060,2,False)</f>
        <v>56</v>
      </c>
      <c r="K269" s="389">
        <f>VLOOKUP(D269,'L4'!$1:$2059,2,False)</f>
        <v>70</v>
      </c>
      <c r="L269" s="434">
        <f>VLOOKUP(D269,'A1 RETEST 5 DEC'!$1:$2096,2,FALSE)</f>
        <v>5</v>
      </c>
      <c r="M269" s="434">
        <f>VLOOKUP(D269,'A2 RETEST 4 DEC'!$1:$2096,2,FALSE)</f>
        <v>13</v>
      </c>
      <c r="N269" s="435">
        <v>0.0</v>
      </c>
      <c r="O269" s="464"/>
      <c r="P269" s="436">
        <f>IFNA(VLOOKUP(D269,'S1'!$1:$1325,2,False),0)</f>
        <v>0</v>
      </c>
      <c r="Q269" s="436">
        <f>vlookup(D269,'S2'!A265:B1467,2,0)</f>
        <v>0</v>
      </c>
      <c r="R269" s="436">
        <f>ifna(vlookup(D269,'S3'!$1:$1311,2,False),0)</f>
        <v>0</v>
      </c>
      <c r="S269" s="391"/>
      <c r="T269" s="392"/>
      <c r="U269" s="392"/>
      <c r="V269" s="392">
        <v>32.0</v>
      </c>
      <c r="W269" s="392">
        <v>82.0</v>
      </c>
      <c r="X269" s="392">
        <v>70.0</v>
      </c>
      <c r="Y269" s="392"/>
      <c r="Z269" s="407"/>
      <c r="AA269" s="25"/>
      <c r="AB269" s="395">
        <v>78.0</v>
      </c>
      <c r="AC269" s="395">
        <v>78.0</v>
      </c>
      <c r="AD269" s="395"/>
      <c r="AE269" s="440">
        <v>60.0</v>
      </c>
      <c r="AF269" s="398"/>
      <c r="AG269" s="395"/>
      <c r="AH269" s="398"/>
      <c r="AI269" s="398"/>
      <c r="AJ269" s="398"/>
      <c r="AK269" s="399">
        <f t="shared" si="6"/>
        <v>2</v>
      </c>
      <c r="AL269" s="399">
        <f t="shared" si="7"/>
        <v>0</v>
      </c>
      <c r="AM269" s="400">
        <f t="shared" si="8"/>
        <v>0</v>
      </c>
      <c r="AN269" s="399" t="str">
        <f t="shared" si="9"/>
        <v>3</v>
      </c>
      <c r="AO269" s="399">
        <f t="shared" si="10"/>
        <v>0</v>
      </c>
      <c r="AP269" s="367"/>
    </row>
    <row r="270">
      <c r="A270" s="385">
        <v>266.0</v>
      </c>
      <c r="B270" s="383" t="s">
        <v>71</v>
      </c>
      <c r="C270" s="383" t="s">
        <v>3684</v>
      </c>
      <c r="D270" s="413" t="s">
        <v>643</v>
      </c>
      <c r="E270" s="386">
        <v>7.411221055E9</v>
      </c>
      <c r="F270" s="461" t="s">
        <v>3736</v>
      </c>
      <c r="G270" s="387"/>
      <c r="H270" s="386">
        <v>70.0</v>
      </c>
      <c r="I270" s="386">
        <v>70.0</v>
      </c>
      <c r="J270" s="389">
        <f>VLOOKUP(D270,'L3'!$1:$2060,2,False)</f>
        <v>70</v>
      </c>
      <c r="K270" s="389">
        <f>VLOOKUP(D270,'L4'!$1:$2059,2,False)</f>
        <v>70</v>
      </c>
      <c r="L270" s="434">
        <f>VLOOKUP(D270,'A1 RETEST 5 DEC'!$1:$2096,2,FALSE)</f>
        <v>38</v>
      </c>
      <c r="M270" s="434">
        <f>VLOOKUP(D270,'A2 RETEST 4 DEC'!$1:$2096,2,FALSE)</f>
        <v>25</v>
      </c>
      <c r="N270" s="435">
        <v>11.0</v>
      </c>
      <c r="O270" s="464"/>
      <c r="P270" s="436">
        <f>IFNA(VLOOKUP(D270,'S1'!$1:$1325,2,False),0)</f>
        <v>50</v>
      </c>
      <c r="Q270" s="436">
        <f>vlookup(D270,'S2'!A266:B1468,2,0)</f>
        <v>50</v>
      </c>
      <c r="R270" s="436">
        <f>ifna(vlookup(D270,'S3'!$1:$1311,2,False),0)</f>
        <v>66</v>
      </c>
      <c r="S270" s="391"/>
      <c r="T270" s="392"/>
      <c r="U270" s="392"/>
      <c r="V270" s="392">
        <v>46.0</v>
      </c>
      <c r="W270" s="392">
        <v>80.0</v>
      </c>
      <c r="X270" s="392">
        <v>64.0</v>
      </c>
      <c r="Y270" s="392"/>
      <c r="Z270" s="407"/>
      <c r="AA270" s="25"/>
      <c r="AB270" s="395">
        <v>100.0</v>
      </c>
      <c r="AC270" s="395">
        <v>100.0</v>
      </c>
      <c r="AD270" s="395"/>
      <c r="AE270" s="440">
        <v>60.0</v>
      </c>
      <c r="AF270" s="398"/>
      <c r="AG270" s="395">
        <v>71.0</v>
      </c>
      <c r="AH270" s="398"/>
      <c r="AI270" s="398"/>
      <c r="AJ270" s="398"/>
      <c r="AK270" s="399">
        <f t="shared" si="6"/>
        <v>4</v>
      </c>
      <c r="AL270" s="399">
        <f t="shared" si="7"/>
        <v>0</v>
      </c>
      <c r="AM270" s="400">
        <f t="shared" si="8"/>
        <v>0</v>
      </c>
      <c r="AN270" s="399" t="str">
        <f t="shared" si="9"/>
        <v>3</v>
      </c>
      <c r="AO270" s="399">
        <f t="shared" si="10"/>
        <v>3</v>
      </c>
      <c r="AP270" s="367"/>
    </row>
    <row r="271">
      <c r="A271" s="418"/>
      <c r="B271" s="418"/>
      <c r="C271" s="418"/>
      <c r="D271" s="418"/>
      <c r="E271" s="418"/>
      <c r="F271" s="418"/>
      <c r="G271" s="367"/>
      <c r="H271" s="418"/>
      <c r="I271" s="418"/>
      <c r="J271" s="418"/>
      <c r="K271" s="418"/>
      <c r="L271" s="420"/>
      <c r="M271" s="420"/>
      <c r="N271" s="420"/>
      <c r="O271" s="420"/>
      <c r="P271" s="420"/>
      <c r="Q271" s="420"/>
      <c r="R271" s="420"/>
      <c r="S271" s="420"/>
      <c r="T271" s="420"/>
      <c r="U271" s="420"/>
      <c r="V271" s="420"/>
      <c r="W271" s="420"/>
      <c r="X271" s="477"/>
      <c r="Y271" s="420"/>
      <c r="Z271" s="367"/>
      <c r="AA271" s="25"/>
      <c r="AB271" s="420"/>
      <c r="AC271" s="420"/>
      <c r="AD271" s="420"/>
      <c r="AE271" s="420"/>
      <c r="AF271" s="367"/>
      <c r="AG271" s="420"/>
      <c r="AH271" s="367"/>
      <c r="AI271" s="367"/>
      <c r="AJ271" s="367"/>
      <c r="AK271" s="358"/>
      <c r="AL271" s="358"/>
      <c r="AM271" s="358"/>
      <c r="AN271" s="358"/>
      <c r="AO271" s="358"/>
      <c r="AP271" s="367"/>
    </row>
    <row r="272">
      <c r="A272" s="415"/>
      <c r="B272" s="415"/>
      <c r="C272" s="415"/>
      <c r="D272" s="418"/>
      <c r="E272" s="418"/>
      <c r="F272" s="418"/>
      <c r="G272" s="367"/>
      <c r="H272" s="418"/>
      <c r="I272" s="418"/>
      <c r="J272" s="418"/>
      <c r="K272" s="418"/>
      <c r="L272" s="420"/>
      <c r="M272" s="420"/>
      <c r="N272" s="420"/>
      <c r="O272" s="420"/>
      <c r="P272" s="420"/>
      <c r="Q272" s="420"/>
      <c r="R272" s="420"/>
      <c r="S272" s="420"/>
      <c r="T272" s="420"/>
      <c r="U272" s="420"/>
      <c r="V272" s="420"/>
      <c r="W272" s="420"/>
      <c r="X272" s="477"/>
      <c r="Y272" s="420"/>
      <c r="Z272" s="367"/>
      <c r="AA272" s="25"/>
      <c r="AB272" s="420"/>
      <c r="AC272" s="420"/>
      <c r="AD272" s="420"/>
      <c r="AE272" s="420"/>
      <c r="AF272" s="367"/>
      <c r="AG272" s="420"/>
      <c r="AH272" s="367"/>
      <c r="AI272" s="367"/>
      <c r="AJ272" s="367"/>
      <c r="AK272" s="358"/>
      <c r="AL272" s="358"/>
      <c r="AM272" s="358"/>
      <c r="AN272" s="358"/>
      <c r="AO272" s="358"/>
      <c r="AP272" s="367"/>
    </row>
    <row r="273">
      <c r="A273" s="415"/>
      <c r="B273" s="415"/>
      <c r="C273" s="415"/>
      <c r="D273" s="418"/>
      <c r="E273" s="418"/>
      <c r="F273" s="418"/>
      <c r="G273" s="367"/>
      <c r="H273" s="418"/>
      <c r="I273" s="418"/>
      <c r="J273" s="418"/>
      <c r="K273" s="418"/>
      <c r="L273" s="420"/>
      <c r="M273" s="420"/>
      <c r="N273" s="420"/>
      <c r="O273" s="420"/>
      <c r="P273" s="420"/>
      <c r="Q273" s="420"/>
      <c r="R273" s="420"/>
      <c r="S273" s="420"/>
      <c r="T273" s="420"/>
      <c r="U273" s="420"/>
      <c r="V273" s="420"/>
      <c r="W273" s="420"/>
      <c r="X273" s="477"/>
      <c r="Y273" s="420"/>
      <c r="Z273" s="367"/>
      <c r="AA273" s="25"/>
      <c r="AB273" s="420"/>
      <c r="AC273" s="420"/>
      <c r="AD273" s="420"/>
      <c r="AE273" s="420"/>
      <c r="AF273" s="367"/>
      <c r="AG273" s="420"/>
      <c r="AH273" s="367"/>
      <c r="AI273" s="367"/>
      <c r="AJ273" s="367"/>
      <c r="AK273" s="358"/>
      <c r="AL273" s="358"/>
      <c r="AM273" s="358"/>
      <c r="AN273" s="358"/>
      <c r="AO273" s="358"/>
      <c r="AP273" s="367"/>
    </row>
    <row r="274">
      <c r="A274" s="415"/>
      <c r="B274" s="415"/>
      <c r="C274" s="415"/>
      <c r="D274" s="418"/>
      <c r="E274" s="418"/>
      <c r="F274" s="418"/>
      <c r="G274" s="367"/>
      <c r="H274" s="418"/>
      <c r="I274" s="418"/>
      <c r="J274" s="418"/>
      <c r="K274" s="418"/>
      <c r="L274" s="420"/>
      <c r="M274" s="420"/>
      <c r="N274" s="420"/>
      <c r="O274" s="420"/>
      <c r="P274" s="420"/>
      <c r="Q274" s="420"/>
      <c r="R274" s="420"/>
      <c r="S274" s="420"/>
      <c r="T274" s="420"/>
      <c r="U274" s="420"/>
      <c r="V274" s="420"/>
      <c r="W274" s="420"/>
      <c r="X274" s="477"/>
      <c r="Y274" s="420"/>
      <c r="Z274" s="367"/>
      <c r="AA274" s="25"/>
      <c r="AB274" s="420"/>
      <c r="AC274" s="420"/>
      <c r="AD274" s="420"/>
      <c r="AE274" s="420"/>
      <c r="AF274" s="367"/>
      <c r="AG274" s="420"/>
      <c r="AH274" s="367"/>
      <c r="AI274" s="367"/>
      <c r="AJ274" s="367"/>
      <c r="AK274" s="358"/>
      <c r="AL274" s="358"/>
      <c r="AM274" s="358"/>
      <c r="AN274" s="358"/>
      <c r="AO274" s="358"/>
      <c r="AP274" s="367"/>
    </row>
    <row r="275">
      <c r="A275" s="415"/>
      <c r="B275" s="415"/>
      <c r="C275" s="415"/>
      <c r="D275" s="418"/>
      <c r="E275" s="418"/>
      <c r="F275" s="418"/>
      <c r="G275" s="367"/>
      <c r="H275" s="418"/>
      <c r="I275" s="418"/>
      <c r="J275" s="418"/>
      <c r="K275" s="418"/>
      <c r="L275" s="420"/>
      <c r="M275" s="420"/>
      <c r="N275" s="420"/>
      <c r="O275" s="420"/>
      <c r="P275" s="420"/>
      <c r="Q275" s="420"/>
      <c r="R275" s="420"/>
      <c r="S275" s="420"/>
      <c r="T275" s="420"/>
      <c r="U275" s="420"/>
      <c r="V275" s="420"/>
      <c r="W275" s="420"/>
      <c r="X275" s="420"/>
      <c r="Y275" s="420"/>
      <c r="Z275" s="367"/>
      <c r="AA275" s="25"/>
      <c r="AB275" s="420"/>
      <c r="AC275" s="420"/>
      <c r="AD275" s="420"/>
      <c r="AE275" s="420"/>
      <c r="AF275" s="367"/>
      <c r="AG275" s="420"/>
      <c r="AH275" s="367"/>
      <c r="AI275" s="367"/>
      <c r="AJ275" s="367"/>
      <c r="AK275" s="358"/>
      <c r="AL275" s="358"/>
      <c r="AM275" s="358"/>
      <c r="AN275" s="358"/>
      <c r="AO275" s="358"/>
      <c r="AP275" s="367"/>
    </row>
    <row r="276">
      <c r="A276" s="415"/>
      <c r="B276" s="415"/>
      <c r="C276" s="415"/>
      <c r="D276" s="418"/>
      <c r="E276" s="418"/>
      <c r="F276" s="418"/>
      <c r="G276" s="367"/>
      <c r="H276" s="418"/>
      <c r="I276" s="418"/>
      <c r="J276" s="418"/>
      <c r="K276" s="418"/>
      <c r="L276" s="420"/>
      <c r="M276" s="420"/>
      <c r="N276" s="420"/>
      <c r="O276" s="420"/>
      <c r="P276" s="420"/>
      <c r="Q276" s="420"/>
      <c r="R276" s="420"/>
      <c r="S276" s="420"/>
      <c r="T276" s="420"/>
      <c r="U276" s="420"/>
      <c r="V276" s="420"/>
      <c r="W276" s="420"/>
      <c r="X276" s="420"/>
      <c r="Y276" s="420"/>
      <c r="Z276" s="367"/>
      <c r="AA276" s="478"/>
      <c r="AB276" s="420"/>
      <c r="AC276" s="420"/>
      <c r="AD276" s="420"/>
      <c r="AE276" s="420"/>
      <c r="AF276" s="367"/>
      <c r="AG276" s="420"/>
      <c r="AH276" s="367"/>
      <c r="AI276" s="367"/>
      <c r="AJ276" s="367"/>
      <c r="AK276" s="358"/>
      <c r="AL276" s="358"/>
      <c r="AM276" s="358"/>
      <c r="AN276" s="358"/>
      <c r="AO276" s="358"/>
      <c r="AP276" s="367"/>
    </row>
    <row r="277">
      <c r="A277" s="415"/>
      <c r="B277" s="415"/>
      <c r="C277" s="415"/>
      <c r="D277" s="418"/>
      <c r="E277" s="418"/>
      <c r="F277" s="418"/>
      <c r="G277" s="367"/>
      <c r="H277" s="418"/>
      <c r="I277" s="418"/>
      <c r="J277" s="418"/>
      <c r="K277" s="418"/>
      <c r="L277" s="420"/>
      <c r="M277" s="420"/>
      <c r="N277" s="420"/>
      <c r="O277" s="420"/>
      <c r="P277" s="420"/>
      <c r="Q277" s="420"/>
      <c r="R277" s="420"/>
      <c r="S277" s="420"/>
      <c r="T277" s="420"/>
      <c r="U277" s="420"/>
      <c r="V277" s="420"/>
      <c r="W277" s="420"/>
      <c r="X277" s="420"/>
      <c r="Y277" s="420"/>
      <c r="Z277" s="367"/>
      <c r="AA277" s="478"/>
      <c r="AB277" s="420"/>
      <c r="AC277" s="420"/>
      <c r="AD277" s="420"/>
      <c r="AE277" s="420"/>
      <c r="AF277" s="367"/>
      <c r="AG277" s="420"/>
      <c r="AH277" s="367"/>
      <c r="AI277" s="367"/>
      <c r="AJ277" s="367"/>
      <c r="AK277" s="358"/>
      <c r="AL277" s="358"/>
      <c r="AM277" s="358"/>
      <c r="AN277" s="358"/>
      <c r="AO277" s="358"/>
      <c r="AP277" s="367"/>
    </row>
    <row r="278">
      <c r="A278" s="415"/>
      <c r="B278" s="415"/>
      <c r="C278" s="415"/>
      <c r="D278" s="418"/>
      <c r="E278" s="418"/>
      <c r="F278" s="418"/>
      <c r="G278" s="367"/>
      <c r="H278" s="418"/>
      <c r="I278" s="418"/>
      <c r="J278" s="418"/>
      <c r="K278" s="418"/>
      <c r="L278" s="420"/>
      <c r="M278" s="420"/>
      <c r="N278" s="420"/>
      <c r="O278" s="420"/>
      <c r="P278" s="420"/>
      <c r="Q278" s="420"/>
      <c r="R278" s="420"/>
      <c r="S278" s="420"/>
      <c r="T278" s="420"/>
      <c r="U278" s="420"/>
      <c r="V278" s="420"/>
      <c r="W278" s="420"/>
      <c r="X278" s="420"/>
      <c r="Y278" s="420"/>
      <c r="Z278" s="367"/>
      <c r="AA278" s="478"/>
      <c r="AB278" s="420"/>
      <c r="AC278" s="420"/>
      <c r="AD278" s="420"/>
      <c r="AE278" s="420"/>
      <c r="AF278" s="367"/>
      <c r="AG278" s="420"/>
      <c r="AH278" s="367"/>
      <c r="AI278" s="367"/>
      <c r="AJ278" s="367"/>
      <c r="AK278" s="358"/>
      <c r="AL278" s="358"/>
      <c r="AM278" s="358"/>
      <c r="AN278" s="358"/>
      <c r="AO278" s="358"/>
      <c r="AP278" s="367"/>
    </row>
    <row r="279">
      <c r="A279" s="415"/>
      <c r="B279" s="415"/>
      <c r="C279" s="415"/>
      <c r="D279" s="418"/>
      <c r="E279" s="418"/>
      <c r="F279" s="418"/>
      <c r="G279" s="367"/>
      <c r="H279" s="418"/>
      <c r="I279" s="418"/>
      <c r="J279" s="418"/>
      <c r="K279" s="418"/>
      <c r="L279" s="420"/>
      <c r="M279" s="420"/>
      <c r="N279" s="420"/>
      <c r="O279" s="420"/>
      <c r="P279" s="420"/>
      <c r="Q279" s="420"/>
      <c r="R279" s="420"/>
      <c r="S279" s="420"/>
      <c r="T279" s="420"/>
      <c r="U279" s="420"/>
      <c r="V279" s="420"/>
      <c r="W279" s="420"/>
      <c r="X279" s="420"/>
      <c r="Y279" s="420"/>
      <c r="Z279" s="367"/>
      <c r="AA279" s="478"/>
      <c r="AB279" s="420"/>
      <c r="AC279" s="420"/>
      <c r="AD279" s="420"/>
      <c r="AE279" s="420"/>
      <c r="AF279" s="367"/>
      <c r="AG279" s="420"/>
      <c r="AH279" s="367"/>
      <c r="AI279" s="367"/>
      <c r="AJ279" s="367"/>
      <c r="AK279" s="358"/>
      <c r="AL279" s="358"/>
      <c r="AM279" s="358"/>
      <c r="AN279" s="358"/>
      <c r="AO279" s="358"/>
      <c r="AP279" s="367"/>
    </row>
    <row r="280">
      <c r="A280" s="415"/>
      <c r="B280" s="415"/>
      <c r="C280" s="415"/>
      <c r="D280" s="418"/>
      <c r="E280" s="418"/>
      <c r="F280" s="418"/>
      <c r="G280" s="367"/>
      <c r="H280" s="418"/>
      <c r="I280" s="418"/>
      <c r="J280" s="418"/>
      <c r="K280" s="418"/>
      <c r="L280" s="420"/>
      <c r="M280" s="420"/>
      <c r="N280" s="420"/>
      <c r="O280" s="420"/>
      <c r="P280" s="420"/>
      <c r="Q280" s="420"/>
      <c r="R280" s="420"/>
      <c r="S280" s="420"/>
      <c r="T280" s="420"/>
      <c r="U280" s="420"/>
      <c r="V280" s="420"/>
      <c r="W280" s="420"/>
      <c r="X280" s="420"/>
      <c r="Y280" s="420"/>
      <c r="Z280" s="367"/>
      <c r="AA280" s="478"/>
      <c r="AB280" s="420"/>
      <c r="AC280" s="420"/>
      <c r="AD280" s="420"/>
      <c r="AE280" s="420"/>
      <c r="AF280" s="367"/>
      <c r="AG280" s="420"/>
      <c r="AH280" s="367"/>
      <c r="AI280" s="367"/>
      <c r="AJ280" s="367"/>
      <c r="AK280" s="358"/>
      <c r="AL280" s="358"/>
      <c r="AM280" s="358"/>
      <c r="AN280" s="358"/>
      <c r="AO280" s="358"/>
      <c r="AP280" s="367"/>
    </row>
    <row r="281">
      <c r="A281" s="415"/>
      <c r="B281" s="415"/>
      <c r="C281" s="415"/>
      <c r="D281" s="418"/>
      <c r="E281" s="418"/>
      <c r="F281" s="418"/>
      <c r="G281" s="367"/>
      <c r="H281" s="418"/>
      <c r="I281" s="418"/>
      <c r="J281" s="418"/>
      <c r="K281" s="418"/>
      <c r="L281" s="420"/>
      <c r="M281" s="420"/>
      <c r="N281" s="420"/>
      <c r="O281" s="420"/>
      <c r="P281" s="420"/>
      <c r="Q281" s="420"/>
      <c r="R281" s="420"/>
      <c r="S281" s="420"/>
      <c r="T281" s="420"/>
      <c r="U281" s="420"/>
      <c r="V281" s="420"/>
      <c r="W281" s="420"/>
      <c r="X281" s="420"/>
      <c r="Y281" s="420"/>
      <c r="Z281" s="367"/>
      <c r="AA281" s="478"/>
      <c r="AB281" s="420"/>
      <c r="AC281" s="420"/>
      <c r="AD281" s="420"/>
      <c r="AE281" s="420"/>
      <c r="AF281" s="367"/>
      <c r="AG281" s="420"/>
      <c r="AH281" s="367"/>
      <c r="AI281" s="367"/>
      <c r="AJ281" s="367"/>
      <c r="AK281" s="358"/>
      <c r="AL281" s="358"/>
      <c r="AM281" s="358"/>
      <c r="AN281" s="358"/>
      <c r="AO281" s="358"/>
      <c r="AP281" s="367"/>
    </row>
    <row r="282">
      <c r="A282" s="415"/>
      <c r="B282" s="415"/>
      <c r="C282" s="415"/>
      <c r="D282" s="418"/>
      <c r="E282" s="418"/>
      <c r="F282" s="418"/>
      <c r="G282" s="367"/>
      <c r="H282" s="418"/>
      <c r="I282" s="418"/>
      <c r="J282" s="418"/>
      <c r="K282" s="418"/>
      <c r="L282" s="420"/>
      <c r="M282" s="420"/>
      <c r="N282" s="420"/>
      <c r="O282" s="420"/>
      <c r="P282" s="420"/>
      <c r="Q282" s="420"/>
      <c r="R282" s="420"/>
      <c r="S282" s="420"/>
      <c r="T282" s="420"/>
      <c r="U282" s="420"/>
      <c r="V282" s="420"/>
      <c r="W282" s="420"/>
      <c r="X282" s="420"/>
      <c r="Y282" s="420"/>
      <c r="Z282" s="367"/>
      <c r="AA282" s="478"/>
      <c r="AB282" s="420"/>
      <c r="AC282" s="420"/>
      <c r="AD282" s="420"/>
      <c r="AE282" s="420"/>
      <c r="AF282" s="367"/>
      <c r="AG282" s="420"/>
      <c r="AH282" s="367"/>
      <c r="AI282" s="367"/>
      <c r="AJ282" s="367"/>
      <c r="AK282" s="358"/>
      <c r="AL282" s="358"/>
      <c r="AM282" s="358"/>
      <c r="AN282" s="358"/>
      <c r="AO282" s="358"/>
      <c r="AP282" s="367"/>
    </row>
    <row r="283">
      <c r="A283" s="415"/>
      <c r="B283" s="415"/>
      <c r="C283" s="415"/>
      <c r="D283" s="418"/>
      <c r="E283" s="418"/>
      <c r="F283" s="418"/>
      <c r="G283" s="367"/>
      <c r="H283" s="418"/>
      <c r="I283" s="418"/>
      <c r="J283" s="418"/>
      <c r="K283" s="418"/>
      <c r="L283" s="420"/>
      <c r="M283" s="420"/>
      <c r="N283" s="420"/>
      <c r="O283" s="420"/>
      <c r="P283" s="420"/>
      <c r="Q283" s="420"/>
      <c r="R283" s="420"/>
      <c r="S283" s="420"/>
      <c r="T283" s="420"/>
      <c r="U283" s="420"/>
      <c r="V283" s="420"/>
      <c r="W283" s="420"/>
      <c r="X283" s="420"/>
      <c r="Y283" s="420"/>
      <c r="Z283" s="367"/>
      <c r="AA283" s="478"/>
      <c r="AB283" s="420"/>
      <c r="AC283" s="420"/>
      <c r="AD283" s="420"/>
      <c r="AE283" s="420"/>
      <c r="AF283" s="367"/>
      <c r="AG283" s="420"/>
      <c r="AH283" s="367"/>
      <c r="AI283" s="367"/>
      <c r="AJ283" s="367"/>
      <c r="AK283" s="358"/>
      <c r="AL283" s="358"/>
      <c r="AM283" s="358"/>
      <c r="AN283" s="358"/>
      <c r="AO283" s="358"/>
      <c r="AP283" s="367"/>
    </row>
    <row r="284">
      <c r="A284" s="415"/>
      <c r="B284" s="415"/>
      <c r="C284" s="415"/>
      <c r="D284" s="418"/>
      <c r="E284" s="418"/>
      <c r="F284" s="418"/>
      <c r="G284" s="367"/>
      <c r="H284" s="418"/>
      <c r="I284" s="418"/>
      <c r="J284" s="418"/>
      <c r="K284" s="418"/>
      <c r="L284" s="420"/>
      <c r="M284" s="420"/>
      <c r="N284" s="420"/>
      <c r="O284" s="420"/>
      <c r="P284" s="420"/>
      <c r="Q284" s="420"/>
      <c r="R284" s="420"/>
      <c r="S284" s="420"/>
      <c r="T284" s="420"/>
      <c r="U284" s="420"/>
      <c r="V284" s="420"/>
      <c r="W284" s="420"/>
      <c r="X284" s="420"/>
      <c r="Y284" s="420"/>
      <c r="Z284" s="367"/>
      <c r="AA284" s="478"/>
      <c r="AB284" s="420"/>
      <c r="AC284" s="420"/>
      <c r="AD284" s="420"/>
      <c r="AE284" s="420"/>
      <c r="AF284" s="367"/>
      <c r="AG284" s="420"/>
      <c r="AH284" s="367"/>
      <c r="AI284" s="367"/>
      <c r="AJ284" s="367"/>
      <c r="AK284" s="358"/>
      <c r="AL284" s="358"/>
      <c r="AM284" s="358"/>
      <c r="AN284" s="358"/>
      <c r="AO284" s="358"/>
      <c r="AP284" s="367"/>
    </row>
    <row r="285">
      <c r="A285" s="415"/>
      <c r="B285" s="415"/>
      <c r="C285" s="415"/>
      <c r="D285" s="418"/>
      <c r="E285" s="418"/>
      <c r="F285" s="418"/>
      <c r="G285" s="367"/>
      <c r="H285" s="418"/>
      <c r="I285" s="418"/>
      <c r="J285" s="418"/>
      <c r="K285" s="418"/>
      <c r="L285" s="420"/>
      <c r="M285" s="420"/>
      <c r="N285" s="420"/>
      <c r="O285" s="420"/>
      <c r="P285" s="420"/>
      <c r="Q285" s="420"/>
      <c r="R285" s="420"/>
      <c r="S285" s="420"/>
      <c r="T285" s="420"/>
      <c r="U285" s="420"/>
      <c r="V285" s="420"/>
      <c r="W285" s="420"/>
      <c r="X285" s="420"/>
      <c r="Y285" s="420"/>
      <c r="Z285" s="367"/>
      <c r="AA285" s="478"/>
      <c r="AB285" s="420"/>
      <c r="AC285" s="420"/>
      <c r="AD285" s="420"/>
      <c r="AE285" s="420"/>
      <c r="AF285" s="367"/>
      <c r="AG285" s="420"/>
      <c r="AH285" s="367"/>
      <c r="AI285" s="367"/>
      <c r="AJ285" s="367"/>
      <c r="AK285" s="358"/>
      <c r="AL285" s="358"/>
      <c r="AM285" s="358"/>
      <c r="AN285" s="358"/>
      <c r="AO285" s="358"/>
      <c r="AP285" s="367"/>
    </row>
    <row r="286">
      <c r="A286" s="415"/>
      <c r="B286" s="415"/>
      <c r="C286" s="415"/>
      <c r="D286" s="418"/>
      <c r="E286" s="418"/>
      <c r="F286" s="418"/>
      <c r="G286" s="367"/>
      <c r="H286" s="418"/>
      <c r="I286" s="418"/>
      <c r="J286" s="418"/>
      <c r="K286" s="418"/>
      <c r="L286" s="420"/>
      <c r="M286" s="420"/>
      <c r="N286" s="420"/>
      <c r="O286" s="420"/>
      <c r="P286" s="420"/>
      <c r="Q286" s="420"/>
      <c r="R286" s="420"/>
      <c r="S286" s="420"/>
      <c r="T286" s="420"/>
      <c r="U286" s="420"/>
      <c r="V286" s="420"/>
      <c r="W286" s="420"/>
      <c r="X286" s="420"/>
      <c r="Y286" s="420"/>
      <c r="Z286" s="367"/>
      <c r="AA286" s="478"/>
      <c r="AB286" s="420"/>
      <c r="AC286" s="420"/>
      <c r="AD286" s="420"/>
      <c r="AE286" s="420"/>
      <c r="AF286" s="367"/>
      <c r="AG286" s="420"/>
      <c r="AH286" s="367"/>
      <c r="AI286" s="367"/>
      <c r="AJ286" s="367"/>
      <c r="AK286" s="358"/>
      <c r="AL286" s="358"/>
      <c r="AM286" s="358"/>
      <c r="AN286" s="358"/>
      <c r="AO286" s="358"/>
      <c r="AP286" s="367"/>
    </row>
    <row r="287">
      <c r="A287" s="415"/>
      <c r="B287" s="415"/>
      <c r="C287" s="415"/>
      <c r="D287" s="418"/>
      <c r="E287" s="418"/>
      <c r="F287" s="418"/>
      <c r="G287" s="367"/>
      <c r="H287" s="418"/>
      <c r="I287" s="418"/>
      <c r="J287" s="418"/>
      <c r="K287" s="418"/>
      <c r="L287" s="420"/>
      <c r="M287" s="420"/>
      <c r="N287" s="420"/>
      <c r="O287" s="420"/>
      <c r="P287" s="420"/>
      <c r="Q287" s="420"/>
      <c r="R287" s="420"/>
      <c r="S287" s="420"/>
      <c r="T287" s="420"/>
      <c r="U287" s="420"/>
      <c r="V287" s="420"/>
      <c r="W287" s="420"/>
      <c r="X287" s="420"/>
      <c r="Y287" s="420"/>
      <c r="Z287" s="367"/>
      <c r="AA287" s="478"/>
      <c r="AB287" s="420"/>
      <c r="AC287" s="420"/>
      <c r="AD287" s="420"/>
      <c r="AE287" s="420"/>
      <c r="AF287" s="367"/>
      <c r="AG287" s="420"/>
      <c r="AH287" s="367"/>
      <c r="AI287" s="367"/>
      <c r="AJ287" s="367"/>
      <c r="AK287" s="358"/>
      <c r="AL287" s="358"/>
      <c r="AM287" s="358"/>
      <c r="AN287" s="358"/>
      <c r="AO287" s="358"/>
      <c r="AP287" s="367"/>
    </row>
    <row r="288">
      <c r="A288" s="415"/>
      <c r="B288" s="415"/>
      <c r="C288" s="415"/>
      <c r="D288" s="418"/>
      <c r="E288" s="418"/>
      <c r="F288" s="418"/>
      <c r="G288" s="367"/>
      <c r="H288" s="418"/>
      <c r="I288" s="418"/>
      <c r="J288" s="418"/>
      <c r="K288" s="418"/>
      <c r="L288" s="420"/>
      <c r="M288" s="420"/>
      <c r="N288" s="420"/>
      <c r="O288" s="420"/>
      <c r="P288" s="420"/>
      <c r="Q288" s="420"/>
      <c r="R288" s="420"/>
      <c r="S288" s="420"/>
      <c r="T288" s="420"/>
      <c r="U288" s="420"/>
      <c r="V288" s="420"/>
      <c r="W288" s="420"/>
      <c r="X288" s="420"/>
      <c r="Y288" s="420"/>
      <c r="Z288" s="367"/>
      <c r="AA288" s="478"/>
      <c r="AB288" s="420"/>
      <c r="AC288" s="420"/>
      <c r="AD288" s="420"/>
      <c r="AE288" s="420"/>
      <c r="AF288" s="367"/>
      <c r="AG288" s="420"/>
      <c r="AH288" s="367"/>
      <c r="AI288" s="367"/>
      <c r="AJ288" s="367"/>
      <c r="AK288" s="358"/>
      <c r="AL288" s="358"/>
      <c r="AM288" s="358"/>
      <c r="AN288" s="358"/>
      <c r="AO288" s="358"/>
      <c r="AP288" s="367"/>
    </row>
    <row r="289">
      <c r="A289" s="415"/>
      <c r="B289" s="415"/>
      <c r="C289" s="415"/>
      <c r="D289" s="418"/>
      <c r="E289" s="418"/>
      <c r="F289" s="418"/>
      <c r="G289" s="367"/>
      <c r="H289" s="418"/>
      <c r="I289" s="418"/>
      <c r="J289" s="418"/>
      <c r="K289" s="418"/>
      <c r="L289" s="420"/>
      <c r="M289" s="420"/>
      <c r="N289" s="420"/>
      <c r="O289" s="420"/>
      <c r="P289" s="420"/>
      <c r="Q289" s="420"/>
      <c r="R289" s="420"/>
      <c r="S289" s="420"/>
      <c r="T289" s="420"/>
      <c r="U289" s="420"/>
      <c r="V289" s="420"/>
      <c r="W289" s="420"/>
      <c r="X289" s="420"/>
      <c r="Y289" s="420"/>
      <c r="Z289" s="367"/>
      <c r="AA289" s="478"/>
      <c r="AB289" s="420"/>
      <c r="AC289" s="420"/>
      <c r="AD289" s="420"/>
      <c r="AE289" s="420"/>
      <c r="AF289" s="367"/>
      <c r="AG289" s="420"/>
      <c r="AH289" s="367"/>
      <c r="AI289" s="367"/>
      <c r="AJ289" s="367"/>
      <c r="AK289" s="358"/>
      <c r="AL289" s="358"/>
      <c r="AM289" s="358"/>
      <c r="AN289" s="358"/>
      <c r="AO289" s="358"/>
      <c r="AP289" s="367"/>
    </row>
    <row r="290">
      <c r="A290" s="415"/>
      <c r="B290" s="415"/>
      <c r="C290" s="415"/>
      <c r="D290" s="418"/>
      <c r="E290" s="418"/>
      <c r="F290" s="418"/>
      <c r="G290" s="367"/>
      <c r="H290" s="418"/>
      <c r="I290" s="418"/>
      <c r="J290" s="418"/>
      <c r="K290" s="418"/>
      <c r="L290" s="420"/>
      <c r="M290" s="420"/>
      <c r="N290" s="420"/>
      <c r="O290" s="420"/>
      <c r="P290" s="420"/>
      <c r="Q290" s="420"/>
      <c r="R290" s="420"/>
      <c r="S290" s="420"/>
      <c r="T290" s="420"/>
      <c r="U290" s="420"/>
      <c r="V290" s="420"/>
      <c r="W290" s="420"/>
      <c r="X290" s="420"/>
      <c r="Y290" s="420"/>
      <c r="Z290" s="367"/>
      <c r="AA290" s="420"/>
      <c r="AB290" s="420"/>
      <c r="AC290" s="420"/>
      <c r="AD290" s="420"/>
      <c r="AE290" s="420"/>
      <c r="AF290" s="367"/>
      <c r="AG290" s="420"/>
      <c r="AH290" s="367"/>
      <c r="AI290" s="367"/>
      <c r="AJ290" s="367"/>
      <c r="AK290" s="358"/>
      <c r="AL290" s="358"/>
      <c r="AM290" s="358"/>
      <c r="AN290" s="358"/>
      <c r="AO290" s="358"/>
      <c r="AP290" s="367"/>
    </row>
    <row r="291">
      <c r="A291" s="415"/>
      <c r="B291" s="415"/>
      <c r="C291" s="415"/>
      <c r="D291" s="418"/>
      <c r="E291" s="418"/>
      <c r="F291" s="418"/>
      <c r="G291" s="367"/>
      <c r="H291" s="418"/>
      <c r="I291" s="418"/>
      <c r="J291" s="418"/>
      <c r="K291" s="418"/>
      <c r="L291" s="420"/>
      <c r="M291" s="420"/>
      <c r="N291" s="420"/>
      <c r="O291" s="420"/>
      <c r="P291" s="420"/>
      <c r="Q291" s="420"/>
      <c r="R291" s="420"/>
      <c r="S291" s="420"/>
      <c r="T291" s="420"/>
      <c r="U291" s="420"/>
      <c r="V291" s="420"/>
      <c r="W291" s="420"/>
      <c r="X291" s="420"/>
      <c r="Y291" s="420"/>
      <c r="Z291" s="367"/>
      <c r="AA291" s="420"/>
      <c r="AB291" s="420"/>
      <c r="AC291" s="420"/>
      <c r="AD291" s="420"/>
      <c r="AE291" s="420"/>
      <c r="AF291" s="367"/>
      <c r="AG291" s="420"/>
      <c r="AH291" s="367"/>
      <c r="AI291" s="367"/>
      <c r="AJ291" s="367"/>
      <c r="AK291" s="358"/>
      <c r="AL291" s="358"/>
      <c r="AM291" s="358"/>
      <c r="AN291" s="358"/>
      <c r="AO291" s="358"/>
      <c r="AP291" s="367"/>
    </row>
    <row r="292">
      <c r="A292" s="415"/>
      <c r="B292" s="415"/>
      <c r="C292" s="415"/>
      <c r="D292" s="418"/>
      <c r="E292" s="418"/>
      <c r="F292" s="418"/>
      <c r="G292" s="367"/>
      <c r="H292" s="418"/>
      <c r="I292" s="418"/>
      <c r="J292" s="418"/>
      <c r="K292" s="418"/>
      <c r="L292" s="420"/>
      <c r="M292" s="420"/>
      <c r="N292" s="420"/>
      <c r="O292" s="420"/>
      <c r="P292" s="420"/>
      <c r="Q292" s="420"/>
      <c r="R292" s="420"/>
      <c r="S292" s="420"/>
      <c r="T292" s="420"/>
      <c r="U292" s="420"/>
      <c r="V292" s="420"/>
      <c r="W292" s="420"/>
      <c r="X292" s="420"/>
      <c r="Y292" s="420"/>
      <c r="Z292" s="367"/>
      <c r="AA292" s="420"/>
      <c r="AB292" s="420"/>
      <c r="AC292" s="420"/>
      <c r="AD292" s="420"/>
      <c r="AE292" s="420"/>
      <c r="AF292" s="367"/>
      <c r="AG292" s="420"/>
      <c r="AH292" s="367"/>
      <c r="AI292" s="367"/>
      <c r="AJ292" s="367"/>
      <c r="AK292" s="358"/>
      <c r="AL292" s="358"/>
      <c r="AM292" s="358"/>
      <c r="AN292" s="358"/>
      <c r="AO292" s="358"/>
      <c r="AP292" s="367"/>
    </row>
    <row r="293">
      <c r="A293" s="415"/>
      <c r="B293" s="415"/>
      <c r="C293" s="415"/>
      <c r="D293" s="418"/>
      <c r="E293" s="418"/>
      <c r="F293" s="418"/>
      <c r="G293" s="367"/>
      <c r="H293" s="418"/>
      <c r="I293" s="418"/>
      <c r="J293" s="418"/>
      <c r="K293" s="418"/>
      <c r="L293" s="420"/>
      <c r="M293" s="420"/>
      <c r="N293" s="420"/>
      <c r="O293" s="420"/>
      <c r="P293" s="420"/>
      <c r="Q293" s="420"/>
      <c r="R293" s="420"/>
      <c r="S293" s="420"/>
      <c r="T293" s="420"/>
      <c r="U293" s="420"/>
      <c r="V293" s="420"/>
      <c r="W293" s="420"/>
      <c r="X293" s="420"/>
      <c r="Y293" s="420"/>
      <c r="Z293" s="367"/>
      <c r="AA293" s="420"/>
      <c r="AB293" s="420"/>
      <c r="AC293" s="420"/>
      <c r="AD293" s="420"/>
      <c r="AE293" s="420"/>
      <c r="AF293" s="367"/>
      <c r="AG293" s="420"/>
      <c r="AH293" s="367"/>
      <c r="AI293" s="367"/>
      <c r="AJ293" s="367"/>
      <c r="AK293" s="358"/>
      <c r="AL293" s="358"/>
      <c r="AM293" s="358"/>
      <c r="AN293" s="358"/>
      <c r="AO293" s="358"/>
      <c r="AP293" s="367"/>
    </row>
    <row r="294">
      <c r="A294" s="415"/>
      <c r="B294" s="415"/>
      <c r="C294" s="415"/>
      <c r="D294" s="418"/>
      <c r="E294" s="418"/>
      <c r="F294" s="418"/>
      <c r="G294" s="367"/>
      <c r="H294" s="418"/>
      <c r="I294" s="418"/>
      <c r="J294" s="418"/>
      <c r="K294" s="418"/>
      <c r="L294" s="420"/>
      <c r="M294" s="420"/>
      <c r="N294" s="420"/>
      <c r="O294" s="420"/>
      <c r="P294" s="420"/>
      <c r="Q294" s="420"/>
      <c r="R294" s="420"/>
      <c r="S294" s="420"/>
      <c r="T294" s="420"/>
      <c r="U294" s="420"/>
      <c r="V294" s="420"/>
      <c r="W294" s="420"/>
      <c r="X294" s="420"/>
      <c r="Y294" s="420"/>
      <c r="Z294" s="367"/>
      <c r="AA294" s="420"/>
      <c r="AB294" s="420"/>
      <c r="AC294" s="420"/>
      <c r="AD294" s="420"/>
      <c r="AE294" s="420"/>
      <c r="AF294" s="367"/>
      <c r="AG294" s="420"/>
      <c r="AH294" s="367"/>
      <c r="AI294" s="367"/>
      <c r="AJ294" s="367"/>
      <c r="AK294" s="358"/>
      <c r="AL294" s="358"/>
      <c r="AM294" s="358"/>
      <c r="AN294" s="358"/>
      <c r="AO294" s="358"/>
      <c r="AP294" s="367"/>
    </row>
    <row r="295">
      <c r="A295" s="415"/>
      <c r="B295" s="415"/>
      <c r="C295" s="415"/>
      <c r="D295" s="418"/>
      <c r="E295" s="418"/>
      <c r="F295" s="418"/>
      <c r="G295" s="367"/>
      <c r="H295" s="418"/>
      <c r="I295" s="418"/>
      <c r="J295" s="418"/>
      <c r="K295" s="418"/>
      <c r="L295" s="420"/>
      <c r="M295" s="420"/>
      <c r="N295" s="420"/>
      <c r="O295" s="420"/>
      <c r="P295" s="420"/>
      <c r="Q295" s="420"/>
      <c r="R295" s="420"/>
      <c r="S295" s="420"/>
      <c r="T295" s="420"/>
      <c r="U295" s="420"/>
      <c r="V295" s="420"/>
      <c r="W295" s="420"/>
      <c r="X295" s="420"/>
      <c r="Y295" s="420"/>
      <c r="Z295" s="367"/>
      <c r="AA295" s="420"/>
      <c r="AB295" s="420"/>
      <c r="AC295" s="420"/>
      <c r="AD295" s="420"/>
      <c r="AE295" s="420"/>
      <c r="AF295" s="367"/>
      <c r="AG295" s="420"/>
      <c r="AH295" s="367"/>
      <c r="AI295" s="367"/>
      <c r="AJ295" s="367"/>
      <c r="AK295" s="358"/>
      <c r="AL295" s="358"/>
      <c r="AM295" s="358"/>
      <c r="AN295" s="358"/>
      <c r="AO295" s="358"/>
      <c r="AP295" s="367"/>
    </row>
    <row r="296">
      <c r="A296" s="415"/>
      <c r="B296" s="415"/>
      <c r="C296" s="415"/>
      <c r="D296" s="418"/>
      <c r="E296" s="418"/>
      <c r="F296" s="418"/>
      <c r="G296" s="367"/>
      <c r="H296" s="418"/>
      <c r="I296" s="418"/>
      <c r="J296" s="418"/>
      <c r="K296" s="418"/>
      <c r="L296" s="420"/>
      <c r="M296" s="420"/>
      <c r="N296" s="420"/>
      <c r="O296" s="420"/>
      <c r="P296" s="420"/>
      <c r="Q296" s="420"/>
      <c r="R296" s="420"/>
      <c r="S296" s="420"/>
      <c r="T296" s="420"/>
      <c r="U296" s="420"/>
      <c r="V296" s="420"/>
      <c r="W296" s="420"/>
      <c r="X296" s="420"/>
      <c r="Y296" s="420"/>
      <c r="Z296" s="367"/>
      <c r="AA296" s="420"/>
      <c r="AB296" s="420"/>
      <c r="AC296" s="420"/>
      <c r="AD296" s="420"/>
      <c r="AE296" s="420"/>
      <c r="AF296" s="367"/>
      <c r="AG296" s="420"/>
      <c r="AH296" s="367"/>
      <c r="AI296" s="367"/>
      <c r="AJ296" s="367"/>
      <c r="AK296" s="358"/>
      <c r="AL296" s="358"/>
      <c r="AM296" s="358"/>
      <c r="AN296" s="358"/>
      <c r="AO296" s="358"/>
      <c r="AP296" s="367"/>
    </row>
    <row r="297">
      <c r="A297" s="415"/>
      <c r="B297" s="415"/>
      <c r="C297" s="415"/>
      <c r="D297" s="418"/>
      <c r="E297" s="418"/>
      <c r="F297" s="418"/>
      <c r="G297" s="367"/>
      <c r="H297" s="418"/>
      <c r="I297" s="418"/>
      <c r="J297" s="418"/>
      <c r="K297" s="418"/>
      <c r="L297" s="420"/>
      <c r="M297" s="420"/>
      <c r="N297" s="420"/>
      <c r="O297" s="420"/>
      <c r="P297" s="420"/>
      <c r="Q297" s="420"/>
      <c r="R297" s="420"/>
      <c r="S297" s="420"/>
      <c r="T297" s="420"/>
      <c r="U297" s="420"/>
      <c r="V297" s="420"/>
      <c r="W297" s="420"/>
      <c r="X297" s="420"/>
      <c r="Y297" s="420"/>
      <c r="Z297" s="367"/>
      <c r="AA297" s="420"/>
      <c r="AB297" s="420"/>
      <c r="AC297" s="420"/>
      <c r="AD297" s="420"/>
      <c r="AE297" s="420"/>
      <c r="AF297" s="367"/>
      <c r="AG297" s="420"/>
      <c r="AH297" s="367"/>
      <c r="AI297" s="367"/>
      <c r="AJ297" s="367"/>
      <c r="AK297" s="358"/>
      <c r="AL297" s="358"/>
      <c r="AM297" s="358"/>
      <c r="AN297" s="358"/>
      <c r="AO297" s="358"/>
      <c r="AP297" s="367"/>
    </row>
    <row r="298">
      <c r="A298" s="415"/>
      <c r="B298" s="415"/>
      <c r="C298" s="415"/>
      <c r="D298" s="418"/>
      <c r="E298" s="418"/>
      <c r="F298" s="418"/>
      <c r="G298" s="367"/>
      <c r="H298" s="418"/>
      <c r="I298" s="418"/>
      <c r="J298" s="418"/>
      <c r="K298" s="418"/>
      <c r="L298" s="420"/>
      <c r="M298" s="420"/>
      <c r="N298" s="420"/>
      <c r="O298" s="420"/>
      <c r="P298" s="420"/>
      <c r="Q298" s="420"/>
      <c r="R298" s="420"/>
      <c r="S298" s="420"/>
      <c r="T298" s="420"/>
      <c r="U298" s="420"/>
      <c r="V298" s="420"/>
      <c r="W298" s="420"/>
      <c r="X298" s="420"/>
      <c r="Y298" s="420"/>
      <c r="Z298" s="367"/>
      <c r="AA298" s="420"/>
      <c r="AB298" s="420"/>
      <c r="AC298" s="420"/>
      <c r="AD298" s="420"/>
      <c r="AE298" s="420"/>
      <c r="AF298" s="367"/>
      <c r="AG298" s="420"/>
      <c r="AH298" s="367"/>
      <c r="AI298" s="367"/>
      <c r="AJ298" s="367"/>
      <c r="AK298" s="358"/>
      <c r="AL298" s="358"/>
      <c r="AM298" s="358"/>
      <c r="AN298" s="358"/>
      <c r="AO298" s="358"/>
      <c r="AP298" s="367"/>
    </row>
    <row r="299">
      <c r="A299" s="415"/>
      <c r="B299" s="415"/>
      <c r="C299" s="415"/>
      <c r="D299" s="418"/>
      <c r="E299" s="418"/>
      <c r="F299" s="418"/>
      <c r="G299" s="367"/>
      <c r="H299" s="418"/>
      <c r="I299" s="418"/>
      <c r="J299" s="418"/>
      <c r="K299" s="418"/>
      <c r="L299" s="420"/>
      <c r="M299" s="420"/>
      <c r="N299" s="420"/>
      <c r="O299" s="420"/>
      <c r="P299" s="420"/>
      <c r="Q299" s="420"/>
      <c r="R299" s="420"/>
      <c r="S299" s="420"/>
      <c r="T299" s="420"/>
      <c r="U299" s="420"/>
      <c r="V299" s="420"/>
      <c r="W299" s="420"/>
      <c r="X299" s="420"/>
      <c r="Y299" s="420"/>
      <c r="Z299" s="367"/>
      <c r="AA299" s="420"/>
      <c r="AB299" s="420"/>
      <c r="AC299" s="420"/>
      <c r="AD299" s="420"/>
      <c r="AE299" s="420"/>
      <c r="AF299" s="367"/>
      <c r="AG299" s="420"/>
      <c r="AH299" s="367"/>
      <c r="AI299" s="367"/>
      <c r="AJ299" s="367"/>
      <c r="AK299" s="358"/>
      <c r="AL299" s="358"/>
      <c r="AM299" s="358"/>
      <c r="AN299" s="358"/>
      <c r="AO299" s="358"/>
      <c r="AP299" s="367"/>
    </row>
    <row r="300">
      <c r="A300" s="415"/>
      <c r="B300" s="415"/>
      <c r="C300" s="415"/>
      <c r="D300" s="418"/>
      <c r="E300" s="418"/>
      <c r="F300" s="418"/>
      <c r="G300" s="367"/>
      <c r="H300" s="418"/>
      <c r="I300" s="418"/>
      <c r="J300" s="418"/>
      <c r="K300" s="418"/>
      <c r="L300" s="420"/>
      <c r="M300" s="420"/>
      <c r="N300" s="420"/>
      <c r="O300" s="420"/>
      <c r="P300" s="420"/>
      <c r="Q300" s="420"/>
      <c r="R300" s="420"/>
      <c r="S300" s="420"/>
      <c r="T300" s="420"/>
      <c r="U300" s="420"/>
      <c r="V300" s="420"/>
      <c r="W300" s="420"/>
      <c r="X300" s="420"/>
      <c r="Y300" s="420"/>
      <c r="Z300" s="367"/>
      <c r="AA300" s="420"/>
      <c r="AB300" s="420"/>
      <c r="AC300" s="420"/>
      <c r="AD300" s="420"/>
      <c r="AE300" s="420"/>
      <c r="AF300" s="367"/>
      <c r="AG300" s="420"/>
      <c r="AH300" s="367"/>
      <c r="AI300" s="367"/>
      <c r="AJ300" s="367"/>
      <c r="AK300" s="358"/>
      <c r="AL300" s="358"/>
      <c r="AM300" s="358"/>
      <c r="AN300" s="358"/>
      <c r="AO300" s="358"/>
      <c r="AP300" s="367"/>
    </row>
    <row r="301">
      <c r="A301" s="415"/>
      <c r="B301" s="415"/>
      <c r="C301" s="415"/>
      <c r="D301" s="418"/>
      <c r="E301" s="418"/>
      <c r="F301" s="418"/>
      <c r="G301" s="367"/>
      <c r="H301" s="418"/>
      <c r="I301" s="418"/>
      <c r="J301" s="418"/>
      <c r="K301" s="418"/>
      <c r="L301" s="420"/>
      <c r="M301" s="420"/>
      <c r="N301" s="420"/>
      <c r="O301" s="420"/>
      <c r="P301" s="420"/>
      <c r="Q301" s="420"/>
      <c r="R301" s="420"/>
      <c r="S301" s="420"/>
      <c r="T301" s="420"/>
      <c r="U301" s="420"/>
      <c r="V301" s="420"/>
      <c r="W301" s="420"/>
      <c r="X301" s="420"/>
      <c r="Y301" s="420"/>
      <c r="Z301" s="367"/>
      <c r="AA301" s="420"/>
      <c r="AB301" s="420"/>
      <c r="AC301" s="420"/>
      <c r="AD301" s="420"/>
      <c r="AE301" s="420"/>
      <c r="AF301" s="367"/>
      <c r="AG301" s="420"/>
      <c r="AH301" s="367"/>
      <c r="AI301" s="367"/>
      <c r="AJ301" s="367"/>
      <c r="AK301" s="358"/>
      <c r="AL301" s="358"/>
      <c r="AM301" s="358"/>
      <c r="AN301" s="358"/>
      <c r="AO301" s="358"/>
      <c r="AP301" s="367"/>
    </row>
    <row r="302">
      <c r="A302" s="415"/>
      <c r="B302" s="415"/>
      <c r="C302" s="415"/>
      <c r="D302" s="418"/>
      <c r="E302" s="418"/>
      <c r="F302" s="418"/>
      <c r="G302" s="367"/>
      <c r="H302" s="418"/>
      <c r="I302" s="418"/>
      <c r="J302" s="418"/>
      <c r="K302" s="418"/>
      <c r="L302" s="420"/>
      <c r="M302" s="420"/>
      <c r="N302" s="420"/>
      <c r="O302" s="420"/>
      <c r="P302" s="420"/>
      <c r="Q302" s="420"/>
      <c r="R302" s="420"/>
      <c r="S302" s="420"/>
      <c r="T302" s="420"/>
      <c r="U302" s="420"/>
      <c r="V302" s="420"/>
      <c r="W302" s="420"/>
      <c r="X302" s="420"/>
      <c r="Y302" s="420"/>
      <c r="Z302" s="367"/>
      <c r="AA302" s="420"/>
      <c r="AB302" s="420"/>
      <c r="AC302" s="420"/>
      <c r="AD302" s="420"/>
      <c r="AE302" s="420"/>
      <c r="AF302" s="367"/>
      <c r="AG302" s="420"/>
      <c r="AH302" s="367"/>
      <c r="AI302" s="367"/>
      <c r="AJ302" s="367"/>
      <c r="AK302" s="358"/>
      <c r="AL302" s="358"/>
      <c r="AM302" s="358"/>
      <c r="AN302" s="358"/>
      <c r="AO302" s="358"/>
      <c r="AP302" s="367"/>
    </row>
    <row r="303">
      <c r="A303" s="415"/>
      <c r="B303" s="415"/>
      <c r="C303" s="415"/>
      <c r="D303" s="418"/>
      <c r="E303" s="418"/>
      <c r="F303" s="418"/>
      <c r="G303" s="367"/>
      <c r="H303" s="418"/>
      <c r="I303" s="418"/>
      <c r="J303" s="418"/>
      <c r="K303" s="418"/>
      <c r="L303" s="420"/>
      <c r="M303" s="420"/>
      <c r="N303" s="420"/>
      <c r="O303" s="420"/>
      <c r="P303" s="420"/>
      <c r="Q303" s="420"/>
      <c r="R303" s="420"/>
      <c r="S303" s="420"/>
      <c r="T303" s="420"/>
      <c r="U303" s="420"/>
      <c r="V303" s="420"/>
      <c r="W303" s="420"/>
      <c r="X303" s="420"/>
      <c r="Y303" s="420"/>
      <c r="Z303" s="367"/>
      <c r="AA303" s="420"/>
      <c r="AB303" s="420"/>
      <c r="AC303" s="420"/>
      <c r="AD303" s="420"/>
      <c r="AE303" s="420"/>
      <c r="AF303" s="367"/>
      <c r="AG303" s="420"/>
      <c r="AH303" s="367"/>
      <c r="AI303" s="367"/>
      <c r="AJ303" s="367"/>
      <c r="AK303" s="358"/>
      <c r="AL303" s="358"/>
      <c r="AM303" s="358"/>
      <c r="AN303" s="358"/>
      <c r="AO303" s="358"/>
      <c r="AP303" s="367"/>
    </row>
    <row r="304">
      <c r="A304" s="415"/>
      <c r="B304" s="415"/>
      <c r="C304" s="415"/>
      <c r="D304" s="418"/>
      <c r="E304" s="418"/>
      <c r="F304" s="418"/>
      <c r="G304" s="367"/>
      <c r="H304" s="418"/>
      <c r="I304" s="418"/>
      <c r="J304" s="418"/>
      <c r="K304" s="418"/>
      <c r="L304" s="420"/>
      <c r="M304" s="420"/>
      <c r="N304" s="420"/>
      <c r="O304" s="420"/>
      <c r="P304" s="420"/>
      <c r="Q304" s="420"/>
      <c r="R304" s="420"/>
      <c r="S304" s="420"/>
      <c r="T304" s="420"/>
      <c r="U304" s="420"/>
      <c r="V304" s="420"/>
      <c r="W304" s="420"/>
      <c r="X304" s="420"/>
      <c r="Y304" s="420"/>
      <c r="Z304" s="367"/>
      <c r="AA304" s="420"/>
      <c r="AB304" s="420"/>
      <c r="AC304" s="420"/>
      <c r="AD304" s="420"/>
      <c r="AE304" s="420"/>
      <c r="AF304" s="367"/>
      <c r="AG304" s="420"/>
      <c r="AH304" s="367"/>
      <c r="AI304" s="367"/>
      <c r="AJ304" s="367"/>
      <c r="AK304" s="358"/>
      <c r="AL304" s="358"/>
      <c r="AM304" s="358"/>
      <c r="AN304" s="358"/>
      <c r="AO304" s="358"/>
      <c r="AP304" s="367"/>
    </row>
    <row r="305">
      <c r="A305" s="415"/>
      <c r="B305" s="415"/>
      <c r="C305" s="415"/>
      <c r="D305" s="418"/>
      <c r="E305" s="418"/>
      <c r="F305" s="418"/>
      <c r="G305" s="367"/>
      <c r="H305" s="418"/>
      <c r="I305" s="418"/>
      <c r="J305" s="418"/>
      <c r="K305" s="418"/>
      <c r="L305" s="420"/>
      <c r="M305" s="420"/>
      <c r="N305" s="420"/>
      <c r="O305" s="420"/>
      <c r="P305" s="420"/>
      <c r="Q305" s="420"/>
      <c r="R305" s="420"/>
      <c r="S305" s="420"/>
      <c r="T305" s="420"/>
      <c r="U305" s="420"/>
      <c r="V305" s="420"/>
      <c r="W305" s="420"/>
      <c r="X305" s="420"/>
      <c r="Y305" s="420"/>
      <c r="Z305" s="367"/>
      <c r="AA305" s="420"/>
      <c r="AB305" s="420"/>
      <c r="AC305" s="420"/>
      <c r="AD305" s="420"/>
      <c r="AE305" s="420"/>
      <c r="AF305" s="367"/>
      <c r="AG305" s="420"/>
      <c r="AH305" s="367"/>
      <c r="AI305" s="367"/>
      <c r="AJ305" s="367"/>
      <c r="AK305" s="358"/>
      <c r="AL305" s="358"/>
      <c r="AM305" s="358"/>
      <c r="AN305" s="358"/>
      <c r="AO305" s="358"/>
      <c r="AP305" s="367"/>
    </row>
    <row r="306">
      <c r="A306" s="415"/>
      <c r="B306" s="415"/>
      <c r="C306" s="415"/>
      <c r="D306" s="418"/>
      <c r="E306" s="418"/>
      <c r="F306" s="418"/>
      <c r="G306" s="367"/>
      <c r="H306" s="418"/>
      <c r="I306" s="418"/>
      <c r="J306" s="418"/>
      <c r="K306" s="418"/>
      <c r="L306" s="420"/>
      <c r="M306" s="420"/>
      <c r="N306" s="420"/>
      <c r="O306" s="420"/>
      <c r="P306" s="420"/>
      <c r="Q306" s="420"/>
      <c r="R306" s="420"/>
      <c r="S306" s="420"/>
      <c r="T306" s="420"/>
      <c r="U306" s="420"/>
      <c r="V306" s="420"/>
      <c r="W306" s="420"/>
      <c r="X306" s="420"/>
      <c r="Y306" s="420"/>
      <c r="Z306" s="367"/>
      <c r="AA306" s="420"/>
      <c r="AB306" s="420"/>
      <c r="AC306" s="420"/>
      <c r="AD306" s="420"/>
      <c r="AE306" s="420"/>
      <c r="AF306" s="367"/>
      <c r="AG306" s="420"/>
      <c r="AH306" s="367"/>
      <c r="AI306" s="367"/>
      <c r="AJ306" s="367"/>
      <c r="AK306" s="358"/>
      <c r="AL306" s="358"/>
      <c r="AM306" s="358"/>
      <c r="AN306" s="358"/>
      <c r="AO306" s="358"/>
      <c r="AP306" s="367"/>
    </row>
    <row r="307">
      <c r="A307" s="415"/>
      <c r="B307" s="415"/>
      <c r="C307" s="415"/>
      <c r="D307" s="418"/>
      <c r="E307" s="418"/>
      <c r="F307" s="418"/>
      <c r="G307" s="367"/>
      <c r="H307" s="418"/>
      <c r="I307" s="418"/>
      <c r="J307" s="418"/>
      <c r="K307" s="418"/>
      <c r="L307" s="420"/>
      <c r="M307" s="420"/>
      <c r="N307" s="420"/>
      <c r="O307" s="420"/>
      <c r="P307" s="420"/>
      <c r="Q307" s="420"/>
      <c r="R307" s="420"/>
      <c r="S307" s="420"/>
      <c r="T307" s="420"/>
      <c r="U307" s="420"/>
      <c r="V307" s="420"/>
      <c r="W307" s="420"/>
      <c r="X307" s="420"/>
      <c r="Y307" s="420"/>
      <c r="Z307" s="367"/>
      <c r="AA307" s="420"/>
      <c r="AB307" s="420"/>
      <c r="AC307" s="420"/>
      <c r="AD307" s="420"/>
      <c r="AE307" s="420"/>
      <c r="AF307" s="367"/>
      <c r="AG307" s="420"/>
      <c r="AH307" s="367"/>
      <c r="AI307" s="367"/>
      <c r="AJ307" s="367"/>
      <c r="AK307" s="358"/>
      <c r="AL307" s="358"/>
      <c r="AM307" s="358"/>
      <c r="AN307" s="358"/>
      <c r="AO307" s="358"/>
      <c r="AP307" s="367"/>
    </row>
    <row r="308">
      <c r="A308" s="415"/>
      <c r="B308" s="415"/>
      <c r="C308" s="415"/>
      <c r="D308" s="418"/>
      <c r="E308" s="418"/>
      <c r="F308" s="418"/>
      <c r="G308" s="367"/>
      <c r="H308" s="418"/>
      <c r="I308" s="418"/>
      <c r="J308" s="418"/>
      <c r="K308" s="418"/>
      <c r="L308" s="420"/>
      <c r="M308" s="420"/>
      <c r="N308" s="420"/>
      <c r="O308" s="420"/>
      <c r="P308" s="420"/>
      <c r="Q308" s="420"/>
      <c r="R308" s="420"/>
      <c r="S308" s="420"/>
      <c r="T308" s="420"/>
      <c r="U308" s="420"/>
      <c r="V308" s="420"/>
      <c r="W308" s="420"/>
      <c r="X308" s="420"/>
      <c r="Y308" s="420"/>
      <c r="Z308" s="367"/>
      <c r="AA308" s="420"/>
      <c r="AB308" s="420"/>
      <c r="AC308" s="420"/>
      <c r="AD308" s="420"/>
      <c r="AE308" s="420"/>
      <c r="AF308" s="367"/>
      <c r="AG308" s="420"/>
      <c r="AH308" s="367"/>
      <c r="AI308" s="367"/>
      <c r="AJ308" s="367"/>
      <c r="AK308" s="358"/>
      <c r="AL308" s="358"/>
      <c r="AM308" s="358"/>
      <c r="AN308" s="358"/>
      <c r="AO308" s="358"/>
      <c r="AP308" s="367"/>
    </row>
    <row r="309">
      <c r="A309" s="415"/>
      <c r="B309" s="415"/>
      <c r="C309" s="415"/>
      <c r="D309" s="418"/>
      <c r="E309" s="418"/>
      <c r="F309" s="418"/>
      <c r="G309" s="367"/>
      <c r="H309" s="418"/>
      <c r="I309" s="418"/>
      <c r="J309" s="418"/>
      <c r="K309" s="418"/>
      <c r="L309" s="420"/>
      <c r="M309" s="420"/>
      <c r="N309" s="420"/>
      <c r="O309" s="420"/>
      <c r="P309" s="420"/>
      <c r="Q309" s="420"/>
      <c r="R309" s="420"/>
      <c r="S309" s="420"/>
      <c r="T309" s="420"/>
      <c r="U309" s="420"/>
      <c r="V309" s="420"/>
      <c r="W309" s="420"/>
      <c r="X309" s="420"/>
      <c r="Y309" s="420"/>
      <c r="Z309" s="367"/>
      <c r="AA309" s="420"/>
      <c r="AB309" s="420"/>
      <c r="AC309" s="420"/>
      <c r="AD309" s="420"/>
      <c r="AE309" s="420"/>
      <c r="AF309" s="367"/>
      <c r="AG309" s="420"/>
      <c r="AH309" s="367"/>
      <c r="AI309" s="367"/>
      <c r="AJ309" s="367"/>
      <c r="AK309" s="358"/>
      <c r="AL309" s="358"/>
      <c r="AM309" s="358"/>
      <c r="AN309" s="358"/>
      <c r="AO309" s="358"/>
      <c r="AP309" s="367"/>
    </row>
    <row r="310">
      <c r="A310" s="415"/>
      <c r="B310" s="415"/>
      <c r="C310" s="415"/>
      <c r="D310" s="418"/>
      <c r="E310" s="418"/>
      <c r="F310" s="418"/>
      <c r="G310" s="367"/>
      <c r="H310" s="418"/>
      <c r="I310" s="418"/>
      <c r="J310" s="418"/>
      <c r="K310" s="418"/>
      <c r="L310" s="420"/>
      <c r="M310" s="420"/>
      <c r="N310" s="420"/>
      <c r="O310" s="420"/>
      <c r="P310" s="420"/>
      <c r="Q310" s="420"/>
      <c r="R310" s="420"/>
      <c r="S310" s="420"/>
      <c r="T310" s="420"/>
      <c r="U310" s="420"/>
      <c r="V310" s="420"/>
      <c r="W310" s="420"/>
      <c r="X310" s="420"/>
      <c r="Y310" s="420"/>
      <c r="Z310" s="367"/>
      <c r="AA310" s="420"/>
      <c r="AB310" s="420"/>
      <c r="AC310" s="420"/>
      <c r="AD310" s="420"/>
      <c r="AE310" s="420"/>
      <c r="AF310" s="367"/>
      <c r="AG310" s="420"/>
      <c r="AH310" s="367"/>
      <c r="AI310" s="367"/>
      <c r="AJ310" s="367"/>
      <c r="AK310" s="358"/>
      <c r="AL310" s="358"/>
      <c r="AM310" s="358"/>
      <c r="AN310" s="358"/>
      <c r="AO310" s="358"/>
      <c r="AP310" s="367"/>
    </row>
    <row r="311">
      <c r="A311" s="415"/>
      <c r="B311" s="415"/>
      <c r="C311" s="415"/>
      <c r="D311" s="418"/>
      <c r="E311" s="418"/>
      <c r="F311" s="418"/>
      <c r="G311" s="367"/>
      <c r="H311" s="418"/>
      <c r="I311" s="418"/>
      <c r="J311" s="418"/>
      <c r="K311" s="418"/>
      <c r="L311" s="420"/>
      <c r="M311" s="420"/>
      <c r="N311" s="420"/>
      <c r="O311" s="420"/>
      <c r="P311" s="420"/>
      <c r="Q311" s="420"/>
      <c r="R311" s="420"/>
      <c r="S311" s="420"/>
      <c r="T311" s="420"/>
      <c r="U311" s="420"/>
      <c r="V311" s="420"/>
      <c r="W311" s="420"/>
      <c r="X311" s="420"/>
      <c r="Y311" s="420"/>
      <c r="Z311" s="367"/>
      <c r="AA311" s="420"/>
      <c r="AB311" s="420"/>
      <c r="AC311" s="420"/>
      <c r="AD311" s="420"/>
      <c r="AE311" s="420"/>
      <c r="AF311" s="367"/>
      <c r="AG311" s="420"/>
      <c r="AH311" s="367"/>
      <c r="AI311" s="367"/>
      <c r="AJ311" s="367"/>
      <c r="AK311" s="358"/>
      <c r="AL311" s="358"/>
      <c r="AM311" s="358"/>
      <c r="AN311" s="358"/>
      <c r="AO311" s="358"/>
      <c r="AP311" s="367"/>
    </row>
    <row r="312">
      <c r="A312" s="415"/>
      <c r="B312" s="415"/>
      <c r="C312" s="415"/>
      <c r="D312" s="418"/>
      <c r="E312" s="418"/>
      <c r="F312" s="418"/>
      <c r="G312" s="367"/>
      <c r="H312" s="418"/>
      <c r="I312" s="418"/>
      <c r="J312" s="418"/>
      <c r="K312" s="418"/>
      <c r="L312" s="420"/>
      <c r="M312" s="420"/>
      <c r="N312" s="420"/>
      <c r="O312" s="420"/>
      <c r="P312" s="420"/>
      <c r="Q312" s="420"/>
      <c r="R312" s="420"/>
      <c r="S312" s="420"/>
      <c r="T312" s="420"/>
      <c r="U312" s="420"/>
      <c r="V312" s="420"/>
      <c r="W312" s="420"/>
      <c r="X312" s="420"/>
      <c r="Y312" s="420"/>
      <c r="Z312" s="367"/>
      <c r="AA312" s="420"/>
      <c r="AB312" s="420"/>
      <c r="AC312" s="420"/>
      <c r="AD312" s="420"/>
      <c r="AE312" s="420"/>
      <c r="AF312" s="367"/>
      <c r="AG312" s="420"/>
      <c r="AH312" s="367"/>
      <c r="AI312" s="367"/>
      <c r="AJ312" s="367"/>
      <c r="AK312" s="358"/>
      <c r="AL312" s="358"/>
      <c r="AM312" s="358"/>
      <c r="AN312" s="358"/>
      <c r="AO312" s="358"/>
      <c r="AP312" s="367"/>
    </row>
    <row r="313">
      <c r="A313" s="415"/>
      <c r="B313" s="415"/>
      <c r="C313" s="415"/>
      <c r="D313" s="418"/>
      <c r="E313" s="418"/>
      <c r="F313" s="418"/>
      <c r="G313" s="367"/>
      <c r="H313" s="418"/>
      <c r="I313" s="418"/>
      <c r="J313" s="418"/>
      <c r="K313" s="418"/>
      <c r="L313" s="420"/>
      <c r="M313" s="420"/>
      <c r="N313" s="420"/>
      <c r="O313" s="420"/>
      <c r="P313" s="420"/>
      <c r="Q313" s="420"/>
      <c r="R313" s="420"/>
      <c r="S313" s="420"/>
      <c r="T313" s="420"/>
      <c r="U313" s="420"/>
      <c r="V313" s="420"/>
      <c r="W313" s="420"/>
      <c r="X313" s="420"/>
      <c r="Y313" s="420"/>
      <c r="Z313" s="367"/>
      <c r="AA313" s="420"/>
      <c r="AB313" s="420"/>
      <c r="AC313" s="420"/>
      <c r="AD313" s="420"/>
      <c r="AE313" s="420"/>
      <c r="AF313" s="367"/>
      <c r="AG313" s="420"/>
      <c r="AH313" s="367"/>
      <c r="AI313" s="367"/>
      <c r="AJ313" s="367"/>
      <c r="AK313" s="358"/>
      <c r="AL313" s="358"/>
      <c r="AM313" s="358"/>
      <c r="AN313" s="358"/>
      <c r="AO313" s="358"/>
      <c r="AP313" s="367"/>
    </row>
    <row r="314">
      <c r="A314" s="415"/>
      <c r="B314" s="415"/>
      <c r="C314" s="415"/>
      <c r="D314" s="418"/>
      <c r="E314" s="418"/>
      <c r="F314" s="418"/>
      <c r="G314" s="367"/>
      <c r="H314" s="418"/>
      <c r="I314" s="418"/>
      <c r="J314" s="418"/>
      <c r="K314" s="418"/>
      <c r="L314" s="420"/>
      <c r="M314" s="420"/>
      <c r="N314" s="420"/>
      <c r="O314" s="420"/>
      <c r="P314" s="420"/>
      <c r="Q314" s="420"/>
      <c r="R314" s="420"/>
      <c r="S314" s="420"/>
      <c r="T314" s="420"/>
      <c r="U314" s="420"/>
      <c r="V314" s="420"/>
      <c r="W314" s="420"/>
      <c r="X314" s="420"/>
      <c r="Y314" s="420"/>
      <c r="Z314" s="367"/>
      <c r="AA314" s="420"/>
      <c r="AB314" s="420"/>
      <c r="AC314" s="420"/>
      <c r="AD314" s="420"/>
      <c r="AE314" s="420"/>
      <c r="AF314" s="367"/>
      <c r="AG314" s="420"/>
      <c r="AH314" s="367"/>
      <c r="AI314" s="367"/>
      <c r="AJ314" s="367"/>
      <c r="AK314" s="358"/>
      <c r="AL314" s="358"/>
      <c r="AM314" s="358"/>
      <c r="AN314" s="358"/>
      <c r="AO314" s="358"/>
      <c r="AP314" s="367"/>
    </row>
    <row r="315">
      <c r="A315" s="415"/>
      <c r="B315" s="415"/>
      <c r="C315" s="415"/>
      <c r="D315" s="418"/>
      <c r="E315" s="418"/>
      <c r="F315" s="418"/>
      <c r="G315" s="367"/>
      <c r="H315" s="418"/>
      <c r="I315" s="418"/>
      <c r="J315" s="418"/>
      <c r="K315" s="418"/>
      <c r="L315" s="420"/>
      <c r="M315" s="420"/>
      <c r="N315" s="420"/>
      <c r="O315" s="420"/>
      <c r="P315" s="420"/>
      <c r="Q315" s="420"/>
      <c r="R315" s="420"/>
      <c r="S315" s="420"/>
      <c r="T315" s="420"/>
      <c r="U315" s="420"/>
      <c r="V315" s="420"/>
      <c r="W315" s="420"/>
      <c r="X315" s="420"/>
      <c r="Y315" s="420"/>
      <c r="Z315" s="367"/>
      <c r="AA315" s="420"/>
      <c r="AB315" s="420"/>
      <c r="AC315" s="420"/>
      <c r="AD315" s="420"/>
      <c r="AE315" s="420"/>
      <c r="AF315" s="367"/>
      <c r="AG315" s="420"/>
      <c r="AH315" s="367"/>
      <c r="AI315" s="367"/>
      <c r="AJ315" s="367"/>
      <c r="AK315" s="358"/>
      <c r="AL315" s="358"/>
      <c r="AM315" s="358"/>
      <c r="AN315" s="358"/>
      <c r="AO315" s="358"/>
      <c r="AP315" s="367"/>
    </row>
    <row r="316">
      <c r="A316" s="415"/>
      <c r="B316" s="415"/>
      <c r="C316" s="415"/>
      <c r="D316" s="418"/>
      <c r="E316" s="418"/>
      <c r="F316" s="418"/>
      <c r="G316" s="367"/>
      <c r="H316" s="418"/>
      <c r="I316" s="418"/>
      <c r="J316" s="418"/>
      <c r="K316" s="418"/>
      <c r="L316" s="420"/>
      <c r="M316" s="420"/>
      <c r="N316" s="420"/>
      <c r="O316" s="420"/>
      <c r="P316" s="420"/>
      <c r="Q316" s="420"/>
      <c r="R316" s="420"/>
      <c r="S316" s="420"/>
      <c r="T316" s="420"/>
      <c r="U316" s="420"/>
      <c r="V316" s="420"/>
      <c r="W316" s="420"/>
      <c r="X316" s="420"/>
      <c r="Y316" s="420"/>
      <c r="Z316" s="367"/>
      <c r="AA316" s="420"/>
      <c r="AB316" s="420"/>
      <c r="AC316" s="420"/>
      <c r="AD316" s="420"/>
      <c r="AE316" s="420"/>
      <c r="AF316" s="367"/>
      <c r="AG316" s="420"/>
      <c r="AH316" s="367"/>
      <c r="AI316" s="367"/>
      <c r="AJ316" s="367"/>
      <c r="AK316" s="358"/>
      <c r="AL316" s="358"/>
      <c r="AM316" s="358"/>
      <c r="AN316" s="358"/>
      <c r="AO316" s="358"/>
      <c r="AP316" s="367"/>
    </row>
    <row r="317">
      <c r="A317" s="415"/>
      <c r="B317" s="415"/>
      <c r="C317" s="415"/>
      <c r="D317" s="418"/>
      <c r="E317" s="418"/>
      <c r="F317" s="418"/>
      <c r="G317" s="367"/>
      <c r="H317" s="418"/>
      <c r="I317" s="418"/>
      <c r="J317" s="418"/>
      <c r="K317" s="418"/>
      <c r="L317" s="420"/>
      <c r="M317" s="420"/>
      <c r="N317" s="420"/>
      <c r="O317" s="420"/>
      <c r="P317" s="420"/>
      <c r="Q317" s="420"/>
      <c r="R317" s="420"/>
      <c r="S317" s="420"/>
      <c r="T317" s="420"/>
      <c r="U317" s="420"/>
      <c r="V317" s="420"/>
      <c r="W317" s="420"/>
      <c r="X317" s="420"/>
      <c r="Y317" s="420"/>
      <c r="Z317" s="367"/>
      <c r="AA317" s="420"/>
      <c r="AB317" s="420"/>
      <c r="AC317" s="420"/>
      <c r="AD317" s="420"/>
      <c r="AE317" s="420"/>
      <c r="AF317" s="367"/>
      <c r="AG317" s="420"/>
      <c r="AH317" s="367"/>
      <c r="AI317" s="367"/>
      <c r="AJ317" s="367"/>
      <c r="AK317" s="358"/>
      <c r="AL317" s="358"/>
      <c r="AM317" s="358"/>
      <c r="AN317" s="358"/>
      <c r="AO317" s="358"/>
      <c r="AP317" s="367"/>
    </row>
    <row r="318">
      <c r="A318" s="415"/>
      <c r="B318" s="415"/>
      <c r="C318" s="415"/>
      <c r="D318" s="418"/>
      <c r="E318" s="418"/>
      <c r="F318" s="418"/>
      <c r="G318" s="367"/>
      <c r="H318" s="418"/>
      <c r="I318" s="418"/>
      <c r="J318" s="418"/>
      <c r="K318" s="418"/>
      <c r="L318" s="420"/>
      <c r="M318" s="420"/>
      <c r="N318" s="420"/>
      <c r="O318" s="420"/>
      <c r="P318" s="420"/>
      <c r="Q318" s="420"/>
      <c r="R318" s="420"/>
      <c r="S318" s="420"/>
      <c r="T318" s="420"/>
      <c r="U318" s="420"/>
      <c r="V318" s="420"/>
      <c r="W318" s="420"/>
      <c r="X318" s="420"/>
      <c r="Y318" s="420"/>
      <c r="Z318" s="367"/>
      <c r="AA318" s="420"/>
      <c r="AB318" s="420"/>
      <c r="AC318" s="420"/>
      <c r="AD318" s="420"/>
      <c r="AE318" s="420"/>
      <c r="AF318" s="367"/>
      <c r="AG318" s="420"/>
      <c r="AH318" s="367"/>
      <c r="AI318" s="367"/>
      <c r="AJ318" s="367"/>
      <c r="AK318" s="358"/>
      <c r="AL318" s="358"/>
      <c r="AM318" s="358"/>
      <c r="AN318" s="358"/>
      <c r="AO318" s="358"/>
      <c r="AP318" s="367"/>
    </row>
    <row r="319">
      <c r="A319" s="415"/>
      <c r="B319" s="415"/>
      <c r="C319" s="415"/>
      <c r="D319" s="418"/>
      <c r="E319" s="418"/>
      <c r="F319" s="418"/>
      <c r="G319" s="367"/>
      <c r="H319" s="418"/>
      <c r="I319" s="418"/>
      <c r="J319" s="418"/>
      <c r="K319" s="418"/>
      <c r="L319" s="420"/>
      <c r="M319" s="420"/>
      <c r="N319" s="420"/>
      <c r="O319" s="420"/>
      <c r="P319" s="420"/>
      <c r="Q319" s="420"/>
      <c r="R319" s="420"/>
      <c r="S319" s="420"/>
      <c r="T319" s="420"/>
      <c r="U319" s="420"/>
      <c r="V319" s="420"/>
      <c r="W319" s="420"/>
      <c r="X319" s="420"/>
      <c r="Y319" s="420"/>
      <c r="Z319" s="367"/>
      <c r="AA319" s="420"/>
      <c r="AB319" s="420"/>
      <c r="AC319" s="420"/>
      <c r="AD319" s="420"/>
      <c r="AE319" s="420"/>
      <c r="AF319" s="367"/>
      <c r="AG319" s="420"/>
      <c r="AH319" s="367"/>
      <c r="AI319" s="367"/>
      <c r="AJ319" s="367"/>
      <c r="AK319" s="358"/>
      <c r="AL319" s="358"/>
      <c r="AM319" s="358"/>
      <c r="AN319" s="358"/>
      <c r="AO319" s="358"/>
      <c r="AP319" s="367"/>
    </row>
    <row r="320">
      <c r="A320" s="415"/>
      <c r="B320" s="415"/>
      <c r="C320" s="415"/>
      <c r="D320" s="418"/>
      <c r="E320" s="418"/>
      <c r="F320" s="418"/>
      <c r="G320" s="367"/>
      <c r="H320" s="418"/>
      <c r="I320" s="418"/>
      <c r="J320" s="418"/>
      <c r="K320" s="418"/>
      <c r="L320" s="420"/>
      <c r="M320" s="420"/>
      <c r="N320" s="420"/>
      <c r="O320" s="420"/>
      <c r="P320" s="420"/>
      <c r="Q320" s="420"/>
      <c r="R320" s="420"/>
      <c r="S320" s="420"/>
      <c r="T320" s="420"/>
      <c r="U320" s="420"/>
      <c r="V320" s="420"/>
      <c r="W320" s="420"/>
      <c r="X320" s="420"/>
      <c r="Y320" s="420"/>
      <c r="Z320" s="367"/>
      <c r="AA320" s="420"/>
      <c r="AB320" s="420"/>
      <c r="AC320" s="420"/>
      <c r="AD320" s="420"/>
      <c r="AE320" s="420"/>
      <c r="AF320" s="367"/>
      <c r="AG320" s="420"/>
      <c r="AH320" s="367"/>
      <c r="AI320" s="367"/>
      <c r="AJ320" s="367"/>
      <c r="AK320" s="358"/>
      <c r="AL320" s="358"/>
      <c r="AM320" s="358"/>
      <c r="AN320" s="358"/>
      <c r="AO320" s="358"/>
      <c r="AP320" s="367"/>
    </row>
    <row r="321">
      <c r="A321" s="415"/>
      <c r="B321" s="415"/>
      <c r="C321" s="415"/>
      <c r="D321" s="418"/>
      <c r="E321" s="418"/>
      <c r="F321" s="418"/>
      <c r="G321" s="367"/>
      <c r="H321" s="418"/>
      <c r="I321" s="418"/>
      <c r="J321" s="418"/>
      <c r="K321" s="418"/>
      <c r="L321" s="420"/>
      <c r="M321" s="420"/>
      <c r="N321" s="420"/>
      <c r="O321" s="420"/>
      <c r="P321" s="420"/>
      <c r="Q321" s="420"/>
      <c r="R321" s="420"/>
      <c r="S321" s="420"/>
      <c r="T321" s="420"/>
      <c r="U321" s="420"/>
      <c r="V321" s="420"/>
      <c r="W321" s="420"/>
      <c r="X321" s="420"/>
      <c r="Y321" s="420"/>
      <c r="Z321" s="367"/>
      <c r="AA321" s="420"/>
      <c r="AB321" s="420"/>
      <c r="AC321" s="420"/>
      <c r="AD321" s="420"/>
      <c r="AE321" s="420"/>
      <c r="AF321" s="367"/>
      <c r="AG321" s="420"/>
      <c r="AH321" s="367"/>
      <c r="AI321" s="367"/>
      <c r="AJ321" s="367"/>
      <c r="AK321" s="358"/>
      <c r="AL321" s="358"/>
      <c r="AM321" s="358"/>
      <c r="AN321" s="358"/>
      <c r="AO321" s="358"/>
      <c r="AP321" s="367"/>
    </row>
    <row r="322">
      <c r="A322" s="415"/>
      <c r="B322" s="415"/>
      <c r="C322" s="415"/>
      <c r="D322" s="418"/>
      <c r="E322" s="418"/>
      <c r="F322" s="418"/>
      <c r="G322" s="367"/>
      <c r="H322" s="418"/>
      <c r="I322" s="418"/>
      <c r="J322" s="418"/>
      <c r="K322" s="418"/>
      <c r="L322" s="420"/>
      <c r="M322" s="420"/>
      <c r="N322" s="420"/>
      <c r="O322" s="420"/>
      <c r="P322" s="420"/>
      <c r="Q322" s="420"/>
      <c r="R322" s="420"/>
      <c r="S322" s="420"/>
      <c r="T322" s="420"/>
      <c r="U322" s="420"/>
      <c r="V322" s="420"/>
      <c r="W322" s="420"/>
      <c r="X322" s="420"/>
      <c r="Y322" s="420"/>
      <c r="Z322" s="367"/>
      <c r="AA322" s="420"/>
      <c r="AB322" s="420"/>
      <c r="AC322" s="420"/>
      <c r="AD322" s="420"/>
      <c r="AE322" s="420"/>
      <c r="AF322" s="367"/>
      <c r="AG322" s="420"/>
      <c r="AH322" s="367"/>
      <c r="AI322" s="367"/>
      <c r="AJ322" s="367"/>
      <c r="AK322" s="358"/>
      <c r="AL322" s="358"/>
      <c r="AM322" s="358"/>
      <c r="AN322" s="358"/>
      <c r="AO322" s="358"/>
      <c r="AP322" s="367"/>
    </row>
    <row r="323">
      <c r="A323" s="415"/>
      <c r="B323" s="415"/>
      <c r="C323" s="415"/>
      <c r="D323" s="418"/>
      <c r="E323" s="418"/>
      <c r="F323" s="418"/>
      <c r="G323" s="367"/>
      <c r="H323" s="418"/>
      <c r="I323" s="418"/>
      <c r="J323" s="418"/>
      <c r="K323" s="418"/>
      <c r="L323" s="420"/>
      <c r="M323" s="420"/>
      <c r="N323" s="420"/>
      <c r="O323" s="420"/>
      <c r="P323" s="420"/>
      <c r="Q323" s="420"/>
      <c r="R323" s="420"/>
      <c r="S323" s="420"/>
      <c r="T323" s="420"/>
      <c r="U323" s="420"/>
      <c r="V323" s="420"/>
      <c r="W323" s="420"/>
      <c r="X323" s="420"/>
      <c r="Y323" s="420"/>
      <c r="Z323" s="367"/>
      <c r="AA323" s="420"/>
      <c r="AB323" s="420"/>
      <c r="AC323" s="420"/>
      <c r="AD323" s="420"/>
      <c r="AE323" s="420"/>
      <c r="AF323" s="367"/>
      <c r="AG323" s="420"/>
      <c r="AH323" s="367"/>
      <c r="AI323" s="367"/>
      <c r="AJ323" s="367"/>
      <c r="AK323" s="358"/>
      <c r="AL323" s="358"/>
      <c r="AM323" s="358"/>
      <c r="AN323" s="358"/>
      <c r="AO323" s="358"/>
      <c r="AP323" s="367"/>
    </row>
    <row r="324">
      <c r="A324" s="415"/>
      <c r="B324" s="415"/>
      <c r="C324" s="415"/>
      <c r="D324" s="418"/>
      <c r="E324" s="418"/>
      <c r="F324" s="418"/>
      <c r="G324" s="367"/>
      <c r="H324" s="418"/>
      <c r="I324" s="418"/>
      <c r="J324" s="418"/>
      <c r="K324" s="418"/>
      <c r="L324" s="420"/>
      <c r="M324" s="420"/>
      <c r="N324" s="420"/>
      <c r="O324" s="420"/>
      <c r="P324" s="420"/>
      <c r="Q324" s="420"/>
      <c r="R324" s="420"/>
      <c r="S324" s="420"/>
      <c r="T324" s="420"/>
      <c r="U324" s="420"/>
      <c r="V324" s="420"/>
      <c r="W324" s="420"/>
      <c r="X324" s="420"/>
      <c r="Y324" s="420"/>
      <c r="Z324" s="367"/>
      <c r="AA324" s="420"/>
      <c r="AB324" s="420"/>
      <c r="AC324" s="420"/>
      <c r="AD324" s="420"/>
      <c r="AE324" s="420"/>
      <c r="AF324" s="367"/>
      <c r="AG324" s="420"/>
      <c r="AH324" s="367"/>
      <c r="AI324" s="367"/>
      <c r="AJ324" s="367"/>
      <c r="AK324" s="358"/>
      <c r="AL324" s="358"/>
      <c r="AM324" s="358"/>
      <c r="AN324" s="358"/>
      <c r="AO324" s="358"/>
      <c r="AP324" s="367"/>
    </row>
    <row r="325">
      <c r="A325" s="415"/>
      <c r="B325" s="415"/>
      <c r="C325" s="415"/>
      <c r="D325" s="418"/>
      <c r="E325" s="418"/>
      <c r="F325" s="418"/>
      <c r="G325" s="367"/>
      <c r="H325" s="418"/>
      <c r="I325" s="418"/>
      <c r="J325" s="418"/>
      <c r="K325" s="418"/>
      <c r="L325" s="420"/>
      <c r="M325" s="420"/>
      <c r="N325" s="420"/>
      <c r="O325" s="420"/>
      <c r="P325" s="420"/>
      <c r="Q325" s="420"/>
      <c r="R325" s="420"/>
      <c r="S325" s="420"/>
      <c r="T325" s="420"/>
      <c r="U325" s="420"/>
      <c r="V325" s="420"/>
      <c r="W325" s="420"/>
      <c r="X325" s="420"/>
      <c r="Y325" s="420"/>
      <c r="Z325" s="367"/>
      <c r="AA325" s="420"/>
      <c r="AB325" s="420"/>
      <c r="AC325" s="420"/>
      <c r="AD325" s="420"/>
      <c r="AE325" s="420"/>
      <c r="AF325" s="367"/>
      <c r="AG325" s="420"/>
      <c r="AH325" s="367"/>
      <c r="AI325" s="367"/>
      <c r="AJ325" s="367"/>
      <c r="AK325" s="358"/>
      <c r="AL325" s="358"/>
      <c r="AM325" s="358"/>
      <c r="AN325" s="358"/>
      <c r="AO325" s="358"/>
      <c r="AP325" s="367"/>
    </row>
    <row r="326">
      <c r="A326" s="415"/>
      <c r="B326" s="415"/>
      <c r="C326" s="415"/>
      <c r="D326" s="418"/>
      <c r="E326" s="418"/>
      <c r="F326" s="418"/>
      <c r="G326" s="367"/>
      <c r="H326" s="418"/>
      <c r="I326" s="418"/>
      <c r="J326" s="418"/>
      <c r="K326" s="418"/>
      <c r="L326" s="420"/>
      <c r="M326" s="420"/>
      <c r="N326" s="420"/>
      <c r="O326" s="420"/>
      <c r="P326" s="420"/>
      <c r="Q326" s="420"/>
      <c r="R326" s="420"/>
      <c r="S326" s="420"/>
      <c r="T326" s="420"/>
      <c r="U326" s="420"/>
      <c r="V326" s="420"/>
      <c r="W326" s="420"/>
      <c r="X326" s="420"/>
      <c r="Y326" s="420"/>
      <c r="Z326" s="367"/>
      <c r="AA326" s="420"/>
      <c r="AB326" s="420"/>
      <c r="AC326" s="420"/>
      <c r="AD326" s="420"/>
      <c r="AE326" s="420"/>
      <c r="AF326" s="367"/>
      <c r="AG326" s="420"/>
      <c r="AH326" s="367"/>
      <c r="AI326" s="367"/>
      <c r="AJ326" s="367"/>
      <c r="AK326" s="358"/>
      <c r="AL326" s="358"/>
      <c r="AM326" s="358"/>
      <c r="AN326" s="358"/>
      <c r="AO326" s="358"/>
      <c r="AP326" s="367"/>
    </row>
    <row r="327">
      <c r="A327" s="418"/>
      <c r="B327" s="418"/>
      <c r="C327" s="418"/>
      <c r="D327" s="418"/>
      <c r="E327" s="418"/>
      <c r="F327" s="418"/>
      <c r="G327" s="367"/>
      <c r="H327" s="418"/>
      <c r="I327" s="418"/>
      <c r="J327" s="418"/>
      <c r="K327" s="418"/>
      <c r="L327" s="420"/>
      <c r="M327" s="420"/>
      <c r="N327" s="420"/>
      <c r="O327" s="420"/>
      <c r="P327" s="420"/>
      <c r="Q327" s="420"/>
      <c r="R327" s="420"/>
      <c r="S327" s="420"/>
      <c r="T327" s="420"/>
      <c r="U327" s="420"/>
      <c r="V327" s="420"/>
      <c r="W327" s="420"/>
      <c r="X327" s="420"/>
      <c r="Y327" s="420"/>
      <c r="Z327" s="367"/>
      <c r="AA327" s="420"/>
      <c r="AB327" s="420"/>
      <c r="AC327" s="420"/>
      <c r="AD327" s="420"/>
      <c r="AE327" s="420"/>
      <c r="AF327" s="367"/>
      <c r="AG327" s="420"/>
      <c r="AH327" s="367"/>
      <c r="AI327" s="367"/>
      <c r="AJ327" s="367"/>
      <c r="AK327" s="358"/>
      <c r="AL327" s="358"/>
      <c r="AM327" s="358"/>
      <c r="AN327" s="358"/>
      <c r="AO327" s="358"/>
      <c r="AP327" s="367"/>
    </row>
    <row r="328">
      <c r="A328" s="418"/>
      <c r="B328" s="418"/>
      <c r="C328" s="418"/>
      <c r="D328" s="418"/>
      <c r="E328" s="418"/>
      <c r="F328" s="418"/>
      <c r="G328" s="367"/>
      <c r="H328" s="418"/>
      <c r="I328" s="418"/>
      <c r="J328" s="418"/>
      <c r="K328" s="418"/>
      <c r="L328" s="420"/>
      <c r="M328" s="420"/>
      <c r="N328" s="420"/>
      <c r="O328" s="420"/>
      <c r="P328" s="420"/>
      <c r="Q328" s="420"/>
      <c r="R328" s="420"/>
      <c r="S328" s="420"/>
      <c r="T328" s="420"/>
      <c r="U328" s="420"/>
      <c r="V328" s="420"/>
      <c r="W328" s="420"/>
      <c r="X328" s="420"/>
      <c r="Y328" s="420"/>
      <c r="Z328" s="367"/>
      <c r="AA328" s="420"/>
      <c r="AB328" s="420"/>
      <c r="AC328" s="420"/>
      <c r="AD328" s="420"/>
      <c r="AE328" s="420"/>
      <c r="AF328" s="367"/>
      <c r="AG328" s="420"/>
      <c r="AH328" s="367"/>
      <c r="AI328" s="367"/>
      <c r="AJ328" s="367"/>
      <c r="AK328" s="358"/>
      <c r="AL328" s="358"/>
      <c r="AM328" s="358"/>
      <c r="AN328" s="358"/>
      <c r="AO328" s="358"/>
      <c r="AP328" s="367"/>
    </row>
    <row r="329">
      <c r="A329" s="418"/>
      <c r="B329" s="418"/>
      <c r="C329" s="418"/>
      <c r="D329" s="418"/>
      <c r="E329" s="418"/>
      <c r="F329" s="418"/>
      <c r="G329" s="367"/>
      <c r="H329" s="418"/>
      <c r="I329" s="418"/>
      <c r="J329" s="418"/>
      <c r="K329" s="418"/>
      <c r="L329" s="420"/>
      <c r="M329" s="420"/>
      <c r="N329" s="420"/>
      <c r="O329" s="420"/>
      <c r="P329" s="420"/>
      <c r="Q329" s="420"/>
      <c r="R329" s="420"/>
      <c r="S329" s="420"/>
      <c r="T329" s="420"/>
      <c r="U329" s="420"/>
      <c r="V329" s="420"/>
      <c r="W329" s="420"/>
      <c r="X329" s="420"/>
      <c r="Y329" s="420"/>
      <c r="Z329" s="367"/>
      <c r="AA329" s="420"/>
      <c r="AB329" s="420"/>
      <c r="AC329" s="420"/>
      <c r="AD329" s="420"/>
      <c r="AE329" s="420"/>
      <c r="AF329" s="367"/>
      <c r="AG329" s="420"/>
      <c r="AH329" s="367"/>
      <c r="AI329" s="367"/>
      <c r="AJ329" s="367"/>
      <c r="AK329" s="358"/>
      <c r="AL329" s="358"/>
      <c r="AM329" s="358"/>
      <c r="AN329" s="358"/>
      <c r="AO329" s="358"/>
      <c r="AP329" s="367"/>
    </row>
    <row r="330">
      <c r="A330" s="418"/>
      <c r="B330" s="418"/>
      <c r="C330" s="418"/>
      <c r="D330" s="418"/>
      <c r="E330" s="418"/>
      <c r="F330" s="418"/>
      <c r="G330" s="367"/>
      <c r="H330" s="418"/>
      <c r="I330" s="418"/>
      <c r="J330" s="418"/>
      <c r="K330" s="418"/>
      <c r="L330" s="420"/>
      <c r="M330" s="420"/>
      <c r="N330" s="420"/>
      <c r="O330" s="420"/>
      <c r="P330" s="420"/>
      <c r="Q330" s="420"/>
      <c r="R330" s="420"/>
      <c r="S330" s="420"/>
      <c r="T330" s="420"/>
      <c r="U330" s="420"/>
      <c r="V330" s="420"/>
      <c r="W330" s="420"/>
      <c r="X330" s="420"/>
      <c r="Y330" s="420"/>
      <c r="Z330" s="367"/>
      <c r="AA330" s="420"/>
      <c r="AB330" s="420"/>
      <c r="AC330" s="420"/>
      <c r="AD330" s="420"/>
      <c r="AE330" s="420"/>
      <c r="AF330" s="367"/>
      <c r="AG330" s="420"/>
      <c r="AH330" s="367"/>
      <c r="AI330" s="367"/>
      <c r="AJ330" s="367"/>
      <c r="AK330" s="358"/>
      <c r="AL330" s="358"/>
      <c r="AM330" s="358"/>
      <c r="AN330" s="358"/>
      <c r="AO330" s="358"/>
      <c r="AP330" s="367"/>
    </row>
    <row r="331">
      <c r="A331" s="418"/>
      <c r="B331" s="418"/>
      <c r="C331" s="418"/>
      <c r="D331" s="418"/>
      <c r="E331" s="418"/>
      <c r="F331" s="418"/>
      <c r="G331" s="367"/>
      <c r="H331" s="418"/>
      <c r="I331" s="418"/>
      <c r="J331" s="418"/>
      <c r="K331" s="418"/>
      <c r="L331" s="420"/>
      <c r="M331" s="420"/>
      <c r="N331" s="420"/>
      <c r="O331" s="420"/>
      <c r="P331" s="420"/>
      <c r="Q331" s="420"/>
      <c r="R331" s="420"/>
      <c r="S331" s="420"/>
      <c r="T331" s="420"/>
      <c r="U331" s="420"/>
      <c r="V331" s="420"/>
      <c r="W331" s="420"/>
      <c r="X331" s="420"/>
      <c r="Y331" s="420"/>
      <c r="Z331" s="367"/>
      <c r="AA331" s="420"/>
      <c r="AB331" s="420"/>
      <c r="AC331" s="420"/>
      <c r="AD331" s="420"/>
      <c r="AE331" s="420"/>
      <c r="AF331" s="367"/>
      <c r="AG331" s="420"/>
      <c r="AH331" s="367"/>
      <c r="AI331" s="367"/>
      <c r="AJ331" s="367"/>
      <c r="AK331" s="358"/>
      <c r="AL331" s="358"/>
      <c r="AM331" s="358"/>
      <c r="AN331" s="358"/>
      <c r="AO331" s="358"/>
      <c r="AP331" s="367"/>
    </row>
    <row r="332">
      <c r="A332" s="418"/>
      <c r="B332" s="418"/>
      <c r="C332" s="418"/>
      <c r="D332" s="418"/>
      <c r="E332" s="418"/>
      <c r="F332" s="418"/>
      <c r="G332" s="367"/>
      <c r="H332" s="418"/>
      <c r="I332" s="418"/>
      <c r="J332" s="418"/>
      <c r="K332" s="418"/>
      <c r="L332" s="420"/>
      <c r="M332" s="420"/>
      <c r="N332" s="420"/>
      <c r="O332" s="420"/>
      <c r="P332" s="420"/>
      <c r="Q332" s="420"/>
      <c r="R332" s="420"/>
      <c r="S332" s="420"/>
      <c r="T332" s="420"/>
      <c r="U332" s="420"/>
      <c r="V332" s="420"/>
      <c r="W332" s="420"/>
      <c r="X332" s="420"/>
      <c r="Y332" s="420"/>
      <c r="Z332" s="367"/>
      <c r="AA332" s="420"/>
      <c r="AB332" s="420"/>
      <c r="AC332" s="420"/>
      <c r="AD332" s="420"/>
      <c r="AE332" s="420"/>
      <c r="AF332" s="367"/>
      <c r="AG332" s="420"/>
      <c r="AH332" s="367"/>
      <c r="AI332" s="367"/>
      <c r="AJ332" s="367"/>
      <c r="AK332" s="358"/>
      <c r="AL332" s="358"/>
      <c r="AM332" s="358"/>
      <c r="AN332" s="358"/>
      <c r="AO332" s="358"/>
      <c r="AP332" s="367"/>
    </row>
    <row r="333">
      <c r="A333" s="418"/>
      <c r="B333" s="418"/>
      <c r="C333" s="418"/>
      <c r="D333" s="418"/>
      <c r="E333" s="418"/>
      <c r="F333" s="418"/>
      <c r="G333" s="367"/>
      <c r="H333" s="418"/>
      <c r="I333" s="418"/>
      <c r="J333" s="418"/>
      <c r="K333" s="418"/>
      <c r="L333" s="420"/>
      <c r="M333" s="420"/>
      <c r="N333" s="420"/>
      <c r="O333" s="420"/>
      <c r="P333" s="420"/>
      <c r="Q333" s="420"/>
      <c r="R333" s="420"/>
      <c r="S333" s="420"/>
      <c r="T333" s="420"/>
      <c r="U333" s="420"/>
      <c r="V333" s="420"/>
      <c r="W333" s="420"/>
      <c r="X333" s="420"/>
      <c r="Y333" s="420"/>
      <c r="Z333" s="367"/>
      <c r="AA333" s="420"/>
      <c r="AB333" s="420"/>
      <c r="AC333" s="420"/>
      <c r="AD333" s="420"/>
      <c r="AE333" s="420"/>
      <c r="AF333" s="367"/>
      <c r="AG333" s="420"/>
      <c r="AH333" s="367"/>
      <c r="AI333" s="367"/>
      <c r="AJ333" s="367"/>
      <c r="AK333" s="358"/>
      <c r="AL333" s="358"/>
      <c r="AM333" s="358"/>
      <c r="AN333" s="358"/>
      <c r="AO333" s="358"/>
      <c r="AP333" s="367"/>
    </row>
    <row r="334">
      <c r="A334" s="418"/>
      <c r="B334" s="418"/>
      <c r="C334" s="418"/>
      <c r="D334" s="418"/>
      <c r="E334" s="418"/>
      <c r="F334" s="418"/>
      <c r="G334" s="367"/>
      <c r="H334" s="418"/>
      <c r="I334" s="418"/>
      <c r="J334" s="418"/>
      <c r="K334" s="418"/>
      <c r="L334" s="420"/>
      <c r="M334" s="420"/>
      <c r="N334" s="420"/>
      <c r="O334" s="420"/>
      <c r="P334" s="420"/>
      <c r="Q334" s="420"/>
      <c r="R334" s="420"/>
      <c r="S334" s="420"/>
      <c r="T334" s="420"/>
      <c r="U334" s="420"/>
      <c r="V334" s="420"/>
      <c r="W334" s="420"/>
      <c r="X334" s="420"/>
      <c r="Y334" s="420"/>
      <c r="Z334" s="367"/>
      <c r="AA334" s="420"/>
      <c r="AB334" s="420"/>
      <c r="AC334" s="420"/>
      <c r="AD334" s="420"/>
      <c r="AE334" s="420"/>
      <c r="AF334" s="367"/>
      <c r="AG334" s="420"/>
      <c r="AH334" s="367"/>
      <c r="AI334" s="367"/>
      <c r="AJ334" s="367"/>
      <c r="AK334" s="358"/>
      <c r="AL334" s="358"/>
      <c r="AM334" s="358"/>
      <c r="AN334" s="358"/>
      <c r="AO334" s="358"/>
      <c r="AP334" s="367"/>
    </row>
    <row r="335">
      <c r="A335" s="418"/>
      <c r="B335" s="418"/>
      <c r="C335" s="418"/>
      <c r="D335" s="418"/>
      <c r="E335" s="418"/>
      <c r="F335" s="418"/>
      <c r="G335" s="367"/>
      <c r="H335" s="418"/>
      <c r="I335" s="418"/>
      <c r="J335" s="418"/>
      <c r="K335" s="418"/>
      <c r="L335" s="420"/>
      <c r="M335" s="420"/>
      <c r="N335" s="420"/>
      <c r="O335" s="420"/>
      <c r="P335" s="420"/>
      <c r="Q335" s="420"/>
      <c r="R335" s="420"/>
      <c r="S335" s="420"/>
      <c r="T335" s="420"/>
      <c r="U335" s="420"/>
      <c r="V335" s="420"/>
      <c r="W335" s="420"/>
      <c r="X335" s="420"/>
      <c r="Y335" s="420"/>
      <c r="Z335" s="367"/>
      <c r="AA335" s="420"/>
      <c r="AB335" s="420"/>
      <c r="AC335" s="420"/>
      <c r="AD335" s="420"/>
      <c r="AE335" s="420"/>
      <c r="AF335" s="367"/>
      <c r="AG335" s="420"/>
      <c r="AH335" s="367"/>
      <c r="AI335" s="367"/>
      <c r="AJ335" s="367"/>
      <c r="AK335" s="358"/>
      <c r="AL335" s="358"/>
      <c r="AM335" s="358"/>
      <c r="AN335" s="358"/>
      <c r="AO335" s="358"/>
      <c r="AP335" s="367"/>
    </row>
    <row r="336">
      <c r="A336" s="418"/>
      <c r="B336" s="418"/>
      <c r="C336" s="418"/>
      <c r="D336" s="418"/>
      <c r="E336" s="418"/>
      <c r="F336" s="418"/>
      <c r="G336" s="367"/>
      <c r="H336" s="418"/>
      <c r="I336" s="418"/>
      <c r="J336" s="418"/>
      <c r="K336" s="418"/>
      <c r="L336" s="420"/>
      <c r="M336" s="420"/>
      <c r="N336" s="420"/>
      <c r="O336" s="420"/>
      <c r="P336" s="420"/>
      <c r="Q336" s="420"/>
      <c r="R336" s="420"/>
      <c r="S336" s="420"/>
      <c r="T336" s="420"/>
      <c r="U336" s="420"/>
      <c r="V336" s="420"/>
      <c r="W336" s="420"/>
      <c r="X336" s="420"/>
      <c r="Y336" s="420"/>
      <c r="Z336" s="367"/>
      <c r="AA336" s="420"/>
      <c r="AB336" s="420"/>
      <c r="AC336" s="420"/>
      <c r="AD336" s="420"/>
      <c r="AE336" s="420"/>
      <c r="AF336" s="367"/>
      <c r="AG336" s="420"/>
      <c r="AH336" s="367"/>
      <c r="AI336" s="367"/>
      <c r="AJ336" s="367"/>
      <c r="AK336" s="358"/>
      <c r="AL336" s="358"/>
      <c r="AM336" s="358"/>
      <c r="AN336" s="358"/>
      <c r="AO336" s="358"/>
      <c r="AP336" s="367"/>
    </row>
    <row r="337">
      <c r="A337" s="418"/>
      <c r="B337" s="418"/>
      <c r="C337" s="418"/>
      <c r="D337" s="418"/>
      <c r="E337" s="418"/>
      <c r="F337" s="418"/>
      <c r="G337" s="367"/>
      <c r="H337" s="418"/>
      <c r="I337" s="418"/>
      <c r="J337" s="418"/>
      <c r="K337" s="418"/>
      <c r="L337" s="420"/>
      <c r="M337" s="420"/>
      <c r="N337" s="420"/>
      <c r="O337" s="420"/>
      <c r="P337" s="420"/>
      <c r="Q337" s="420"/>
      <c r="R337" s="420"/>
      <c r="S337" s="420"/>
      <c r="T337" s="420"/>
      <c r="U337" s="420"/>
      <c r="V337" s="420"/>
      <c r="W337" s="420"/>
      <c r="X337" s="420"/>
      <c r="Y337" s="420"/>
      <c r="Z337" s="367"/>
      <c r="AA337" s="420"/>
      <c r="AB337" s="420"/>
      <c r="AC337" s="420"/>
      <c r="AD337" s="420"/>
      <c r="AE337" s="420"/>
      <c r="AF337" s="367"/>
      <c r="AG337" s="420"/>
      <c r="AH337" s="367"/>
      <c r="AI337" s="367"/>
      <c r="AJ337" s="367"/>
      <c r="AK337" s="358"/>
      <c r="AL337" s="358"/>
      <c r="AM337" s="358"/>
      <c r="AN337" s="358"/>
      <c r="AO337" s="358"/>
      <c r="AP337" s="367"/>
    </row>
    <row r="338">
      <c r="A338" s="418"/>
      <c r="B338" s="418"/>
      <c r="C338" s="418"/>
      <c r="D338" s="418"/>
      <c r="E338" s="418"/>
      <c r="F338" s="418"/>
      <c r="G338" s="367"/>
      <c r="H338" s="418"/>
      <c r="I338" s="418"/>
      <c r="J338" s="418"/>
      <c r="K338" s="418"/>
      <c r="L338" s="420"/>
      <c r="M338" s="420"/>
      <c r="N338" s="420"/>
      <c r="O338" s="420"/>
      <c r="P338" s="420"/>
      <c r="Q338" s="420"/>
      <c r="R338" s="420"/>
      <c r="S338" s="420"/>
      <c r="T338" s="420"/>
      <c r="U338" s="420"/>
      <c r="V338" s="420"/>
      <c r="W338" s="420"/>
      <c r="X338" s="420"/>
      <c r="Y338" s="420"/>
      <c r="Z338" s="367"/>
      <c r="AA338" s="420"/>
      <c r="AB338" s="420"/>
      <c r="AC338" s="420"/>
      <c r="AD338" s="420"/>
      <c r="AE338" s="420"/>
      <c r="AF338" s="367"/>
      <c r="AG338" s="420"/>
      <c r="AH338" s="367"/>
      <c r="AI338" s="367"/>
      <c r="AJ338" s="367"/>
      <c r="AK338" s="358"/>
      <c r="AL338" s="358"/>
      <c r="AM338" s="358"/>
      <c r="AN338" s="358"/>
      <c r="AO338" s="358"/>
      <c r="AP338" s="367"/>
    </row>
    <row r="339">
      <c r="A339" s="418"/>
      <c r="B339" s="418"/>
      <c r="C339" s="418"/>
      <c r="D339" s="418"/>
      <c r="E339" s="418"/>
      <c r="F339" s="418"/>
      <c r="G339" s="367"/>
      <c r="H339" s="418"/>
      <c r="I339" s="418"/>
      <c r="J339" s="418"/>
      <c r="K339" s="418"/>
      <c r="L339" s="420"/>
      <c r="M339" s="420"/>
      <c r="N339" s="420"/>
      <c r="O339" s="420"/>
      <c r="P339" s="420"/>
      <c r="Q339" s="420"/>
      <c r="R339" s="420"/>
      <c r="S339" s="420"/>
      <c r="T339" s="420"/>
      <c r="U339" s="420"/>
      <c r="V339" s="420"/>
      <c r="W339" s="420"/>
      <c r="X339" s="420"/>
      <c r="Y339" s="420"/>
      <c r="Z339" s="367"/>
      <c r="AA339" s="420"/>
      <c r="AB339" s="420"/>
      <c r="AC339" s="420"/>
      <c r="AD339" s="420"/>
      <c r="AE339" s="420"/>
      <c r="AF339" s="367"/>
      <c r="AG339" s="420"/>
      <c r="AH339" s="367"/>
      <c r="AI339" s="367"/>
      <c r="AJ339" s="367"/>
      <c r="AK339" s="358"/>
      <c r="AL339" s="358"/>
      <c r="AM339" s="358"/>
      <c r="AN339" s="358"/>
      <c r="AO339" s="358"/>
      <c r="AP339" s="367"/>
    </row>
    <row r="340">
      <c r="A340" s="418"/>
      <c r="B340" s="418"/>
      <c r="C340" s="418"/>
      <c r="D340" s="418"/>
      <c r="E340" s="418"/>
      <c r="F340" s="418"/>
      <c r="G340" s="367"/>
      <c r="H340" s="418"/>
      <c r="I340" s="418"/>
      <c r="J340" s="418"/>
      <c r="K340" s="418"/>
      <c r="L340" s="420"/>
      <c r="M340" s="420"/>
      <c r="N340" s="420"/>
      <c r="O340" s="420"/>
      <c r="P340" s="420"/>
      <c r="Q340" s="420"/>
      <c r="R340" s="420"/>
      <c r="S340" s="420"/>
      <c r="T340" s="420"/>
      <c r="U340" s="420"/>
      <c r="V340" s="420"/>
      <c r="W340" s="420"/>
      <c r="X340" s="420"/>
      <c r="Y340" s="420"/>
      <c r="Z340" s="367"/>
      <c r="AA340" s="420"/>
      <c r="AB340" s="420"/>
      <c r="AC340" s="420"/>
      <c r="AD340" s="420"/>
      <c r="AE340" s="420"/>
      <c r="AF340" s="367"/>
      <c r="AG340" s="420"/>
      <c r="AH340" s="367"/>
      <c r="AI340" s="367"/>
      <c r="AJ340" s="367"/>
      <c r="AK340" s="358"/>
      <c r="AL340" s="358"/>
      <c r="AM340" s="358"/>
      <c r="AN340" s="358"/>
      <c r="AO340" s="358"/>
      <c r="AP340" s="367"/>
    </row>
    <row r="341">
      <c r="A341" s="418"/>
      <c r="B341" s="418"/>
      <c r="C341" s="418"/>
      <c r="D341" s="418"/>
      <c r="E341" s="418"/>
      <c r="F341" s="418"/>
      <c r="G341" s="367"/>
      <c r="H341" s="418"/>
      <c r="I341" s="418"/>
      <c r="J341" s="418"/>
      <c r="K341" s="418"/>
      <c r="L341" s="420"/>
      <c r="M341" s="420"/>
      <c r="N341" s="420"/>
      <c r="O341" s="420"/>
      <c r="P341" s="420"/>
      <c r="Q341" s="420"/>
      <c r="R341" s="420"/>
      <c r="S341" s="420"/>
      <c r="T341" s="420"/>
      <c r="U341" s="420"/>
      <c r="V341" s="420"/>
      <c r="W341" s="420"/>
      <c r="X341" s="420"/>
      <c r="Y341" s="420"/>
      <c r="Z341" s="367"/>
      <c r="AA341" s="420"/>
      <c r="AB341" s="420"/>
      <c r="AC341" s="420"/>
      <c r="AD341" s="420"/>
      <c r="AE341" s="420"/>
      <c r="AF341" s="367"/>
      <c r="AG341" s="420"/>
      <c r="AH341" s="367"/>
      <c r="AI341" s="367"/>
      <c r="AJ341" s="367"/>
      <c r="AK341" s="358"/>
      <c r="AL341" s="358"/>
      <c r="AM341" s="358"/>
      <c r="AN341" s="358"/>
      <c r="AO341" s="358"/>
      <c r="AP341" s="367"/>
    </row>
    <row r="342">
      <c r="A342" s="418"/>
      <c r="B342" s="418"/>
      <c r="C342" s="418"/>
      <c r="D342" s="418"/>
      <c r="E342" s="418"/>
      <c r="F342" s="418"/>
      <c r="G342" s="367"/>
      <c r="H342" s="418"/>
      <c r="I342" s="418"/>
      <c r="J342" s="418"/>
      <c r="K342" s="418"/>
      <c r="L342" s="420"/>
      <c r="M342" s="420"/>
      <c r="N342" s="420"/>
      <c r="O342" s="420"/>
      <c r="P342" s="420"/>
      <c r="Q342" s="420"/>
      <c r="R342" s="420"/>
      <c r="S342" s="420"/>
      <c r="T342" s="420"/>
      <c r="U342" s="420"/>
      <c r="V342" s="420"/>
      <c r="W342" s="420"/>
      <c r="X342" s="420"/>
      <c r="Y342" s="420"/>
      <c r="Z342" s="367"/>
      <c r="AA342" s="420"/>
      <c r="AB342" s="420"/>
      <c r="AC342" s="420"/>
      <c r="AD342" s="420"/>
      <c r="AE342" s="420"/>
      <c r="AF342" s="367"/>
      <c r="AG342" s="420"/>
      <c r="AH342" s="367"/>
      <c r="AI342" s="367"/>
      <c r="AJ342" s="367"/>
      <c r="AK342" s="358"/>
      <c r="AL342" s="358"/>
      <c r="AM342" s="358"/>
      <c r="AN342" s="358"/>
      <c r="AO342" s="358"/>
      <c r="AP342" s="367"/>
    </row>
    <row r="343">
      <c r="A343" s="418"/>
      <c r="B343" s="418"/>
      <c r="C343" s="418"/>
      <c r="D343" s="418"/>
      <c r="E343" s="418"/>
      <c r="F343" s="418"/>
      <c r="G343" s="367"/>
      <c r="H343" s="418"/>
      <c r="I343" s="418"/>
      <c r="J343" s="418"/>
      <c r="K343" s="418"/>
      <c r="L343" s="420"/>
      <c r="M343" s="420"/>
      <c r="N343" s="420"/>
      <c r="O343" s="420"/>
      <c r="P343" s="420"/>
      <c r="Q343" s="420"/>
      <c r="R343" s="420"/>
      <c r="S343" s="420"/>
      <c r="T343" s="420"/>
      <c r="U343" s="420"/>
      <c r="V343" s="420"/>
      <c r="W343" s="420"/>
      <c r="X343" s="420"/>
      <c r="Y343" s="420"/>
      <c r="Z343" s="367"/>
      <c r="AA343" s="420"/>
      <c r="AB343" s="420"/>
      <c r="AC343" s="420"/>
      <c r="AD343" s="420"/>
      <c r="AE343" s="420"/>
      <c r="AF343" s="367"/>
      <c r="AG343" s="420"/>
      <c r="AH343" s="367"/>
      <c r="AI343" s="367"/>
      <c r="AJ343" s="367"/>
      <c r="AK343" s="358"/>
      <c r="AL343" s="358"/>
      <c r="AM343" s="358"/>
      <c r="AN343" s="358"/>
      <c r="AO343" s="358"/>
      <c r="AP343" s="367"/>
    </row>
    <row r="344">
      <c r="A344" s="418"/>
      <c r="B344" s="418"/>
      <c r="C344" s="418"/>
      <c r="D344" s="418"/>
      <c r="E344" s="418"/>
      <c r="F344" s="418"/>
      <c r="G344" s="367"/>
      <c r="H344" s="418"/>
      <c r="I344" s="418"/>
      <c r="J344" s="418"/>
      <c r="K344" s="418"/>
      <c r="L344" s="420"/>
      <c r="M344" s="420"/>
      <c r="N344" s="420"/>
      <c r="O344" s="420"/>
      <c r="P344" s="420"/>
      <c r="Q344" s="420"/>
      <c r="R344" s="420"/>
      <c r="S344" s="420"/>
      <c r="T344" s="420"/>
      <c r="U344" s="420"/>
      <c r="V344" s="420"/>
      <c r="W344" s="420"/>
      <c r="X344" s="420"/>
      <c r="Y344" s="420"/>
      <c r="Z344" s="367"/>
      <c r="AA344" s="420"/>
      <c r="AB344" s="420"/>
      <c r="AC344" s="420"/>
      <c r="AD344" s="420"/>
      <c r="AE344" s="420"/>
      <c r="AF344" s="367"/>
      <c r="AG344" s="420"/>
      <c r="AH344" s="367"/>
      <c r="AI344" s="367"/>
      <c r="AJ344" s="367"/>
      <c r="AK344" s="358"/>
      <c r="AL344" s="358"/>
      <c r="AM344" s="358"/>
      <c r="AN344" s="358"/>
      <c r="AO344" s="358"/>
      <c r="AP344" s="367"/>
    </row>
    <row r="345">
      <c r="A345" s="418"/>
      <c r="B345" s="418"/>
      <c r="C345" s="418"/>
      <c r="D345" s="418"/>
      <c r="E345" s="418"/>
      <c r="F345" s="418"/>
      <c r="G345" s="367"/>
      <c r="H345" s="418"/>
      <c r="I345" s="418"/>
      <c r="J345" s="418"/>
      <c r="K345" s="418"/>
      <c r="L345" s="420"/>
      <c r="M345" s="420"/>
      <c r="N345" s="420"/>
      <c r="O345" s="420"/>
      <c r="P345" s="420"/>
      <c r="Q345" s="420"/>
      <c r="R345" s="420"/>
      <c r="S345" s="420"/>
      <c r="T345" s="420"/>
      <c r="U345" s="420"/>
      <c r="V345" s="420"/>
      <c r="W345" s="420"/>
      <c r="X345" s="420"/>
      <c r="Y345" s="420"/>
      <c r="Z345" s="367"/>
      <c r="AA345" s="420"/>
      <c r="AB345" s="420"/>
      <c r="AC345" s="420"/>
      <c r="AD345" s="420"/>
      <c r="AE345" s="420"/>
      <c r="AF345" s="367"/>
      <c r="AG345" s="420"/>
      <c r="AH345" s="367"/>
      <c r="AI345" s="367"/>
      <c r="AJ345" s="367"/>
      <c r="AK345" s="358"/>
      <c r="AL345" s="358"/>
      <c r="AM345" s="358"/>
      <c r="AN345" s="358"/>
      <c r="AO345" s="358"/>
      <c r="AP345" s="367"/>
    </row>
    <row r="346">
      <c r="A346" s="418"/>
      <c r="B346" s="418"/>
      <c r="C346" s="418"/>
      <c r="D346" s="418"/>
      <c r="E346" s="418"/>
      <c r="F346" s="418"/>
      <c r="G346" s="367"/>
      <c r="H346" s="418"/>
      <c r="I346" s="418"/>
      <c r="J346" s="418"/>
      <c r="K346" s="418"/>
      <c r="L346" s="420"/>
      <c r="M346" s="420"/>
      <c r="N346" s="420"/>
      <c r="O346" s="420"/>
      <c r="P346" s="420"/>
      <c r="Q346" s="420"/>
      <c r="R346" s="420"/>
      <c r="S346" s="420"/>
      <c r="T346" s="420"/>
      <c r="U346" s="420"/>
      <c r="V346" s="420"/>
      <c r="W346" s="420"/>
      <c r="X346" s="420"/>
      <c r="Y346" s="420"/>
      <c r="Z346" s="367"/>
      <c r="AA346" s="420"/>
      <c r="AB346" s="420"/>
      <c r="AC346" s="420"/>
      <c r="AD346" s="420"/>
      <c r="AE346" s="420"/>
      <c r="AF346" s="367"/>
      <c r="AG346" s="420"/>
      <c r="AH346" s="367"/>
      <c r="AI346" s="367"/>
      <c r="AJ346" s="367"/>
      <c r="AK346" s="358"/>
      <c r="AL346" s="358"/>
      <c r="AM346" s="358"/>
      <c r="AN346" s="358"/>
      <c r="AO346" s="358"/>
      <c r="AP346" s="367"/>
    </row>
    <row r="347">
      <c r="A347" s="418"/>
      <c r="B347" s="418"/>
      <c r="C347" s="418"/>
      <c r="D347" s="418"/>
      <c r="E347" s="418"/>
      <c r="F347" s="418"/>
      <c r="G347" s="367"/>
      <c r="H347" s="418"/>
      <c r="I347" s="418"/>
      <c r="J347" s="418"/>
      <c r="K347" s="418"/>
      <c r="L347" s="420"/>
      <c r="M347" s="420"/>
      <c r="N347" s="420"/>
      <c r="O347" s="420"/>
      <c r="P347" s="420"/>
      <c r="Q347" s="420"/>
      <c r="R347" s="420"/>
      <c r="S347" s="420"/>
      <c r="T347" s="420"/>
      <c r="U347" s="420"/>
      <c r="V347" s="420"/>
      <c r="W347" s="420"/>
      <c r="X347" s="420"/>
      <c r="Y347" s="420"/>
      <c r="Z347" s="367"/>
      <c r="AA347" s="420"/>
      <c r="AB347" s="420"/>
      <c r="AC347" s="420"/>
      <c r="AD347" s="420"/>
      <c r="AE347" s="420"/>
      <c r="AF347" s="367"/>
      <c r="AG347" s="420"/>
      <c r="AH347" s="367"/>
      <c r="AI347" s="367"/>
      <c r="AJ347" s="367"/>
      <c r="AK347" s="358"/>
      <c r="AL347" s="358"/>
      <c r="AM347" s="358"/>
      <c r="AN347" s="358"/>
      <c r="AO347" s="358"/>
      <c r="AP347" s="367"/>
    </row>
    <row r="348">
      <c r="A348" s="418"/>
      <c r="B348" s="418"/>
      <c r="C348" s="418"/>
      <c r="D348" s="418"/>
      <c r="E348" s="418"/>
      <c r="F348" s="418"/>
      <c r="G348" s="367"/>
      <c r="H348" s="418"/>
      <c r="I348" s="418"/>
      <c r="J348" s="418"/>
      <c r="K348" s="418"/>
      <c r="L348" s="420"/>
      <c r="M348" s="420"/>
      <c r="N348" s="420"/>
      <c r="O348" s="420"/>
      <c r="P348" s="420"/>
      <c r="Q348" s="420"/>
      <c r="R348" s="420"/>
      <c r="S348" s="420"/>
      <c r="T348" s="420"/>
      <c r="U348" s="420"/>
      <c r="V348" s="420"/>
      <c r="W348" s="420"/>
      <c r="X348" s="420"/>
      <c r="Y348" s="420"/>
      <c r="Z348" s="367"/>
      <c r="AA348" s="420"/>
      <c r="AB348" s="420"/>
      <c r="AC348" s="420"/>
      <c r="AD348" s="420"/>
      <c r="AE348" s="420"/>
      <c r="AF348" s="367"/>
      <c r="AG348" s="420"/>
      <c r="AH348" s="367"/>
      <c r="AI348" s="367"/>
      <c r="AJ348" s="367"/>
      <c r="AK348" s="358"/>
      <c r="AL348" s="358"/>
      <c r="AM348" s="358"/>
      <c r="AN348" s="358"/>
      <c r="AO348" s="358"/>
      <c r="AP348" s="367"/>
    </row>
    <row r="349">
      <c r="A349" s="418"/>
      <c r="B349" s="418"/>
      <c r="C349" s="418"/>
      <c r="D349" s="418"/>
      <c r="E349" s="418"/>
      <c r="F349" s="418"/>
      <c r="G349" s="367"/>
      <c r="H349" s="418"/>
      <c r="I349" s="418"/>
      <c r="J349" s="418"/>
      <c r="K349" s="418"/>
      <c r="L349" s="420"/>
      <c r="M349" s="420"/>
      <c r="N349" s="420"/>
      <c r="O349" s="420"/>
      <c r="P349" s="420"/>
      <c r="Q349" s="420"/>
      <c r="R349" s="420"/>
      <c r="S349" s="420"/>
      <c r="T349" s="420"/>
      <c r="U349" s="420"/>
      <c r="V349" s="420"/>
      <c r="W349" s="420"/>
      <c r="X349" s="420"/>
      <c r="Y349" s="420"/>
      <c r="Z349" s="367"/>
      <c r="AA349" s="420"/>
      <c r="AB349" s="420"/>
      <c r="AC349" s="420"/>
      <c r="AD349" s="420"/>
      <c r="AE349" s="420"/>
      <c r="AF349" s="367"/>
      <c r="AG349" s="420"/>
      <c r="AH349" s="367"/>
      <c r="AI349" s="367"/>
      <c r="AJ349" s="367"/>
      <c r="AK349" s="358"/>
      <c r="AL349" s="358"/>
      <c r="AM349" s="358"/>
      <c r="AN349" s="358"/>
      <c r="AO349" s="358"/>
      <c r="AP349" s="367"/>
    </row>
    <row r="350">
      <c r="A350" s="418"/>
      <c r="B350" s="418"/>
      <c r="C350" s="418"/>
      <c r="D350" s="418"/>
      <c r="E350" s="418"/>
      <c r="F350" s="418"/>
      <c r="G350" s="367"/>
      <c r="H350" s="418"/>
      <c r="I350" s="418"/>
      <c r="J350" s="418"/>
      <c r="K350" s="418"/>
      <c r="L350" s="420"/>
      <c r="M350" s="420"/>
      <c r="N350" s="420"/>
      <c r="O350" s="420"/>
      <c r="P350" s="420"/>
      <c r="Q350" s="420"/>
      <c r="R350" s="420"/>
      <c r="S350" s="420"/>
      <c r="T350" s="420"/>
      <c r="U350" s="420"/>
      <c r="V350" s="420"/>
      <c r="W350" s="420"/>
      <c r="X350" s="420"/>
      <c r="Y350" s="420"/>
      <c r="Z350" s="367"/>
      <c r="AA350" s="420"/>
      <c r="AB350" s="420"/>
      <c r="AC350" s="420"/>
      <c r="AD350" s="420"/>
      <c r="AE350" s="420"/>
      <c r="AF350" s="367"/>
      <c r="AG350" s="420"/>
      <c r="AH350" s="367"/>
      <c r="AI350" s="367"/>
      <c r="AJ350" s="367"/>
      <c r="AK350" s="358"/>
      <c r="AL350" s="358"/>
      <c r="AM350" s="358"/>
      <c r="AN350" s="358"/>
      <c r="AO350" s="358"/>
      <c r="AP350" s="367"/>
    </row>
    <row r="351">
      <c r="A351" s="418"/>
      <c r="B351" s="418"/>
      <c r="C351" s="418"/>
      <c r="D351" s="418"/>
      <c r="E351" s="418"/>
      <c r="F351" s="418"/>
      <c r="G351" s="367"/>
      <c r="H351" s="418"/>
      <c r="I351" s="418"/>
      <c r="J351" s="418"/>
      <c r="K351" s="418"/>
      <c r="L351" s="420"/>
      <c r="M351" s="420"/>
      <c r="N351" s="420"/>
      <c r="O351" s="420"/>
      <c r="P351" s="420"/>
      <c r="Q351" s="420"/>
      <c r="R351" s="420"/>
      <c r="S351" s="420"/>
      <c r="T351" s="420"/>
      <c r="U351" s="420"/>
      <c r="V351" s="420"/>
      <c r="W351" s="420"/>
      <c r="X351" s="420"/>
      <c r="Y351" s="420"/>
      <c r="Z351" s="367"/>
      <c r="AA351" s="420"/>
      <c r="AB351" s="420"/>
      <c r="AC351" s="420"/>
      <c r="AD351" s="420"/>
      <c r="AE351" s="420"/>
      <c r="AF351" s="367"/>
      <c r="AG351" s="420"/>
      <c r="AH351" s="367"/>
      <c r="AI351" s="367"/>
      <c r="AJ351" s="367"/>
      <c r="AK351" s="358"/>
      <c r="AL351" s="358"/>
      <c r="AM351" s="358"/>
      <c r="AN351" s="358"/>
      <c r="AO351" s="358"/>
      <c r="AP351" s="367"/>
    </row>
    <row r="352">
      <c r="A352" s="418"/>
      <c r="B352" s="418"/>
      <c r="C352" s="418"/>
      <c r="D352" s="418"/>
      <c r="E352" s="418"/>
      <c r="F352" s="418"/>
      <c r="G352" s="367"/>
      <c r="H352" s="418"/>
      <c r="I352" s="418"/>
      <c r="J352" s="418"/>
      <c r="K352" s="418"/>
      <c r="L352" s="420"/>
      <c r="M352" s="420"/>
      <c r="N352" s="420"/>
      <c r="O352" s="420"/>
      <c r="P352" s="420"/>
      <c r="Q352" s="420"/>
      <c r="R352" s="420"/>
      <c r="S352" s="420"/>
      <c r="T352" s="420"/>
      <c r="U352" s="420"/>
      <c r="V352" s="420"/>
      <c r="W352" s="420"/>
      <c r="X352" s="420"/>
      <c r="Y352" s="420"/>
      <c r="Z352" s="367"/>
      <c r="AA352" s="420"/>
      <c r="AB352" s="420"/>
      <c r="AC352" s="420"/>
      <c r="AD352" s="420"/>
      <c r="AE352" s="420"/>
      <c r="AF352" s="367"/>
      <c r="AG352" s="420"/>
      <c r="AH352" s="367"/>
      <c r="AI352" s="367"/>
      <c r="AJ352" s="367"/>
      <c r="AK352" s="358"/>
      <c r="AL352" s="358"/>
      <c r="AM352" s="358"/>
      <c r="AN352" s="358"/>
      <c r="AO352" s="358"/>
      <c r="AP352" s="367"/>
    </row>
    <row r="353">
      <c r="A353" s="418"/>
      <c r="B353" s="418"/>
      <c r="C353" s="418"/>
      <c r="D353" s="418"/>
      <c r="E353" s="418"/>
      <c r="F353" s="418"/>
      <c r="G353" s="367"/>
      <c r="H353" s="418"/>
      <c r="I353" s="418"/>
      <c r="J353" s="418"/>
      <c r="K353" s="418"/>
      <c r="L353" s="420"/>
      <c r="M353" s="420"/>
      <c r="N353" s="420"/>
      <c r="O353" s="420"/>
      <c r="P353" s="420"/>
      <c r="Q353" s="420"/>
      <c r="R353" s="420"/>
      <c r="S353" s="420"/>
      <c r="T353" s="420"/>
      <c r="U353" s="420"/>
      <c r="V353" s="420"/>
      <c r="W353" s="420"/>
      <c r="X353" s="420"/>
      <c r="Y353" s="420"/>
      <c r="Z353" s="367"/>
      <c r="AA353" s="420"/>
      <c r="AB353" s="420"/>
      <c r="AC353" s="420"/>
      <c r="AD353" s="420"/>
      <c r="AE353" s="420"/>
      <c r="AF353" s="367"/>
      <c r="AG353" s="420"/>
      <c r="AH353" s="367"/>
      <c r="AI353" s="367"/>
      <c r="AJ353" s="367"/>
      <c r="AK353" s="358"/>
      <c r="AL353" s="358"/>
      <c r="AM353" s="358"/>
      <c r="AN353" s="358"/>
      <c r="AO353" s="358"/>
      <c r="AP353" s="367"/>
    </row>
    <row r="354">
      <c r="A354" s="418"/>
      <c r="B354" s="418"/>
      <c r="C354" s="418"/>
      <c r="D354" s="418"/>
      <c r="E354" s="418"/>
      <c r="F354" s="418"/>
      <c r="G354" s="367"/>
      <c r="H354" s="418"/>
      <c r="I354" s="418"/>
      <c r="J354" s="418"/>
      <c r="K354" s="418"/>
      <c r="L354" s="420"/>
      <c r="M354" s="420"/>
      <c r="N354" s="420"/>
      <c r="O354" s="420"/>
      <c r="P354" s="420"/>
      <c r="Q354" s="420"/>
      <c r="R354" s="420"/>
      <c r="S354" s="420"/>
      <c r="T354" s="420"/>
      <c r="U354" s="420"/>
      <c r="V354" s="420"/>
      <c r="W354" s="420"/>
      <c r="X354" s="420"/>
      <c r="Y354" s="420"/>
      <c r="Z354" s="367"/>
      <c r="AA354" s="420"/>
      <c r="AB354" s="420"/>
      <c r="AC354" s="420"/>
      <c r="AD354" s="420"/>
      <c r="AE354" s="420"/>
      <c r="AF354" s="367"/>
      <c r="AG354" s="420"/>
      <c r="AH354" s="367"/>
      <c r="AI354" s="367"/>
      <c r="AJ354" s="367"/>
      <c r="AK354" s="358"/>
      <c r="AL354" s="358"/>
      <c r="AM354" s="358"/>
      <c r="AN354" s="358"/>
      <c r="AO354" s="358"/>
      <c r="AP354" s="367"/>
    </row>
    <row r="355">
      <c r="A355" s="418"/>
      <c r="B355" s="418"/>
      <c r="C355" s="418"/>
      <c r="D355" s="418"/>
      <c r="E355" s="418"/>
      <c r="F355" s="418"/>
      <c r="G355" s="367"/>
      <c r="H355" s="418"/>
      <c r="I355" s="418"/>
      <c r="J355" s="418"/>
      <c r="K355" s="418"/>
      <c r="L355" s="420"/>
      <c r="M355" s="420"/>
      <c r="N355" s="420"/>
      <c r="O355" s="420"/>
      <c r="P355" s="420"/>
      <c r="Q355" s="420"/>
      <c r="R355" s="420"/>
      <c r="S355" s="420"/>
      <c r="T355" s="420"/>
      <c r="U355" s="420"/>
      <c r="V355" s="420"/>
      <c r="W355" s="420"/>
      <c r="X355" s="420"/>
      <c r="Y355" s="420"/>
      <c r="Z355" s="367"/>
      <c r="AA355" s="420"/>
      <c r="AB355" s="420"/>
      <c r="AC355" s="420"/>
      <c r="AD355" s="420"/>
      <c r="AE355" s="420"/>
      <c r="AF355" s="367"/>
      <c r="AG355" s="420"/>
      <c r="AH355" s="367"/>
      <c r="AI355" s="367"/>
      <c r="AJ355" s="367"/>
      <c r="AK355" s="358"/>
      <c r="AL355" s="358"/>
      <c r="AM355" s="358"/>
      <c r="AN355" s="358"/>
      <c r="AO355" s="358"/>
      <c r="AP355" s="367"/>
    </row>
    <row r="356">
      <c r="A356" s="418"/>
      <c r="B356" s="418"/>
      <c r="C356" s="418"/>
      <c r="D356" s="418"/>
      <c r="E356" s="418"/>
      <c r="F356" s="418"/>
      <c r="G356" s="367"/>
      <c r="H356" s="418"/>
      <c r="I356" s="418"/>
      <c r="J356" s="418"/>
      <c r="K356" s="418"/>
      <c r="L356" s="420"/>
      <c r="M356" s="420"/>
      <c r="N356" s="420"/>
      <c r="O356" s="420"/>
      <c r="P356" s="420"/>
      <c r="Q356" s="420"/>
      <c r="R356" s="420"/>
      <c r="S356" s="420"/>
      <c r="T356" s="420"/>
      <c r="U356" s="420"/>
      <c r="V356" s="420"/>
      <c r="W356" s="420"/>
      <c r="X356" s="420"/>
      <c r="Y356" s="420"/>
      <c r="Z356" s="367"/>
      <c r="AA356" s="420"/>
      <c r="AB356" s="420"/>
      <c r="AC356" s="420"/>
      <c r="AD356" s="420"/>
      <c r="AE356" s="420"/>
      <c r="AF356" s="367"/>
      <c r="AG356" s="420"/>
      <c r="AH356" s="367"/>
      <c r="AI356" s="367"/>
      <c r="AJ356" s="367"/>
      <c r="AK356" s="358"/>
      <c r="AL356" s="358"/>
      <c r="AM356" s="358"/>
      <c r="AN356" s="358"/>
      <c r="AO356" s="358"/>
      <c r="AP356" s="367"/>
    </row>
    <row r="357">
      <c r="A357" s="418"/>
      <c r="B357" s="418"/>
      <c r="C357" s="418"/>
      <c r="D357" s="418"/>
      <c r="E357" s="418"/>
      <c r="F357" s="418"/>
      <c r="G357" s="367"/>
      <c r="H357" s="418"/>
      <c r="I357" s="418"/>
      <c r="J357" s="418"/>
      <c r="K357" s="418"/>
      <c r="L357" s="420"/>
      <c r="M357" s="420"/>
      <c r="N357" s="420"/>
      <c r="O357" s="420"/>
      <c r="P357" s="420"/>
      <c r="Q357" s="420"/>
      <c r="R357" s="420"/>
      <c r="S357" s="420"/>
      <c r="T357" s="420"/>
      <c r="U357" s="420"/>
      <c r="V357" s="420"/>
      <c r="W357" s="420"/>
      <c r="X357" s="420"/>
      <c r="Y357" s="420"/>
      <c r="Z357" s="367"/>
      <c r="AA357" s="420"/>
      <c r="AB357" s="420"/>
      <c r="AC357" s="420"/>
      <c r="AD357" s="420"/>
      <c r="AE357" s="420"/>
      <c r="AF357" s="367"/>
      <c r="AG357" s="420"/>
      <c r="AH357" s="367"/>
      <c r="AI357" s="367"/>
      <c r="AJ357" s="367"/>
      <c r="AK357" s="358"/>
      <c r="AL357" s="358"/>
      <c r="AM357" s="358"/>
      <c r="AN357" s="358"/>
      <c r="AO357" s="358"/>
      <c r="AP357" s="367"/>
    </row>
    <row r="358">
      <c r="A358" s="418"/>
      <c r="B358" s="418"/>
      <c r="C358" s="418"/>
      <c r="D358" s="418"/>
      <c r="E358" s="418"/>
      <c r="F358" s="418"/>
      <c r="G358" s="367"/>
      <c r="H358" s="418"/>
      <c r="I358" s="418"/>
      <c r="J358" s="418"/>
      <c r="K358" s="418"/>
      <c r="L358" s="420"/>
      <c r="M358" s="420"/>
      <c r="N358" s="420"/>
      <c r="O358" s="420"/>
      <c r="P358" s="420"/>
      <c r="Q358" s="420"/>
      <c r="R358" s="420"/>
      <c r="S358" s="420"/>
      <c r="T358" s="420"/>
      <c r="U358" s="420"/>
      <c r="V358" s="420"/>
      <c r="W358" s="420"/>
      <c r="X358" s="420"/>
      <c r="Y358" s="420"/>
      <c r="Z358" s="367"/>
      <c r="AA358" s="420"/>
      <c r="AB358" s="420"/>
      <c r="AC358" s="420"/>
      <c r="AD358" s="420"/>
      <c r="AE358" s="420"/>
      <c r="AF358" s="367"/>
      <c r="AG358" s="420"/>
      <c r="AH358" s="367"/>
      <c r="AI358" s="367"/>
      <c r="AJ358" s="367"/>
      <c r="AK358" s="358"/>
      <c r="AL358" s="358"/>
      <c r="AM358" s="358"/>
      <c r="AN358" s="358"/>
      <c r="AO358" s="358"/>
      <c r="AP358" s="367"/>
    </row>
    <row r="359">
      <c r="A359" s="418"/>
      <c r="B359" s="418"/>
      <c r="C359" s="418"/>
      <c r="D359" s="418"/>
      <c r="E359" s="418"/>
      <c r="F359" s="418"/>
      <c r="G359" s="367"/>
      <c r="H359" s="418"/>
      <c r="I359" s="418"/>
      <c r="J359" s="418"/>
      <c r="K359" s="418"/>
      <c r="L359" s="420"/>
      <c r="M359" s="420"/>
      <c r="N359" s="420"/>
      <c r="O359" s="420"/>
      <c r="P359" s="420"/>
      <c r="Q359" s="420"/>
      <c r="R359" s="420"/>
      <c r="S359" s="420"/>
      <c r="T359" s="420"/>
      <c r="U359" s="420"/>
      <c r="V359" s="420"/>
      <c r="W359" s="420"/>
      <c r="X359" s="420"/>
      <c r="Y359" s="420"/>
      <c r="Z359" s="367"/>
      <c r="AA359" s="420"/>
      <c r="AB359" s="420"/>
      <c r="AC359" s="420"/>
      <c r="AD359" s="420"/>
      <c r="AE359" s="420"/>
      <c r="AF359" s="367"/>
      <c r="AG359" s="420"/>
      <c r="AH359" s="367"/>
      <c r="AI359" s="367"/>
      <c r="AJ359" s="367"/>
      <c r="AK359" s="358"/>
      <c r="AL359" s="358"/>
      <c r="AM359" s="358"/>
      <c r="AN359" s="358"/>
      <c r="AO359" s="358"/>
      <c r="AP359" s="367"/>
    </row>
    <row r="360">
      <c r="A360" s="418"/>
      <c r="B360" s="418"/>
      <c r="C360" s="418"/>
      <c r="D360" s="418"/>
      <c r="E360" s="418"/>
      <c r="F360" s="418"/>
      <c r="G360" s="367"/>
      <c r="H360" s="418"/>
      <c r="I360" s="418"/>
      <c r="J360" s="418"/>
      <c r="K360" s="418"/>
      <c r="L360" s="420"/>
      <c r="M360" s="420"/>
      <c r="N360" s="420"/>
      <c r="O360" s="420"/>
      <c r="P360" s="420"/>
      <c r="Q360" s="420"/>
      <c r="R360" s="420"/>
      <c r="S360" s="420"/>
      <c r="T360" s="420"/>
      <c r="U360" s="420"/>
      <c r="V360" s="420"/>
      <c r="W360" s="420"/>
      <c r="X360" s="420"/>
      <c r="Y360" s="420"/>
      <c r="Z360" s="367"/>
      <c r="AA360" s="420"/>
      <c r="AB360" s="420"/>
      <c r="AC360" s="420"/>
      <c r="AD360" s="420"/>
      <c r="AE360" s="420"/>
      <c r="AF360" s="367"/>
      <c r="AG360" s="420"/>
      <c r="AH360" s="367"/>
      <c r="AI360" s="367"/>
      <c r="AJ360" s="367"/>
      <c r="AK360" s="358"/>
      <c r="AL360" s="358"/>
      <c r="AM360" s="358"/>
      <c r="AN360" s="358"/>
      <c r="AO360" s="358"/>
      <c r="AP360" s="367"/>
    </row>
    <row r="361">
      <c r="A361" s="418"/>
      <c r="B361" s="418"/>
      <c r="C361" s="418"/>
      <c r="D361" s="418"/>
      <c r="E361" s="418"/>
      <c r="F361" s="418"/>
      <c r="G361" s="367"/>
      <c r="H361" s="418"/>
      <c r="I361" s="418"/>
      <c r="J361" s="418"/>
      <c r="K361" s="418"/>
      <c r="L361" s="420"/>
      <c r="M361" s="420"/>
      <c r="N361" s="420"/>
      <c r="O361" s="420"/>
      <c r="P361" s="420"/>
      <c r="Q361" s="420"/>
      <c r="R361" s="420"/>
      <c r="S361" s="420"/>
      <c r="T361" s="420"/>
      <c r="U361" s="420"/>
      <c r="V361" s="420"/>
      <c r="W361" s="420"/>
      <c r="X361" s="420"/>
      <c r="Y361" s="420"/>
      <c r="Z361" s="367"/>
      <c r="AA361" s="420"/>
      <c r="AB361" s="420"/>
      <c r="AC361" s="420"/>
      <c r="AD361" s="420"/>
      <c r="AE361" s="420"/>
      <c r="AF361" s="367"/>
      <c r="AG361" s="420"/>
      <c r="AH361" s="367"/>
      <c r="AI361" s="367"/>
      <c r="AJ361" s="367"/>
      <c r="AK361" s="358"/>
      <c r="AL361" s="358"/>
      <c r="AM361" s="358"/>
      <c r="AN361" s="358"/>
      <c r="AO361" s="358"/>
      <c r="AP361" s="367"/>
    </row>
    <row r="362">
      <c r="A362" s="418"/>
      <c r="B362" s="418"/>
      <c r="C362" s="418"/>
      <c r="D362" s="418"/>
      <c r="E362" s="418"/>
      <c r="F362" s="418"/>
      <c r="G362" s="367"/>
      <c r="H362" s="418"/>
      <c r="I362" s="418"/>
      <c r="J362" s="418"/>
      <c r="K362" s="418"/>
      <c r="L362" s="420"/>
      <c r="M362" s="420"/>
      <c r="N362" s="420"/>
      <c r="O362" s="420"/>
      <c r="P362" s="420"/>
      <c r="Q362" s="420"/>
      <c r="R362" s="420"/>
      <c r="S362" s="420"/>
      <c r="T362" s="420"/>
      <c r="U362" s="420"/>
      <c r="V362" s="420"/>
      <c r="W362" s="420"/>
      <c r="X362" s="420"/>
      <c r="Y362" s="420"/>
      <c r="Z362" s="367"/>
      <c r="AA362" s="420"/>
      <c r="AB362" s="420"/>
      <c r="AC362" s="420"/>
      <c r="AD362" s="420"/>
      <c r="AE362" s="420"/>
      <c r="AF362" s="367"/>
      <c r="AG362" s="420"/>
      <c r="AH362" s="367"/>
      <c r="AI362" s="367"/>
      <c r="AJ362" s="367"/>
      <c r="AK362" s="358"/>
      <c r="AL362" s="358"/>
      <c r="AM362" s="358"/>
      <c r="AN362" s="358"/>
      <c r="AO362" s="358"/>
      <c r="AP362" s="367"/>
    </row>
    <row r="363">
      <c r="A363" s="418"/>
      <c r="B363" s="418"/>
      <c r="C363" s="418"/>
      <c r="D363" s="418"/>
      <c r="E363" s="418"/>
      <c r="F363" s="418"/>
      <c r="G363" s="367"/>
      <c r="H363" s="418"/>
      <c r="I363" s="418"/>
      <c r="J363" s="418"/>
      <c r="K363" s="418"/>
      <c r="L363" s="420"/>
      <c r="M363" s="420"/>
      <c r="N363" s="420"/>
      <c r="O363" s="420"/>
      <c r="P363" s="420"/>
      <c r="Q363" s="420"/>
      <c r="R363" s="420"/>
      <c r="S363" s="420"/>
      <c r="T363" s="420"/>
      <c r="U363" s="420"/>
      <c r="V363" s="420"/>
      <c r="W363" s="420"/>
      <c r="X363" s="420"/>
      <c r="Y363" s="420"/>
      <c r="Z363" s="367"/>
      <c r="AA363" s="420"/>
      <c r="AB363" s="420"/>
      <c r="AC363" s="420"/>
      <c r="AD363" s="420"/>
      <c r="AE363" s="420"/>
      <c r="AF363" s="367"/>
      <c r="AG363" s="420"/>
      <c r="AH363" s="367"/>
      <c r="AI363" s="367"/>
      <c r="AJ363" s="367"/>
      <c r="AK363" s="358"/>
      <c r="AL363" s="358"/>
      <c r="AM363" s="358"/>
      <c r="AN363" s="358"/>
      <c r="AO363" s="358"/>
      <c r="AP363" s="367"/>
    </row>
    <row r="364">
      <c r="A364" s="418"/>
      <c r="B364" s="418"/>
      <c r="C364" s="418"/>
      <c r="D364" s="418"/>
      <c r="E364" s="418"/>
      <c r="F364" s="418"/>
      <c r="G364" s="367"/>
      <c r="H364" s="418"/>
      <c r="I364" s="418"/>
      <c r="J364" s="418"/>
      <c r="K364" s="418"/>
      <c r="L364" s="420"/>
      <c r="M364" s="420"/>
      <c r="N364" s="420"/>
      <c r="O364" s="420"/>
      <c r="P364" s="420"/>
      <c r="Q364" s="420"/>
      <c r="R364" s="420"/>
      <c r="S364" s="420"/>
      <c r="T364" s="420"/>
      <c r="U364" s="420"/>
      <c r="V364" s="420"/>
      <c r="W364" s="420"/>
      <c r="X364" s="420"/>
      <c r="Y364" s="420"/>
      <c r="Z364" s="367"/>
      <c r="AA364" s="420"/>
      <c r="AB364" s="420"/>
      <c r="AC364" s="420"/>
      <c r="AD364" s="420"/>
      <c r="AE364" s="420"/>
      <c r="AF364" s="367"/>
      <c r="AG364" s="420"/>
      <c r="AH364" s="367"/>
      <c r="AI364" s="367"/>
      <c r="AJ364" s="367"/>
      <c r="AK364" s="358"/>
      <c r="AL364" s="358"/>
      <c r="AM364" s="358"/>
      <c r="AN364" s="358"/>
      <c r="AO364" s="358"/>
      <c r="AP364" s="367"/>
    </row>
    <row r="365">
      <c r="A365" s="418"/>
      <c r="B365" s="418"/>
      <c r="C365" s="418"/>
      <c r="D365" s="418"/>
      <c r="E365" s="418"/>
      <c r="F365" s="418"/>
      <c r="G365" s="367"/>
      <c r="H365" s="418"/>
      <c r="I365" s="418"/>
      <c r="J365" s="418"/>
      <c r="K365" s="418"/>
      <c r="L365" s="420"/>
      <c r="M365" s="420"/>
      <c r="N365" s="420"/>
      <c r="O365" s="420"/>
      <c r="P365" s="420"/>
      <c r="Q365" s="420"/>
      <c r="R365" s="420"/>
      <c r="S365" s="420"/>
      <c r="T365" s="420"/>
      <c r="U365" s="420"/>
      <c r="V365" s="420"/>
      <c r="W365" s="420"/>
      <c r="X365" s="420"/>
      <c r="Y365" s="420"/>
      <c r="Z365" s="367"/>
      <c r="AA365" s="420"/>
      <c r="AB365" s="420"/>
      <c r="AC365" s="420"/>
      <c r="AD365" s="420"/>
      <c r="AE365" s="420"/>
      <c r="AF365" s="367"/>
      <c r="AG365" s="420"/>
      <c r="AH365" s="367"/>
      <c r="AI365" s="367"/>
      <c r="AJ365" s="367"/>
      <c r="AK365" s="358"/>
      <c r="AL365" s="358"/>
      <c r="AM365" s="358"/>
      <c r="AN365" s="358"/>
      <c r="AO365" s="358"/>
      <c r="AP365" s="367"/>
    </row>
    <row r="366">
      <c r="A366" s="418"/>
      <c r="B366" s="418"/>
      <c r="C366" s="418"/>
      <c r="D366" s="418"/>
      <c r="E366" s="418"/>
      <c r="F366" s="418"/>
      <c r="G366" s="367"/>
      <c r="H366" s="418"/>
      <c r="I366" s="418"/>
      <c r="J366" s="418"/>
      <c r="K366" s="418"/>
      <c r="L366" s="420"/>
      <c r="M366" s="420"/>
      <c r="N366" s="420"/>
      <c r="O366" s="420"/>
      <c r="P366" s="420"/>
      <c r="Q366" s="420"/>
      <c r="R366" s="420"/>
      <c r="S366" s="420"/>
      <c r="T366" s="420"/>
      <c r="U366" s="420"/>
      <c r="V366" s="420"/>
      <c r="W366" s="420"/>
      <c r="X366" s="420"/>
      <c r="Y366" s="420"/>
      <c r="Z366" s="367"/>
      <c r="AA366" s="420"/>
      <c r="AB366" s="420"/>
      <c r="AC366" s="420"/>
      <c r="AD366" s="420"/>
      <c r="AE366" s="420"/>
      <c r="AF366" s="367"/>
      <c r="AG366" s="420"/>
      <c r="AH366" s="367"/>
      <c r="AI366" s="367"/>
      <c r="AJ366" s="367"/>
      <c r="AK366" s="358"/>
      <c r="AL366" s="358"/>
      <c r="AM366" s="358"/>
      <c r="AN366" s="358"/>
      <c r="AO366" s="358"/>
      <c r="AP366" s="367"/>
    </row>
    <row r="367">
      <c r="A367" s="418"/>
      <c r="B367" s="418"/>
      <c r="C367" s="418"/>
      <c r="D367" s="418"/>
      <c r="E367" s="418"/>
      <c r="F367" s="418"/>
      <c r="G367" s="367"/>
      <c r="H367" s="418"/>
      <c r="I367" s="418"/>
      <c r="J367" s="418"/>
      <c r="K367" s="418"/>
      <c r="L367" s="420"/>
      <c r="M367" s="420"/>
      <c r="N367" s="420"/>
      <c r="O367" s="420"/>
      <c r="P367" s="420"/>
      <c r="Q367" s="420"/>
      <c r="R367" s="420"/>
      <c r="S367" s="420"/>
      <c r="T367" s="420"/>
      <c r="U367" s="420"/>
      <c r="V367" s="420"/>
      <c r="W367" s="420"/>
      <c r="X367" s="420"/>
      <c r="Y367" s="420"/>
      <c r="Z367" s="367"/>
      <c r="AA367" s="420"/>
      <c r="AB367" s="420"/>
      <c r="AC367" s="420"/>
      <c r="AD367" s="420"/>
      <c r="AE367" s="420"/>
      <c r="AF367" s="367"/>
      <c r="AG367" s="420"/>
      <c r="AH367" s="367"/>
      <c r="AI367" s="367"/>
      <c r="AJ367" s="367"/>
      <c r="AK367" s="358"/>
      <c r="AL367" s="358"/>
      <c r="AM367" s="358"/>
      <c r="AN367" s="358"/>
      <c r="AO367" s="358"/>
      <c r="AP367" s="367"/>
    </row>
    <row r="368">
      <c r="A368" s="418"/>
      <c r="B368" s="418"/>
      <c r="C368" s="418"/>
      <c r="D368" s="418"/>
      <c r="E368" s="418"/>
      <c r="F368" s="418"/>
      <c r="G368" s="367"/>
      <c r="H368" s="418"/>
      <c r="I368" s="418"/>
      <c r="J368" s="418"/>
      <c r="K368" s="418"/>
      <c r="L368" s="420"/>
      <c r="M368" s="420"/>
      <c r="N368" s="420"/>
      <c r="O368" s="420"/>
      <c r="P368" s="420"/>
      <c r="Q368" s="420"/>
      <c r="R368" s="420"/>
      <c r="S368" s="420"/>
      <c r="T368" s="420"/>
      <c r="U368" s="420"/>
      <c r="V368" s="420"/>
      <c r="W368" s="420"/>
      <c r="X368" s="420"/>
      <c r="Y368" s="420"/>
      <c r="Z368" s="367"/>
      <c r="AA368" s="420"/>
      <c r="AB368" s="420"/>
      <c r="AC368" s="420"/>
      <c r="AD368" s="420"/>
      <c r="AE368" s="420"/>
      <c r="AF368" s="367"/>
      <c r="AG368" s="420"/>
      <c r="AH368" s="367"/>
      <c r="AI368" s="367"/>
      <c r="AJ368" s="367"/>
      <c r="AK368" s="358"/>
      <c r="AL368" s="358"/>
      <c r="AM368" s="358"/>
      <c r="AN368" s="358"/>
      <c r="AO368" s="358"/>
      <c r="AP368" s="367"/>
    </row>
    <row r="369">
      <c r="A369" s="418"/>
      <c r="B369" s="418"/>
      <c r="C369" s="418"/>
      <c r="D369" s="418"/>
      <c r="E369" s="418"/>
      <c r="F369" s="418"/>
      <c r="G369" s="367"/>
      <c r="H369" s="418"/>
      <c r="I369" s="418"/>
      <c r="J369" s="418"/>
      <c r="K369" s="418"/>
      <c r="L369" s="420"/>
      <c r="M369" s="420"/>
      <c r="N369" s="420"/>
      <c r="O369" s="420"/>
      <c r="P369" s="420"/>
      <c r="Q369" s="420"/>
      <c r="R369" s="420"/>
      <c r="S369" s="420"/>
      <c r="T369" s="420"/>
      <c r="U369" s="420"/>
      <c r="V369" s="420"/>
      <c r="W369" s="420"/>
      <c r="X369" s="420"/>
      <c r="Y369" s="420"/>
      <c r="Z369" s="367"/>
      <c r="AA369" s="420"/>
      <c r="AB369" s="420"/>
      <c r="AC369" s="420"/>
      <c r="AD369" s="420"/>
      <c r="AE369" s="420"/>
      <c r="AF369" s="367"/>
      <c r="AG369" s="420"/>
      <c r="AH369" s="367"/>
      <c r="AI369" s="367"/>
      <c r="AJ369" s="367"/>
      <c r="AK369" s="358"/>
      <c r="AL369" s="358"/>
      <c r="AM369" s="358"/>
      <c r="AN369" s="358"/>
      <c r="AO369" s="358"/>
      <c r="AP369" s="367"/>
    </row>
    <row r="370">
      <c r="A370" s="418"/>
      <c r="B370" s="418"/>
      <c r="C370" s="418"/>
      <c r="D370" s="418"/>
      <c r="E370" s="418"/>
      <c r="F370" s="418"/>
      <c r="G370" s="367"/>
      <c r="H370" s="418"/>
      <c r="I370" s="418"/>
      <c r="J370" s="418"/>
      <c r="K370" s="418"/>
      <c r="L370" s="420"/>
      <c r="M370" s="420"/>
      <c r="N370" s="420"/>
      <c r="O370" s="420"/>
      <c r="P370" s="420"/>
      <c r="Q370" s="420"/>
      <c r="R370" s="420"/>
      <c r="S370" s="420"/>
      <c r="T370" s="420"/>
      <c r="U370" s="420"/>
      <c r="V370" s="420"/>
      <c r="W370" s="420"/>
      <c r="X370" s="420"/>
      <c r="Y370" s="420"/>
      <c r="Z370" s="367"/>
      <c r="AA370" s="420"/>
      <c r="AB370" s="420"/>
      <c r="AC370" s="420"/>
      <c r="AD370" s="420"/>
      <c r="AE370" s="420"/>
      <c r="AF370" s="367"/>
      <c r="AG370" s="420"/>
      <c r="AH370" s="367"/>
      <c r="AI370" s="367"/>
      <c r="AJ370" s="367"/>
      <c r="AK370" s="358"/>
      <c r="AL370" s="358"/>
      <c r="AM370" s="358"/>
      <c r="AN370" s="358"/>
      <c r="AO370" s="358"/>
      <c r="AP370" s="367"/>
    </row>
    <row r="371">
      <c r="A371" s="418"/>
      <c r="B371" s="418"/>
      <c r="C371" s="418"/>
      <c r="D371" s="418"/>
      <c r="E371" s="418"/>
      <c r="F371" s="418"/>
      <c r="G371" s="367"/>
      <c r="H371" s="418"/>
      <c r="I371" s="418"/>
      <c r="J371" s="418"/>
      <c r="K371" s="418"/>
      <c r="L371" s="420"/>
      <c r="M371" s="420"/>
      <c r="N371" s="420"/>
      <c r="O371" s="420"/>
      <c r="P371" s="420"/>
      <c r="Q371" s="420"/>
      <c r="R371" s="420"/>
      <c r="S371" s="420"/>
      <c r="T371" s="420"/>
      <c r="U371" s="420"/>
      <c r="V371" s="420"/>
      <c r="W371" s="420"/>
      <c r="X371" s="420"/>
      <c r="Y371" s="420"/>
      <c r="Z371" s="367"/>
      <c r="AA371" s="420"/>
      <c r="AB371" s="420"/>
      <c r="AC371" s="420"/>
      <c r="AD371" s="420"/>
      <c r="AE371" s="420"/>
      <c r="AF371" s="367"/>
      <c r="AG371" s="420"/>
      <c r="AH371" s="367"/>
      <c r="AI371" s="367"/>
      <c r="AJ371" s="367"/>
      <c r="AK371" s="358"/>
      <c r="AL371" s="358"/>
      <c r="AM371" s="358"/>
      <c r="AN371" s="358"/>
      <c r="AO371" s="358"/>
      <c r="AP371" s="367"/>
    </row>
    <row r="372">
      <c r="A372" s="418"/>
      <c r="B372" s="418"/>
      <c r="C372" s="418"/>
      <c r="D372" s="418"/>
      <c r="E372" s="418"/>
      <c r="F372" s="418"/>
      <c r="G372" s="367"/>
      <c r="H372" s="418"/>
      <c r="I372" s="418"/>
      <c r="J372" s="418"/>
      <c r="K372" s="418"/>
      <c r="L372" s="420"/>
      <c r="M372" s="420"/>
      <c r="N372" s="420"/>
      <c r="O372" s="420"/>
      <c r="P372" s="420"/>
      <c r="Q372" s="420"/>
      <c r="R372" s="420"/>
      <c r="S372" s="420"/>
      <c r="T372" s="420"/>
      <c r="U372" s="420"/>
      <c r="V372" s="420"/>
      <c r="W372" s="420"/>
      <c r="X372" s="420"/>
      <c r="Y372" s="420"/>
      <c r="Z372" s="367"/>
      <c r="AA372" s="420"/>
      <c r="AB372" s="420"/>
      <c r="AC372" s="420"/>
      <c r="AD372" s="420"/>
      <c r="AE372" s="420"/>
      <c r="AF372" s="367"/>
      <c r="AG372" s="420"/>
      <c r="AH372" s="367"/>
      <c r="AI372" s="367"/>
      <c r="AJ372" s="367"/>
      <c r="AK372" s="358"/>
      <c r="AL372" s="358"/>
      <c r="AM372" s="358"/>
      <c r="AN372" s="358"/>
      <c r="AO372" s="358"/>
      <c r="AP372" s="367"/>
    </row>
    <row r="373">
      <c r="A373" s="418"/>
      <c r="B373" s="418"/>
      <c r="C373" s="418"/>
      <c r="D373" s="418"/>
      <c r="E373" s="418"/>
      <c r="F373" s="418"/>
      <c r="G373" s="367"/>
      <c r="H373" s="418"/>
      <c r="I373" s="418"/>
      <c r="J373" s="418"/>
      <c r="K373" s="418"/>
      <c r="L373" s="420"/>
      <c r="M373" s="420"/>
      <c r="N373" s="420"/>
      <c r="O373" s="420"/>
      <c r="P373" s="420"/>
      <c r="Q373" s="420"/>
      <c r="R373" s="420"/>
      <c r="S373" s="420"/>
      <c r="T373" s="420"/>
      <c r="U373" s="420"/>
      <c r="V373" s="420"/>
      <c r="W373" s="420"/>
      <c r="X373" s="420"/>
      <c r="Y373" s="420"/>
      <c r="Z373" s="367"/>
      <c r="AA373" s="420"/>
      <c r="AB373" s="420"/>
      <c r="AC373" s="420"/>
      <c r="AD373" s="420"/>
      <c r="AE373" s="420"/>
      <c r="AF373" s="367"/>
      <c r="AG373" s="420"/>
      <c r="AH373" s="367"/>
      <c r="AI373" s="367"/>
      <c r="AJ373" s="367"/>
      <c r="AK373" s="358"/>
      <c r="AL373" s="358"/>
      <c r="AM373" s="358"/>
      <c r="AN373" s="358"/>
      <c r="AO373" s="358"/>
      <c r="AP373" s="367"/>
    </row>
    <row r="374">
      <c r="A374" s="418"/>
      <c r="B374" s="418"/>
      <c r="C374" s="418"/>
      <c r="D374" s="418"/>
      <c r="E374" s="418"/>
      <c r="F374" s="418"/>
      <c r="G374" s="367"/>
      <c r="H374" s="418"/>
      <c r="I374" s="418"/>
      <c r="J374" s="418"/>
      <c r="K374" s="418"/>
      <c r="L374" s="420"/>
      <c r="M374" s="420"/>
      <c r="N374" s="420"/>
      <c r="O374" s="420"/>
      <c r="P374" s="420"/>
      <c r="Q374" s="420"/>
      <c r="R374" s="420"/>
      <c r="S374" s="420"/>
      <c r="T374" s="420"/>
      <c r="U374" s="420"/>
      <c r="V374" s="420"/>
      <c r="W374" s="420"/>
      <c r="X374" s="420"/>
      <c r="Y374" s="420"/>
      <c r="Z374" s="367"/>
      <c r="AA374" s="420"/>
      <c r="AB374" s="420"/>
      <c r="AC374" s="420"/>
      <c r="AD374" s="420"/>
      <c r="AE374" s="420"/>
      <c r="AF374" s="367"/>
      <c r="AG374" s="420"/>
      <c r="AH374" s="367"/>
      <c r="AI374" s="367"/>
      <c r="AJ374" s="367"/>
      <c r="AK374" s="358"/>
      <c r="AL374" s="358"/>
      <c r="AM374" s="358"/>
      <c r="AN374" s="358"/>
      <c r="AO374" s="358"/>
      <c r="AP374" s="367"/>
    </row>
    <row r="375">
      <c r="A375" s="418"/>
      <c r="B375" s="418"/>
      <c r="C375" s="418"/>
      <c r="D375" s="418"/>
      <c r="E375" s="418"/>
      <c r="F375" s="418"/>
      <c r="G375" s="367"/>
      <c r="H375" s="418"/>
      <c r="I375" s="418"/>
      <c r="J375" s="418"/>
      <c r="K375" s="418"/>
      <c r="L375" s="420"/>
      <c r="M375" s="420"/>
      <c r="N375" s="420"/>
      <c r="O375" s="420"/>
      <c r="P375" s="420"/>
      <c r="Q375" s="420"/>
      <c r="R375" s="420"/>
      <c r="S375" s="420"/>
      <c r="T375" s="420"/>
      <c r="U375" s="420"/>
      <c r="V375" s="420"/>
      <c r="W375" s="420"/>
      <c r="X375" s="420"/>
      <c r="Y375" s="420"/>
      <c r="Z375" s="367"/>
      <c r="AA375" s="420"/>
      <c r="AB375" s="420"/>
      <c r="AC375" s="420"/>
      <c r="AD375" s="420"/>
      <c r="AE375" s="420"/>
      <c r="AF375" s="367"/>
      <c r="AG375" s="420"/>
      <c r="AH375" s="367"/>
      <c r="AI375" s="367"/>
      <c r="AJ375" s="367"/>
      <c r="AK375" s="358"/>
      <c r="AL375" s="358"/>
      <c r="AM375" s="358"/>
      <c r="AN375" s="358"/>
      <c r="AO375" s="358"/>
      <c r="AP375" s="367"/>
    </row>
    <row r="376">
      <c r="A376" s="418"/>
      <c r="B376" s="418"/>
      <c r="C376" s="418"/>
      <c r="D376" s="418"/>
      <c r="E376" s="418"/>
      <c r="F376" s="418"/>
      <c r="G376" s="367"/>
      <c r="H376" s="418"/>
      <c r="I376" s="418"/>
      <c r="J376" s="418"/>
      <c r="K376" s="418"/>
      <c r="L376" s="420"/>
      <c r="M376" s="420"/>
      <c r="N376" s="420"/>
      <c r="O376" s="420"/>
      <c r="P376" s="420"/>
      <c r="Q376" s="420"/>
      <c r="R376" s="420"/>
      <c r="S376" s="420"/>
      <c r="T376" s="420"/>
      <c r="U376" s="420"/>
      <c r="V376" s="420"/>
      <c r="W376" s="420"/>
      <c r="X376" s="420"/>
      <c r="Y376" s="420"/>
      <c r="Z376" s="367"/>
      <c r="AA376" s="420"/>
      <c r="AB376" s="420"/>
      <c r="AC376" s="420"/>
      <c r="AD376" s="420"/>
      <c r="AE376" s="420"/>
      <c r="AF376" s="367"/>
      <c r="AG376" s="420"/>
      <c r="AH376" s="367"/>
      <c r="AI376" s="367"/>
      <c r="AJ376" s="367"/>
      <c r="AK376" s="358"/>
      <c r="AL376" s="358"/>
      <c r="AM376" s="358"/>
      <c r="AN376" s="358"/>
      <c r="AO376" s="358"/>
      <c r="AP376" s="367"/>
    </row>
    <row r="377">
      <c r="A377" s="418"/>
      <c r="B377" s="418"/>
      <c r="C377" s="418"/>
      <c r="D377" s="418"/>
      <c r="E377" s="418"/>
      <c r="F377" s="418"/>
      <c r="G377" s="367"/>
      <c r="H377" s="418"/>
      <c r="I377" s="418"/>
      <c r="J377" s="418"/>
      <c r="K377" s="418"/>
      <c r="L377" s="420"/>
      <c r="M377" s="420"/>
      <c r="N377" s="420"/>
      <c r="O377" s="420"/>
      <c r="P377" s="420"/>
      <c r="Q377" s="420"/>
      <c r="R377" s="420"/>
      <c r="S377" s="420"/>
      <c r="T377" s="420"/>
      <c r="U377" s="420"/>
      <c r="V377" s="420"/>
      <c r="W377" s="420"/>
      <c r="X377" s="420"/>
      <c r="Y377" s="420"/>
      <c r="Z377" s="367"/>
      <c r="AA377" s="420"/>
      <c r="AB377" s="420"/>
      <c r="AC377" s="420"/>
      <c r="AD377" s="420"/>
      <c r="AE377" s="420"/>
      <c r="AF377" s="367"/>
      <c r="AG377" s="420"/>
      <c r="AH377" s="367"/>
      <c r="AI377" s="367"/>
      <c r="AJ377" s="367"/>
      <c r="AK377" s="358"/>
      <c r="AL377" s="358"/>
      <c r="AM377" s="358"/>
      <c r="AN377" s="358"/>
      <c r="AO377" s="358"/>
      <c r="AP377" s="367"/>
    </row>
    <row r="378">
      <c r="A378" s="418"/>
      <c r="B378" s="418"/>
      <c r="C378" s="418"/>
      <c r="D378" s="418"/>
      <c r="E378" s="418"/>
      <c r="F378" s="418"/>
      <c r="G378" s="367"/>
      <c r="H378" s="418"/>
      <c r="I378" s="418"/>
      <c r="J378" s="418"/>
      <c r="K378" s="418"/>
      <c r="L378" s="420"/>
      <c r="M378" s="420"/>
      <c r="N378" s="420"/>
      <c r="O378" s="420"/>
      <c r="P378" s="420"/>
      <c r="Q378" s="420"/>
      <c r="R378" s="420"/>
      <c r="S378" s="420"/>
      <c r="T378" s="420"/>
      <c r="U378" s="420"/>
      <c r="V378" s="420"/>
      <c r="W378" s="420"/>
      <c r="X378" s="420"/>
      <c r="Y378" s="420"/>
      <c r="Z378" s="367"/>
      <c r="AA378" s="420"/>
      <c r="AB378" s="420"/>
      <c r="AC378" s="420"/>
      <c r="AD378" s="420"/>
      <c r="AE378" s="420"/>
      <c r="AF378" s="367"/>
      <c r="AG378" s="420"/>
      <c r="AH378" s="367"/>
      <c r="AI378" s="367"/>
      <c r="AJ378" s="367"/>
      <c r="AK378" s="358"/>
      <c r="AL378" s="358"/>
      <c r="AM378" s="358"/>
      <c r="AN378" s="358"/>
      <c r="AO378" s="358"/>
      <c r="AP378" s="367"/>
    </row>
    <row r="379">
      <c r="A379" s="418"/>
      <c r="B379" s="418"/>
      <c r="C379" s="418"/>
      <c r="D379" s="418"/>
      <c r="E379" s="418"/>
      <c r="F379" s="418"/>
      <c r="G379" s="367"/>
      <c r="H379" s="418"/>
      <c r="I379" s="418"/>
      <c r="J379" s="418"/>
      <c r="K379" s="418"/>
      <c r="L379" s="420"/>
      <c r="M379" s="420"/>
      <c r="N379" s="420"/>
      <c r="O379" s="420"/>
      <c r="P379" s="420"/>
      <c r="Q379" s="420"/>
      <c r="R379" s="420"/>
      <c r="S379" s="420"/>
      <c r="T379" s="420"/>
      <c r="U379" s="420"/>
      <c r="V379" s="420"/>
      <c r="W379" s="420"/>
      <c r="X379" s="420"/>
      <c r="Y379" s="420"/>
      <c r="Z379" s="367"/>
      <c r="AA379" s="420"/>
      <c r="AB379" s="420"/>
      <c r="AC379" s="420"/>
      <c r="AD379" s="420"/>
      <c r="AE379" s="420"/>
      <c r="AF379" s="367"/>
      <c r="AG379" s="420"/>
      <c r="AH379" s="367"/>
      <c r="AI379" s="367"/>
      <c r="AJ379" s="367"/>
      <c r="AK379" s="358"/>
      <c r="AL379" s="358"/>
      <c r="AM379" s="358"/>
      <c r="AN379" s="358"/>
      <c r="AO379" s="358"/>
      <c r="AP379" s="367"/>
    </row>
    <row r="380">
      <c r="A380" s="418"/>
      <c r="B380" s="418"/>
      <c r="C380" s="418"/>
      <c r="D380" s="418"/>
      <c r="E380" s="418"/>
      <c r="F380" s="418"/>
      <c r="G380" s="367"/>
      <c r="H380" s="418"/>
      <c r="I380" s="418"/>
      <c r="J380" s="418"/>
      <c r="K380" s="418"/>
      <c r="L380" s="420"/>
      <c r="M380" s="420"/>
      <c r="N380" s="420"/>
      <c r="O380" s="420"/>
      <c r="P380" s="420"/>
      <c r="Q380" s="420"/>
      <c r="R380" s="420"/>
      <c r="S380" s="420"/>
      <c r="T380" s="420"/>
      <c r="U380" s="420"/>
      <c r="V380" s="420"/>
      <c r="W380" s="420"/>
      <c r="X380" s="420"/>
      <c r="Y380" s="420"/>
      <c r="Z380" s="367"/>
      <c r="AA380" s="420"/>
      <c r="AB380" s="420"/>
      <c r="AC380" s="420"/>
      <c r="AD380" s="420"/>
      <c r="AE380" s="420"/>
      <c r="AF380" s="367"/>
      <c r="AG380" s="420"/>
      <c r="AH380" s="367"/>
      <c r="AI380" s="367"/>
      <c r="AJ380" s="367"/>
      <c r="AK380" s="358"/>
      <c r="AL380" s="358"/>
      <c r="AM380" s="358"/>
      <c r="AN380" s="358"/>
      <c r="AO380" s="358"/>
      <c r="AP380" s="367"/>
    </row>
    <row r="381">
      <c r="A381" s="418"/>
      <c r="B381" s="418"/>
      <c r="C381" s="418"/>
      <c r="D381" s="418"/>
      <c r="E381" s="418"/>
      <c r="F381" s="418"/>
      <c r="G381" s="367"/>
      <c r="H381" s="418"/>
      <c r="I381" s="418"/>
      <c r="J381" s="418"/>
      <c r="K381" s="418"/>
      <c r="L381" s="420"/>
      <c r="M381" s="420"/>
      <c r="N381" s="420"/>
      <c r="O381" s="420"/>
      <c r="P381" s="420"/>
      <c r="Q381" s="420"/>
      <c r="R381" s="420"/>
      <c r="S381" s="420"/>
      <c r="T381" s="420"/>
      <c r="U381" s="420"/>
      <c r="V381" s="420"/>
      <c r="W381" s="420"/>
      <c r="X381" s="420"/>
      <c r="Y381" s="420"/>
      <c r="Z381" s="367"/>
      <c r="AA381" s="420"/>
      <c r="AB381" s="420"/>
      <c r="AC381" s="420"/>
      <c r="AD381" s="420"/>
      <c r="AE381" s="420"/>
      <c r="AF381" s="367"/>
      <c r="AG381" s="420"/>
      <c r="AH381" s="367"/>
      <c r="AI381" s="367"/>
      <c r="AJ381" s="367"/>
      <c r="AK381" s="358"/>
      <c r="AL381" s="358"/>
      <c r="AM381" s="358"/>
      <c r="AN381" s="358"/>
      <c r="AO381" s="358"/>
      <c r="AP381" s="367"/>
    </row>
    <row r="382">
      <c r="A382" s="418"/>
      <c r="B382" s="418"/>
      <c r="C382" s="418"/>
      <c r="D382" s="418"/>
      <c r="E382" s="418"/>
      <c r="F382" s="418"/>
      <c r="G382" s="367"/>
      <c r="H382" s="418"/>
      <c r="I382" s="418"/>
      <c r="J382" s="418"/>
      <c r="K382" s="418"/>
      <c r="L382" s="420"/>
      <c r="M382" s="420"/>
      <c r="N382" s="420"/>
      <c r="O382" s="420"/>
      <c r="P382" s="420"/>
      <c r="Q382" s="420"/>
      <c r="R382" s="420"/>
      <c r="S382" s="420"/>
      <c r="T382" s="420"/>
      <c r="U382" s="420"/>
      <c r="V382" s="420"/>
      <c r="W382" s="420"/>
      <c r="X382" s="420"/>
      <c r="Y382" s="420"/>
      <c r="Z382" s="367"/>
      <c r="AA382" s="420"/>
      <c r="AB382" s="420"/>
      <c r="AC382" s="420"/>
      <c r="AD382" s="420"/>
      <c r="AE382" s="420"/>
      <c r="AF382" s="367"/>
      <c r="AG382" s="420"/>
      <c r="AH382" s="367"/>
      <c r="AI382" s="367"/>
      <c r="AJ382" s="367"/>
      <c r="AK382" s="358"/>
      <c r="AL382" s="358"/>
      <c r="AM382" s="358"/>
      <c r="AN382" s="358"/>
      <c r="AO382" s="358"/>
      <c r="AP382" s="367"/>
    </row>
    <row r="383">
      <c r="A383" s="418"/>
      <c r="B383" s="418"/>
      <c r="C383" s="418"/>
      <c r="D383" s="418"/>
      <c r="E383" s="418"/>
      <c r="F383" s="418"/>
      <c r="G383" s="367"/>
      <c r="H383" s="418"/>
      <c r="I383" s="418"/>
      <c r="J383" s="418"/>
      <c r="K383" s="418"/>
      <c r="L383" s="420"/>
      <c r="M383" s="420"/>
      <c r="N383" s="420"/>
      <c r="O383" s="420"/>
      <c r="P383" s="420"/>
      <c r="Q383" s="420"/>
      <c r="R383" s="420"/>
      <c r="S383" s="420"/>
      <c r="T383" s="420"/>
      <c r="U383" s="420"/>
      <c r="V383" s="420"/>
      <c r="W383" s="420"/>
      <c r="X383" s="420"/>
      <c r="Y383" s="420"/>
      <c r="Z383" s="367"/>
      <c r="AA383" s="420"/>
      <c r="AB383" s="420"/>
      <c r="AC383" s="420"/>
      <c r="AD383" s="420"/>
      <c r="AE383" s="420"/>
      <c r="AF383" s="367"/>
      <c r="AG383" s="420"/>
      <c r="AH383" s="367"/>
      <c r="AI383" s="367"/>
      <c r="AJ383" s="367"/>
      <c r="AK383" s="358"/>
      <c r="AL383" s="358"/>
      <c r="AM383" s="358"/>
      <c r="AN383" s="358"/>
      <c r="AO383" s="358"/>
      <c r="AP383" s="367"/>
    </row>
    <row r="384">
      <c r="A384" s="418"/>
      <c r="B384" s="418"/>
      <c r="C384" s="418"/>
      <c r="D384" s="418"/>
      <c r="E384" s="418"/>
      <c r="F384" s="418"/>
      <c r="G384" s="367"/>
      <c r="H384" s="418"/>
      <c r="I384" s="418"/>
      <c r="J384" s="418"/>
      <c r="K384" s="418"/>
      <c r="L384" s="420"/>
      <c r="M384" s="420"/>
      <c r="N384" s="420"/>
      <c r="O384" s="420"/>
      <c r="P384" s="420"/>
      <c r="Q384" s="420"/>
      <c r="R384" s="420"/>
      <c r="S384" s="420"/>
      <c r="T384" s="420"/>
      <c r="U384" s="420"/>
      <c r="V384" s="420"/>
      <c r="W384" s="420"/>
      <c r="X384" s="420"/>
      <c r="Y384" s="420"/>
      <c r="Z384" s="367"/>
      <c r="AA384" s="420"/>
      <c r="AB384" s="420"/>
      <c r="AC384" s="420"/>
      <c r="AD384" s="420"/>
      <c r="AE384" s="420"/>
      <c r="AF384" s="367"/>
      <c r="AG384" s="420"/>
      <c r="AH384" s="367"/>
      <c r="AI384" s="367"/>
      <c r="AJ384" s="367"/>
      <c r="AK384" s="358"/>
      <c r="AL384" s="358"/>
      <c r="AM384" s="358"/>
      <c r="AN384" s="358"/>
      <c r="AO384" s="358"/>
      <c r="AP384" s="367"/>
    </row>
    <row r="385">
      <c r="A385" s="418"/>
      <c r="B385" s="418"/>
      <c r="C385" s="418"/>
      <c r="D385" s="418"/>
      <c r="E385" s="418"/>
      <c r="F385" s="418"/>
      <c r="G385" s="367"/>
      <c r="H385" s="418"/>
      <c r="I385" s="418"/>
      <c r="J385" s="418"/>
      <c r="K385" s="418"/>
      <c r="L385" s="420"/>
      <c r="M385" s="420"/>
      <c r="N385" s="420"/>
      <c r="O385" s="420"/>
      <c r="P385" s="420"/>
      <c r="Q385" s="420"/>
      <c r="R385" s="420"/>
      <c r="S385" s="420"/>
      <c r="T385" s="420"/>
      <c r="U385" s="420"/>
      <c r="V385" s="420"/>
      <c r="W385" s="420"/>
      <c r="X385" s="420"/>
      <c r="Y385" s="420"/>
      <c r="Z385" s="367"/>
      <c r="AA385" s="420"/>
      <c r="AB385" s="420"/>
      <c r="AC385" s="420"/>
      <c r="AD385" s="420"/>
      <c r="AE385" s="420"/>
      <c r="AF385" s="367"/>
      <c r="AG385" s="420"/>
      <c r="AH385" s="367"/>
      <c r="AI385" s="367"/>
      <c r="AJ385" s="367"/>
      <c r="AK385" s="358"/>
      <c r="AL385" s="358"/>
      <c r="AM385" s="358"/>
      <c r="AN385" s="358"/>
      <c r="AO385" s="358"/>
      <c r="AP385" s="367"/>
    </row>
    <row r="386">
      <c r="A386" s="418"/>
      <c r="B386" s="418"/>
      <c r="C386" s="418"/>
      <c r="D386" s="418"/>
      <c r="E386" s="418"/>
      <c r="F386" s="418"/>
      <c r="G386" s="367"/>
      <c r="H386" s="418"/>
      <c r="I386" s="418"/>
      <c r="J386" s="418"/>
      <c r="K386" s="418"/>
      <c r="L386" s="420"/>
      <c r="M386" s="420"/>
      <c r="N386" s="420"/>
      <c r="O386" s="420"/>
      <c r="P386" s="420"/>
      <c r="Q386" s="420"/>
      <c r="R386" s="420"/>
      <c r="S386" s="420"/>
      <c r="T386" s="420"/>
      <c r="U386" s="420"/>
      <c r="V386" s="420"/>
      <c r="W386" s="420"/>
      <c r="X386" s="420"/>
      <c r="Y386" s="420"/>
      <c r="Z386" s="367"/>
      <c r="AA386" s="420"/>
      <c r="AB386" s="420"/>
      <c r="AC386" s="420"/>
      <c r="AD386" s="420"/>
      <c r="AE386" s="420"/>
      <c r="AF386" s="367"/>
      <c r="AG386" s="420"/>
      <c r="AH386" s="367"/>
      <c r="AI386" s="367"/>
      <c r="AJ386" s="367"/>
      <c r="AK386" s="358"/>
      <c r="AL386" s="358"/>
      <c r="AM386" s="358"/>
      <c r="AN386" s="358"/>
      <c r="AO386" s="358"/>
      <c r="AP386" s="367"/>
    </row>
    <row r="387">
      <c r="A387" s="418"/>
      <c r="B387" s="418"/>
      <c r="C387" s="418"/>
      <c r="D387" s="418"/>
      <c r="E387" s="418"/>
      <c r="F387" s="418"/>
      <c r="G387" s="367"/>
      <c r="H387" s="418"/>
      <c r="I387" s="418"/>
      <c r="J387" s="418"/>
      <c r="K387" s="418"/>
      <c r="L387" s="420"/>
      <c r="M387" s="420"/>
      <c r="N387" s="420"/>
      <c r="O387" s="420"/>
      <c r="P387" s="420"/>
      <c r="Q387" s="420"/>
      <c r="R387" s="420"/>
      <c r="S387" s="420"/>
      <c r="T387" s="420"/>
      <c r="U387" s="420"/>
      <c r="V387" s="420"/>
      <c r="W387" s="420"/>
      <c r="X387" s="420"/>
      <c r="Y387" s="420"/>
      <c r="Z387" s="367"/>
      <c r="AA387" s="420"/>
      <c r="AB387" s="420"/>
      <c r="AC387" s="420"/>
      <c r="AD387" s="420"/>
      <c r="AE387" s="420"/>
      <c r="AF387" s="367"/>
      <c r="AG387" s="420"/>
      <c r="AH387" s="367"/>
      <c r="AI387" s="367"/>
      <c r="AJ387" s="367"/>
      <c r="AK387" s="358"/>
      <c r="AL387" s="358"/>
      <c r="AM387" s="358"/>
      <c r="AN387" s="358"/>
      <c r="AO387" s="358"/>
      <c r="AP387" s="367"/>
    </row>
    <row r="388">
      <c r="A388" s="418"/>
      <c r="B388" s="418"/>
      <c r="C388" s="418"/>
      <c r="D388" s="418"/>
      <c r="E388" s="418"/>
      <c r="F388" s="418"/>
      <c r="G388" s="367"/>
      <c r="H388" s="418"/>
      <c r="I388" s="418"/>
      <c r="J388" s="418"/>
      <c r="K388" s="418"/>
      <c r="L388" s="420"/>
      <c r="M388" s="420"/>
      <c r="N388" s="420"/>
      <c r="O388" s="420"/>
      <c r="P388" s="420"/>
      <c r="Q388" s="420"/>
      <c r="R388" s="420"/>
      <c r="S388" s="420"/>
      <c r="T388" s="420"/>
      <c r="U388" s="420"/>
      <c r="V388" s="420"/>
      <c r="W388" s="420"/>
      <c r="X388" s="420"/>
      <c r="Y388" s="420"/>
      <c r="Z388" s="367"/>
      <c r="AA388" s="420"/>
      <c r="AB388" s="420"/>
      <c r="AC388" s="420"/>
      <c r="AD388" s="420"/>
      <c r="AE388" s="420"/>
      <c r="AF388" s="367"/>
      <c r="AG388" s="420"/>
      <c r="AH388" s="367"/>
      <c r="AI388" s="367"/>
      <c r="AJ388" s="367"/>
      <c r="AK388" s="358"/>
      <c r="AL388" s="358"/>
      <c r="AM388" s="358"/>
      <c r="AN388" s="358"/>
      <c r="AO388" s="358"/>
      <c r="AP388" s="367"/>
    </row>
    <row r="389">
      <c r="A389" s="418"/>
      <c r="B389" s="418"/>
      <c r="C389" s="418"/>
      <c r="D389" s="418"/>
      <c r="E389" s="418"/>
      <c r="F389" s="418"/>
      <c r="G389" s="367"/>
      <c r="H389" s="418"/>
      <c r="I389" s="418"/>
      <c r="J389" s="418"/>
      <c r="K389" s="418"/>
      <c r="L389" s="420"/>
      <c r="M389" s="420"/>
      <c r="N389" s="420"/>
      <c r="O389" s="420"/>
      <c r="P389" s="420"/>
      <c r="Q389" s="420"/>
      <c r="R389" s="420"/>
      <c r="S389" s="420"/>
      <c r="T389" s="420"/>
      <c r="U389" s="420"/>
      <c r="V389" s="420"/>
      <c r="W389" s="420"/>
      <c r="X389" s="420"/>
      <c r="Y389" s="420"/>
      <c r="Z389" s="367"/>
      <c r="AA389" s="420"/>
      <c r="AB389" s="420"/>
      <c r="AC389" s="420"/>
      <c r="AD389" s="420"/>
      <c r="AE389" s="420"/>
      <c r="AF389" s="367"/>
      <c r="AG389" s="420"/>
      <c r="AH389" s="367"/>
      <c r="AI389" s="367"/>
      <c r="AJ389" s="367"/>
      <c r="AK389" s="358"/>
      <c r="AL389" s="358"/>
      <c r="AM389" s="358"/>
      <c r="AN389" s="358"/>
      <c r="AO389" s="358"/>
      <c r="AP389" s="367"/>
    </row>
    <row r="390">
      <c r="A390" s="418"/>
      <c r="B390" s="418"/>
      <c r="C390" s="418"/>
      <c r="D390" s="418"/>
      <c r="E390" s="418"/>
      <c r="F390" s="418"/>
      <c r="G390" s="367"/>
      <c r="H390" s="418"/>
      <c r="I390" s="418"/>
      <c r="J390" s="418"/>
      <c r="K390" s="418"/>
      <c r="L390" s="420"/>
      <c r="M390" s="420"/>
      <c r="N390" s="420"/>
      <c r="O390" s="420"/>
      <c r="P390" s="420"/>
      <c r="Q390" s="420"/>
      <c r="R390" s="420"/>
      <c r="S390" s="420"/>
      <c r="T390" s="420"/>
      <c r="U390" s="420"/>
      <c r="V390" s="420"/>
      <c r="W390" s="420"/>
      <c r="X390" s="420"/>
      <c r="Y390" s="420"/>
      <c r="Z390" s="367"/>
      <c r="AA390" s="420"/>
      <c r="AB390" s="420"/>
      <c r="AC390" s="420"/>
      <c r="AD390" s="420"/>
      <c r="AE390" s="420"/>
      <c r="AF390" s="367"/>
      <c r="AG390" s="420"/>
      <c r="AH390" s="367"/>
      <c r="AI390" s="367"/>
      <c r="AJ390" s="367"/>
      <c r="AK390" s="358"/>
      <c r="AL390" s="358"/>
      <c r="AM390" s="358"/>
      <c r="AN390" s="358"/>
      <c r="AO390" s="358"/>
      <c r="AP390" s="367"/>
    </row>
    <row r="391">
      <c r="A391" s="418"/>
      <c r="B391" s="418"/>
      <c r="C391" s="418"/>
      <c r="D391" s="418"/>
      <c r="E391" s="418"/>
      <c r="F391" s="418"/>
      <c r="G391" s="367"/>
      <c r="H391" s="418"/>
      <c r="I391" s="418"/>
      <c r="J391" s="418"/>
      <c r="K391" s="418"/>
      <c r="L391" s="420"/>
      <c r="M391" s="420"/>
      <c r="N391" s="420"/>
      <c r="O391" s="420"/>
      <c r="P391" s="420"/>
      <c r="Q391" s="420"/>
      <c r="R391" s="420"/>
      <c r="S391" s="420"/>
      <c r="T391" s="420"/>
      <c r="U391" s="420"/>
      <c r="V391" s="420"/>
      <c r="W391" s="420"/>
      <c r="X391" s="420"/>
      <c r="Y391" s="420"/>
      <c r="Z391" s="367"/>
      <c r="AA391" s="420"/>
      <c r="AB391" s="420"/>
      <c r="AC391" s="420"/>
      <c r="AD391" s="420"/>
      <c r="AE391" s="420"/>
      <c r="AF391" s="367"/>
      <c r="AG391" s="420"/>
      <c r="AH391" s="367"/>
      <c r="AI391" s="367"/>
      <c r="AJ391" s="367"/>
      <c r="AK391" s="358"/>
      <c r="AL391" s="358"/>
      <c r="AM391" s="358"/>
      <c r="AN391" s="358"/>
      <c r="AO391" s="358"/>
      <c r="AP391" s="367"/>
    </row>
    <row r="392">
      <c r="A392" s="418"/>
      <c r="B392" s="418"/>
      <c r="C392" s="418"/>
      <c r="D392" s="418"/>
      <c r="E392" s="418"/>
      <c r="F392" s="418"/>
      <c r="G392" s="367"/>
      <c r="H392" s="418"/>
      <c r="I392" s="418"/>
      <c r="J392" s="418"/>
      <c r="K392" s="418"/>
      <c r="L392" s="420"/>
      <c r="M392" s="420"/>
      <c r="N392" s="420"/>
      <c r="O392" s="420"/>
      <c r="P392" s="420"/>
      <c r="Q392" s="420"/>
      <c r="R392" s="420"/>
      <c r="S392" s="420"/>
      <c r="T392" s="420"/>
      <c r="U392" s="420"/>
      <c r="V392" s="420"/>
      <c r="W392" s="420"/>
      <c r="X392" s="420"/>
      <c r="Y392" s="420"/>
      <c r="Z392" s="367"/>
      <c r="AA392" s="420"/>
      <c r="AB392" s="420"/>
      <c r="AC392" s="420"/>
      <c r="AD392" s="420"/>
      <c r="AE392" s="420"/>
      <c r="AF392" s="367"/>
      <c r="AG392" s="420"/>
      <c r="AH392" s="367"/>
      <c r="AI392" s="367"/>
      <c r="AJ392" s="367"/>
      <c r="AK392" s="358"/>
      <c r="AL392" s="358"/>
      <c r="AM392" s="358"/>
      <c r="AN392" s="358"/>
      <c r="AO392" s="358"/>
      <c r="AP392" s="367"/>
    </row>
    <row r="393">
      <c r="A393" s="418"/>
      <c r="B393" s="418"/>
      <c r="C393" s="418"/>
      <c r="D393" s="418"/>
      <c r="E393" s="418"/>
      <c r="F393" s="418"/>
      <c r="G393" s="367"/>
      <c r="H393" s="418"/>
      <c r="I393" s="418"/>
      <c r="J393" s="418"/>
      <c r="K393" s="418"/>
      <c r="L393" s="420"/>
      <c r="M393" s="420"/>
      <c r="N393" s="420"/>
      <c r="O393" s="420"/>
      <c r="P393" s="420"/>
      <c r="Q393" s="420"/>
      <c r="R393" s="420"/>
      <c r="S393" s="420"/>
      <c r="T393" s="420"/>
      <c r="U393" s="420"/>
      <c r="V393" s="420"/>
      <c r="W393" s="420"/>
      <c r="X393" s="420"/>
      <c r="Y393" s="420"/>
      <c r="Z393" s="367"/>
      <c r="AA393" s="420"/>
      <c r="AB393" s="420"/>
      <c r="AC393" s="420"/>
      <c r="AD393" s="420"/>
      <c r="AE393" s="420"/>
      <c r="AF393" s="367"/>
      <c r="AG393" s="420"/>
      <c r="AH393" s="367"/>
      <c r="AI393" s="367"/>
      <c r="AJ393" s="367"/>
      <c r="AK393" s="358"/>
      <c r="AL393" s="358"/>
      <c r="AM393" s="358"/>
      <c r="AN393" s="358"/>
      <c r="AO393" s="358"/>
      <c r="AP393" s="367"/>
    </row>
    <row r="394">
      <c r="A394" s="418"/>
      <c r="B394" s="418"/>
      <c r="C394" s="418"/>
      <c r="D394" s="418"/>
      <c r="E394" s="418"/>
      <c r="F394" s="418"/>
      <c r="G394" s="367"/>
      <c r="H394" s="418"/>
      <c r="I394" s="418"/>
      <c r="J394" s="418"/>
      <c r="K394" s="418"/>
      <c r="L394" s="420"/>
      <c r="M394" s="420"/>
      <c r="N394" s="420"/>
      <c r="O394" s="420"/>
      <c r="P394" s="420"/>
      <c r="Q394" s="420"/>
      <c r="R394" s="420"/>
      <c r="S394" s="420"/>
      <c r="T394" s="420"/>
      <c r="U394" s="420"/>
      <c r="V394" s="420"/>
      <c r="W394" s="420"/>
      <c r="X394" s="420"/>
      <c r="Y394" s="420"/>
      <c r="Z394" s="367"/>
      <c r="AA394" s="420"/>
      <c r="AB394" s="420"/>
      <c r="AC394" s="420"/>
      <c r="AD394" s="420"/>
      <c r="AE394" s="420"/>
      <c r="AF394" s="367"/>
      <c r="AG394" s="420"/>
      <c r="AH394" s="367"/>
      <c r="AI394" s="367"/>
      <c r="AJ394" s="367"/>
      <c r="AK394" s="358"/>
      <c r="AL394" s="358"/>
      <c r="AM394" s="358"/>
      <c r="AN394" s="358"/>
      <c r="AO394" s="358"/>
      <c r="AP394" s="367"/>
    </row>
    <row r="395">
      <c r="A395" s="418"/>
      <c r="B395" s="418"/>
      <c r="C395" s="418"/>
      <c r="D395" s="418"/>
      <c r="E395" s="418"/>
      <c r="F395" s="418"/>
      <c r="G395" s="367"/>
      <c r="H395" s="418"/>
      <c r="I395" s="418"/>
      <c r="J395" s="418"/>
      <c r="K395" s="418"/>
      <c r="L395" s="420"/>
      <c r="M395" s="420"/>
      <c r="N395" s="420"/>
      <c r="O395" s="420"/>
      <c r="P395" s="420"/>
      <c r="Q395" s="420"/>
      <c r="R395" s="420"/>
      <c r="S395" s="420"/>
      <c r="T395" s="420"/>
      <c r="U395" s="420"/>
      <c r="V395" s="420"/>
      <c r="W395" s="420"/>
      <c r="X395" s="420"/>
      <c r="Y395" s="420"/>
      <c r="Z395" s="367"/>
      <c r="AA395" s="420"/>
      <c r="AB395" s="420"/>
      <c r="AC395" s="420"/>
      <c r="AD395" s="420"/>
      <c r="AE395" s="420"/>
      <c r="AF395" s="367"/>
      <c r="AG395" s="420"/>
      <c r="AH395" s="367"/>
      <c r="AI395" s="367"/>
      <c r="AJ395" s="367"/>
      <c r="AK395" s="358"/>
      <c r="AL395" s="358"/>
      <c r="AM395" s="358"/>
      <c r="AN395" s="358"/>
      <c r="AO395" s="358"/>
      <c r="AP395" s="367"/>
    </row>
    <row r="396">
      <c r="A396" s="418"/>
      <c r="B396" s="418"/>
      <c r="C396" s="418"/>
      <c r="D396" s="418"/>
      <c r="E396" s="418"/>
      <c r="F396" s="418"/>
      <c r="G396" s="367"/>
      <c r="H396" s="418"/>
      <c r="I396" s="418"/>
      <c r="J396" s="418"/>
      <c r="K396" s="418"/>
      <c r="L396" s="420"/>
      <c r="M396" s="420"/>
      <c r="N396" s="420"/>
      <c r="O396" s="420"/>
      <c r="P396" s="420"/>
      <c r="Q396" s="420"/>
      <c r="R396" s="420"/>
      <c r="S396" s="420"/>
      <c r="T396" s="420"/>
      <c r="U396" s="420"/>
      <c r="V396" s="420"/>
      <c r="W396" s="420"/>
      <c r="X396" s="420"/>
      <c r="Y396" s="420"/>
      <c r="Z396" s="367"/>
      <c r="AA396" s="420"/>
      <c r="AB396" s="420"/>
      <c r="AC396" s="420"/>
      <c r="AD396" s="420"/>
      <c r="AE396" s="420"/>
      <c r="AF396" s="367"/>
      <c r="AG396" s="420"/>
      <c r="AH396" s="367"/>
      <c r="AI396" s="367"/>
      <c r="AJ396" s="367"/>
      <c r="AK396" s="358"/>
      <c r="AL396" s="358"/>
      <c r="AM396" s="358"/>
      <c r="AN396" s="358"/>
      <c r="AO396" s="358"/>
      <c r="AP396" s="367"/>
    </row>
    <row r="397">
      <c r="A397" s="418"/>
      <c r="B397" s="418"/>
      <c r="C397" s="418"/>
      <c r="D397" s="418"/>
      <c r="E397" s="418"/>
      <c r="F397" s="418"/>
      <c r="G397" s="367"/>
      <c r="H397" s="418"/>
      <c r="I397" s="418"/>
      <c r="J397" s="418"/>
      <c r="K397" s="418"/>
      <c r="L397" s="420"/>
      <c r="M397" s="420"/>
      <c r="N397" s="420"/>
      <c r="O397" s="420"/>
      <c r="P397" s="420"/>
      <c r="Q397" s="420"/>
      <c r="R397" s="420"/>
      <c r="S397" s="420"/>
      <c r="T397" s="420"/>
      <c r="U397" s="420"/>
      <c r="V397" s="420"/>
      <c r="W397" s="420"/>
      <c r="X397" s="420"/>
      <c r="Y397" s="420"/>
      <c r="Z397" s="367"/>
      <c r="AA397" s="420"/>
      <c r="AB397" s="420"/>
      <c r="AC397" s="420"/>
      <c r="AD397" s="420"/>
      <c r="AE397" s="420"/>
      <c r="AF397" s="367"/>
      <c r="AG397" s="420"/>
      <c r="AH397" s="367"/>
      <c r="AI397" s="367"/>
      <c r="AJ397" s="367"/>
      <c r="AK397" s="358"/>
      <c r="AL397" s="358"/>
      <c r="AM397" s="358"/>
      <c r="AN397" s="358"/>
      <c r="AO397" s="358"/>
      <c r="AP397" s="367"/>
    </row>
    <row r="398">
      <c r="A398" s="418"/>
      <c r="B398" s="418"/>
      <c r="C398" s="418"/>
      <c r="D398" s="418"/>
      <c r="E398" s="418"/>
      <c r="F398" s="418"/>
      <c r="G398" s="367"/>
      <c r="H398" s="418"/>
      <c r="I398" s="418"/>
      <c r="J398" s="418"/>
      <c r="K398" s="418"/>
      <c r="L398" s="420"/>
      <c r="M398" s="420"/>
      <c r="N398" s="420"/>
      <c r="O398" s="420"/>
      <c r="P398" s="420"/>
      <c r="Q398" s="420"/>
      <c r="R398" s="420"/>
      <c r="S398" s="420"/>
      <c r="T398" s="420"/>
      <c r="U398" s="420"/>
      <c r="V398" s="420"/>
      <c r="W398" s="420"/>
      <c r="X398" s="420"/>
      <c r="Y398" s="420"/>
      <c r="Z398" s="367"/>
      <c r="AA398" s="420"/>
      <c r="AB398" s="420"/>
      <c r="AC398" s="420"/>
      <c r="AD398" s="420"/>
      <c r="AE398" s="420"/>
      <c r="AF398" s="367"/>
      <c r="AG398" s="420"/>
      <c r="AH398" s="367"/>
      <c r="AI398" s="367"/>
      <c r="AJ398" s="367"/>
      <c r="AK398" s="358"/>
      <c r="AL398" s="358"/>
      <c r="AM398" s="358"/>
      <c r="AN398" s="358"/>
      <c r="AO398" s="358"/>
      <c r="AP398" s="367"/>
    </row>
    <row r="399">
      <c r="A399" s="418"/>
      <c r="B399" s="418"/>
      <c r="C399" s="418"/>
      <c r="D399" s="418"/>
      <c r="E399" s="418"/>
      <c r="F399" s="418"/>
      <c r="G399" s="367"/>
      <c r="H399" s="418"/>
      <c r="I399" s="418"/>
      <c r="J399" s="418"/>
      <c r="K399" s="418"/>
      <c r="L399" s="420"/>
      <c r="M399" s="420"/>
      <c r="N399" s="420"/>
      <c r="O399" s="420"/>
      <c r="P399" s="420"/>
      <c r="Q399" s="420"/>
      <c r="R399" s="420"/>
      <c r="S399" s="420"/>
      <c r="T399" s="420"/>
      <c r="U399" s="420"/>
      <c r="V399" s="420"/>
      <c r="W399" s="420"/>
      <c r="X399" s="420"/>
      <c r="Y399" s="420"/>
      <c r="Z399" s="367"/>
      <c r="AA399" s="420"/>
      <c r="AB399" s="420"/>
      <c r="AC399" s="420"/>
      <c r="AD399" s="420"/>
      <c r="AE399" s="420"/>
      <c r="AF399" s="367"/>
      <c r="AG399" s="420"/>
      <c r="AH399" s="367"/>
      <c r="AI399" s="367"/>
      <c r="AJ399" s="367"/>
      <c r="AK399" s="358"/>
      <c r="AL399" s="358"/>
      <c r="AM399" s="358"/>
      <c r="AN399" s="358"/>
      <c r="AO399" s="358"/>
      <c r="AP399" s="367"/>
    </row>
    <row r="400">
      <c r="A400" s="418"/>
      <c r="B400" s="418"/>
      <c r="C400" s="418"/>
      <c r="D400" s="418"/>
      <c r="E400" s="418"/>
      <c r="F400" s="418"/>
      <c r="G400" s="367"/>
      <c r="H400" s="418"/>
      <c r="I400" s="418"/>
      <c r="J400" s="418"/>
      <c r="K400" s="418"/>
      <c r="L400" s="420"/>
      <c r="M400" s="420"/>
      <c r="N400" s="420"/>
      <c r="O400" s="420"/>
      <c r="P400" s="420"/>
      <c r="Q400" s="420"/>
      <c r="R400" s="420"/>
      <c r="S400" s="420"/>
      <c r="T400" s="420"/>
      <c r="U400" s="420"/>
      <c r="V400" s="420"/>
      <c r="W400" s="420"/>
      <c r="X400" s="420"/>
      <c r="Y400" s="420"/>
      <c r="Z400" s="367"/>
      <c r="AA400" s="420"/>
      <c r="AB400" s="420"/>
      <c r="AC400" s="420"/>
      <c r="AD400" s="420"/>
      <c r="AE400" s="420"/>
      <c r="AF400" s="367"/>
      <c r="AG400" s="420"/>
      <c r="AH400" s="367"/>
      <c r="AI400" s="367"/>
      <c r="AJ400" s="367"/>
      <c r="AK400" s="358"/>
      <c r="AL400" s="358"/>
      <c r="AM400" s="358"/>
      <c r="AN400" s="358"/>
      <c r="AO400" s="358"/>
      <c r="AP400" s="367"/>
    </row>
    <row r="401">
      <c r="A401" s="418"/>
      <c r="B401" s="418"/>
      <c r="C401" s="418"/>
      <c r="D401" s="418"/>
      <c r="E401" s="418"/>
      <c r="F401" s="418"/>
      <c r="G401" s="367"/>
      <c r="H401" s="418"/>
      <c r="I401" s="418"/>
      <c r="J401" s="418"/>
      <c r="K401" s="418"/>
      <c r="L401" s="420"/>
      <c r="M401" s="420"/>
      <c r="N401" s="420"/>
      <c r="O401" s="420"/>
      <c r="P401" s="420"/>
      <c r="Q401" s="420"/>
      <c r="R401" s="420"/>
      <c r="S401" s="420"/>
      <c r="T401" s="420"/>
      <c r="U401" s="420"/>
      <c r="V401" s="420"/>
      <c r="W401" s="420"/>
      <c r="X401" s="420"/>
      <c r="Y401" s="420"/>
      <c r="Z401" s="367"/>
      <c r="AA401" s="420"/>
      <c r="AB401" s="420"/>
      <c r="AC401" s="420"/>
      <c r="AD401" s="420"/>
      <c r="AE401" s="420"/>
      <c r="AF401" s="367"/>
      <c r="AG401" s="420"/>
      <c r="AH401" s="367"/>
      <c r="AI401" s="367"/>
      <c r="AJ401" s="367"/>
      <c r="AK401" s="358"/>
      <c r="AL401" s="358"/>
      <c r="AM401" s="358"/>
      <c r="AN401" s="358"/>
      <c r="AO401" s="358"/>
      <c r="AP401" s="367"/>
    </row>
    <row r="402">
      <c r="A402" s="418"/>
      <c r="B402" s="418"/>
      <c r="C402" s="418"/>
      <c r="D402" s="418"/>
      <c r="E402" s="418"/>
      <c r="F402" s="418"/>
      <c r="G402" s="367"/>
      <c r="H402" s="418"/>
      <c r="I402" s="418"/>
      <c r="J402" s="418"/>
      <c r="K402" s="418"/>
      <c r="L402" s="420"/>
      <c r="M402" s="420"/>
      <c r="N402" s="420"/>
      <c r="O402" s="420"/>
      <c r="P402" s="420"/>
      <c r="Q402" s="420"/>
      <c r="R402" s="420"/>
      <c r="S402" s="420"/>
      <c r="T402" s="420"/>
      <c r="U402" s="420"/>
      <c r="V402" s="420"/>
      <c r="W402" s="420"/>
      <c r="X402" s="420"/>
      <c r="Y402" s="420"/>
      <c r="Z402" s="367"/>
      <c r="AA402" s="420"/>
      <c r="AB402" s="420"/>
      <c r="AC402" s="420"/>
      <c r="AD402" s="420"/>
      <c r="AE402" s="420"/>
      <c r="AF402" s="367"/>
      <c r="AG402" s="420"/>
      <c r="AH402" s="367"/>
      <c r="AI402" s="367"/>
      <c r="AJ402" s="367"/>
      <c r="AK402" s="358"/>
      <c r="AL402" s="358"/>
      <c r="AM402" s="358"/>
      <c r="AN402" s="358"/>
      <c r="AO402" s="358"/>
      <c r="AP402" s="367"/>
    </row>
    <row r="403">
      <c r="A403" s="418"/>
      <c r="B403" s="418"/>
      <c r="C403" s="418"/>
      <c r="D403" s="418"/>
      <c r="E403" s="418"/>
      <c r="F403" s="418"/>
      <c r="G403" s="367"/>
      <c r="H403" s="418"/>
      <c r="I403" s="418"/>
      <c r="J403" s="418"/>
      <c r="K403" s="418"/>
      <c r="L403" s="420"/>
      <c r="M403" s="420"/>
      <c r="N403" s="420"/>
      <c r="O403" s="420"/>
      <c r="P403" s="420"/>
      <c r="Q403" s="420"/>
      <c r="R403" s="420"/>
      <c r="S403" s="420"/>
      <c r="T403" s="420"/>
      <c r="U403" s="420"/>
      <c r="V403" s="420"/>
      <c r="W403" s="420"/>
      <c r="X403" s="420"/>
      <c r="Y403" s="420"/>
      <c r="Z403" s="367"/>
      <c r="AA403" s="420"/>
      <c r="AB403" s="420"/>
      <c r="AC403" s="420"/>
      <c r="AD403" s="420"/>
      <c r="AE403" s="420"/>
      <c r="AF403" s="367"/>
      <c r="AG403" s="420"/>
      <c r="AH403" s="367"/>
      <c r="AI403" s="367"/>
      <c r="AJ403" s="367"/>
      <c r="AK403" s="358"/>
      <c r="AL403" s="358"/>
      <c r="AM403" s="358"/>
      <c r="AN403" s="358"/>
      <c r="AO403" s="358"/>
      <c r="AP403" s="367"/>
    </row>
    <row r="404">
      <c r="A404" s="418"/>
      <c r="B404" s="418"/>
      <c r="C404" s="418"/>
      <c r="D404" s="418"/>
      <c r="E404" s="418"/>
      <c r="F404" s="418"/>
      <c r="G404" s="367"/>
      <c r="H404" s="418"/>
      <c r="I404" s="418"/>
      <c r="J404" s="418"/>
      <c r="K404" s="418"/>
      <c r="L404" s="420"/>
      <c r="M404" s="420"/>
      <c r="N404" s="420"/>
      <c r="O404" s="420"/>
      <c r="P404" s="420"/>
      <c r="Q404" s="420"/>
      <c r="R404" s="420"/>
      <c r="S404" s="420"/>
      <c r="T404" s="420"/>
      <c r="U404" s="420"/>
      <c r="V404" s="420"/>
      <c r="W404" s="420"/>
      <c r="X404" s="420"/>
      <c r="Y404" s="420"/>
      <c r="Z404" s="367"/>
      <c r="AA404" s="420"/>
      <c r="AB404" s="420"/>
      <c r="AC404" s="420"/>
      <c r="AD404" s="420"/>
      <c r="AE404" s="420"/>
      <c r="AF404" s="367"/>
      <c r="AG404" s="420"/>
      <c r="AH404" s="367"/>
      <c r="AI404" s="367"/>
      <c r="AJ404" s="367"/>
      <c r="AK404" s="358"/>
      <c r="AL404" s="358"/>
      <c r="AM404" s="358"/>
      <c r="AN404" s="358"/>
      <c r="AO404" s="358"/>
      <c r="AP404" s="367"/>
    </row>
    <row r="405">
      <c r="A405" s="418"/>
      <c r="B405" s="418"/>
      <c r="C405" s="418"/>
      <c r="D405" s="418"/>
      <c r="E405" s="418"/>
      <c r="F405" s="418"/>
      <c r="G405" s="367"/>
      <c r="H405" s="418"/>
      <c r="I405" s="418"/>
      <c r="J405" s="418"/>
      <c r="K405" s="418"/>
      <c r="L405" s="420"/>
      <c r="M405" s="420"/>
      <c r="N405" s="420"/>
      <c r="O405" s="420"/>
      <c r="P405" s="420"/>
      <c r="Q405" s="420"/>
      <c r="R405" s="420"/>
      <c r="S405" s="420"/>
      <c r="T405" s="420"/>
      <c r="U405" s="420"/>
      <c r="V405" s="420"/>
      <c r="W405" s="420"/>
      <c r="X405" s="420"/>
      <c r="Y405" s="420"/>
      <c r="Z405" s="367"/>
      <c r="AA405" s="420"/>
      <c r="AB405" s="420"/>
      <c r="AC405" s="420"/>
      <c r="AD405" s="420"/>
      <c r="AE405" s="420"/>
      <c r="AF405" s="367"/>
      <c r="AG405" s="420"/>
      <c r="AH405" s="367"/>
      <c r="AI405" s="367"/>
      <c r="AJ405" s="367"/>
      <c r="AK405" s="358"/>
      <c r="AL405" s="358"/>
      <c r="AM405" s="358"/>
      <c r="AN405" s="358"/>
      <c r="AO405" s="358"/>
      <c r="AP405" s="367"/>
    </row>
    <row r="406">
      <c r="A406" s="418"/>
      <c r="B406" s="418"/>
      <c r="C406" s="418"/>
      <c r="D406" s="418"/>
      <c r="E406" s="418"/>
      <c r="F406" s="418"/>
      <c r="G406" s="367"/>
      <c r="H406" s="418"/>
      <c r="I406" s="418"/>
      <c r="J406" s="418"/>
      <c r="K406" s="418"/>
      <c r="L406" s="420"/>
      <c r="M406" s="420"/>
      <c r="N406" s="420"/>
      <c r="O406" s="420"/>
      <c r="P406" s="420"/>
      <c r="Q406" s="420"/>
      <c r="R406" s="420"/>
      <c r="S406" s="420"/>
      <c r="T406" s="420"/>
      <c r="U406" s="420"/>
      <c r="V406" s="420"/>
      <c r="W406" s="420"/>
      <c r="X406" s="420"/>
      <c r="Y406" s="420"/>
      <c r="Z406" s="367"/>
      <c r="AA406" s="420"/>
      <c r="AB406" s="420"/>
      <c r="AC406" s="420"/>
      <c r="AD406" s="420"/>
      <c r="AE406" s="420"/>
      <c r="AF406" s="367"/>
      <c r="AG406" s="420"/>
      <c r="AH406" s="367"/>
      <c r="AI406" s="367"/>
      <c r="AJ406" s="367"/>
      <c r="AK406" s="358"/>
      <c r="AL406" s="358"/>
      <c r="AM406" s="358"/>
      <c r="AN406" s="358"/>
      <c r="AO406" s="358"/>
      <c r="AP406" s="367"/>
    </row>
    <row r="407">
      <c r="A407" s="418"/>
      <c r="B407" s="418"/>
      <c r="C407" s="418"/>
      <c r="D407" s="418"/>
      <c r="E407" s="418"/>
      <c r="F407" s="418"/>
      <c r="G407" s="367"/>
      <c r="H407" s="418"/>
      <c r="I407" s="418"/>
      <c r="J407" s="418"/>
      <c r="K407" s="418"/>
      <c r="L407" s="420"/>
      <c r="M407" s="420"/>
      <c r="N407" s="420"/>
      <c r="O407" s="420"/>
      <c r="P407" s="420"/>
      <c r="Q407" s="420"/>
      <c r="R407" s="420"/>
      <c r="S407" s="420"/>
      <c r="T407" s="420"/>
      <c r="U407" s="420"/>
      <c r="V407" s="420"/>
      <c r="W407" s="420"/>
      <c r="X407" s="420"/>
      <c r="Y407" s="420"/>
      <c r="Z407" s="367"/>
      <c r="AA407" s="420"/>
      <c r="AB407" s="420"/>
      <c r="AC407" s="420"/>
      <c r="AD407" s="420"/>
      <c r="AE407" s="420"/>
      <c r="AF407" s="367"/>
      <c r="AG407" s="420"/>
      <c r="AH407" s="367"/>
      <c r="AI407" s="367"/>
      <c r="AJ407" s="367"/>
      <c r="AK407" s="358"/>
      <c r="AL407" s="358"/>
      <c r="AM407" s="358"/>
      <c r="AN407" s="358"/>
      <c r="AO407" s="358"/>
      <c r="AP407" s="367"/>
    </row>
    <row r="408">
      <c r="A408" s="418"/>
      <c r="B408" s="418"/>
      <c r="C408" s="418"/>
      <c r="D408" s="418"/>
      <c r="E408" s="418"/>
      <c r="F408" s="418"/>
      <c r="G408" s="367"/>
      <c r="H408" s="418"/>
      <c r="I408" s="418"/>
      <c r="J408" s="418"/>
      <c r="K408" s="418"/>
      <c r="L408" s="420"/>
      <c r="M408" s="420"/>
      <c r="N408" s="420"/>
      <c r="O408" s="420"/>
      <c r="P408" s="420"/>
      <c r="Q408" s="420"/>
      <c r="R408" s="420"/>
      <c r="S408" s="420"/>
      <c r="T408" s="420"/>
      <c r="U408" s="420"/>
      <c r="V408" s="420"/>
      <c r="W408" s="420"/>
      <c r="X408" s="420"/>
      <c r="Y408" s="420"/>
      <c r="Z408" s="367"/>
      <c r="AA408" s="420"/>
      <c r="AB408" s="420"/>
      <c r="AC408" s="420"/>
      <c r="AD408" s="420"/>
      <c r="AE408" s="420"/>
      <c r="AF408" s="367"/>
      <c r="AG408" s="420"/>
      <c r="AH408" s="367"/>
      <c r="AI408" s="367"/>
      <c r="AJ408" s="367"/>
      <c r="AK408" s="358"/>
      <c r="AL408" s="358"/>
      <c r="AM408" s="358"/>
      <c r="AN408" s="358"/>
      <c r="AO408" s="358"/>
      <c r="AP408" s="367"/>
    </row>
    <row r="409">
      <c r="A409" s="418"/>
      <c r="B409" s="418"/>
      <c r="C409" s="418"/>
      <c r="D409" s="418"/>
      <c r="E409" s="418"/>
      <c r="F409" s="418"/>
      <c r="G409" s="367"/>
      <c r="H409" s="418"/>
      <c r="I409" s="418"/>
      <c r="J409" s="418"/>
      <c r="K409" s="418"/>
      <c r="L409" s="420"/>
      <c r="M409" s="420"/>
      <c r="N409" s="420"/>
      <c r="O409" s="420"/>
      <c r="P409" s="420"/>
      <c r="Q409" s="420"/>
      <c r="R409" s="420"/>
      <c r="S409" s="420"/>
      <c r="T409" s="420"/>
      <c r="U409" s="420"/>
      <c r="V409" s="420"/>
      <c r="W409" s="420"/>
      <c r="X409" s="420"/>
      <c r="Y409" s="420"/>
      <c r="Z409" s="367"/>
      <c r="AA409" s="420"/>
      <c r="AB409" s="420"/>
      <c r="AC409" s="420"/>
      <c r="AD409" s="420"/>
      <c r="AE409" s="420"/>
      <c r="AF409" s="367"/>
      <c r="AG409" s="420"/>
      <c r="AH409" s="367"/>
      <c r="AI409" s="367"/>
      <c r="AJ409" s="367"/>
      <c r="AK409" s="358"/>
      <c r="AL409" s="358"/>
      <c r="AM409" s="358"/>
      <c r="AN409" s="358"/>
      <c r="AO409" s="358"/>
      <c r="AP409" s="367"/>
    </row>
    <row r="410">
      <c r="A410" s="418"/>
      <c r="B410" s="418"/>
      <c r="C410" s="418"/>
      <c r="D410" s="418"/>
      <c r="E410" s="418"/>
      <c r="F410" s="418"/>
      <c r="G410" s="367"/>
      <c r="H410" s="418"/>
      <c r="I410" s="418"/>
      <c r="J410" s="418"/>
      <c r="K410" s="418"/>
      <c r="L410" s="420"/>
      <c r="M410" s="420"/>
      <c r="N410" s="420"/>
      <c r="O410" s="420"/>
      <c r="P410" s="420"/>
      <c r="Q410" s="420"/>
      <c r="R410" s="420"/>
      <c r="S410" s="420"/>
      <c r="T410" s="420"/>
      <c r="U410" s="420"/>
      <c r="V410" s="420"/>
      <c r="W410" s="420"/>
      <c r="X410" s="420"/>
      <c r="Y410" s="420"/>
      <c r="Z410" s="367"/>
      <c r="AA410" s="420"/>
      <c r="AB410" s="420"/>
      <c r="AC410" s="420"/>
      <c r="AD410" s="420"/>
      <c r="AE410" s="420"/>
      <c r="AF410" s="367"/>
      <c r="AG410" s="420"/>
      <c r="AH410" s="367"/>
      <c r="AI410" s="367"/>
      <c r="AJ410" s="367"/>
      <c r="AK410" s="358"/>
      <c r="AL410" s="358"/>
      <c r="AM410" s="358"/>
      <c r="AN410" s="358"/>
      <c r="AO410" s="358"/>
      <c r="AP410" s="367"/>
    </row>
    <row r="411">
      <c r="A411" s="418"/>
      <c r="B411" s="418"/>
      <c r="C411" s="418"/>
      <c r="D411" s="418"/>
      <c r="E411" s="418"/>
      <c r="F411" s="418"/>
      <c r="G411" s="367"/>
      <c r="H411" s="418"/>
      <c r="I411" s="418"/>
      <c r="J411" s="418"/>
      <c r="K411" s="418"/>
      <c r="L411" s="420"/>
      <c r="M411" s="420"/>
      <c r="N411" s="420"/>
      <c r="O411" s="420"/>
      <c r="P411" s="420"/>
      <c r="Q411" s="420"/>
      <c r="R411" s="420"/>
      <c r="S411" s="420"/>
      <c r="T411" s="420"/>
      <c r="U411" s="420"/>
      <c r="V411" s="420"/>
      <c r="W411" s="420"/>
      <c r="X411" s="420"/>
      <c r="Y411" s="420"/>
      <c r="Z411" s="367"/>
      <c r="AA411" s="420"/>
      <c r="AB411" s="420"/>
      <c r="AC411" s="420"/>
      <c r="AD411" s="420"/>
      <c r="AE411" s="420"/>
      <c r="AF411" s="367"/>
      <c r="AG411" s="420"/>
      <c r="AH411" s="367"/>
      <c r="AI411" s="367"/>
      <c r="AJ411" s="367"/>
      <c r="AK411" s="358"/>
      <c r="AL411" s="358"/>
      <c r="AM411" s="358"/>
      <c r="AN411" s="358"/>
      <c r="AO411" s="358"/>
      <c r="AP411" s="367"/>
    </row>
    <row r="412">
      <c r="A412" s="418"/>
      <c r="B412" s="418"/>
      <c r="C412" s="418"/>
      <c r="D412" s="418"/>
      <c r="E412" s="418"/>
      <c r="F412" s="418"/>
      <c r="G412" s="367"/>
      <c r="H412" s="418"/>
      <c r="I412" s="418"/>
      <c r="J412" s="418"/>
      <c r="K412" s="418"/>
      <c r="L412" s="420"/>
      <c r="M412" s="420"/>
      <c r="N412" s="420"/>
      <c r="O412" s="420"/>
      <c r="P412" s="420"/>
      <c r="Q412" s="420"/>
      <c r="R412" s="420"/>
      <c r="S412" s="420"/>
      <c r="T412" s="420"/>
      <c r="U412" s="420"/>
      <c r="V412" s="420"/>
      <c r="W412" s="420"/>
      <c r="X412" s="420"/>
      <c r="Y412" s="420"/>
      <c r="Z412" s="367"/>
      <c r="AA412" s="420"/>
      <c r="AB412" s="420"/>
      <c r="AC412" s="420"/>
      <c r="AD412" s="420"/>
      <c r="AE412" s="420"/>
      <c r="AF412" s="367"/>
      <c r="AG412" s="420"/>
      <c r="AH412" s="367"/>
      <c r="AI412" s="367"/>
      <c r="AJ412" s="367"/>
      <c r="AK412" s="358"/>
      <c r="AL412" s="358"/>
      <c r="AM412" s="358"/>
      <c r="AN412" s="358"/>
      <c r="AO412" s="358"/>
      <c r="AP412" s="367"/>
    </row>
    <row r="413">
      <c r="A413" s="418"/>
      <c r="B413" s="418"/>
      <c r="C413" s="418"/>
      <c r="D413" s="418"/>
      <c r="E413" s="418"/>
      <c r="F413" s="418"/>
      <c r="G413" s="367"/>
      <c r="H413" s="418"/>
      <c r="I413" s="418"/>
      <c r="J413" s="418"/>
      <c r="K413" s="418"/>
      <c r="L413" s="420"/>
      <c r="M413" s="420"/>
      <c r="N413" s="420"/>
      <c r="O413" s="420"/>
      <c r="P413" s="420"/>
      <c r="Q413" s="420"/>
      <c r="R413" s="420"/>
      <c r="S413" s="420"/>
      <c r="T413" s="420"/>
      <c r="U413" s="420"/>
      <c r="V413" s="420"/>
      <c r="W413" s="420"/>
      <c r="X413" s="420"/>
      <c r="Y413" s="420"/>
      <c r="Z413" s="367"/>
      <c r="AA413" s="420"/>
      <c r="AB413" s="420"/>
      <c r="AC413" s="420"/>
      <c r="AD413" s="420"/>
      <c r="AE413" s="420"/>
      <c r="AF413" s="367"/>
      <c r="AG413" s="420"/>
      <c r="AH413" s="367"/>
      <c r="AI413" s="367"/>
      <c r="AJ413" s="367"/>
      <c r="AK413" s="358"/>
      <c r="AL413" s="358"/>
      <c r="AM413" s="358"/>
      <c r="AN413" s="358"/>
      <c r="AO413" s="358"/>
      <c r="AP413" s="367"/>
    </row>
    <row r="414">
      <c r="A414" s="418"/>
      <c r="B414" s="418"/>
      <c r="C414" s="418"/>
      <c r="D414" s="418"/>
      <c r="E414" s="418"/>
      <c r="F414" s="418"/>
      <c r="G414" s="367"/>
      <c r="H414" s="418"/>
      <c r="I414" s="418"/>
      <c r="J414" s="418"/>
      <c r="K414" s="418"/>
      <c r="L414" s="420"/>
      <c r="M414" s="420"/>
      <c r="N414" s="420"/>
      <c r="O414" s="420"/>
      <c r="P414" s="420"/>
      <c r="Q414" s="420"/>
      <c r="R414" s="420"/>
      <c r="S414" s="420"/>
      <c r="T414" s="420"/>
      <c r="U414" s="420"/>
      <c r="V414" s="420"/>
      <c r="W414" s="420"/>
      <c r="X414" s="420"/>
      <c r="Y414" s="420"/>
      <c r="Z414" s="367"/>
      <c r="AA414" s="420"/>
      <c r="AB414" s="420"/>
      <c r="AC414" s="420"/>
      <c r="AD414" s="420"/>
      <c r="AE414" s="420"/>
      <c r="AF414" s="367"/>
      <c r="AG414" s="420"/>
      <c r="AH414" s="367"/>
      <c r="AI414" s="367"/>
      <c r="AJ414" s="367"/>
      <c r="AK414" s="358"/>
      <c r="AL414" s="358"/>
      <c r="AM414" s="358"/>
      <c r="AN414" s="358"/>
      <c r="AO414" s="358"/>
      <c r="AP414" s="367"/>
    </row>
    <row r="415">
      <c r="A415" s="418"/>
      <c r="B415" s="418"/>
      <c r="C415" s="418"/>
      <c r="D415" s="418"/>
      <c r="E415" s="418"/>
      <c r="F415" s="418"/>
      <c r="G415" s="367"/>
      <c r="H415" s="418"/>
      <c r="I415" s="418"/>
      <c r="J415" s="418"/>
      <c r="K415" s="418"/>
      <c r="L415" s="420"/>
      <c r="M415" s="420"/>
      <c r="N415" s="420"/>
      <c r="O415" s="420"/>
      <c r="P415" s="420"/>
      <c r="Q415" s="420"/>
      <c r="R415" s="420"/>
      <c r="S415" s="420"/>
      <c r="T415" s="420"/>
      <c r="U415" s="420"/>
      <c r="V415" s="420"/>
      <c r="W415" s="420"/>
      <c r="X415" s="420"/>
      <c r="Y415" s="420"/>
      <c r="Z415" s="367"/>
      <c r="AA415" s="420"/>
      <c r="AB415" s="420"/>
      <c r="AC415" s="420"/>
      <c r="AD415" s="420"/>
      <c r="AE415" s="420"/>
      <c r="AF415" s="367"/>
      <c r="AG415" s="420"/>
      <c r="AH415" s="367"/>
      <c r="AI415" s="367"/>
      <c r="AJ415" s="367"/>
      <c r="AK415" s="358"/>
      <c r="AL415" s="358"/>
      <c r="AM415" s="358"/>
      <c r="AN415" s="358"/>
      <c r="AO415" s="358"/>
      <c r="AP415" s="367"/>
    </row>
    <row r="416">
      <c r="A416" s="418"/>
      <c r="B416" s="418"/>
      <c r="C416" s="418"/>
      <c r="D416" s="418"/>
      <c r="E416" s="418"/>
      <c r="F416" s="418"/>
      <c r="G416" s="367"/>
      <c r="H416" s="418"/>
      <c r="I416" s="418"/>
      <c r="J416" s="418"/>
      <c r="K416" s="418"/>
      <c r="L416" s="420"/>
      <c r="M416" s="420"/>
      <c r="N416" s="420"/>
      <c r="O416" s="420"/>
      <c r="P416" s="420"/>
      <c r="Q416" s="420"/>
      <c r="R416" s="420"/>
      <c r="S416" s="420"/>
      <c r="T416" s="420"/>
      <c r="U416" s="420"/>
      <c r="V416" s="420"/>
      <c r="W416" s="420"/>
      <c r="X416" s="420"/>
      <c r="Y416" s="420"/>
      <c r="Z416" s="367"/>
      <c r="AA416" s="420"/>
      <c r="AB416" s="420"/>
      <c r="AC416" s="420"/>
      <c r="AD416" s="420"/>
      <c r="AE416" s="420"/>
      <c r="AF416" s="367"/>
      <c r="AG416" s="420"/>
      <c r="AH416" s="367"/>
      <c r="AI416" s="367"/>
      <c r="AJ416" s="367"/>
      <c r="AK416" s="358"/>
      <c r="AL416" s="358"/>
      <c r="AM416" s="358"/>
      <c r="AN416" s="358"/>
      <c r="AO416" s="358"/>
      <c r="AP416" s="367"/>
    </row>
    <row r="417">
      <c r="A417" s="418"/>
      <c r="B417" s="418"/>
      <c r="C417" s="418"/>
      <c r="D417" s="418"/>
      <c r="E417" s="418"/>
      <c r="F417" s="418"/>
      <c r="G417" s="367"/>
      <c r="H417" s="418"/>
      <c r="I417" s="418"/>
      <c r="J417" s="418"/>
      <c r="K417" s="418"/>
      <c r="L417" s="420"/>
      <c r="M417" s="420"/>
      <c r="N417" s="420"/>
      <c r="O417" s="420"/>
      <c r="P417" s="420"/>
      <c r="Q417" s="420"/>
      <c r="R417" s="420"/>
      <c r="S417" s="420"/>
      <c r="T417" s="420"/>
      <c r="U417" s="420"/>
      <c r="V417" s="420"/>
      <c r="W417" s="420"/>
      <c r="X417" s="420"/>
      <c r="Y417" s="420"/>
      <c r="Z417" s="367"/>
      <c r="AA417" s="420"/>
      <c r="AB417" s="420"/>
      <c r="AC417" s="420"/>
      <c r="AD417" s="420"/>
      <c r="AE417" s="420"/>
      <c r="AF417" s="367"/>
      <c r="AG417" s="420"/>
      <c r="AH417" s="367"/>
      <c r="AI417" s="367"/>
      <c r="AJ417" s="367"/>
      <c r="AK417" s="358"/>
      <c r="AL417" s="358"/>
      <c r="AM417" s="358"/>
      <c r="AN417" s="358"/>
      <c r="AO417" s="358"/>
      <c r="AP417" s="367"/>
    </row>
    <row r="418">
      <c r="A418" s="418"/>
      <c r="B418" s="418"/>
      <c r="C418" s="418"/>
      <c r="D418" s="418"/>
      <c r="E418" s="418"/>
      <c r="F418" s="418"/>
      <c r="G418" s="367"/>
      <c r="H418" s="418"/>
      <c r="I418" s="418"/>
      <c r="J418" s="418"/>
      <c r="K418" s="418"/>
      <c r="L418" s="420"/>
      <c r="M418" s="420"/>
      <c r="N418" s="420"/>
      <c r="O418" s="420"/>
      <c r="P418" s="420"/>
      <c r="Q418" s="420"/>
      <c r="R418" s="420"/>
      <c r="S418" s="420"/>
      <c r="T418" s="420"/>
      <c r="U418" s="420"/>
      <c r="V418" s="420"/>
      <c r="W418" s="420"/>
      <c r="X418" s="420"/>
      <c r="Y418" s="420"/>
      <c r="Z418" s="367"/>
      <c r="AA418" s="420"/>
      <c r="AB418" s="420"/>
      <c r="AC418" s="420"/>
      <c r="AD418" s="420"/>
      <c r="AE418" s="420"/>
      <c r="AF418" s="367"/>
      <c r="AG418" s="420"/>
      <c r="AH418" s="367"/>
      <c r="AI418" s="367"/>
      <c r="AJ418" s="367"/>
      <c r="AK418" s="358"/>
      <c r="AL418" s="358"/>
      <c r="AM418" s="358"/>
      <c r="AN418" s="358"/>
      <c r="AO418" s="358"/>
      <c r="AP418" s="367"/>
    </row>
    <row r="419">
      <c r="A419" s="418"/>
      <c r="B419" s="418"/>
      <c r="C419" s="418"/>
      <c r="D419" s="418"/>
      <c r="E419" s="418"/>
      <c r="F419" s="418"/>
      <c r="G419" s="367"/>
      <c r="H419" s="418"/>
      <c r="I419" s="418"/>
      <c r="J419" s="418"/>
      <c r="K419" s="418"/>
      <c r="L419" s="420"/>
      <c r="M419" s="420"/>
      <c r="N419" s="420"/>
      <c r="O419" s="420"/>
      <c r="P419" s="420"/>
      <c r="Q419" s="420"/>
      <c r="R419" s="420"/>
      <c r="S419" s="420"/>
      <c r="T419" s="420"/>
      <c r="U419" s="420"/>
      <c r="V419" s="420"/>
      <c r="W419" s="420"/>
      <c r="X419" s="420"/>
      <c r="Y419" s="420"/>
      <c r="Z419" s="367"/>
      <c r="AA419" s="420"/>
      <c r="AB419" s="420"/>
      <c r="AC419" s="420"/>
      <c r="AD419" s="420"/>
      <c r="AE419" s="420"/>
      <c r="AF419" s="367"/>
      <c r="AG419" s="420"/>
      <c r="AH419" s="367"/>
      <c r="AI419" s="367"/>
      <c r="AJ419" s="367"/>
      <c r="AK419" s="358"/>
      <c r="AL419" s="358"/>
      <c r="AM419" s="358"/>
      <c r="AN419" s="358"/>
      <c r="AO419" s="358"/>
      <c r="AP419" s="367"/>
    </row>
    <row r="420">
      <c r="A420" s="418"/>
      <c r="B420" s="418"/>
      <c r="C420" s="418"/>
      <c r="D420" s="418"/>
      <c r="E420" s="418"/>
      <c r="F420" s="418"/>
      <c r="G420" s="367"/>
      <c r="H420" s="418"/>
      <c r="I420" s="418"/>
      <c r="J420" s="418"/>
      <c r="K420" s="418"/>
      <c r="L420" s="420"/>
      <c r="M420" s="420"/>
      <c r="N420" s="420"/>
      <c r="O420" s="420"/>
      <c r="P420" s="420"/>
      <c r="Q420" s="420"/>
      <c r="R420" s="420"/>
      <c r="S420" s="420"/>
      <c r="T420" s="420"/>
      <c r="U420" s="420"/>
      <c r="V420" s="420"/>
      <c r="W420" s="420"/>
      <c r="X420" s="420"/>
      <c r="Y420" s="420"/>
      <c r="Z420" s="367"/>
      <c r="AA420" s="420"/>
      <c r="AB420" s="420"/>
      <c r="AC420" s="420"/>
      <c r="AD420" s="420"/>
      <c r="AE420" s="420"/>
      <c r="AF420" s="367"/>
      <c r="AG420" s="420"/>
      <c r="AH420" s="367"/>
      <c r="AI420" s="367"/>
      <c r="AJ420" s="367"/>
      <c r="AK420" s="358"/>
      <c r="AL420" s="358"/>
      <c r="AM420" s="358"/>
      <c r="AN420" s="358"/>
      <c r="AO420" s="358"/>
      <c r="AP420" s="367"/>
    </row>
    <row r="421">
      <c r="A421" s="418"/>
      <c r="B421" s="418"/>
      <c r="C421" s="418"/>
      <c r="D421" s="418"/>
      <c r="E421" s="418"/>
      <c r="F421" s="418"/>
      <c r="G421" s="367"/>
      <c r="H421" s="418"/>
      <c r="I421" s="418"/>
      <c r="J421" s="418"/>
      <c r="K421" s="418"/>
      <c r="L421" s="420"/>
      <c r="M421" s="420"/>
      <c r="N421" s="420"/>
      <c r="O421" s="420"/>
      <c r="P421" s="420"/>
      <c r="Q421" s="420"/>
      <c r="R421" s="420"/>
      <c r="S421" s="420"/>
      <c r="T421" s="420"/>
      <c r="U421" s="420"/>
      <c r="V421" s="420"/>
      <c r="W421" s="420"/>
      <c r="X421" s="420"/>
      <c r="Y421" s="420"/>
      <c r="Z421" s="367"/>
      <c r="AA421" s="420"/>
      <c r="AB421" s="420"/>
      <c r="AC421" s="420"/>
      <c r="AD421" s="420"/>
      <c r="AE421" s="420"/>
      <c r="AF421" s="367"/>
      <c r="AG421" s="420"/>
      <c r="AH421" s="367"/>
      <c r="AI421" s="367"/>
      <c r="AJ421" s="367"/>
      <c r="AK421" s="358"/>
      <c r="AL421" s="358"/>
      <c r="AM421" s="358"/>
      <c r="AN421" s="358"/>
      <c r="AO421" s="358"/>
      <c r="AP421" s="367"/>
    </row>
    <row r="422">
      <c r="A422" s="418"/>
      <c r="B422" s="418"/>
      <c r="C422" s="418"/>
      <c r="D422" s="418"/>
      <c r="E422" s="418"/>
      <c r="F422" s="418"/>
      <c r="G422" s="367"/>
      <c r="H422" s="418"/>
      <c r="I422" s="418"/>
      <c r="J422" s="418"/>
      <c r="K422" s="418"/>
      <c r="L422" s="420"/>
      <c r="M422" s="420"/>
      <c r="N422" s="420"/>
      <c r="O422" s="420"/>
      <c r="P422" s="420"/>
      <c r="Q422" s="420"/>
      <c r="R422" s="420"/>
      <c r="S422" s="420"/>
      <c r="T422" s="420"/>
      <c r="U422" s="420"/>
      <c r="V422" s="420"/>
      <c r="W422" s="420"/>
      <c r="X422" s="420"/>
      <c r="Y422" s="420"/>
      <c r="Z422" s="367"/>
      <c r="AA422" s="420"/>
      <c r="AB422" s="420"/>
      <c r="AC422" s="420"/>
      <c r="AD422" s="420"/>
      <c r="AE422" s="420"/>
      <c r="AF422" s="367"/>
      <c r="AG422" s="420"/>
      <c r="AH422" s="367"/>
      <c r="AI422" s="367"/>
      <c r="AJ422" s="367"/>
      <c r="AK422" s="358"/>
      <c r="AL422" s="358"/>
      <c r="AM422" s="358"/>
      <c r="AN422" s="358"/>
      <c r="AO422" s="358"/>
      <c r="AP422" s="367"/>
    </row>
    <row r="423">
      <c r="A423" s="418"/>
      <c r="B423" s="418"/>
      <c r="C423" s="418"/>
      <c r="D423" s="418"/>
      <c r="E423" s="418"/>
      <c r="F423" s="418"/>
      <c r="G423" s="367"/>
      <c r="H423" s="418"/>
      <c r="I423" s="418"/>
      <c r="J423" s="418"/>
      <c r="K423" s="418"/>
      <c r="L423" s="420"/>
      <c r="M423" s="420"/>
      <c r="N423" s="420"/>
      <c r="O423" s="420"/>
      <c r="P423" s="420"/>
      <c r="Q423" s="420"/>
      <c r="R423" s="420"/>
      <c r="S423" s="420"/>
      <c r="T423" s="420"/>
      <c r="U423" s="420"/>
      <c r="V423" s="420"/>
      <c r="W423" s="420"/>
      <c r="X423" s="420"/>
      <c r="Y423" s="420"/>
      <c r="Z423" s="367"/>
      <c r="AA423" s="420"/>
      <c r="AB423" s="420"/>
      <c r="AC423" s="420"/>
      <c r="AD423" s="420"/>
      <c r="AE423" s="420"/>
      <c r="AF423" s="367"/>
      <c r="AG423" s="420"/>
      <c r="AH423" s="367"/>
      <c r="AI423" s="367"/>
      <c r="AJ423" s="367"/>
      <c r="AK423" s="358"/>
      <c r="AL423" s="358"/>
      <c r="AM423" s="358"/>
      <c r="AN423" s="358"/>
      <c r="AO423" s="358"/>
      <c r="AP423" s="367"/>
    </row>
    <row r="424">
      <c r="A424" s="418"/>
      <c r="B424" s="418"/>
      <c r="C424" s="418"/>
      <c r="D424" s="418"/>
      <c r="E424" s="418"/>
      <c r="F424" s="418"/>
      <c r="G424" s="367"/>
      <c r="H424" s="418"/>
      <c r="I424" s="418"/>
      <c r="J424" s="418"/>
      <c r="K424" s="418"/>
      <c r="L424" s="420"/>
      <c r="M424" s="420"/>
      <c r="N424" s="420"/>
      <c r="O424" s="420"/>
      <c r="P424" s="420"/>
      <c r="Q424" s="420"/>
      <c r="R424" s="420"/>
      <c r="S424" s="420"/>
      <c r="T424" s="420"/>
      <c r="U424" s="420"/>
      <c r="V424" s="420"/>
      <c r="W424" s="420"/>
      <c r="X424" s="420"/>
      <c r="Y424" s="420"/>
      <c r="Z424" s="367"/>
      <c r="AA424" s="420"/>
      <c r="AB424" s="420"/>
      <c r="AC424" s="420"/>
      <c r="AD424" s="420"/>
      <c r="AE424" s="420"/>
      <c r="AF424" s="367"/>
      <c r="AG424" s="420"/>
      <c r="AH424" s="367"/>
      <c r="AI424" s="367"/>
      <c r="AJ424" s="367"/>
      <c r="AK424" s="358"/>
      <c r="AL424" s="358"/>
      <c r="AM424" s="358"/>
      <c r="AN424" s="358"/>
      <c r="AO424" s="358"/>
      <c r="AP424" s="367"/>
    </row>
    <row r="425">
      <c r="A425" s="418"/>
      <c r="B425" s="418"/>
      <c r="C425" s="418"/>
      <c r="D425" s="418"/>
      <c r="E425" s="418"/>
      <c r="F425" s="418"/>
      <c r="G425" s="367"/>
      <c r="H425" s="418"/>
      <c r="I425" s="418"/>
      <c r="J425" s="418"/>
      <c r="K425" s="418"/>
      <c r="L425" s="420"/>
      <c r="M425" s="420"/>
      <c r="N425" s="420"/>
      <c r="O425" s="420"/>
      <c r="P425" s="420"/>
      <c r="Q425" s="420"/>
      <c r="R425" s="420"/>
      <c r="S425" s="420"/>
      <c r="T425" s="420"/>
      <c r="U425" s="420"/>
      <c r="V425" s="420"/>
      <c r="W425" s="420"/>
      <c r="X425" s="420"/>
      <c r="Y425" s="420"/>
      <c r="Z425" s="367"/>
      <c r="AA425" s="420"/>
      <c r="AB425" s="420"/>
      <c r="AC425" s="420"/>
      <c r="AD425" s="420"/>
      <c r="AE425" s="420"/>
      <c r="AF425" s="367"/>
      <c r="AG425" s="420"/>
      <c r="AH425" s="367"/>
      <c r="AI425" s="367"/>
      <c r="AJ425" s="367"/>
      <c r="AK425" s="358"/>
      <c r="AL425" s="358"/>
      <c r="AM425" s="358"/>
      <c r="AN425" s="358"/>
      <c r="AO425" s="358"/>
      <c r="AP425" s="367"/>
    </row>
    <row r="426">
      <c r="A426" s="418"/>
      <c r="B426" s="418"/>
      <c r="C426" s="418"/>
      <c r="D426" s="418"/>
      <c r="E426" s="418"/>
      <c r="F426" s="418"/>
      <c r="G426" s="367"/>
      <c r="H426" s="418"/>
      <c r="I426" s="418"/>
      <c r="J426" s="418"/>
      <c r="K426" s="418"/>
      <c r="L426" s="420"/>
      <c r="M426" s="420"/>
      <c r="N426" s="420"/>
      <c r="O426" s="420"/>
      <c r="P426" s="420"/>
      <c r="Q426" s="420"/>
      <c r="R426" s="420"/>
      <c r="S426" s="420"/>
      <c r="T426" s="420"/>
      <c r="U426" s="420"/>
      <c r="V426" s="420"/>
      <c r="W426" s="420"/>
      <c r="X426" s="420"/>
      <c r="Y426" s="420"/>
      <c r="Z426" s="367"/>
      <c r="AA426" s="420"/>
      <c r="AB426" s="420"/>
      <c r="AC426" s="420"/>
      <c r="AD426" s="420"/>
      <c r="AE426" s="420"/>
      <c r="AF426" s="367"/>
      <c r="AG426" s="420"/>
      <c r="AH426" s="367"/>
      <c r="AI426" s="367"/>
      <c r="AJ426" s="367"/>
      <c r="AK426" s="358"/>
      <c r="AL426" s="358"/>
      <c r="AM426" s="358"/>
      <c r="AN426" s="358"/>
      <c r="AO426" s="358"/>
      <c r="AP426" s="367"/>
    </row>
    <row r="427">
      <c r="A427" s="418"/>
      <c r="B427" s="418"/>
      <c r="C427" s="418"/>
      <c r="D427" s="418"/>
      <c r="E427" s="418"/>
      <c r="F427" s="418"/>
      <c r="G427" s="367"/>
      <c r="H427" s="418"/>
      <c r="I427" s="418"/>
      <c r="J427" s="418"/>
      <c r="K427" s="418"/>
      <c r="L427" s="420"/>
      <c r="M427" s="420"/>
      <c r="N427" s="420"/>
      <c r="O427" s="420"/>
      <c r="P427" s="420"/>
      <c r="Q427" s="420"/>
      <c r="R427" s="420"/>
      <c r="S427" s="420"/>
      <c r="T427" s="420"/>
      <c r="U427" s="420"/>
      <c r="V427" s="420"/>
      <c r="W427" s="420"/>
      <c r="X427" s="420"/>
      <c r="Y427" s="420"/>
      <c r="Z427" s="367"/>
      <c r="AA427" s="420"/>
      <c r="AB427" s="420"/>
      <c r="AC427" s="420"/>
      <c r="AD427" s="420"/>
      <c r="AE427" s="420"/>
      <c r="AF427" s="367"/>
      <c r="AG427" s="420"/>
      <c r="AH427" s="367"/>
      <c r="AI427" s="367"/>
      <c r="AJ427" s="367"/>
      <c r="AK427" s="358"/>
      <c r="AL427" s="358"/>
      <c r="AM427" s="358"/>
      <c r="AN427" s="358"/>
      <c r="AO427" s="358"/>
      <c r="AP427" s="367"/>
    </row>
    <row r="428">
      <c r="A428" s="418"/>
      <c r="B428" s="418"/>
      <c r="C428" s="418"/>
      <c r="D428" s="418"/>
      <c r="E428" s="418"/>
      <c r="F428" s="418"/>
      <c r="G428" s="367"/>
      <c r="H428" s="418"/>
      <c r="I428" s="418"/>
      <c r="J428" s="418"/>
      <c r="K428" s="418"/>
      <c r="L428" s="420"/>
      <c r="M428" s="420"/>
      <c r="N428" s="420"/>
      <c r="O428" s="420"/>
      <c r="P428" s="420"/>
      <c r="Q428" s="420"/>
      <c r="R428" s="420"/>
      <c r="S428" s="420"/>
      <c r="T428" s="420"/>
      <c r="U428" s="420"/>
      <c r="V428" s="420"/>
      <c r="W428" s="420"/>
      <c r="X428" s="420"/>
      <c r="Y428" s="420"/>
      <c r="Z428" s="367"/>
      <c r="AA428" s="420"/>
      <c r="AB428" s="420"/>
      <c r="AC428" s="420"/>
      <c r="AD428" s="420"/>
      <c r="AE428" s="420"/>
      <c r="AF428" s="367"/>
      <c r="AG428" s="420"/>
      <c r="AH428" s="367"/>
      <c r="AI428" s="367"/>
      <c r="AJ428" s="367"/>
      <c r="AK428" s="358"/>
      <c r="AL428" s="358"/>
      <c r="AM428" s="358"/>
      <c r="AN428" s="358"/>
      <c r="AO428" s="358"/>
      <c r="AP428" s="367"/>
    </row>
    <row r="429">
      <c r="A429" s="418"/>
      <c r="B429" s="418"/>
      <c r="C429" s="418"/>
      <c r="D429" s="418"/>
      <c r="E429" s="418"/>
      <c r="F429" s="418"/>
      <c r="G429" s="367"/>
      <c r="H429" s="418"/>
      <c r="I429" s="418"/>
      <c r="J429" s="418"/>
      <c r="K429" s="418"/>
      <c r="L429" s="420"/>
      <c r="M429" s="420"/>
      <c r="N429" s="420"/>
      <c r="O429" s="420"/>
      <c r="P429" s="420"/>
      <c r="Q429" s="420"/>
      <c r="R429" s="420"/>
      <c r="S429" s="420"/>
      <c r="T429" s="420"/>
      <c r="U429" s="420"/>
      <c r="V429" s="420"/>
      <c r="W429" s="420"/>
      <c r="X429" s="420"/>
      <c r="Y429" s="420"/>
      <c r="Z429" s="367"/>
      <c r="AA429" s="420"/>
      <c r="AB429" s="420"/>
      <c r="AC429" s="420"/>
      <c r="AD429" s="420"/>
      <c r="AE429" s="420"/>
      <c r="AF429" s="367"/>
      <c r="AG429" s="420"/>
      <c r="AH429" s="367"/>
      <c r="AI429" s="367"/>
      <c r="AJ429" s="367"/>
      <c r="AK429" s="358"/>
      <c r="AL429" s="358"/>
      <c r="AM429" s="358"/>
      <c r="AN429" s="358"/>
      <c r="AO429" s="358"/>
      <c r="AP429" s="367"/>
    </row>
    <row r="430">
      <c r="A430" s="418"/>
      <c r="B430" s="418"/>
      <c r="C430" s="418"/>
      <c r="D430" s="418"/>
      <c r="E430" s="418"/>
      <c r="F430" s="418"/>
      <c r="G430" s="367"/>
      <c r="H430" s="418"/>
      <c r="I430" s="418"/>
      <c r="J430" s="418"/>
      <c r="K430" s="418"/>
      <c r="L430" s="420"/>
      <c r="M430" s="420"/>
      <c r="N430" s="420"/>
      <c r="O430" s="420"/>
      <c r="P430" s="420"/>
      <c r="Q430" s="420"/>
      <c r="R430" s="420"/>
      <c r="S430" s="420"/>
      <c r="T430" s="420"/>
      <c r="U430" s="420"/>
      <c r="V430" s="420"/>
      <c r="W430" s="420"/>
      <c r="X430" s="420"/>
      <c r="Y430" s="420"/>
      <c r="Z430" s="367"/>
      <c r="AA430" s="420"/>
      <c r="AB430" s="420"/>
      <c r="AC430" s="420"/>
      <c r="AD430" s="420"/>
      <c r="AE430" s="420"/>
      <c r="AF430" s="367"/>
      <c r="AG430" s="420"/>
      <c r="AH430" s="367"/>
      <c r="AI430" s="367"/>
      <c r="AJ430" s="367"/>
      <c r="AK430" s="358"/>
      <c r="AL430" s="358"/>
      <c r="AM430" s="358"/>
      <c r="AN430" s="358"/>
      <c r="AO430" s="358"/>
      <c r="AP430" s="367"/>
    </row>
    <row r="431">
      <c r="A431" s="418"/>
      <c r="B431" s="418"/>
      <c r="C431" s="418"/>
      <c r="D431" s="418"/>
      <c r="E431" s="418"/>
      <c r="F431" s="418"/>
      <c r="G431" s="367"/>
      <c r="H431" s="418"/>
      <c r="I431" s="418"/>
      <c r="J431" s="418"/>
      <c r="K431" s="418"/>
      <c r="L431" s="420"/>
      <c r="M431" s="420"/>
      <c r="N431" s="420"/>
      <c r="O431" s="420"/>
      <c r="P431" s="420"/>
      <c r="Q431" s="420"/>
      <c r="R431" s="420"/>
      <c r="S431" s="420"/>
      <c r="T431" s="420"/>
      <c r="U431" s="420"/>
      <c r="V431" s="420"/>
      <c r="W431" s="420"/>
      <c r="X431" s="420"/>
      <c r="Y431" s="420"/>
      <c r="Z431" s="367"/>
      <c r="AA431" s="420"/>
      <c r="AB431" s="420"/>
      <c r="AC431" s="420"/>
      <c r="AD431" s="420"/>
      <c r="AE431" s="420"/>
      <c r="AF431" s="367"/>
      <c r="AG431" s="420"/>
      <c r="AH431" s="367"/>
      <c r="AI431" s="367"/>
      <c r="AJ431" s="367"/>
      <c r="AK431" s="358"/>
      <c r="AL431" s="358"/>
      <c r="AM431" s="358"/>
      <c r="AN431" s="358"/>
      <c r="AO431" s="358"/>
      <c r="AP431" s="367"/>
    </row>
    <row r="432">
      <c r="A432" s="418"/>
      <c r="B432" s="418"/>
      <c r="C432" s="418"/>
      <c r="D432" s="418"/>
      <c r="E432" s="418"/>
      <c r="F432" s="418"/>
      <c r="G432" s="367"/>
      <c r="H432" s="418"/>
      <c r="I432" s="418"/>
      <c r="J432" s="418"/>
      <c r="K432" s="418"/>
      <c r="L432" s="420"/>
      <c r="M432" s="420"/>
      <c r="N432" s="420"/>
      <c r="O432" s="420"/>
      <c r="P432" s="420"/>
      <c r="Q432" s="420"/>
      <c r="R432" s="420"/>
      <c r="S432" s="420"/>
      <c r="T432" s="420"/>
      <c r="U432" s="420"/>
      <c r="V432" s="420"/>
      <c r="W432" s="420"/>
      <c r="X432" s="420"/>
      <c r="Y432" s="420"/>
      <c r="Z432" s="367"/>
      <c r="AA432" s="420"/>
      <c r="AB432" s="420"/>
      <c r="AC432" s="420"/>
      <c r="AD432" s="420"/>
      <c r="AE432" s="420"/>
      <c r="AF432" s="367"/>
      <c r="AG432" s="420"/>
      <c r="AH432" s="367"/>
      <c r="AI432" s="367"/>
      <c r="AJ432" s="367"/>
      <c r="AK432" s="358"/>
      <c r="AL432" s="358"/>
      <c r="AM432" s="358"/>
      <c r="AN432" s="358"/>
      <c r="AO432" s="358"/>
      <c r="AP432" s="367"/>
    </row>
    <row r="433">
      <c r="A433" s="418"/>
      <c r="B433" s="418"/>
      <c r="C433" s="418"/>
      <c r="D433" s="418"/>
      <c r="E433" s="418"/>
      <c r="F433" s="418"/>
      <c r="G433" s="367"/>
      <c r="H433" s="418"/>
      <c r="I433" s="418"/>
      <c r="J433" s="418"/>
      <c r="K433" s="418"/>
      <c r="L433" s="420"/>
      <c r="M433" s="420"/>
      <c r="N433" s="420"/>
      <c r="O433" s="420"/>
      <c r="P433" s="420"/>
      <c r="Q433" s="420"/>
      <c r="R433" s="420"/>
      <c r="S433" s="420"/>
      <c r="T433" s="420"/>
      <c r="U433" s="420"/>
      <c r="V433" s="420"/>
      <c r="W433" s="420"/>
      <c r="X433" s="420"/>
      <c r="Y433" s="420"/>
      <c r="Z433" s="367"/>
      <c r="AA433" s="420"/>
      <c r="AB433" s="420"/>
      <c r="AC433" s="420"/>
      <c r="AD433" s="420"/>
      <c r="AE433" s="420"/>
      <c r="AF433" s="367"/>
      <c r="AG433" s="420"/>
      <c r="AH433" s="367"/>
      <c r="AI433" s="367"/>
      <c r="AJ433" s="367"/>
      <c r="AK433" s="358"/>
      <c r="AL433" s="358"/>
      <c r="AM433" s="358"/>
      <c r="AN433" s="358"/>
      <c r="AO433" s="358"/>
      <c r="AP433" s="367"/>
    </row>
    <row r="434">
      <c r="A434" s="418"/>
      <c r="B434" s="418"/>
      <c r="C434" s="418"/>
      <c r="D434" s="418"/>
      <c r="E434" s="418"/>
      <c r="F434" s="418"/>
      <c r="G434" s="367"/>
      <c r="H434" s="418"/>
      <c r="I434" s="418"/>
      <c r="J434" s="418"/>
      <c r="K434" s="418"/>
      <c r="L434" s="420"/>
      <c r="M434" s="420"/>
      <c r="N434" s="420"/>
      <c r="O434" s="420"/>
      <c r="P434" s="420"/>
      <c r="Q434" s="420"/>
      <c r="R434" s="420"/>
      <c r="S434" s="420"/>
      <c r="T434" s="420"/>
      <c r="U434" s="420"/>
      <c r="V434" s="420"/>
      <c r="W434" s="420"/>
      <c r="X434" s="420"/>
      <c r="Y434" s="420"/>
      <c r="Z434" s="367"/>
      <c r="AA434" s="420"/>
      <c r="AB434" s="420"/>
      <c r="AC434" s="420"/>
      <c r="AD434" s="420"/>
      <c r="AE434" s="420"/>
      <c r="AF434" s="367"/>
      <c r="AG434" s="420"/>
      <c r="AH434" s="367"/>
      <c r="AI434" s="367"/>
      <c r="AJ434" s="367"/>
      <c r="AK434" s="358"/>
      <c r="AL434" s="358"/>
      <c r="AM434" s="358"/>
      <c r="AN434" s="358"/>
      <c r="AO434" s="358"/>
      <c r="AP434" s="367"/>
    </row>
    <row r="435">
      <c r="A435" s="418"/>
      <c r="B435" s="418"/>
      <c r="C435" s="418"/>
      <c r="D435" s="418"/>
      <c r="E435" s="418"/>
      <c r="F435" s="418"/>
      <c r="G435" s="367"/>
      <c r="H435" s="418"/>
      <c r="I435" s="418"/>
      <c r="J435" s="418"/>
      <c r="K435" s="418"/>
      <c r="L435" s="420"/>
      <c r="M435" s="420"/>
      <c r="N435" s="420"/>
      <c r="O435" s="420"/>
      <c r="P435" s="420"/>
      <c r="Q435" s="420"/>
      <c r="R435" s="420"/>
      <c r="S435" s="420"/>
      <c r="T435" s="420"/>
      <c r="U435" s="420"/>
      <c r="V435" s="420"/>
      <c r="W435" s="420"/>
      <c r="X435" s="420"/>
      <c r="Y435" s="420"/>
      <c r="Z435" s="367"/>
      <c r="AA435" s="420"/>
      <c r="AB435" s="420"/>
      <c r="AC435" s="420"/>
      <c r="AD435" s="420"/>
      <c r="AE435" s="420"/>
      <c r="AF435" s="367"/>
      <c r="AG435" s="420"/>
      <c r="AH435" s="367"/>
      <c r="AI435" s="367"/>
      <c r="AJ435" s="367"/>
      <c r="AK435" s="358"/>
      <c r="AL435" s="358"/>
      <c r="AM435" s="358"/>
      <c r="AN435" s="358"/>
      <c r="AO435" s="358"/>
      <c r="AP435" s="367"/>
    </row>
    <row r="436">
      <c r="A436" s="418"/>
      <c r="B436" s="418"/>
      <c r="C436" s="418"/>
      <c r="D436" s="418"/>
      <c r="E436" s="418"/>
      <c r="F436" s="418"/>
      <c r="G436" s="367"/>
      <c r="H436" s="418"/>
      <c r="I436" s="418"/>
      <c r="J436" s="418"/>
      <c r="K436" s="418"/>
      <c r="L436" s="420"/>
      <c r="M436" s="420"/>
      <c r="N436" s="420"/>
      <c r="O436" s="420"/>
      <c r="P436" s="420"/>
      <c r="Q436" s="420"/>
      <c r="R436" s="420"/>
      <c r="S436" s="420"/>
      <c r="T436" s="420"/>
      <c r="U436" s="420"/>
      <c r="V436" s="420"/>
      <c r="W436" s="420"/>
      <c r="X436" s="420"/>
      <c r="Y436" s="420"/>
      <c r="Z436" s="367"/>
      <c r="AA436" s="420"/>
      <c r="AB436" s="420"/>
      <c r="AC436" s="420"/>
      <c r="AD436" s="420"/>
      <c r="AE436" s="420"/>
      <c r="AF436" s="367"/>
      <c r="AG436" s="420"/>
      <c r="AH436" s="367"/>
      <c r="AI436" s="367"/>
      <c r="AJ436" s="367"/>
      <c r="AK436" s="358"/>
      <c r="AL436" s="358"/>
      <c r="AM436" s="358"/>
      <c r="AN436" s="358"/>
      <c r="AO436" s="358"/>
      <c r="AP436" s="367"/>
    </row>
    <row r="437">
      <c r="A437" s="418"/>
      <c r="B437" s="418"/>
      <c r="C437" s="418"/>
      <c r="D437" s="418"/>
      <c r="E437" s="418"/>
      <c r="F437" s="418"/>
      <c r="G437" s="367"/>
      <c r="H437" s="418"/>
      <c r="I437" s="418"/>
      <c r="J437" s="418"/>
      <c r="K437" s="418"/>
      <c r="L437" s="420"/>
      <c r="M437" s="420"/>
      <c r="N437" s="420"/>
      <c r="O437" s="420"/>
      <c r="P437" s="420"/>
      <c r="Q437" s="420"/>
      <c r="R437" s="420"/>
      <c r="S437" s="420"/>
      <c r="T437" s="420"/>
      <c r="U437" s="420"/>
      <c r="V437" s="420"/>
      <c r="W437" s="420"/>
      <c r="X437" s="420"/>
      <c r="Y437" s="420"/>
      <c r="Z437" s="367"/>
      <c r="AA437" s="420"/>
      <c r="AB437" s="420"/>
      <c r="AC437" s="420"/>
      <c r="AD437" s="420"/>
      <c r="AE437" s="420"/>
      <c r="AF437" s="367"/>
      <c r="AG437" s="420"/>
      <c r="AH437" s="367"/>
      <c r="AI437" s="367"/>
      <c r="AJ437" s="367"/>
      <c r="AK437" s="358"/>
      <c r="AL437" s="358"/>
      <c r="AM437" s="358"/>
      <c r="AN437" s="358"/>
      <c r="AO437" s="358"/>
      <c r="AP437" s="367"/>
    </row>
    <row r="438">
      <c r="A438" s="418"/>
      <c r="B438" s="418"/>
      <c r="C438" s="418"/>
      <c r="D438" s="418"/>
      <c r="E438" s="418"/>
      <c r="F438" s="418"/>
      <c r="G438" s="367"/>
      <c r="H438" s="418"/>
      <c r="I438" s="418"/>
      <c r="J438" s="418"/>
      <c r="K438" s="418"/>
      <c r="L438" s="420"/>
      <c r="M438" s="420"/>
      <c r="N438" s="420"/>
      <c r="O438" s="420"/>
      <c r="P438" s="420"/>
      <c r="Q438" s="420"/>
      <c r="R438" s="420"/>
      <c r="S438" s="420"/>
      <c r="T438" s="420"/>
      <c r="U438" s="420"/>
      <c r="V438" s="420"/>
      <c r="W438" s="420"/>
      <c r="X438" s="420"/>
      <c r="Y438" s="420"/>
      <c r="Z438" s="367"/>
      <c r="AA438" s="420"/>
      <c r="AB438" s="420"/>
      <c r="AC438" s="420"/>
      <c r="AD438" s="420"/>
      <c r="AE438" s="420"/>
      <c r="AF438" s="367"/>
      <c r="AG438" s="420"/>
      <c r="AH438" s="367"/>
      <c r="AI438" s="367"/>
      <c r="AJ438" s="367"/>
      <c r="AK438" s="358"/>
      <c r="AL438" s="358"/>
      <c r="AM438" s="358"/>
      <c r="AN438" s="358"/>
      <c r="AO438" s="358"/>
      <c r="AP438" s="367"/>
    </row>
    <row r="439">
      <c r="A439" s="418"/>
      <c r="B439" s="418"/>
      <c r="C439" s="418"/>
      <c r="D439" s="418"/>
      <c r="E439" s="418"/>
      <c r="F439" s="418"/>
      <c r="G439" s="367"/>
      <c r="H439" s="418"/>
      <c r="I439" s="418"/>
      <c r="J439" s="418"/>
      <c r="K439" s="418"/>
      <c r="L439" s="420"/>
      <c r="M439" s="420"/>
      <c r="N439" s="420"/>
      <c r="O439" s="420"/>
      <c r="P439" s="420"/>
      <c r="Q439" s="420"/>
      <c r="R439" s="420"/>
      <c r="S439" s="420"/>
      <c r="T439" s="420"/>
      <c r="U439" s="420"/>
      <c r="V439" s="420"/>
      <c r="W439" s="420"/>
      <c r="X439" s="420"/>
      <c r="Y439" s="420"/>
      <c r="Z439" s="367"/>
      <c r="AA439" s="420"/>
      <c r="AB439" s="420"/>
      <c r="AC439" s="420"/>
      <c r="AD439" s="420"/>
      <c r="AE439" s="420"/>
      <c r="AF439" s="367"/>
      <c r="AG439" s="420"/>
      <c r="AH439" s="367"/>
      <c r="AI439" s="367"/>
      <c r="AJ439" s="367"/>
      <c r="AK439" s="358"/>
      <c r="AL439" s="358"/>
      <c r="AM439" s="358"/>
      <c r="AN439" s="358"/>
      <c r="AO439" s="358"/>
      <c r="AP439" s="367"/>
    </row>
    <row r="440">
      <c r="A440" s="418"/>
      <c r="B440" s="418"/>
      <c r="C440" s="418"/>
      <c r="D440" s="418"/>
      <c r="E440" s="418"/>
      <c r="F440" s="418"/>
      <c r="G440" s="367"/>
      <c r="H440" s="418"/>
      <c r="I440" s="418"/>
      <c r="J440" s="418"/>
      <c r="K440" s="418"/>
      <c r="L440" s="420"/>
      <c r="M440" s="420"/>
      <c r="N440" s="420"/>
      <c r="O440" s="420"/>
      <c r="P440" s="420"/>
      <c r="Q440" s="420"/>
      <c r="R440" s="420"/>
      <c r="S440" s="420"/>
      <c r="T440" s="420"/>
      <c r="U440" s="420"/>
      <c r="V440" s="420"/>
      <c r="W440" s="420"/>
      <c r="X440" s="420"/>
      <c r="Y440" s="420"/>
      <c r="Z440" s="367"/>
      <c r="AA440" s="420"/>
      <c r="AB440" s="420"/>
      <c r="AC440" s="420"/>
      <c r="AD440" s="420"/>
      <c r="AE440" s="420"/>
      <c r="AF440" s="367"/>
      <c r="AG440" s="420"/>
      <c r="AH440" s="367"/>
      <c r="AI440" s="367"/>
      <c r="AJ440" s="367"/>
      <c r="AK440" s="358"/>
      <c r="AL440" s="358"/>
      <c r="AM440" s="358"/>
      <c r="AN440" s="358"/>
      <c r="AO440" s="358"/>
      <c r="AP440" s="367"/>
    </row>
    <row r="441">
      <c r="A441" s="418"/>
      <c r="B441" s="418"/>
      <c r="C441" s="418"/>
      <c r="D441" s="418"/>
      <c r="E441" s="418"/>
      <c r="F441" s="418"/>
      <c r="G441" s="367"/>
      <c r="H441" s="418"/>
      <c r="I441" s="418"/>
      <c r="J441" s="418"/>
      <c r="K441" s="418"/>
      <c r="L441" s="420"/>
      <c r="M441" s="420"/>
      <c r="N441" s="420"/>
      <c r="O441" s="420"/>
      <c r="P441" s="420"/>
      <c r="Q441" s="420"/>
      <c r="R441" s="420"/>
      <c r="S441" s="420"/>
      <c r="T441" s="420"/>
      <c r="U441" s="420"/>
      <c r="V441" s="420"/>
      <c r="W441" s="420"/>
      <c r="X441" s="420"/>
      <c r="Y441" s="420"/>
      <c r="Z441" s="367"/>
      <c r="AA441" s="420"/>
      <c r="AB441" s="420"/>
      <c r="AC441" s="420"/>
      <c r="AD441" s="420"/>
      <c r="AE441" s="420"/>
      <c r="AF441" s="367"/>
      <c r="AG441" s="420"/>
      <c r="AH441" s="367"/>
      <c r="AI441" s="367"/>
      <c r="AJ441" s="367"/>
      <c r="AK441" s="358"/>
      <c r="AL441" s="358"/>
      <c r="AM441" s="358"/>
      <c r="AN441" s="358"/>
      <c r="AO441" s="358"/>
      <c r="AP441" s="367"/>
    </row>
    <row r="442">
      <c r="A442" s="418"/>
      <c r="B442" s="418"/>
      <c r="C442" s="418"/>
      <c r="D442" s="418"/>
      <c r="E442" s="418"/>
      <c r="F442" s="418"/>
      <c r="G442" s="367"/>
      <c r="H442" s="418"/>
      <c r="I442" s="418"/>
      <c r="J442" s="418"/>
      <c r="K442" s="418"/>
      <c r="L442" s="420"/>
      <c r="M442" s="420"/>
      <c r="N442" s="420"/>
      <c r="O442" s="420"/>
      <c r="P442" s="420"/>
      <c r="Q442" s="420"/>
      <c r="R442" s="420"/>
      <c r="S442" s="420"/>
      <c r="T442" s="420"/>
      <c r="U442" s="420"/>
      <c r="V442" s="420"/>
      <c r="W442" s="420"/>
      <c r="X442" s="420"/>
      <c r="Y442" s="420"/>
      <c r="Z442" s="367"/>
      <c r="AA442" s="420"/>
      <c r="AB442" s="420"/>
      <c r="AC442" s="420"/>
      <c r="AD442" s="420"/>
      <c r="AE442" s="420"/>
      <c r="AF442" s="367"/>
      <c r="AG442" s="420"/>
      <c r="AH442" s="367"/>
      <c r="AI442" s="367"/>
      <c r="AJ442" s="367"/>
      <c r="AK442" s="358"/>
      <c r="AL442" s="358"/>
      <c r="AM442" s="358"/>
      <c r="AN442" s="358"/>
      <c r="AO442" s="358"/>
      <c r="AP442" s="367"/>
    </row>
    <row r="443">
      <c r="A443" s="418"/>
      <c r="B443" s="418"/>
      <c r="C443" s="418"/>
      <c r="D443" s="418"/>
      <c r="E443" s="418"/>
      <c r="F443" s="418"/>
      <c r="G443" s="367"/>
      <c r="H443" s="418"/>
      <c r="I443" s="418"/>
      <c r="J443" s="418"/>
      <c r="K443" s="418"/>
      <c r="L443" s="420"/>
      <c r="M443" s="420"/>
      <c r="N443" s="420"/>
      <c r="O443" s="420"/>
      <c r="P443" s="420"/>
      <c r="Q443" s="420"/>
      <c r="R443" s="420"/>
      <c r="S443" s="420"/>
      <c r="T443" s="420"/>
      <c r="U443" s="420"/>
      <c r="V443" s="420"/>
      <c r="W443" s="420"/>
      <c r="X443" s="420"/>
      <c r="Y443" s="420"/>
      <c r="Z443" s="367"/>
      <c r="AA443" s="420"/>
      <c r="AB443" s="420"/>
      <c r="AC443" s="420"/>
      <c r="AD443" s="420"/>
      <c r="AE443" s="420"/>
      <c r="AF443" s="367"/>
      <c r="AG443" s="420"/>
      <c r="AH443" s="367"/>
      <c r="AI443" s="367"/>
      <c r="AJ443" s="367"/>
      <c r="AK443" s="358"/>
      <c r="AL443" s="358"/>
      <c r="AM443" s="358"/>
      <c r="AN443" s="358"/>
      <c r="AO443" s="358"/>
      <c r="AP443" s="367"/>
    </row>
    <row r="444">
      <c r="A444" s="418"/>
      <c r="B444" s="418"/>
      <c r="C444" s="418"/>
      <c r="D444" s="418"/>
      <c r="E444" s="418"/>
      <c r="F444" s="418"/>
      <c r="G444" s="367"/>
      <c r="H444" s="418"/>
      <c r="I444" s="418"/>
      <c r="J444" s="418"/>
      <c r="K444" s="418"/>
      <c r="L444" s="420"/>
      <c r="M444" s="420"/>
      <c r="N444" s="420"/>
      <c r="O444" s="420"/>
      <c r="P444" s="420"/>
      <c r="Q444" s="420"/>
      <c r="R444" s="420"/>
      <c r="S444" s="420"/>
      <c r="T444" s="420"/>
      <c r="U444" s="420"/>
      <c r="V444" s="420"/>
      <c r="W444" s="420"/>
      <c r="X444" s="420"/>
      <c r="Y444" s="420"/>
      <c r="Z444" s="367"/>
      <c r="AA444" s="420"/>
      <c r="AB444" s="420"/>
      <c r="AC444" s="420"/>
      <c r="AD444" s="420"/>
      <c r="AE444" s="420"/>
      <c r="AF444" s="367"/>
      <c r="AG444" s="420"/>
      <c r="AH444" s="367"/>
      <c r="AI444" s="367"/>
      <c r="AJ444" s="367"/>
      <c r="AK444" s="358"/>
      <c r="AL444" s="358"/>
      <c r="AM444" s="358"/>
      <c r="AN444" s="358"/>
      <c r="AO444" s="358"/>
      <c r="AP444" s="367"/>
    </row>
    <row r="445">
      <c r="A445" s="418"/>
      <c r="B445" s="418"/>
      <c r="C445" s="418"/>
      <c r="D445" s="418"/>
      <c r="E445" s="418"/>
      <c r="F445" s="418"/>
      <c r="G445" s="367"/>
      <c r="H445" s="418"/>
      <c r="I445" s="418"/>
      <c r="J445" s="418"/>
      <c r="K445" s="418"/>
      <c r="L445" s="420"/>
      <c r="M445" s="420"/>
      <c r="N445" s="420"/>
      <c r="O445" s="420"/>
      <c r="P445" s="420"/>
      <c r="Q445" s="420"/>
      <c r="R445" s="420"/>
      <c r="S445" s="420"/>
      <c r="T445" s="420"/>
      <c r="U445" s="420"/>
      <c r="V445" s="420"/>
      <c r="W445" s="420"/>
      <c r="X445" s="420"/>
      <c r="Y445" s="420"/>
      <c r="Z445" s="367"/>
      <c r="AA445" s="420"/>
      <c r="AB445" s="420"/>
      <c r="AC445" s="420"/>
      <c r="AD445" s="420"/>
      <c r="AE445" s="420"/>
      <c r="AF445" s="367"/>
      <c r="AG445" s="420"/>
      <c r="AH445" s="367"/>
      <c r="AI445" s="367"/>
      <c r="AJ445" s="367"/>
      <c r="AK445" s="358"/>
      <c r="AL445" s="358"/>
      <c r="AM445" s="358"/>
      <c r="AN445" s="358"/>
      <c r="AO445" s="358"/>
      <c r="AP445" s="367"/>
    </row>
    <row r="446">
      <c r="A446" s="418"/>
      <c r="B446" s="418"/>
      <c r="C446" s="418"/>
      <c r="D446" s="418"/>
      <c r="E446" s="418"/>
      <c r="F446" s="418"/>
      <c r="G446" s="367"/>
      <c r="H446" s="418"/>
      <c r="I446" s="418"/>
      <c r="J446" s="418"/>
      <c r="K446" s="418"/>
      <c r="L446" s="420"/>
      <c r="M446" s="420"/>
      <c r="N446" s="420"/>
      <c r="O446" s="420"/>
      <c r="P446" s="420"/>
      <c r="Q446" s="420"/>
      <c r="R446" s="420"/>
      <c r="S446" s="420"/>
      <c r="T446" s="420"/>
      <c r="U446" s="420"/>
      <c r="V446" s="420"/>
      <c r="W446" s="420"/>
      <c r="X446" s="420"/>
      <c r="Y446" s="420"/>
      <c r="Z446" s="367"/>
      <c r="AA446" s="420"/>
      <c r="AB446" s="420"/>
      <c r="AC446" s="420"/>
      <c r="AD446" s="420"/>
      <c r="AE446" s="420"/>
      <c r="AF446" s="367"/>
      <c r="AG446" s="420"/>
      <c r="AH446" s="367"/>
      <c r="AI446" s="367"/>
      <c r="AJ446" s="367"/>
      <c r="AK446" s="358"/>
      <c r="AL446" s="358"/>
      <c r="AM446" s="358"/>
      <c r="AN446" s="358"/>
      <c r="AO446" s="358"/>
      <c r="AP446" s="367"/>
    </row>
    <row r="447">
      <c r="A447" s="418"/>
      <c r="B447" s="418"/>
      <c r="C447" s="418"/>
      <c r="D447" s="418"/>
      <c r="E447" s="418"/>
      <c r="F447" s="418"/>
      <c r="G447" s="367"/>
      <c r="H447" s="418"/>
      <c r="I447" s="418"/>
      <c r="J447" s="418"/>
      <c r="K447" s="418"/>
      <c r="L447" s="420"/>
      <c r="M447" s="420"/>
      <c r="N447" s="420"/>
      <c r="O447" s="420"/>
      <c r="P447" s="420"/>
      <c r="Q447" s="420"/>
      <c r="R447" s="420"/>
      <c r="S447" s="420"/>
      <c r="T447" s="420"/>
      <c r="U447" s="420"/>
      <c r="V447" s="420"/>
      <c r="W447" s="420"/>
      <c r="X447" s="420"/>
      <c r="Y447" s="420"/>
      <c r="Z447" s="367"/>
      <c r="AA447" s="420"/>
      <c r="AB447" s="420"/>
      <c r="AC447" s="420"/>
      <c r="AD447" s="420"/>
      <c r="AE447" s="420"/>
      <c r="AF447" s="367"/>
      <c r="AG447" s="420"/>
      <c r="AH447" s="367"/>
      <c r="AI447" s="367"/>
      <c r="AJ447" s="367"/>
      <c r="AK447" s="358"/>
      <c r="AL447" s="358"/>
      <c r="AM447" s="358"/>
      <c r="AN447" s="358"/>
      <c r="AO447" s="358"/>
      <c r="AP447" s="367"/>
    </row>
    <row r="448">
      <c r="A448" s="418"/>
      <c r="B448" s="418"/>
      <c r="C448" s="418"/>
      <c r="D448" s="418"/>
      <c r="E448" s="418"/>
      <c r="F448" s="418"/>
      <c r="G448" s="367"/>
      <c r="H448" s="418"/>
      <c r="I448" s="418"/>
      <c r="J448" s="418"/>
      <c r="K448" s="418"/>
      <c r="L448" s="420"/>
      <c r="M448" s="420"/>
      <c r="N448" s="420"/>
      <c r="O448" s="420"/>
      <c r="P448" s="420"/>
      <c r="Q448" s="420"/>
      <c r="R448" s="420"/>
      <c r="S448" s="420"/>
      <c r="T448" s="420"/>
      <c r="U448" s="420"/>
      <c r="V448" s="420"/>
      <c r="W448" s="420"/>
      <c r="X448" s="420"/>
      <c r="Y448" s="420"/>
      <c r="Z448" s="367"/>
      <c r="AA448" s="420"/>
      <c r="AB448" s="420"/>
      <c r="AC448" s="420"/>
      <c r="AD448" s="420"/>
      <c r="AE448" s="420"/>
      <c r="AF448" s="367"/>
      <c r="AG448" s="420"/>
      <c r="AH448" s="367"/>
      <c r="AI448" s="367"/>
      <c r="AJ448" s="367"/>
      <c r="AK448" s="358"/>
      <c r="AL448" s="358"/>
      <c r="AM448" s="358"/>
      <c r="AN448" s="358"/>
      <c r="AO448" s="358"/>
      <c r="AP448" s="367"/>
    </row>
    <row r="449">
      <c r="A449" s="418"/>
      <c r="B449" s="418"/>
      <c r="C449" s="418"/>
      <c r="D449" s="418"/>
      <c r="E449" s="418"/>
      <c r="F449" s="418"/>
      <c r="G449" s="367"/>
      <c r="H449" s="418"/>
      <c r="I449" s="418"/>
      <c r="J449" s="418"/>
      <c r="K449" s="418"/>
      <c r="L449" s="420"/>
      <c r="M449" s="420"/>
      <c r="N449" s="420"/>
      <c r="O449" s="420"/>
      <c r="P449" s="420"/>
      <c r="Q449" s="420"/>
      <c r="R449" s="420"/>
      <c r="S449" s="420"/>
      <c r="T449" s="420"/>
      <c r="U449" s="420"/>
      <c r="V449" s="420"/>
      <c r="W449" s="420"/>
      <c r="X449" s="420"/>
      <c r="Y449" s="420"/>
      <c r="Z449" s="367"/>
      <c r="AA449" s="420"/>
      <c r="AB449" s="420"/>
      <c r="AC449" s="420"/>
      <c r="AD449" s="420"/>
      <c r="AE449" s="420"/>
      <c r="AF449" s="367"/>
      <c r="AG449" s="420"/>
      <c r="AH449" s="367"/>
      <c r="AI449" s="367"/>
      <c r="AJ449" s="367"/>
      <c r="AK449" s="358"/>
      <c r="AL449" s="358"/>
      <c r="AM449" s="358"/>
      <c r="AN449" s="358"/>
      <c r="AO449" s="358"/>
      <c r="AP449" s="367"/>
    </row>
    <row r="450">
      <c r="A450" s="418"/>
      <c r="B450" s="418"/>
      <c r="C450" s="418"/>
      <c r="D450" s="418"/>
      <c r="E450" s="418"/>
      <c r="F450" s="418"/>
      <c r="G450" s="367"/>
      <c r="H450" s="418"/>
      <c r="I450" s="418"/>
      <c r="J450" s="418"/>
      <c r="K450" s="418"/>
      <c r="L450" s="420"/>
      <c r="M450" s="420"/>
      <c r="N450" s="420"/>
      <c r="O450" s="420"/>
      <c r="P450" s="420"/>
      <c r="Q450" s="420"/>
      <c r="R450" s="420"/>
      <c r="S450" s="420"/>
      <c r="T450" s="420"/>
      <c r="U450" s="420"/>
      <c r="V450" s="420"/>
      <c r="W450" s="420"/>
      <c r="X450" s="420"/>
      <c r="Y450" s="420"/>
      <c r="Z450" s="367"/>
      <c r="AA450" s="420"/>
      <c r="AB450" s="420"/>
      <c r="AC450" s="420"/>
      <c r="AD450" s="420"/>
      <c r="AE450" s="420"/>
      <c r="AF450" s="367"/>
      <c r="AG450" s="420"/>
      <c r="AH450" s="367"/>
      <c r="AI450" s="367"/>
      <c r="AJ450" s="367"/>
      <c r="AK450" s="358"/>
      <c r="AL450" s="358"/>
      <c r="AM450" s="358"/>
      <c r="AN450" s="358"/>
      <c r="AO450" s="358"/>
      <c r="AP450" s="367"/>
    </row>
    <row r="451">
      <c r="A451" s="418"/>
      <c r="B451" s="418"/>
      <c r="C451" s="418"/>
      <c r="D451" s="418"/>
      <c r="E451" s="418"/>
      <c r="F451" s="418"/>
      <c r="G451" s="367"/>
      <c r="H451" s="418"/>
      <c r="I451" s="418"/>
      <c r="J451" s="418"/>
      <c r="K451" s="418"/>
      <c r="L451" s="420"/>
      <c r="M451" s="420"/>
      <c r="N451" s="420"/>
      <c r="O451" s="420"/>
      <c r="P451" s="420"/>
      <c r="Q451" s="420"/>
      <c r="R451" s="420"/>
      <c r="S451" s="420"/>
      <c r="T451" s="420"/>
      <c r="U451" s="420"/>
      <c r="V451" s="420"/>
      <c r="W451" s="420"/>
      <c r="X451" s="420"/>
      <c r="Y451" s="420"/>
      <c r="Z451" s="367"/>
      <c r="AA451" s="420"/>
      <c r="AB451" s="420"/>
      <c r="AC451" s="420"/>
      <c r="AD451" s="420"/>
      <c r="AE451" s="420"/>
      <c r="AF451" s="367"/>
      <c r="AG451" s="420"/>
      <c r="AH451" s="367"/>
      <c r="AI451" s="367"/>
      <c r="AJ451" s="367"/>
      <c r="AK451" s="358"/>
      <c r="AL451" s="358"/>
      <c r="AM451" s="358"/>
      <c r="AN451" s="358"/>
      <c r="AO451" s="358"/>
      <c r="AP451" s="367"/>
    </row>
    <row r="452">
      <c r="A452" s="418"/>
      <c r="B452" s="418"/>
      <c r="C452" s="418"/>
      <c r="D452" s="418"/>
      <c r="E452" s="418"/>
      <c r="F452" s="418"/>
      <c r="G452" s="367"/>
      <c r="H452" s="418"/>
      <c r="I452" s="418"/>
      <c r="J452" s="418"/>
      <c r="K452" s="418"/>
      <c r="L452" s="420"/>
      <c r="M452" s="420"/>
      <c r="N452" s="420"/>
      <c r="O452" s="420"/>
      <c r="P452" s="420"/>
      <c r="Q452" s="420"/>
      <c r="R452" s="420"/>
      <c r="S452" s="420"/>
      <c r="T452" s="420"/>
      <c r="U452" s="420"/>
      <c r="V452" s="420"/>
      <c r="W452" s="420"/>
      <c r="X452" s="420"/>
      <c r="Y452" s="420"/>
      <c r="Z452" s="367"/>
      <c r="AA452" s="420"/>
      <c r="AB452" s="420"/>
      <c r="AC452" s="420"/>
      <c r="AD452" s="420"/>
      <c r="AE452" s="420"/>
      <c r="AF452" s="367"/>
      <c r="AG452" s="420"/>
      <c r="AH452" s="367"/>
      <c r="AI452" s="367"/>
      <c r="AJ452" s="367"/>
      <c r="AK452" s="358"/>
      <c r="AL452" s="358"/>
      <c r="AM452" s="358"/>
      <c r="AN452" s="358"/>
      <c r="AO452" s="358"/>
      <c r="AP452" s="367"/>
    </row>
    <row r="453">
      <c r="A453" s="418"/>
      <c r="B453" s="418"/>
      <c r="C453" s="418"/>
      <c r="D453" s="418"/>
      <c r="E453" s="418"/>
      <c r="F453" s="418"/>
      <c r="G453" s="367"/>
      <c r="H453" s="418"/>
      <c r="I453" s="418"/>
      <c r="J453" s="418"/>
      <c r="K453" s="418"/>
      <c r="L453" s="420"/>
      <c r="M453" s="420"/>
      <c r="N453" s="420"/>
      <c r="O453" s="420"/>
      <c r="P453" s="420"/>
      <c r="Q453" s="420"/>
      <c r="R453" s="420"/>
      <c r="S453" s="420"/>
      <c r="T453" s="420"/>
      <c r="U453" s="420"/>
      <c r="V453" s="420"/>
      <c r="W453" s="420"/>
      <c r="X453" s="420"/>
      <c r="Y453" s="420"/>
      <c r="Z453" s="367"/>
      <c r="AA453" s="420"/>
      <c r="AB453" s="420"/>
      <c r="AC453" s="420"/>
      <c r="AD453" s="420"/>
      <c r="AE453" s="420"/>
      <c r="AF453" s="367"/>
      <c r="AG453" s="420"/>
      <c r="AH453" s="367"/>
      <c r="AI453" s="367"/>
      <c r="AJ453" s="367"/>
      <c r="AK453" s="358"/>
      <c r="AL453" s="358"/>
      <c r="AM453" s="358"/>
      <c r="AN453" s="358"/>
      <c r="AO453" s="358"/>
      <c r="AP453" s="367"/>
    </row>
    <row r="454">
      <c r="A454" s="418"/>
      <c r="B454" s="418"/>
      <c r="C454" s="418"/>
      <c r="D454" s="418"/>
      <c r="E454" s="418"/>
      <c r="F454" s="418"/>
      <c r="G454" s="367"/>
      <c r="H454" s="418"/>
      <c r="I454" s="418"/>
      <c r="J454" s="418"/>
      <c r="K454" s="418"/>
      <c r="L454" s="420"/>
      <c r="M454" s="420"/>
      <c r="N454" s="420"/>
      <c r="O454" s="420"/>
      <c r="P454" s="420"/>
      <c r="Q454" s="420"/>
      <c r="R454" s="420"/>
      <c r="S454" s="420"/>
      <c r="T454" s="420"/>
      <c r="U454" s="420"/>
      <c r="V454" s="420"/>
      <c r="W454" s="420"/>
      <c r="X454" s="420"/>
      <c r="Y454" s="420"/>
      <c r="Z454" s="367"/>
      <c r="AA454" s="420"/>
      <c r="AB454" s="420"/>
      <c r="AC454" s="420"/>
      <c r="AD454" s="420"/>
      <c r="AE454" s="420"/>
      <c r="AF454" s="367"/>
      <c r="AG454" s="420"/>
      <c r="AH454" s="367"/>
      <c r="AI454" s="367"/>
      <c r="AJ454" s="367"/>
      <c r="AK454" s="358"/>
      <c r="AL454" s="358"/>
      <c r="AM454" s="358"/>
      <c r="AN454" s="358"/>
      <c r="AO454" s="358"/>
      <c r="AP454" s="367"/>
    </row>
    <row r="455">
      <c r="A455" s="418"/>
      <c r="B455" s="418"/>
      <c r="C455" s="418"/>
      <c r="D455" s="418"/>
      <c r="E455" s="418"/>
      <c r="F455" s="418"/>
      <c r="G455" s="367"/>
      <c r="H455" s="418"/>
      <c r="I455" s="418"/>
      <c r="J455" s="418"/>
      <c r="K455" s="418"/>
      <c r="L455" s="420"/>
      <c r="M455" s="420"/>
      <c r="N455" s="420"/>
      <c r="O455" s="420"/>
      <c r="P455" s="420"/>
      <c r="Q455" s="420"/>
      <c r="R455" s="420"/>
      <c r="S455" s="420"/>
      <c r="T455" s="420"/>
      <c r="U455" s="420"/>
      <c r="V455" s="420"/>
      <c r="W455" s="420"/>
      <c r="X455" s="420"/>
      <c r="Y455" s="420"/>
      <c r="Z455" s="367"/>
      <c r="AA455" s="420"/>
      <c r="AB455" s="420"/>
      <c r="AC455" s="420"/>
      <c r="AD455" s="420"/>
      <c r="AE455" s="420"/>
      <c r="AF455" s="367"/>
      <c r="AG455" s="420"/>
      <c r="AH455" s="367"/>
      <c r="AI455" s="367"/>
      <c r="AJ455" s="367"/>
      <c r="AK455" s="358"/>
      <c r="AL455" s="358"/>
      <c r="AM455" s="358"/>
      <c r="AN455" s="358"/>
      <c r="AO455" s="358"/>
      <c r="AP455" s="367"/>
    </row>
    <row r="456">
      <c r="A456" s="418"/>
      <c r="B456" s="418"/>
      <c r="C456" s="418"/>
      <c r="D456" s="418"/>
      <c r="E456" s="418"/>
      <c r="F456" s="418"/>
      <c r="G456" s="367"/>
      <c r="H456" s="418"/>
      <c r="I456" s="418"/>
      <c r="J456" s="418"/>
      <c r="K456" s="418"/>
      <c r="L456" s="420"/>
      <c r="M456" s="420"/>
      <c r="N456" s="420"/>
      <c r="O456" s="420"/>
      <c r="P456" s="420"/>
      <c r="Q456" s="420"/>
      <c r="R456" s="420"/>
      <c r="S456" s="420"/>
      <c r="T456" s="420"/>
      <c r="U456" s="420"/>
      <c r="V456" s="420"/>
      <c r="W456" s="420"/>
      <c r="X456" s="420"/>
      <c r="Y456" s="420"/>
      <c r="Z456" s="367"/>
      <c r="AA456" s="420"/>
      <c r="AB456" s="420"/>
      <c r="AC456" s="420"/>
      <c r="AD456" s="420"/>
      <c r="AE456" s="420"/>
      <c r="AF456" s="367"/>
      <c r="AG456" s="420"/>
      <c r="AH456" s="367"/>
      <c r="AI456" s="367"/>
      <c r="AJ456" s="367"/>
      <c r="AK456" s="358"/>
      <c r="AL456" s="358"/>
      <c r="AM456" s="358"/>
      <c r="AN456" s="358"/>
      <c r="AO456" s="358"/>
      <c r="AP456" s="367"/>
    </row>
    <row r="457">
      <c r="A457" s="418"/>
      <c r="B457" s="418"/>
      <c r="C457" s="418"/>
      <c r="D457" s="418"/>
      <c r="E457" s="418"/>
      <c r="F457" s="418"/>
      <c r="G457" s="367"/>
      <c r="H457" s="418"/>
      <c r="I457" s="418"/>
      <c r="J457" s="418"/>
      <c r="K457" s="418"/>
      <c r="L457" s="420"/>
      <c r="M457" s="420"/>
      <c r="N457" s="420"/>
      <c r="O457" s="420"/>
      <c r="P457" s="420"/>
      <c r="Q457" s="420"/>
      <c r="R457" s="420"/>
      <c r="S457" s="420"/>
      <c r="T457" s="420"/>
      <c r="U457" s="420"/>
      <c r="V457" s="420"/>
      <c r="W457" s="420"/>
      <c r="X457" s="420"/>
      <c r="Y457" s="420"/>
      <c r="Z457" s="367"/>
      <c r="AA457" s="420"/>
      <c r="AB457" s="420"/>
      <c r="AC457" s="420"/>
      <c r="AD457" s="420"/>
      <c r="AE457" s="420"/>
      <c r="AF457" s="367"/>
      <c r="AG457" s="420"/>
      <c r="AH457" s="367"/>
      <c r="AI457" s="367"/>
      <c r="AJ457" s="367"/>
      <c r="AK457" s="358"/>
      <c r="AL457" s="358"/>
      <c r="AM457" s="358"/>
      <c r="AN457" s="358"/>
      <c r="AO457" s="358"/>
      <c r="AP457" s="367"/>
    </row>
    <row r="458">
      <c r="A458" s="418"/>
      <c r="B458" s="418"/>
      <c r="C458" s="418"/>
      <c r="D458" s="418"/>
      <c r="E458" s="418"/>
      <c r="F458" s="418"/>
      <c r="G458" s="367"/>
      <c r="H458" s="418"/>
      <c r="I458" s="418"/>
      <c r="J458" s="418"/>
      <c r="K458" s="418"/>
      <c r="L458" s="420"/>
      <c r="M458" s="420"/>
      <c r="N458" s="420"/>
      <c r="O458" s="420"/>
      <c r="P458" s="420"/>
      <c r="Q458" s="420"/>
      <c r="R458" s="420"/>
      <c r="S458" s="420"/>
      <c r="T458" s="420"/>
      <c r="U458" s="420"/>
      <c r="V458" s="420"/>
      <c r="W458" s="420"/>
      <c r="X458" s="420"/>
      <c r="Y458" s="420"/>
      <c r="Z458" s="367"/>
      <c r="AA458" s="420"/>
      <c r="AB458" s="420"/>
      <c r="AC458" s="420"/>
      <c r="AD458" s="420"/>
      <c r="AE458" s="420"/>
      <c r="AF458" s="367"/>
      <c r="AG458" s="420"/>
      <c r="AH458" s="367"/>
      <c r="AI458" s="367"/>
      <c r="AJ458" s="367"/>
      <c r="AK458" s="358"/>
      <c r="AL458" s="358"/>
      <c r="AM458" s="358"/>
      <c r="AN458" s="358"/>
      <c r="AO458" s="358"/>
      <c r="AP458" s="367"/>
    </row>
    <row r="459">
      <c r="A459" s="418"/>
      <c r="B459" s="418"/>
      <c r="C459" s="418"/>
      <c r="D459" s="418"/>
      <c r="E459" s="418"/>
      <c r="F459" s="418"/>
      <c r="G459" s="367"/>
      <c r="H459" s="418"/>
      <c r="I459" s="418"/>
      <c r="J459" s="418"/>
      <c r="K459" s="418"/>
      <c r="L459" s="420"/>
      <c r="M459" s="420"/>
      <c r="N459" s="420"/>
      <c r="O459" s="420"/>
      <c r="P459" s="420"/>
      <c r="Q459" s="420"/>
      <c r="R459" s="420"/>
      <c r="S459" s="420"/>
      <c r="T459" s="420"/>
      <c r="U459" s="420"/>
      <c r="V459" s="420"/>
      <c r="W459" s="420"/>
      <c r="X459" s="420"/>
      <c r="Y459" s="420"/>
      <c r="Z459" s="367"/>
      <c r="AA459" s="420"/>
      <c r="AB459" s="420"/>
      <c r="AC459" s="420"/>
      <c r="AD459" s="420"/>
      <c r="AE459" s="420"/>
      <c r="AF459" s="367"/>
      <c r="AG459" s="420"/>
      <c r="AH459" s="367"/>
      <c r="AI459" s="367"/>
      <c r="AJ459" s="367"/>
      <c r="AK459" s="358"/>
      <c r="AL459" s="358"/>
      <c r="AM459" s="358"/>
      <c r="AN459" s="358"/>
      <c r="AO459" s="358"/>
      <c r="AP459" s="367"/>
    </row>
    <row r="460">
      <c r="A460" s="418"/>
      <c r="B460" s="418"/>
      <c r="C460" s="418"/>
      <c r="D460" s="418"/>
      <c r="E460" s="418"/>
      <c r="F460" s="418"/>
      <c r="G460" s="367"/>
      <c r="H460" s="418"/>
      <c r="I460" s="418"/>
      <c r="J460" s="418"/>
      <c r="K460" s="418"/>
      <c r="L460" s="420"/>
      <c r="M460" s="420"/>
      <c r="N460" s="420"/>
      <c r="O460" s="420"/>
      <c r="P460" s="420"/>
      <c r="Q460" s="420"/>
      <c r="R460" s="420"/>
      <c r="S460" s="420"/>
      <c r="T460" s="420"/>
      <c r="U460" s="420"/>
      <c r="V460" s="420"/>
      <c r="W460" s="420"/>
      <c r="X460" s="420"/>
      <c r="Y460" s="420"/>
      <c r="Z460" s="367"/>
      <c r="AA460" s="420"/>
      <c r="AB460" s="420"/>
      <c r="AC460" s="420"/>
      <c r="AD460" s="420"/>
      <c r="AE460" s="420"/>
      <c r="AF460" s="367"/>
      <c r="AG460" s="420"/>
      <c r="AH460" s="367"/>
      <c r="AI460" s="367"/>
      <c r="AJ460" s="367"/>
      <c r="AK460" s="358"/>
      <c r="AL460" s="358"/>
      <c r="AM460" s="358"/>
      <c r="AN460" s="358"/>
      <c r="AO460" s="358"/>
      <c r="AP460" s="367"/>
    </row>
    <row r="461">
      <c r="A461" s="418"/>
      <c r="B461" s="418"/>
      <c r="C461" s="418"/>
      <c r="D461" s="418"/>
      <c r="E461" s="418"/>
      <c r="F461" s="418"/>
      <c r="G461" s="367"/>
      <c r="H461" s="418"/>
      <c r="I461" s="418"/>
      <c r="J461" s="418"/>
      <c r="K461" s="418"/>
      <c r="L461" s="420"/>
      <c r="M461" s="420"/>
      <c r="N461" s="420"/>
      <c r="O461" s="420"/>
      <c r="P461" s="420"/>
      <c r="Q461" s="420"/>
      <c r="R461" s="420"/>
      <c r="S461" s="420"/>
      <c r="T461" s="420"/>
      <c r="U461" s="420"/>
      <c r="V461" s="420"/>
      <c r="W461" s="420"/>
      <c r="X461" s="420"/>
      <c r="Y461" s="420"/>
      <c r="Z461" s="367"/>
      <c r="AA461" s="420"/>
      <c r="AB461" s="420"/>
      <c r="AC461" s="420"/>
      <c r="AD461" s="420"/>
      <c r="AE461" s="420"/>
      <c r="AF461" s="367"/>
      <c r="AG461" s="420"/>
      <c r="AH461" s="367"/>
      <c r="AI461" s="367"/>
      <c r="AJ461" s="367"/>
      <c r="AK461" s="358"/>
      <c r="AL461" s="358"/>
      <c r="AM461" s="358"/>
      <c r="AN461" s="358"/>
      <c r="AO461" s="358"/>
      <c r="AP461" s="367"/>
    </row>
    <row r="462">
      <c r="A462" s="418"/>
      <c r="B462" s="418"/>
      <c r="C462" s="418"/>
      <c r="D462" s="418"/>
      <c r="E462" s="418"/>
      <c r="F462" s="418"/>
      <c r="G462" s="367"/>
      <c r="H462" s="418"/>
      <c r="I462" s="418"/>
      <c r="J462" s="418"/>
      <c r="K462" s="418"/>
      <c r="L462" s="420"/>
      <c r="M462" s="420"/>
      <c r="N462" s="420"/>
      <c r="O462" s="420"/>
      <c r="P462" s="420"/>
      <c r="Q462" s="420"/>
      <c r="R462" s="420"/>
      <c r="S462" s="420"/>
      <c r="T462" s="420"/>
      <c r="U462" s="420"/>
      <c r="V462" s="420"/>
      <c r="W462" s="420"/>
      <c r="X462" s="420"/>
      <c r="Y462" s="420"/>
      <c r="Z462" s="367"/>
      <c r="AA462" s="420"/>
      <c r="AB462" s="420"/>
      <c r="AC462" s="420"/>
      <c r="AD462" s="420"/>
      <c r="AE462" s="420"/>
      <c r="AF462" s="367"/>
      <c r="AG462" s="420"/>
      <c r="AH462" s="367"/>
      <c r="AI462" s="367"/>
      <c r="AJ462" s="367"/>
      <c r="AK462" s="358"/>
      <c r="AL462" s="358"/>
      <c r="AM462" s="358"/>
      <c r="AN462" s="358"/>
      <c r="AO462" s="358"/>
      <c r="AP462" s="367"/>
    </row>
    <row r="463">
      <c r="A463" s="418"/>
      <c r="B463" s="418"/>
      <c r="C463" s="418"/>
      <c r="D463" s="418"/>
      <c r="E463" s="418"/>
      <c r="F463" s="418"/>
      <c r="G463" s="367"/>
      <c r="H463" s="418"/>
      <c r="I463" s="418"/>
      <c r="J463" s="418"/>
      <c r="K463" s="418"/>
      <c r="L463" s="420"/>
      <c r="M463" s="420"/>
      <c r="N463" s="420"/>
      <c r="O463" s="420"/>
      <c r="P463" s="420"/>
      <c r="Q463" s="420"/>
      <c r="R463" s="420"/>
      <c r="S463" s="420"/>
      <c r="T463" s="420"/>
      <c r="U463" s="420"/>
      <c r="V463" s="420"/>
      <c r="W463" s="420"/>
      <c r="X463" s="420"/>
      <c r="Y463" s="420"/>
      <c r="Z463" s="367"/>
      <c r="AA463" s="420"/>
      <c r="AB463" s="420"/>
      <c r="AC463" s="420"/>
      <c r="AD463" s="420"/>
      <c r="AE463" s="420"/>
      <c r="AF463" s="367"/>
      <c r="AG463" s="420"/>
      <c r="AH463" s="367"/>
      <c r="AI463" s="367"/>
      <c r="AJ463" s="367"/>
      <c r="AK463" s="358"/>
      <c r="AL463" s="358"/>
      <c r="AM463" s="358"/>
      <c r="AN463" s="358"/>
      <c r="AO463" s="358"/>
      <c r="AP463" s="367"/>
    </row>
    <row r="464">
      <c r="A464" s="418"/>
      <c r="B464" s="418"/>
      <c r="C464" s="418"/>
      <c r="D464" s="418"/>
      <c r="E464" s="418"/>
      <c r="F464" s="418"/>
      <c r="G464" s="367"/>
      <c r="H464" s="418"/>
      <c r="I464" s="418"/>
      <c r="J464" s="418"/>
      <c r="K464" s="418"/>
      <c r="L464" s="420"/>
      <c r="M464" s="420"/>
      <c r="N464" s="420"/>
      <c r="O464" s="420"/>
      <c r="P464" s="420"/>
      <c r="Q464" s="420"/>
      <c r="R464" s="420"/>
      <c r="S464" s="420"/>
      <c r="T464" s="420"/>
      <c r="U464" s="420"/>
      <c r="V464" s="420"/>
      <c r="W464" s="420"/>
      <c r="X464" s="420"/>
      <c r="Y464" s="420"/>
      <c r="Z464" s="367"/>
      <c r="AA464" s="420"/>
      <c r="AB464" s="420"/>
      <c r="AC464" s="420"/>
      <c r="AD464" s="420"/>
      <c r="AE464" s="420"/>
      <c r="AF464" s="367"/>
      <c r="AG464" s="420"/>
      <c r="AH464" s="367"/>
      <c r="AI464" s="367"/>
      <c r="AJ464" s="367"/>
      <c r="AK464" s="358"/>
      <c r="AL464" s="358"/>
      <c r="AM464" s="358"/>
      <c r="AN464" s="358"/>
      <c r="AO464" s="358"/>
      <c r="AP464" s="367"/>
    </row>
    <row r="465">
      <c r="A465" s="418"/>
      <c r="B465" s="418"/>
      <c r="C465" s="418"/>
      <c r="D465" s="418"/>
      <c r="E465" s="418"/>
      <c r="F465" s="418"/>
      <c r="G465" s="367"/>
      <c r="H465" s="418"/>
      <c r="I465" s="418"/>
      <c r="J465" s="418"/>
      <c r="K465" s="418"/>
      <c r="L465" s="420"/>
      <c r="M465" s="420"/>
      <c r="N465" s="420"/>
      <c r="O465" s="420"/>
      <c r="P465" s="420"/>
      <c r="Q465" s="420"/>
      <c r="R465" s="420"/>
      <c r="S465" s="420"/>
      <c r="T465" s="420"/>
      <c r="U465" s="420"/>
      <c r="V465" s="420"/>
      <c r="W465" s="420"/>
      <c r="X465" s="420"/>
      <c r="Y465" s="420"/>
      <c r="Z465" s="367"/>
      <c r="AA465" s="420"/>
      <c r="AB465" s="420"/>
      <c r="AC465" s="420"/>
      <c r="AD465" s="420"/>
      <c r="AE465" s="420"/>
      <c r="AF465" s="367"/>
      <c r="AG465" s="420"/>
      <c r="AH465" s="367"/>
      <c r="AI465" s="367"/>
      <c r="AJ465" s="367"/>
      <c r="AK465" s="358"/>
      <c r="AL465" s="358"/>
      <c r="AM465" s="358"/>
      <c r="AN465" s="358"/>
      <c r="AO465" s="358"/>
      <c r="AP465" s="367"/>
    </row>
    <row r="466">
      <c r="A466" s="418"/>
      <c r="B466" s="418"/>
      <c r="C466" s="418"/>
      <c r="D466" s="418"/>
      <c r="E466" s="418"/>
      <c r="F466" s="418"/>
      <c r="G466" s="367"/>
      <c r="H466" s="418"/>
      <c r="I466" s="418"/>
      <c r="J466" s="418"/>
      <c r="K466" s="418"/>
      <c r="L466" s="420"/>
      <c r="M466" s="420"/>
      <c r="N466" s="420"/>
      <c r="O466" s="420"/>
      <c r="P466" s="420"/>
      <c r="Q466" s="420"/>
      <c r="R466" s="420"/>
      <c r="S466" s="420"/>
      <c r="T466" s="420"/>
      <c r="U466" s="420"/>
      <c r="V466" s="420"/>
      <c r="W466" s="420"/>
      <c r="X466" s="420"/>
      <c r="Y466" s="420"/>
      <c r="Z466" s="367"/>
      <c r="AA466" s="420"/>
      <c r="AB466" s="420"/>
      <c r="AC466" s="420"/>
      <c r="AD466" s="420"/>
      <c r="AE466" s="420"/>
      <c r="AF466" s="367"/>
      <c r="AG466" s="420"/>
      <c r="AH466" s="367"/>
      <c r="AI466" s="367"/>
      <c r="AJ466" s="367"/>
      <c r="AK466" s="358"/>
      <c r="AL466" s="358"/>
      <c r="AM466" s="358"/>
      <c r="AN466" s="358"/>
      <c r="AO466" s="358"/>
      <c r="AP466" s="367"/>
    </row>
    <row r="467">
      <c r="A467" s="418"/>
      <c r="B467" s="418"/>
      <c r="C467" s="418"/>
      <c r="D467" s="418"/>
      <c r="E467" s="418"/>
      <c r="F467" s="418"/>
      <c r="G467" s="367"/>
      <c r="H467" s="418"/>
      <c r="I467" s="418"/>
      <c r="J467" s="418"/>
      <c r="K467" s="418"/>
      <c r="L467" s="420"/>
      <c r="M467" s="420"/>
      <c r="N467" s="420"/>
      <c r="O467" s="420"/>
      <c r="P467" s="420"/>
      <c r="Q467" s="420"/>
      <c r="R467" s="420"/>
      <c r="S467" s="420"/>
      <c r="T467" s="420"/>
      <c r="U467" s="420"/>
      <c r="V467" s="420"/>
      <c r="W467" s="420"/>
      <c r="X467" s="420"/>
      <c r="Y467" s="420"/>
      <c r="Z467" s="367"/>
      <c r="AA467" s="420"/>
      <c r="AB467" s="420"/>
      <c r="AC467" s="420"/>
      <c r="AD467" s="420"/>
      <c r="AE467" s="420"/>
      <c r="AF467" s="367"/>
      <c r="AG467" s="420"/>
      <c r="AH467" s="367"/>
      <c r="AI467" s="367"/>
      <c r="AJ467" s="367"/>
      <c r="AK467" s="358"/>
      <c r="AL467" s="358"/>
      <c r="AM467" s="358"/>
      <c r="AN467" s="358"/>
      <c r="AO467" s="358"/>
      <c r="AP467" s="367"/>
    </row>
    <row r="468">
      <c r="A468" s="418"/>
      <c r="B468" s="418"/>
      <c r="C468" s="418"/>
      <c r="D468" s="418"/>
      <c r="E468" s="418"/>
      <c r="F468" s="418"/>
      <c r="G468" s="367"/>
      <c r="H468" s="418"/>
      <c r="I468" s="418"/>
      <c r="J468" s="418"/>
      <c r="K468" s="418"/>
      <c r="L468" s="420"/>
      <c r="M468" s="420"/>
      <c r="N468" s="420"/>
      <c r="O468" s="420"/>
      <c r="P468" s="420"/>
      <c r="Q468" s="420"/>
      <c r="R468" s="420"/>
      <c r="S468" s="420"/>
      <c r="T468" s="420"/>
      <c r="U468" s="420"/>
      <c r="V468" s="420"/>
      <c r="W468" s="420"/>
      <c r="X468" s="420"/>
      <c r="Y468" s="420"/>
      <c r="Z468" s="367"/>
      <c r="AA468" s="420"/>
      <c r="AB468" s="420"/>
      <c r="AC468" s="420"/>
      <c r="AD468" s="420"/>
      <c r="AE468" s="420"/>
      <c r="AF468" s="367"/>
      <c r="AG468" s="420"/>
      <c r="AH468" s="367"/>
      <c r="AI468" s="367"/>
      <c r="AJ468" s="367"/>
      <c r="AK468" s="358"/>
      <c r="AL468" s="358"/>
      <c r="AM468" s="358"/>
      <c r="AN468" s="358"/>
      <c r="AO468" s="358"/>
      <c r="AP468" s="367"/>
    </row>
    <row r="469">
      <c r="A469" s="418"/>
      <c r="B469" s="418"/>
      <c r="C469" s="418"/>
      <c r="D469" s="418"/>
      <c r="E469" s="418"/>
      <c r="F469" s="418"/>
      <c r="G469" s="367"/>
      <c r="H469" s="418"/>
      <c r="I469" s="418"/>
      <c r="J469" s="418"/>
      <c r="K469" s="418"/>
      <c r="L469" s="420"/>
      <c r="M469" s="420"/>
      <c r="N469" s="420"/>
      <c r="O469" s="420"/>
      <c r="P469" s="420"/>
      <c r="Q469" s="420"/>
      <c r="R469" s="420"/>
      <c r="S469" s="420"/>
      <c r="T469" s="420"/>
      <c r="U469" s="420"/>
      <c r="V469" s="420"/>
      <c r="W469" s="420"/>
      <c r="X469" s="420"/>
      <c r="Y469" s="420"/>
      <c r="Z469" s="367"/>
      <c r="AA469" s="420"/>
      <c r="AB469" s="420"/>
      <c r="AC469" s="420"/>
      <c r="AD469" s="420"/>
      <c r="AE469" s="420"/>
      <c r="AF469" s="367"/>
      <c r="AG469" s="420"/>
      <c r="AH469" s="367"/>
      <c r="AI469" s="367"/>
      <c r="AJ469" s="367"/>
      <c r="AK469" s="358"/>
      <c r="AL469" s="358"/>
      <c r="AM469" s="358"/>
      <c r="AN469" s="358"/>
      <c r="AO469" s="358"/>
      <c r="AP469" s="367"/>
    </row>
    <row r="470">
      <c r="A470" s="418"/>
      <c r="B470" s="418"/>
      <c r="C470" s="418"/>
      <c r="D470" s="418"/>
      <c r="E470" s="418"/>
      <c r="F470" s="418"/>
      <c r="G470" s="367"/>
      <c r="H470" s="418"/>
      <c r="I470" s="418"/>
      <c r="J470" s="418"/>
      <c r="K470" s="418"/>
      <c r="L470" s="420"/>
      <c r="M470" s="420"/>
      <c r="N470" s="420"/>
      <c r="O470" s="420"/>
      <c r="P470" s="420"/>
      <c r="Q470" s="420"/>
      <c r="R470" s="420"/>
      <c r="S470" s="420"/>
      <c r="T470" s="420"/>
      <c r="U470" s="420"/>
      <c r="V470" s="420"/>
      <c r="W470" s="420"/>
      <c r="X470" s="420"/>
      <c r="Y470" s="420"/>
      <c r="Z470" s="367"/>
      <c r="AA470" s="420"/>
      <c r="AB470" s="420"/>
      <c r="AC470" s="420"/>
      <c r="AD470" s="420"/>
      <c r="AE470" s="420"/>
      <c r="AF470" s="367"/>
      <c r="AG470" s="420"/>
      <c r="AH470" s="367"/>
      <c r="AI470" s="367"/>
      <c r="AJ470" s="367"/>
      <c r="AK470" s="358"/>
      <c r="AL470" s="358"/>
      <c r="AM470" s="358"/>
      <c r="AN470" s="358"/>
      <c r="AO470" s="358"/>
      <c r="AP470" s="367"/>
    </row>
    <row r="471">
      <c r="A471" s="418"/>
      <c r="B471" s="418"/>
      <c r="C471" s="418"/>
      <c r="D471" s="418"/>
      <c r="E471" s="418"/>
      <c r="F471" s="418"/>
      <c r="G471" s="367"/>
      <c r="H471" s="418"/>
      <c r="I471" s="418"/>
      <c r="J471" s="418"/>
      <c r="K471" s="418"/>
      <c r="L471" s="420"/>
      <c r="M471" s="420"/>
      <c r="N471" s="420"/>
      <c r="O471" s="420"/>
      <c r="P471" s="420"/>
      <c r="Q471" s="420"/>
      <c r="R471" s="420"/>
      <c r="S471" s="420"/>
      <c r="T471" s="420"/>
      <c r="U471" s="420"/>
      <c r="V471" s="420"/>
      <c r="W471" s="420"/>
      <c r="X471" s="420"/>
      <c r="Y471" s="420"/>
      <c r="Z471" s="367"/>
      <c r="AA471" s="420"/>
      <c r="AB471" s="420"/>
      <c r="AC471" s="420"/>
      <c r="AD471" s="420"/>
      <c r="AE471" s="420"/>
      <c r="AF471" s="367"/>
      <c r="AG471" s="420"/>
      <c r="AH471" s="367"/>
      <c r="AI471" s="367"/>
      <c r="AJ471" s="367"/>
      <c r="AK471" s="358"/>
      <c r="AL471" s="358"/>
      <c r="AM471" s="358"/>
      <c r="AN471" s="358"/>
      <c r="AO471" s="358"/>
      <c r="AP471" s="367"/>
    </row>
    <row r="472">
      <c r="A472" s="418"/>
      <c r="B472" s="418"/>
      <c r="C472" s="418"/>
      <c r="D472" s="418"/>
      <c r="E472" s="418"/>
      <c r="F472" s="418"/>
      <c r="G472" s="367"/>
      <c r="H472" s="418"/>
      <c r="I472" s="418"/>
      <c r="J472" s="418"/>
      <c r="K472" s="418"/>
      <c r="L472" s="420"/>
      <c r="M472" s="420"/>
      <c r="N472" s="420"/>
      <c r="O472" s="420"/>
      <c r="P472" s="420"/>
      <c r="Q472" s="420"/>
      <c r="R472" s="420"/>
      <c r="S472" s="420"/>
      <c r="T472" s="420"/>
      <c r="U472" s="420"/>
      <c r="V472" s="420"/>
      <c r="W472" s="420"/>
      <c r="X472" s="420"/>
      <c r="Y472" s="420"/>
      <c r="Z472" s="367"/>
      <c r="AA472" s="420"/>
      <c r="AB472" s="420"/>
      <c r="AC472" s="420"/>
      <c r="AD472" s="420"/>
      <c r="AE472" s="420"/>
      <c r="AF472" s="367"/>
      <c r="AG472" s="420"/>
      <c r="AH472" s="367"/>
      <c r="AI472" s="367"/>
      <c r="AJ472" s="367"/>
      <c r="AK472" s="358"/>
      <c r="AL472" s="358"/>
      <c r="AM472" s="358"/>
      <c r="AN472" s="358"/>
      <c r="AO472" s="358"/>
      <c r="AP472" s="367"/>
    </row>
    <row r="473">
      <c r="A473" s="418"/>
      <c r="B473" s="418"/>
      <c r="C473" s="418"/>
      <c r="D473" s="418"/>
      <c r="E473" s="418"/>
      <c r="F473" s="418"/>
      <c r="G473" s="367"/>
      <c r="H473" s="418"/>
      <c r="I473" s="418"/>
      <c r="J473" s="418"/>
      <c r="K473" s="418"/>
      <c r="L473" s="420"/>
      <c r="M473" s="420"/>
      <c r="N473" s="420"/>
      <c r="O473" s="420"/>
      <c r="P473" s="420"/>
      <c r="Q473" s="420"/>
      <c r="R473" s="420"/>
      <c r="S473" s="420"/>
      <c r="T473" s="420"/>
      <c r="U473" s="420"/>
      <c r="V473" s="420"/>
      <c r="W473" s="420"/>
      <c r="X473" s="420"/>
      <c r="Y473" s="420"/>
      <c r="Z473" s="367"/>
      <c r="AA473" s="420"/>
      <c r="AB473" s="420"/>
      <c r="AC473" s="420"/>
      <c r="AD473" s="420"/>
      <c r="AE473" s="420"/>
      <c r="AF473" s="367"/>
      <c r="AG473" s="420"/>
      <c r="AH473" s="367"/>
      <c r="AI473" s="367"/>
      <c r="AJ473" s="367"/>
      <c r="AK473" s="358"/>
      <c r="AL473" s="358"/>
      <c r="AM473" s="358"/>
      <c r="AN473" s="358"/>
      <c r="AO473" s="358"/>
      <c r="AP473" s="367"/>
    </row>
    <row r="474">
      <c r="A474" s="418"/>
      <c r="B474" s="418"/>
      <c r="C474" s="418"/>
      <c r="D474" s="418"/>
      <c r="E474" s="418"/>
      <c r="F474" s="418"/>
      <c r="G474" s="367"/>
      <c r="H474" s="418"/>
      <c r="I474" s="418"/>
      <c r="J474" s="418"/>
      <c r="K474" s="418"/>
      <c r="L474" s="420"/>
      <c r="M474" s="420"/>
      <c r="N474" s="420"/>
      <c r="O474" s="420"/>
      <c r="P474" s="420"/>
      <c r="Q474" s="420"/>
      <c r="R474" s="420"/>
      <c r="S474" s="420"/>
      <c r="T474" s="420"/>
      <c r="U474" s="420"/>
      <c r="V474" s="420"/>
      <c r="W474" s="420"/>
      <c r="X474" s="420"/>
      <c r="Y474" s="420"/>
      <c r="Z474" s="367"/>
      <c r="AA474" s="420"/>
      <c r="AB474" s="420"/>
      <c r="AC474" s="420"/>
      <c r="AD474" s="420"/>
      <c r="AE474" s="420"/>
      <c r="AF474" s="367"/>
      <c r="AG474" s="420"/>
      <c r="AH474" s="367"/>
      <c r="AI474" s="367"/>
      <c r="AJ474" s="367"/>
      <c r="AK474" s="358"/>
      <c r="AL474" s="358"/>
      <c r="AM474" s="358"/>
      <c r="AN474" s="358"/>
      <c r="AO474" s="358"/>
      <c r="AP474" s="367"/>
    </row>
    <row r="475">
      <c r="A475" s="418"/>
      <c r="B475" s="418"/>
      <c r="C475" s="418"/>
      <c r="D475" s="418"/>
      <c r="E475" s="418"/>
      <c r="F475" s="418"/>
      <c r="G475" s="367"/>
      <c r="H475" s="418"/>
      <c r="I475" s="418"/>
      <c r="J475" s="418"/>
      <c r="K475" s="418"/>
      <c r="L475" s="420"/>
      <c r="M475" s="420"/>
      <c r="N475" s="420"/>
      <c r="O475" s="420"/>
      <c r="P475" s="420"/>
      <c r="Q475" s="420"/>
      <c r="R475" s="420"/>
      <c r="S475" s="420"/>
      <c r="T475" s="420"/>
      <c r="U475" s="420"/>
      <c r="V475" s="420"/>
      <c r="W475" s="420"/>
      <c r="X475" s="420"/>
      <c r="Y475" s="420"/>
      <c r="Z475" s="367"/>
      <c r="AA475" s="420"/>
      <c r="AB475" s="420"/>
      <c r="AC475" s="420"/>
      <c r="AD475" s="420"/>
      <c r="AE475" s="420"/>
      <c r="AF475" s="367"/>
      <c r="AG475" s="420"/>
      <c r="AH475" s="367"/>
      <c r="AI475" s="367"/>
      <c r="AJ475" s="367"/>
      <c r="AK475" s="358"/>
      <c r="AL475" s="358"/>
      <c r="AM475" s="358"/>
      <c r="AN475" s="358"/>
      <c r="AO475" s="358"/>
      <c r="AP475" s="367"/>
    </row>
    <row r="476">
      <c r="A476" s="418"/>
      <c r="B476" s="418"/>
      <c r="C476" s="418"/>
      <c r="D476" s="418"/>
      <c r="E476" s="418"/>
      <c r="F476" s="418"/>
      <c r="G476" s="367"/>
      <c r="H476" s="418"/>
      <c r="I476" s="418"/>
      <c r="J476" s="418"/>
      <c r="K476" s="418"/>
      <c r="L476" s="420"/>
      <c r="M476" s="420"/>
      <c r="N476" s="420"/>
      <c r="O476" s="420"/>
      <c r="P476" s="420"/>
      <c r="Q476" s="420"/>
      <c r="R476" s="420"/>
      <c r="S476" s="420"/>
      <c r="T476" s="420"/>
      <c r="U476" s="420"/>
      <c r="V476" s="420"/>
      <c r="W476" s="420"/>
      <c r="X476" s="420"/>
      <c r="Y476" s="420"/>
      <c r="Z476" s="367"/>
      <c r="AA476" s="420"/>
      <c r="AB476" s="420"/>
      <c r="AC476" s="420"/>
      <c r="AD476" s="420"/>
      <c r="AE476" s="420"/>
      <c r="AF476" s="367"/>
      <c r="AG476" s="420"/>
      <c r="AH476" s="367"/>
      <c r="AI476" s="367"/>
      <c r="AJ476" s="367"/>
      <c r="AK476" s="358"/>
      <c r="AL476" s="358"/>
      <c r="AM476" s="358"/>
      <c r="AN476" s="358"/>
      <c r="AO476" s="358"/>
      <c r="AP476" s="367"/>
    </row>
    <row r="477">
      <c r="A477" s="418"/>
      <c r="B477" s="418"/>
      <c r="C477" s="418"/>
      <c r="D477" s="418"/>
      <c r="E477" s="418"/>
      <c r="F477" s="418"/>
      <c r="G477" s="367"/>
      <c r="H477" s="418"/>
      <c r="I477" s="418"/>
      <c r="J477" s="418"/>
      <c r="K477" s="418"/>
      <c r="L477" s="420"/>
      <c r="M477" s="420"/>
      <c r="N477" s="420"/>
      <c r="O477" s="420"/>
      <c r="P477" s="420"/>
      <c r="Q477" s="420"/>
      <c r="R477" s="420"/>
      <c r="S477" s="420"/>
      <c r="T477" s="420"/>
      <c r="U477" s="420"/>
      <c r="V477" s="420"/>
      <c r="W477" s="420"/>
      <c r="X477" s="420"/>
      <c r="Y477" s="420"/>
      <c r="Z477" s="367"/>
      <c r="AA477" s="420"/>
      <c r="AB477" s="420"/>
      <c r="AC477" s="420"/>
      <c r="AD477" s="420"/>
      <c r="AE477" s="420"/>
      <c r="AF477" s="367"/>
      <c r="AG477" s="420"/>
      <c r="AH477" s="367"/>
      <c r="AI477" s="367"/>
      <c r="AJ477" s="367"/>
      <c r="AK477" s="358"/>
      <c r="AL477" s="358"/>
      <c r="AM477" s="358"/>
      <c r="AN477" s="358"/>
      <c r="AO477" s="358"/>
      <c r="AP477" s="367"/>
    </row>
    <row r="478">
      <c r="A478" s="418"/>
      <c r="B478" s="418"/>
      <c r="C478" s="418"/>
      <c r="D478" s="418"/>
      <c r="E478" s="418"/>
      <c r="F478" s="418"/>
      <c r="G478" s="367"/>
      <c r="H478" s="418"/>
      <c r="I478" s="418"/>
      <c r="J478" s="418"/>
      <c r="K478" s="418"/>
      <c r="L478" s="420"/>
      <c r="M478" s="420"/>
      <c r="N478" s="420"/>
      <c r="O478" s="420"/>
      <c r="P478" s="420"/>
      <c r="Q478" s="420"/>
      <c r="R478" s="420"/>
      <c r="S478" s="420"/>
      <c r="T478" s="420"/>
      <c r="U478" s="420"/>
      <c r="V478" s="420"/>
      <c r="W478" s="420"/>
      <c r="X478" s="420"/>
      <c r="Y478" s="420"/>
      <c r="Z478" s="367"/>
      <c r="AA478" s="420"/>
      <c r="AB478" s="420"/>
      <c r="AC478" s="420"/>
      <c r="AD478" s="420"/>
      <c r="AE478" s="420"/>
      <c r="AF478" s="367"/>
      <c r="AG478" s="420"/>
      <c r="AH478" s="367"/>
      <c r="AI478" s="367"/>
      <c r="AJ478" s="367"/>
      <c r="AK478" s="358"/>
      <c r="AL478" s="358"/>
      <c r="AM478" s="358"/>
      <c r="AN478" s="358"/>
      <c r="AO478" s="358"/>
      <c r="AP478" s="367"/>
    </row>
    <row r="479">
      <c r="A479" s="418"/>
      <c r="B479" s="418"/>
      <c r="C479" s="418"/>
      <c r="D479" s="418"/>
      <c r="E479" s="418"/>
      <c r="F479" s="418"/>
      <c r="G479" s="367"/>
      <c r="H479" s="418"/>
      <c r="I479" s="418"/>
      <c r="J479" s="418"/>
      <c r="K479" s="418"/>
      <c r="L479" s="420"/>
      <c r="M479" s="420"/>
      <c r="N479" s="420"/>
      <c r="O479" s="420"/>
      <c r="P479" s="420"/>
      <c r="Q479" s="420"/>
      <c r="R479" s="420"/>
      <c r="S479" s="420"/>
      <c r="T479" s="420"/>
      <c r="U479" s="420"/>
      <c r="V479" s="420"/>
      <c r="W479" s="420"/>
      <c r="X479" s="420"/>
      <c r="Y479" s="420"/>
      <c r="Z479" s="367"/>
      <c r="AA479" s="420"/>
      <c r="AB479" s="420"/>
      <c r="AC479" s="420"/>
      <c r="AD479" s="420"/>
      <c r="AE479" s="420"/>
      <c r="AF479" s="367"/>
      <c r="AG479" s="420"/>
      <c r="AH479" s="367"/>
      <c r="AI479" s="367"/>
      <c r="AJ479" s="367"/>
      <c r="AK479" s="358"/>
      <c r="AL479" s="358"/>
      <c r="AM479" s="358"/>
      <c r="AN479" s="358"/>
      <c r="AO479" s="358"/>
      <c r="AP479" s="367"/>
    </row>
    <row r="480">
      <c r="A480" s="418"/>
      <c r="B480" s="418"/>
      <c r="C480" s="418"/>
      <c r="D480" s="418"/>
      <c r="E480" s="418"/>
      <c r="F480" s="418"/>
      <c r="G480" s="367"/>
      <c r="H480" s="418"/>
      <c r="I480" s="418"/>
      <c r="J480" s="418"/>
      <c r="K480" s="418"/>
      <c r="L480" s="420"/>
      <c r="M480" s="420"/>
      <c r="N480" s="420"/>
      <c r="O480" s="420"/>
      <c r="P480" s="420"/>
      <c r="Q480" s="420"/>
      <c r="R480" s="420"/>
      <c r="S480" s="420"/>
      <c r="T480" s="420"/>
      <c r="U480" s="420"/>
      <c r="V480" s="420"/>
      <c r="W480" s="420"/>
      <c r="X480" s="420"/>
      <c r="Y480" s="420"/>
      <c r="Z480" s="367"/>
      <c r="AA480" s="420"/>
      <c r="AB480" s="420"/>
      <c r="AC480" s="420"/>
      <c r="AD480" s="420"/>
      <c r="AE480" s="420"/>
      <c r="AF480" s="367"/>
      <c r="AG480" s="420"/>
      <c r="AH480" s="367"/>
      <c r="AI480" s="367"/>
      <c r="AJ480" s="367"/>
      <c r="AK480" s="358"/>
      <c r="AL480" s="358"/>
      <c r="AM480" s="358"/>
      <c r="AN480" s="358"/>
      <c r="AO480" s="358"/>
      <c r="AP480" s="367"/>
    </row>
    <row r="481">
      <c r="A481" s="418"/>
      <c r="B481" s="418"/>
      <c r="C481" s="418"/>
      <c r="D481" s="418"/>
      <c r="E481" s="418"/>
      <c r="F481" s="418"/>
      <c r="G481" s="367"/>
      <c r="H481" s="418"/>
      <c r="I481" s="418"/>
      <c r="J481" s="418"/>
      <c r="K481" s="418"/>
      <c r="L481" s="420"/>
      <c r="M481" s="420"/>
      <c r="N481" s="420"/>
      <c r="O481" s="420"/>
      <c r="P481" s="420"/>
      <c r="Q481" s="420"/>
      <c r="R481" s="420"/>
      <c r="S481" s="420"/>
      <c r="T481" s="420"/>
      <c r="U481" s="420"/>
      <c r="V481" s="420"/>
      <c r="W481" s="420"/>
      <c r="X481" s="420"/>
      <c r="Y481" s="420"/>
      <c r="Z481" s="367"/>
      <c r="AA481" s="420"/>
      <c r="AB481" s="420"/>
      <c r="AC481" s="420"/>
      <c r="AD481" s="420"/>
      <c r="AE481" s="420"/>
      <c r="AF481" s="367"/>
      <c r="AG481" s="420"/>
      <c r="AH481" s="367"/>
      <c r="AI481" s="367"/>
      <c r="AJ481" s="367"/>
      <c r="AK481" s="358"/>
      <c r="AL481" s="358"/>
      <c r="AM481" s="358"/>
      <c r="AN481" s="358"/>
      <c r="AO481" s="358"/>
      <c r="AP481" s="367"/>
    </row>
    <row r="482">
      <c r="A482" s="418"/>
      <c r="B482" s="418"/>
      <c r="C482" s="418"/>
      <c r="D482" s="418"/>
      <c r="E482" s="418"/>
      <c r="F482" s="418"/>
      <c r="G482" s="367"/>
      <c r="H482" s="418"/>
      <c r="I482" s="418"/>
      <c r="J482" s="418"/>
      <c r="K482" s="418"/>
      <c r="L482" s="420"/>
      <c r="M482" s="420"/>
      <c r="N482" s="420"/>
      <c r="O482" s="420"/>
      <c r="P482" s="420"/>
      <c r="Q482" s="420"/>
      <c r="R482" s="420"/>
      <c r="S482" s="420"/>
      <c r="T482" s="420"/>
      <c r="U482" s="420"/>
      <c r="V482" s="420"/>
      <c r="W482" s="420"/>
      <c r="X482" s="420"/>
      <c r="Y482" s="420"/>
      <c r="Z482" s="367"/>
      <c r="AA482" s="420"/>
      <c r="AB482" s="420"/>
      <c r="AC482" s="420"/>
      <c r="AD482" s="420"/>
      <c r="AE482" s="420"/>
      <c r="AF482" s="367"/>
      <c r="AG482" s="420"/>
      <c r="AH482" s="367"/>
      <c r="AI482" s="367"/>
      <c r="AJ482" s="367"/>
      <c r="AK482" s="358"/>
      <c r="AL482" s="358"/>
      <c r="AM482" s="358"/>
      <c r="AN482" s="358"/>
      <c r="AO482" s="358"/>
      <c r="AP482" s="367"/>
    </row>
    <row r="483">
      <c r="A483" s="418"/>
      <c r="B483" s="418"/>
      <c r="C483" s="418"/>
      <c r="D483" s="418"/>
      <c r="E483" s="418"/>
      <c r="F483" s="418"/>
      <c r="G483" s="367"/>
      <c r="H483" s="418"/>
      <c r="I483" s="418"/>
      <c r="J483" s="418"/>
      <c r="K483" s="418"/>
      <c r="L483" s="420"/>
      <c r="M483" s="420"/>
      <c r="N483" s="420"/>
      <c r="O483" s="420"/>
      <c r="P483" s="420"/>
      <c r="Q483" s="420"/>
      <c r="R483" s="420"/>
      <c r="S483" s="420"/>
      <c r="T483" s="420"/>
      <c r="U483" s="420"/>
      <c r="V483" s="420"/>
      <c r="W483" s="420"/>
      <c r="X483" s="420"/>
      <c r="Y483" s="420"/>
      <c r="Z483" s="367"/>
      <c r="AA483" s="420"/>
      <c r="AB483" s="420"/>
      <c r="AC483" s="420"/>
      <c r="AD483" s="420"/>
      <c r="AE483" s="420"/>
      <c r="AF483" s="367"/>
      <c r="AG483" s="420"/>
      <c r="AH483" s="367"/>
      <c r="AI483" s="367"/>
      <c r="AJ483" s="367"/>
      <c r="AK483" s="358"/>
      <c r="AL483" s="358"/>
      <c r="AM483" s="358"/>
      <c r="AN483" s="358"/>
      <c r="AO483" s="358"/>
      <c r="AP483" s="367"/>
    </row>
    <row r="484">
      <c r="A484" s="418"/>
      <c r="B484" s="418"/>
      <c r="C484" s="418"/>
      <c r="D484" s="418"/>
      <c r="E484" s="418"/>
      <c r="F484" s="418"/>
      <c r="G484" s="367"/>
      <c r="H484" s="418"/>
      <c r="I484" s="418"/>
      <c r="J484" s="418"/>
      <c r="K484" s="418"/>
      <c r="L484" s="420"/>
      <c r="M484" s="420"/>
      <c r="N484" s="420"/>
      <c r="O484" s="420"/>
      <c r="P484" s="420"/>
      <c r="Q484" s="420"/>
      <c r="R484" s="420"/>
      <c r="S484" s="420"/>
      <c r="T484" s="420"/>
      <c r="U484" s="420"/>
      <c r="V484" s="420"/>
      <c r="W484" s="420"/>
      <c r="X484" s="420"/>
      <c r="Y484" s="420"/>
      <c r="Z484" s="367"/>
      <c r="AA484" s="420"/>
      <c r="AB484" s="420"/>
      <c r="AC484" s="420"/>
      <c r="AD484" s="420"/>
      <c r="AE484" s="420"/>
      <c r="AF484" s="367"/>
      <c r="AG484" s="420"/>
      <c r="AH484" s="367"/>
      <c r="AI484" s="367"/>
      <c r="AJ484" s="367"/>
      <c r="AK484" s="358"/>
      <c r="AL484" s="358"/>
      <c r="AM484" s="358"/>
      <c r="AN484" s="358"/>
      <c r="AO484" s="358"/>
      <c r="AP484" s="367"/>
    </row>
    <row r="485">
      <c r="A485" s="418"/>
      <c r="B485" s="418"/>
      <c r="C485" s="418"/>
      <c r="D485" s="418"/>
      <c r="E485" s="418"/>
      <c r="F485" s="418"/>
      <c r="G485" s="367"/>
      <c r="H485" s="418"/>
      <c r="I485" s="418"/>
      <c r="J485" s="418"/>
      <c r="K485" s="418"/>
      <c r="L485" s="420"/>
      <c r="M485" s="420"/>
      <c r="N485" s="420"/>
      <c r="O485" s="420"/>
      <c r="P485" s="420"/>
      <c r="Q485" s="420"/>
      <c r="R485" s="420"/>
      <c r="S485" s="420"/>
      <c r="T485" s="420"/>
      <c r="U485" s="420"/>
      <c r="V485" s="420"/>
      <c r="W485" s="420"/>
      <c r="X485" s="420"/>
      <c r="Y485" s="420"/>
      <c r="Z485" s="367"/>
      <c r="AA485" s="420"/>
      <c r="AB485" s="420"/>
      <c r="AC485" s="420"/>
      <c r="AD485" s="420"/>
      <c r="AE485" s="420"/>
      <c r="AF485" s="367"/>
      <c r="AG485" s="420"/>
      <c r="AH485" s="367"/>
      <c r="AI485" s="367"/>
      <c r="AJ485" s="367"/>
      <c r="AK485" s="358"/>
      <c r="AL485" s="358"/>
      <c r="AM485" s="358"/>
      <c r="AN485" s="358"/>
      <c r="AO485" s="358"/>
      <c r="AP485" s="367"/>
    </row>
    <row r="486">
      <c r="A486" s="418"/>
      <c r="B486" s="418"/>
      <c r="C486" s="418"/>
      <c r="D486" s="418"/>
      <c r="E486" s="418"/>
      <c r="F486" s="418"/>
      <c r="G486" s="367"/>
      <c r="H486" s="418"/>
      <c r="I486" s="418"/>
      <c r="J486" s="418"/>
      <c r="K486" s="418"/>
      <c r="L486" s="420"/>
      <c r="M486" s="420"/>
      <c r="N486" s="420"/>
      <c r="O486" s="420"/>
      <c r="P486" s="420"/>
      <c r="Q486" s="420"/>
      <c r="R486" s="420"/>
      <c r="S486" s="420"/>
      <c r="T486" s="420"/>
      <c r="U486" s="420"/>
      <c r="V486" s="420"/>
      <c r="W486" s="420"/>
      <c r="X486" s="420"/>
      <c r="Y486" s="420"/>
      <c r="Z486" s="367"/>
      <c r="AA486" s="420"/>
      <c r="AB486" s="420"/>
      <c r="AC486" s="420"/>
      <c r="AD486" s="420"/>
      <c r="AE486" s="420"/>
      <c r="AF486" s="367"/>
      <c r="AG486" s="420"/>
      <c r="AH486" s="367"/>
      <c r="AI486" s="367"/>
      <c r="AJ486" s="367"/>
      <c r="AK486" s="358"/>
      <c r="AL486" s="358"/>
      <c r="AM486" s="358"/>
      <c r="AN486" s="358"/>
      <c r="AO486" s="358"/>
      <c r="AP486" s="367"/>
    </row>
    <row r="487">
      <c r="A487" s="418"/>
      <c r="B487" s="418"/>
      <c r="C487" s="418"/>
      <c r="D487" s="418"/>
      <c r="E487" s="418"/>
      <c r="F487" s="418"/>
      <c r="G487" s="367"/>
      <c r="H487" s="418"/>
      <c r="I487" s="418"/>
      <c r="J487" s="418"/>
      <c r="K487" s="418"/>
      <c r="L487" s="420"/>
      <c r="M487" s="420"/>
      <c r="N487" s="420"/>
      <c r="O487" s="420"/>
      <c r="P487" s="420"/>
      <c r="Q487" s="420"/>
      <c r="R487" s="420"/>
      <c r="S487" s="420"/>
      <c r="T487" s="420"/>
      <c r="U487" s="420"/>
      <c r="V487" s="420"/>
      <c r="W487" s="420"/>
      <c r="X487" s="420"/>
      <c r="Y487" s="420"/>
      <c r="Z487" s="367"/>
      <c r="AA487" s="420"/>
      <c r="AB487" s="420"/>
      <c r="AC487" s="420"/>
      <c r="AD487" s="420"/>
      <c r="AE487" s="420"/>
      <c r="AF487" s="367"/>
      <c r="AG487" s="420"/>
      <c r="AH487" s="367"/>
      <c r="AI487" s="367"/>
      <c r="AJ487" s="367"/>
      <c r="AK487" s="358"/>
      <c r="AL487" s="358"/>
      <c r="AM487" s="358"/>
      <c r="AN487" s="358"/>
      <c r="AO487" s="358"/>
      <c r="AP487" s="367"/>
    </row>
    <row r="488">
      <c r="A488" s="418"/>
      <c r="B488" s="418"/>
      <c r="C488" s="418"/>
      <c r="D488" s="418"/>
      <c r="E488" s="418"/>
      <c r="F488" s="418"/>
      <c r="G488" s="367"/>
      <c r="H488" s="418"/>
      <c r="I488" s="418"/>
      <c r="J488" s="418"/>
      <c r="K488" s="418"/>
      <c r="L488" s="420"/>
      <c r="M488" s="420"/>
      <c r="N488" s="420"/>
      <c r="O488" s="420"/>
      <c r="P488" s="420"/>
      <c r="Q488" s="420"/>
      <c r="R488" s="420"/>
      <c r="S488" s="420"/>
      <c r="T488" s="420"/>
      <c r="U488" s="420"/>
      <c r="V488" s="420"/>
      <c r="W488" s="420"/>
      <c r="X488" s="420"/>
      <c r="Y488" s="420"/>
      <c r="Z488" s="367"/>
      <c r="AA488" s="420"/>
      <c r="AB488" s="420"/>
      <c r="AC488" s="420"/>
      <c r="AD488" s="420"/>
      <c r="AE488" s="420"/>
      <c r="AF488" s="367"/>
      <c r="AG488" s="420"/>
      <c r="AH488" s="367"/>
      <c r="AI488" s="367"/>
      <c r="AJ488" s="367"/>
      <c r="AK488" s="358"/>
      <c r="AL488" s="358"/>
      <c r="AM488" s="358"/>
      <c r="AN488" s="358"/>
      <c r="AO488" s="358"/>
      <c r="AP488" s="367"/>
    </row>
    <row r="489">
      <c r="A489" s="418"/>
      <c r="B489" s="418"/>
      <c r="C489" s="418"/>
      <c r="D489" s="418"/>
      <c r="E489" s="418"/>
      <c r="F489" s="418"/>
      <c r="G489" s="367"/>
      <c r="H489" s="418"/>
      <c r="I489" s="418"/>
      <c r="J489" s="418"/>
      <c r="K489" s="418"/>
      <c r="L489" s="420"/>
      <c r="M489" s="420"/>
      <c r="N489" s="420"/>
      <c r="O489" s="420"/>
      <c r="P489" s="420"/>
      <c r="Q489" s="420"/>
      <c r="R489" s="420"/>
      <c r="S489" s="420"/>
      <c r="T489" s="420"/>
      <c r="U489" s="420"/>
      <c r="V489" s="420"/>
      <c r="W489" s="420"/>
      <c r="X489" s="420"/>
      <c r="Y489" s="420"/>
      <c r="Z489" s="367"/>
      <c r="AA489" s="420"/>
      <c r="AB489" s="420"/>
      <c r="AC489" s="420"/>
      <c r="AD489" s="420"/>
      <c r="AE489" s="420"/>
      <c r="AF489" s="367"/>
      <c r="AG489" s="420"/>
      <c r="AH489" s="367"/>
      <c r="AI489" s="367"/>
      <c r="AJ489" s="367"/>
      <c r="AK489" s="358"/>
      <c r="AL489" s="358"/>
      <c r="AM489" s="358"/>
      <c r="AN489" s="358"/>
      <c r="AO489" s="358"/>
      <c r="AP489" s="367"/>
    </row>
    <row r="490">
      <c r="A490" s="418"/>
      <c r="B490" s="418"/>
      <c r="C490" s="418"/>
      <c r="D490" s="418"/>
      <c r="E490" s="418"/>
      <c r="F490" s="418"/>
      <c r="G490" s="367"/>
      <c r="H490" s="418"/>
      <c r="I490" s="418"/>
      <c r="J490" s="418"/>
      <c r="K490" s="418"/>
      <c r="L490" s="420"/>
      <c r="M490" s="420"/>
      <c r="N490" s="420"/>
      <c r="O490" s="420"/>
      <c r="P490" s="420"/>
      <c r="Q490" s="420"/>
      <c r="R490" s="420"/>
      <c r="S490" s="420"/>
      <c r="T490" s="420"/>
      <c r="U490" s="420"/>
      <c r="V490" s="420"/>
      <c r="W490" s="420"/>
      <c r="X490" s="420"/>
      <c r="Y490" s="420"/>
      <c r="Z490" s="367"/>
      <c r="AA490" s="420"/>
      <c r="AB490" s="420"/>
      <c r="AC490" s="420"/>
      <c r="AD490" s="420"/>
      <c r="AE490" s="420"/>
      <c r="AF490" s="367"/>
      <c r="AG490" s="420"/>
      <c r="AH490" s="367"/>
      <c r="AI490" s="367"/>
      <c r="AJ490" s="367"/>
      <c r="AK490" s="358"/>
      <c r="AL490" s="358"/>
      <c r="AM490" s="358"/>
      <c r="AN490" s="358"/>
      <c r="AO490" s="358"/>
      <c r="AP490" s="367"/>
    </row>
    <row r="491">
      <c r="A491" s="418"/>
      <c r="B491" s="418"/>
      <c r="C491" s="418"/>
      <c r="D491" s="418"/>
      <c r="E491" s="418"/>
      <c r="F491" s="418"/>
      <c r="G491" s="367"/>
      <c r="H491" s="418"/>
      <c r="I491" s="418"/>
      <c r="J491" s="418"/>
      <c r="K491" s="418"/>
      <c r="L491" s="420"/>
      <c r="M491" s="420"/>
      <c r="N491" s="420"/>
      <c r="O491" s="420"/>
      <c r="P491" s="420"/>
      <c r="Q491" s="420"/>
      <c r="R491" s="420"/>
      <c r="S491" s="420"/>
      <c r="T491" s="420"/>
      <c r="U491" s="420"/>
      <c r="V491" s="420"/>
      <c r="W491" s="420"/>
      <c r="X491" s="420"/>
      <c r="Y491" s="420"/>
      <c r="Z491" s="367"/>
      <c r="AA491" s="420"/>
      <c r="AB491" s="420"/>
      <c r="AC491" s="420"/>
      <c r="AD491" s="420"/>
      <c r="AE491" s="420"/>
      <c r="AF491" s="367"/>
      <c r="AG491" s="420"/>
      <c r="AH491" s="367"/>
      <c r="AI491" s="367"/>
      <c r="AJ491" s="367"/>
      <c r="AK491" s="358"/>
      <c r="AL491" s="358"/>
      <c r="AM491" s="358"/>
      <c r="AN491" s="358"/>
      <c r="AO491" s="358"/>
      <c r="AP491" s="367"/>
    </row>
    <row r="492">
      <c r="A492" s="418"/>
      <c r="B492" s="418"/>
      <c r="C492" s="418"/>
      <c r="D492" s="418"/>
      <c r="E492" s="418"/>
      <c r="F492" s="418"/>
      <c r="G492" s="367"/>
      <c r="H492" s="418"/>
      <c r="I492" s="418"/>
      <c r="J492" s="418"/>
      <c r="K492" s="418"/>
      <c r="L492" s="420"/>
      <c r="M492" s="420"/>
      <c r="N492" s="420"/>
      <c r="O492" s="420"/>
      <c r="P492" s="420"/>
      <c r="Q492" s="420"/>
      <c r="R492" s="420"/>
      <c r="S492" s="420"/>
      <c r="T492" s="420"/>
      <c r="U492" s="420"/>
      <c r="V492" s="420"/>
      <c r="W492" s="420"/>
      <c r="X492" s="420"/>
      <c r="Y492" s="420"/>
      <c r="Z492" s="367"/>
      <c r="AA492" s="420"/>
      <c r="AB492" s="420"/>
      <c r="AC492" s="420"/>
      <c r="AD492" s="420"/>
      <c r="AE492" s="420"/>
      <c r="AF492" s="367"/>
      <c r="AG492" s="420"/>
      <c r="AH492" s="367"/>
      <c r="AI492" s="367"/>
      <c r="AJ492" s="367"/>
      <c r="AK492" s="358"/>
      <c r="AL492" s="358"/>
      <c r="AM492" s="358"/>
      <c r="AN492" s="358"/>
      <c r="AO492" s="358"/>
      <c r="AP492" s="367"/>
    </row>
    <row r="493">
      <c r="A493" s="418"/>
      <c r="B493" s="418"/>
      <c r="C493" s="418"/>
      <c r="D493" s="418"/>
      <c r="E493" s="418"/>
      <c r="F493" s="418"/>
      <c r="G493" s="367"/>
      <c r="H493" s="418"/>
      <c r="I493" s="418"/>
      <c r="J493" s="418"/>
      <c r="K493" s="418"/>
      <c r="L493" s="420"/>
      <c r="M493" s="420"/>
      <c r="N493" s="420"/>
      <c r="O493" s="420"/>
      <c r="P493" s="420"/>
      <c r="Q493" s="420"/>
      <c r="R493" s="420"/>
      <c r="S493" s="420"/>
      <c r="T493" s="420"/>
      <c r="U493" s="420"/>
      <c r="V493" s="420"/>
      <c r="W493" s="420"/>
      <c r="X493" s="420"/>
      <c r="Y493" s="420"/>
      <c r="Z493" s="367"/>
      <c r="AA493" s="420"/>
      <c r="AB493" s="420"/>
      <c r="AC493" s="420"/>
      <c r="AD493" s="420"/>
      <c r="AE493" s="420"/>
      <c r="AF493" s="367"/>
      <c r="AG493" s="420"/>
      <c r="AH493" s="367"/>
      <c r="AI493" s="367"/>
      <c r="AJ493" s="367"/>
      <c r="AK493" s="358"/>
      <c r="AL493" s="358"/>
      <c r="AM493" s="358"/>
      <c r="AN493" s="358"/>
      <c r="AO493" s="358"/>
      <c r="AP493" s="367"/>
    </row>
    <row r="494">
      <c r="A494" s="418"/>
      <c r="B494" s="418"/>
      <c r="C494" s="418"/>
      <c r="D494" s="418"/>
      <c r="E494" s="418"/>
      <c r="F494" s="418"/>
      <c r="G494" s="367"/>
      <c r="H494" s="418"/>
      <c r="I494" s="418"/>
      <c r="J494" s="418"/>
      <c r="K494" s="418"/>
      <c r="L494" s="420"/>
      <c r="M494" s="420"/>
      <c r="N494" s="420"/>
      <c r="O494" s="420"/>
      <c r="P494" s="420"/>
      <c r="Q494" s="420"/>
      <c r="R494" s="420"/>
      <c r="S494" s="420"/>
      <c r="T494" s="420"/>
      <c r="U494" s="420"/>
      <c r="V494" s="420"/>
      <c r="W494" s="420"/>
      <c r="X494" s="420"/>
      <c r="Y494" s="420"/>
      <c r="Z494" s="367"/>
      <c r="AA494" s="420"/>
      <c r="AB494" s="420"/>
      <c r="AC494" s="420"/>
      <c r="AD494" s="420"/>
      <c r="AE494" s="420"/>
      <c r="AF494" s="367"/>
      <c r="AG494" s="420"/>
      <c r="AH494" s="367"/>
      <c r="AI494" s="367"/>
      <c r="AJ494" s="367"/>
      <c r="AK494" s="358"/>
      <c r="AL494" s="358"/>
      <c r="AM494" s="358"/>
      <c r="AN494" s="358"/>
      <c r="AO494" s="358"/>
      <c r="AP494" s="367"/>
    </row>
    <row r="495">
      <c r="A495" s="418"/>
      <c r="B495" s="418"/>
      <c r="C495" s="418"/>
      <c r="D495" s="418"/>
      <c r="E495" s="418"/>
      <c r="F495" s="418"/>
      <c r="G495" s="367"/>
      <c r="H495" s="418"/>
      <c r="I495" s="418"/>
      <c r="J495" s="418"/>
      <c r="K495" s="418"/>
      <c r="L495" s="420"/>
      <c r="M495" s="420"/>
      <c r="N495" s="420"/>
      <c r="O495" s="420"/>
      <c r="P495" s="420"/>
      <c r="Q495" s="420"/>
      <c r="R495" s="420"/>
      <c r="S495" s="420"/>
      <c r="T495" s="420"/>
      <c r="U495" s="420"/>
      <c r="V495" s="420"/>
      <c r="W495" s="420"/>
      <c r="X495" s="420"/>
      <c r="Y495" s="420"/>
      <c r="Z495" s="367"/>
      <c r="AA495" s="420"/>
      <c r="AB495" s="420"/>
      <c r="AC495" s="420"/>
      <c r="AD495" s="420"/>
      <c r="AE495" s="420"/>
      <c r="AF495" s="367"/>
      <c r="AG495" s="420"/>
      <c r="AH495" s="367"/>
      <c r="AI495" s="367"/>
      <c r="AJ495" s="367"/>
      <c r="AK495" s="358"/>
      <c r="AL495" s="358"/>
      <c r="AM495" s="358"/>
      <c r="AN495" s="358"/>
      <c r="AO495" s="358"/>
      <c r="AP495" s="367"/>
    </row>
    <row r="496">
      <c r="A496" s="418"/>
      <c r="B496" s="418"/>
      <c r="C496" s="418"/>
      <c r="D496" s="418"/>
      <c r="E496" s="418"/>
      <c r="F496" s="418"/>
      <c r="G496" s="367"/>
      <c r="H496" s="418"/>
      <c r="I496" s="418"/>
      <c r="J496" s="418"/>
      <c r="K496" s="418"/>
      <c r="L496" s="420"/>
      <c r="M496" s="420"/>
      <c r="N496" s="420"/>
      <c r="O496" s="420"/>
      <c r="P496" s="420"/>
      <c r="Q496" s="420"/>
      <c r="R496" s="420"/>
      <c r="S496" s="420"/>
      <c r="T496" s="420"/>
      <c r="U496" s="420"/>
      <c r="V496" s="420"/>
      <c r="W496" s="420"/>
      <c r="X496" s="420"/>
      <c r="Y496" s="420"/>
      <c r="Z496" s="367"/>
      <c r="AA496" s="420"/>
      <c r="AB496" s="420"/>
      <c r="AC496" s="420"/>
      <c r="AD496" s="420"/>
      <c r="AE496" s="420"/>
      <c r="AF496" s="367"/>
      <c r="AG496" s="420"/>
      <c r="AH496" s="367"/>
      <c r="AI496" s="367"/>
      <c r="AJ496" s="367"/>
      <c r="AK496" s="358"/>
      <c r="AL496" s="358"/>
      <c r="AM496" s="358"/>
      <c r="AN496" s="358"/>
      <c r="AO496" s="358"/>
      <c r="AP496" s="367"/>
    </row>
    <row r="497">
      <c r="A497" s="418"/>
      <c r="B497" s="418"/>
      <c r="C497" s="418"/>
      <c r="D497" s="418"/>
      <c r="E497" s="418"/>
      <c r="F497" s="418"/>
      <c r="G497" s="367"/>
      <c r="H497" s="418"/>
      <c r="I497" s="418"/>
      <c r="J497" s="418"/>
      <c r="K497" s="418"/>
      <c r="L497" s="420"/>
      <c r="M497" s="420"/>
      <c r="N497" s="420"/>
      <c r="O497" s="420"/>
      <c r="P497" s="420"/>
      <c r="Q497" s="420"/>
      <c r="R497" s="420"/>
      <c r="S497" s="420"/>
      <c r="T497" s="420"/>
      <c r="U497" s="420"/>
      <c r="V497" s="420"/>
      <c r="W497" s="420"/>
      <c r="X497" s="420"/>
      <c r="Y497" s="420"/>
      <c r="Z497" s="367"/>
      <c r="AA497" s="420"/>
      <c r="AB497" s="420"/>
      <c r="AC497" s="420"/>
      <c r="AD497" s="420"/>
      <c r="AE497" s="420"/>
      <c r="AF497" s="367"/>
      <c r="AG497" s="420"/>
      <c r="AH497" s="367"/>
      <c r="AI497" s="367"/>
      <c r="AJ497" s="367"/>
      <c r="AK497" s="358"/>
      <c r="AL497" s="358"/>
      <c r="AM497" s="358"/>
      <c r="AN497" s="358"/>
      <c r="AO497" s="358"/>
      <c r="AP497" s="367"/>
    </row>
    <row r="498">
      <c r="A498" s="418"/>
      <c r="B498" s="418"/>
      <c r="C498" s="418"/>
      <c r="D498" s="418"/>
      <c r="E498" s="418"/>
      <c r="F498" s="418"/>
      <c r="G498" s="367"/>
      <c r="H498" s="418"/>
      <c r="I498" s="418"/>
      <c r="J498" s="418"/>
      <c r="K498" s="418"/>
      <c r="L498" s="420"/>
      <c r="M498" s="420"/>
      <c r="N498" s="420"/>
      <c r="O498" s="420"/>
      <c r="P498" s="420"/>
      <c r="Q498" s="420"/>
      <c r="R498" s="420"/>
      <c r="S498" s="420"/>
      <c r="T498" s="420"/>
      <c r="U498" s="420"/>
      <c r="V498" s="420"/>
      <c r="W498" s="420"/>
      <c r="X498" s="420"/>
      <c r="Y498" s="420"/>
      <c r="Z498" s="367"/>
      <c r="AA498" s="420"/>
      <c r="AB498" s="420"/>
      <c r="AC498" s="420"/>
      <c r="AD498" s="420"/>
      <c r="AE498" s="420"/>
      <c r="AF498" s="367"/>
      <c r="AG498" s="420"/>
      <c r="AH498" s="367"/>
      <c r="AI498" s="367"/>
      <c r="AJ498" s="367"/>
      <c r="AK498" s="358"/>
      <c r="AL498" s="358"/>
      <c r="AM498" s="358"/>
      <c r="AN498" s="358"/>
      <c r="AO498" s="358"/>
      <c r="AP498" s="367"/>
    </row>
    <row r="499">
      <c r="A499" s="418"/>
      <c r="B499" s="418"/>
      <c r="C499" s="418"/>
      <c r="D499" s="418"/>
      <c r="E499" s="418"/>
      <c r="F499" s="418"/>
      <c r="G499" s="367"/>
      <c r="H499" s="418"/>
      <c r="I499" s="418"/>
      <c r="J499" s="418"/>
      <c r="K499" s="418"/>
      <c r="L499" s="420"/>
      <c r="M499" s="420"/>
      <c r="N499" s="420"/>
      <c r="O499" s="420"/>
      <c r="P499" s="420"/>
      <c r="Q499" s="420"/>
      <c r="R499" s="420"/>
      <c r="S499" s="420"/>
      <c r="T499" s="420"/>
      <c r="U499" s="420"/>
      <c r="V499" s="420"/>
      <c r="W499" s="420"/>
      <c r="X499" s="420"/>
      <c r="Y499" s="420"/>
      <c r="Z499" s="367"/>
      <c r="AA499" s="420"/>
      <c r="AB499" s="420"/>
      <c r="AC499" s="420"/>
      <c r="AD499" s="420"/>
      <c r="AE499" s="420"/>
      <c r="AF499" s="367"/>
      <c r="AG499" s="420"/>
      <c r="AH499" s="367"/>
      <c r="AI499" s="367"/>
      <c r="AJ499" s="367"/>
      <c r="AK499" s="358"/>
      <c r="AL499" s="358"/>
      <c r="AM499" s="358"/>
      <c r="AN499" s="358"/>
      <c r="AO499" s="358"/>
      <c r="AP499" s="367"/>
    </row>
    <row r="500">
      <c r="A500" s="418"/>
      <c r="B500" s="418"/>
      <c r="C500" s="418"/>
      <c r="D500" s="418"/>
      <c r="E500" s="418"/>
      <c r="F500" s="418"/>
      <c r="G500" s="367"/>
      <c r="H500" s="418"/>
      <c r="I500" s="418"/>
      <c r="J500" s="418"/>
      <c r="K500" s="418"/>
      <c r="L500" s="420"/>
      <c r="M500" s="420"/>
      <c r="N500" s="420"/>
      <c r="O500" s="420"/>
      <c r="P500" s="420"/>
      <c r="Q500" s="420"/>
      <c r="R500" s="420"/>
      <c r="S500" s="420"/>
      <c r="T500" s="420"/>
      <c r="U500" s="420"/>
      <c r="V500" s="420"/>
      <c r="W500" s="420"/>
      <c r="X500" s="420"/>
      <c r="Y500" s="420"/>
      <c r="Z500" s="367"/>
      <c r="AA500" s="420"/>
      <c r="AB500" s="420"/>
      <c r="AC500" s="420"/>
      <c r="AD500" s="420"/>
      <c r="AE500" s="420"/>
      <c r="AF500" s="367"/>
      <c r="AG500" s="420"/>
      <c r="AH500" s="367"/>
      <c r="AI500" s="367"/>
      <c r="AJ500" s="367"/>
      <c r="AK500" s="358"/>
      <c r="AL500" s="358"/>
      <c r="AM500" s="358"/>
      <c r="AN500" s="358"/>
      <c r="AO500" s="358"/>
      <c r="AP500" s="367"/>
    </row>
    <row r="501">
      <c r="A501" s="418"/>
      <c r="B501" s="418"/>
      <c r="C501" s="418"/>
      <c r="D501" s="418"/>
      <c r="E501" s="418"/>
      <c r="F501" s="418"/>
      <c r="G501" s="367"/>
      <c r="H501" s="418"/>
      <c r="I501" s="418"/>
      <c r="J501" s="418"/>
      <c r="K501" s="418"/>
      <c r="L501" s="420"/>
      <c r="M501" s="420"/>
      <c r="N501" s="420"/>
      <c r="O501" s="420"/>
      <c r="P501" s="420"/>
      <c r="Q501" s="420"/>
      <c r="R501" s="420"/>
      <c r="S501" s="420"/>
      <c r="T501" s="420"/>
      <c r="U501" s="420"/>
      <c r="V501" s="420"/>
      <c r="W501" s="420"/>
      <c r="X501" s="420"/>
      <c r="Y501" s="420"/>
      <c r="Z501" s="367"/>
      <c r="AA501" s="420"/>
      <c r="AB501" s="420"/>
      <c r="AC501" s="420"/>
      <c r="AD501" s="420"/>
      <c r="AE501" s="420"/>
      <c r="AF501" s="367"/>
      <c r="AG501" s="420"/>
      <c r="AH501" s="367"/>
      <c r="AI501" s="367"/>
      <c r="AJ501" s="367"/>
      <c r="AK501" s="358"/>
      <c r="AL501" s="358"/>
      <c r="AM501" s="358"/>
      <c r="AN501" s="358"/>
      <c r="AO501" s="358"/>
      <c r="AP501" s="367"/>
    </row>
    <row r="502">
      <c r="A502" s="418"/>
      <c r="B502" s="418"/>
      <c r="C502" s="418"/>
      <c r="D502" s="418"/>
      <c r="E502" s="418"/>
      <c r="F502" s="418"/>
      <c r="G502" s="367"/>
      <c r="H502" s="418"/>
      <c r="I502" s="418"/>
      <c r="J502" s="418"/>
      <c r="K502" s="418"/>
      <c r="L502" s="420"/>
      <c r="M502" s="420"/>
      <c r="N502" s="420"/>
      <c r="O502" s="420"/>
      <c r="P502" s="420"/>
      <c r="Q502" s="420"/>
      <c r="R502" s="420"/>
      <c r="S502" s="420"/>
      <c r="T502" s="420"/>
      <c r="U502" s="420"/>
      <c r="V502" s="420"/>
      <c r="W502" s="420"/>
      <c r="X502" s="420"/>
      <c r="Y502" s="420"/>
      <c r="Z502" s="367"/>
      <c r="AA502" s="420"/>
      <c r="AB502" s="420"/>
      <c r="AC502" s="420"/>
      <c r="AD502" s="420"/>
      <c r="AE502" s="420"/>
      <c r="AF502" s="367"/>
      <c r="AG502" s="420"/>
      <c r="AH502" s="367"/>
      <c r="AI502" s="367"/>
      <c r="AJ502" s="367"/>
      <c r="AK502" s="358"/>
      <c r="AL502" s="358"/>
      <c r="AM502" s="358"/>
      <c r="AN502" s="358"/>
      <c r="AO502" s="358"/>
      <c r="AP502" s="367"/>
    </row>
    <row r="503">
      <c r="A503" s="418"/>
      <c r="B503" s="418"/>
      <c r="C503" s="418"/>
      <c r="D503" s="418"/>
      <c r="E503" s="418"/>
      <c r="F503" s="418"/>
      <c r="G503" s="367"/>
      <c r="H503" s="418"/>
      <c r="I503" s="418"/>
      <c r="J503" s="418"/>
      <c r="K503" s="418"/>
      <c r="L503" s="420"/>
      <c r="M503" s="420"/>
      <c r="N503" s="420"/>
      <c r="O503" s="420"/>
      <c r="P503" s="420"/>
      <c r="Q503" s="420"/>
      <c r="R503" s="420"/>
      <c r="S503" s="420"/>
      <c r="T503" s="420"/>
      <c r="U503" s="420"/>
      <c r="V503" s="420"/>
      <c r="W503" s="420"/>
      <c r="X503" s="420"/>
      <c r="Y503" s="420"/>
      <c r="Z503" s="367"/>
      <c r="AA503" s="420"/>
      <c r="AB503" s="420"/>
      <c r="AC503" s="420"/>
      <c r="AD503" s="420"/>
      <c r="AE503" s="420"/>
      <c r="AF503" s="367"/>
      <c r="AG503" s="420"/>
      <c r="AH503" s="367"/>
      <c r="AI503" s="367"/>
      <c r="AJ503" s="367"/>
      <c r="AK503" s="358"/>
      <c r="AL503" s="358"/>
      <c r="AM503" s="358"/>
      <c r="AN503" s="358"/>
      <c r="AO503" s="358"/>
      <c r="AP503" s="367"/>
    </row>
    <row r="504">
      <c r="A504" s="418"/>
      <c r="B504" s="418"/>
      <c r="C504" s="418"/>
      <c r="D504" s="418"/>
      <c r="E504" s="418"/>
      <c r="F504" s="418"/>
      <c r="G504" s="367"/>
      <c r="H504" s="418"/>
      <c r="I504" s="418"/>
      <c r="J504" s="418"/>
      <c r="K504" s="418"/>
      <c r="L504" s="420"/>
      <c r="M504" s="420"/>
      <c r="N504" s="420"/>
      <c r="O504" s="420"/>
      <c r="P504" s="420"/>
      <c r="Q504" s="420"/>
      <c r="R504" s="420"/>
      <c r="S504" s="420"/>
      <c r="T504" s="420"/>
      <c r="U504" s="420"/>
      <c r="V504" s="420"/>
      <c r="W504" s="420"/>
      <c r="X504" s="420"/>
      <c r="Y504" s="420"/>
      <c r="Z504" s="367"/>
      <c r="AA504" s="420"/>
      <c r="AB504" s="420"/>
      <c r="AC504" s="420"/>
      <c r="AD504" s="420"/>
      <c r="AE504" s="420"/>
      <c r="AF504" s="367"/>
      <c r="AG504" s="420"/>
      <c r="AH504" s="367"/>
      <c r="AI504" s="367"/>
      <c r="AJ504" s="367"/>
      <c r="AK504" s="358"/>
      <c r="AL504" s="358"/>
      <c r="AM504" s="358"/>
      <c r="AN504" s="358"/>
      <c r="AO504" s="358"/>
      <c r="AP504" s="367"/>
    </row>
    <row r="505">
      <c r="A505" s="418"/>
      <c r="B505" s="418"/>
      <c r="C505" s="418"/>
      <c r="D505" s="418"/>
      <c r="E505" s="418"/>
      <c r="F505" s="418"/>
      <c r="G505" s="367"/>
      <c r="H505" s="418"/>
      <c r="I505" s="418"/>
      <c r="J505" s="418"/>
      <c r="K505" s="418"/>
      <c r="L505" s="420"/>
      <c r="M505" s="420"/>
      <c r="N505" s="420"/>
      <c r="O505" s="420"/>
      <c r="P505" s="420"/>
      <c r="Q505" s="420"/>
      <c r="R505" s="420"/>
      <c r="S505" s="420"/>
      <c r="T505" s="420"/>
      <c r="U505" s="420"/>
      <c r="V505" s="420"/>
      <c r="W505" s="420"/>
      <c r="X505" s="420"/>
      <c r="Y505" s="420"/>
      <c r="Z505" s="367"/>
      <c r="AA505" s="420"/>
      <c r="AB505" s="420"/>
      <c r="AC505" s="420"/>
      <c r="AD505" s="420"/>
      <c r="AE505" s="420"/>
      <c r="AF505" s="367"/>
      <c r="AG505" s="420"/>
      <c r="AH505" s="367"/>
      <c r="AI505" s="367"/>
      <c r="AJ505" s="367"/>
      <c r="AK505" s="358"/>
      <c r="AL505" s="358"/>
      <c r="AM505" s="358"/>
      <c r="AN505" s="358"/>
      <c r="AO505" s="358"/>
      <c r="AP505" s="367"/>
    </row>
    <row r="506">
      <c r="A506" s="418"/>
      <c r="B506" s="418"/>
      <c r="C506" s="418"/>
      <c r="D506" s="418"/>
      <c r="E506" s="418"/>
      <c r="F506" s="418"/>
      <c r="G506" s="367"/>
      <c r="H506" s="418"/>
      <c r="I506" s="418"/>
      <c r="J506" s="418"/>
      <c r="K506" s="418"/>
      <c r="L506" s="420"/>
      <c r="M506" s="420"/>
      <c r="N506" s="420"/>
      <c r="O506" s="420"/>
      <c r="P506" s="420"/>
      <c r="Q506" s="420"/>
      <c r="R506" s="420"/>
      <c r="S506" s="420"/>
      <c r="T506" s="420"/>
      <c r="U506" s="420"/>
      <c r="V506" s="420"/>
      <c r="W506" s="420"/>
      <c r="X506" s="420"/>
      <c r="Y506" s="420"/>
      <c r="Z506" s="367"/>
      <c r="AA506" s="420"/>
      <c r="AB506" s="420"/>
      <c r="AC506" s="420"/>
      <c r="AD506" s="420"/>
      <c r="AE506" s="420"/>
      <c r="AF506" s="367"/>
      <c r="AG506" s="420"/>
      <c r="AH506" s="367"/>
      <c r="AI506" s="367"/>
      <c r="AJ506" s="367"/>
      <c r="AK506" s="358"/>
      <c r="AL506" s="358"/>
      <c r="AM506" s="358"/>
      <c r="AN506" s="358"/>
      <c r="AO506" s="358"/>
      <c r="AP506" s="367"/>
    </row>
    <row r="507">
      <c r="A507" s="418"/>
      <c r="B507" s="418"/>
      <c r="C507" s="418"/>
      <c r="D507" s="418"/>
      <c r="E507" s="418"/>
      <c r="F507" s="418"/>
      <c r="G507" s="367"/>
      <c r="H507" s="418"/>
      <c r="I507" s="418"/>
      <c r="J507" s="418"/>
      <c r="K507" s="418"/>
      <c r="L507" s="420"/>
      <c r="M507" s="420"/>
      <c r="N507" s="420"/>
      <c r="O507" s="420"/>
      <c r="P507" s="420"/>
      <c r="Q507" s="420"/>
      <c r="R507" s="420"/>
      <c r="S507" s="420"/>
      <c r="T507" s="420"/>
      <c r="U507" s="420"/>
      <c r="V507" s="420"/>
      <c r="W507" s="420"/>
      <c r="X507" s="420"/>
      <c r="Y507" s="420"/>
      <c r="Z507" s="367"/>
      <c r="AA507" s="420"/>
      <c r="AB507" s="420"/>
      <c r="AC507" s="420"/>
      <c r="AD507" s="420"/>
      <c r="AE507" s="420"/>
      <c r="AF507" s="367"/>
      <c r="AG507" s="420"/>
      <c r="AH507" s="367"/>
      <c r="AI507" s="367"/>
      <c r="AJ507" s="367"/>
      <c r="AK507" s="358"/>
      <c r="AL507" s="358"/>
      <c r="AM507" s="358"/>
      <c r="AN507" s="358"/>
      <c r="AO507" s="358"/>
      <c r="AP507" s="367"/>
    </row>
    <row r="508">
      <c r="A508" s="418"/>
      <c r="B508" s="418"/>
      <c r="C508" s="418"/>
      <c r="D508" s="418"/>
      <c r="E508" s="418"/>
      <c r="F508" s="418"/>
      <c r="G508" s="367"/>
      <c r="H508" s="418"/>
      <c r="I508" s="418"/>
      <c r="J508" s="418"/>
      <c r="K508" s="418"/>
      <c r="L508" s="420"/>
      <c r="M508" s="420"/>
      <c r="N508" s="420"/>
      <c r="O508" s="420"/>
      <c r="P508" s="420"/>
      <c r="Q508" s="420"/>
      <c r="R508" s="420"/>
      <c r="S508" s="420"/>
      <c r="T508" s="420"/>
      <c r="U508" s="420"/>
      <c r="V508" s="420"/>
      <c r="W508" s="420"/>
      <c r="X508" s="420"/>
      <c r="Y508" s="420"/>
      <c r="Z508" s="367"/>
      <c r="AA508" s="420"/>
      <c r="AB508" s="420"/>
      <c r="AC508" s="420"/>
      <c r="AD508" s="420"/>
      <c r="AE508" s="420"/>
      <c r="AF508" s="367"/>
      <c r="AG508" s="420"/>
      <c r="AH508" s="367"/>
      <c r="AI508" s="367"/>
      <c r="AJ508" s="367"/>
      <c r="AK508" s="358"/>
      <c r="AL508" s="358"/>
      <c r="AM508" s="358"/>
      <c r="AN508" s="358"/>
      <c r="AO508" s="358"/>
      <c r="AP508" s="367"/>
    </row>
    <row r="509">
      <c r="A509" s="418"/>
      <c r="B509" s="418"/>
      <c r="C509" s="418"/>
      <c r="D509" s="418"/>
      <c r="E509" s="418"/>
      <c r="F509" s="418"/>
      <c r="G509" s="367"/>
      <c r="H509" s="418"/>
      <c r="I509" s="418"/>
      <c r="J509" s="418"/>
      <c r="K509" s="418"/>
      <c r="L509" s="420"/>
      <c r="M509" s="420"/>
      <c r="N509" s="420"/>
      <c r="O509" s="420"/>
      <c r="P509" s="420"/>
      <c r="Q509" s="420"/>
      <c r="R509" s="420"/>
      <c r="S509" s="420"/>
      <c r="T509" s="420"/>
      <c r="U509" s="420"/>
      <c r="V509" s="420"/>
      <c r="W509" s="420"/>
      <c r="X509" s="420"/>
      <c r="Y509" s="420"/>
      <c r="Z509" s="367"/>
      <c r="AA509" s="420"/>
      <c r="AB509" s="420"/>
      <c r="AC509" s="420"/>
      <c r="AD509" s="420"/>
      <c r="AE509" s="420"/>
      <c r="AF509" s="367"/>
      <c r="AG509" s="420"/>
      <c r="AH509" s="367"/>
      <c r="AI509" s="367"/>
      <c r="AJ509" s="367"/>
      <c r="AK509" s="358"/>
      <c r="AL509" s="358"/>
      <c r="AM509" s="358"/>
      <c r="AN509" s="358"/>
      <c r="AO509" s="358"/>
      <c r="AP509" s="367"/>
    </row>
    <row r="510">
      <c r="A510" s="418"/>
      <c r="B510" s="418"/>
      <c r="C510" s="418"/>
      <c r="D510" s="418"/>
      <c r="E510" s="418"/>
      <c r="F510" s="418"/>
      <c r="G510" s="367"/>
      <c r="H510" s="418"/>
      <c r="I510" s="418"/>
      <c r="J510" s="418"/>
      <c r="K510" s="418"/>
      <c r="L510" s="420"/>
      <c r="M510" s="420"/>
      <c r="N510" s="420"/>
      <c r="O510" s="420"/>
      <c r="P510" s="420"/>
      <c r="Q510" s="420"/>
      <c r="R510" s="420"/>
      <c r="S510" s="420"/>
      <c r="T510" s="420"/>
      <c r="U510" s="420"/>
      <c r="V510" s="420"/>
      <c r="W510" s="420"/>
      <c r="X510" s="420"/>
      <c r="Y510" s="420"/>
      <c r="Z510" s="367"/>
      <c r="AA510" s="420"/>
      <c r="AB510" s="420"/>
      <c r="AC510" s="420"/>
      <c r="AD510" s="420"/>
      <c r="AE510" s="420"/>
      <c r="AF510" s="367"/>
      <c r="AG510" s="420"/>
      <c r="AH510" s="367"/>
      <c r="AI510" s="367"/>
      <c r="AJ510" s="367"/>
      <c r="AK510" s="358"/>
      <c r="AL510" s="358"/>
      <c r="AM510" s="358"/>
      <c r="AN510" s="358"/>
      <c r="AO510" s="358"/>
      <c r="AP510" s="367"/>
    </row>
    <row r="511">
      <c r="A511" s="418"/>
      <c r="B511" s="418"/>
      <c r="C511" s="418"/>
      <c r="D511" s="418"/>
      <c r="E511" s="418"/>
      <c r="F511" s="418"/>
      <c r="G511" s="367"/>
      <c r="H511" s="418"/>
      <c r="I511" s="418"/>
      <c r="J511" s="418"/>
      <c r="K511" s="418"/>
      <c r="L511" s="420"/>
      <c r="M511" s="420"/>
      <c r="N511" s="420"/>
      <c r="O511" s="420"/>
      <c r="P511" s="420"/>
      <c r="Q511" s="420"/>
      <c r="R511" s="420"/>
      <c r="S511" s="420"/>
      <c r="T511" s="420"/>
      <c r="U511" s="420"/>
      <c r="V511" s="420"/>
      <c r="W511" s="420"/>
      <c r="X511" s="420"/>
      <c r="Y511" s="420"/>
      <c r="Z511" s="367"/>
      <c r="AA511" s="420"/>
      <c r="AB511" s="420"/>
      <c r="AC511" s="420"/>
      <c r="AD511" s="420"/>
      <c r="AE511" s="420"/>
      <c r="AF511" s="367"/>
      <c r="AG511" s="420"/>
      <c r="AH511" s="367"/>
      <c r="AI511" s="367"/>
      <c r="AJ511" s="367"/>
      <c r="AK511" s="358"/>
      <c r="AL511" s="358"/>
      <c r="AM511" s="358"/>
      <c r="AN511" s="358"/>
      <c r="AO511" s="358"/>
      <c r="AP511" s="367"/>
    </row>
    <row r="512">
      <c r="A512" s="418"/>
      <c r="B512" s="418"/>
      <c r="C512" s="418"/>
      <c r="D512" s="418"/>
      <c r="E512" s="418"/>
      <c r="F512" s="418"/>
      <c r="G512" s="367"/>
      <c r="H512" s="418"/>
      <c r="I512" s="418"/>
      <c r="J512" s="418"/>
      <c r="K512" s="418"/>
      <c r="L512" s="420"/>
      <c r="M512" s="420"/>
      <c r="N512" s="420"/>
      <c r="O512" s="420"/>
      <c r="P512" s="420"/>
      <c r="Q512" s="420"/>
      <c r="R512" s="420"/>
      <c r="S512" s="420"/>
      <c r="T512" s="420"/>
      <c r="U512" s="420"/>
      <c r="V512" s="420"/>
      <c r="W512" s="420"/>
      <c r="X512" s="420"/>
      <c r="Y512" s="420"/>
      <c r="Z512" s="367"/>
      <c r="AA512" s="420"/>
      <c r="AB512" s="420"/>
      <c r="AC512" s="420"/>
      <c r="AD512" s="420"/>
      <c r="AE512" s="420"/>
      <c r="AF512" s="367"/>
      <c r="AG512" s="420"/>
      <c r="AH512" s="367"/>
      <c r="AI512" s="367"/>
      <c r="AJ512" s="367"/>
      <c r="AK512" s="358"/>
      <c r="AL512" s="358"/>
      <c r="AM512" s="358"/>
      <c r="AN512" s="358"/>
      <c r="AO512" s="358"/>
      <c r="AP512" s="367"/>
    </row>
    <row r="513">
      <c r="A513" s="418"/>
      <c r="B513" s="418"/>
      <c r="C513" s="418"/>
      <c r="D513" s="418"/>
      <c r="E513" s="418"/>
      <c r="F513" s="418"/>
      <c r="G513" s="367"/>
      <c r="H513" s="418"/>
      <c r="I513" s="418"/>
      <c r="J513" s="418"/>
      <c r="K513" s="418"/>
      <c r="L513" s="420"/>
      <c r="M513" s="420"/>
      <c r="N513" s="420"/>
      <c r="O513" s="420"/>
      <c r="P513" s="420"/>
      <c r="Q513" s="420"/>
      <c r="R513" s="420"/>
      <c r="S513" s="420"/>
      <c r="T513" s="420"/>
      <c r="U513" s="420"/>
      <c r="V513" s="420"/>
      <c r="W513" s="420"/>
      <c r="X513" s="420"/>
      <c r="Y513" s="420"/>
      <c r="Z513" s="367"/>
      <c r="AA513" s="420"/>
      <c r="AB513" s="420"/>
      <c r="AC513" s="420"/>
      <c r="AD513" s="420"/>
      <c r="AE513" s="420"/>
      <c r="AF513" s="367"/>
      <c r="AG513" s="420"/>
      <c r="AH513" s="367"/>
      <c r="AI513" s="367"/>
      <c r="AJ513" s="367"/>
      <c r="AK513" s="358"/>
      <c r="AL513" s="358"/>
      <c r="AM513" s="358"/>
      <c r="AN513" s="358"/>
      <c r="AO513" s="358"/>
      <c r="AP513" s="367"/>
    </row>
    <row r="514">
      <c r="A514" s="418"/>
      <c r="B514" s="418"/>
      <c r="C514" s="418"/>
      <c r="D514" s="418"/>
      <c r="E514" s="418"/>
      <c r="F514" s="418"/>
      <c r="G514" s="367"/>
      <c r="H514" s="418"/>
      <c r="I514" s="418"/>
      <c r="J514" s="418"/>
      <c r="K514" s="418"/>
      <c r="L514" s="420"/>
      <c r="M514" s="420"/>
      <c r="N514" s="420"/>
      <c r="O514" s="420"/>
      <c r="P514" s="420"/>
      <c r="Q514" s="420"/>
      <c r="R514" s="420"/>
      <c r="S514" s="420"/>
      <c r="T514" s="420"/>
      <c r="U514" s="420"/>
      <c r="V514" s="420"/>
      <c r="W514" s="420"/>
      <c r="X514" s="420"/>
      <c r="Y514" s="420"/>
      <c r="Z514" s="367"/>
      <c r="AA514" s="420"/>
      <c r="AB514" s="420"/>
      <c r="AC514" s="420"/>
      <c r="AD514" s="420"/>
      <c r="AE514" s="420"/>
      <c r="AF514" s="367"/>
      <c r="AG514" s="420"/>
      <c r="AH514" s="367"/>
      <c r="AI514" s="367"/>
      <c r="AJ514" s="367"/>
      <c r="AK514" s="358"/>
      <c r="AL514" s="358"/>
      <c r="AM514" s="358"/>
      <c r="AN514" s="358"/>
      <c r="AO514" s="358"/>
      <c r="AP514" s="367"/>
    </row>
    <row r="515">
      <c r="A515" s="418"/>
      <c r="B515" s="418"/>
      <c r="C515" s="418"/>
      <c r="D515" s="418"/>
      <c r="E515" s="418"/>
      <c r="F515" s="418"/>
      <c r="G515" s="367"/>
      <c r="H515" s="418"/>
      <c r="I515" s="418"/>
      <c r="J515" s="418"/>
      <c r="K515" s="418"/>
      <c r="L515" s="420"/>
      <c r="M515" s="420"/>
      <c r="N515" s="420"/>
      <c r="O515" s="420"/>
      <c r="P515" s="420"/>
      <c r="Q515" s="420"/>
      <c r="R515" s="420"/>
      <c r="S515" s="420"/>
      <c r="T515" s="420"/>
      <c r="U515" s="420"/>
      <c r="V515" s="420"/>
      <c r="W515" s="420"/>
      <c r="X515" s="420"/>
      <c r="Y515" s="420"/>
      <c r="Z515" s="367"/>
      <c r="AA515" s="420"/>
      <c r="AB515" s="420"/>
      <c r="AC515" s="420"/>
      <c r="AD515" s="420"/>
      <c r="AE515" s="420"/>
      <c r="AF515" s="367"/>
      <c r="AG515" s="420"/>
      <c r="AH515" s="367"/>
      <c r="AI515" s="367"/>
      <c r="AJ515" s="367"/>
      <c r="AK515" s="358"/>
      <c r="AL515" s="358"/>
      <c r="AM515" s="358"/>
      <c r="AN515" s="358"/>
      <c r="AO515" s="358"/>
      <c r="AP515" s="367"/>
    </row>
    <row r="516">
      <c r="A516" s="418"/>
      <c r="B516" s="418"/>
      <c r="C516" s="418"/>
      <c r="D516" s="418"/>
      <c r="E516" s="418"/>
      <c r="F516" s="418"/>
      <c r="G516" s="367"/>
      <c r="H516" s="418"/>
      <c r="I516" s="418"/>
      <c r="J516" s="418"/>
      <c r="K516" s="418"/>
      <c r="L516" s="420"/>
      <c r="M516" s="420"/>
      <c r="N516" s="420"/>
      <c r="O516" s="420"/>
      <c r="P516" s="420"/>
      <c r="Q516" s="420"/>
      <c r="R516" s="420"/>
      <c r="S516" s="420"/>
      <c r="T516" s="420"/>
      <c r="U516" s="420"/>
      <c r="V516" s="420"/>
      <c r="W516" s="420"/>
      <c r="X516" s="420"/>
      <c r="Y516" s="420"/>
      <c r="Z516" s="367"/>
      <c r="AA516" s="420"/>
      <c r="AB516" s="420"/>
      <c r="AC516" s="420"/>
      <c r="AD516" s="420"/>
      <c r="AE516" s="420"/>
      <c r="AF516" s="367"/>
      <c r="AG516" s="420"/>
      <c r="AH516" s="367"/>
      <c r="AI516" s="367"/>
      <c r="AJ516" s="367"/>
      <c r="AK516" s="358"/>
      <c r="AL516" s="358"/>
      <c r="AM516" s="358"/>
      <c r="AN516" s="358"/>
      <c r="AO516" s="358"/>
      <c r="AP516" s="367"/>
    </row>
    <row r="517">
      <c r="A517" s="418"/>
      <c r="B517" s="418"/>
      <c r="C517" s="418"/>
      <c r="D517" s="418"/>
      <c r="E517" s="418"/>
      <c r="F517" s="418"/>
      <c r="G517" s="367"/>
      <c r="H517" s="418"/>
      <c r="I517" s="418"/>
      <c r="J517" s="418"/>
      <c r="K517" s="418"/>
      <c r="L517" s="420"/>
      <c r="M517" s="420"/>
      <c r="N517" s="420"/>
      <c r="O517" s="420"/>
      <c r="P517" s="420"/>
      <c r="Q517" s="420"/>
      <c r="R517" s="420"/>
      <c r="S517" s="420"/>
      <c r="T517" s="420"/>
      <c r="U517" s="420"/>
      <c r="V517" s="420"/>
      <c r="W517" s="420"/>
      <c r="X517" s="420"/>
      <c r="Y517" s="420"/>
      <c r="Z517" s="367"/>
      <c r="AA517" s="420"/>
      <c r="AB517" s="420"/>
      <c r="AC517" s="420"/>
      <c r="AD517" s="420"/>
      <c r="AE517" s="420"/>
      <c r="AF517" s="367"/>
      <c r="AG517" s="420"/>
      <c r="AH517" s="367"/>
      <c r="AI517" s="367"/>
      <c r="AJ517" s="367"/>
      <c r="AK517" s="358"/>
      <c r="AL517" s="358"/>
      <c r="AM517" s="358"/>
      <c r="AN517" s="358"/>
      <c r="AO517" s="358"/>
      <c r="AP517" s="367"/>
    </row>
    <row r="518">
      <c r="A518" s="418"/>
      <c r="B518" s="418"/>
      <c r="C518" s="418"/>
      <c r="D518" s="418"/>
      <c r="E518" s="418"/>
      <c r="F518" s="418"/>
      <c r="G518" s="367"/>
      <c r="H518" s="418"/>
      <c r="I518" s="418"/>
      <c r="J518" s="418"/>
      <c r="K518" s="418"/>
      <c r="L518" s="420"/>
      <c r="M518" s="420"/>
      <c r="N518" s="420"/>
      <c r="O518" s="420"/>
      <c r="P518" s="420"/>
      <c r="Q518" s="420"/>
      <c r="R518" s="420"/>
      <c r="S518" s="420"/>
      <c r="T518" s="420"/>
      <c r="U518" s="420"/>
      <c r="V518" s="420"/>
      <c r="W518" s="420"/>
      <c r="X518" s="420"/>
      <c r="Y518" s="420"/>
      <c r="Z518" s="367"/>
      <c r="AA518" s="420"/>
      <c r="AB518" s="420"/>
      <c r="AC518" s="420"/>
      <c r="AD518" s="420"/>
      <c r="AE518" s="420"/>
      <c r="AF518" s="367"/>
      <c r="AG518" s="420"/>
      <c r="AH518" s="367"/>
      <c r="AI518" s="367"/>
      <c r="AJ518" s="367"/>
      <c r="AK518" s="358"/>
      <c r="AL518" s="358"/>
      <c r="AM518" s="358"/>
      <c r="AN518" s="358"/>
      <c r="AO518" s="358"/>
      <c r="AP518" s="367"/>
    </row>
    <row r="519">
      <c r="A519" s="418"/>
      <c r="B519" s="418"/>
      <c r="C519" s="418"/>
      <c r="D519" s="418"/>
      <c r="E519" s="418"/>
      <c r="F519" s="418"/>
      <c r="G519" s="367"/>
      <c r="H519" s="418"/>
      <c r="I519" s="418"/>
      <c r="J519" s="418"/>
      <c r="K519" s="418"/>
      <c r="L519" s="420"/>
      <c r="M519" s="420"/>
      <c r="N519" s="420"/>
      <c r="O519" s="420"/>
      <c r="P519" s="420"/>
      <c r="Q519" s="420"/>
      <c r="R519" s="420"/>
      <c r="S519" s="420"/>
      <c r="T519" s="420"/>
      <c r="U519" s="420"/>
      <c r="V519" s="420"/>
      <c r="W519" s="420"/>
      <c r="X519" s="420"/>
      <c r="Y519" s="420"/>
      <c r="Z519" s="367"/>
      <c r="AA519" s="420"/>
      <c r="AB519" s="420"/>
      <c r="AC519" s="420"/>
      <c r="AD519" s="420"/>
      <c r="AE519" s="420"/>
      <c r="AF519" s="367"/>
      <c r="AG519" s="420"/>
      <c r="AH519" s="367"/>
      <c r="AI519" s="367"/>
      <c r="AJ519" s="367"/>
      <c r="AK519" s="358"/>
      <c r="AL519" s="358"/>
      <c r="AM519" s="358"/>
      <c r="AN519" s="358"/>
      <c r="AO519" s="358"/>
      <c r="AP519" s="367"/>
    </row>
    <row r="520">
      <c r="A520" s="418"/>
      <c r="B520" s="418"/>
      <c r="C520" s="418"/>
      <c r="D520" s="418"/>
      <c r="E520" s="418"/>
      <c r="F520" s="418"/>
      <c r="G520" s="367"/>
      <c r="H520" s="418"/>
      <c r="I520" s="418"/>
      <c r="J520" s="418"/>
      <c r="K520" s="418"/>
      <c r="L520" s="420"/>
      <c r="M520" s="420"/>
      <c r="N520" s="420"/>
      <c r="O520" s="420"/>
      <c r="P520" s="420"/>
      <c r="Q520" s="420"/>
      <c r="R520" s="420"/>
      <c r="S520" s="420"/>
      <c r="T520" s="420"/>
      <c r="U520" s="420"/>
      <c r="V520" s="420"/>
      <c r="W520" s="420"/>
      <c r="X520" s="420"/>
      <c r="Y520" s="420"/>
      <c r="Z520" s="367"/>
      <c r="AA520" s="420"/>
      <c r="AB520" s="420"/>
      <c r="AC520" s="420"/>
      <c r="AD520" s="420"/>
      <c r="AE520" s="420"/>
      <c r="AF520" s="367"/>
      <c r="AG520" s="420"/>
      <c r="AH520" s="367"/>
      <c r="AI520" s="367"/>
      <c r="AJ520" s="367"/>
      <c r="AK520" s="358"/>
      <c r="AL520" s="358"/>
      <c r="AM520" s="358"/>
      <c r="AN520" s="358"/>
      <c r="AO520" s="358"/>
      <c r="AP520" s="367"/>
    </row>
    <row r="521">
      <c r="A521" s="418"/>
      <c r="B521" s="418"/>
      <c r="C521" s="418"/>
      <c r="D521" s="418"/>
      <c r="E521" s="418"/>
      <c r="F521" s="418"/>
      <c r="G521" s="367"/>
      <c r="H521" s="418"/>
      <c r="I521" s="418"/>
      <c r="J521" s="418"/>
      <c r="K521" s="418"/>
      <c r="L521" s="420"/>
      <c r="M521" s="420"/>
      <c r="N521" s="420"/>
      <c r="O521" s="420"/>
      <c r="P521" s="420"/>
      <c r="Q521" s="420"/>
      <c r="R521" s="420"/>
      <c r="S521" s="420"/>
      <c r="T521" s="420"/>
      <c r="U521" s="420"/>
      <c r="V521" s="420"/>
      <c r="W521" s="420"/>
      <c r="X521" s="420"/>
      <c r="Y521" s="420"/>
      <c r="Z521" s="367"/>
      <c r="AA521" s="420"/>
      <c r="AB521" s="420"/>
      <c r="AC521" s="420"/>
      <c r="AD521" s="420"/>
      <c r="AE521" s="420"/>
      <c r="AF521" s="367"/>
      <c r="AG521" s="420"/>
      <c r="AH521" s="367"/>
      <c r="AI521" s="367"/>
      <c r="AJ521" s="367"/>
      <c r="AK521" s="358"/>
      <c r="AL521" s="358"/>
      <c r="AM521" s="358"/>
      <c r="AN521" s="358"/>
      <c r="AO521" s="358"/>
      <c r="AP521" s="367"/>
    </row>
    <row r="522">
      <c r="A522" s="418"/>
      <c r="B522" s="418"/>
      <c r="C522" s="418"/>
      <c r="D522" s="418"/>
      <c r="E522" s="418"/>
      <c r="F522" s="418"/>
      <c r="G522" s="367"/>
      <c r="H522" s="418"/>
      <c r="I522" s="418"/>
      <c r="J522" s="418"/>
      <c r="K522" s="418"/>
      <c r="L522" s="420"/>
      <c r="M522" s="420"/>
      <c r="N522" s="420"/>
      <c r="O522" s="420"/>
      <c r="P522" s="420"/>
      <c r="Q522" s="420"/>
      <c r="R522" s="420"/>
      <c r="S522" s="420"/>
      <c r="T522" s="420"/>
      <c r="U522" s="420"/>
      <c r="V522" s="420"/>
      <c r="W522" s="420"/>
      <c r="X522" s="420"/>
      <c r="Y522" s="420"/>
      <c r="Z522" s="367"/>
      <c r="AA522" s="420"/>
      <c r="AB522" s="420"/>
      <c r="AC522" s="420"/>
      <c r="AD522" s="420"/>
      <c r="AE522" s="420"/>
      <c r="AF522" s="367"/>
      <c r="AG522" s="420"/>
      <c r="AH522" s="367"/>
      <c r="AI522" s="367"/>
      <c r="AJ522" s="367"/>
      <c r="AK522" s="358"/>
      <c r="AL522" s="358"/>
      <c r="AM522" s="358"/>
      <c r="AN522" s="358"/>
      <c r="AO522" s="358"/>
      <c r="AP522" s="367"/>
    </row>
    <row r="523">
      <c r="A523" s="418"/>
      <c r="B523" s="418"/>
      <c r="C523" s="418"/>
      <c r="D523" s="418"/>
      <c r="E523" s="418"/>
      <c r="F523" s="418"/>
      <c r="G523" s="367"/>
      <c r="H523" s="418"/>
      <c r="I523" s="418"/>
      <c r="J523" s="418"/>
      <c r="K523" s="418"/>
      <c r="L523" s="420"/>
      <c r="M523" s="420"/>
      <c r="N523" s="420"/>
      <c r="O523" s="420"/>
      <c r="P523" s="420"/>
      <c r="Q523" s="420"/>
      <c r="R523" s="420"/>
      <c r="S523" s="420"/>
      <c r="T523" s="420"/>
      <c r="U523" s="420"/>
      <c r="V523" s="420"/>
      <c r="W523" s="420"/>
      <c r="X523" s="420"/>
      <c r="Y523" s="420"/>
      <c r="Z523" s="367"/>
      <c r="AA523" s="420"/>
      <c r="AB523" s="420"/>
      <c r="AC523" s="420"/>
      <c r="AD523" s="420"/>
      <c r="AE523" s="420"/>
      <c r="AF523" s="367"/>
      <c r="AG523" s="420"/>
      <c r="AH523" s="367"/>
      <c r="AI523" s="367"/>
      <c r="AJ523" s="367"/>
      <c r="AK523" s="358"/>
      <c r="AL523" s="358"/>
      <c r="AM523" s="358"/>
      <c r="AN523" s="358"/>
      <c r="AO523" s="358"/>
      <c r="AP523" s="367"/>
    </row>
    <row r="524">
      <c r="A524" s="418"/>
      <c r="B524" s="418"/>
      <c r="C524" s="418"/>
      <c r="D524" s="418"/>
      <c r="E524" s="418"/>
      <c r="F524" s="418"/>
      <c r="G524" s="367"/>
      <c r="H524" s="418"/>
      <c r="I524" s="418"/>
      <c r="J524" s="418"/>
      <c r="K524" s="418"/>
      <c r="L524" s="420"/>
      <c r="M524" s="420"/>
      <c r="N524" s="420"/>
      <c r="O524" s="420"/>
      <c r="P524" s="420"/>
      <c r="Q524" s="420"/>
      <c r="R524" s="420"/>
      <c r="S524" s="420"/>
      <c r="T524" s="420"/>
      <c r="U524" s="420"/>
      <c r="V524" s="420"/>
      <c r="W524" s="420"/>
      <c r="X524" s="420"/>
      <c r="Y524" s="420"/>
      <c r="Z524" s="367"/>
      <c r="AA524" s="420"/>
      <c r="AB524" s="420"/>
      <c r="AC524" s="420"/>
      <c r="AD524" s="420"/>
      <c r="AE524" s="420"/>
      <c r="AF524" s="367"/>
      <c r="AG524" s="420"/>
      <c r="AH524" s="367"/>
      <c r="AI524" s="367"/>
      <c r="AJ524" s="367"/>
      <c r="AK524" s="358"/>
      <c r="AL524" s="358"/>
      <c r="AM524" s="358"/>
      <c r="AN524" s="358"/>
      <c r="AO524" s="358"/>
      <c r="AP524" s="367"/>
    </row>
    <row r="525">
      <c r="A525" s="418"/>
      <c r="B525" s="418"/>
      <c r="C525" s="418"/>
      <c r="D525" s="418"/>
      <c r="E525" s="418"/>
      <c r="F525" s="418"/>
      <c r="G525" s="367"/>
      <c r="H525" s="418"/>
      <c r="I525" s="418"/>
      <c r="J525" s="418"/>
      <c r="K525" s="418"/>
      <c r="L525" s="420"/>
      <c r="M525" s="420"/>
      <c r="N525" s="420"/>
      <c r="O525" s="420"/>
      <c r="P525" s="420"/>
      <c r="Q525" s="420"/>
      <c r="R525" s="420"/>
      <c r="S525" s="420"/>
      <c r="T525" s="420"/>
      <c r="U525" s="420"/>
      <c r="V525" s="420"/>
      <c r="W525" s="420"/>
      <c r="X525" s="420"/>
      <c r="Y525" s="420"/>
      <c r="Z525" s="367"/>
      <c r="AA525" s="420"/>
      <c r="AB525" s="420"/>
      <c r="AC525" s="420"/>
      <c r="AD525" s="420"/>
      <c r="AE525" s="420"/>
      <c r="AF525" s="367"/>
      <c r="AG525" s="420"/>
      <c r="AH525" s="367"/>
      <c r="AI525" s="367"/>
      <c r="AJ525" s="367"/>
      <c r="AK525" s="358"/>
      <c r="AL525" s="358"/>
      <c r="AM525" s="358"/>
      <c r="AN525" s="358"/>
      <c r="AO525" s="358"/>
      <c r="AP525" s="367"/>
    </row>
    <row r="526">
      <c r="A526" s="418"/>
      <c r="B526" s="418"/>
      <c r="C526" s="418"/>
      <c r="D526" s="418"/>
      <c r="E526" s="418"/>
      <c r="F526" s="418"/>
      <c r="G526" s="367"/>
      <c r="H526" s="418"/>
      <c r="I526" s="418"/>
      <c r="J526" s="418"/>
      <c r="K526" s="418"/>
      <c r="L526" s="420"/>
      <c r="M526" s="420"/>
      <c r="N526" s="420"/>
      <c r="O526" s="420"/>
      <c r="P526" s="420"/>
      <c r="Q526" s="420"/>
      <c r="R526" s="420"/>
      <c r="S526" s="420"/>
      <c r="T526" s="420"/>
      <c r="U526" s="420"/>
      <c r="V526" s="420"/>
      <c r="W526" s="420"/>
      <c r="X526" s="420"/>
      <c r="Y526" s="420"/>
      <c r="Z526" s="367"/>
      <c r="AA526" s="420"/>
      <c r="AB526" s="420"/>
      <c r="AC526" s="420"/>
      <c r="AD526" s="420"/>
      <c r="AE526" s="420"/>
      <c r="AF526" s="367"/>
      <c r="AG526" s="420"/>
      <c r="AH526" s="367"/>
      <c r="AI526" s="367"/>
      <c r="AJ526" s="367"/>
      <c r="AK526" s="358"/>
      <c r="AL526" s="358"/>
      <c r="AM526" s="358"/>
      <c r="AN526" s="358"/>
      <c r="AO526" s="358"/>
      <c r="AP526" s="367"/>
    </row>
    <row r="527">
      <c r="A527" s="418"/>
      <c r="B527" s="418"/>
      <c r="C527" s="418"/>
      <c r="D527" s="418"/>
      <c r="E527" s="418"/>
      <c r="F527" s="418"/>
      <c r="G527" s="367"/>
      <c r="H527" s="418"/>
      <c r="I527" s="418"/>
      <c r="J527" s="418"/>
      <c r="K527" s="418"/>
      <c r="L527" s="420"/>
      <c r="M527" s="420"/>
      <c r="N527" s="420"/>
      <c r="O527" s="420"/>
      <c r="P527" s="420"/>
      <c r="Q527" s="420"/>
      <c r="R527" s="420"/>
      <c r="S527" s="420"/>
      <c r="T527" s="420"/>
      <c r="U527" s="420"/>
      <c r="V527" s="420"/>
      <c r="W527" s="420"/>
      <c r="X527" s="420"/>
      <c r="Y527" s="420"/>
      <c r="Z527" s="367"/>
      <c r="AA527" s="420"/>
      <c r="AB527" s="420"/>
      <c r="AC527" s="420"/>
      <c r="AD527" s="420"/>
      <c r="AE527" s="420"/>
      <c r="AF527" s="367"/>
      <c r="AG527" s="420"/>
      <c r="AH527" s="367"/>
      <c r="AI527" s="367"/>
      <c r="AJ527" s="367"/>
      <c r="AK527" s="358"/>
      <c r="AL527" s="358"/>
      <c r="AM527" s="358"/>
      <c r="AN527" s="358"/>
      <c r="AO527" s="358"/>
      <c r="AP527" s="367"/>
    </row>
    <row r="528">
      <c r="A528" s="418"/>
      <c r="B528" s="418"/>
      <c r="C528" s="418"/>
      <c r="D528" s="418"/>
      <c r="E528" s="418"/>
      <c r="F528" s="418"/>
      <c r="G528" s="367"/>
      <c r="H528" s="418"/>
      <c r="I528" s="418"/>
      <c r="J528" s="418"/>
      <c r="K528" s="418"/>
      <c r="L528" s="420"/>
      <c r="M528" s="420"/>
      <c r="N528" s="420"/>
      <c r="O528" s="420"/>
      <c r="P528" s="420"/>
      <c r="Q528" s="420"/>
      <c r="R528" s="420"/>
      <c r="S528" s="420"/>
      <c r="T528" s="420"/>
      <c r="U528" s="420"/>
      <c r="V528" s="420"/>
      <c r="W528" s="420"/>
      <c r="X528" s="420"/>
      <c r="Y528" s="420"/>
      <c r="Z528" s="367"/>
      <c r="AA528" s="420"/>
      <c r="AB528" s="420"/>
      <c r="AC528" s="420"/>
      <c r="AD528" s="420"/>
      <c r="AE528" s="420"/>
      <c r="AF528" s="367"/>
      <c r="AG528" s="420"/>
      <c r="AH528" s="367"/>
      <c r="AI528" s="367"/>
      <c r="AJ528" s="367"/>
      <c r="AK528" s="358"/>
      <c r="AL528" s="358"/>
      <c r="AM528" s="358"/>
      <c r="AN528" s="358"/>
      <c r="AO528" s="358"/>
      <c r="AP528" s="367"/>
    </row>
    <row r="529">
      <c r="A529" s="418"/>
      <c r="B529" s="418"/>
      <c r="C529" s="418"/>
      <c r="D529" s="418"/>
      <c r="E529" s="418"/>
      <c r="F529" s="418"/>
      <c r="G529" s="367"/>
      <c r="H529" s="418"/>
      <c r="I529" s="418"/>
      <c r="J529" s="418"/>
      <c r="K529" s="418"/>
      <c r="L529" s="420"/>
      <c r="M529" s="420"/>
      <c r="N529" s="420"/>
      <c r="O529" s="420"/>
      <c r="P529" s="420"/>
      <c r="Q529" s="420"/>
      <c r="R529" s="420"/>
      <c r="S529" s="420"/>
      <c r="T529" s="420"/>
      <c r="U529" s="420"/>
      <c r="V529" s="420"/>
      <c r="W529" s="420"/>
      <c r="X529" s="420"/>
      <c r="Y529" s="420"/>
      <c r="Z529" s="367"/>
      <c r="AA529" s="420"/>
      <c r="AB529" s="420"/>
      <c r="AC529" s="420"/>
      <c r="AD529" s="420"/>
      <c r="AE529" s="420"/>
      <c r="AF529" s="367"/>
      <c r="AG529" s="420"/>
      <c r="AH529" s="367"/>
      <c r="AI529" s="367"/>
      <c r="AJ529" s="367"/>
      <c r="AK529" s="358"/>
      <c r="AL529" s="358"/>
      <c r="AM529" s="358"/>
      <c r="AN529" s="358"/>
      <c r="AO529" s="358"/>
      <c r="AP529" s="367"/>
    </row>
    <row r="530">
      <c r="A530" s="418"/>
      <c r="B530" s="418"/>
      <c r="C530" s="418"/>
      <c r="D530" s="418"/>
      <c r="E530" s="418"/>
      <c r="F530" s="418"/>
      <c r="G530" s="367"/>
      <c r="H530" s="418"/>
      <c r="I530" s="418"/>
      <c r="J530" s="418"/>
      <c r="K530" s="418"/>
      <c r="L530" s="420"/>
      <c r="M530" s="420"/>
      <c r="N530" s="420"/>
      <c r="O530" s="420"/>
      <c r="P530" s="420"/>
      <c r="Q530" s="420"/>
      <c r="R530" s="420"/>
      <c r="S530" s="420"/>
      <c r="T530" s="420"/>
      <c r="U530" s="420"/>
      <c r="V530" s="420"/>
      <c r="W530" s="420"/>
      <c r="X530" s="420"/>
      <c r="Y530" s="420"/>
      <c r="Z530" s="367"/>
      <c r="AA530" s="420"/>
      <c r="AB530" s="420"/>
      <c r="AC530" s="420"/>
      <c r="AD530" s="420"/>
      <c r="AE530" s="420"/>
      <c r="AF530" s="367"/>
      <c r="AG530" s="420"/>
      <c r="AH530" s="367"/>
      <c r="AI530" s="367"/>
      <c r="AJ530" s="367"/>
      <c r="AK530" s="358"/>
      <c r="AL530" s="358"/>
      <c r="AM530" s="358"/>
      <c r="AN530" s="358"/>
      <c r="AO530" s="358"/>
      <c r="AP530" s="367"/>
    </row>
    <row r="531">
      <c r="A531" s="418"/>
      <c r="B531" s="418"/>
      <c r="C531" s="418"/>
      <c r="D531" s="418"/>
      <c r="E531" s="418"/>
      <c r="F531" s="418"/>
      <c r="G531" s="367"/>
      <c r="H531" s="418"/>
      <c r="I531" s="418"/>
      <c r="J531" s="418"/>
      <c r="K531" s="418"/>
      <c r="L531" s="420"/>
      <c r="M531" s="420"/>
      <c r="N531" s="420"/>
      <c r="O531" s="420"/>
      <c r="P531" s="420"/>
      <c r="Q531" s="420"/>
      <c r="R531" s="420"/>
      <c r="S531" s="420"/>
      <c r="T531" s="420"/>
      <c r="U531" s="420"/>
      <c r="V531" s="420"/>
      <c r="W531" s="420"/>
      <c r="X531" s="420"/>
      <c r="Y531" s="420"/>
      <c r="Z531" s="367"/>
      <c r="AA531" s="420"/>
      <c r="AB531" s="420"/>
      <c r="AC531" s="420"/>
      <c r="AD531" s="420"/>
      <c r="AE531" s="420"/>
      <c r="AF531" s="367"/>
      <c r="AG531" s="420"/>
      <c r="AH531" s="367"/>
      <c r="AI531" s="367"/>
      <c r="AJ531" s="367"/>
      <c r="AK531" s="358"/>
      <c r="AL531" s="358"/>
      <c r="AM531" s="358"/>
      <c r="AN531" s="358"/>
      <c r="AO531" s="358"/>
      <c r="AP531" s="367"/>
    </row>
    <row r="532">
      <c r="A532" s="418"/>
      <c r="B532" s="418"/>
      <c r="C532" s="418"/>
      <c r="D532" s="418"/>
      <c r="E532" s="418"/>
      <c r="F532" s="418"/>
      <c r="G532" s="367"/>
      <c r="H532" s="418"/>
      <c r="I532" s="418"/>
      <c r="J532" s="418"/>
      <c r="K532" s="418"/>
      <c r="L532" s="420"/>
      <c r="M532" s="420"/>
      <c r="N532" s="420"/>
      <c r="O532" s="420"/>
      <c r="P532" s="420"/>
      <c r="Q532" s="420"/>
      <c r="R532" s="420"/>
      <c r="S532" s="420"/>
      <c r="T532" s="420"/>
      <c r="U532" s="420"/>
      <c r="V532" s="420"/>
      <c r="W532" s="420"/>
      <c r="X532" s="420"/>
      <c r="Y532" s="420"/>
      <c r="Z532" s="367"/>
      <c r="AA532" s="420"/>
      <c r="AB532" s="420"/>
      <c r="AC532" s="420"/>
      <c r="AD532" s="420"/>
      <c r="AE532" s="420"/>
      <c r="AF532" s="367"/>
      <c r="AG532" s="420"/>
      <c r="AH532" s="367"/>
      <c r="AI532" s="367"/>
      <c r="AJ532" s="367"/>
      <c r="AK532" s="358"/>
      <c r="AL532" s="358"/>
      <c r="AM532" s="358"/>
      <c r="AN532" s="358"/>
      <c r="AO532" s="358"/>
      <c r="AP532" s="367"/>
    </row>
    <row r="533">
      <c r="A533" s="418"/>
      <c r="B533" s="418"/>
      <c r="C533" s="418"/>
      <c r="D533" s="418"/>
      <c r="E533" s="418"/>
      <c r="F533" s="418"/>
      <c r="G533" s="367"/>
      <c r="H533" s="418"/>
      <c r="I533" s="418"/>
      <c r="J533" s="418"/>
      <c r="K533" s="418"/>
      <c r="L533" s="420"/>
      <c r="M533" s="420"/>
      <c r="N533" s="420"/>
      <c r="O533" s="420"/>
      <c r="P533" s="420"/>
      <c r="Q533" s="420"/>
      <c r="R533" s="420"/>
      <c r="S533" s="420"/>
      <c r="T533" s="420"/>
      <c r="U533" s="420"/>
      <c r="V533" s="420"/>
      <c r="W533" s="420"/>
      <c r="X533" s="420"/>
      <c r="Y533" s="420"/>
      <c r="Z533" s="367"/>
      <c r="AA533" s="420"/>
      <c r="AB533" s="420"/>
      <c r="AC533" s="420"/>
      <c r="AD533" s="420"/>
      <c r="AE533" s="420"/>
      <c r="AF533" s="367"/>
      <c r="AG533" s="420"/>
      <c r="AH533" s="367"/>
      <c r="AI533" s="367"/>
      <c r="AJ533" s="367"/>
      <c r="AK533" s="358"/>
      <c r="AL533" s="358"/>
      <c r="AM533" s="358"/>
      <c r="AN533" s="358"/>
      <c r="AO533" s="358"/>
      <c r="AP533" s="367"/>
    </row>
    <row r="534">
      <c r="A534" s="418"/>
      <c r="B534" s="418"/>
      <c r="C534" s="418"/>
      <c r="D534" s="418"/>
      <c r="E534" s="418"/>
      <c r="F534" s="418"/>
      <c r="G534" s="367"/>
      <c r="H534" s="418"/>
      <c r="I534" s="418"/>
      <c r="J534" s="418"/>
      <c r="K534" s="418"/>
      <c r="L534" s="420"/>
      <c r="M534" s="420"/>
      <c r="N534" s="420"/>
      <c r="O534" s="420"/>
      <c r="P534" s="420"/>
      <c r="Q534" s="420"/>
      <c r="R534" s="420"/>
      <c r="S534" s="420"/>
      <c r="T534" s="420"/>
      <c r="U534" s="420"/>
      <c r="V534" s="420"/>
      <c r="W534" s="420"/>
      <c r="X534" s="420"/>
      <c r="Y534" s="420"/>
      <c r="Z534" s="367"/>
      <c r="AA534" s="420"/>
      <c r="AB534" s="420"/>
      <c r="AC534" s="420"/>
      <c r="AD534" s="420"/>
      <c r="AE534" s="420"/>
      <c r="AF534" s="367"/>
      <c r="AG534" s="420"/>
      <c r="AH534" s="367"/>
      <c r="AI534" s="367"/>
      <c r="AJ534" s="367"/>
      <c r="AK534" s="358"/>
      <c r="AL534" s="358"/>
      <c r="AM534" s="358"/>
      <c r="AN534" s="358"/>
      <c r="AO534" s="358"/>
      <c r="AP534" s="367"/>
    </row>
    <row r="535">
      <c r="A535" s="418"/>
      <c r="B535" s="418"/>
      <c r="C535" s="418"/>
      <c r="D535" s="418"/>
      <c r="E535" s="418"/>
      <c r="F535" s="418"/>
      <c r="G535" s="367"/>
      <c r="H535" s="418"/>
      <c r="I535" s="418"/>
      <c r="J535" s="418"/>
      <c r="K535" s="418"/>
      <c r="L535" s="420"/>
      <c r="M535" s="420"/>
      <c r="N535" s="420"/>
      <c r="O535" s="420"/>
      <c r="P535" s="420"/>
      <c r="Q535" s="420"/>
      <c r="R535" s="420"/>
      <c r="S535" s="420"/>
      <c r="T535" s="420"/>
      <c r="U535" s="420"/>
      <c r="V535" s="420"/>
      <c r="W535" s="420"/>
      <c r="X535" s="420"/>
      <c r="Y535" s="420"/>
      <c r="Z535" s="367"/>
      <c r="AA535" s="420"/>
      <c r="AB535" s="420"/>
      <c r="AC535" s="420"/>
      <c r="AD535" s="420"/>
      <c r="AE535" s="420"/>
      <c r="AF535" s="367"/>
      <c r="AG535" s="420"/>
      <c r="AH535" s="367"/>
      <c r="AI535" s="367"/>
      <c r="AJ535" s="367"/>
      <c r="AK535" s="358"/>
      <c r="AL535" s="358"/>
      <c r="AM535" s="358"/>
      <c r="AN535" s="358"/>
      <c r="AO535" s="358"/>
      <c r="AP535" s="367"/>
    </row>
    <row r="536">
      <c r="A536" s="418"/>
      <c r="B536" s="418"/>
      <c r="C536" s="418"/>
      <c r="D536" s="418"/>
      <c r="E536" s="418"/>
      <c r="F536" s="418"/>
      <c r="G536" s="367"/>
      <c r="H536" s="418"/>
      <c r="I536" s="418"/>
      <c r="J536" s="418"/>
      <c r="K536" s="418"/>
      <c r="L536" s="420"/>
      <c r="M536" s="420"/>
      <c r="N536" s="420"/>
      <c r="O536" s="420"/>
      <c r="P536" s="420"/>
      <c r="Q536" s="420"/>
      <c r="R536" s="420"/>
      <c r="S536" s="420"/>
      <c r="T536" s="420"/>
      <c r="U536" s="420"/>
      <c r="V536" s="420"/>
      <c r="W536" s="420"/>
      <c r="X536" s="420"/>
      <c r="Y536" s="420"/>
      <c r="Z536" s="367"/>
      <c r="AA536" s="420"/>
      <c r="AB536" s="420"/>
      <c r="AC536" s="420"/>
      <c r="AD536" s="420"/>
      <c r="AE536" s="420"/>
      <c r="AF536" s="367"/>
      <c r="AG536" s="420"/>
      <c r="AH536" s="367"/>
      <c r="AI536" s="367"/>
      <c r="AJ536" s="367"/>
      <c r="AK536" s="358"/>
      <c r="AL536" s="358"/>
      <c r="AM536" s="358"/>
      <c r="AN536" s="358"/>
      <c r="AO536" s="358"/>
      <c r="AP536" s="367"/>
    </row>
    <row r="537">
      <c r="A537" s="418"/>
      <c r="B537" s="418"/>
      <c r="C537" s="418"/>
      <c r="D537" s="418"/>
      <c r="E537" s="418"/>
      <c r="F537" s="418"/>
      <c r="G537" s="367"/>
      <c r="H537" s="418"/>
      <c r="I537" s="418"/>
      <c r="J537" s="418"/>
      <c r="K537" s="418"/>
      <c r="L537" s="420"/>
      <c r="M537" s="420"/>
      <c r="N537" s="420"/>
      <c r="O537" s="420"/>
      <c r="P537" s="420"/>
      <c r="Q537" s="420"/>
      <c r="R537" s="420"/>
      <c r="S537" s="420"/>
      <c r="T537" s="420"/>
      <c r="U537" s="420"/>
      <c r="V537" s="420"/>
      <c r="W537" s="420"/>
      <c r="X537" s="420"/>
      <c r="Y537" s="420"/>
      <c r="Z537" s="367"/>
      <c r="AA537" s="420"/>
      <c r="AB537" s="420"/>
      <c r="AC537" s="420"/>
      <c r="AD537" s="420"/>
      <c r="AE537" s="420"/>
      <c r="AF537" s="367"/>
      <c r="AG537" s="420"/>
      <c r="AH537" s="367"/>
      <c r="AI537" s="367"/>
      <c r="AJ537" s="367"/>
      <c r="AK537" s="358"/>
      <c r="AL537" s="358"/>
      <c r="AM537" s="358"/>
      <c r="AN537" s="358"/>
      <c r="AO537" s="358"/>
      <c r="AP537" s="367"/>
    </row>
    <row r="538">
      <c r="A538" s="418"/>
      <c r="B538" s="418"/>
      <c r="C538" s="418"/>
      <c r="D538" s="418"/>
      <c r="E538" s="418"/>
      <c r="F538" s="418"/>
      <c r="G538" s="367"/>
      <c r="H538" s="418"/>
      <c r="I538" s="418"/>
      <c r="J538" s="418"/>
      <c r="K538" s="418"/>
      <c r="L538" s="420"/>
      <c r="M538" s="420"/>
      <c r="N538" s="420"/>
      <c r="O538" s="420"/>
      <c r="P538" s="420"/>
      <c r="Q538" s="420"/>
      <c r="R538" s="420"/>
      <c r="S538" s="420"/>
      <c r="T538" s="420"/>
      <c r="U538" s="420"/>
      <c r="V538" s="420"/>
      <c r="W538" s="420"/>
      <c r="X538" s="420"/>
      <c r="Y538" s="420"/>
      <c r="Z538" s="367"/>
      <c r="AA538" s="420"/>
      <c r="AB538" s="420"/>
      <c r="AC538" s="420"/>
      <c r="AD538" s="420"/>
      <c r="AE538" s="420"/>
      <c r="AF538" s="367"/>
      <c r="AG538" s="420"/>
      <c r="AH538" s="367"/>
      <c r="AI538" s="367"/>
      <c r="AJ538" s="367"/>
      <c r="AK538" s="358"/>
      <c r="AL538" s="358"/>
      <c r="AM538" s="358"/>
      <c r="AN538" s="358"/>
      <c r="AO538" s="358"/>
      <c r="AP538" s="367"/>
    </row>
    <row r="539">
      <c r="A539" s="418"/>
      <c r="B539" s="418"/>
      <c r="C539" s="418"/>
      <c r="D539" s="418"/>
      <c r="E539" s="418"/>
      <c r="F539" s="418"/>
      <c r="G539" s="367"/>
      <c r="H539" s="418"/>
      <c r="I539" s="418"/>
      <c r="J539" s="418"/>
      <c r="K539" s="418"/>
      <c r="L539" s="420"/>
      <c r="M539" s="420"/>
      <c r="N539" s="420"/>
      <c r="O539" s="420"/>
      <c r="P539" s="420"/>
      <c r="Q539" s="420"/>
      <c r="R539" s="420"/>
      <c r="S539" s="420"/>
      <c r="T539" s="420"/>
      <c r="U539" s="420"/>
      <c r="V539" s="420"/>
      <c r="W539" s="420"/>
      <c r="X539" s="420"/>
      <c r="Y539" s="420"/>
      <c r="Z539" s="367"/>
      <c r="AA539" s="420"/>
      <c r="AB539" s="420"/>
      <c r="AC539" s="420"/>
      <c r="AD539" s="420"/>
      <c r="AE539" s="420"/>
      <c r="AF539" s="367"/>
      <c r="AG539" s="420"/>
      <c r="AH539" s="367"/>
      <c r="AI539" s="367"/>
      <c r="AJ539" s="367"/>
      <c r="AK539" s="358"/>
      <c r="AL539" s="358"/>
      <c r="AM539" s="358"/>
      <c r="AN539" s="358"/>
      <c r="AO539" s="358"/>
      <c r="AP539" s="367"/>
    </row>
    <row r="540">
      <c r="A540" s="418"/>
      <c r="B540" s="418"/>
      <c r="C540" s="418"/>
      <c r="D540" s="418"/>
      <c r="E540" s="418"/>
      <c r="F540" s="418"/>
      <c r="G540" s="367"/>
      <c r="H540" s="418"/>
      <c r="I540" s="418"/>
      <c r="J540" s="418"/>
      <c r="K540" s="418"/>
      <c r="L540" s="420"/>
      <c r="M540" s="420"/>
      <c r="N540" s="420"/>
      <c r="O540" s="420"/>
      <c r="P540" s="420"/>
      <c r="Q540" s="420"/>
      <c r="R540" s="420"/>
      <c r="S540" s="420"/>
      <c r="T540" s="420"/>
      <c r="U540" s="420"/>
      <c r="V540" s="420"/>
      <c r="W540" s="420"/>
      <c r="X540" s="420"/>
      <c r="Y540" s="420"/>
      <c r="Z540" s="367"/>
      <c r="AA540" s="420"/>
      <c r="AB540" s="420"/>
      <c r="AC540" s="420"/>
      <c r="AD540" s="420"/>
      <c r="AE540" s="420"/>
      <c r="AF540" s="367"/>
      <c r="AG540" s="420"/>
      <c r="AH540" s="367"/>
      <c r="AI540" s="367"/>
      <c r="AJ540" s="367"/>
      <c r="AK540" s="358"/>
      <c r="AL540" s="358"/>
      <c r="AM540" s="358"/>
      <c r="AN540" s="358"/>
      <c r="AO540" s="358"/>
      <c r="AP540" s="367"/>
    </row>
    <row r="541">
      <c r="A541" s="418"/>
      <c r="B541" s="418"/>
      <c r="C541" s="418"/>
      <c r="D541" s="418"/>
      <c r="E541" s="418"/>
      <c r="F541" s="418"/>
      <c r="G541" s="367"/>
      <c r="H541" s="418"/>
      <c r="I541" s="418"/>
      <c r="J541" s="418"/>
      <c r="K541" s="418"/>
      <c r="L541" s="420"/>
      <c r="M541" s="420"/>
      <c r="N541" s="420"/>
      <c r="O541" s="420"/>
      <c r="P541" s="420"/>
      <c r="Q541" s="420"/>
      <c r="R541" s="420"/>
      <c r="S541" s="420"/>
      <c r="T541" s="420"/>
      <c r="U541" s="420"/>
      <c r="V541" s="420"/>
      <c r="W541" s="420"/>
      <c r="X541" s="420"/>
      <c r="Y541" s="420"/>
      <c r="Z541" s="367"/>
      <c r="AA541" s="420"/>
      <c r="AB541" s="420"/>
      <c r="AC541" s="420"/>
      <c r="AD541" s="420"/>
      <c r="AE541" s="420"/>
      <c r="AF541" s="367"/>
      <c r="AG541" s="420"/>
      <c r="AH541" s="367"/>
      <c r="AI541" s="367"/>
      <c r="AJ541" s="367"/>
      <c r="AK541" s="358"/>
      <c r="AL541" s="358"/>
      <c r="AM541" s="358"/>
      <c r="AN541" s="358"/>
      <c r="AO541" s="358"/>
      <c r="AP541" s="367"/>
    </row>
    <row r="542">
      <c r="A542" s="418"/>
      <c r="B542" s="418"/>
      <c r="C542" s="418"/>
      <c r="D542" s="418"/>
      <c r="E542" s="418"/>
      <c r="F542" s="418"/>
      <c r="G542" s="367"/>
      <c r="H542" s="418"/>
      <c r="I542" s="418"/>
      <c r="J542" s="418"/>
      <c r="K542" s="418"/>
      <c r="L542" s="420"/>
      <c r="M542" s="420"/>
      <c r="N542" s="420"/>
      <c r="O542" s="420"/>
      <c r="P542" s="420"/>
      <c r="Q542" s="420"/>
      <c r="R542" s="420"/>
      <c r="S542" s="420"/>
      <c r="T542" s="420"/>
      <c r="U542" s="420"/>
      <c r="V542" s="420"/>
      <c r="W542" s="420"/>
      <c r="X542" s="420"/>
      <c r="Y542" s="420"/>
      <c r="Z542" s="367"/>
      <c r="AA542" s="420"/>
      <c r="AB542" s="420"/>
      <c r="AC542" s="420"/>
      <c r="AD542" s="420"/>
      <c r="AE542" s="420"/>
      <c r="AF542" s="367"/>
      <c r="AG542" s="420"/>
      <c r="AH542" s="367"/>
      <c r="AI542" s="367"/>
      <c r="AJ542" s="367"/>
      <c r="AK542" s="358"/>
      <c r="AL542" s="358"/>
      <c r="AM542" s="358"/>
      <c r="AN542" s="358"/>
      <c r="AO542" s="358"/>
      <c r="AP542" s="367"/>
    </row>
    <row r="543">
      <c r="A543" s="418"/>
      <c r="B543" s="418"/>
      <c r="C543" s="418"/>
      <c r="D543" s="418"/>
      <c r="E543" s="418"/>
      <c r="F543" s="418"/>
      <c r="G543" s="367"/>
      <c r="H543" s="418"/>
      <c r="I543" s="418"/>
      <c r="J543" s="418"/>
      <c r="K543" s="418"/>
      <c r="L543" s="420"/>
      <c r="M543" s="420"/>
      <c r="N543" s="420"/>
      <c r="O543" s="420"/>
      <c r="P543" s="420"/>
      <c r="Q543" s="420"/>
      <c r="R543" s="420"/>
      <c r="S543" s="420"/>
      <c r="T543" s="420"/>
      <c r="U543" s="420"/>
      <c r="V543" s="420"/>
      <c r="W543" s="420"/>
      <c r="X543" s="420"/>
      <c r="Y543" s="420"/>
      <c r="Z543" s="367"/>
      <c r="AA543" s="420"/>
      <c r="AB543" s="420"/>
      <c r="AC543" s="420"/>
      <c r="AD543" s="420"/>
      <c r="AE543" s="420"/>
      <c r="AF543" s="367"/>
      <c r="AG543" s="420"/>
      <c r="AH543" s="367"/>
      <c r="AI543" s="367"/>
      <c r="AJ543" s="367"/>
      <c r="AK543" s="358"/>
      <c r="AL543" s="358"/>
      <c r="AM543" s="358"/>
      <c r="AN543" s="358"/>
      <c r="AO543" s="358"/>
      <c r="AP543" s="367"/>
    </row>
    <row r="544">
      <c r="A544" s="418"/>
      <c r="B544" s="418"/>
      <c r="C544" s="418"/>
      <c r="D544" s="418"/>
      <c r="E544" s="418"/>
      <c r="F544" s="418"/>
      <c r="G544" s="367"/>
      <c r="H544" s="418"/>
      <c r="I544" s="418"/>
      <c r="J544" s="418"/>
      <c r="K544" s="418"/>
      <c r="L544" s="420"/>
      <c r="M544" s="420"/>
      <c r="N544" s="420"/>
      <c r="O544" s="420"/>
      <c r="P544" s="420"/>
      <c r="Q544" s="420"/>
      <c r="R544" s="420"/>
      <c r="S544" s="420"/>
      <c r="T544" s="420"/>
      <c r="U544" s="420"/>
      <c r="V544" s="420"/>
      <c r="W544" s="420"/>
      <c r="X544" s="420"/>
      <c r="Y544" s="420"/>
      <c r="Z544" s="367"/>
      <c r="AA544" s="420"/>
      <c r="AB544" s="420"/>
      <c r="AC544" s="420"/>
      <c r="AD544" s="420"/>
      <c r="AE544" s="420"/>
      <c r="AF544" s="367"/>
      <c r="AG544" s="420"/>
      <c r="AH544" s="367"/>
      <c r="AI544" s="367"/>
      <c r="AJ544" s="367"/>
      <c r="AK544" s="358"/>
      <c r="AL544" s="358"/>
      <c r="AM544" s="358"/>
      <c r="AN544" s="358"/>
      <c r="AO544" s="358"/>
      <c r="AP544" s="367"/>
    </row>
    <row r="545">
      <c r="A545" s="418"/>
      <c r="B545" s="418"/>
      <c r="C545" s="418"/>
      <c r="D545" s="418"/>
      <c r="E545" s="418"/>
      <c r="F545" s="418"/>
      <c r="G545" s="367"/>
      <c r="H545" s="418"/>
      <c r="I545" s="418"/>
      <c r="J545" s="418"/>
      <c r="K545" s="418"/>
      <c r="L545" s="420"/>
      <c r="M545" s="420"/>
      <c r="N545" s="420"/>
      <c r="O545" s="420"/>
      <c r="P545" s="420"/>
      <c r="Q545" s="420"/>
      <c r="R545" s="420"/>
      <c r="S545" s="420"/>
      <c r="T545" s="420"/>
      <c r="U545" s="420"/>
      <c r="V545" s="420"/>
      <c r="W545" s="420"/>
      <c r="X545" s="420"/>
      <c r="Y545" s="420"/>
      <c r="Z545" s="367"/>
      <c r="AA545" s="420"/>
      <c r="AB545" s="420"/>
      <c r="AC545" s="420"/>
      <c r="AD545" s="420"/>
      <c r="AE545" s="420"/>
      <c r="AF545" s="367"/>
      <c r="AG545" s="420"/>
      <c r="AH545" s="367"/>
      <c r="AI545" s="367"/>
      <c r="AJ545" s="367"/>
      <c r="AK545" s="358"/>
      <c r="AL545" s="358"/>
      <c r="AM545" s="358"/>
      <c r="AN545" s="358"/>
      <c r="AO545" s="358"/>
      <c r="AP545" s="367"/>
    </row>
    <row r="546">
      <c r="A546" s="418"/>
      <c r="B546" s="418"/>
      <c r="C546" s="418"/>
      <c r="D546" s="418"/>
      <c r="E546" s="418"/>
      <c r="F546" s="418"/>
      <c r="G546" s="367"/>
      <c r="H546" s="418"/>
      <c r="I546" s="418"/>
      <c r="J546" s="418"/>
      <c r="K546" s="418"/>
      <c r="L546" s="420"/>
      <c r="M546" s="420"/>
      <c r="N546" s="420"/>
      <c r="O546" s="420"/>
      <c r="P546" s="420"/>
      <c r="Q546" s="420"/>
      <c r="R546" s="420"/>
      <c r="S546" s="420"/>
      <c r="T546" s="420"/>
      <c r="U546" s="420"/>
      <c r="V546" s="420"/>
      <c r="W546" s="420"/>
      <c r="X546" s="420"/>
      <c r="Y546" s="420"/>
      <c r="Z546" s="367"/>
      <c r="AA546" s="420"/>
      <c r="AB546" s="420"/>
      <c r="AC546" s="420"/>
      <c r="AD546" s="420"/>
      <c r="AE546" s="420"/>
      <c r="AF546" s="367"/>
      <c r="AG546" s="420"/>
      <c r="AH546" s="367"/>
      <c r="AI546" s="367"/>
      <c r="AJ546" s="367"/>
      <c r="AK546" s="358"/>
      <c r="AL546" s="358"/>
      <c r="AM546" s="358"/>
      <c r="AN546" s="358"/>
      <c r="AO546" s="358"/>
      <c r="AP546" s="367"/>
    </row>
    <row r="547">
      <c r="A547" s="418"/>
      <c r="B547" s="418"/>
      <c r="C547" s="418"/>
      <c r="D547" s="418"/>
      <c r="E547" s="418"/>
      <c r="F547" s="418"/>
      <c r="G547" s="367"/>
      <c r="H547" s="418"/>
      <c r="I547" s="418"/>
      <c r="J547" s="418"/>
      <c r="K547" s="418"/>
      <c r="L547" s="420"/>
      <c r="M547" s="420"/>
      <c r="N547" s="420"/>
      <c r="O547" s="420"/>
      <c r="P547" s="420"/>
      <c r="Q547" s="420"/>
      <c r="R547" s="420"/>
      <c r="S547" s="420"/>
      <c r="T547" s="420"/>
      <c r="U547" s="420"/>
      <c r="V547" s="420"/>
      <c r="W547" s="420"/>
      <c r="X547" s="420"/>
      <c r="Y547" s="420"/>
      <c r="Z547" s="367"/>
      <c r="AA547" s="420"/>
      <c r="AB547" s="420"/>
      <c r="AC547" s="420"/>
      <c r="AD547" s="420"/>
      <c r="AE547" s="420"/>
      <c r="AF547" s="367"/>
      <c r="AG547" s="420"/>
      <c r="AH547" s="367"/>
      <c r="AI547" s="367"/>
      <c r="AJ547" s="367"/>
      <c r="AK547" s="358"/>
      <c r="AL547" s="358"/>
      <c r="AM547" s="358"/>
      <c r="AN547" s="358"/>
      <c r="AO547" s="358"/>
      <c r="AP547" s="367"/>
    </row>
    <row r="548">
      <c r="A548" s="418"/>
      <c r="B548" s="418"/>
      <c r="C548" s="418"/>
      <c r="D548" s="418"/>
      <c r="E548" s="418"/>
      <c r="F548" s="418"/>
      <c r="G548" s="367"/>
      <c r="H548" s="418"/>
      <c r="I548" s="418"/>
      <c r="J548" s="418"/>
      <c r="K548" s="418"/>
      <c r="L548" s="420"/>
      <c r="M548" s="420"/>
      <c r="N548" s="420"/>
      <c r="O548" s="420"/>
      <c r="P548" s="420"/>
      <c r="Q548" s="420"/>
      <c r="R548" s="420"/>
      <c r="S548" s="420"/>
      <c r="T548" s="420"/>
      <c r="U548" s="420"/>
      <c r="V548" s="420"/>
      <c r="W548" s="420"/>
      <c r="X548" s="420"/>
      <c r="Y548" s="420"/>
      <c r="Z548" s="367"/>
      <c r="AA548" s="420"/>
      <c r="AB548" s="420"/>
      <c r="AC548" s="420"/>
      <c r="AD548" s="420"/>
      <c r="AE548" s="420"/>
      <c r="AF548" s="367"/>
      <c r="AG548" s="420"/>
      <c r="AH548" s="367"/>
      <c r="AI548" s="367"/>
      <c r="AJ548" s="367"/>
      <c r="AK548" s="358"/>
      <c r="AL548" s="358"/>
      <c r="AM548" s="358"/>
      <c r="AN548" s="358"/>
      <c r="AO548" s="358"/>
      <c r="AP548" s="367"/>
    </row>
    <row r="549">
      <c r="A549" s="418"/>
      <c r="B549" s="418"/>
      <c r="C549" s="418"/>
      <c r="D549" s="418"/>
      <c r="E549" s="418"/>
      <c r="F549" s="418"/>
      <c r="G549" s="367"/>
      <c r="H549" s="418"/>
      <c r="I549" s="418"/>
      <c r="J549" s="418"/>
      <c r="K549" s="418"/>
      <c r="L549" s="420"/>
      <c r="M549" s="420"/>
      <c r="N549" s="420"/>
      <c r="O549" s="420"/>
      <c r="P549" s="420"/>
      <c r="Q549" s="420"/>
      <c r="R549" s="420"/>
      <c r="S549" s="420"/>
      <c r="T549" s="420"/>
      <c r="U549" s="420"/>
      <c r="V549" s="420"/>
      <c r="W549" s="420"/>
      <c r="X549" s="420"/>
      <c r="Y549" s="420"/>
      <c r="Z549" s="367"/>
      <c r="AA549" s="420"/>
      <c r="AB549" s="420"/>
      <c r="AC549" s="420"/>
      <c r="AD549" s="420"/>
      <c r="AE549" s="420"/>
      <c r="AF549" s="367"/>
      <c r="AG549" s="420"/>
      <c r="AH549" s="367"/>
      <c r="AI549" s="367"/>
      <c r="AJ549" s="367"/>
      <c r="AK549" s="358"/>
      <c r="AL549" s="358"/>
      <c r="AM549" s="358"/>
      <c r="AN549" s="358"/>
      <c r="AO549" s="358"/>
      <c r="AP549" s="367"/>
    </row>
    <row r="550">
      <c r="A550" s="418"/>
      <c r="B550" s="418"/>
      <c r="C550" s="418"/>
      <c r="D550" s="418"/>
      <c r="E550" s="418"/>
      <c r="F550" s="418"/>
      <c r="G550" s="367"/>
      <c r="H550" s="418"/>
      <c r="I550" s="418"/>
      <c r="J550" s="418"/>
      <c r="K550" s="418"/>
      <c r="L550" s="420"/>
      <c r="M550" s="420"/>
      <c r="N550" s="420"/>
      <c r="O550" s="420"/>
      <c r="P550" s="420"/>
      <c r="Q550" s="420"/>
      <c r="R550" s="420"/>
      <c r="S550" s="420"/>
      <c r="T550" s="420"/>
      <c r="U550" s="420"/>
      <c r="V550" s="420"/>
      <c r="W550" s="420"/>
      <c r="X550" s="420"/>
      <c r="Y550" s="420"/>
      <c r="Z550" s="367"/>
      <c r="AA550" s="420"/>
      <c r="AB550" s="420"/>
      <c r="AC550" s="420"/>
      <c r="AD550" s="420"/>
      <c r="AE550" s="420"/>
      <c r="AF550" s="367"/>
      <c r="AG550" s="420"/>
      <c r="AH550" s="367"/>
      <c r="AI550" s="367"/>
      <c r="AJ550" s="367"/>
      <c r="AK550" s="358"/>
      <c r="AL550" s="358"/>
      <c r="AM550" s="358"/>
      <c r="AN550" s="358"/>
      <c r="AO550" s="358"/>
      <c r="AP550" s="367"/>
    </row>
    <row r="551">
      <c r="A551" s="418"/>
      <c r="B551" s="418"/>
      <c r="C551" s="418"/>
      <c r="D551" s="418"/>
      <c r="E551" s="418"/>
      <c r="F551" s="418"/>
      <c r="G551" s="367"/>
      <c r="H551" s="418"/>
      <c r="I551" s="418"/>
      <c r="J551" s="418"/>
      <c r="K551" s="418"/>
      <c r="L551" s="420"/>
      <c r="M551" s="420"/>
      <c r="N551" s="420"/>
      <c r="O551" s="420"/>
      <c r="P551" s="420"/>
      <c r="Q551" s="420"/>
      <c r="R551" s="420"/>
      <c r="S551" s="420"/>
      <c r="T551" s="420"/>
      <c r="U551" s="420"/>
      <c r="V551" s="420"/>
      <c r="W551" s="420"/>
      <c r="X551" s="420"/>
      <c r="Y551" s="420"/>
      <c r="Z551" s="367"/>
      <c r="AA551" s="420"/>
      <c r="AB551" s="420"/>
      <c r="AC551" s="420"/>
      <c r="AD551" s="420"/>
      <c r="AE551" s="420"/>
      <c r="AF551" s="367"/>
      <c r="AG551" s="420"/>
      <c r="AH551" s="367"/>
      <c r="AI551" s="367"/>
      <c r="AJ551" s="367"/>
      <c r="AK551" s="358"/>
      <c r="AL551" s="358"/>
      <c r="AM551" s="358"/>
      <c r="AN551" s="358"/>
      <c r="AO551" s="358"/>
      <c r="AP551" s="367"/>
    </row>
    <row r="552">
      <c r="A552" s="418"/>
      <c r="B552" s="418"/>
      <c r="C552" s="418"/>
      <c r="D552" s="418"/>
      <c r="E552" s="418"/>
      <c r="F552" s="418"/>
      <c r="G552" s="367"/>
      <c r="H552" s="418"/>
      <c r="I552" s="418"/>
      <c r="J552" s="418"/>
      <c r="K552" s="418"/>
      <c r="L552" s="420"/>
      <c r="M552" s="420"/>
      <c r="N552" s="420"/>
      <c r="O552" s="420"/>
      <c r="P552" s="420"/>
      <c r="Q552" s="420"/>
      <c r="R552" s="420"/>
      <c r="S552" s="420"/>
      <c r="T552" s="420"/>
      <c r="U552" s="420"/>
      <c r="V552" s="420"/>
      <c r="W552" s="420"/>
      <c r="X552" s="420"/>
      <c r="Y552" s="420"/>
      <c r="Z552" s="367"/>
      <c r="AA552" s="420"/>
      <c r="AB552" s="420"/>
      <c r="AC552" s="420"/>
      <c r="AD552" s="420"/>
      <c r="AE552" s="420"/>
      <c r="AF552" s="367"/>
      <c r="AG552" s="420"/>
      <c r="AH552" s="367"/>
      <c r="AI552" s="367"/>
      <c r="AJ552" s="367"/>
      <c r="AK552" s="358"/>
      <c r="AL552" s="358"/>
      <c r="AM552" s="358"/>
      <c r="AN552" s="358"/>
      <c r="AO552" s="358"/>
      <c r="AP552" s="367"/>
    </row>
    <row r="553">
      <c r="A553" s="418"/>
      <c r="B553" s="418"/>
      <c r="C553" s="418"/>
      <c r="D553" s="418"/>
      <c r="E553" s="418"/>
      <c r="F553" s="418"/>
      <c r="G553" s="367"/>
      <c r="H553" s="418"/>
      <c r="I553" s="418"/>
      <c r="J553" s="418"/>
      <c r="K553" s="418"/>
      <c r="L553" s="420"/>
      <c r="M553" s="420"/>
      <c r="N553" s="420"/>
      <c r="O553" s="420"/>
      <c r="P553" s="420"/>
      <c r="Q553" s="420"/>
      <c r="R553" s="420"/>
      <c r="S553" s="420"/>
      <c r="T553" s="420"/>
      <c r="U553" s="420"/>
      <c r="V553" s="420"/>
      <c r="W553" s="420"/>
      <c r="X553" s="420"/>
      <c r="Y553" s="420"/>
      <c r="Z553" s="367"/>
      <c r="AA553" s="420"/>
      <c r="AB553" s="420"/>
      <c r="AC553" s="420"/>
      <c r="AD553" s="420"/>
      <c r="AE553" s="420"/>
      <c r="AF553" s="367"/>
      <c r="AG553" s="420"/>
      <c r="AH553" s="367"/>
      <c r="AI553" s="367"/>
      <c r="AJ553" s="367"/>
      <c r="AK553" s="358"/>
      <c r="AL553" s="358"/>
      <c r="AM553" s="358"/>
      <c r="AN553" s="358"/>
      <c r="AO553" s="358"/>
      <c r="AP553" s="367"/>
    </row>
    <row r="554">
      <c r="A554" s="418"/>
      <c r="B554" s="418"/>
      <c r="C554" s="418"/>
      <c r="D554" s="418"/>
      <c r="E554" s="418"/>
      <c r="F554" s="418"/>
      <c r="G554" s="367"/>
      <c r="H554" s="418"/>
      <c r="I554" s="418"/>
      <c r="J554" s="418"/>
      <c r="K554" s="418"/>
      <c r="L554" s="420"/>
      <c r="M554" s="420"/>
      <c r="N554" s="420"/>
      <c r="O554" s="420"/>
      <c r="P554" s="420"/>
      <c r="Q554" s="420"/>
      <c r="R554" s="420"/>
      <c r="S554" s="420"/>
      <c r="T554" s="420"/>
      <c r="U554" s="420"/>
      <c r="V554" s="420"/>
      <c r="W554" s="420"/>
      <c r="X554" s="420"/>
      <c r="Y554" s="420"/>
      <c r="Z554" s="367"/>
      <c r="AA554" s="420"/>
      <c r="AB554" s="420"/>
      <c r="AC554" s="420"/>
      <c r="AD554" s="420"/>
      <c r="AE554" s="420"/>
      <c r="AF554" s="367"/>
      <c r="AG554" s="420"/>
      <c r="AH554" s="367"/>
      <c r="AI554" s="367"/>
      <c r="AJ554" s="367"/>
      <c r="AK554" s="358"/>
      <c r="AL554" s="358"/>
      <c r="AM554" s="358"/>
      <c r="AN554" s="358"/>
      <c r="AO554" s="358"/>
      <c r="AP554" s="367"/>
    </row>
    <row r="555">
      <c r="A555" s="418"/>
      <c r="B555" s="418"/>
      <c r="C555" s="418"/>
      <c r="D555" s="418"/>
      <c r="E555" s="418"/>
      <c r="F555" s="418"/>
      <c r="G555" s="367"/>
      <c r="H555" s="418"/>
      <c r="I555" s="418"/>
      <c r="J555" s="418"/>
      <c r="K555" s="418"/>
      <c r="L555" s="420"/>
      <c r="M555" s="420"/>
      <c r="N555" s="420"/>
      <c r="O555" s="420"/>
      <c r="P555" s="420"/>
      <c r="Q555" s="420"/>
      <c r="R555" s="420"/>
      <c r="S555" s="420"/>
      <c r="T555" s="420"/>
      <c r="U555" s="420"/>
      <c r="V555" s="420"/>
      <c r="W555" s="420"/>
      <c r="X555" s="420"/>
      <c r="Y555" s="420"/>
      <c r="Z555" s="367"/>
      <c r="AA555" s="420"/>
      <c r="AB555" s="420"/>
      <c r="AC555" s="420"/>
      <c r="AD555" s="420"/>
      <c r="AE555" s="420"/>
      <c r="AF555" s="367"/>
      <c r="AG555" s="420"/>
      <c r="AH555" s="367"/>
      <c r="AI555" s="367"/>
      <c r="AJ555" s="367"/>
      <c r="AK555" s="358"/>
      <c r="AL555" s="358"/>
      <c r="AM555" s="358"/>
      <c r="AN555" s="358"/>
      <c r="AO555" s="358"/>
      <c r="AP555" s="367"/>
    </row>
    <row r="556">
      <c r="A556" s="418"/>
      <c r="B556" s="418"/>
      <c r="C556" s="418"/>
      <c r="D556" s="418"/>
      <c r="E556" s="418"/>
      <c r="F556" s="418"/>
      <c r="G556" s="367"/>
      <c r="H556" s="418"/>
      <c r="I556" s="418"/>
      <c r="J556" s="418"/>
      <c r="K556" s="418"/>
      <c r="L556" s="420"/>
      <c r="M556" s="420"/>
      <c r="N556" s="420"/>
      <c r="O556" s="420"/>
      <c r="P556" s="420"/>
      <c r="Q556" s="420"/>
      <c r="R556" s="420"/>
      <c r="S556" s="420"/>
      <c r="T556" s="420"/>
      <c r="U556" s="420"/>
      <c r="V556" s="420"/>
      <c r="W556" s="420"/>
      <c r="X556" s="420"/>
      <c r="Y556" s="420"/>
      <c r="Z556" s="367"/>
      <c r="AA556" s="420"/>
      <c r="AB556" s="420"/>
      <c r="AC556" s="420"/>
      <c r="AD556" s="420"/>
      <c r="AE556" s="420"/>
      <c r="AF556" s="367"/>
      <c r="AG556" s="420"/>
      <c r="AH556" s="367"/>
      <c r="AI556" s="367"/>
      <c r="AJ556" s="367"/>
      <c r="AK556" s="358"/>
      <c r="AL556" s="358"/>
      <c r="AM556" s="358"/>
      <c r="AN556" s="358"/>
      <c r="AO556" s="358"/>
      <c r="AP556" s="367"/>
    </row>
    <row r="557">
      <c r="A557" s="418"/>
      <c r="B557" s="418"/>
      <c r="C557" s="418"/>
      <c r="D557" s="418"/>
      <c r="E557" s="418"/>
      <c r="F557" s="418"/>
      <c r="G557" s="367"/>
      <c r="H557" s="418"/>
      <c r="I557" s="418"/>
      <c r="J557" s="418"/>
      <c r="K557" s="418"/>
      <c r="L557" s="420"/>
      <c r="M557" s="420"/>
      <c r="N557" s="420"/>
      <c r="O557" s="420"/>
      <c r="P557" s="420"/>
      <c r="Q557" s="420"/>
      <c r="R557" s="420"/>
      <c r="S557" s="420"/>
      <c r="T557" s="420"/>
      <c r="U557" s="420"/>
      <c r="V557" s="420"/>
      <c r="W557" s="420"/>
      <c r="X557" s="420"/>
      <c r="Y557" s="420"/>
      <c r="Z557" s="367"/>
      <c r="AA557" s="420"/>
      <c r="AB557" s="420"/>
      <c r="AC557" s="420"/>
      <c r="AD557" s="420"/>
      <c r="AE557" s="420"/>
      <c r="AF557" s="367"/>
      <c r="AG557" s="420"/>
      <c r="AH557" s="367"/>
      <c r="AI557" s="367"/>
      <c r="AJ557" s="367"/>
      <c r="AK557" s="358"/>
      <c r="AL557" s="358"/>
      <c r="AM557" s="358"/>
      <c r="AN557" s="358"/>
      <c r="AO557" s="358"/>
      <c r="AP557" s="367"/>
    </row>
    <row r="558">
      <c r="A558" s="418"/>
      <c r="B558" s="418"/>
      <c r="C558" s="418"/>
      <c r="D558" s="418"/>
      <c r="E558" s="418"/>
      <c r="F558" s="418"/>
      <c r="G558" s="367"/>
      <c r="H558" s="418"/>
      <c r="I558" s="418"/>
      <c r="J558" s="418"/>
      <c r="K558" s="418"/>
      <c r="L558" s="420"/>
      <c r="M558" s="420"/>
      <c r="N558" s="420"/>
      <c r="O558" s="420"/>
      <c r="P558" s="420"/>
      <c r="Q558" s="420"/>
      <c r="R558" s="420"/>
      <c r="S558" s="420"/>
      <c r="T558" s="420"/>
      <c r="U558" s="420"/>
      <c r="V558" s="420"/>
      <c r="W558" s="420"/>
      <c r="X558" s="420"/>
      <c r="Y558" s="420"/>
      <c r="Z558" s="367"/>
      <c r="AA558" s="420"/>
      <c r="AB558" s="420"/>
      <c r="AC558" s="420"/>
      <c r="AD558" s="420"/>
      <c r="AE558" s="420"/>
      <c r="AF558" s="367"/>
      <c r="AG558" s="420"/>
      <c r="AH558" s="367"/>
      <c r="AI558" s="367"/>
      <c r="AJ558" s="367"/>
      <c r="AK558" s="358"/>
      <c r="AL558" s="358"/>
      <c r="AM558" s="358"/>
      <c r="AN558" s="358"/>
      <c r="AO558" s="358"/>
      <c r="AP558" s="367"/>
    </row>
    <row r="559">
      <c r="A559" s="418"/>
      <c r="B559" s="418"/>
      <c r="C559" s="418"/>
      <c r="D559" s="418"/>
      <c r="E559" s="418"/>
      <c r="F559" s="418"/>
      <c r="G559" s="367"/>
      <c r="H559" s="418"/>
      <c r="I559" s="418"/>
      <c r="J559" s="418"/>
      <c r="K559" s="418"/>
      <c r="L559" s="420"/>
      <c r="M559" s="420"/>
      <c r="N559" s="420"/>
      <c r="O559" s="420"/>
      <c r="P559" s="420"/>
      <c r="Q559" s="420"/>
      <c r="R559" s="420"/>
      <c r="S559" s="420"/>
      <c r="T559" s="420"/>
      <c r="U559" s="420"/>
      <c r="V559" s="420"/>
      <c r="W559" s="420"/>
      <c r="X559" s="420"/>
      <c r="Y559" s="420"/>
      <c r="Z559" s="367"/>
      <c r="AA559" s="420"/>
      <c r="AB559" s="420"/>
      <c r="AC559" s="420"/>
      <c r="AD559" s="420"/>
      <c r="AE559" s="420"/>
      <c r="AF559" s="367"/>
      <c r="AG559" s="420"/>
      <c r="AH559" s="367"/>
      <c r="AI559" s="367"/>
      <c r="AJ559" s="367"/>
      <c r="AK559" s="358"/>
      <c r="AL559" s="358"/>
      <c r="AM559" s="358"/>
      <c r="AN559" s="358"/>
      <c r="AO559" s="358"/>
      <c r="AP559" s="367"/>
    </row>
    <row r="560">
      <c r="A560" s="418"/>
      <c r="B560" s="418"/>
      <c r="C560" s="418"/>
      <c r="D560" s="418"/>
      <c r="E560" s="418"/>
      <c r="F560" s="418"/>
      <c r="G560" s="367"/>
      <c r="H560" s="418"/>
      <c r="I560" s="418"/>
      <c r="J560" s="418"/>
      <c r="K560" s="418"/>
      <c r="L560" s="420"/>
      <c r="M560" s="420"/>
      <c r="N560" s="420"/>
      <c r="O560" s="420"/>
      <c r="P560" s="420"/>
      <c r="Q560" s="420"/>
      <c r="R560" s="420"/>
      <c r="S560" s="420"/>
      <c r="T560" s="420"/>
      <c r="U560" s="420"/>
      <c r="V560" s="420"/>
      <c r="W560" s="420"/>
      <c r="X560" s="420"/>
      <c r="Y560" s="420"/>
      <c r="Z560" s="367"/>
      <c r="AA560" s="420"/>
      <c r="AB560" s="420"/>
      <c r="AC560" s="420"/>
      <c r="AD560" s="420"/>
      <c r="AE560" s="420"/>
      <c r="AF560" s="367"/>
      <c r="AG560" s="420"/>
      <c r="AH560" s="367"/>
      <c r="AI560" s="367"/>
      <c r="AJ560" s="367"/>
      <c r="AK560" s="358"/>
      <c r="AL560" s="358"/>
      <c r="AM560" s="358"/>
      <c r="AN560" s="358"/>
      <c r="AO560" s="358"/>
      <c r="AP560" s="367"/>
    </row>
    <row r="561">
      <c r="A561" s="418"/>
      <c r="B561" s="418"/>
      <c r="C561" s="418"/>
      <c r="D561" s="418"/>
      <c r="E561" s="418"/>
      <c r="F561" s="418"/>
      <c r="G561" s="367"/>
      <c r="H561" s="418"/>
      <c r="I561" s="418"/>
      <c r="J561" s="418"/>
      <c r="K561" s="418"/>
      <c r="L561" s="420"/>
      <c r="M561" s="420"/>
      <c r="N561" s="420"/>
      <c r="O561" s="420"/>
      <c r="P561" s="420"/>
      <c r="Q561" s="420"/>
      <c r="R561" s="420"/>
      <c r="S561" s="420"/>
      <c r="T561" s="420"/>
      <c r="U561" s="420"/>
      <c r="V561" s="420"/>
      <c r="W561" s="420"/>
      <c r="X561" s="420"/>
      <c r="Y561" s="420"/>
      <c r="Z561" s="367"/>
      <c r="AA561" s="420"/>
      <c r="AB561" s="420"/>
      <c r="AC561" s="420"/>
      <c r="AD561" s="420"/>
      <c r="AE561" s="420"/>
      <c r="AF561" s="367"/>
      <c r="AG561" s="420"/>
      <c r="AH561" s="367"/>
      <c r="AI561" s="367"/>
      <c r="AJ561" s="367"/>
      <c r="AK561" s="358"/>
      <c r="AL561" s="358"/>
      <c r="AM561" s="358"/>
      <c r="AN561" s="358"/>
      <c r="AO561" s="358"/>
      <c r="AP561" s="367"/>
    </row>
    <row r="562">
      <c r="A562" s="418"/>
      <c r="B562" s="418"/>
      <c r="C562" s="418"/>
      <c r="D562" s="418"/>
      <c r="E562" s="418"/>
      <c r="F562" s="418"/>
      <c r="G562" s="367"/>
      <c r="H562" s="418"/>
      <c r="I562" s="418"/>
      <c r="J562" s="418"/>
      <c r="K562" s="418"/>
      <c r="L562" s="420"/>
      <c r="M562" s="420"/>
      <c r="N562" s="420"/>
      <c r="O562" s="420"/>
      <c r="P562" s="420"/>
      <c r="Q562" s="420"/>
      <c r="R562" s="420"/>
      <c r="S562" s="420"/>
      <c r="T562" s="420"/>
      <c r="U562" s="420"/>
      <c r="V562" s="420"/>
      <c r="W562" s="420"/>
      <c r="X562" s="420"/>
      <c r="Y562" s="420"/>
      <c r="Z562" s="367"/>
      <c r="AA562" s="420"/>
      <c r="AB562" s="420"/>
      <c r="AC562" s="420"/>
      <c r="AD562" s="420"/>
      <c r="AE562" s="420"/>
      <c r="AF562" s="367"/>
      <c r="AG562" s="420"/>
      <c r="AH562" s="367"/>
      <c r="AI562" s="367"/>
      <c r="AJ562" s="367"/>
      <c r="AK562" s="358"/>
      <c r="AL562" s="358"/>
      <c r="AM562" s="358"/>
      <c r="AN562" s="358"/>
      <c r="AO562" s="358"/>
      <c r="AP562" s="367"/>
    </row>
    <row r="563">
      <c r="A563" s="418"/>
      <c r="B563" s="418"/>
      <c r="C563" s="418"/>
      <c r="D563" s="418"/>
      <c r="E563" s="418"/>
      <c r="F563" s="418"/>
      <c r="G563" s="367"/>
      <c r="H563" s="418"/>
      <c r="I563" s="418"/>
      <c r="J563" s="418"/>
      <c r="K563" s="418"/>
      <c r="L563" s="420"/>
      <c r="M563" s="420"/>
      <c r="N563" s="420"/>
      <c r="O563" s="420"/>
      <c r="P563" s="420"/>
      <c r="Q563" s="420"/>
      <c r="R563" s="420"/>
      <c r="S563" s="420"/>
      <c r="T563" s="420"/>
      <c r="U563" s="420"/>
      <c r="V563" s="420"/>
      <c r="W563" s="420"/>
      <c r="X563" s="420"/>
      <c r="Y563" s="420"/>
      <c r="Z563" s="367"/>
      <c r="AA563" s="420"/>
      <c r="AB563" s="420"/>
      <c r="AC563" s="420"/>
      <c r="AD563" s="420"/>
      <c r="AE563" s="420"/>
      <c r="AF563" s="367"/>
      <c r="AG563" s="420"/>
      <c r="AH563" s="367"/>
      <c r="AI563" s="367"/>
      <c r="AJ563" s="367"/>
      <c r="AK563" s="358"/>
      <c r="AL563" s="358"/>
      <c r="AM563" s="358"/>
      <c r="AN563" s="358"/>
      <c r="AO563" s="358"/>
      <c r="AP563" s="367"/>
    </row>
    <row r="564">
      <c r="A564" s="418"/>
      <c r="B564" s="418"/>
      <c r="C564" s="418"/>
      <c r="D564" s="418"/>
      <c r="E564" s="418"/>
      <c r="F564" s="418"/>
      <c r="G564" s="367"/>
      <c r="H564" s="418"/>
      <c r="I564" s="418"/>
      <c r="J564" s="418"/>
      <c r="K564" s="418"/>
      <c r="L564" s="420"/>
      <c r="M564" s="420"/>
      <c r="N564" s="420"/>
      <c r="O564" s="420"/>
      <c r="P564" s="420"/>
      <c r="Q564" s="420"/>
      <c r="R564" s="420"/>
      <c r="S564" s="420"/>
      <c r="T564" s="420"/>
      <c r="U564" s="420"/>
      <c r="V564" s="420"/>
      <c r="W564" s="420"/>
      <c r="X564" s="420"/>
      <c r="Y564" s="420"/>
      <c r="Z564" s="367"/>
      <c r="AA564" s="420"/>
      <c r="AB564" s="420"/>
      <c r="AC564" s="420"/>
      <c r="AD564" s="420"/>
      <c r="AE564" s="420"/>
      <c r="AF564" s="367"/>
      <c r="AG564" s="420"/>
      <c r="AH564" s="367"/>
      <c r="AI564" s="367"/>
      <c r="AJ564" s="367"/>
      <c r="AK564" s="358"/>
      <c r="AL564" s="358"/>
      <c r="AM564" s="358"/>
      <c r="AN564" s="358"/>
      <c r="AO564" s="358"/>
      <c r="AP564" s="367"/>
    </row>
    <row r="565">
      <c r="A565" s="418"/>
      <c r="B565" s="418"/>
      <c r="C565" s="418"/>
      <c r="D565" s="418"/>
      <c r="E565" s="418"/>
      <c r="F565" s="418"/>
      <c r="G565" s="367"/>
      <c r="H565" s="418"/>
      <c r="I565" s="418"/>
      <c r="J565" s="418"/>
      <c r="K565" s="418"/>
      <c r="L565" s="420"/>
      <c r="M565" s="420"/>
      <c r="N565" s="420"/>
      <c r="O565" s="420"/>
      <c r="P565" s="420"/>
      <c r="Q565" s="420"/>
      <c r="R565" s="420"/>
      <c r="S565" s="420"/>
      <c r="T565" s="420"/>
      <c r="U565" s="420"/>
      <c r="V565" s="420"/>
      <c r="W565" s="420"/>
      <c r="X565" s="420"/>
      <c r="Y565" s="420"/>
      <c r="Z565" s="367"/>
      <c r="AA565" s="420"/>
      <c r="AB565" s="420"/>
      <c r="AC565" s="420"/>
      <c r="AD565" s="420"/>
      <c r="AE565" s="420"/>
      <c r="AF565" s="367"/>
      <c r="AG565" s="420"/>
      <c r="AH565" s="367"/>
      <c r="AI565" s="367"/>
      <c r="AJ565" s="367"/>
      <c r="AK565" s="358"/>
      <c r="AL565" s="358"/>
      <c r="AM565" s="358"/>
      <c r="AN565" s="358"/>
      <c r="AO565" s="358"/>
      <c r="AP565" s="367"/>
    </row>
    <row r="566">
      <c r="A566" s="418"/>
      <c r="B566" s="418"/>
      <c r="C566" s="418"/>
      <c r="D566" s="418"/>
      <c r="E566" s="418"/>
      <c r="F566" s="418"/>
      <c r="G566" s="367"/>
      <c r="H566" s="418"/>
      <c r="I566" s="418"/>
      <c r="J566" s="418"/>
      <c r="K566" s="418"/>
      <c r="L566" s="420"/>
      <c r="M566" s="420"/>
      <c r="N566" s="420"/>
      <c r="O566" s="420"/>
      <c r="P566" s="420"/>
      <c r="Q566" s="420"/>
      <c r="R566" s="420"/>
      <c r="S566" s="420"/>
      <c r="T566" s="420"/>
      <c r="U566" s="420"/>
      <c r="V566" s="420"/>
      <c r="W566" s="420"/>
      <c r="X566" s="420"/>
      <c r="Y566" s="420"/>
      <c r="Z566" s="367"/>
      <c r="AA566" s="420"/>
      <c r="AB566" s="420"/>
      <c r="AC566" s="420"/>
      <c r="AD566" s="420"/>
      <c r="AE566" s="420"/>
      <c r="AF566" s="367"/>
      <c r="AG566" s="420"/>
      <c r="AH566" s="367"/>
      <c r="AI566" s="367"/>
      <c r="AJ566" s="367"/>
      <c r="AK566" s="358"/>
      <c r="AL566" s="358"/>
      <c r="AM566" s="358"/>
      <c r="AN566" s="358"/>
      <c r="AO566" s="358"/>
      <c r="AP566" s="367"/>
    </row>
    <row r="567">
      <c r="A567" s="418"/>
      <c r="B567" s="418"/>
      <c r="C567" s="418"/>
      <c r="D567" s="418"/>
      <c r="E567" s="418"/>
      <c r="F567" s="418"/>
      <c r="G567" s="367"/>
      <c r="H567" s="418"/>
      <c r="I567" s="418"/>
      <c r="J567" s="418"/>
      <c r="K567" s="418"/>
      <c r="L567" s="420"/>
      <c r="M567" s="420"/>
      <c r="N567" s="420"/>
      <c r="O567" s="420"/>
      <c r="P567" s="420"/>
      <c r="Q567" s="420"/>
      <c r="R567" s="420"/>
      <c r="S567" s="420"/>
      <c r="T567" s="420"/>
      <c r="U567" s="420"/>
      <c r="V567" s="420"/>
      <c r="W567" s="420"/>
      <c r="X567" s="420"/>
      <c r="Y567" s="420"/>
      <c r="Z567" s="367"/>
      <c r="AA567" s="420"/>
      <c r="AB567" s="420"/>
      <c r="AC567" s="420"/>
      <c r="AD567" s="420"/>
      <c r="AE567" s="420"/>
      <c r="AF567" s="367"/>
      <c r="AG567" s="420"/>
      <c r="AH567" s="367"/>
      <c r="AI567" s="367"/>
      <c r="AJ567" s="367"/>
      <c r="AK567" s="358"/>
      <c r="AL567" s="358"/>
      <c r="AM567" s="358"/>
      <c r="AN567" s="358"/>
      <c r="AO567" s="358"/>
      <c r="AP567" s="367"/>
    </row>
    <row r="568">
      <c r="A568" s="418"/>
      <c r="B568" s="418"/>
      <c r="C568" s="418"/>
      <c r="D568" s="418"/>
      <c r="E568" s="418"/>
      <c r="F568" s="418"/>
      <c r="G568" s="367"/>
      <c r="H568" s="418"/>
      <c r="I568" s="418"/>
      <c r="J568" s="418"/>
      <c r="K568" s="418"/>
      <c r="L568" s="420"/>
      <c r="M568" s="420"/>
      <c r="N568" s="420"/>
      <c r="O568" s="420"/>
      <c r="P568" s="420"/>
      <c r="Q568" s="420"/>
      <c r="R568" s="420"/>
      <c r="S568" s="420"/>
      <c r="T568" s="420"/>
      <c r="U568" s="420"/>
      <c r="V568" s="420"/>
      <c r="W568" s="420"/>
      <c r="X568" s="420"/>
      <c r="Y568" s="420"/>
      <c r="Z568" s="367"/>
      <c r="AA568" s="420"/>
      <c r="AB568" s="420"/>
      <c r="AC568" s="420"/>
      <c r="AD568" s="420"/>
      <c r="AE568" s="420"/>
      <c r="AF568" s="367"/>
      <c r="AG568" s="420"/>
      <c r="AH568" s="367"/>
      <c r="AI568" s="367"/>
      <c r="AJ568" s="367"/>
      <c r="AK568" s="358"/>
      <c r="AL568" s="358"/>
      <c r="AM568" s="358"/>
      <c r="AN568" s="358"/>
      <c r="AO568" s="358"/>
      <c r="AP568" s="367"/>
    </row>
    <row r="569">
      <c r="A569" s="418"/>
      <c r="B569" s="418"/>
      <c r="C569" s="418"/>
      <c r="D569" s="418"/>
      <c r="E569" s="418"/>
      <c r="F569" s="418"/>
      <c r="G569" s="367"/>
      <c r="H569" s="418"/>
      <c r="I569" s="418"/>
      <c r="J569" s="418"/>
      <c r="K569" s="418"/>
      <c r="L569" s="420"/>
      <c r="M569" s="420"/>
      <c r="N569" s="420"/>
      <c r="O569" s="420"/>
      <c r="P569" s="420"/>
      <c r="Q569" s="420"/>
      <c r="R569" s="420"/>
      <c r="S569" s="420"/>
      <c r="T569" s="420"/>
      <c r="U569" s="420"/>
      <c r="V569" s="420"/>
      <c r="W569" s="420"/>
      <c r="X569" s="420"/>
      <c r="Y569" s="420"/>
      <c r="Z569" s="367"/>
      <c r="AA569" s="420"/>
      <c r="AB569" s="420"/>
      <c r="AC569" s="420"/>
      <c r="AD569" s="420"/>
      <c r="AE569" s="420"/>
      <c r="AF569" s="367"/>
      <c r="AG569" s="420"/>
      <c r="AH569" s="367"/>
      <c r="AI569" s="367"/>
      <c r="AJ569" s="367"/>
      <c r="AK569" s="358"/>
      <c r="AL569" s="358"/>
      <c r="AM569" s="358"/>
      <c r="AN569" s="358"/>
      <c r="AO569" s="358"/>
      <c r="AP569" s="367"/>
    </row>
    <row r="570">
      <c r="A570" s="418"/>
      <c r="B570" s="418"/>
      <c r="C570" s="418"/>
      <c r="D570" s="418"/>
      <c r="E570" s="418"/>
      <c r="F570" s="418"/>
      <c r="G570" s="367"/>
      <c r="H570" s="418"/>
      <c r="I570" s="418"/>
      <c r="J570" s="418"/>
      <c r="K570" s="418"/>
      <c r="L570" s="420"/>
      <c r="M570" s="420"/>
      <c r="N570" s="420"/>
      <c r="O570" s="420"/>
      <c r="P570" s="420"/>
      <c r="Q570" s="420"/>
      <c r="R570" s="420"/>
      <c r="S570" s="420"/>
      <c r="T570" s="420"/>
      <c r="U570" s="420"/>
      <c r="V570" s="420"/>
      <c r="W570" s="420"/>
      <c r="X570" s="420"/>
      <c r="Y570" s="420"/>
      <c r="Z570" s="367"/>
      <c r="AA570" s="420"/>
      <c r="AB570" s="420"/>
      <c r="AC570" s="420"/>
      <c r="AD570" s="420"/>
      <c r="AE570" s="420"/>
      <c r="AF570" s="367"/>
      <c r="AG570" s="420"/>
      <c r="AH570" s="367"/>
      <c r="AI570" s="367"/>
      <c r="AJ570" s="367"/>
      <c r="AK570" s="358"/>
      <c r="AL570" s="358"/>
      <c r="AM570" s="358"/>
      <c r="AN570" s="358"/>
      <c r="AO570" s="358"/>
      <c r="AP570" s="367"/>
    </row>
    <row r="571">
      <c r="A571" s="418"/>
      <c r="B571" s="418"/>
      <c r="C571" s="418"/>
      <c r="D571" s="418"/>
      <c r="E571" s="418"/>
      <c r="F571" s="418"/>
      <c r="G571" s="367"/>
      <c r="H571" s="418"/>
      <c r="I571" s="418"/>
      <c r="J571" s="418"/>
      <c r="K571" s="418"/>
      <c r="L571" s="420"/>
      <c r="M571" s="420"/>
      <c r="N571" s="420"/>
      <c r="O571" s="420"/>
      <c r="P571" s="420"/>
      <c r="Q571" s="420"/>
      <c r="R571" s="420"/>
      <c r="S571" s="420"/>
      <c r="T571" s="420"/>
      <c r="U571" s="420"/>
      <c r="V571" s="420"/>
      <c r="W571" s="420"/>
      <c r="X571" s="420"/>
      <c r="Y571" s="420"/>
      <c r="Z571" s="367"/>
      <c r="AA571" s="420"/>
      <c r="AB571" s="420"/>
      <c r="AC571" s="420"/>
      <c r="AD571" s="420"/>
      <c r="AE571" s="420"/>
      <c r="AF571" s="367"/>
      <c r="AG571" s="420"/>
      <c r="AH571" s="367"/>
      <c r="AI571" s="367"/>
      <c r="AJ571" s="367"/>
      <c r="AK571" s="358"/>
      <c r="AL571" s="358"/>
      <c r="AM571" s="358"/>
      <c r="AN571" s="358"/>
      <c r="AO571" s="358"/>
      <c r="AP571" s="367"/>
    </row>
    <row r="572">
      <c r="A572" s="418"/>
      <c r="B572" s="418"/>
      <c r="C572" s="418"/>
      <c r="D572" s="418"/>
      <c r="E572" s="418"/>
      <c r="F572" s="418"/>
      <c r="G572" s="367"/>
      <c r="H572" s="418"/>
      <c r="I572" s="418"/>
      <c r="J572" s="418"/>
      <c r="K572" s="418"/>
      <c r="L572" s="420"/>
      <c r="M572" s="420"/>
      <c r="N572" s="420"/>
      <c r="O572" s="420"/>
      <c r="P572" s="420"/>
      <c r="Q572" s="420"/>
      <c r="R572" s="420"/>
      <c r="S572" s="420"/>
      <c r="T572" s="420"/>
      <c r="U572" s="420"/>
      <c r="V572" s="420"/>
      <c r="W572" s="420"/>
      <c r="X572" s="420"/>
      <c r="Y572" s="420"/>
      <c r="Z572" s="367"/>
      <c r="AA572" s="420"/>
      <c r="AB572" s="420"/>
      <c r="AC572" s="420"/>
      <c r="AD572" s="420"/>
      <c r="AE572" s="420"/>
      <c r="AF572" s="367"/>
      <c r="AG572" s="420"/>
      <c r="AH572" s="367"/>
      <c r="AI572" s="367"/>
      <c r="AJ572" s="367"/>
      <c r="AK572" s="358"/>
      <c r="AL572" s="358"/>
      <c r="AM572" s="358"/>
      <c r="AN572" s="358"/>
      <c r="AO572" s="358"/>
      <c r="AP572" s="367"/>
    </row>
    <row r="573">
      <c r="A573" s="418"/>
      <c r="B573" s="418"/>
      <c r="C573" s="418"/>
      <c r="D573" s="418"/>
      <c r="E573" s="418"/>
      <c r="F573" s="418"/>
      <c r="G573" s="367"/>
      <c r="H573" s="418"/>
      <c r="I573" s="418"/>
      <c r="J573" s="418"/>
      <c r="K573" s="418"/>
      <c r="L573" s="420"/>
      <c r="M573" s="420"/>
      <c r="N573" s="420"/>
      <c r="O573" s="420"/>
      <c r="P573" s="420"/>
      <c r="Q573" s="420"/>
      <c r="R573" s="420"/>
      <c r="S573" s="420"/>
      <c r="T573" s="420"/>
      <c r="U573" s="420"/>
      <c r="V573" s="420"/>
      <c r="W573" s="420"/>
      <c r="X573" s="420"/>
      <c r="Y573" s="420"/>
      <c r="Z573" s="367"/>
      <c r="AA573" s="420"/>
      <c r="AB573" s="420"/>
      <c r="AC573" s="420"/>
      <c r="AD573" s="420"/>
      <c r="AE573" s="420"/>
      <c r="AF573" s="367"/>
      <c r="AG573" s="420"/>
      <c r="AH573" s="367"/>
      <c r="AI573" s="367"/>
      <c r="AJ573" s="367"/>
      <c r="AK573" s="358"/>
      <c r="AL573" s="358"/>
      <c r="AM573" s="358"/>
      <c r="AN573" s="358"/>
      <c r="AO573" s="358"/>
      <c r="AP573" s="367"/>
    </row>
    <row r="574">
      <c r="A574" s="418"/>
      <c r="B574" s="418"/>
      <c r="C574" s="418"/>
      <c r="D574" s="418"/>
      <c r="E574" s="418"/>
      <c r="F574" s="418"/>
      <c r="G574" s="367"/>
      <c r="H574" s="418"/>
      <c r="I574" s="418"/>
      <c r="J574" s="418"/>
      <c r="K574" s="418"/>
      <c r="L574" s="420"/>
      <c r="M574" s="420"/>
      <c r="N574" s="420"/>
      <c r="O574" s="420"/>
      <c r="P574" s="420"/>
      <c r="Q574" s="420"/>
      <c r="R574" s="420"/>
      <c r="S574" s="420"/>
      <c r="T574" s="420"/>
      <c r="U574" s="420"/>
      <c r="V574" s="420"/>
      <c r="W574" s="420"/>
      <c r="X574" s="420"/>
      <c r="Y574" s="420"/>
      <c r="Z574" s="367"/>
      <c r="AA574" s="420"/>
      <c r="AB574" s="420"/>
      <c r="AC574" s="420"/>
      <c r="AD574" s="420"/>
      <c r="AE574" s="420"/>
      <c r="AF574" s="367"/>
      <c r="AG574" s="420"/>
      <c r="AH574" s="367"/>
      <c r="AI574" s="367"/>
      <c r="AJ574" s="367"/>
      <c r="AK574" s="358"/>
      <c r="AL574" s="358"/>
      <c r="AM574" s="358"/>
      <c r="AN574" s="358"/>
      <c r="AO574" s="358"/>
      <c r="AP574" s="367"/>
    </row>
    <row r="575">
      <c r="A575" s="418"/>
      <c r="B575" s="418"/>
      <c r="C575" s="418"/>
      <c r="D575" s="418"/>
      <c r="E575" s="418"/>
      <c r="F575" s="418"/>
      <c r="G575" s="367"/>
      <c r="H575" s="418"/>
      <c r="I575" s="418"/>
      <c r="J575" s="418"/>
      <c r="K575" s="418"/>
      <c r="L575" s="420"/>
      <c r="M575" s="420"/>
      <c r="N575" s="420"/>
      <c r="O575" s="420"/>
      <c r="P575" s="420"/>
      <c r="Q575" s="420"/>
      <c r="R575" s="420"/>
      <c r="S575" s="420"/>
      <c r="T575" s="420"/>
      <c r="U575" s="420"/>
      <c r="V575" s="420"/>
      <c r="W575" s="420"/>
      <c r="X575" s="420"/>
      <c r="Y575" s="420"/>
      <c r="Z575" s="367"/>
      <c r="AA575" s="420"/>
      <c r="AB575" s="420"/>
      <c r="AC575" s="420"/>
      <c r="AD575" s="420"/>
      <c r="AE575" s="420"/>
      <c r="AF575" s="367"/>
      <c r="AG575" s="420"/>
      <c r="AH575" s="367"/>
      <c r="AI575" s="367"/>
      <c r="AJ575" s="367"/>
      <c r="AK575" s="358"/>
      <c r="AL575" s="358"/>
      <c r="AM575" s="358"/>
      <c r="AN575" s="358"/>
      <c r="AO575" s="358"/>
      <c r="AP575" s="367"/>
    </row>
    <row r="576">
      <c r="A576" s="418"/>
      <c r="B576" s="418"/>
      <c r="C576" s="418"/>
      <c r="D576" s="418"/>
      <c r="E576" s="418"/>
      <c r="F576" s="418"/>
      <c r="G576" s="367"/>
      <c r="H576" s="418"/>
      <c r="I576" s="418"/>
      <c r="J576" s="418"/>
      <c r="K576" s="418"/>
      <c r="L576" s="420"/>
      <c r="M576" s="420"/>
      <c r="N576" s="420"/>
      <c r="O576" s="420"/>
      <c r="P576" s="420"/>
      <c r="Q576" s="420"/>
      <c r="R576" s="420"/>
      <c r="S576" s="420"/>
      <c r="T576" s="420"/>
      <c r="U576" s="420"/>
      <c r="V576" s="420"/>
      <c r="W576" s="420"/>
      <c r="X576" s="420"/>
      <c r="Y576" s="420"/>
      <c r="Z576" s="367"/>
      <c r="AA576" s="420"/>
      <c r="AB576" s="420"/>
      <c r="AC576" s="420"/>
      <c r="AD576" s="420"/>
      <c r="AE576" s="420"/>
      <c r="AF576" s="367"/>
      <c r="AG576" s="420"/>
      <c r="AH576" s="367"/>
      <c r="AI576" s="367"/>
      <c r="AJ576" s="367"/>
      <c r="AK576" s="358"/>
      <c r="AL576" s="358"/>
      <c r="AM576" s="358"/>
      <c r="AN576" s="358"/>
      <c r="AO576" s="358"/>
      <c r="AP576" s="367"/>
    </row>
    <row r="577">
      <c r="A577" s="418"/>
      <c r="B577" s="418"/>
      <c r="C577" s="418"/>
      <c r="D577" s="418"/>
      <c r="E577" s="418"/>
      <c r="F577" s="418"/>
      <c r="G577" s="367"/>
      <c r="H577" s="418"/>
      <c r="I577" s="418"/>
      <c r="J577" s="418"/>
      <c r="K577" s="418"/>
      <c r="L577" s="420"/>
      <c r="M577" s="420"/>
      <c r="N577" s="420"/>
      <c r="O577" s="420"/>
      <c r="P577" s="420"/>
      <c r="Q577" s="420"/>
      <c r="R577" s="420"/>
      <c r="S577" s="420"/>
      <c r="T577" s="420"/>
      <c r="U577" s="420"/>
      <c r="V577" s="420"/>
      <c r="W577" s="420"/>
      <c r="X577" s="420"/>
      <c r="Y577" s="420"/>
      <c r="Z577" s="367"/>
      <c r="AA577" s="420"/>
      <c r="AB577" s="420"/>
      <c r="AC577" s="420"/>
      <c r="AD577" s="420"/>
      <c r="AE577" s="420"/>
      <c r="AF577" s="367"/>
      <c r="AG577" s="420"/>
      <c r="AH577" s="367"/>
      <c r="AI577" s="367"/>
      <c r="AJ577" s="367"/>
      <c r="AK577" s="358"/>
      <c r="AL577" s="358"/>
      <c r="AM577" s="358"/>
      <c r="AN577" s="358"/>
      <c r="AO577" s="358"/>
      <c r="AP577" s="367"/>
    </row>
    <row r="578">
      <c r="A578" s="418"/>
      <c r="B578" s="418"/>
      <c r="C578" s="418"/>
      <c r="D578" s="418"/>
      <c r="E578" s="418"/>
      <c r="F578" s="418"/>
      <c r="G578" s="367"/>
      <c r="H578" s="418"/>
      <c r="I578" s="418"/>
      <c r="J578" s="418"/>
      <c r="K578" s="418"/>
      <c r="L578" s="420"/>
      <c r="M578" s="420"/>
      <c r="N578" s="420"/>
      <c r="O578" s="420"/>
      <c r="P578" s="420"/>
      <c r="Q578" s="420"/>
      <c r="R578" s="420"/>
      <c r="S578" s="420"/>
      <c r="T578" s="420"/>
      <c r="U578" s="420"/>
      <c r="V578" s="420"/>
      <c r="W578" s="420"/>
      <c r="X578" s="420"/>
      <c r="Y578" s="420"/>
      <c r="Z578" s="367"/>
      <c r="AA578" s="420"/>
      <c r="AB578" s="420"/>
      <c r="AC578" s="420"/>
      <c r="AD578" s="420"/>
      <c r="AE578" s="420"/>
      <c r="AF578" s="367"/>
      <c r="AG578" s="420"/>
      <c r="AH578" s="367"/>
      <c r="AI578" s="367"/>
      <c r="AJ578" s="367"/>
      <c r="AK578" s="358"/>
      <c r="AL578" s="358"/>
      <c r="AM578" s="358"/>
      <c r="AN578" s="358"/>
      <c r="AO578" s="358"/>
      <c r="AP578" s="367"/>
    </row>
    <row r="579">
      <c r="A579" s="418"/>
      <c r="B579" s="418"/>
      <c r="C579" s="418"/>
      <c r="D579" s="418"/>
      <c r="E579" s="418"/>
      <c r="F579" s="418"/>
      <c r="G579" s="367"/>
      <c r="H579" s="418"/>
      <c r="I579" s="418"/>
      <c r="J579" s="418"/>
      <c r="K579" s="418"/>
      <c r="L579" s="420"/>
      <c r="M579" s="420"/>
      <c r="N579" s="420"/>
      <c r="O579" s="420"/>
      <c r="P579" s="420"/>
      <c r="Q579" s="420"/>
      <c r="R579" s="420"/>
      <c r="S579" s="420"/>
      <c r="T579" s="420"/>
      <c r="U579" s="420"/>
      <c r="V579" s="420"/>
      <c r="W579" s="420"/>
      <c r="X579" s="420"/>
      <c r="Y579" s="420"/>
      <c r="Z579" s="367"/>
      <c r="AA579" s="420"/>
      <c r="AB579" s="420"/>
      <c r="AC579" s="420"/>
      <c r="AD579" s="420"/>
      <c r="AE579" s="420"/>
      <c r="AF579" s="367"/>
      <c r="AG579" s="420"/>
      <c r="AH579" s="367"/>
      <c r="AI579" s="367"/>
      <c r="AJ579" s="367"/>
      <c r="AK579" s="358"/>
      <c r="AL579" s="358"/>
      <c r="AM579" s="358"/>
      <c r="AN579" s="358"/>
      <c r="AO579" s="358"/>
      <c r="AP579" s="367"/>
    </row>
    <row r="580">
      <c r="A580" s="418"/>
      <c r="B580" s="418"/>
      <c r="C580" s="418"/>
      <c r="D580" s="418"/>
      <c r="E580" s="418"/>
      <c r="F580" s="418"/>
      <c r="G580" s="367"/>
      <c r="H580" s="418"/>
      <c r="I580" s="418"/>
      <c r="J580" s="418"/>
      <c r="K580" s="418"/>
      <c r="L580" s="420"/>
      <c r="M580" s="420"/>
      <c r="N580" s="420"/>
      <c r="O580" s="420"/>
      <c r="P580" s="420"/>
      <c r="Q580" s="420"/>
      <c r="R580" s="420"/>
      <c r="S580" s="420"/>
      <c r="T580" s="420"/>
      <c r="U580" s="420"/>
      <c r="V580" s="420"/>
      <c r="W580" s="420"/>
      <c r="X580" s="420"/>
      <c r="Y580" s="420"/>
      <c r="Z580" s="367"/>
      <c r="AA580" s="420"/>
      <c r="AB580" s="420"/>
      <c r="AC580" s="420"/>
      <c r="AD580" s="420"/>
      <c r="AE580" s="420"/>
      <c r="AF580" s="367"/>
      <c r="AG580" s="420"/>
      <c r="AH580" s="367"/>
      <c r="AI580" s="367"/>
      <c r="AJ580" s="367"/>
      <c r="AK580" s="358"/>
      <c r="AL580" s="358"/>
      <c r="AM580" s="358"/>
      <c r="AN580" s="358"/>
      <c r="AO580" s="358"/>
      <c r="AP580" s="367"/>
    </row>
    <row r="581">
      <c r="A581" s="418"/>
      <c r="B581" s="418"/>
      <c r="C581" s="418"/>
      <c r="D581" s="418"/>
      <c r="E581" s="418"/>
      <c r="F581" s="418"/>
      <c r="G581" s="367"/>
      <c r="H581" s="418"/>
      <c r="I581" s="418"/>
      <c r="J581" s="418"/>
      <c r="K581" s="418"/>
      <c r="L581" s="420"/>
      <c r="M581" s="420"/>
      <c r="N581" s="420"/>
      <c r="O581" s="420"/>
      <c r="P581" s="420"/>
      <c r="Q581" s="420"/>
      <c r="R581" s="420"/>
      <c r="S581" s="420"/>
      <c r="T581" s="420"/>
      <c r="U581" s="420"/>
      <c r="V581" s="420"/>
      <c r="W581" s="420"/>
      <c r="X581" s="420"/>
      <c r="Y581" s="420"/>
      <c r="Z581" s="367"/>
      <c r="AA581" s="420"/>
      <c r="AB581" s="420"/>
      <c r="AC581" s="420"/>
      <c r="AD581" s="420"/>
      <c r="AE581" s="420"/>
      <c r="AF581" s="367"/>
      <c r="AG581" s="420"/>
      <c r="AH581" s="367"/>
      <c r="AI581" s="367"/>
      <c r="AJ581" s="367"/>
      <c r="AK581" s="358"/>
      <c r="AL581" s="358"/>
      <c r="AM581" s="358"/>
      <c r="AN581" s="358"/>
      <c r="AO581" s="358"/>
      <c r="AP581" s="367"/>
    </row>
    <row r="582">
      <c r="A582" s="418"/>
      <c r="B582" s="418"/>
      <c r="C582" s="418"/>
      <c r="D582" s="418"/>
      <c r="E582" s="418"/>
      <c r="F582" s="418"/>
      <c r="G582" s="367"/>
      <c r="H582" s="418"/>
      <c r="I582" s="418"/>
      <c r="J582" s="418"/>
      <c r="K582" s="418"/>
      <c r="L582" s="420"/>
      <c r="M582" s="420"/>
      <c r="N582" s="420"/>
      <c r="O582" s="420"/>
      <c r="P582" s="420"/>
      <c r="Q582" s="420"/>
      <c r="R582" s="420"/>
      <c r="S582" s="420"/>
      <c r="T582" s="420"/>
      <c r="U582" s="420"/>
      <c r="V582" s="420"/>
      <c r="W582" s="420"/>
      <c r="X582" s="420"/>
      <c r="Y582" s="420"/>
      <c r="Z582" s="367"/>
      <c r="AA582" s="420"/>
      <c r="AB582" s="420"/>
      <c r="AC582" s="420"/>
      <c r="AD582" s="420"/>
      <c r="AE582" s="420"/>
      <c r="AF582" s="367"/>
      <c r="AG582" s="420"/>
      <c r="AH582" s="367"/>
      <c r="AI582" s="367"/>
      <c r="AJ582" s="367"/>
      <c r="AK582" s="358"/>
      <c r="AL582" s="358"/>
      <c r="AM582" s="358"/>
      <c r="AN582" s="358"/>
      <c r="AO582" s="358"/>
      <c r="AP582" s="367"/>
    </row>
    <row r="583">
      <c r="A583" s="418"/>
      <c r="B583" s="418"/>
      <c r="C583" s="418"/>
      <c r="D583" s="418"/>
      <c r="E583" s="418"/>
      <c r="F583" s="418"/>
      <c r="G583" s="367"/>
      <c r="H583" s="418"/>
      <c r="I583" s="418"/>
      <c r="J583" s="418"/>
      <c r="K583" s="418"/>
      <c r="L583" s="420"/>
      <c r="M583" s="420"/>
      <c r="N583" s="420"/>
      <c r="O583" s="420"/>
      <c r="P583" s="420"/>
      <c r="Q583" s="420"/>
      <c r="R583" s="420"/>
      <c r="S583" s="420"/>
      <c r="T583" s="420"/>
      <c r="U583" s="420"/>
      <c r="V583" s="420"/>
      <c r="W583" s="420"/>
      <c r="X583" s="420"/>
      <c r="Y583" s="420"/>
      <c r="Z583" s="367"/>
      <c r="AA583" s="420"/>
      <c r="AB583" s="420"/>
      <c r="AC583" s="420"/>
      <c r="AD583" s="420"/>
      <c r="AE583" s="420"/>
      <c r="AF583" s="367"/>
      <c r="AG583" s="420"/>
      <c r="AH583" s="367"/>
      <c r="AI583" s="367"/>
      <c r="AJ583" s="367"/>
      <c r="AK583" s="358"/>
      <c r="AL583" s="358"/>
      <c r="AM583" s="358"/>
      <c r="AN583" s="358"/>
      <c r="AO583" s="358"/>
      <c r="AP583" s="367"/>
    </row>
    <row r="584">
      <c r="A584" s="418"/>
      <c r="B584" s="418"/>
      <c r="C584" s="418"/>
      <c r="D584" s="418"/>
      <c r="E584" s="418"/>
      <c r="F584" s="418"/>
      <c r="G584" s="367"/>
      <c r="H584" s="418"/>
      <c r="I584" s="418"/>
      <c r="J584" s="418"/>
      <c r="K584" s="418"/>
      <c r="L584" s="420"/>
      <c r="M584" s="420"/>
      <c r="N584" s="420"/>
      <c r="O584" s="420"/>
      <c r="P584" s="420"/>
      <c r="Q584" s="420"/>
      <c r="R584" s="420"/>
      <c r="S584" s="420"/>
      <c r="T584" s="420"/>
      <c r="U584" s="420"/>
      <c r="V584" s="420"/>
      <c r="W584" s="420"/>
      <c r="X584" s="420"/>
      <c r="Y584" s="420"/>
      <c r="Z584" s="367"/>
      <c r="AA584" s="420"/>
      <c r="AB584" s="420"/>
      <c r="AC584" s="420"/>
      <c r="AD584" s="420"/>
      <c r="AE584" s="420"/>
      <c r="AF584" s="367"/>
      <c r="AG584" s="420"/>
      <c r="AH584" s="367"/>
      <c r="AI584" s="367"/>
      <c r="AJ584" s="367"/>
      <c r="AK584" s="358"/>
      <c r="AL584" s="358"/>
      <c r="AM584" s="358"/>
      <c r="AN584" s="358"/>
      <c r="AO584" s="358"/>
      <c r="AP584" s="367"/>
    </row>
    <row r="585">
      <c r="A585" s="418"/>
      <c r="B585" s="418"/>
      <c r="C585" s="418"/>
      <c r="D585" s="418"/>
      <c r="E585" s="418"/>
      <c r="F585" s="418"/>
      <c r="G585" s="367"/>
      <c r="H585" s="418"/>
      <c r="I585" s="418"/>
      <c r="J585" s="418"/>
      <c r="K585" s="418"/>
      <c r="L585" s="420"/>
      <c r="M585" s="420"/>
      <c r="N585" s="420"/>
      <c r="O585" s="420"/>
      <c r="P585" s="420"/>
      <c r="Q585" s="420"/>
      <c r="R585" s="420"/>
      <c r="S585" s="420"/>
      <c r="T585" s="420"/>
      <c r="U585" s="420"/>
      <c r="V585" s="420"/>
      <c r="W585" s="420"/>
      <c r="X585" s="420"/>
      <c r="Y585" s="420"/>
      <c r="Z585" s="367"/>
      <c r="AA585" s="420"/>
      <c r="AB585" s="420"/>
      <c r="AC585" s="420"/>
      <c r="AD585" s="420"/>
      <c r="AE585" s="420"/>
      <c r="AF585" s="367"/>
      <c r="AG585" s="420"/>
      <c r="AH585" s="367"/>
      <c r="AI585" s="367"/>
      <c r="AJ585" s="367"/>
      <c r="AK585" s="358"/>
      <c r="AL585" s="358"/>
      <c r="AM585" s="358"/>
      <c r="AN585" s="358"/>
      <c r="AO585" s="358"/>
      <c r="AP585" s="367"/>
    </row>
    <row r="586">
      <c r="A586" s="418"/>
      <c r="B586" s="418"/>
      <c r="C586" s="418"/>
      <c r="D586" s="418"/>
      <c r="E586" s="418"/>
      <c r="F586" s="418"/>
      <c r="G586" s="367"/>
      <c r="H586" s="418"/>
      <c r="I586" s="418"/>
      <c r="J586" s="418"/>
      <c r="K586" s="418"/>
      <c r="L586" s="420"/>
      <c r="M586" s="420"/>
      <c r="N586" s="420"/>
      <c r="O586" s="420"/>
      <c r="P586" s="420"/>
      <c r="Q586" s="420"/>
      <c r="R586" s="420"/>
      <c r="S586" s="420"/>
      <c r="T586" s="420"/>
      <c r="U586" s="420"/>
      <c r="V586" s="420"/>
      <c r="W586" s="420"/>
      <c r="X586" s="420"/>
      <c r="Y586" s="420"/>
      <c r="Z586" s="367"/>
      <c r="AA586" s="420"/>
      <c r="AB586" s="420"/>
      <c r="AC586" s="420"/>
      <c r="AD586" s="420"/>
      <c r="AE586" s="420"/>
      <c r="AF586" s="367"/>
      <c r="AG586" s="420"/>
      <c r="AH586" s="367"/>
      <c r="AI586" s="367"/>
      <c r="AJ586" s="367"/>
      <c r="AK586" s="358"/>
      <c r="AL586" s="358"/>
      <c r="AM586" s="358"/>
      <c r="AN586" s="358"/>
      <c r="AO586" s="358"/>
      <c r="AP586" s="367"/>
    </row>
    <row r="587">
      <c r="A587" s="418"/>
      <c r="B587" s="418"/>
      <c r="C587" s="418"/>
      <c r="D587" s="418"/>
      <c r="E587" s="418"/>
      <c r="F587" s="418"/>
      <c r="G587" s="367"/>
      <c r="H587" s="418"/>
      <c r="I587" s="418"/>
      <c r="J587" s="418"/>
      <c r="K587" s="418"/>
      <c r="L587" s="420"/>
      <c r="M587" s="420"/>
      <c r="N587" s="420"/>
      <c r="O587" s="420"/>
      <c r="P587" s="420"/>
      <c r="Q587" s="420"/>
      <c r="R587" s="420"/>
      <c r="S587" s="420"/>
      <c r="T587" s="420"/>
      <c r="U587" s="420"/>
      <c r="V587" s="420"/>
      <c r="W587" s="420"/>
      <c r="X587" s="420"/>
      <c r="Y587" s="420"/>
      <c r="Z587" s="367"/>
      <c r="AA587" s="420"/>
      <c r="AB587" s="420"/>
      <c r="AC587" s="420"/>
      <c r="AD587" s="420"/>
      <c r="AE587" s="420"/>
      <c r="AF587" s="367"/>
      <c r="AG587" s="420"/>
      <c r="AH587" s="367"/>
      <c r="AI587" s="367"/>
      <c r="AJ587" s="367"/>
      <c r="AK587" s="358"/>
      <c r="AL587" s="358"/>
      <c r="AM587" s="358"/>
      <c r="AN587" s="358"/>
      <c r="AO587" s="358"/>
      <c r="AP587" s="367"/>
    </row>
    <row r="588">
      <c r="A588" s="418"/>
      <c r="B588" s="418"/>
      <c r="C588" s="418"/>
      <c r="D588" s="418"/>
      <c r="E588" s="418"/>
      <c r="F588" s="418"/>
      <c r="G588" s="367"/>
      <c r="H588" s="418"/>
      <c r="I588" s="418"/>
      <c r="J588" s="418"/>
      <c r="K588" s="418"/>
      <c r="L588" s="420"/>
      <c r="M588" s="420"/>
      <c r="N588" s="420"/>
      <c r="O588" s="420"/>
      <c r="P588" s="420"/>
      <c r="Q588" s="420"/>
      <c r="R588" s="420"/>
      <c r="S588" s="420"/>
      <c r="T588" s="420"/>
      <c r="U588" s="420"/>
      <c r="V588" s="420"/>
      <c r="W588" s="420"/>
      <c r="X588" s="420"/>
      <c r="Y588" s="420"/>
      <c r="Z588" s="367"/>
      <c r="AA588" s="420"/>
      <c r="AB588" s="420"/>
      <c r="AC588" s="420"/>
      <c r="AD588" s="420"/>
      <c r="AE588" s="420"/>
      <c r="AF588" s="367"/>
      <c r="AG588" s="420"/>
      <c r="AH588" s="367"/>
      <c r="AI588" s="367"/>
      <c r="AJ588" s="367"/>
      <c r="AK588" s="358"/>
      <c r="AL588" s="358"/>
      <c r="AM588" s="358"/>
      <c r="AN588" s="358"/>
      <c r="AO588" s="358"/>
      <c r="AP588" s="367"/>
    </row>
    <row r="589">
      <c r="A589" s="418"/>
      <c r="B589" s="418"/>
      <c r="C589" s="418"/>
      <c r="D589" s="418"/>
      <c r="E589" s="418"/>
      <c r="F589" s="418"/>
      <c r="G589" s="367"/>
      <c r="H589" s="418"/>
      <c r="I589" s="418"/>
      <c r="J589" s="418"/>
      <c r="K589" s="418"/>
      <c r="L589" s="420"/>
      <c r="M589" s="420"/>
      <c r="N589" s="420"/>
      <c r="O589" s="420"/>
      <c r="P589" s="420"/>
      <c r="Q589" s="420"/>
      <c r="R589" s="420"/>
      <c r="S589" s="420"/>
      <c r="T589" s="420"/>
      <c r="U589" s="420"/>
      <c r="V589" s="420"/>
      <c r="W589" s="420"/>
      <c r="X589" s="420"/>
      <c r="Y589" s="420"/>
      <c r="Z589" s="367"/>
      <c r="AA589" s="420"/>
      <c r="AB589" s="420"/>
      <c r="AC589" s="420"/>
      <c r="AD589" s="420"/>
      <c r="AE589" s="420"/>
      <c r="AF589" s="367"/>
      <c r="AG589" s="420"/>
      <c r="AH589" s="367"/>
      <c r="AI589" s="367"/>
      <c r="AJ589" s="367"/>
      <c r="AK589" s="358"/>
      <c r="AL589" s="358"/>
      <c r="AM589" s="358"/>
      <c r="AN589" s="358"/>
      <c r="AO589" s="358"/>
      <c r="AP589" s="367"/>
    </row>
    <row r="590">
      <c r="A590" s="418"/>
      <c r="B590" s="418"/>
      <c r="C590" s="418"/>
      <c r="D590" s="418"/>
      <c r="E590" s="418"/>
      <c r="F590" s="418"/>
      <c r="G590" s="367"/>
      <c r="H590" s="418"/>
      <c r="I590" s="418"/>
      <c r="J590" s="418"/>
      <c r="K590" s="418"/>
      <c r="L590" s="420"/>
      <c r="M590" s="420"/>
      <c r="N590" s="420"/>
      <c r="O590" s="420"/>
      <c r="P590" s="420"/>
      <c r="Q590" s="420"/>
      <c r="R590" s="420"/>
      <c r="S590" s="420"/>
      <c r="T590" s="420"/>
      <c r="U590" s="420"/>
      <c r="V590" s="420"/>
      <c r="W590" s="420"/>
      <c r="X590" s="420"/>
      <c r="Y590" s="420"/>
      <c r="Z590" s="367"/>
      <c r="AA590" s="420"/>
      <c r="AB590" s="420"/>
      <c r="AC590" s="420"/>
      <c r="AD590" s="420"/>
      <c r="AE590" s="420"/>
      <c r="AF590" s="367"/>
      <c r="AG590" s="420"/>
      <c r="AH590" s="367"/>
      <c r="AI590" s="367"/>
      <c r="AJ590" s="367"/>
      <c r="AK590" s="358"/>
      <c r="AL590" s="358"/>
      <c r="AM590" s="358"/>
      <c r="AN590" s="358"/>
      <c r="AO590" s="358"/>
      <c r="AP590" s="367"/>
    </row>
    <row r="591">
      <c r="A591" s="418"/>
      <c r="B591" s="418"/>
      <c r="C591" s="418"/>
      <c r="D591" s="418"/>
      <c r="E591" s="418"/>
      <c r="F591" s="418"/>
      <c r="G591" s="367"/>
      <c r="H591" s="418"/>
      <c r="I591" s="418"/>
      <c r="J591" s="418"/>
      <c r="K591" s="418"/>
      <c r="L591" s="420"/>
      <c r="M591" s="420"/>
      <c r="N591" s="420"/>
      <c r="O591" s="420"/>
      <c r="P591" s="420"/>
      <c r="Q591" s="420"/>
      <c r="R591" s="420"/>
      <c r="S591" s="420"/>
      <c r="T591" s="420"/>
      <c r="U591" s="420"/>
      <c r="V591" s="420"/>
      <c r="W591" s="420"/>
      <c r="X591" s="420"/>
      <c r="Y591" s="420"/>
      <c r="Z591" s="367"/>
      <c r="AA591" s="420"/>
      <c r="AB591" s="420"/>
      <c r="AC591" s="420"/>
      <c r="AD591" s="420"/>
      <c r="AE591" s="420"/>
      <c r="AF591" s="367"/>
      <c r="AG591" s="420"/>
      <c r="AH591" s="367"/>
      <c r="AI591" s="367"/>
      <c r="AJ591" s="367"/>
      <c r="AK591" s="358"/>
      <c r="AL591" s="358"/>
      <c r="AM591" s="358"/>
      <c r="AN591" s="358"/>
      <c r="AO591" s="358"/>
      <c r="AP591" s="367"/>
    </row>
    <row r="592">
      <c r="A592" s="418"/>
      <c r="B592" s="418"/>
      <c r="C592" s="418"/>
      <c r="D592" s="418"/>
      <c r="E592" s="418"/>
      <c r="F592" s="418"/>
      <c r="G592" s="367"/>
      <c r="H592" s="418"/>
      <c r="I592" s="418"/>
      <c r="J592" s="418"/>
      <c r="K592" s="418"/>
      <c r="L592" s="420"/>
      <c r="M592" s="420"/>
      <c r="N592" s="420"/>
      <c r="O592" s="420"/>
      <c r="P592" s="420"/>
      <c r="Q592" s="420"/>
      <c r="R592" s="420"/>
      <c r="S592" s="420"/>
      <c r="T592" s="420"/>
      <c r="U592" s="420"/>
      <c r="V592" s="420"/>
      <c r="W592" s="420"/>
      <c r="X592" s="420"/>
      <c r="Y592" s="420"/>
      <c r="Z592" s="367"/>
      <c r="AA592" s="420"/>
      <c r="AB592" s="420"/>
      <c r="AC592" s="420"/>
      <c r="AD592" s="420"/>
      <c r="AE592" s="420"/>
      <c r="AF592" s="367"/>
      <c r="AG592" s="420"/>
      <c r="AH592" s="367"/>
      <c r="AI592" s="367"/>
      <c r="AJ592" s="367"/>
      <c r="AK592" s="358"/>
      <c r="AL592" s="358"/>
      <c r="AM592" s="358"/>
      <c r="AN592" s="358"/>
      <c r="AO592" s="358"/>
      <c r="AP592" s="367"/>
    </row>
    <row r="593">
      <c r="A593" s="418"/>
      <c r="B593" s="418"/>
      <c r="C593" s="418"/>
      <c r="D593" s="418"/>
      <c r="E593" s="418"/>
      <c r="F593" s="418"/>
      <c r="G593" s="367"/>
      <c r="H593" s="418"/>
      <c r="I593" s="418"/>
      <c r="J593" s="418"/>
      <c r="K593" s="418"/>
      <c r="L593" s="420"/>
      <c r="M593" s="420"/>
      <c r="N593" s="420"/>
      <c r="O593" s="420"/>
      <c r="P593" s="420"/>
      <c r="Q593" s="420"/>
      <c r="R593" s="420"/>
      <c r="S593" s="420"/>
      <c r="T593" s="420"/>
      <c r="U593" s="420"/>
      <c r="V593" s="420"/>
      <c r="W593" s="420"/>
      <c r="X593" s="420"/>
      <c r="Y593" s="420"/>
      <c r="Z593" s="367"/>
      <c r="AA593" s="420"/>
      <c r="AB593" s="420"/>
      <c r="AC593" s="420"/>
      <c r="AD593" s="420"/>
      <c r="AE593" s="420"/>
      <c r="AF593" s="367"/>
      <c r="AG593" s="420"/>
      <c r="AH593" s="367"/>
      <c r="AI593" s="367"/>
      <c r="AJ593" s="367"/>
      <c r="AK593" s="358"/>
      <c r="AL593" s="358"/>
      <c r="AM593" s="358"/>
      <c r="AN593" s="358"/>
      <c r="AO593" s="358"/>
      <c r="AP593" s="367"/>
    </row>
    <row r="594">
      <c r="A594" s="418"/>
      <c r="B594" s="418"/>
      <c r="C594" s="418"/>
      <c r="D594" s="418"/>
      <c r="E594" s="418"/>
      <c r="F594" s="418"/>
      <c r="G594" s="367"/>
      <c r="H594" s="418"/>
      <c r="I594" s="418"/>
      <c r="J594" s="418"/>
      <c r="K594" s="418"/>
      <c r="L594" s="420"/>
      <c r="M594" s="420"/>
      <c r="N594" s="420"/>
      <c r="O594" s="420"/>
      <c r="P594" s="420"/>
      <c r="Q594" s="420"/>
      <c r="R594" s="420"/>
      <c r="S594" s="420"/>
      <c r="T594" s="420"/>
      <c r="U594" s="420"/>
      <c r="V594" s="420"/>
      <c r="W594" s="420"/>
      <c r="X594" s="420"/>
      <c r="Y594" s="420"/>
      <c r="Z594" s="367"/>
      <c r="AA594" s="420"/>
      <c r="AB594" s="420"/>
      <c r="AC594" s="420"/>
      <c r="AD594" s="420"/>
      <c r="AE594" s="420"/>
      <c r="AF594" s="367"/>
      <c r="AG594" s="420"/>
      <c r="AH594" s="367"/>
      <c r="AI594" s="367"/>
      <c r="AJ594" s="367"/>
      <c r="AK594" s="358"/>
      <c r="AL594" s="358"/>
      <c r="AM594" s="358"/>
      <c r="AN594" s="358"/>
      <c r="AO594" s="358"/>
      <c r="AP594" s="367"/>
    </row>
    <row r="595">
      <c r="A595" s="418"/>
      <c r="B595" s="418"/>
      <c r="C595" s="418"/>
      <c r="D595" s="418"/>
      <c r="E595" s="418"/>
      <c r="F595" s="418"/>
      <c r="G595" s="367"/>
      <c r="H595" s="418"/>
      <c r="I595" s="418"/>
      <c r="J595" s="418"/>
      <c r="K595" s="418"/>
      <c r="L595" s="420"/>
      <c r="M595" s="420"/>
      <c r="N595" s="420"/>
      <c r="O595" s="420"/>
      <c r="P595" s="420"/>
      <c r="Q595" s="420"/>
      <c r="R595" s="420"/>
      <c r="S595" s="420"/>
      <c r="T595" s="420"/>
      <c r="U595" s="420"/>
      <c r="V595" s="420"/>
      <c r="W595" s="420"/>
      <c r="X595" s="420"/>
      <c r="Y595" s="420"/>
      <c r="Z595" s="367"/>
      <c r="AA595" s="420"/>
      <c r="AB595" s="420"/>
      <c r="AC595" s="420"/>
      <c r="AD595" s="420"/>
      <c r="AE595" s="420"/>
      <c r="AF595" s="367"/>
      <c r="AG595" s="420"/>
      <c r="AH595" s="367"/>
      <c r="AI595" s="367"/>
      <c r="AJ595" s="367"/>
      <c r="AK595" s="358"/>
      <c r="AL595" s="358"/>
      <c r="AM595" s="358"/>
      <c r="AN595" s="358"/>
      <c r="AO595" s="358"/>
      <c r="AP595" s="367"/>
    </row>
    <row r="596">
      <c r="A596" s="418"/>
      <c r="B596" s="418"/>
      <c r="C596" s="418"/>
      <c r="D596" s="418"/>
      <c r="E596" s="418"/>
      <c r="F596" s="418"/>
      <c r="G596" s="367"/>
      <c r="H596" s="418"/>
      <c r="I596" s="418"/>
      <c r="J596" s="418"/>
      <c r="K596" s="418"/>
      <c r="L596" s="420"/>
      <c r="M596" s="420"/>
      <c r="N596" s="420"/>
      <c r="O596" s="420"/>
      <c r="P596" s="420"/>
      <c r="Q596" s="420"/>
      <c r="R596" s="420"/>
      <c r="S596" s="420"/>
      <c r="T596" s="420"/>
      <c r="U596" s="420"/>
      <c r="V596" s="420"/>
      <c r="W596" s="420"/>
      <c r="X596" s="420"/>
      <c r="Y596" s="420"/>
      <c r="Z596" s="367"/>
      <c r="AA596" s="420"/>
      <c r="AB596" s="420"/>
      <c r="AC596" s="420"/>
      <c r="AD596" s="420"/>
      <c r="AE596" s="420"/>
      <c r="AF596" s="367"/>
      <c r="AG596" s="420"/>
      <c r="AH596" s="367"/>
      <c r="AI596" s="367"/>
      <c r="AJ596" s="367"/>
      <c r="AK596" s="358"/>
      <c r="AL596" s="358"/>
      <c r="AM596" s="358"/>
      <c r="AN596" s="358"/>
      <c r="AO596" s="358"/>
      <c r="AP596" s="367"/>
    </row>
    <row r="597">
      <c r="A597" s="418"/>
      <c r="B597" s="418"/>
      <c r="C597" s="418"/>
      <c r="D597" s="418"/>
      <c r="E597" s="418"/>
      <c r="F597" s="418"/>
      <c r="G597" s="367"/>
      <c r="H597" s="418"/>
      <c r="I597" s="418"/>
      <c r="J597" s="418"/>
      <c r="K597" s="418"/>
      <c r="L597" s="420"/>
      <c r="M597" s="420"/>
      <c r="N597" s="420"/>
      <c r="O597" s="420"/>
      <c r="P597" s="420"/>
      <c r="Q597" s="420"/>
      <c r="R597" s="420"/>
      <c r="S597" s="420"/>
      <c r="T597" s="420"/>
      <c r="U597" s="420"/>
      <c r="V597" s="420"/>
      <c r="W597" s="420"/>
      <c r="X597" s="420"/>
      <c r="Y597" s="420"/>
      <c r="Z597" s="367"/>
      <c r="AA597" s="420"/>
      <c r="AB597" s="420"/>
      <c r="AC597" s="420"/>
      <c r="AD597" s="420"/>
      <c r="AE597" s="420"/>
      <c r="AF597" s="367"/>
      <c r="AG597" s="420"/>
      <c r="AH597" s="367"/>
      <c r="AI597" s="367"/>
      <c r="AJ597" s="367"/>
      <c r="AK597" s="358"/>
      <c r="AL597" s="358"/>
      <c r="AM597" s="358"/>
      <c r="AN597" s="358"/>
      <c r="AO597" s="358"/>
      <c r="AP597" s="367"/>
    </row>
    <row r="598">
      <c r="A598" s="418"/>
      <c r="B598" s="418"/>
      <c r="C598" s="418"/>
      <c r="D598" s="418"/>
      <c r="E598" s="418"/>
      <c r="F598" s="418"/>
      <c r="G598" s="367"/>
      <c r="H598" s="418"/>
      <c r="I598" s="418"/>
      <c r="J598" s="418"/>
      <c r="K598" s="418"/>
      <c r="L598" s="420"/>
      <c r="M598" s="420"/>
      <c r="N598" s="420"/>
      <c r="O598" s="420"/>
      <c r="P598" s="420"/>
      <c r="Q598" s="420"/>
      <c r="R598" s="420"/>
      <c r="S598" s="420"/>
      <c r="T598" s="420"/>
      <c r="U598" s="420"/>
      <c r="V598" s="420"/>
      <c r="W598" s="420"/>
      <c r="X598" s="420"/>
      <c r="Y598" s="420"/>
      <c r="Z598" s="367"/>
      <c r="AA598" s="420"/>
      <c r="AB598" s="420"/>
      <c r="AC598" s="420"/>
      <c r="AD598" s="420"/>
      <c r="AE598" s="420"/>
      <c r="AF598" s="367"/>
      <c r="AG598" s="420"/>
      <c r="AH598" s="367"/>
      <c r="AI598" s="367"/>
      <c r="AJ598" s="367"/>
      <c r="AK598" s="358"/>
      <c r="AL598" s="358"/>
      <c r="AM598" s="358"/>
      <c r="AN598" s="358"/>
      <c r="AO598" s="358"/>
      <c r="AP598" s="367"/>
    </row>
    <row r="599">
      <c r="A599" s="418"/>
      <c r="B599" s="418"/>
      <c r="C599" s="418"/>
      <c r="D599" s="418"/>
      <c r="E599" s="418"/>
      <c r="F599" s="418"/>
      <c r="G599" s="367"/>
      <c r="H599" s="418"/>
      <c r="I599" s="418"/>
      <c r="J599" s="418"/>
      <c r="K599" s="418"/>
      <c r="L599" s="420"/>
      <c r="M599" s="420"/>
      <c r="N599" s="420"/>
      <c r="O599" s="420"/>
      <c r="P599" s="420"/>
      <c r="Q599" s="420"/>
      <c r="R599" s="420"/>
      <c r="S599" s="420"/>
      <c r="T599" s="420"/>
      <c r="U599" s="420"/>
      <c r="V599" s="420"/>
      <c r="W599" s="420"/>
      <c r="X599" s="420"/>
      <c r="Y599" s="420"/>
      <c r="Z599" s="367"/>
      <c r="AA599" s="420"/>
      <c r="AB599" s="420"/>
      <c r="AC599" s="420"/>
      <c r="AD599" s="420"/>
      <c r="AE599" s="420"/>
      <c r="AF599" s="367"/>
      <c r="AG599" s="420"/>
      <c r="AH599" s="367"/>
      <c r="AI599" s="367"/>
      <c r="AJ599" s="367"/>
      <c r="AK599" s="358"/>
      <c r="AL599" s="358"/>
      <c r="AM599" s="358"/>
      <c r="AN599" s="358"/>
      <c r="AO599" s="358"/>
      <c r="AP599" s="367"/>
    </row>
    <row r="600">
      <c r="A600" s="418"/>
      <c r="B600" s="418"/>
      <c r="C600" s="418"/>
      <c r="D600" s="418"/>
      <c r="E600" s="418"/>
      <c r="F600" s="418"/>
      <c r="G600" s="367"/>
      <c r="H600" s="418"/>
      <c r="I600" s="418"/>
      <c r="J600" s="418"/>
      <c r="K600" s="418"/>
      <c r="L600" s="420"/>
      <c r="M600" s="420"/>
      <c r="N600" s="420"/>
      <c r="O600" s="420"/>
      <c r="P600" s="420"/>
      <c r="Q600" s="420"/>
      <c r="R600" s="420"/>
      <c r="S600" s="420"/>
      <c r="T600" s="420"/>
      <c r="U600" s="420"/>
      <c r="V600" s="420"/>
      <c r="W600" s="420"/>
      <c r="X600" s="420"/>
      <c r="Y600" s="420"/>
      <c r="Z600" s="367"/>
      <c r="AA600" s="420"/>
      <c r="AB600" s="420"/>
      <c r="AC600" s="420"/>
      <c r="AD600" s="420"/>
      <c r="AE600" s="420"/>
      <c r="AF600" s="367"/>
      <c r="AG600" s="420"/>
      <c r="AH600" s="367"/>
      <c r="AI600" s="367"/>
      <c r="AJ600" s="367"/>
      <c r="AK600" s="358"/>
      <c r="AL600" s="358"/>
      <c r="AM600" s="358"/>
      <c r="AN600" s="358"/>
      <c r="AO600" s="358"/>
      <c r="AP600" s="367"/>
    </row>
    <row r="601">
      <c r="A601" s="418"/>
      <c r="B601" s="418"/>
      <c r="C601" s="418"/>
      <c r="D601" s="418"/>
      <c r="E601" s="418"/>
      <c r="F601" s="418"/>
      <c r="G601" s="367"/>
      <c r="H601" s="418"/>
      <c r="I601" s="418"/>
      <c r="J601" s="418"/>
      <c r="K601" s="418"/>
      <c r="L601" s="420"/>
      <c r="M601" s="420"/>
      <c r="N601" s="420"/>
      <c r="O601" s="420"/>
      <c r="P601" s="420"/>
      <c r="Q601" s="420"/>
      <c r="R601" s="420"/>
      <c r="S601" s="420"/>
      <c r="T601" s="420"/>
      <c r="U601" s="420"/>
      <c r="V601" s="420"/>
      <c r="W601" s="420"/>
      <c r="X601" s="420"/>
      <c r="Y601" s="420"/>
      <c r="Z601" s="367"/>
      <c r="AA601" s="420"/>
      <c r="AB601" s="420"/>
      <c r="AC601" s="420"/>
      <c r="AD601" s="420"/>
      <c r="AE601" s="420"/>
      <c r="AF601" s="367"/>
      <c r="AG601" s="420"/>
      <c r="AH601" s="367"/>
      <c r="AI601" s="367"/>
      <c r="AJ601" s="367"/>
      <c r="AK601" s="358"/>
      <c r="AL601" s="358"/>
      <c r="AM601" s="358"/>
      <c r="AN601" s="358"/>
      <c r="AO601" s="358"/>
      <c r="AP601" s="367"/>
    </row>
    <row r="602">
      <c r="A602" s="418"/>
      <c r="B602" s="418"/>
      <c r="C602" s="418"/>
      <c r="D602" s="418"/>
      <c r="E602" s="418"/>
      <c r="F602" s="418"/>
      <c r="G602" s="367"/>
      <c r="H602" s="418"/>
      <c r="I602" s="418"/>
      <c r="J602" s="418"/>
      <c r="K602" s="418"/>
      <c r="L602" s="420"/>
      <c r="M602" s="420"/>
      <c r="N602" s="420"/>
      <c r="O602" s="420"/>
      <c r="P602" s="420"/>
      <c r="Q602" s="420"/>
      <c r="R602" s="420"/>
      <c r="S602" s="420"/>
      <c r="T602" s="420"/>
      <c r="U602" s="420"/>
      <c r="V602" s="420"/>
      <c r="W602" s="420"/>
      <c r="X602" s="420"/>
      <c r="Y602" s="420"/>
      <c r="Z602" s="367"/>
      <c r="AA602" s="420"/>
      <c r="AB602" s="420"/>
      <c r="AC602" s="420"/>
      <c r="AD602" s="420"/>
      <c r="AE602" s="420"/>
      <c r="AF602" s="367"/>
      <c r="AG602" s="420"/>
      <c r="AH602" s="367"/>
      <c r="AI602" s="367"/>
      <c r="AJ602" s="367"/>
      <c r="AK602" s="358"/>
      <c r="AL602" s="358"/>
      <c r="AM602" s="358"/>
      <c r="AN602" s="358"/>
      <c r="AO602" s="358"/>
      <c r="AP602" s="367"/>
    </row>
    <row r="603">
      <c r="A603" s="418"/>
      <c r="B603" s="418"/>
      <c r="C603" s="418"/>
      <c r="D603" s="418"/>
      <c r="E603" s="418"/>
      <c r="F603" s="418"/>
      <c r="G603" s="367"/>
      <c r="H603" s="418"/>
      <c r="I603" s="418"/>
      <c r="J603" s="418"/>
      <c r="K603" s="418"/>
      <c r="L603" s="420"/>
      <c r="M603" s="420"/>
      <c r="N603" s="420"/>
      <c r="O603" s="420"/>
      <c r="P603" s="420"/>
      <c r="Q603" s="420"/>
      <c r="R603" s="420"/>
      <c r="S603" s="420"/>
      <c r="T603" s="420"/>
      <c r="U603" s="420"/>
      <c r="V603" s="420"/>
      <c r="W603" s="420"/>
      <c r="X603" s="420"/>
      <c r="Y603" s="420"/>
      <c r="Z603" s="367"/>
      <c r="AA603" s="420"/>
      <c r="AB603" s="420"/>
      <c r="AC603" s="420"/>
      <c r="AD603" s="420"/>
      <c r="AE603" s="420"/>
      <c r="AF603" s="367"/>
      <c r="AG603" s="420"/>
      <c r="AH603" s="367"/>
      <c r="AI603" s="367"/>
      <c r="AJ603" s="367"/>
      <c r="AK603" s="358"/>
      <c r="AL603" s="358"/>
      <c r="AM603" s="358"/>
      <c r="AN603" s="358"/>
      <c r="AO603" s="358"/>
      <c r="AP603" s="367"/>
    </row>
    <row r="604">
      <c r="A604" s="418"/>
      <c r="B604" s="418"/>
      <c r="C604" s="418"/>
      <c r="D604" s="418"/>
      <c r="E604" s="418"/>
      <c r="F604" s="418"/>
      <c r="G604" s="367"/>
      <c r="H604" s="418"/>
      <c r="I604" s="418"/>
      <c r="J604" s="418"/>
      <c r="K604" s="418"/>
      <c r="L604" s="420"/>
      <c r="M604" s="420"/>
      <c r="N604" s="420"/>
      <c r="O604" s="420"/>
      <c r="P604" s="420"/>
      <c r="Q604" s="420"/>
      <c r="R604" s="420"/>
      <c r="S604" s="420"/>
      <c r="T604" s="420"/>
      <c r="U604" s="420"/>
      <c r="V604" s="420"/>
      <c r="W604" s="420"/>
      <c r="X604" s="420"/>
      <c r="Y604" s="420"/>
      <c r="Z604" s="367"/>
      <c r="AA604" s="420"/>
      <c r="AB604" s="420"/>
      <c r="AC604" s="420"/>
      <c r="AD604" s="420"/>
      <c r="AE604" s="420"/>
      <c r="AF604" s="367"/>
      <c r="AG604" s="420"/>
      <c r="AH604" s="367"/>
      <c r="AI604" s="367"/>
      <c r="AJ604" s="367"/>
      <c r="AK604" s="358"/>
      <c r="AL604" s="358"/>
      <c r="AM604" s="358"/>
      <c r="AN604" s="358"/>
      <c r="AO604" s="358"/>
      <c r="AP604" s="367"/>
    </row>
    <row r="605">
      <c r="A605" s="418"/>
      <c r="B605" s="418"/>
      <c r="C605" s="418"/>
      <c r="D605" s="418"/>
      <c r="E605" s="418"/>
      <c r="F605" s="418"/>
      <c r="G605" s="367"/>
      <c r="H605" s="418"/>
      <c r="I605" s="418"/>
      <c r="J605" s="418"/>
      <c r="K605" s="418"/>
      <c r="L605" s="420"/>
      <c r="M605" s="420"/>
      <c r="N605" s="420"/>
      <c r="O605" s="420"/>
      <c r="P605" s="420"/>
      <c r="Q605" s="420"/>
      <c r="R605" s="420"/>
      <c r="S605" s="420"/>
      <c r="T605" s="420"/>
      <c r="U605" s="420"/>
      <c r="V605" s="420"/>
      <c r="W605" s="420"/>
      <c r="X605" s="420"/>
      <c r="Y605" s="420"/>
      <c r="Z605" s="367"/>
      <c r="AA605" s="420"/>
      <c r="AB605" s="420"/>
      <c r="AC605" s="420"/>
      <c r="AD605" s="420"/>
      <c r="AE605" s="420"/>
      <c r="AF605" s="367"/>
      <c r="AG605" s="420"/>
      <c r="AH605" s="367"/>
      <c r="AI605" s="367"/>
      <c r="AJ605" s="367"/>
      <c r="AK605" s="358"/>
      <c r="AL605" s="358"/>
      <c r="AM605" s="358"/>
      <c r="AN605" s="358"/>
      <c r="AO605" s="358"/>
      <c r="AP605" s="367"/>
    </row>
    <row r="606">
      <c r="A606" s="418"/>
      <c r="B606" s="418"/>
      <c r="C606" s="418"/>
      <c r="D606" s="418"/>
      <c r="E606" s="418"/>
      <c r="F606" s="418"/>
      <c r="G606" s="367"/>
      <c r="H606" s="418"/>
      <c r="I606" s="418"/>
      <c r="J606" s="418"/>
      <c r="K606" s="418"/>
      <c r="L606" s="420"/>
      <c r="M606" s="420"/>
      <c r="N606" s="420"/>
      <c r="O606" s="420"/>
      <c r="P606" s="420"/>
      <c r="Q606" s="420"/>
      <c r="R606" s="420"/>
      <c r="S606" s="420"/>
      <c r="T606" s="420"/>
      <c r="U606" s="420"/>
      <c r="V606" s="420"/>
      <c r="W606" s="420"/>
      <c r="X606" s="420"/>
      <c r="Y606" s="420"/>
      <c r="Z606" s="367"/>
      <c r="AA606" s="420"/>
      <c r="AB606" s="420"/>
      <c r="AC606" s="420"/>
      <c r="AD606" s="420"/>
      <c r="AE606" s="420"/>
      <c r="AF606" s="367"/>
      <c r="AG606" s="420"/>
      <c r="AH606" s="367"/>
      <c r="AI606" s="367"/>
      <c r="AJ606" s="367"/>
      <c r="AK606" s="358"/>
      <c r="AL606" s="358"/>
      <c r="AM606" s="358"/>
      <c r="AN606" s="358"/>
      <c r="AO606" s="358"/>
      <c r="AP606" s="367"/>
    </row>
    <row r="607">
      <c r="A607" s="418"/>
      <c r="B607" s="418"/>
      <c r="C607" s="418"/>
      <c r="D607" s="418"/>
      <c r="E607" s="418"/>
      <c r="F607" s="418"/>
      <c r="G607" s="367"/>
      <c r="H607" s="418"/>
      <c r="I607" s="418"/>
      <c r="J607" s="418"/>
      <c r="K607" s="418"/>
      <c r="L607" s="420"/>
      <c r="M607" s="420"/>
      <c r="N607" s="420"/>
      <c r="O607" s="420"/>
      <c r="P607" s="420"/>
      <c r="Q607" s="420"/>
      <c r="R607" s="420"/>
      <c r="S607" s="420"/>
      <c r="T607" s="420"/>
      <c r="U607" s="420"/>
      <c r="V607" s="420"/>
      <c r="W607" s="420"/>
      <c r="X607" s="420"/>
      <c r="Y607" s="420"/>
      <c r="Z607" s="367"/>
      <c r="AA607" s="420"/>
      <c r="AB607" s="420"/>
      <c r="AC607" s="420"/>
      <c r="AD607" s="420"/>
      <c r="AE607" s="420"/>
      <c r="AF607" s="367"/>
      <c r="AG607" s="420"/>
      <c r="AH607" s="367"/>
      <c r="AI607" s="367"/>
      <c r="AJ607" s="367"/>
      <c r="AK607" s="358"/>
      <c r="AL607" s="358"/>
      <c r="AM607" s="358"/>
      <c r="AN607" s="358"/>
      <c r="AO607" s="358"/>
      <c r="AP607" s="367"/>
    </row>
    <row r="608">
      <c r="A608" s="418"/>
      <c r="B608" s="418"/>
      <c r="C608" s="418"/>
      <c r="D608" s="418"/>
      <c r="E608" s="418"/>
      <c r="F608" s="418"/>
      <c r="G608" s="367"/>
      <c r="H608" s="418"/>
      <c r="I608" s="418"/>
      <c r="J608" s="418"/>
      <c r="K608" s="418"/>
      <c r="L608" s="420"/>
      <c r="M608" s="420"/>
      <c r="N608" s="420"/>
      <c r="O608" s="420"/>
      <c r="P608" s="420"/>
      <c r="Q608" s="420"/>
      <c r="R608" s="420"/>
      <c r="S608" s="420"/>
      <c r="T608" s="420"/>
      <c r="U608" s="420"/>
      <c r="V608" s="420"/>
      <c r="W608" s="420"/>
      <c r="X608" s="420"/>
      <c r="Y608" s="420"/>
      <c r="Z608" s="367"/>
      <c r="AA608" s="420"/>
      <c r="AB608" s="420"/>
      <c r="AC608" s="420"/>
      <c r="AD608" s="420"/>
      <c r="AE608" s="420"/>
      <c r="AF608" s="367"/>
      <c r="AG608" s="420"/>
      <c r="AH608" s="367"/>
      <c r="AI608" s="367"/>
      <c r="AJ608" s="367"/>
      <c r="AK608" s="358"/>
      <c r="AL608" s="358"/>
      <c r="AM608" s="358"/>
      <c r="AN608" s="358"/>
      <c r="AO608" s="358"/>
      <c r="AP608" s="367"/>
    </row>
    <row r="609">
      <c r="A609" s="418"/>
      <c r="B609" s="418"/>
      <c r="C609" s="418"/>
      <c r="D609" s="418"/>
      <c r="E609" s="418"/>
      <c r="F609" s="418"/>
      <c r="G609" s="367"/>
      <c r="H609" s="418"/>
      <c r="I609" s="418"/>
      <c r="J609" s="418"/>
      <c r="K609" s="418"/>
      <c r="L609" s="420"/>
      <c r="M609" s="420"/>
      <c r="N609" s="420"/>
      <c r="O609" s="420"/>
      <c r="P609" s="420"/>
      <c r="Q609" s="420"/>
      <c r="R609" s="420"/>
      <c r="S609" s="420"/>
      <c r="T609" s="420"/>
      <c r="U609" s="420"/>
      <c r="V609" s="420"/>
      <c r="W609" s="420"/>
      <c r="X609" s="420"/>
      <c r="Y609" s="420"/>
      <c r="Z609" s="367"/>
      <c r="AA609" s="420"/>
      <c r="AB609" s="420"/>
      <c r="AC609" s="420"/>
      <c r="AD609" s="420"/>
      <c r="AE609" s="420"/>
      <c r="AF609" s="367"/>
      <c r="AG609" s="420"/>
      <c r="AH609" s="367"/>
      <c r="AI609" s="367"/>
      <c r="AJ609" s="367"/>
      <c r="AK609" s="358"/>
      <c r="AL609" s="358"/>
      <c r="AM609" s="358"/>
      <c r="AN609" s="358"/>
      <c r="AO609" s="358"/>
      <c r="AP609" s="367"/>
    </row>
    <row r="610">
      <c r="A610" s="418"/>
      <c r="B610" s="418"/>
      <c r="C610" s="418"/>
      <c r="D610" s="418"/>
      <c r="E610" s="418"/>
      <c r="F610" s="418"/>
      <c r="G610" s="367"/>
      <c r="H610" s="418"/>
      <c r="I610" s="418"/>
      <c r="J610" s="418"/>
      <c r="K610" s="418"/>
      <c r="L610" s="420"/>
      <c r="M610" s="420"/>
      <c r="N610" s="420"/>
      <c r="O610" s="420"/>
      <c r="P610" s="420"/>
      <c r="Q610" s="420"/>
      <c r="R610" s="420"/>
      <c r="S610" s="420"/>
      <c r="T610" s="420"/>
      <c r="U610" s="420"/>
      <c r="V610" s="420"/>
      <c r="W610" s="420"/>
      <c r="X610" s="420"/>
      <c r="Y610" s="420"/>
      <c r="Z610" s="367"/>
      <c r="AA610" s="420"/>
      <c r="AB610" s="420"/>
      <c r="AC610" s="420"/>
      <c r="AD610" s="420"/>
      <c r="AE610" s="420"/>
      <c r="AF610" s="367"/>
      <c r="AG610" s="420"/>
      <c r="AH610" s="367"/>
      <c r="AI610" s="367"/>
      <c r="AJ610" s="367"/>
      <c r="AK610" s="358"/>
      <c r="AL610" s="358"/>
      <c r="AM610" s="358"/>
      <c r="AN610" s="358"/>
      <c r="AO610" s="358"/>
      <c r="AP610" s="367"/>
    </row>
    <row r="611">
      <c r="A611" s="418"/>
      <c r="B611" s="418"/>
      <c r="C611" s="418"/>
      <c r="D611" s="418"/>
      <c r="E611" s="418"/>
      <c r="F611" s="418"/>
      <c r="G611" s="367"/>
      <c r="H611" s="418"/>
      <c r="I611" s="418"/>
      <c r="J611" s="418"/>
      <c r="K611" s="418"/>
      <c r="L611" s="420"/>
      <c r="M611" s="420"/>
      <c r="N611" s="420"/>
      <c r="O611" s="420"/>
      <c r="P611" s="420"/>
      <c r="Q611" s="420"/>
      <c r="R611" s="420"/>
      <c r="S611" s="420"/>
      <c r="T611" s="420"/>
      <c r="U611" s="420"/>
      <c r="V611" s="420"/>
      <c r="W611" s="420"/>
      <c r="X611" s="420"/>
      <c r="Y611" s="420"/>
      <c r="Z611" s="367"/>
      <c r="AA611" s="420"/>
      <c r="AB611" s="420"/>
      <c r="AC611" s="420"/>
      <c r="AD611" s="420"/>
      <c r="AE611" s="420"/>
      <c r="AF611" s="367"/>
      <c r="AG611" s="420"/>
      <c r="AH611" s="367"/>
      <c r="AI611" s="367"/>
      <c r="AJ611" s="367"/>
      <c r="AK611" s="358"/>
      <c r="AL611" s="358"/>
      <c r="AM611" s="358"/>
      <c r="AN611" s="358"/>
      <c r="AO611" s="358"/>
      <c r="AP611" s="367"/>
    </row>
    <row r="612">
      <c r="A612" s="418"/>
      <c r="B612" s="418"/>
      <c r="C612" s="418"/>
      <c r="D612" s="418"/>
      <c r="E612" s="418"/>
      <c r="F612" s="418"/>
      <c r="G612" s="367"/>
      <c r="H612" s="418"/>
      <c r="I612" s="418"/>
      <c r="J612" s="418"/>
      <c r="K612" s="418"/>
      <c r="L612" s="420"/>
      <c r="M612" s="420"/>
      <c r="N612" s="420"/>
      <c r="O612" s="420"/>
      <c r="P612" s="420"/>
      <c r="Q612" s="420"/>
      <c r="R612" s="420"/>
      <c r="S612" s="420"/>
      <c r="T612" s="420"/>
      <c r="U612" s="420"/>
      <c r="V612" s="420"/>
      <c r="W612" s="420"/>
      <c r="X612" s="420"/>
      <c r="Y612" s="420"/>
      <c r="Z612" s="367"/>
      <c r="AA612" s="420"/>
      <c r="AB612" s="420"/>
      <c r="AC612" s="420"/>
      <c r="AD612" s="420"/>
      <c r="AE612" s="420"/>
      <c r="AF612" s="367"/>
      <c r="AG612" s="420"/>
      <c r="AH612" s="367"/>
      <c r="AI612" s="367"/>
      <c r="AJ612" s="367"/>
      <c r="AK612" s="358"/>
      <c r="AL612" s="358"/>
      <c r="AM612" s="358"/>
      <c r="AN612" s="358"/>
      <c r="AO612" s="358"/>
      <c r="AP612" s="367"/>
    </row>
    <row r="613">
      <c r="A613" s="418"/>
      <c r="B613" s="418"/>
      <c r="C613" s="418"/>
      <c r="D613" s="418"/>
      <c r="E613" s="418"/>
      <c r="F613" s="418"/>
      <c r="G613" s="367"/>
      <c r="H613" s="418"/>
      <c r="I613" s="418"/>
      <c r="J613" s="418"/>
      <c r="K613" s="418"/>
      <c r="L613" s="420"/>
      <c r="M613" s="420"/>
      <c r="N613" s="420"/>
      <c r="O613" s="420"/>
      <c r="P613" s="420"/>
      <c r="Q613" s="420"/>
      <c r="R613" s="420"/>
      <c r="S613" s="420"/>
      <c r="T613" s="420"/>
      <c r="U613" s="420"/>
      <c r="V613" s="420"/>
      <c r="W613" s="420"/>
      <c r="X613" s="420"/>
      <c r="Y613" s="420"/>
      <c r="Z613" s="367"/>
      <c r="AA613" s="420"/>
      <c r="AB613" s="420"/>
      <c r="AC613" s="420"/>
      <c r="AD613" s="420"/>
      <c r="AE613" s="420"/>
      <c r="AF613" s="367"/>
      <c r="AG613" s="420"/>
      <c r="AH613" s="367"/>
      <c r="AI613" s="367"/>
      <c r="AJ613" s="367"/>
      <c r="AK613" s="358"/>
      <c r="AL613" s="358"/>
      <c r="AM613" s="358"/>
      <c r="AN613" s="358"/>
      <c r="AO613" s="358"/>
      <c r="AP613" s="367"/>
    </row>
    <row r="614">
      <c r="A614" s="418"/>
      <c r="B614" s="418"/>
      <c r="C614" s="418"/>
      <c r="D614" s="418"/>
      <c r="E614" s="418"/>
      <c r="F614" s="418"/>
      <c r="G614" s="367"/>
      <c r="H614" s="418"/>
      <c r="I614" s="418"/>
      <c r="J614" s="418"/>
      <c r="K614" s="418"/>
      <c r="L614" s="420"/>
      <c r="M614" s="420"/>
      <c r="N614" s="420"/>
      <c r="O614" s="420"/>
      <c r="P614" s="420"/>
      <c r="Q614" s="420"/>
      <c r="R614" s="420"/>
      <c r="S614" s="420"/>
      <c r="T614" s="420"/>
      <c r="U614" s="420"/>
      <c r="V614" s="420"/>
      <c r="W614" s="420"/>
      <c r="X614" s="420"/>
      <c r="Y614" s="420"/>
      <c r="Z614" s="367"/>
      <c r="AA614" s="420"/>
      <c r="AB614" s="420"/>
      <c r="AC614" s="420"/>
      <c r="AD614" s="420"/>
      <c r="AE614" s="420"/>
      <c r="AF614" s="367"/>
      <c r="AG614" s="420"/>
      <c r="AH614" s="367"/>
      <c r="AI614" s="367"/>
      <c r="AJ614" s="367"/>
      <c r="AK614" s="358"/>
      <c r="AL614" s="358"/>
      <c r="AM614" s="358"/>
      <c r="AN614" s="358"/>
      <c r="AO614" s="358"/>
      <c r="AP614" s="367"/>
    </row>
    <row r="615">
      <c r="A615" s="418"/>
      <c r="B615" s="418"/>
      <c r="C615" s="418"/>
      <c r="D615" s="418"/>
      <c r="E615" s="418"/>
      <c r="F615" s="418"/>
      <c r="G615" s="367"/>
      <c r="H615" s="418"/>
      <c r="I615" s="418"/>
      <c r="J615" s="418"/>
      <c r="K615" s="418"/>
      <c r="L615" s="420"/>
      <c r="M615" s="420"/>
      <c r="N615" s="420"/>
      <c r="O615" s="420"/>
      <c r="P615" s="420"/>
      <c r="Q615" s="420"/>
      <c r="R615" s="420"/>
      <c r="S615" s="420"/>
      <c r="T615" s="420"/>
      <c r="U615" s="420"/>
      <c r="V615" s="420"/>
      <c r="W615" s="420"/>
      <c r="X615" s="420"/>
      <c r="Y615" s="420"/>
      <c r="Z615" s="367"/>
      <c r="AA615" s="420"/>
      <c r="AB615" s="420"/>
      <c r="AC615" s="420"/>
      <c r="AD615" s="420"/>
      <c r="AE615" s="420"/>
      <c r="AF615" s="367"/>
      <c r="AG615" s="420"/>
      <c r="AH615" s="367"/>
      <c r="AI615" s="367"/>
      <c r="AJ615" s="367"/>
      <c r="AK615" s="358"/>
      <c r="AL615" s="358"/>
      <c r="AM615" s="358"/>
      <c r="AN615" s="358"/>
      <c r="AO615" s="358"/>
      <c r="AP615" s="367"/>
    </row>
    <row r="616">
      <c r="A616" s="418"/>
      <c r="B616" s="418"/>
      <c r="C616" s="418"/>
      <c r="D616" s="418"/>
      <c r="E616" s="418"/>
      <c r="F616" s="418"/>
      <c r="G616" s="367"/>
      <c r="H616" s="418"/>
      <c r="I616" s="418"/>
      <c r="J616" s="418"/>
      <c r="K616" s="418"/>
      <c r="L616" s="420"/>
      <c r="M616" s="420"/>
      <c r="N616" s="420"/>
      <c r="O616" s="420"/>
      <c r="P616" s="420"/>
      <c r="Q616" s="420"/>
      <c r="R616" s="420"/>
      <c r="S616" s="420"/>
      <c r="T616" s="420"/>
      <c r="U616" s="420"/>
      <c r="V616" s="420"/>
      <c r="W616" s="420"/>
      <c r="X616" s="420"/>
      <c r="Y616" s="420"/>
      <c r="Z616" s="367"/>
      <c r="AA616" s="420"/>
      <c r="AB616" s="420"/>
      <c r="AC616" s="420"/>
      <c r="AD616" s="420"/>
      <c r="AE616" s="420"/>
      <c r="AF616" s="367"/>
      <c r="AG616" s="420"/>
      <c r="AH616" s="367"/>
      <c r="AI616" s="367"/>
      <c r="AJ616" s="367"/>
      <c r="AK616" s="358"/>
      <c r="AL616" s="358"/>
      <c r="AM616" s="358"/>
      <c r="AN616" s="358"/>
      <c r="AO616" s="358"/>
      <c r="AP616" s="367"/>
    </row>
    <row r="617">
      <c r="A617" s="418"/>
      <c r="B617" s="418"/>
      <c r="C617" s="418"/>
      <c r="D617" s="418"/>
      <c r="E617" s="418"/>
      <c r="F617" s="418"/>
      <c r="G617" s="367"/>
      <c r="H617" s="418"/>
      <c r="I617" s="418"/>
      <c r="J617" s="418"/>
      <c r="K617" s="418"/>
      <c r="L617" s="420"/>
      <c r="M617" s="420"/>
      <c r="N617" s="420"/>
      <c r="O617" s="420"/>
      <c r="P617" s="420"/>
      <c r="Q617" s="420"/>
      <c r="R617" s="420"/>
      <c r="S617" s="420"/>
      <c r="T617" s="420"/>
      <c r="U617" s="420"/>
      <c r="V617" s="420"/>
      <c r="W617" s="420"/>
      <c r="X617" s="420"/>
      <c r="Y617" s="420"/>
      <c r="Z617" s="367"/>
      <c r="AA617" s="420"/>
      <c r="AB617" s="420"/>
      <c r="AC617" s="420"/>
      <c r="AD617" s="420"/>
      <c r="AE617" s="420"/>
      <c r="AF617" s="367"/>
      <c r="AG617" s="420"/>
      <c r="AH617" s="367"/>
      <c r="AI617" s="367"/>
      <c r="AJ617" s="367"/>
      <c r="AK617" s="358"/>
      <c r="AL617" s="358"/>
      <c r="AM617" s="358"/>
      <c r="AN617" s="358"/>
      <c r="AO617" s="358"/>
      <c r="AP617" s="367"/>
    </row>
    <row r="618">
      <c r="A618" s="418"/>
      <c r="B618" s="418"/>
      <c r="C618" s="418"/>
      <c r="D618" s="418"/>
      <c r="E618" s="418"/>
      <c r="F618" s="418"/>
      <c r="G618" s="367"/>
      <c r="H618" s="418"/>
      <c r="I618" s="418"/>
      <c r="J618" s="418"/>
      <c r="K618" s="418"/>
      <c r="L618" s="420"/>
      <c r="M618" s="420"/>
      <c r="N618" s="420"/>
      <c r="O618" s="420"/>
      <c r="P618" s="420"/>
      <c r="Q618" s="420"/>
      <c r="R618" s="420"/>
      <c r="S618" s="420"/>
      <c r="T618" s="420"/>
      <c r="U618" s="420"/>
      <c r="V618" s="420"/>
      <c r="W618" s="420"/>
      <c r="X618" s="420"/>
      <c r="Y618" s="420"/>
      <c r="Z618" s="367"/>
      <c r="AA618" s="420"/>
      <c r="AB618" s="420"/>
      <c r="AC618" s="420"/>
      <c r="AD618" s="420"/>
      <c r="AE618" s="420"/>
      <c r="AF618" s="367"/>
      <c r="AG618" s="420"/>
      <c r="AH618" s="367"/>
      <c r="AI618" s="367"/>
      <c r="AJ618" s="367"/>
      <c r="AK618" s="358"/>
      <c r="AL618" s="358"/>
      <c r="AM618" s="358"/>
      <c r="AN618" s="358"/>
      <c r="AO618" s="358"/>
      <c r="AP618" s="367"/>
    </row>
    <row r="619">
      <c r="A619" s="418"/>
      <c r="B619" s="418"/>
      <c r="C619" s="418"/>
      <c r="D619" s="418"/>
      <c r="E619" s="418"/>
      <c r="F619" s="418"/>
      <c r="G619" s="367"/>
      <c r="H619" s="418"/>
      <c r="I619" s="418"/>
      <c r="J619" s="418"/>
      <c r="K619" s="418"/>
      <c r="L619" s="420"/>
      <c r="M619" s="420"/>
      <c r="N619" s="420"/>
      <c r="O619" s="420"/>
      <c r="P619" s="420"/>
      <c r="Q619" s="420"/>
      <c r="R619" s="420"/>
      <c r="S619" s="420"/>
      <c r="T619" s="420"/>
      <c r="U619" s="420"/>
      <c r="V619" s="420"/>
      <c r="W619" s="420"/>
      <c r="X619" s="420"/>
      <c r="Y619" s="420"/>
      <c r="Z619" s="367"/>
      <c r="AA619" s="420"/>
      <c r="AB619" s="420"/>
      <c r="AC619" s="420"/>
      <c r="AD619" s="420"/>
      <c r="AE619" s="420"/>
      <c r="AF619" s="367"/>
      <c r="AG619" s="420"/>
      <c r="AH619" s="367"/>
      <c r="AI619" s="367"/>
      <c r="AJ619" s="367"/>
      <c r="AK619" s="358"/>
      <c r="AL619" s="358"/>
      <c r="AM619" s="358"/>
      <c r="AN619" s="358"/>
      <c r="AO619" s="358"/>
      <c r="AP619" s="367"/>
    </row>
    <row r="620">
      <c r="A620" s="418"/>
      <c r="B620" s="418"/>
      <c r="C620" s="418"/>
      <c r="D620" s="418"/>
      <c r="E620" s="418"/>
      <c r="F620" s="418"/>
      <c r="G620" s="367"/>
      <c r="H620" s="418"/>
      <c r="I620" s="418"/>
      <c r="J620" s="418"/>
      <c r="K620" s="418"/>
      <c r="L620" s="420"/>
      <c r="M620" s="420"/>
      <c r="N620" s="420"/>
      <c r="O620" s="420"/>
      <c r="P620" s="420"/>
      <c r="Q620" s="420"/>
      <c r="R620" s="420"/>
      <c r="S620" s="420"/>
      <c r="T620" s="420"/>
      <c r="U620" s="420"/>
      <c r="V620" s="420"/>
      <c r="W620" s="420"/>
      <c r="X620" s="420"/>
      <c r="Y620" s="420"/>
      <c r="Z620" s="367"/>
      <c r="AA620" s="420"/>
      <c r="AB620" s="420"/>
      <c r="AC620" s="420"/>
      <c r="AD620" s="420"/>
      <c r="AE620" s="420"/>
      <c r="AF620" s="367"/>
      <c r="AG620" s="420"/>
      <c r="AH620" s="367"/>
      <c r="AI620" s="367"/>
      <c r="AJ620" s="367"/>
      <c r="AK620" s="358"/>
      <c r="AL620" s="358"/>
      <c r="AM620" s="358"/>
      <c r="AN620" s="358"/>
      <c r="AO620" s="358"/>
      <c r="AP620" s="367"/>
    </row>
    <row r="621">
      <c r="A621" s="418"/>
      <c r="B621" s="418"/>
      <c r="C621" s="418"/>
      <c r="D621" s="418"/>
      <c r="E621" s="418"/>
      <c r="F621" s="418"/>
      <c r="G621" s="367"/>
      <c r="H621" s="418"/>
      <c r="I621" s="418"/>
      <c r="J621" s="418"/>
      <c r="K621" s="418"/>
      <c r="L621" s="420"/>
      <c r="M621" s="420"/>
      <c r="N621" s="420"/>
      <c r="O621" s="420"/>
      <c r="P621" s="420"/>
      <c r="Q621" s="420"/>
      <c r="R621" s="420"/>
      <c r="S621" s="420"/>
      <c r="T621" s="420"/>
      <c r="U621" s="420"/>
      <c r="V621" s="420"/>
      <c r="W621" s="420"/>
      <c r="X621" s="420"/>
      <c r="Y621" s="420"/>
      <c r="Z621" s="367"/>
      <c r="AA621" s="420"/>
      <c r="AB621" s="420"/>
      <c r="AC621" s="420"/>
      <c r="AD621" s="420"/>
      <c r="AE621" s="420"/>
      <c r="AF621" s="367"/>
      <c r="AG621" s="420"/>
      <c r="AH621" s="367"/>
      <c r="AI621" s="367"/>
      <c r="AJ621" s="367"/>
      <c r="AK621" s="358"/>
      <c r="AL621" s="358"/>
      <c r="AM621" s="358"/>
      <c r="AN621" s="358"/>
      <c r="AO621" s="358"/>
      <c r="AP621" s="367"/>
    </row>
    <row r="622">
      <c r="A622" s="418"/>
      <c r="B622" s="418"/>
      <c r="C622" s="418"/>
      <c r="D622" s="418"/>
      <c r="E622" s="418"/>
      <c r="F622" s="418"/>
      <c r="G622" s="367"/>
      <c r="H622" s="418"/>
      <c r="I622" s="418"/>
      <c r="J622" s="418"/>
      <c r="K622" s="418"/>
      <c r="L622" s="420"/>
      <c r="M622" s="420"/>
      <c r="N622" s="420"/>
      <c r="O622" s="420"/>
      <c r="P622" s="420"/>
      <c r="Q622" s="420"/>
      <c r="R622" s="420"/>
      <c r="S622" s="420"/>
      <c r="T622" s="420"/>
      <c r="U622" s="420"/>
      <c r="V622" s="420"/>
      <c r="W622" s="420"/>
      <c r="X622" s="420"/>
      <c r="Y622" s="420"/>
      <c r="Z622" s="367"/>
      <c r="AA622" s="420"/>
      <c r="AB622" s="420"/>
      <c r="AC622" s="420"/>
      <c r="AD622" s="420"/>
      <c r="AE622" s="420"/>
      <c r="AF622" s="367"/>
      <c r="AG622" s="420"/>
      <c r="AH622" s="367"/>
      <c r="AI622" s="367"/>
      <c r="AJ622" s="367"/>
      <c r="AK622" s="358"/>
      <c r="AL622" s="358"/>
      <c r="AM622" s="358"/>
      <c r="AN622" s="358"/>
      <c r="AO622" s="358"/>
      <c r="AP622" s="367"/>
    </row>
    <row r="623">
      <c r="A623" s="418"/>
      <c r="B623" s="418"/>
      <c r="C623" s="418"/>
      <c r="D623" s="418"/>
      <c r="E623" s="418"/>
      <c r="F623" s="418"/>
      <c r="G623" s="367"/>
      <c r="H623" s="418"/>
      <c r="I623" s="418"/>
      <c r="J623" s="418"/>
      <c r="K623" s="418"/>
      <c r="L623" s="420"/>
      <c r="M623" s="420"/>
      <c r="N623" s="420"/>
      <c r="O623" s="420"/>
      <c r="P623" s="420"/>
      <c r="Q623" s="420"/>
      <c r="R623" s="420"/>
      <c r="S623" s="420"/>
      <c r="T623" s="420"/>
      <c r="U623" s="420"/>
      <c r="V623" s="420"/>
      <c r="W623" s="420"/>
      <c r="X623" s="420"/>
      <c r="Y623" s="420"/>
      <c r="Z623" s="367"/>
      <c r="AA623" s="420"/>
      <c r="AB623" s="420"/>
      <c r="AC623" s="420"/>
      <c r="AD623" s="420"/>
      <c r="AE623" s="420"/>
      <c r="AF623" s="367"/>
      <c r="AG623" s="420"/>
      <c r="AH623" s="367"/>
      <c r="AI623" s="367"/>
      <c r="AJ623" s="367"/>
      <c r="AK623" s="358"/>
      <c r="AL623" s="358"/>
      <c r="AM623" s="358"/>
      <c r="AN623" s="358"/>
      <c r="AO623" s="358"/>
      <c r="AP623" s="367"/>
    </row>
    <row r="624">
      <c r="A624" s="418"/>
      <c r="B624" s="418"/>
      <c r="C624" s="418"/>
      <c r="D624" s="418"/>
      <c r="E624" s="418"/>
      <c r="F624" s="418"/>
      <c r="G624" s="367"/>
      <c r="H624" s="418"/>
      <c r="I624" s="418"/>
      <c r="J624" s="418"/>
      <c r="K624" s="418"/>
      <c r="L624" s="420"/>
      <c r="M624" s="420"/>
      <c r="N624" s="420"/>
      <c r="O624" s="420"/>
      <c r="P624" s="420"/>
      <c r="Q624" s="420"/>
      <c r="R624" s="420"/>
      <c r="S624" s="420"/>
      <c r="T624" s="420"/>
      <c r="U624" s="420"/>
      <c r="V624" s="420"/>
      <c r="W624" s="420"/>
      <c r="X624" s="420"/>
      <c r="Y624" s="420"/>
      <c r="Z624" s="367"/>
      <c r="AA624" s="420"/>
      <c r="AB624" s="420"/>
      <c r="AC624" s="420"/>
      <c r="AD624" s="420"/>
      <c r="AE624" s="420"/>
      <c r="AF624" s="367"/>
      <c r="AG624" s="420"/>
      <c r="AH624" s="367"/>
      <c r="AI624" s="367"/>
      <c r="AJ624" s="367"/>
      <c r="AK624" s="358"/>
      <c r="AL624" s="358"/>
      <c r="AM624" s="358"/>
      <c r="AN624" s="358"/>
      <c r="AO624" s="358"/>
      <c r="AP624" s="367"/>
    </row>
    <row r="625">
      <c r="A625" s="418"/>
      <c r="B625" s="418"/>
      <c r="C625" s="418"/>
      <c r="D625" s="418"/>
      <c r="E625" s="418"/>
      <c r="F625" s="418"/>
      <c r="G625" s="367"/>
      <c r="H625" s="418"/>
      <c r="I625" s="418"/>
      <c r="J625" s="418"/>
      <c r="K625" s="418"/>
      <c r="L625" s="420"/>
      <c r="M625" s="420"/>
      <c r="N625" s="420"/>
      <c r="O625" s="420"/>
      <c r="P625" s="420"/>
      <c r="Q625" s="420"/>
      <c r="R625" s="420"/>
      <c r="S625" s="420"/>
      <c r="T625" s="420"/>
      <c r="U625" s="420"/>
      <c r="V625" s="420"/>
      <c r="W625" s="420"/>
      <c r="X625" s="420"/>
      <c r="Y625" s="420"/>
      <c r="Z625" s="367"/>
      <c r="AA625" s="420"/>
      <c r="AB625" s="420"/>
      <c r="AC625" s="420"/>
      <c r="AD625" s="420"/>
      <c r="AE625" s="420"/>
      <c r="AF625" s="367"/>
      <c r="AG625" s="420"/>
      <c r="AH625" s="367"/>
      <c r="AI625" s="367"/>
      <c r="AJ625" s="367"/>
      <c r="AK625" s="358"/>
      <c r="AL625" s="358"/>
      <c r="AM625" s="358"/>
      <c r="AN625" s="358"/>
      <c r="AO625" s="358"/>
      <c r="AP625" s="367"/>
    </row>
    <row r="626">
      <c r="A626" s="418"/>
      <c r="B626" s="418"/>
      <c r="C626" s="418"/>
      <c r="D626" s="418"/>
      <c r="E626" s="418"/>
      <c r="F626" s="418"/>
      <c r="G626" s="367"/>
      <c r="H626" s="418"/>
      <c r="I626" s="418"/>
      <c r="J626" s="418"/>
      <c r="K626" s="418"/>
      <c r="L626" s="420"/>
      <c r="M626" s="420"/>
      <c r="N626" s="420"/>
      <c r="O626" s="420"/>
      <c r="P626" s="420"/>
      <c r="Q626" s="420"/>
      <c r="R626" s="420"/>
      <c r="S626" s="420"/>
      <c r="T626" s="420"/>
      <c r="U626" s="420"/>
      <c r="V626" s="420"/>
      <c r="W626" s="420"/>
      <c r="X626" s="420"/>
      <c r="Y626" s="420"/>
      <c r="Z626" s="367"/>
      <c r="AA626" s="420"/>
      <c r="AB626" s="420"/>
      <c r="AC626" s="420"/>
      <c r="AD626" s="420"/>
      <c r="AE626" s="420"/>
      <c r="AF626" s="367"/>
      <c r="AG626" s="420"/>
      <c r="AH626" s="367"/>
      <c r="AI626" s="367"/>
      <c r="AJ626" s="367"/>
      <c r="AK626" s="358"/>
      <c r="AL626" s="358"/>
      <c r="AM626" s="358"/>
      <c r="AN626" s="358"/>
      <c r="AO626" s="358"/>
      <c r="AP626" s="367"/>
    </row>
    <row r="627">
      <c r="A627" s="418"/>
      <c r="B627" s="418"/>
      <c r="C627" s="418"/>
      <c r="D627" s="418"/>
      <c r="E627" s="418"/>
      <c r="F627" s="418"/>
      <c r="G627" s="367"/>
      <c r="H627" s="418"/>
      <c r="I627" s="418"/>
      <c r="J627" s="418"/>
      <c r="K627" s="418"/>
      <c r="L627" s="420"/>
      <c r="M627" s="420"/>
      <c r="N627" s="420"/>
      <c r="O627" s="420"/>
      <c r="P627" s="420"/>
      <c r="Q627" s="420"/>
      <c r="R627" s="420"/>
      <c r="S627" s="420"/>
      <c r="T627" s="420"/>
      <c r="U627" s="420"/>
      <c r="V627" s="420"/>
      <c r="W627" s="420"/>
      <c r="X627" s="420"/>
      <c r="Y627" s="420"/>
      <c r="Z627" s="367"/>
      <c r="AA627" s="420"/>
      <c r="AB627" s="420"/>
      <c r="AC627" s="420"/>
      <c r="AD627" s="420"/>
      <c r="AE627" s="420"/>
      <c r="AF627" s="367"/>
      <c r="AG627" s="420"/>
      <c r="AH627" s="367"/>
      <c r="AI627" s="367"/>
      <c r="AJ627" s="367"/>
      <c r="AK627" s="358"/>
      <c r="AL627" s="358"/>
      <c r="AM627" s="358"/>
      <c r="AN627" s="358"/>
      <c r="AO627" s="358"/>
      <c r="AP627" s="367"/>
    </row>
    <row r="628">
      <c r="A628" s="418"/>
      <c r="B628" s="418"/>
      <c r="C628" s="418"/>
      <c r="D628" s="418"/>
      <c r="E628" s="418"/>
      <c r="F628" s="418"/>
      <c r="G628" s="367"/>
      <c r="H628" s="418"/>
      <c r="I628" s="418"/>
      <c r="J628" s="418"/>
      <c r="K628" s="418"/>
      <c r="L628" s="420"/>
      <c r="M628" s="420"/>
      <c r="N628" s="420"/>
      <c r="O628" s="420"/>
      <c r="P628" s="420"/>
      <c r="Q628" s="420"/>
      <c r="R628" s="420"/>
      <c r="S628" s="420"/>
      <c r="T628" s="420"/>
      <c r="U628" s="420"/>
      <c r="V628" s="420"/>
      <c r="W628" s="420"/>
      <c r="X628" s="420"/>
      <c r="Y628" s="420"/>
      <c r="Z628" s="367"/>
      <c r="AA628" s="420"/>
      <c r="AB628" s="420"/>
      <c r="AC628" s="420"/>
      <c r="AD628" s="420"/>
      <c r="AE628" s="420"/>
      <c r="AF628" s="367"/>
      <c r="AG628" s="420"/>
      <c r="AH628" s="367"/>
      <c r="AI628" s="367"/>
      <c r="AJ628" s="367"/>
      <c r="AK628" s="358"/>
      <c r="AL628" s="358"/>
      <c r="AM628" s="358"/>
      <c r="AN628" s="358"/>
      <c r="AO628" s="358"/>
      <c r="AP628" s="367"/>
    </row>
    <row r="629">
      <c r="A629" s="418"/>
      <c r="B629" s="418"/>
      <c r="C629" s="418"/>
      <c r="D629" s="418"/>
      <c r="E629" s="418"/>
      <c r="F629" s="418"/>
      <c r="G629" s="367"/>
      <c r="H629" s="418"/>
      <c r="I629" s="418"/>
      <c r="J629" s="418"/>
      <c r="K629" s="418"/>
      <c r="L629" s="420"/>
      <c r="M629" s="420"/>
      <c r="N629" s="420"/>
      <c r="O629" s="420"/>
      <c r="P629" s="420"/>
      <c r="Q629" s="420"/>
      <c r="R629" s="420"/>
      <c r="S629" s="420"/>
      <c r="T629" s="420"/>
      <c r="U629" s="420"/>
      <c r="V629" s="420"/>
      <c r="W629" s="420"/>
      <c r="X629" s="420"/>
      <c r="Y629" s="420"/>
      <c r="Z629" s="367"/>
      <c r="AA629" s="420"/>
      <c r="AB629" s="420"/>
      <c r="AC629" s="420"/>
      <c r="AD629" s="420"/>
      <c r="AE629" s="420"/>
      <c r="AF629" s="367"/>
      <c r="AG629" s="420"/>
      <c r="AH629" s="367"/>
      <c r="AI629" s="367"/>
      <c r="AJ629" s="367"/>
      <c r="AK629" s="358"/>
      <c r="AL629" s="358"/>
      <c r="AM629" s="358"/>
      <c r="AN629" s="358"/>
      <c r="AO629" s="358"/>
      <c r="AP629" s="367"/>
    </row>
    <row r="630">
      <c r="A630" s="418"/>
      <c r="B630" s="418"/>
      <c r="C630" s="418"/>
      <c r="D630" s="418"/>
      <c r="E630" s="418"/>
      <c r="F630" s="418"/>
      <c r="G630" s="367"/>
      <c r="H630" s="418"/>
      <c r="I630" s="418"/>
      <c r="J630" s="418"/>
      <c r="K630" s="418"/>
      <c r="L630" s="420"/>
      <c r="M630" s="420"/>
      <c r="N630" s="420"/>
      <c r="O630" s="420"/>
      <c r="P630" s="420"/>
      <c r="Q630" s="420"/>
      <c r="R630" s="420"/>
      <c r="S630" s="420"/>
      <c r="T630" s="420"/>
      <c r="U630" s="420"/>
      <c r="V630" s="420"/>
      <c r="W630" s="420"/>
      <c r="X630" s="420"/>
      <c r="Y630" s="420"/>
      <c r="Z630" s="367"/>
      <c r="AA630" s="420"/>
      <c r="AB630" s="420"/>
      <c r="AC630" s="420"/>
      <c r="AD630" s="420"/>
      <c r="AE630" s="420"/>
      <c r="AF630" s="367"/>
      <c r="AG630" s="420"/>
      <c r="AH630" s="367"/>
      <c r="AI630" s="367"/>
      <c r="AJ630" s="367"/>
      <c r="AK630" s="358"/>
      <c r="AL630" s="358"/>
      <c r="AM630" s="358"/>
      <c r="AN630" s="358"/>
      <c r="AO630" s="358"/>
      <c r="AP630" s="367"/>
    </row>
    <row r="631">
      <c r="A631" s="418"/>
      <c r="B631" s="418"/>
      <c r="C631" s="418"/>
      <c r="D631" s="418"/>
      <c r="E631" s="418"/>
      <c r="F631" s="418"/>
      <c r="G631" s="367"/>
      <c r="H631" s="418"/>
      <c r="I631" s="418"/>
      <c r="J631" s="418"/>
      <c r="K631" s="418"/>
      <c r="L631" s="420"/>
      <c r="M631" s="420"/>
      <c r="N631" s="420"/>
      <c r="O631" s="420"/>
      <c r="P631" s="420"/>
      <c r="Q631" s="420"/>
      <c r="R631" s="420"/>
      <c r="S631" s="420"/>
      <c r="T631" s="420"/>
      <c r="U631" s="420"/>
      <c r="V631" s="420"/>
      <c r="W631" s="420"/>
      <c r="X631" s="420"/>
      <c r="Y631" s="420"/>
      <c r="Z631" s="367"/>
      <c r="AA631" s="420"/>
      <c r="AB631" s="420"/>
      <c r="AC631" s="420"/>
      <c r="AD631" s="420"/>
      <c r="AE631" s="420"/>
      <c r="AF631" s="367"/>
      <c r="AG631" s="420"/>
      <c r="AH631" s="367"/>
      <c r="AI631" s="367"/>
      <c r="AJ631" s="367"/>
      <c r="AK631" s="358"/>
      <c r="AL631" s="358"/>
      <c r="AM631" s="358"/>
      <c r="AN631" s="358"/>
      <c r="AO631" s="358"/>
      <c r="AP631" s="367"/>
    </row>
    <row r="632">
      <c r="A632" s="418"/>
      <c r="B632" s="418"/>
      <c r="C632" s="418"/>
      <c r="D632" s="418"/>
      <c r="E632" s="418"/>
      <c r="F632" s="418"/>
      <c r="G632" s="367"/>
      <c r="H632" s="418"/>
      <c r="I632" s="418"/>
      <c r="J632" s="418"/>
      <c r="K632" s="418"/>
      <c r="L632" s="420"/>
      <c r="M632" s="420"/>
      <c r="N632" s="420"/>
      <c r="O632" s="420"/>
      <c r="P632" s="420"/>
      <c r="Q632" s="420"/>
      <c r="R632" s="420"/>
      <c r="S632" s="420"/>
      <c r="T632" s="420"/>
      <c r="U632" s="420"/>
      <c r="V632" s="420"/>
      <c r="W632" s="420"/>
      <c r="X632" s="420"/>
      <c r="Y632" s="420"/>
      <c r="Z632" s="367"/>
      <c r="AA632" s="420"/>
      <c r="AB632" s="420"/>
      <c r="AC632" s="420"/>
      <c r="AD632" s="420"/>
      <c r="AE632" s="420"/>
      <c r="AF632" s="367"/>
      <c r="AG632" s="420"/>
      <c r="AH632" s="367"/>
      <c r="AI632" s="367"/>
      <c r="AJ632" s="367"/>
      <c r="AK632" s="358"/>
      <c r="AL632" s="358"/>
      <c r="AM632" s="358"/>
      <c r="AN632" s="358"/>
      <c r="AO632" s="358"/>
      <c r="AP632" s="367"/>
    </row>
    <row r="633">
      <c r="A633" s="418"/>
      <c r="B633" s="418"/>
      <c r="C633" s="418"/>
      <c r="D633" s="418"/>
      <c r="E633" s="418"/>
      <c r="F633" s="418"/>
      <c r="G633" s="367"/>
      <c r="H633" s="418"/>
      <c r="I633" s="418"/>
      <c r="J633" s="418"/>
      <c r="K633" s="418"/>
      <c r="L633" s="420"/>
      <c r="M633" s="420"/>
      <c r="N633" s="420"/>
      <c r="O633" s="420"/>
      <c r="P633" s="420"/>
      <c r="Q633" s="420"/>
      <c r="R633" s="420"/>
      <c r="S633" s="420"/>
      <c r="T633" s="420"/>
      <c r="U633" s="420"/>
      <c r="V633" s="420"/>
      <c r="W633" s="420"/>
      <c r="X633" s="420"/>
      <c r="Y633" s="420"/>
      <c r="Z633" s="367"/>
      <c r="AA633" s="420"/>
      <c r="AB633" s="420"/>
      <c r="AC633" s="420"/>
      <c r="AD633" s="420"/>
      <c r="AE633" s="420"/>
      <c r="AF633" s="367"/>
      <c r="AG633" s="420"/>
      <c r="AH633" s="367"/>
      <c r="AI633" s="367"/>
      <c r="AJ633" s="367"/>
      <c r="AK633" s="358"/>
      <c r="AL633" s="358"/>
      <c r="AM633" s="358"/>
      <c r="AN633" s="358"/>
      <c r="AO633" s="358"/>
      <c r="AP633" s="367"/>
    </row>
    <row r="634">
      <c r="A634" s="418"/>
      <c r="B634" s="418"/>
      <c r="C634" s="418"/>
      <c r="D634" s="418"/>
      <c r="E634" s="418"/>
      <c r="F634" s="418"/>
      <c r="G634" s="367"/>
      <c r="H634" s="418"/>
      <c r="I634" s="418"/>
      <c r="J634" s="418"/>
      <c r="K634" s="418"/>
      <c r="L634" s="420"/>
      <c r="M634" s="420"/>
      <c r="N634" s="420"/>
      <c r="O634" s="420"/>
      <c r="P634" s="420"/>
      <c r="Q634" s="420"/>
      <c r="R634" s="420"/>
      <c r="S634" s="420"/>
      <c r="T634" s="420"/>
      <c r="U634" s="420"/>
      <c r="V634" s="420"/>
      <c r="W634" s="420"/>
      <c r="X634" s="420"/>
      <c r="Y634" s="420"/>
      <c r="Z634" s="367"/>
      <c r="AA634" s="420"/>
      <c r="AB634" s="420"/>
      <c r="AC634" s="420"/>
      <c r="AD634" s="420"/>
      <c r="AE634" s="420"/>
      <c r="AF634" s="367"/>
      <c r="AG634" s="420"/>
      <c r="AH634" s="367"/>
      <c r="AI634" s="367"/>
      <c r="AJ634" s="367"/>
      <c r="AK634" s="358"/>
      <c r="AL634" s="358"/>
      <c r="AM634" s="358"/>
      <c r="AN634" s="358"/>
      <c r="AO634" s="358"/>
      <c r="AP634" s="367"/>
    </row>
    <row r="635">
      <c r="A635" s="418"/>
      <c r="B635" s="418"/>
      <c r="C635" s="418"/>
      <c r="D635" s="418"/>
      <c r="E635" s="418"/>
      <c r="F635" s="418"/>
      <c r="G635" s="367"/>
      <c r="H635" s="418"/>
      <c r="I635" s="418"/>
      <c r="J635" s="418"/>
      <c r="K635" s="418"/>
      <c r="L635" s="420"/>
      <c r="M635" s="420"/>
      <c r="N635" s="420"/>
      <c r="O635" s="420"/>
      <c r="P635" s="420"/>
      <c r="Q635" s="420"/>
      <c r="R635" s="420"/>
      <c r="S635" s="420"/>
      <c r="T635" s="420"/>
      <c r="U635" s="420"/>
      <c r="V635" s="420"/>
      <c r="W635" s="420"/>
      <c r="X635" s="420"/>
      <c r="Y635" s="420"/>
      <c r="Z635" s="367"/>
      <c r="AA635" s="420"/>
      <c r="AB635" s="420"/>
      <c r="AC635" s="420"/>
      <c r="AD635" s="420"/>
      <c r="AE635" s="420"/>
      <c r="AF635" s="367"/>
      <c r="AG635" s="420"/>
      <c r="AH635" s="367"/>
      <c r="AI635" s="367"/>
      <c r="AJ635" s="367"/>
      <c r="AK635" s="358"/>
      <c r="AL635" s="358"/>
      <c r="AM635" s="358"/>
      <c r="AN635" s="358"/>
      <c r="AO635" s="358"/>
      <c r="AP635" s="367"/>
    </row>
    <row r="636">
      <c r="A636" s="418"/>
      <c r="B636" s="418"/>
      <c r="C636" s="418"/>
      <c r="D636" s="418"/>
      <c r="E636" s="418"/>
      <c r="F636" s="418"/>
      <c r="G636" s="367"/>
      <c r="H636" s="418"/>
      <c r="I636" s="418"/>
      <c r="J636" s="418"/>
      <c r="K636" s="418"/>
      <c r="L636" s="420"/>
      <c r="M636" s="420"/>
      <c r="N636" s="420"/>
      <c r="O636" s="420"/>
      <c r="P636" s="420"/>
      <c r="Q636" s="420"/>
      <c r="R636" s="420"/>
      <c r="S636" s="420"/>
      <c r="T636" s="420"/>
      <c r="U636" s="420"/>
      <c r="V636" s="420"/>
      <c r="W636" s="420"/>
      <c r="X636" s="420"/>
      <c r="Y636" s="420"/>
      <c r="Z636" s="367"/>
      <c r="AA636" s="420"/>
      <c r="AB636" s="420"/>
      <c r="AC636" s="420"/>
      <c r="AD636" s="420"/>
      <c r="AE636" s="420"/>
      <c r="AF636" s="367"/>
      <c r="AG636" s="420"/>
      <c r="AH636" s="367"/>
      <c r="AI636" s="367"/>
      <c r="AJ636" s="367"/>
      <c r="AK636" s="358"/>
      <c r="AL636" s="358"/>
      <c r="AM636" s="358"/>
      <c r="AN636" s="358"/>
      <c r="AO636" s="358"/>
      <c r="AP636" s="367"/>
    </row>
    <row r="637">
      <c r="A637" s="418"/>
      <c r="B637" s="418"/>
      <c r="C637" s="418"/>
      <c r="D637" s="418"/>
      <c r="E637" s="418"/>
      <c r="F637" s="418"/>
      <c r="G637" s="367"/>
      <c r="H637" s="418"/>
      <c r="I637" s="418"/>
      <c r="J637" s="418"/>
      <c r="K637" s="418"/>
      <c r="L637" s="420"/>
      <c r="M637" s="420"/>
      <c r="N637" s="420"/>
      <c r="O637" s="420"/>
      <c r="P637" s="420"/>
      <c r="Q637" s="420"/>
      <c r="R637" s="420"/>
      <c r="S637" s="420"/>
      <c r="T637" s="420"/>
      <c r="U637" s="420"/>
      <c r="V637" s="420"/>
      <c r="W637" s="420"/>
      <c r="X637" s="420"/>
      <c r="Y637" s="420"/>
      <c r="Z637" s="367"/>
      <c r="AA637" s="420"/>
      <c r="AB637" s="420"/>
      <c r="AC637" s="420"/>
      <c r="AD637" s="420"/>
      <c r="AE637" s="420"/>
      <c r="AF637" s="367"/>
      <c r="AG637" s="420"/>
      <c r="AH637" s="367"/>
      <c r="AI637" s="367"/>
      <c r="AJ637" s="367"/>
      <c r="AK637" s="358"/>
      <c r="AL637" s="358"/>
      <c r="AM637" s="358"/>
      <c r="AN637" s="358"/>
      <c r="AO637" s="358"/>
      <c r="AP637" s="367"/>
    </row>
    <row r="638">
      <c r="A638" s="418"/>
      <c r="B638" s="418"/>
      <c r="C638" s="418"/>
      <c r="D638" s="418"/>
      <c r="E638" s="418"/>
      <c r="F638" s="418"/>
      <c r="G638" s="367"/>
      <c r="H638" s="418"/>
      <c r="I638" s="418"/>
      <c r="J638" s="418"/>
      <c r="K638" s="418"/>
      <c r="L638" s="420"/>
      <c r="M638" s="420"/>
      <c r="N638" s="420"/>
      <c r="O638" s="420"/>
      <c r="P638" s="420"/>
      <c r="Q638" s="420"/>
      <c r="R638" s="420"/>
      <c r="S638" s="420"/>
      <c r="T638" s="420"/>
      <c r="U638" s="420"/>
      <c r="V638" s="420"/>
      <c r="W638" s="420"/>
      <c r="X638" s="420"/>
      <c r="Y638" s="420"/>
      <c r="Z638" s="367"/>
      <c r="AA638" s="420"/>
      <c r="AB638" s="420"/>
      <c r="AC638" s="420"/>
      <c r="AD638" s="420"/>
      <c r="AE638" s="420"/>
      <c r="AF638" s="367"/>
      <c r="AG638" s="420"/>
      <c r="AH638" s="367"/>
      <c r="AI638" s="367"/>
      <c r="AJ638" s="367"/>
      <c r="AK638" s="358"/>
      <c r="AL638" s="358"/>
      <c r="AM638" s="358"/>
      <c r="AN638" s="358"/>
      <c r="AO638" s="358"/>
      <c r="AP638" s="367"/>
    </row>
    <row r="639">
      <c r="A639" s="418"/>
      <c r="B639" s="418"/>
      <c r="C639" s="418"/>
      <c r="D639" s="418"/>
      <c r="E639" s="418"/>
      <c r="F639" s="418"/>
      <c r="G639" s="367"/>
      <c r="H639" s="418"/>
      <c r="I639" s="418"/>
      <c r="J639" s="418"/>
      <c r="K639" s="418"/>
      <c r="L639" s="420"/>
      <c r="M639" s="420"/>
      <c r="N639" s="420"/>
      <c r="O639" s="420"/>
      <c r="P639" s="420"/>
      <c r="Q639" s="420"/>
      <c r="R639" s="420"/>
      <c r="S639" s="420"/>
      <c r="T639" s="420"/>
      <c r="U639" s="420"/>
      <c r="V639" s="420"/>
      <c r="W639" s="420"/>
      <c r="X639" s="420"/>
      <c r="Y639" s="420"/>
      <c r="Z639" s="367"/>
      <c r="AA639" s="420"/>
      <c r="AB639" s="420"/>
      <c r="AC639" s="420"/>
      <c r="AD639" s="420"/>
      <c r="AE639" s="420"/>
      <c r="AF639" s="367"/>
      <c r="AG639" s="420"/>
      <c r="AH639" s="367"/>
      <c r="AI639" s="367"/>
      <c r="AJ639" s="367"/>
      <c r="AK639" s="358"/>
      <c r="AL639" s="358"/>
      <c r="AM639" s="358"/>
      <c r="AN639" s="358"/>
      <c r="AO639" s="358"/>
      <c r="AP639" s="367"/>
    </row>
    <row r="640">
      <c r="A640" s="418"/>
      <c r="B640" s="418"/>
      <c r="C640" s="418"/>
      <c r="D640" s="418"/>
      <c r="E640" s="418"/>
      <c r="F640" s="418"/>
      <c r="G640" s="367"/>
      <c r="H640" s="418"/>
      <c r="I640" s="418"/>
      <c r="J640" s="418"/>
      <c r="K640" s="418"/>
      <c r="L640" s="420"/>
      <c r="M640" s="420"/>
      <c r="N640" s="420"/>
      <c r="O640" s="420"/>
      <c r="P640" s="420"/>
      <c r="Q640" s="420"/>
      <c r="R640" s="420"/>
      <c r="S640" s="420"/>
      <c r="T640" s="420"/>
      <c r="U640" s="420"/>
      <c r="V640" s="420"/>
      <c r="W640" s="420"/>
      <c r="X640" s="420"/>
      <c r="Y640" s="420"/>
      <c r="Z640" s="367"/>
      <c r="AA640" s="420"/>
      <c r="AB640" s="420"/>
      <c r="AC640" s="420"/>
      <c r="AD640" s="420"/>
      <c r="AE640" s="420"/>
      <c r="AF640" s="367"/>
      <c r="AG640" s="420"/>
      <c r="AH640" s="367"/>
      <c r="AI640" s="367"/>
      <c r="AJ640" s="367"/>
      <c r="AK640" s="358"/>
      <c r="AL640" s="358"/>
      <c r="AM640" s="358"/>
      <c r="AN640" s="358"/>
      <c r="AO640" s="358"/>
      <c r="AP640" s="367"/>
    </row>
    <row r="641">
      <c r="A641" s="418"/>
      <c r="B641" s="418"/>
      <c r="C641" s="418"/>
      <c r="D641" s="418"/>
      <c r="E641" s="418"/>
      <c r="F641" s="418"/>
      <c r="G641" s="367"/>
      <c r="H641" s="418"/>
      <c r="I641" s="418"/>
      <c r="J641" s="418"/>
      <c r="K641" s="418"/>
      <c r="L641" s="420"/>
      <c r="M641" s="420"/>
      <c r="N641" s="420"/>
      <c r="O641" s="420"/>
      <c r="P641" s="420"/>
      <c r="Q641" s="420"/>
      <c r="R641" s="420"/>
      <c r="S641" s="420"/>
      <c r="T641" s="420"/>
      <c r="U641" s="420"/>
      <c r="V641" s="420"/>
      <c r="W641" s="420"/>
      <c r="X641" s="420"/>
      <c r="Y641" s="420"/>
      <c r="Z641" s="367"/>
      <c r="AA641" s="420"/>
      <c r="AB641" s="420"/>
      <c r="AC641" s="420"/>
      <c r="AD641" s="420"/>
      <c r="AE641" s="420"/>
      <c r="AF641" s="367"/>
      <c r="AG641" s="420"/>
      <c r="AH641" s="367"/>
      <c r="AI641" s="367"/>
      <c r="AJ641" s="367"/>
      <c r="AK641" s="358"/>
      <c r="AL641" s="358"/>
      <c r="AM641" s="358"/>
      <c r="AN641" s="358"/>
      <c r="AO641" s="358"/>
      <c r="AP641" s="367"/>
    </row>
    <row r="642">
      <c r="A642" s="418"/>
      <c r="B642" s="418"/>
      <c r="C642" s="418"/>
      <c r="D642" s="418"/>
      <c r="E642" s="418"/>
      <c r="F642" s="418"/>
      <c r="G642" s="367"/>
      <c r="H642" s="418"/>
      <c r="I642" s="418"/>
      <c r="J642" s="418"/>
      <c r="K642" s="418"/>
      <c r="L642" s="420"/>
      <c r="M642" s="420"/>
      <c r="N642" s="420"/>
      <c r="O642" s="420"/>
      <c r="P642" s="420"/>
      <c r="Q642" s="420"/>
      <c r="R642" s="420"/>
      <c r="S642" s="420"/>
      <c r="T642" s="420"/>
      <c r="U642" s="420"/>
      <c r="V642" s="420"/>
      <c r="W642" s="420"/>
      <c r="X642" s="420"/>
      <c r="Y642" s="420"/>
      <c r="Z642" s="367"/>
      <c r="AA642" s="420"/>
      <c r="AB642" s="420"/>
      <c r="AC642" s="420"/>
      <c r="AD642" s="420"/>
      <c r="AE642" s="420"/>
      <c r="AF642" s="367"/>
      <c r="AG642" s="420"/>
      <c r="AH642" s="367"/>
      <c r="AI642" s="367"/>
      <c r="AJ642" s="367"/>
      <c r="AK642" s="358"/>
      <c r="AL642" s="358"/>
      <c r="AM642" s="358"/>
      <c r="AN642" s="358"/>
      <c r="AO642" s="358"/>
      <c r="AP642" s="367"/>
    </row>
    <row r="643">
      <c r="A643" s="418"/>
      <c r="B643" s="418"/>
      <c r="C643" s="418"/>
      <c r="D643" s="418"/>
      <c r="E643" s="418"/>
      <c r="F643" s="418"/>
      <c r="G643" s="367"/>
      <c r="H643" s="418"/>
      <c r="I643" s="418"/>
      <c r="J643" s="418"/>
      <c r="K643" s="418"/>
      <c r="L643" s="420"/>
      <c r="M643" s="420"/>
      <c r="N643" s="420"/>
      <c r="O643" s="420"/>
      <c r="P643" s="420"/>
      <c r="Q643" s="420"/>
      <c r="R643" s="420"/>
      <c r="S643" s="420"/>
      <c r="T643" s="420"/>
      <c r="U643" s="420"/>
      <c r="V643" s="420"/>
      <c r="W643" s="420"/>
      <c r="X643" s="420"/>
      <c r="Y643" s="420"/>
      <c r="Z643" s="367"/>
      <c r="AA643" s="420"/>
      <c r="AB643" s="420"/>
      <c r="AC643" s="420"/>
      <c r="AD643" s="420"/>
      <c r="AE643" s="420"/>
      <c r="AF643" s="367"/>
      <c r="AG643" s="420"/>
      <c r="AH643" s="367"/>
      <c r="AI643" s="367"/>
      <c r="AJ643" s="367"/>
      <c r="AK643" s="358"/>
      <c r="AL643" s="358"/>
      <c r="AM643" s="358"/>
      <c r="AN643" s="358"/>
      <c r="AO643" s="358"/>
      <c r="AP643" s="367"/>
    </row>
    <row r="644">
      <c r="A644" s="418"/>
      <c r="B644" s="418"/>
      <c r="C644" s="418"/>
      <c r="D644" s="418"/>
      <c r="E644" s="418"/>
      <c r="F644" s="418"/>
      <c r="G644" s="367"/>
      <c r="H644" s="418"/>
      <c r="I644" s="418"/>
      <c r="J644" s="418"/>
      <c r="K644" s="418"/>
      <c r="L644" s="420"/>
      <c r="M644" s="420"/>
      <c r="N644" s="420"/>
      <c r="O644" s="420"/>
      <c r="P644" s="420"/>
      <c r="Q644" s="420"/>
      <c r="R644" s="420"/>
      <c r="S644" s="420"/>
      <c r="T644" s="420"/>
      <c r="U644" s="420"/>
      <c r="V644" s="420"/>
      <c r="W644" s="420"/>
      <c r="X644" s="420"/>
      <c r="Y644" s="420"/>
      <c r="Z644" s="367"/>
      <c r="AA644" s="420"/>
      <c r="AB644" s="420"/>
      <c r="AC644" s="420"/>
      <c r="AD644" s="420"/>
      <c r="AE644" s="420"/>
      <c r="AF644" s="367"/>
      <c r="AG644" s="420"/>
      <c r="AH644" s="367"/>
      <c r="AI644" s="367"/>
      <c r="AJ644" s="367"/>
      <c r="AK644" s="358"/>
      <c r="AL644" s="358"/>
      <c r="AM644" s="358"/>
      <c r="AN644" s="358"/>
      <c r="AO644" s="358"/>
      <c r="AP644" s="367"/>
    </row>
    <row r="645">
      <c r="A645" s="418"/>
      <c r="B645" s="418"/>
      <c r="C645" s="418"/>
      <c r="D645" s="418"/>
      <c r="E645" s="418"/>
      <c r="F645" s="418"/>
      <c r="G645" s="367"/>
      <c r="H645" s="418"/>
      <c r="I645" s="418"/>
      <c r="J645" s="418"/>
      <c r="K645" s="418"/>
      <c r="L645" s="420"/>
      <c r="M645" s="420"/>
      <c r="N645" s="420"/>
      <c r="O645" s="420"/>
      <c r="P645" s="420"/>
      <c r="Q645" s="420"/>
      <c r="R645" s="420"/>
      <c r="S645" s="420"/>
      <c r="T645" s="420"/>
      <c r="U645" s="420"/>
      <c r="V645" s="420"/>
      <c r="W645" s="420"/>
      <c r="X645" s="420"/>
      <c r="Y645" s="420"/>
      <c r="Z645" s="367"/>
      <c r="AA645" s="420"/>
      <c r="AB645" s="420"/>
      <c r="AC645" s="420"/>
      <c r="AD645" s="420"/>
      <c r="AE645" s="420"/>
      <c r="AF645" s="367"/>
      <c r="AG645" s="420"/>
      <c r="AH645" s="367"/>
      <c r="AI645" s="367"/>
      <c r="AJ645" s="367"/>
      <c r="AK645" s="358"/>
      <c r="AL645" s="358"/>
      <c r="AM645" s="358"/>
      <c r="AN645" s="358"/>
      <c r="AO645" s="358"/>
      <c r="AP645" s="367"/>
    </row>
    <row r="646">
      <c r="A646" s="418"/>
      <c r="B646" s="418"/>
      <c r="C646" s="418"/>
      <c r="D646" s="418"/>
      <c r="E646" s="418"/>
      <c r="F646" s="418"/>
      <c r="G646" s="367"/>
      <c r="H646" s="418"/>
      <c r="I646" s="418"/>
      <c r="J646" s="418"/>
      <c r="K646" s="418"/>
      <c r="L646" s="420"/>
      <c r="M646" s="420"/>
      <c r="N646" s="420"/>
      <c r="O646" s="420"/>
      <c r="P646" s="420"/>
      <c r="Q646" s="420"/>
      <c r="R646" s="420"/>
      <c r="S646" s="420"/>
      <c r="T646" s="420"/>
      <c r="U646" s="420"/>
      <c r="V646" s="420"/>
      <c r="W646" s="420"/>
      <c r="X646" s="420"/>
      <c r="Y646" s="420"/>
      <c r="Z646" s="367"/>
      <c r="AA646" s="420"/>
      <c r="AB646" s="420"/>
      <c r="AC646" s="420"/>
      <c r="AD646" s="420"/>
      <c r="AE646" s="420"/>
      <c r="AF646" s="367"/>
      <c r="AG646" s="420"/>
      <c r="AH646" s="367"/>
      <c r="AI646" s="367"/>
      <c r="AJ646" s="367"/>
      <c r="AK646" s="358"/>
      <c r="AL646" s="358"/>
      <c r="AM646" s="358"/>
      <c r="AN646" s="358"/>
      <c r="AO646" s="358"/>
      <c r="AP646" s="367"/>
    </row>
    <row r="647">
      <c r="A647" s="418"/>
      <c r="B647" s="418"/>
      <c r="C647" s="418"/>
      <c r="D647" s="418"/>
      <c r="E647" s="418"/>
      <c r="F647" s="418"/>
      <c r="G647" s="367"/>
      <c r="H647" s="418"/>
      <c r="I647" s="418"/>
      <c r="J647" s="418"/>
      <c r="K647" s="418"/>
      <c r="L647" s="420"/>
      <c r="M647" s="420"/>
      <c r="N647" s="420"/>
      <c r="O647" s="420"/>
      <c r="P647" s="420"/>
      <c r="Q647" s="420"/>
      <c r="R647" s="420"/>
      <c r="S647" s="420"/>
      <c r="T647" s="420"/>
      <c r="U647" s="420"/>
      <c r="V647" s="420"/>
      <c r="W647" s="420"/>
      <c r="X647" s="420"/>
      <c r="Y647" s="420"/>
      <c r="Z647" s="367"/>
      <c r="AA647" s="420"/>
      <c r="AB647" s="420"/>
      <c r="AC647" s="420"/>
      <c r="AD647" s="420"/>
      <c r="AE647" s="420"/>
      <c r="AF647" s="367"/>
      <c r="AG647" s="420"/>
      <c r="AH647" s="367"/>
      <c r="AI647" s="367"/>
      <c r="AJ647" s="367"/>
      <c r="AK647" s="358"/>
      <c r="AL647" s="358"/>
      <c r="AM647" s="358"/>
      <c r="AN647" s="358"/>
      <c r="AO647" s="358"/>
      <c r="AP647" s="367"/>
    </row>
    <row r="648">
      <c r="A648" s="418"/>
      <c r="B648" s="418"/>
      <c r="C648" s="418"/>
      <c r="D648" s="418"/>
      <c r="E648" s="418"/>
      <c r="F648" s="418"/>
      <c r="G648" s="367"/>
      <c r="H648" s="418"/>
      <c r="I648" s="418"/>
      <c r="J648" s="418"/>
      <c r="K648" s="418"/>
      <c r="L648" s="420"/>
      <c r="M648" s="420"/>
      <c r="N648" s="420"/>
      <c r="O648" s="420"/>
      <c r="P648" s="420"/>
      <c r="Q648" s="420"/>
      <c r="R648" s="420"/>
      <c r="S648" s="420"/>
      <c r="T648" s="420"/>
      <c r="U648" s="420"/>
      <c r="V648" s="420"/>
      <c r="W648" s="420"/>
      <c r="X648" s="420"/>
      <c r="Y648" s="420"/>
      <c r="Z648" s="367"/>
      <c r="AA648" s="420"/>
      <c r="AB648" s="420"/>
      <c r="AC648" s="420"/>
      <c r="AD648" s="420"/>
      <c r="AE648" s="420"/>
      <c r="AF648" s="367"/>
      <c r="AG648" s="420"/>
      <c r="AH648" s="367"/>
      <c r="AI648" s="367"/>
      <c r="AJ648" s="367"/>
      <c r="AK648" s="358"/>
      <c r="AL648" s="358"/>
      <c r="AM648" s="358"/>
      <c r="AN648" s="358"/>
      <c r="AO648" s="358"/>
      <c r="AP648" s="367"/>
    </row>
    <row r="649">
      <c r="A649" s="418"/>
      <c r="B649" s="418"/>
      <c r="C649" s="418"/>
      <c r="D649" s="418"/>
      <c r="E649" s="418"/>
      <c r="F649" s="418"/>
      <c r="G649" s="367"/>
      <c r="H649" s="418"/>
      <c r="I649" s="418"/>
      <c r="J649" s="418"/>
      <c r="K649" s="418"/>
      <c r="L649" s="420"/>
      <c r="M649" s="420"/>
      <c r="N649" s="420"/>
      <c r="O649" s="420"/>
      <c r="P649" s="420"/>
      <c r="Q649" s="420"/>
      <c r="R649" s="420"/>
      <c r="S649" s="420"/>
      <c r="T649" s="420"/>
      <c r="U649" s="420"/>
      <c r="V649" s="420"/>
      <c r="W649" s="420"/>
      <c r="X649" s="420"/>
      <c r="Y649" s="420"/>
      <c r="Z649" s="367"/>
      <c r="AA649" s="420"/>
      <c r="AB649" s="420"/>
      <c r="AC649" s="420"/>
      <c r="AD649" s="420"/>
      <c r="AE649" s="420"/>
      <c r="AF649" s="367"/>
      <c r="AG649" s="420"/>
      <c r="AH649" s="367"/>
      <c r="AI649" s="367"/>
      <c r="AJ649" s="367"/>
      <c r="AK649" s="358"/>
      <c r="AL649" s="358"/>
      <c r="AM649" s="358"/>
      <c r="AN649" s="358"/>
      <c r="AO649" s="358"/>
      <c r="AP649" s="367"/>
    </row>
    <row r="650">
      <c r="A650" s="418"/>
      <c r="B650" s="418"/>
      <c r="C650" s="418"/>
      <c r="D650" s="418"/>
      <c r="E650" s="418"/>
      <c r="F650" s="418"/>
      <c r="G650" s="367"/>
      <c r="H650" s="418"/>
      <c r="I650" s="418"/>
      <c r="J650" s="418"/>
      <c r="K650" s="418"/>
      <c r="L650" s="420"/>
      <c r="M650" s="420"/>
      <c r="N650" s="420"/>
      <c r="O650" s="420"/>
      <c r="P650" s="420"/>
      <c r="Q650" s="420"/>
      <c r="R650" s="420"/>
      <c r="S650" s="420"/>
      <c r="T650" s="420"/>
      <c r="U650" s="420"/>
      <c r="V650" s="420"/>
      <c r="W650" s="420"/>
      <c r="X650" s="420"/>
      <c r="Y650" s="420"/>
      <c r="Z650" s="367"/>
      <c r="AA650" s="420"/>
      <c r="AB650" s="420"/>
      <c r="AC650" s="420"/>
      <c r="AD650" s="420"/>
      <c r="AE650" s="420"/>
      <c r="AF650" s="367"/>
      <c r="AG650" s="420"/>
      <c r="AH650" s="367"/>
      <c r="AI650" s="367"/>
      <c r="AJ650" s="367"/>
      <c r="AK650" s="358"/>
      <c r="AL650" s="358"/>
      <c r="AM650" s="358"/>
      <c r="AN650" s="358"/>
      <c r="AO650" s="358"/>
      <c r="AP650" s="367"/>
    </row>
    <row r="651">
      <c r="A651" s="418"/>
      <c r="B651" s="418"/>
      <c r="C651" s="418"/>
      <c r="D651" s="418"/>
      <c r="E651" s="418"/>
      <c r="F651" s="418"/>
      <c r="G651" s="367"/>
      <c r="H651" s="418"/>
      <c r="I651" s="418"/>
      <c r="J651" s="418"/>
      <c r="K651" s="418"/>
      <c r="L651" s="420"/>
      <c r="M651" s="420"/>
      <c r="N651" s="420"/>
      <c r="O651" s="420"/>
      <c r="P651" s="420"/>
      <c r="Q651" s="420"/>
      <c r="R651" s="420"/>
      <c r="S651" s="420"/>
      <c r="T651" s="420"/>
      <c r="U651" s="420"/>
      <c r="V651" s="420"/>
      <c r="W651" s="420"/>
      <c r="X651" s="420"/>
      <c r="Y651" s="420"/>
      <c r="Z651" s="367"/>
      <c r="AA651" s="420"/>
      <c r="AB651" s="420"/>
      <c r="AC651" s="420"/>
      <c r="AD651" s="420"/>
      <c r="AE651" s="420"/>
      <c r="AF651" s="367"/>
      <c r="AG651" s="420"/>
      <c r="AH651" s="367"/>
      <c r="AI651" s="367"/>
      <c r="AJ651" s="367"/>
      <c r="AK651" s="358"/>
      <c r="AL651" s="358"/>
      <c r="AM651" s="358"/>
      <c r="AN651" s="358"/>
      <c r="AO651" s="358"/>
      <c r="AP651" s="367"/>
    </row>
    <row r="652">
      <c r="A652" s="418"/>
      <c r="B652" s="418"/>
      <c r="C652" s="418"/>
      <c r="D652" s="418"/>
      <c r="E652" s="418"/>
      <c r="F652" s="418"/>
      <c r="G652" s="367"/>
      <c r="H652" s="418"/>
      <c r="I652" s="418"/>
      <c r="J652" s="418"/>
      <c r="K652" s="418"/>
      <c r="L652" s="420"/>
      <c r="M652" s="420"/>
      <c r="N652" s="420"/>
      <c r="O652" s="420"/>
      <c r="P652" s="420"/>
      <c r="Q652" s="420"/>
      <c r="R652" s="420"/>
      <c r="S652" s="420"/>
      <c r="T652" s="420"/>
      <c r="U652" s="420"/>
      <c r="V652" s="420"/>
      <c r="W652" s="420"/>
      <c r="X652" s="420"/>
      <c r="Y652" s="420"/>
      <c r="Z652" s="367"/>
      <c r="AA652" s="420"/>
      <c r="AB652" s="420"/>
      <c r="AC652" s="420"/>
      <c r="AD652" s="420"/>
      <c r="AE652" s="420"/>
      <c r="AF652" s="367"/>
      <c r="AG652" s="420"/>
      <c r="AH652" s="367"/>
      <c r="AI652" s="367"/>
      <c r="AJ652" s="367"/>
      <c r="AK652" s="358"/>
      <c r="AL652" s="358"/>
      <c r="AM652" s="358"/>
      <c r="AN652" s="358"/>
      <c r="AO652" s="358"/>
      <c r="AP652" s="367"/>
    </row>
    <row r="653">
      <c r="A653" s="418"/>
      <c r="B653" s="418"/>
      <c r="C653" s="418"/>
      <c r="D653" s="418"/>
      <c r="E653" s="418"/>
      <c r="F653" s="418"/>
      <c r="G653" s="367"/>
      <c r="H653" s="418"/>
      <c r="I653" s="418"/>
      <c r="J653" s="418"/>
      <c r="K653" s="418"/>
      <c r="L653" s="420"/>
      <c r="M653" s="420"/>
      <c r="N653" s="420"/>
      <c r="O653" s="420"/>
      <c r="P653" s="420"/>
      <c r="Q653" s="420"/>
      <c r="R653" s="420"/>
      <c r="S653" s="420"/>
      <c r="T653" s="420"/>
      <c r="U653" s="420"/>
      <c r="V653" s="420"/>
      <c r="W653" s="420"/>
      <c r="X653" s="420"/>
      <c r="Y653" s="420"/>
      <c r="Z653" s="367"/>
      <c r="AA653" s="420"/>
      <c r="AB653" s="420"/>
      <c r="AC653" s="420"/>
      <c r="AD653" s="420"/>
      <c r="AE653" s="420"/>
      <c r="AF653" s="367"/>
      <c r="AG653" s="420"/>
      <c r="AH653" s="367"/>
      <c r="AI653" s="367"/>
      <c r="AJ653" s="367"/>
      <c r="AK653" s="358"/>
      <c r="AL653" s="358"/>
      <c r="AM653" s="358"/>
      <c r="AN653" s="358"/>
      <c r="AO653" s="358"/>
      <c r="AP653" s="367"/>
    </row>
    <row r="654">
      <c r="A654" s="418"/>
      <c r="B654" s="418"/>
      <c r="C654" s="418"/>
      <c r="D654" s="418"/>
      <c r="E654" s="418"/>
      <c r="F654" s="418"/>
      <c r="G654" s="367"/>
      <c r="H654" s="418"/>
      <c r="I654" s="418"/>
      <c r="J654" s="418"/>
      <c r="K654" s="418"/>
      <c r="L654" s="420"/>
      <c r="M654" s="420"/>
      <c r="N654" s="420"/>
      <c r="O654" s="420"/>
      <c r="P654" s="420"/>
      <c r="Q654" s="420"/>
      <c r="R654" s="420"/>
      <c r="S654" s="420"/>
      <c r="T654" s="420"/>
      <c r="U654" s="420"/>
      <c r="V654" s="420"/>
      <c r="W654" s="420"/>
      <c r="X654" s="420"/>
      <c r="Y654" s="420"/>
      <c r="Z654" s="367"/>
      <c r="AA654" s="420"/>
      <c r="AB654" s="420"/>
      <c r="AC654" s="420"/>
      <c r="AD654" s="420"/>
      <c r="AE654" s="420"/>
      <c r="AF654" s="367"/>
      <c r="AG654" s="420"/>
      <c r="AH654" s="367"/>
      <c r="AI654" s="367"/>
      <c r="AJ654" s="367"/>
      <c r="AK654" s="358"/>
      <c r="AL654" s="358"/>
      <c r="AM654" s="358"/>
      <c r="AN654" s="358"/>
      <c r="AO654" s="358"/>
      <c r="AP654" s="367"/>
    </row>
    <row r="655">
      <c r="A655" s="418"/>
      <c r="B655" s="418"/>
      <c r="C655" s="418"/>
      <c r="D655" s="418"/>
      <c r="E655" s="418"/>
      <c r="F655" s="418"/>
      <c r="G655" s="367"/>
      <c r="H655" s="418"/>
      <c r="I655" s="418"/>
      <c r="J655" s="418"/>
      <c r="K655" s="418"/>
      <c r="L655" s="420"/>
      <c r="M655" s="420"/>
      <c r="N655" s="420"/>
      <c r="O655" s="420"/>
      <c r="P655" s="420"/>
      <c r="Q655" s="420"/>
      <c r="R655" s="420"/>
      <c r="S655" s="420"/>
      <c r="T655" s="420"/>
      <c r="U655" s="420"/>
      <c r="V655" s="420"/>
      <c r="W655" s="420"/>
      <c r="X655" s="420"/>
      <c r="Y655" s="420"/>
      <c r="Z655" s="367"/>
      <c r="AA655" s="420"/>
      <c r="AB655" s="420"/>
      <c r="AC655" s="420"/>
      <c r="AD655" s="420"/>
      <c r="AE655" s="420"/>
      <c r="AF655" s="367"/>
      <c r="AG655" s="420"/>
      <c r="AH655" s="367"/>
      <c r="AI655" s="367"/>
      <c r="AJ655" s="367"/>
      <c r="AK655" s="358"/>
      <c r="AL655" s="358"/>
      <c r="AM655" s="358"/>
      <c r="AN655" s="358"/>
      <c r="AO655" s="358"/>
      <c r="AP655" s="367"/>
    </row>
    <row r="656">
      <c r="A656" s="418"/>
      <c r="B656" s="418"/>
      <c r="C656" s="418"/>
      <c r="D656" s="418"/>
      <c r="E656" s="418"/>
      <c r="F656" s="418"/>
      <c r="G656" s="367"/>
      <c r="H656" s="418"/>
      <c r="I656" s="418"/>
      <c r="J656" s="418"/>
      <c r="K656" s="418"/>
      <c r="L656" s="420"/>
      <c r="M656" s="420"/>
      <c r="N656" s="420"/>
      <c r="O656" s="420"/>
      <c r="P656" s="420"/>
      <c r="Q656" s="420"/>
      <c r="R656" s="420"/>
      <c r="S656" s="420"/>
      <c r="T656" s="420"/>
      <c r="U656" s="420"/>
      <c r="V656" s="420"/>
      <c r="W656" s="420"/>
      <c r="X656" s="420"/>
      <c r="Y656" s="420"/>
      <c r="Z656" s="367"/>
      <c r="AA656" s="420"/>
      <c r="AB656" s="420"/>
      <c r="AC656" s="420"/>
      <c r="AD656" s="420"/>
      <c r="AE656" s="420"/>
      <c r="AF656" s="367"/>
      <c r="AG656" s="420"/>
      <c r="AH656" s="367"/>
      <c r="AI656" s="367"/>
      <c r="AJ656" s="367"/>
      <c r="AK656" s="358"/>
      <c r="AL656" s="358"/>
      <c r="AM656" s="358"/>
      <c r="AN656" s="358"/>
      <c r="AO656" s="358"/>
      <c r="AP656" s="367"/>
    </row>
    <row r="657">
      <c r="A657" s="418"/>
      <c r="B657" s="418"/>
      <c r="C657" s="418"/>
      <c r="D657" s="418"/>
      <c r="E657" s="418"/>
      <c r="F657" s="418"/>
      <c r="G657" s="367"/>
      <c r="H657" s="418"/>
      <c r="I657" s="418"/>
      <c r="J657" s="418"/>
      <c r="K657" s="418"/>
      <c r="L657" s="420"/>
      <c r="M657" s="420"/>
      <c r="N657" s="420"/>
      <c r="O657" s="420"/>
      <c r="P657" s="420"/>
      <c r="Q657" s="420"/>
      <c r="R657" s="420"/>
      <c r="S657" s="420"/>
      <c r="T657" s="420"/>
      <c r="U657" s="420"/>
      <c r="V657" s="420"/>
      <c r="W657" s="420"/>
      <c r="X657" s="420"/>
      <c r="Y657" s="420"/>
      <c r="Z657" s="367"/>
      <c r="AA657" s="420"/>
      <c r="AB657" s="420"/>
      <c r="AC657" s="420"/>
      <c r="AD657" s="420"/>
      <c r="AE657" s="420"/>
      <c r="AF657" s="367"/>
      <c r="AG657" s="420"/>
      <c r="AH657" s="367"/>
      <c r="AI657" s="367"/>
      <c r="AJ657" s="367"/>
      <c r="AK657" s="358"/>
      <c r="AL657" s="358"/>
      <c r="AM657" s="358"/>
      <c r="AN657" s="358"/>
      <c r="AO657" s="358"/>
      <c r="AP657" s="367"/>
    </row>
    <row r="658">
      <c r="A658" s="418"/>
      <c r="B658" s="418"/>
      <c r="C658" s="418"/>
      <c r="D658" s="418"/>
      <c r="E658" s="418"/>
      <c r="F658" s="418"/>
      <c r="G658" s="367"/>
      <c r="H658" s="418"/>
      <c r="I658" s="418"/>
      <c r="J658" s="418"/>
      <c r="K658" s="418"/>
      <c r="L658" s="420"/>
      <c r="M658" s="420"/>
      <c r="N658" s="420"/>
      <c r="O658" s="420"/>
      <c r="P658" s="420"/>
      <c r="Q658" s="420"/>
      <c r="R658" s="420"/>
      <c r="S658" s="420"/>
      <c r="T658" s="420"/>
      <c r="U658" s="420"/>
      <c r="V658" s="420"/>
      <c r="W658" s="420"/>
      <c r="X658" s="420"/>
      <c r="Y658" s="420"/>
      <c r="Z658" s="367"/>
      <c r="AA658" s="420"/>
      <c r="AB658" s="420"/>
      <c r="AC658" s="420"/>
      <c r="AD658" s="420"/>
      <c r="AE658" s="420"/>
      <c r="AF658" s="367"/>
      <c r="AG658" s="420"/>
      <c r="AH658" s="367"/>
      <c r="AI658" s="367"/>
      <c r="AJ658" s="367"/>
      <c r="AK658" s="358"/>
      <c r="AL658" s="358"/>
      <c r="AM658" s="358"/>
      <c r="AN658" s="358"/>
      <c r="AO658" s="358"/>
      <c r="AP658" s="367"/>
    </row>
    <row r="659">
      <c r="A659" s="418"/>
      <c r="B659" s="418"/>
      <c r="C659" s="418"/>
      <c r="D659" s="418"/>
      <c r="E659" s="418"/>
      <c r="F659" s="418"/>
      <c r="G659" s="367"/>
      <c r="H659" s="418"/>
      <c r="I659" s="418"/>
      <c r="J659" s="418"/>
      <c r="K659" s="418"/>
      <c r="L659" s="420"/>
      <c r="M659" s="420"/>
      <c r="N659" s="420"/>
      <c r="O659" s="420"/>
      <c r="P659" s="420"/>
      <c r="Q659" s="420"/>
      <c r="R659" s="420"/>
      <c r="S659" s="420"/>
      <c r="T659" s="420"/>
      <c r="U659" s="420"/>
      <c r="V659" s="420"/>
      <c r="W659" s="420"/>
      <c r="X659" s="420"/>
      <c r="Y659" s="420"/>
      <c r="Z659" s="367"/>
      <c r="AA659" s="420"/>
      <c r="AB659" s="420"/>
      <c r="AC659" s="420"/>
      <c r="AD659" s="420"/>
      <c r="AE659" s="420"/>
      <c r="AF659" s="367"/>
      <c r="AG659" s="420"/>
      <c r="AH659" s="367"/>
      <c r="AI659" s="367"/>
      <c r="AJ659" s="367"/>
      <c r="AK659" s="358"/>
      <c r="AL659" s="358"/>
      <c r="AM659" s="358"/>
      <c r="AN659" s="358"/>
      <c r="AO659" s="358"/>
      <c r="AP659" s="367"/>
    </row>
    <row r="660">
      <c r="A660" s="418"/>
      <c r="B660" s="418"/>
      <c r="C660" s="418"/>
      <c r="D660" s="418"/>
      <c r="E660" s="418"/>
      <c r="F660" s="418"/>
      <c r="G660" s="367"/>
      <c r="H660" s="418"/>
      <c r="I660" s="418"/>
      <c r="J660" s="418"/>
      <c r="K660" s="418"/>
      <c r="L660" s="420"/>
      <c r="M660" s="420"/>
      <c r="N660" s="420"/>
      <c r="O660" s="420"/>
      <c r="P660" s="420"/>
      <c r="Q660" s="420"/>
      <c r="R660" s="420"/>
      <c r="S660" s="420"/>
      <c r="T660" s="420"/>
      <c r="U660" s="420"/>
      <c r="V660" s="420"/>
      <c r="W660" s="420"/>
      <c r="X660" s="420"/>
      <c r="Y660" s="420"/>
      <c r="Z660" s="367"/>
      <c r="AA660" s="420"/>
      <c r="AB660" s="420"/>
      <c r="AC660" s="420"/>
      <c r="AD660" s="420"/>
      <c r="AE660" s="420"/>
      <c r="AF660" s="367"/>
      <c r="AG660" s="420"/>
      <c r="AH660" s="367"/>
      <c r="AI660" s="367"/>
      <c r="AJ660" s="367"/>
      <c r="AK660" s="358"/>
      <c r="AL660" s="358"/>
      <c r="AM660" s="358"/>
      <c r="AN660" s="358"/>
      <c r="AO660" s="358"/>
      <c r="AP660" s="367"/>
    </row>
    <row r="661">
      <c r="A661" s="418"/>
      <c r="B661" s="418"/>
      <c r="C661" s="418"/>
      <c r="D661" s="418"/>
      <c r="E661" s="418"/>
      <c r="F661" s="418"/>
      <c r="G661" s="367"/>
      <c r="H661" s="418"/>
      <c r="I661" s="418"/>
      <c r="J661" s="418"/>
      <c r="K661" s="418"/>
      <c r="L661" s="420"/>
      <c r="M661" s="420"/>
      <c r="N661" s="420"/>
      <c r="O661" s="420"/>
      <c r="P661" s="420"/>
      <c r="Q661" s="420"/>
      <c r="R661" s="420"/>
      <c r="S661" s="420"/>
      <c r="T661" s="420"/>
      <c r="U661" s="420"/>
      <c r="V661" s="420"/>
      <c r="W661" s="420"/>
      <c r="X661" s="420"/>
      <c r="Y661" s="420"/>
      <c r="Z661" s="367"/>
      <c r="AA661" s="420"/>
      <c r="AB661" s="420"/>
      <c r="AC661" s="420"/>
      <c r="AD661" s="420"/>
      <c r="AE661" s="420"/>
      <c r="AF661" s="367"/>
      <c r="AG661" s="420"/>
      <c r="AH661" s="367"/>
      <c r="AI661" s="367"/>
      <c r="AJ661" s="367"/>
      <c r="AK661" s="358"/>
      <c r="AL661" s="358"/>
      <c r="AM661" s="358"/>
      <c r="AN661" s="358"/>
      <c r="AO661" s="358"/>
      <c r="AP661" s="367"/>
    </row>
    <row r="662">
      <c r="A662" s="418"/>
      <c r="B662" s="418"/>
      <c r="C662" s="418"/>
      <c r="D662" s="418"/>
      <c r="E662" s="418"/>
      <c r="F662" s="418"/>
      <c r="G662" s="367"/>
      <c r="H662" s="418"/>
      <c r="I662" s="418"/>
      <c r="J662" s="418"/>
      <c r="K662" s="418"/>
      <c r="L662" s="420"/>
      <c r="M662" s="420"/>
      <c r="N662" s="420"/>
      <c r="O662" s="420"/>
      <c r="P662" s="420"/>
      <c r="Q662" s="420"/>
      <c r="R662" s="420"/>
      <c r="S662" s="420"/>
      <c r="T662" s="420"/>
      <c r="U662" s="420"/>
      <c r="V662" s="420"/>
      <c r="W662" s="420"/>
      <c r="X662" s="420"/>
      <c r="Y662" s="420"/>
      <c r="Z662" s="367"/>
      <c r="AA662" s="420"/>
      <c r="AB662" s="420"/>
      <c r="AC662" s="420"/>
      <c r="AD662" s="420"/>
      <c r="AE662" s="420"/>
      <c r="AF662" s="367"/>
      <c r="AG662" s="420"/>
      <c r="AH662" s="367"/>
      <c r="AI662" s="367"/>
      <c r="AJ662" s="367"/>
      <c r="AK662" s="358"/>
      <c r="AL662" s="358"/>
      <c r="AM662" s="358"/>
      <c r="AN662" s="358"/>
      <c r="AO662" s="358"/>
      <c r="AP662" s="367"/>
    </row>
    <row r="663">
      <c r="A663" s="418"/>
      <c r="B663" s="418"/>
      <c r="C663" s="418"/>
      <c r="D663" s="418"/>
      <c r="E663" s="418"/>
      <c r="F663" s="418"/>
      <c r="G663" s="367"/>
      <c r="H663" s="418"/>
      <c r="I663" s="418"/>
      <c r="J663" s="418"/>
      <c r="K663" s="418"/>
      <c r="L663" s="420"/>
      <c r="M663" s="420"/>
      <c r="N663" s="420"/>
      <c r="O663" s="420"/>
      <c r="P663" s="420"/>
      <c r="Q663" s="420"/>
      <c r="R663" s="420"/>
      <c r="S663" s="420"/>
      <c r="T663" s="420"/>
      <c r="U663" s="420"/>
      <c r="V663" s="420"/>
      <c r="W663" s="420"/>
      <c r="X663" s="420"/>
      <c r="Y663" s="420"/>
      <c r="Z663" s="367"/>
      <c r="AA663" s="420"/>
      <c r="AB663" s="420"/>
      <c r="AC663" s="420"/>
      <c r="AD663" s="420"/>
      <c r="AE663" s="420"/>
      <c r="AF663" s="367"/>
      <c r="AG663" s="420"/>
      <c r="AH663" s="367"/>
      <c r="AI663" s="367"/>
      <c r="AJ663" s="367"/>
      <c r="AK663" s="358"/>
      <c r="AL663" s="358"/>
      <c r="AM663" s="358"/>
      <c r="AN663" s="358"/>
      <c r="AO663" s="358"/>
      <c r="AP663" s="367"/>
    </row>
    <row r="664">
      <c r="A664" s="418"/>
      <c r="B664" s="418"/>
      <c r="C664" s="418"/>
      <c r="D664" s="418"/>
      <c r="E664" s="418"/>
      <c r="F664" s="418"/>
      <c r="G664" s="367"/>
      <c r="H664" s="418"/>
      <c r="I664" s="418"/>
      <c r="J664" s="418"/>
      <c r="K664" s="418"/>
      <c r="L664" s="420"/>
      <c r="M664" s="420"/>
      <c r="N664" s="420"/>
      <c r="O664" s="420"/>
      <c r="P664" s="420"/>
      <c r="Q664" s="420"/>
      <c r="R664" s="420"/>
      <c r="S664" s="420"/>
      <c r="T664" s="420"/>
      <c r="U664" s="420"/>
      <c r="V664" s="420"/>
      <c r="W664" s="420"/>
      <c r="X664" s="420"/>
      <c r="Y664" s="420"/>
      <c r="Z664" s="367"/>
      <c r="AA664" s="420"/>
      <c r="AB664" s="420"/>
      <c r="AC664" s="420"/>
      <c r="AD664" s="420"/>
      <c r="AE664" s="420"/>
      <c r="AF664" s="367"/>
      <c r="AG664" s="420"/>
      <c r="AH664" s="367"/>
      <c r="AI664" s="367"/>
      <c r="AJ664" s="367"/>
      <c r="AK664" s="358"/>
      <c r="AL664" s="358"/>
      <c r="AM664" s="358"/>
      <c r="AN664" s="358"/>
      <c r="AO664" s="358"/>
      <c r="AP664" s="367"/>
    </row>
    <row r="665">
      <c r="A665" s="418"/>
      <c r="B665" s="418"/>
      <c r="C665" s="418"/>
      <c r="D665" s="418"/>
      <c r="E665" s="418"/>
      <c r="F665" s="418"/>
      <c r="G665" s="367"/>
      <c r="H665" s="418"/>
      <c r="I665" s="418"/>
      <c r="J665" s="418"/>
      <c r="K665" s="418"/>
      <c r="L665" s="420"/>
      <c r="M665" s="420"/>
      <c r="N665" s="420"/>
      <c r="O665" s="420"/>
      <c r="P665" s="420"/>
      <c r="Q665" s="420"/>
      <c r="R665" s="420"/>
      <c r="S665" s="420"/>
      <c r="T665" s="420"/>
      <c r="U665" s="420"/>
      <c r="V665" s="420"/>
      <c r="W665" s="420"/>
      <c r="X665" s="420"/>
      <c r="Y665" s="420"/>
      <c r="Z665" s="367"/>
      <c r="AA665" s="420"/>
      <c r="AB665" s="420"/>
      <c r="AC665" s="420"/>
      <c r="AD665" s="420"/>
      <c r="AE665" s="420"/>
      <c r="AF665" s="367"/>
      <c r="AG665" s="420"/>
      <c r="AH665" s="367"/>
      <c r="AI665" s="367"/>
      <c r="AJ665" s="367"/>
      <c r="AK665" s="358"/>
      <c r="AL665" s="358"/>
      <c r="AM665" s="358"/>
      <c r="AN665" s="358"/>
      <c r="AO665" s="358"/>
      <c r="AP665" s="367"/>
    </row>
    <row r="666">
      <c r="A666" s="418"/>
      <c r="B666" s="418"/>
      <c r="C666" s="418"/>
      <c r="D666" s="418"/>
      <c r="E666" s="418"/>
      <c r="F666" s="418"/>
      <c r="G666" s="367"/>
      <c r="H666" s="418"/>
      <c r="I666" s="418"/>
      <c r="J666" s="418"/>
      <c r="K666" s="418"/>
      <c r="L666" s="420"/>
      <c r="M666" s="420"/>
      <c r="N666" s="420"/>
      <c r="O666" s="420"/>
      <c r="P666" s="420"/>
      <c r="Q666" s="420"/>
      <c r="R666" s="420"/>
      <c r="S666" s="420"/>
      <c r="T666" s="420"/>
      <c r="U666" s="420"/>
      <c r="V666" s="420"/>
      <c r="W666" s="420"/>
      <c r="X666" s="420"/>
      <c r="Y666" s="420"/>
      <c r="Z666" s="367"/>
      <c r="AA666" s="420"/>
      <c r="AB666" s="420"/>
      <c r="AC666" s="420"/>
      <c r="AD666" s="420"/>
      <c r="AE666" s="420"/>
      <c r="AF666" s="367"/>
      <c r="AG666" s="420"/>
      <c r="AH666" s="367"/>
      <c r="AI666" s="367"/>
      <c r="AJ666" s="367"/>
      <c r="AK666" s="358"/>
      <c r="AL666" s="358"/>
      <c r="AM666" s="358"/>
      <c r="AN666" s="358"/>
      <c r="AO666" s="358"/>
      <c r="AP666" s="367"/>
    </row>
    <row r="667">
      <c r="A667" s="418"/>
      <c r="B667" s="418"/>
      <c r="C667" s="418"/>
      <c r="D667" s="418"/>
      <c r="E667" s="418"/>
      <c r="F667" s="418"/>
      <c r="G667" s="367"/>
      <c r="H667" s="418"/>
      <c r="I667" s="418"/>
      <c r="J667" s="418"/>
      <c r="K667" s="418"/>
      <c r="L667" s="420"/>
      <c r="M667" s="420"/>
      <c r="N667" s="420"/>
      <c r="O667" s="420"/>
      <c r="P667" s="420"/>
      <c r="Q667" s="420"/>
      <c r="R667" s="420"/>
      <c r="S667" s="420"/>
      <c r="T667" s="420"/>
      <c r="U667" s="420"/>
      <c r="V667" s="420"/>
      <c r="W667" s="420"/>
      <c r="X667" s="420"/>
      <c r="Y667" s="420"/>
      <c r="Z667" s="367"/>
      <c r="AA667" s="420"/>
      <c r="AB667" s="420"/>
      <c r="AC667" s="420"/>
      <c r="AD667" s="420"/>
      <c r="AE667" s="420"/>
      <c r="AF667" s="367"/>
      <c r="AG667" s="420"/>
      <c r="AH667" s="367"/>
      <c r="AI667" s="367"/>
      <c r="AJ667" s="367"/>
      <c r="AK667" s="358"/>
      <c r="AL667" s="358"/>
      <c r="AM667" s="358"/>
      <c r="AN667" s="358"/>
      <c r="AO667" s="358"/>
      <c r="AP667" s="367"/>
    </row>
    <row r="668">
      <c r="A668" s="418"/>
      <c r="B668" s="418"/>
      <c r="C668" s="418"/>
      <c r="D668" s="418"/>
      <c r="E668" s="418"/>
      <c r="F668" s="418"/>
      <c r="G668" s="367"/>
      <c r="H668" s="418"/>
      <c r="I668" s="418"/>
      <c r="J668" s="418"/>
      <c r="K668" s="418"/>
      <c r="L668" s="420"/>
      <c r="M668" s="420"/>
      <c r="N668" s="420"/>
      <c r="O668" s="420"/>
      <c r="P668" s="420"/>
      <c r="Q668" s="420"/>
      <c r="R668" s="420"/>
      <c r="S668" s="420"/>
      <c r="T668" s="420"/>
      <c r="U668" s="420"/>
      <c r="V668" s="420"/>
      <c r="W668" s="420"/>
      <c r="X668" s="420"/>
      <c r="Y668" s="420"/>
      <c r="Z668" s="367"/>
      <c r="AA668" s="420"/>
      <c r="AB668" s="420"/>
      <c r="AC668" s="420"/>
      <c r="AD668" s="420"/>
      <c r="AE668" s="420"/>
      <c r="AF668" s="367"/>
      <c r="AG668" s="420"/>
      <c r="AH668" s="367"/>
      <c r="AI668" s="367"/>
      <c r="AJ668" s="367"/>
      <c r="AK668" s="358"/>
      <c r="AL668" s="358"/>
      <c r="AM668" s="358"/>
      <c r="AN668" s="358"/>
      <c r="AO668" s="358"/>
      <c r="AP668" s="367"/>
    </row>
    <row r="669">
      <c r="A669" s="418"/>
      <c r="B669" s="418"/>
      <c r="C669" s="418"/>
      <c r="D669" s="418"/>
      <c r="E669" s="418"/>
      <c r="F669" s="418"/>
      <c r="G669" s="367"/>
      <c r="H669" s="418"/>
      <c r="I669" s="418"/>
      <c r="J669" s="418"/>
      <c r="K669" s="418"/>
      <c r="L669" s="420"/>
      <c r="M669" s="420"/>
      <c r="N669" s="420"/>
      <c r="O669" s="420"/>
      <c r="P669" s="420"/>
      <c r="Q669" s="420"/>
      <c r="R669" s="420"/>
      <c r="S669" s="420"/>
      <c r="T669" s="420"/>
      <c r="U669" s="420"/>
      <c r="V669" s="420"/>
      <c r="W669" s="420"/>
      <c r="X669" s="420"/>
      <c r="Y669" s="420"/>
      <c r="Z669" s="367"/>
      <c r="AA669" s="420"/>
      <c r="AB669" s="420"/>
      <c r="AC669" s="420"/>
      <c r="AD669" s="420"/>
      <c r="AE669" s="420"/>
      <c r="AF669" s="367"/>
      <c r="AG669" s="420"/>
      <c r="AH669" s="367"/>
      <c r="AI669" s="367"/>
      <c r="AJ669" s="367"/>
      <c r="AK669" s="358"/>
      <c r="AL669" s="358"/>
      <c r="AM669" s="358"/>
      <c r="AN669" s="358"/>
      <c r="AO669" s="358"/>
      <c r="AP669" s="367"/>
    </row>
    <row r="670">
      <c r="A670" s="418"/>
      <c r="B670" s="418"/>
      <c r="C670" s="418"/>
      <c r="D670" s="418"/>
      <c r="E670" s="418"/>
      <c r="F670" s="418"/>
      <c r="G670" s="367"/>
      <c r="H670" s="418"/>
      <c r="I670" s="418"/>
      <c r="J670" s="418"/>
      <c r="K670" s="418"/>
      <c r="L670" s="420"/>
      <c r="M670" s="420"/>
      <c r="N670" s="420"/>
      <c r="O670" s="420"/>
      <c r="P670" s="420"/>
      <c r="Q670" s="420"/>
      <c r="R670" s="420"/>
      <c r="S670" s="420"/>
      <c r="T670" s="420"/>
      <c r="U670" s="420"/>
      <c r="V670" s="420"/>
      <c r="W670" s="420"/>
      <c r="X670" s="420"/>
      <c r="Y670" s="420"/>
      <c r="Z670" s="367"/>
      <c r="AA670" s="420"/>
      <c r="AB670" s="420"/>
      <c r="AC670" s="420"/>
      <c r="AD670" s="420"/>
      <c r="AE670" s="420"/>
      <c r="AF670" s="367"/>
      <c r="AG670" s="420"/>
      <c r="AH670" s="367"/>
      <c r="AI670" s="367"/>
      <c r="AJ670" s="367"/>
      <c r="AK670" s="358"/>
      <c r="AL670" s="358"/>
      <c r="AM670" s="358"/>
      <c r="AN670" s="358"/>
      <c r="AO670" s="358"/>
      <c r="AP670" s="367"/>
    </row>
    <row r="671">
      <c r="A671" s="418"/>
      <c r="B671" s="418"/>
      <c r="C671" s="418"/>
      <c r="D671" s="418"/>
      <c r="E671" s="418"/>
      <c r="F671" s="418"/>
      <c r="G671" s="367"/>
      <c r="H671" s="418"/>
      <c r="I671" s="418"/>
      <c r="J671" s="418"/>
      <c r="K671" s="418"/>
      <c r="L671" s="420"/>
      <c r="M671" s="420"/>
      <c r="N671" s="420"/>
      <c r="O671" s="420"/>
      <c r="P671" s="420"/>
      <c r="Q671" s="420"/>
      <c r="R671" s="420"/>
      <c r="S671" s="420"/>
      <c r="T671" s="420"/>
      <c r="U671" s="420"/>
      <c r="V671" s="420"/>
      <c r="W671" s="420"/>
      <c r="X671" s="420"/>
      <c r="Y671" s="420"/>
      <c r="Z671" s="367"/>
      <c r="AA671" s="420"/>
      <c r="AB671" s="420"/>
      <c r="AC671" s="420"/>
      <c r="AD671" s="420"/>
      <c r="AE671" s="420"/>
      <c r="AF671" s="367"/>
      <c r="AG671" s="420"/>
      <c r="AH671" s="367"/>
      <c r="AI671" s="367"/>
      <c r="AJ671" s="367"/>
      <c r="AK671" s="358"/>
      <c r="AL671" s="358"/>
      <c r="AM671" s="358"/>
      <c r="AN671" s="358"/>
      <c r="AO671" s="358"/>
      <c r="AP671" s="367"/>
    </row>
    <row r="672">
      <c r="A672" s="418"/>
      <c r="B672" s="418"/>
      <c r="C672" s="418"/>
      <c r="D672" s="418"/>
      <c r="E672" s="418"/>
      <c r="F672" s="418"/>
      <c r="G672" s="367"/>
      <c r="H672" s="418"/>
      <c r="I672" s="418"/>
      <c r="J672" s="418"/>
      <c r="K672" s="418"/>
      <c r="L672" s="420"/>
      <c r="M672" s="420"/>
      <c r="N672" s="420"/>
      <c r="O672" s="420"/>
      <c r="P672" s="420"/>
      <c r="Q672" s="420"/>
      <c r="R672" s="420"/>
      <c r="S672" s="420"/>
      <c r="T672" s="420"/>
      <c r="U672" s="420"/>
      <c r="V672" s="420"/>
      <c r="W672" s="420"/>
      <c r="X672" s="420"/>
      <c r="Y672" s="420"/>
      <c r="Z672" s="367"/>
      <c r="AA672" s="420"/>
      <c r="AB672" s="420"/>
      <c r="AC672" s="420"/>
      <c r="AD672" s="420"/>
      <c r="AE672" s="420"/>
      <c r="AF672" s="367"/>
      <c r="AG672" s="420"/>
      <c r="AH672" s="367"/>
      <c r="AI672" s="367"/>
      <c r="AJ672" s="367"/>
      <c r="AK672" s="358"/>
      <c r="AL672" s="358"/>
      <c r="AM672" s="358"/>
      <c r="AN672" s="358"/>
      <c r="AO672" s="358"/>
      <c r="AP672" s="367"/>
    </row>
    <row r="673">
      <c r="A673" s="418"/>
      <c r="B673" s="418"/>
      <c r="C673" s="418"/>
      <c r="D673" s="418"/>
      <c r="E673" s="418"/>
      <c r="F673" s="418"/>
      <c r="G673" s="367"/>
      <c r="H673" s="418"/>
      <c r="I673" s="418"/>
      <c r="J673" s="418"/>
      <c r="K673" s="418"/>
      <c r="L673" s="420"/>
      <c r="M673" s="420"/>
      <c r="N673" s="420"/>
      <c r="O673" s="420"/>
      <c r="P673" s="420"/>
      <c r="Q673" s="420"/>
      <c r="R673" s="420"/>
      <c r="S673" s="420"/>
      <c r="T673" s="420"/>
      <c r="U673" s="420"/>
      <c r="V673" s="420"/>
      <c r="W673" s="420"/>
      <c r="X673" s="420"/>
      <c r="Y673" s="420"/>
      <c r="Z673" s="367"/>
      <c r="AA673" s="420"/>
      <c r="AB673" s="420"/>
      <c r="AC673" s="420"/>
      <c r="AD673" s="420"/>
      <c r="AE673" s="420"/>
      <c r="AF673" s="367"/>
      <c r="AG673" s="420"/>
      <c r="AH673" s="367"/>
      <c r="AI673" s="367"/>
      <c r="AJ673" s="367"/>
      <c r="AK673" s="358"/>
      <c r="AL673" s="358"/>
      <c r="AM673" s="358"/>
      <c r="AN673" s="358"/>
      <c r="AO673" s="358"/>
      <c r="AP673" s="367"/>
    </row>
    <row r="674">
      <c r="A674" s="418"/>
      <c r="B674" s="418"/>
      <c r="C674" s="418"/>
      <c r="D674" s="418"/>
      <c r="E674" s="418"/>
      <c r="F674" s="418"/>
      <c r="G674" s="367"/>
      <c r="H674" s="418"/>
      <c r="I674" s="418"/>
      <c r="J674" s="418"/>
      <c r="K674" s="418"/>
      <c r="L674" s="420"/>
      <c r="M674" s="420"/>
      <c r="N674" s="420"/>
      <c r="O674" s="420"/>
      <c r="P674" s="420"/>
      <c r="Q674" s="420"/>
      <c r="R674" s="420"/>
      <c r="S674" s="420"/>
      <c r="T674" s="420"/>
      <c r="U674" s="420"/>
      <c r="V674" s="420"/>
      <c r="W674" s="420"/>
      <c r="X674" s="420"/>
      <c r="Y674" s="420"/>
      <c r="Z674" s="367"/>
      <c r="AA674" s="420"/>
      <c r="AB674" s="420"/>
      <c r="AC674" s="420"/>
      <c r="AD674" s="420"/>
      <c r="AE674" s="420"/>
      <c r="AF674" s="367"/>
      <c r="AG674" s="420"/>
      <c r="AH674" s="367"/>
      <c r="AI674" s="367"/>
      <c r="AJ674" s="367"/>
      <c r="AK674" s="358"/>
      <c r="AL674" s="358"/>
      <c r="AM674" s="358"/>
      <c r="AN674" s="358"/>
      <c r="AO674" s="358"/>
      <c r="AP674" s="367"/>
    </row>
    <row r="675">
      <c r="A675" s="418"/>
      <c r="B675" s="418"/>
      <c r="C675" s="418"/>
      <c r="D675" s="418"/>
      <c r="E675" s="418"/>
      <c r="F675" s="418"/>
      <c r="G675" s="367"/>
      <c r="H675" s="418"/>
      <c r="I675" s="418"/>
      <c r="J675" s="418"/>
      <c r="K675" s="418"/>
      <c r="L675" s="420"/>
      <c r="M675" s="420"/>
      <c r="N675" s="420"/>
      <c r="O675" s="420"/>
      <c r="P675" s="420"/>
      <c r="Q675" s="420"/>
      <c r="R675" s="420"/>
      <c r="S675" s="420"/>
      <c r="T675" s="420"/>
      <c r="U675" s="420"/>
      <c r="V675" s="420"/>
      <c r="W675" s="420"/>
      <c r="X675" s="420"/>
      <c r="Y675" s="420"/>
      <c r="Z675" s="367"/>
      <c r="AA675" s="420"/>
      <c r="AB675" s="420"/>
      <c r="AC675" s="420"/>
      <c r="AD675" s="420"/>
      <c r="AE675" s="420"/>
      <c r="AF675" s="367"/>
      <c r="AG675" s="420"/>
      <c r="AH675" s="367"/>
      <c r="AI675" s="367"/>
      <c r="AJ675" s="367"/>
      <c r="AK675" s="358"/>
      <c r="AL675" s="358"/>
      <c r="AM675" s="358"/>
      <c r="AN675" s="358"/>
      <c r="AO675" s="358"/>
      <c r="AP675" s="367"/>
    </row>
    <row r="676">
      <c r="A676" s="418"/>
      <c r="B676" s="418"/>
      <c r="C676" s="418"/>
      <c r="D676" s="418"/>
      <c r="E676" s="418"/>
      <c r="F676" s="418"/>
      <c r="G676" s="367"/>
      <c r="H676" s="418"/>
      <c r="I676" s="418"/>
      <c r="J676" s="418"/>
      <c r="K676" s="418"/>
      <c r="L676" s="420"/>
      <c r="M676" s="420"/>
      <c r="N676" s="420"/>
      <c r="O676" s="420"/>
      <c r="P676" s="420"/>
      <c r="Q676" s="420"/>
      <c r="R676" s="420"/>
      <c r="S676" s="420"/>
      <c r="T676" s="420"/>
      <c r="U676" s="420"/>
      <c r="V676" s="420"/>
      <c r="W676" s="420"/>
      <c r="X676" s="420"/>
      <c r="Y676" s="420"/>
      <c r="Z676" s="367"/>
      <c r="AA676" s="420"/>
      <c r="AB676" s="420"/>
      <c r="AC676" s="420"/>
      <c r="AD676" s="420"/>
      <c r="AE676" s="420"/>
      <c r="AF676" s="367"/>
      <c r="AG676" s="420"/>
      <c r="AH676" s="367"/>
      <c r="AI676" s="367"/>
      <c r="AJ676" s="367"/>
      <c r="AK676" s="358"/>
      <c r="AL676" s="358"/>
      <c r="AM676" s="358"/>
      <c r="AN676" s="358"/>
      <c r="AO676" s="358"/>
      <c r="AP676" s="367"/>
    </row>
    <row r="677">
      <c r="A677" s="418"/>
      <c r="B677" s="418"/>
      <c r="C677" s="418"/>
      <c r="D677" s="418"/>
      <c r="E677" s="418"/>
      <c r="F677" s="418"/>
      <c r="G677" s="367"/>
      <c r="H677" s="418"/>
      <c r="I677" s="418"/>
      <c r="J677" s="418"/>
      <c r="K677" s="418"/>
      <c r="L677" s="420"/>
      <c r="M677" s="420"/>
      <c r="N677" s="420"/>
      <c r="O677" s="420"/>
      <c r="P677" s="420"/>
      <c r="Q677" s="420"/>
      <c r="R677" s="420"/>
      <c r="S677" s="420"/>
      <c r="T677" s="420"/>
      <c r="U677" s="420"/>
      <c r="V677" s="420"/>
      <c r="W677" s="420"/>
      <c r="X677" s="420"/>
      <c r="Y677" s="420"/>
      <c r="Z677" s="367"/>
      <c r="AA677" s="420"/>
      <c r="AB677" s="420"/>
      <c r="AC677" s="420"/>
      <c r="AD677" s="420"/>
      <c r="AE677" s="420"/>
      <c r="AF677" s="367"/>
      <c r="AG677" s="420"/>
      <c r="AH677" s="367"/>
      <c r="AI677" s="367"/>
      <c r="AJ677" s="367"/>
      <c r="AK677" s="358"/>
      <c r="AL677" s="358"/>
      <c r="AM677" s="358"/>
      <c r="AN677" s="358"/>
      <c r="AO677" s="358"/>
      <c r="AP677" s="367"/>
    </row>
    <row r="678">
      <c r="A678" s="418"/>
      <c r="B678" s="418"/>
      <c r="C678" s="418"/>
      <c r="D678" s="418"/>
      <c r="E678" s="418"/>
      <c r="F678" s="418"/>
      <c r="G678" s="367"/>
      <c r="H678" s="418"/>
      <c r="I678" s="418"/>
      <c r="J678" s="418"/>
      <c r="K678" s="418"/>
      <c r="L678" s="420"/>
      <c r="M678" s="420"/>
      <c r="N678" s="420"/>
      <c r="O678" s="420"/>
      <c r="P678" s="420"/>
      <c r="Q678" s="420"/>
      <c r="R678" s="420"/>
      <c r="S678" s="420"/>
      <c r="T678" s="420"/>
      <c r="U678" s="420"/>
      <c r="V678" s="420"/>
      <c r="W678" s="420"/>
      <c r="X678" s="420"/>
      <c r="Y678" s="420"/>
      <c r="Z678" s="367"/>
      <c r="AA678" s="420"/>
      <c r="AB678" s="420"/>
      <c r="AC678" s="420"/>
      <c r="AD678" s="420"/>
      <c r="AE678" s="420"/>
      <c r="AF678" s="367"/>
      <c r="AG678" s="420"/>
      <c r="AH678" s="367"/>
      <c r="AI678" s="367"/>
      <c r="AJ678" s="367"/>
      <c r="AK678" s="358"/>
      <c r="AL678" s="358"/>
      <c r="AM678" s="358"/>
      <c r="AN678" s="358"/>
      <c r="AO678" s="358"/>
      <c r="AP678" s="367"/>
    </row>
    <row r="679">
      <c r="A679" s="418"/>
      <c r="B679" s="418"/>
      <c r="C679" s="418"/>
      <c r="D679" s="418"/>
      <c r="E679" s="418"/>
      <c r="F679" s="418"/>
      <c r="G679" s="367"/>
      <c r="H679" s="418"/>
      <c r="I679" s="418"/>
      <c r="J679" s="418"/>
      <c r="K679" s="418"/>
      <c r="L679" s="420"/>
      <c r="M679" s="420"/>
      <c r="N679" s="420"/>
      <c r="O679" s="420"/>
      <c r="P679" s="420"/>
      <c r="Q679" s="420"/>
      <c r="R679" s="420"/>
      <c r="S679" s="420"/>
      <c r="T679" s="420"/>
      <c r="U679" s="420"/>
      <c r="V679" s="420"/>
      <c r="W679" s="420"/>
      <c r="X679" s="420"/>
      <c r="Y679" s="420"/>
      <c r="Z679" s="367"/>
      <c r="AA679" s="420"/>
      <c r="AB679" s="420"/>
      <c r="AC679" s="420"/>
      <c r="AD679" s="420"/>
      <c r="AE679" s="420"/>
      <c r="AF679" s="367"/>
      <c r="AG679" s="420"/>
      <c r="AH679" s="367"/>
      <c r="AI679" s="367"/>
      <c r="AJ679" s="367"/>
      <c r="AK679" s="358"/>
      <c r="AL679" s="358"/>
      <c r="AM679" s="358"/>
      <c r="AN679" s="358"/>
      <c r="AO679" s="358"/>
      <c r="AP679" s="367"/>
    </row>
    <row r="680">
      <c r="A680" s="418"/>
      <c r="B680" s="418"/>
      <c r="C680" s="418"/>
      <c r="D680" s="418"/>
      <c r="E680" s="418"/>
      <c r="F680" s="418"/>
      <c r="G680" s="367"/>
      <c r="H680" s="418"/>
      <c r="I680" s="418"/>
      <c r="J680" s="418"/>
      <c r="K680" s="418"/>
      <c r="L680" s="420"/>
      <c r="M680" s="420"/>
      <c r="N680" s="420"/>
      <c r="O680" s="420"/>
      <c r="P680" s="420"/>
      <c r="Q680" s="420"/>
      <c r="R680" s="420"/>
      <c r="S680" s="420"/>
      <c r="T680" s="420"/>
      <c r="U680" s="420"/>
      <c r="V680" s="420"/>
      <c r="W680" s="420"/>
      <c r="X680" s="420"/>
      <c r="Y680" s="420"/>
      <c r="Z680" s="367"/>
      <c r="AA680" s="420"/>
      <c r="AB680" s="420"/>
      <c r="AC680" s="420"/>
      <c r="AD680" s="420"/>
      <c r="AE680" s="420"/>
      <c r="AF680" s="367"/>
      <c r="AG680" s="420"/>
      <c r="AH680" s="367"/>
      <c r="AI680" s="367"/>
      <c r="AJ680" s="367"/>
      <c r="AK680" s="358"/>
      <c r="AL680" s="358"/>
      <c r="AM680" s="358"/>
      <c r="AN680" s="358"/>
      <c r="AO680" s="358"/>
      <c r="AP680" s="367"/>
    </row>
    <row r="681">
      <c r="A681" s="418"/>
      <c r="B681" s="418"/>
      <c r="C681" s="418"/>
      <c r="D681" s="418"/>
      <c r="E681" s="418"/>
      <c r="F681" s="418"/>
      <c r="G681" s="367"/>
      <c r="H681" s="418"/>
      <c r="I681" s="418"/>
      <c r="J681" s="418"/>
      <c r="K681" s="418"/>
      <c r="L681" s="420"/>
      <c r="M681" s="420"/>
      <c r="N681" s="420"/>
      <c r="O681" s="420"/>
      <c r="P681" s="420"/>
      <c r="Q681" s="420"/>
      <c r="R681" s="420"/>
      <c r="S681" s="420"/>
      <c r="T681" s="420"/>
      <c r="U681" s="420"/>
      <c r="V681" s="420"/>
      <c r="W681" s="420"/>
      <c r="X681" s="420"/>
      <c r="Y681" s="420"/>
      <c r="Z681" s="367"/>
      <c r="AA681" s="420"/>
      <c r="AB681" s="420"/>
      <c r="AC681" s="420"/>
      <c r="AD681" s="420"/>
      <c r="AE681" s="420"/>
      <c r="AF681" s="367"/>
      <c r="AG681" s="420"/>
      <c r="AH681" s="367"/>
      <c r="AI681" s="367"/>
      <c r="AJ681" s="367"/>
      <c r="AK681" s="358"/>
      <c r="AL681" s="358"/>
      <c r="AM681" s="358"/>
      <c r="AN681" s="358"/>
      <c r="AO681" s="358"/>
      <c r="AP681" s="367"/>
    </row>
    <row r="682">
      <c r="A682" s="418"/>
      <c r="B682" s="418"/>
      <c r="C682" s="418"/>
      <c r="D682" s="418"/>
      <c r="E682" s="418"/>
      <c r="F682" s="418"/>
      <c r="G682" s="367"/>
      <c r="H682" s="418"/>
      <c r="I682" s="418"/>
      <c r="J682" s="418"/>
      <c r="K682" s="418"/>
      <c r="L682" s="420"/>
      <c r="M682" s="420"/>
      <c r="N682" s="420"/>
      <c r="O682" s="420"/>
      <c r="P682" s="420"/>
      <c r="Q682" s="420"/>
      <c r="R682" s="420"/>
      <c r="S682" s="420"/>
      <c r="T682" s="420"/>
      <c r="U682" s="420"/>
      <c r="V682" s="420"/>
      <c r="W682" s="420"/>
      <c r="X682" s="420"/>
      <c r="Y682" s="420"/>
      <c r="Z682" s="367"/>
      <c r="AA682" s="420"/>
      <c r="AB682" s="420"/>
      <c r="AC682" s="420"/>
      <c r="AD682" s="420"/>
      <c r="AE682" s="420"/>
      <c r="AF682" s="367"/>
      <c r="AG682" s="420"/>
      <c r="AH682" s="367"/>
      <c r="AI682" s="367"/>
      <c r="AJ682" s="367"/>
      <c r="AK682" s="358"/>
      <c r="AL682" s="358"/>
      <c r="AM682" s="358"/>
      <c r="AN682" s="358"/>
      <c r="AO682" s="358"/>
      <c r="AP682" s="367"/>
    </row>
    <row r="683">
      <c r="A683" s="418"/>
      <c r="B683" s="418"/>
      <c r="C683" s="418"/>
      <c r="D683" s="418"/>
      <c r="E683" s="418"/>
      <c r="F683" s="418"/>
      <c r="G683" s="367"/>
      <c r="H683" s="418"/>
      <c r="I683" s="418"/>
      <c r="J683" s="418"/>
      <c r="K683" s="418"/>
      <c r="L683" s="420"/>
      <c r="M683" s="420"/>
      <c r="N683" s="420"/>
      <c r="O683" s="420"/>
      <c r="P683" s="420"/>
      <c r="Q683" s="420"/>
      <c r="R683" s="420"/>
      <c r="S683" s="420"/>
      <c r="T683" s="420"/>
      <c r="U683" s="420"/>
      <c r="V683" s="420"/>
      <c r="W683" s="420"/>
      <c r="X683" s="420"/>
      <c r="Y683" s="420"/>
      <c r="Z683" s="367"/>
      <c r="AA683" s="420"/>
      <c r="AB683" s="420"/>
      <c r="AC683" s="420"/>
      <c r="AD683" s="420"/>
      <c r="AE683" s="420"/>
      <c r="AF683" s="367"/>
      <c r="AG683" s="420"/>
      <c r="AH683" s="367"/>
      <c r="AI683" s="367"/>
      <c r="AJ683" s="367"/>
      <c r="AK683" s="358"/>
      <c r="AL683" s="358"/>
      <c r="AM683" s="358"/>
      <c r="AN683" s="358"/>
      <c r="AO683" s="358"/>
      <c r="AP683" s="367"/>
    </row>
    <row r="684">
      <c r="A684" s="418"/>
      <c r="B684" s="418"/>
      <c r="C684" s="418"/>
      <c r="D684" s="418"/>
      <c r="E684" s="418"/>
      <c r="F684" s="418"/>
      <c r="G684" s="367"/>
      <c r="H684" s="418"/>
      <c r="I684" s="418"/>
      <c r="J684" s="418"/>
      <c r="K684" s="418"/>
      <c r="L684" s="420"/>
      <c r="M684" s="420"/>
      <c r="N684" s="420"/>
      <c r="O684" s="420"/>
      <c r="P684" s="420"/>
      <c r="Q684" s="420"/>
      <c r="R684" s="420"/>
      <c r="S684" s="420"/>
      <c r="T684" s="420"/>
      <c r="U684" s="420"/>
      <c r="V684" s="420"/>
      <c r="W684" s="420"/>
      <c r="X684" s="420"/>
      <c r="Y684" s="420"/>
      <c r="Z684" s="367"/>
      <c r="AA684" s="420"/>
      <c r="AB684" s="420"/>
      <c r="AC684" s="420"/>
      <c r="AD684" s="420"/>
      <c r="AE684" s="420"/>
      <c r="AF684" s="367"/>
      <c r="AG684" s="420"/>
      <c r="AH684" s="367"/>
      <c r="AI684" s="367"/>
      <c r="AJ684" s="367"/>
      <c r="AK684" s="358"/>
      <c r="AL684" s="358"/>
      <c r="AM684" s="358"/>
      <c r="AN684" s="358"/>
      <c r="AO684" s="358"/>
      <c r="AP684" s="367"/>
    </row>
    <row r="685">
      <c r="A685" s="418"/>
      <c r="B685" s="418"/>
      <c r="C685" s="418"/>
      <c r="D685" s="418"/>
      <c r="E685" s="418"/>
      <c r="F685" s="418"/>
      <c r="G685" s="367"/>
      <c r="H685" s="418"/>
      <c r="I685" s="418"/>
      <c r="J685" s="418"/>
      <c r="K685" s="418"/>
      <c r="L685" s="420"/>
      <c r="M685" s="420"/>
      <c r="N685" s="420"/>
      <c r="O685" s="420"/>
      <c r="P685" s="420"/>
      <c r="Q685" s="420"/>
      <c r="R685" s="420"/>
      <c r="S685" s="420"/>
      <c r="T685" s="420"/>
      <c r="U685" s="420"/>
      <c r="V685" s="420"/>
      <c r="W685" s="420"/>
      <c r="X685" s="420"/>
      <c r="Y685" s="420"/>
      <c r="Z685" s="367"/>
      <c r="AA685" s="420"/>
      <c r="AB685" s="420"/>
      <c r="AC685" s="420"/>
      <c r="AD685" s="420"/>
      <c r="AE685" s="420"/>
      <c r="AF685" s="367"/>
      <c r="AG685" s="420"/>
      <c r="AH685" s="367"/>
      <c r="AI685" s="367"/>
      <c r="AJ685" s="367"/>
      <c r="AK685" s="358"/>
      <c r="AL685" s="358"/>
      <c r="AM685" s="358"/>
      <c r="AN685" s="358"/>
      <c r="AO685" s="358"/>
      <c r="AP685" s="367"/>
    </row>
    <row r="686">
      <c r="A686" s="418"/>
      <c r="B686" s="418"/>
      <c r="C686" s="418"/>
      <c r="D686" s="418"/>
      <c r="E686" s="418"/>
      <c r="F686" s="418"/>
      <c r="G686" s="367"/>
      <c r="H686" s="418"/>
      <c r="I686" s="418"/>
      <c r="J686" s="418"/>
      <c r="K686" s="418"/>
      <c r="L686" s="420"/>
      <c r="M686" s="420"/>
      <c r="N686" s="420"/>
      <c r="O686" s="420"/>
      <c r="P686" s="420"/>
      <c r="Q686" s="420"/>
      <c r="R686" s="420"/>
      <c r="S686" s="420"/>
      <c r="T686" s="420"/>
      <c r="U686" s="420"/>
      <c r="V686" s="420"/>
      <c r="W686" s="420"/>
      <c r="X686" s="420"/>
      <c r="Y686" s="420"/>
      <c r="Z686" s="367"/>
      <c r="AA686" s="420"/>
      <c r="AB686" s="420"/>
      <c r="AC686" s="420"/>
      <c r="AD686" s="420"/>
      <c r="AE686" s="420"/>
      <c r="AF686" s="367"/>
      <c r="AG686" s="420"/>
      <c r="AH686" s="367"/>
      <c r="AI686" s="367"/>
      <c r="AJ686" s="367"/>
      <c r="AK686" s="358"/>
      <c r="AL686" s="358"/>
      <c r="AM686" s="358"/>
      <c r="AN686" s="358"/>
      <c r="AO686" s="358"/>
      <c r="AP686" s="367"/>
    </row>
    <row r="687">
      <c r="A687" s="418"/>
      <c r="B687" s="418"/>
      <c r="C687" s="418"/>
      <c r="D687" s="418"/>
      <c r="E687" s="418"/>
      <c r="F687" s="418"/>
      <c r="G687" s="367"/>
      <c r="H687" s="418"/>
      <c r="I687" s="418"/>
      <c r="J687" s="418"/>
      <c r="K687" s="418"/>
      <c r="L687" s="420"/>
      <c r="M687" s="420"/>
      <c r="N687" s="420"/>
      <c r="O687" s="420"/>
      <c r="P687" s="420"/>
      <c r="Q687" s="420"/>
      <c r="R687" s="420"/>
      <c r="S687" s="420"/>
      <c r="T687" s="420"/>
      <c r="U687" s="420"/>
      <c r="V687" s="420"/>
      <c r="W687" s="420"/>
      <c r="X687" s="420"/>
      <c r="Y687" s="420"/>
      <c r="Z687" s="367"/>
      <c r="AA687" s="420"/>
      <c r="AB687" s="420"/>
      <c r="AC687" s="420"/>
      <c r="AD687" s="420"/>
      <c r="AE687" s="420"/>
      <c r="AF687" s="367"/>
      <c r="AG687" s="420"/>
      <c r="AH687" s="367"/>
      <c r="AI687" s="367"/>
      <c r="AJ687" s="367"/>
      <c r="AK687" s="358"/>
      <c r="AL687" s="358"/>
      <c r="AM687" s="358"/>
      <c r="AN687" s="358"/>
      <c r="AO687" s="358"/>
      <c r="AP687" s="367"/>
    </row>
    <row r="688">
      <c r="A688" s="418"/>
      <c r="B688" s="418"/>
      <c r="C688" s="418"/>
      <c r="D688" s="418"/>
      <c r="E688" s="418"/>
      <c r="F688" s="418"/>
      <c r="G688" s="367"/>
      <c r="H688" s="418"/>
      <c r="I688" s="418"/>
      <c r="J688" s="418"/>
      <c r="K688" s="418"/>
      <c r="L688" s="420"/>
      <c r="M688" s="420"/>
      <c r="N688" s="420"/>
      <c r="O688" s="420"/>
      <c r="P688" s="420"/>
      <c r="Q688" s="420"/>
      <c r="R688" s="420"/>
      <c r="S688" s="420"/>
      <c r="T688" s="420"/>
      <c r="U688" s="420"/>
      <c r="V688" s="420"/>
      <c r="W688" s="420"/>
      <c r="X688" s="420"/>
      <c r="Y688" s="420"/>
      <c r="Z688" s="367"/>
      <c r="AA688" s="420"/>
      <c r="AB688" s="420"/>
      <c r="AC688" s="420"/>
      <c r="AD688" s="420"/>
      <c r="AE688" s="420"/>
      <c r="AF688" s="367"/>
      <c r="AG688" s="420"/>
      <c r="AH688" s="367"/>
      <c r="AI688" s="367"/>
      <c r="AJ688" s="367"/>
      <c r="AK688" s="358"/>
      <c r="AL688" s="358"/>
      <c r="AM688" s="358"/>
      <c r="AN688" s="358"/>
      <c r="AO688" s="358"/>
      <c r="AP688" s="367"/>
    </row>
    <row r="689">
      <c r="A689" s="418"/>
      <c r="B689" s="418"/>
      <c r="C689" s="418"/>
      <c r="D689" s="418"/>
      <c r="E689" s="418"/>
      <c r="F689" s="418"/>
      <c r="G689" s="367"/>
      <c r="H689" s="418"/>
      <c r="I689" s="418"/>
      <c r="J689" s="418"/>
      <c r="K689" s="418"/>
      <c r="L689" s="420"/>
      <c r="M689" s="420"/>
      <c r="N689" s="420"/>
      <c r="O689" s="420"/>
      <c r="P689" s="420"/>
      <c r="Q689" s="420"/>
      <c r="R689" s="420"/>
      <c r="S689" s="420"/>
      <c r="T689" s="420"/>
      <c r="U689" s="420"/>
      <c r="V689" s="420"/>
      <c r="W689" s="420"/>
      <c r="X689" s="420"/>
      <c r="Y689" s="420"/>
      <c r="Z689" s="367"/>
      <c r="AA689" s="420"/>
      <c r="AB689" s="420"/>
      <c r="AC689" s="420"/>
      <c r="AD689" s="420"/>
      <c r="AE689" s="420"/>
      <c r="AF689" s="367"/>
      <c r="AG689" s="420"/>
      <c r="AH689" s="367"/>
      <c r="AI689" s="367"/>
      <c r="AJ689" s="367"/>
      <c r="AK689" s="358"/>
      <c r="AL689" s="358"/>
      <c r="AM689" s="358"/>
      <c r="AN689" s="358"/>
      <c r="AO689" s="358"/>
      <c r="AP689" s="367"/>
    </row>
    <row r="690">
      <c r="A690" s="418"/>
      <c r="B690" s="418"/>
      <c r="C690" s="418"/>
      <c r="D690" s="418"/>
      <c r="E690" s="418"/>
      <c r="F690" s="418"/>
      <c r="G690" s="367"/>
      <c r="H690" s="418"/>
      <c r="I690" s="418"/>
      <c r="J690" s="418"/>
      <c r="K690" s="418"/>
      <c r="L690" s="420"/>
      <c r="M690" s="420"/>
      <c r="N690" s="420"/>
      <c r="O690" s="420"/>
      <c r="P690" s="420"/>
      <c r="Q690" s="420"/>
      <c r="R690" s="420"/>
      <c r="S690" s="420"/>
      <c r="T690" s="420"/>
      <c r="U690" s="420"/>
      <c r="V690" s="420"/>
      <c r="W690" s="420"/>
      <c r="X690" s="420"/>
      <c r="Y690" s="420"/>
      <c r="Z690" s="367"/>
      <c r="AA690" s="420"/>
      <c r="AB690" s="420"/>
      <c r="AC690" s="420"/>
      <c r="AD690" s="420"/>
      <c r="AE690" s="420"/>
      <c r="AF690" s="367"/>
      <c r="AG690" s="420"/>
      <c r="AH690" s="367"/>
      <c r="AI690" s="367"/>
      <c r="AJ690" s="367"/>
      <c r="AK690" s="358"/>
      <c r="AL690" s="358"/>
      <c r="AM690" s="358"/>
      <c r="AN690" s="358"/>
      <c r="AO690" s="358"/>
      <c r="AP690" s="367"/>
    </row>
    <row r="691">
      <c r="A691" s="418"/>
      <c r="B691" s="418"/>
      <c r="C691" s="418"/>
      <c r="D691" s="418"/>
      <c r="E691" s="418"/>
      <c r="F691" s="418"/>
      <c r="G691" s="367"/>
      <c r="H691" s="418"/>
      <c r="I691" s="418"/>
      <c r="J691" s="418"/>
      <c r="K691" s="418"/>
      <c r="L691" s="420"/>
      <c r="M691" s="420"/>
      <c r="N691" s="420"/>
      <c r="O691" s="420"/>
      <c r="P691" s="420"/>
      <c r="Q691" s="420"/>
      <c r="R691" s="420"/>
      <c r="S691" s="420"/>
      <c r="T691" s="420"/>
      <c r="U691" s="420"/>
      <c r="V691" s="420"/>
      <c r="W691" s="420"/>
      <c r="X691" s="420"/>
      <c r="Y691" s="420"/>
      <c r="Z691" s="367"/>
      <c r="AA691" s="420"/>
      <c r="AB691" s="420"/>
      <c r="AC691" s="420"/>
      <c r="AD691" s="420"/>
      <c r="AE691" s="420"/>
      <c r="AF691" s="367"/>
      <c r="AG691" s="420"/>
      <c r="AH691" s="367"/>
      <c r="AI691" s="367"/>
      <c r="AJ691" s="367"/>
      <c r="AK691" s="358"/>
      <c r="AL691" s="358"/>
      <c r="AM691" s="358"/>
      <c r="AN691" s="358"/>
      <c r="AO691" s="358"/>
      <c r="AP691" s="367"/>
    </row>
    <row r="692">
      <c r="A692" s="418"/>
      <c r="B692" s="418"/>
      <c r="C692" s="418"/>
      <c r="D692" s="418"/>
      <c r="E692" s="418"/>
      <c r="F692" s="418"/>
      <c r="G692" s="367"/>
      <c r="H692" s="418"/>
      <c r="I692" s="418"/>
      <c r="J692" s="418"/>
      <c r="K692" s="418"/>
      <c r="L692" s="420"/>
      <c r="M692" s="420"/>
      <c r="N692" s="420"/>
      <c r="O692" s="420"/>
      <c r="P692" s="420"/>
      <c r="Q692" s="420"/>
      <c r="R692" s="420"/>
      <c r="S692" s="420"/>
      <c r="T692" s="420"/>
      <c r="U692" s="420"/>
      <c r="V692" s="420"/>
      <c r="W692" s="420"/>
      <c r="X692" s="420"/>
      <c r="Y692" s="420"/>
      <c r="Z692" s="367"/>
      <c r="AA692" s="420"/>
      <c r="AB692" s="420"/>
      <c r="AC692" s="420"/>
      <c r="AD692" s="420"/>
      <c r="AE692" s="420"/>
      <c r="AF692" s="367"/>
      <c r="AG692" s="420"/>
      <c r="AH692" s="367"/>
      <c r="AI692" s="367"/>
      <c r="AJ692" s="367"/>
      <c r="AK692" s="358"/>
      <c r="AL692" s="358"/>
      <c r="AM692" s="358"/>
      <c r="AN692" s="358"/>
      <c r="AO692" s="358"/>
      <c r="AP692" s="367"/>
    </row>
    <row r="693">
      <c r="A693" s="418"/>
      <c r="B693" s="418"/>
      <c r="C693" s="418"/>
      <c r="D693" s="418"/>
      <c r="E693" s="418"/>
      <c r="F693" s="418"/>
      <c r="G693" s="367"/>
      <c r="H693" s="418"/>
      <c r="I693" s="418"/>
      <c r="J693" s="418"/>
      <c r="K693" s="418"/>
      <c r="L693" s="420"/>
      <c r="M693" s="420"/>
      <c r="N693" s="420"/>
      <c r="O693" s="420"/>
      <c r="P693" s="420"/>
      <c r="Q693" s="420"/>
      <c r="R693" s="420"/>
      <c r="S693" s="420"/>
      <c r="T693" s="420"/>
      <c r="U693" s="420"/>
      <c r="V693" s="420"/>
      <c r="W693" s="420"/>
      <c r="X693" s="420"/>
      <c r="Y693" s="420"/>
      <c r="Z693" s="367"/>
      <c r="AA693" s="420"/>
      <c r="AB693" s="420"/>
      <c r="AC693" s="420"/>
      <c r="AD693" s="420"/>
      <c r="AE693" s="420"/>
      <c r="AF693" s="367"/>
      <c r="AG693" s="420"/>
      <c r="AH693" s="367"/>
      <c r="AI693" s="367"/>
      <c r="AJ693" s="367"/>
      <c r="AK693" s="358"/>
      <c r="AL693" s="358"/>
      <c r="AM693" s="358"/>
      <c r="AN693" s="358"/>
      <c r="AO693" s="358"/>
      <c r="AP693" s="367"/>
    </row>
    <row r="694">
      <c r="A694" s="418"/>
      <c r="B694" s="418"/>
      <c r="C694" s="418"/>
      <c r="D694" s="418"/>
      <c r="E694" s="418"/>
      <c r="F694" s="418"/>
      <c r="G694" s="367"/>
      <c r="H694" s="418"/>
      <c r="I694" s="418"/>
      <c r="J694" s="418"/>
      <c r="K694" s="418"/>
      <c r="L694" s="420"/>
      <c r="M694" s="420"/>
      <c r="N694" s="420"/>
      <c r="O694" s="420"/>
      <c r="P694" s="420"/>
      <c r="Q694" s="420"/>
      <c r="R694" s="420"/>
      <c r="S694" s="420"/>
      <c r="T694" s="420"/>
      <c r="U694" s="420"/>
      <c r="V694" s="420"/>
      <c r="W694" s="420"/>
      <c r="X694" s="420"/>
      <c r="Y694" s="420"/>
      <c r="Z694" s="367"/>
      <c r="AA694" s="420"/>
      <c r="AB694" s="420"/>
      <c r="AC694" s="420"/>
      <c r="AD694" s="420"/>
      <c r="AE694" s="420"/>
      <c r="AF694" s="367"/>
      <c r="AG694" s="420"/>
      <c r="AH694" s="367"/>
      <c r="AI694" s="367"/>
      <c r="AJ694" s="367"/>
      <c r="AK694" s="358"/>
      <c r="AL694" s="358"/>
      <c r="AM694" s="358"/>
      <c r="AN694" s="358"/>
      <c r="AO694" s="358"/>
      <c r="AP694" s="367"/>
    </row>
    <row r="695">
      <c r="A695" s="418"/>
      <c r="B695" s="418"/>
      <c r="C695" s="418"/>
      <c r="D695" s="418"/>
      <c r="E695" s="418"/>
      <c r="F695" s="418"/>
      <c r="G695" s="367"/>
      <c r="H695" s="418"/>
      <c r="I695" s="418"/>
      <c r="J695" s="418"/>
      <c r="K695" s="418"/>
      <c r="L695" s="420"/>
      <c r="M695" s="420"/>
      <c r="N695" s="420"/>
      <c r="O695" s="420"/>
      <c r="P695" s="420"/>
      <c r="Q695" s="420"/>
      <c r="R695" s="420"/>
      <c r="S695" s="420"/>
      <c r="T695" s="420"/>
      <c r="U695" s="420"/>
      <c r="V695" s="420"/>
      <c r="W695" s="420"/>
      <c r="X695" s="420"/>
      <c r="Y695" s="420"/>
      <c r="Z695" s="367"/>
      <c r="AA695" s="420"/>
      <c r="AB695" s="420"/>
      <c r="AC695" s="420"/>
      <c r="AD695" s="420"/>
      <c r="AE695" s="420"/>
      <c r="AF695" s="367"/>
      <c r="AG695" s="420"/>
      <c r="AH695" s="367"/>
      <c r="AI695" s="367"/>
      <c r="AJ695" s="367"/>
      <c r="AK695" s="358"/>
      <c r="AL695" s="358"/>
      <c r="AM695" s="358"/>
      <c r="AN695" s="358"/>
      <c r="AO695" s="358"/>
      <c r="AP695" s="367"/>
    </row>
    <row r="696">
      <c r="A696" s="418"/>
      <c r="B696" s="418"/>
      <c r="C696" s="418"/>
      <c r="D696" s="418"/>
      <c r="E696" s="418"/>
      <c r="F696" s="418"/>
      <c r="G696" s="367"/>
      <c r="H696" s="418"/>
      <c r="I696" s="418"/>
      <c r="J696" s="418"/>
      <c r="K696" s="418"/>
      <c r="L696" s="420"/>
      <c r="M696" s="420"/>
      <c r="N696" s="420"/>
      <c r="O696" s="420"/>
      <c r="P696" s="420"/>
      <c r="Q696" s="420"/>
      <c r="R696" s="420"/>
      <c r="S696" s="420"/>
      <c r="T696" s="420"/>
      <c r="U696" s="420"/>
      <c r="V696" s="420"/>
      <c r="W696" s="420"/>
      <c r="X696" s="420"/>
      <c r="Y696" s="420"/>
      <c r="Z696" s="367"/>
      <c r="AA696" s="420"/>
      <c r="AB696" s="420"/>
      <c r="AC696" s="420"/>
      <c r="AD696" s="420"/>
      <c r="AE696" s="420"/>
      <c r="AF696" s="367"/>
      <c r="AG696" s="420"/>
      <c r="AH696" s="367"/>
      <c r="AI696" s="367"/>
      <c r="AJ696" s="367"/>
      <c r="AK696" s="358"/>
      <c r="AL696" s="358"/>
      <c r="AM696" s="358"/>
      <c r="AN696" s="358"/>
      <c r="AO696" s="358"/>
      <c r="AP696" s="367"/>
    </row>
    <row r="697">
      <c r="A697" s="418"/>
      <c r="B697" s="418"/>
      <c r="C697" s="418"/>
      <c r="D697" s="418"/>
      <c r="E697" s="418"/>
      <c r="F697" s="418"/>
      <c r="G697" s="367"/>
      <c r="H697" s="418"/>
      <c r="I697" s="418"/>
      <c r="J697" s="418"/>
      <c r="K697" s="418"/>
      <c r="L697" s="420"/>
      <c r="M697" s="420"/>
      <c r="N697" s="420"/>
      <c r="O697" s="420"/>
      <c r="P697" s="420"/>
      <c r="Q697" s="420"/>
      <c r="R697" s="420"/>
      <c r="S697" s="420"/>
      <c r="T697" s="420"/>
      <c r="U697" s="420"/>
      <c r="V697" s="420"/>
      <c r="W697" s="420"/>
      <c r="X697" s="420"/>
      <c r="Y697" s="420"/>
      <c r="Z697" s="367"/>
      <c r="AA697" s="420"/>
      <c r="AB697" s="420"/>
      <c r="AC697" s="420"/>
      <c r="AD697" s="420"/>
      <c r="AE697" s="420"/>
      <c r="AF697" s="367"/>
      <c r="AG697" s="420"/>
      <c r="AH697" s="367"/>
      <c r="AI697" s="367"/>
      <c r="AJ697" s="367"/>
      <c r="AK697" s="358"/>
      <c r="AL697" s="358"/>
      <c r="AM697" s="358"/>
      <c r="AN697" s="358"/>
      <c r="AO697" s="358"/>
      <c r="AP697" s="367"/>
    </row>
    <row r="698">
      <c r="A698" s="418"/>
      <c r="B698" s="418"/>
      <c r="C698" s="418"/>
      <c r="D698" s="418"/>
      <c r="E698" s="418"/>
      <c r="F698" s="418"/>
      <c r="G698" s="367"/>
      <c r="H698" s="418"/>
      <c r="I698" s="418"/>
      <c r="J698" s="418"/>
      <c r="K698" s="418"/>
      <c r="L698" s="420"/>
      <c r="M698" s="420"/>
      <c r="N698" s="420"/>
      <c r="O698" s="420"/>
      <c r="P698" s="420"/>
      <c r="Q698" s="420"/>
      <c r="R698" s="420"/>
      <c r="S698" s="420"/>
      <c r="T698" s="420"/>
      <c r="U698" s="420"/>
      <c r="V698" s="420"/>
      <c r="W698" s="420"/>
      <c r="X698" s="420"/>
      <c r="Y698" s="420"/>
      <c r="Z698" s="367"/>
      <c r="AA698" s="420"/>
      <c r="AB698" s="420"/>
      <c r="AC698" s="420"/>
      <c r="AD698" s="420"/>
      <c r="AE698" s="420"/>
      <c r="AF698" s="367"/>
      <c r="AG698" s="420"/>
      <c r="AH698" s="367"/>
      <c r="AI698" s="367"/>
      <c r="AJ698" s="367"/>
      <c r="AK698" s="358"/>
      <c r="AL698" s="358"/>
      <c r="AM698" s="358"/>
      <c r="AN698" s="358"/>
      <c r="AO698" s="358"/>
      <c r="AP698" s="367"/>
    </row>
    <row r="699">
      <c r="A699" s="418"/>
      <c r="B699" s="418"/>
      <c r="C699" s="418"/>
      <c r="D699" s="418"/>
      <c r="E699" s="418"/>
      <c r="F699" s="418"/>
      <c r="G699" s="367"/>
      <c r="H699" s="418"/>
      <c r="I699" s="418"/>
      <c r="J699" s="418"/>
      <c r="K699" s="418"/>
      <c r="L699" s="420"/>
      <c r="M699" s="420"/>
      <c r="N699" s="420"/>
      <c r="O699" s="420"/>
      <c r="P699" s="420"/>
      <c r="Q699" s="420"/>
      <c r="R699" s="420"/>
      <c r="S699" s="420"/>
      <c r="T699" s="420"/>
      <c r="U699" s="420"/>
      <c r="V699" s="420"/>
      <c r="W699" s="420"/>
      <c r="X699" s="420"/>
      <c r="Y699" s="420"/>
      <c r="Z699" s="367"/>
      <c r="AA699" s="420"/>
      <c r="AB699" s="420"/>
      <c r="AC699" s="420"/>
      <c r="AD699" s="420"/>
      <c r="AE699" s="420"/>
      <c r="AF699" s="367"/>
      <c r="AG699" s="420"/>
      <c r="AH699" s="367"/>
      <c r="AI699" s="367"/>
      <c r="AJ699" s="367"/>
      <c r="AK699" s="358"/>
      <c r="AL699" s="358"/>
      <c r="AM699" s="358"/>
      <c r="AN699" s="358"/>
      <c r="AO699" s="358"/>
      <c r="AP699" s="367"/>
    </row>
    <row r="700">
      <c r="A700" s="418"/>
      <c r="B700" s="418"/>
      <c r="C700" s="418"/>
      <c r="D700" s="418"/>
      <c r="E700" s="418"/>
      <c r="F700" s="418"/>
      <c r="G700" s="367"/>
      <c r="H700" s="418"/>
      <c r="I700" s="418"/>
      <c r="J700" s="418"/>
      <c r="K700" s="418"/>
      <c r="L700" s="420"/>
      <c r="M700" s="420"/>
      <c r="N700" s="420"/>
      <c r="O700" s="420"/>
      <c r="P700" s="420"/>
      <c r="Q700" s="420"/>
      <c r="R700" s="420"/>
      <c r="S700" s="420"/>
      <c r="T700" s="420"/>
      <c r="U700" s="420"/>
      <c r="V700" s="420"/>
      <c r="W700" s="420"/>
      <c r="X700" s="420"/>
      <c r="Y700" s="420"/>
      <c r="Z700" s="367"/>
      <c r="AA700" s="420"/>
      <c r="AB700" s="420"/>
      <c r="AC700" s="420"/>
      <c r="AD700" s="420"/>
      <c r="AE700" s="420"/>
      <c r="AF700" s="367"/>
      <c r="AG700" s="420"/>
      <c r="AH700" s="367"/>
      <c r="AI700" s="367"/>
      <c r="AJ700" s="367"/>
      <c r="AK700" s="358"/>
      <c r="AL700" s="358"/>
      <c r="AM700" s="358"/>
      <c r="AN700" s="358"/>
      <c r="AO700" s="358"/>
      <c r="AP700" s="367"/>
    </row>
    <row r="701">
      <c r="A701" s="418"/>
      <c r="B701" s="418"/>
      <c r="C701" s="418"/>
      <c r="D701" s="418"/>
      <c r="E701" s="418"/>
      <c r="F701" s="418"/>
      <c r="G701" s="367"/>
      <c r="H701" s="418"/>
      <c r="I701" s="418"/>
      <c r="J701" s="418"/>
      <c r="K701" s="418"/>
      <c r="L701" s="420"/>
      <c r="M701" s="420"/>
      <c r="N701" s="420"/>
      <c r="O701" s="420"/>
      <c r="P701" s="420"/>
      <c r="Q701" s="420"/>
      <c r="R701" s="420"/>
      <c r="S701" s="420"/>
      <c r="T701" s="420"/>
      <c r="U701" s="420"/>
      <c r="V701" s="420"/>
      <c r="W701" s="420"/>
      <c r="X701" s="420"/>
      <c r="Y701" s="420"/>
      <c r="Z701" s="367"/>
      <c r="AA701" s="420"/>
      <c r="AB701" s="420"/>
      <c r="AC701" s="420"/>
      <c r="AD701" s="420"/>
      <c r="AE701" s="420"/>
      <c r="AF701" s="367"/>
      <c r="AG701" s="420"/>
      <c r="AH701" s="367"/>
      <c r="AI701" s="367"/>
      <c r="AJ701" s="367"/>
      <c r="AK701" s="358"/>
      <c r="AL701" s="358"/>
      <c r="AM701" s="358"/>
      <c r="AN701" s="358"/>
      <c r="AO701" s="358"/>
      <c r="AP701" s="367"/>
    </row>
    <row r="702">
      <c r="A702" s="418"/>
      <c r="B702" s="418"/>
      <c r="C702" s="418"/>
      <c r="D702" s="418"/>
      <c r="E702" s="418"/>
      <c r="F702" s="418"/>
      <c r="G702" s="367"/>
      <c r="H702" s="418"/>
      <c r="I702" s="418"/>
      <c r="J702" s="418"/>
      <c r="K702" s="418"/>
      <c r="L702" s="420"/>
      <c r="M702" s="420"/>
      <c r="N702" s="420"/>
      <c r="O702" s="420"/>
      <c r="P702" s="420"/>
      <c r="Q702" s="420"/>
      <c r="R702" s="420"/>
      <c r="S702" s="420"/>
      <c r="T702" s="420"/>
      <c r="U702" s="420"/>
      <c r="V702" s="420"/>
      <c r="W702" s="420"/>
      <c r="X702" s="420"/>
      <c r="Y702" s="420"/>
      <c r="Z702" s="367"/>
      <c r="AA702" s="420"/>
      <c r="AB702" s="420"/>
      <c r="AC702" s="420"/>
      <c r="AD702" s="420"/>
      <c r="AE702" s="420"/>
      <c r="AF702" s="367"/>
      <c r="AG702" s="420"/>
      <c r="AH702" s="367"/>
      <c r="AI702" s="367"/>
      <c r="AJ702" s="367"/>
      <c r="AK702" s="358"/>
      <c r="AL702" s="358"/>
      <c r="AM702" s="358"/>
      <c r="AN702" s="358"/>
      <c r="AO702" s="358"/>
      <c r="AP702" s="367"/>
    </row>
    <row r="703">
      <c r="A703" s="418"/>
      <c r="B703" s="418"/>
      <c r="C703" s="418"/>
      <c r="D703" s="418"/>
      <c r="E703" s="418"/>
      <c r="F703" s="418"/>
      <c r="G703" s="367"/>
      <c r="H703" s="418"/>
      <c r="I703" s="418"/>
      <c r="J703" s="418"/>
      <c r="K703" s="418"/>
      <c r="L703" s="420"/>
      <c r="M703" s="420"/>
      <c r="N703" s="420"/>
      <c r="O703" s="420"/>
      <c r="P703" s="420"/>
      <c r="Q703" s="420"/>
      <c r="R703" s="420"/>
      <c r="S703" s="420"/>
      <c r="T703" s="420"/>
      <c r="U703" s="420"/>
      <c r="V703" s="420"/>
      <c r="W703" s="420"/>
      <c r="X703" s="420"/>
      <c r="Y703" s="420"/>
      <c r="Z703" s="367"/>
      <c r="AA703" s="420"/>
      <c r="AB703" s="420"/>
      <c r="AC703" s="420"/>
      <c r="AD703" s="420"/>
      <c r="AE703" s="420"/>
      <c r="AF703" s="367"/>
      <c r="AG703" s="420"/>
      <c r="AH703" s="367"/>
      <c r="AI703" s="367"/>
      <c r="AJ703" s="367"/>
      <c r="AK703" s="358"/>
      <c r="AL703" s="358"/>
      <c r="AM703" s="358"/>
      <c r="AN703" s="358"/>
      <c r="AO703" s="358"/>
      <c r="AP703" s="367"/>
    </row>
    <row r="704">
      <c r="A704" s="418"/>
      <c r="B704" s="418"/>
      <c r="C704" s="418"/>
      <c r="D704" s="418"/>
      <c r="E704" s="418"/>
      <c r="F704" s="418"/>
      <c r="G704" s="367"/>
      <c r="H704" s="418"/>
      <c r="I704" s="418"/>
      <c r="J704" s="418"/>
      <c r="K704" s="418"/>
      <c r="L704" s="420"/>
      <c r="M704" s="420"/>
      <c r="N704" s="420"/>
      <c r="O704" s="420"/>
      <c r="P704" s="420"/>
      <c r="Q704" s="420"/>
      <c r="R704" s="420"/>
      <c r="S704" s="420"/>
      <c r="T704" s="420"/>
      <c r="U704" s="420"/>
      <c r="V704" s="420"/>
      <c r="W704" s="420"/>
      <c r="X704" s="420"/>
      <c r="Y704" s="420"/>
      <c r="Z704" s="367"/>
      <c r="AA704" s="420"/>
      <c r="AB704" s="420"/>
      <c r="AC704" s="420"/>
      <c r="AD704" s="420"/>
      <c r="AE704" s="420"/>
      <c r="AF704" s="367"/>
      <c r="AG704" s="420"/>
      <c r="AH704" s="367"/>
      <c r="AI704" s="367"/>
      <c r="AJ704" s="367"/>
      <c r="AK704" s="358"/>
      <c r="AL704" s="358"/>
      <c r="AM704" s="358"/>
      <c r="AN704" s="358"/>
      <c r="AO704" s="358"/>
      <c r="AP704" s="367"/>
    </row>
    <row r="705">
      <c r="A705" s="418"/>
      <c r="B705" s="418"/>
      <c r="C705" s="418"/>
      <c r="D705" s="418"/>
      <c r="E705" s="418"/>
      <c r="F705" s="418"/>
      <c r="G705" s="367"/>
      <c r="H705" s="418"/>
      <c r="I705" s="418"/>
      <c r="J705" s="418"/>
      <c r="K705" s="418"/>
      <c r="L705" s="420"/>
      <c r="M705" s="420"/>
      <c r="N705" s="420"/>
      <c r="O705" s="420"/>
      <c r="P705" s="420"/>
      <c r="Q705" s="420"/>
      <c r="R705" s="420"/>
      <c r="S705" s="420"/>
      <c r="T705" s="420"/>
      <c r="U705" s="420"/>
      <c r="V705" s="420"/>
      <c r="W705" s="420"/>
      <c r="X705" s="420"/>
      <c r="Y705" s="420"/>
      <c r="Z705" s="367"/>
      <c r="AA705" s="420"/>
      <c r="AB705" s="420"/>
      <c r="AC705" s="420"/>
      <c r="AD705" s="420"/>
      <c r="AE705" s="420"/>
      <c r="AF705" s="367"/>
      <c r="AG705" s="420"/>
      <c r="AH705" s="367"/>
      <c r="AI705" s="367"/>
      <c r="AJ705" s="367"/>
      <c r="AK705" s="358"/>
      <c r="AL705" s="358"/>
      <c r="AM705" s="358"/>
      <c r="AN705" s="358"/>
      <c r="AO705" s="358"/>
      <c r="AP705" s="367"/>
    </row>
    <row r="706">
      <c r="A706" s="418"/>
      <c r="B706" s="418"/>
      <c r="C706" s="418"/>
      <c r="D706" s="418"/>
      <c r="E706" s="418"/>
      <c r="F706" s="418"/>
      <c r="G706" s="367"/>
      <c r="H706" s="418"/>
      <c r="I706" s="418"/>
      <c r="J706" s="418"/>
      <c r="K706" s="418"/>
      <c r="L706" s="420"/>
      <c r="M706" s="420"/>
      <c r="N706" s="420"/>
      <c r="O706" s="420"/>
      <c r="P706" s="420"/>
      <c r="Q706" s="420"/>
      <c r="R706" s="420"/>
      <c r="S706" s="420"/>
      <c r="T706" s="420"/>
      <c r="U706" s="420"/>
      <c r="V706" s="420"/>
      <c r="W706" s="420"/>
      <c r="X706" s="420"/>
      <c r="Y706" s="420"/>
      <c r="Z706" s="367"/>
      <c r="AA706" s="420"/>
      <c r="AB706" s="420"/>
      <c r="AC706" s="420"/>
      <c r="AD706" s="420"/>
      <c r="AE706" s="420"/>
      <c r="AF706" s="367"/>
      <c r="AG706" s="420"/>
      <c r="AH706" s="367"/>
      <c r="AI706" s="367"/>
      <c r="AJ706" s="367"/>
      <c r="AK706" s="358"/>
      <c r="AL706" s="358"/>
      <c r="AM706" s="358"/>
      <c r="AN706" s="358"/>
      <c r="AO706" s="358"/>
      <c r="AP706" s="367"/>
    </row>
    <row r="707">
      <c r="A707" s="418"/>
      <c r="B707" s="418"/>
      <c r="C707" s="418"/>
      <c r="D707" s="418"/>
      <c r="E707" s="418"/>
      <c r="F707" s="418"/>
      <c r="G707" s="367"/>
      <c r="H707" s="418"/>
      <c r="I707" s="418"/>
      <c r="J707" s="418"/>
      <c r="K707" s="418"/>
      <c r="L707" s="420"/>
      <c r="M707" s="420"/>
      <c r="N707" s="420"/>
      <c r="O707" s="420"/>
      <c r="P707" s="420"/>
      <c r="Q707" s="420"/>
      <c r="R707" s="420"/>
      <c r="S707" s="420"/>
      <c r="T707" s="420"/>
      <c r="U707" s="420"/>
      <c r="V707" s="420"/>
      <c r="W707" s="420"/>
      <c r="X707" s="420"/>
      <c r="Y707" s="420"/>
      <c r="Z707" s="367"/>
      <c r="AA707" s="420"/>
      <c r="AB707" s="420"/>
      <c r="AC707" s="420"/>
      <c r="AD707" s="420"/>
      <c r="AE707" s="420"/>
      <c r="AF707" s="367"/>
      <c r="AG707" s="420"/>
      <c r="AH707" s="367"/>
      <c r="AI707" s="367"/>
      <c r="AJ707" s="367"/>
      <c r="AK707" s="358"/>
      <c r="AL707" s="358"/>
      <c r="AM707" s="358"/>
      <c r="AN707" s="358"/>
      <c r="AO707" s="358"/>
      <c r="AP707" s="367"/>
    </row>
    <row r="708">
      <c r="A708" s="418"/>
      <c r="B708" s="418"/>
      <c r="C708" s="418"/>
      <c r="D708" s="418"/>
      <c r="E708" s="418"/>
      <c r="F708" s="418"/>
      <c r="G708" s="367"/>
      <c r="H708" s="418"/>
      <c r="I708" s="418"/>
      <c r="J708" s="418"/>
      <c r="K708" s="418"/>
      <c r="L708" s="420"/>
      <c r="M708" s="420"/>
      <c r="N708" s="420"/>
      <c r="O708" s="420"/>
      <c r="P708" s="420"/>
      <c r="Q708" s="420"/>
      <c r="R708" s="420"/>
      <c r="S708" s="420"/>
      <c r="T708" s="420"/>
      <c r="U708" s="420"/>
      <c r="V708" s="420"/>
      <c r="W708" s="420"/>
      <c r="X708" s="420"/>
      <c r="Y708" s="420"/>
      <c r="Z708" s="367"/>
      <c r="AA708" s="420"/>
      <c r="AB708" s="420"/>
      <c r="AC708" s="420"/>
      <c r="AD708" s="420"/>
      <c r="AE708" s="420"/>
      <c r="AF708" s="367"/>
      <c r="AG708" s="420"/>
      <c r="AH708" s="367"/>
      <c r="AI708" s="367"/>
      <c r="AJ708" s="367"/>
      <c r="AK708" s="358"/>
      <c r="AL708" s="358"/>
      <c r="AM708" s="358"/>
      <c r="AN708" s="358"/>
      <c r="AO708" s="358"/>
      <c r="AP708" s="367"/>
    </row>
    <row r="709">
      <c r="A709" s="418"/>
      <c r="B709" s="418"/>
      <c r="C709" s="418"/>
      <c r="D709" s="418"/>
      <c r="E709" s="418"/>
      <c r="F709" s="418"/>
      <c r="G709" s="367"/>
      <c r="H709" s="418"/>
      <c r="I709" s="418"/>
      <c r="J709" s="418"/>
      <c r="K709" s="418"/>
      <c r="L709" s="420"/>
      <c r="M709" s="420"/>
      <c r="N709" s="420"/>
      <c r="O709" s="420"/>
      <c r="P709" s="420"/>
      <c r="Q709" s="420"/>
      <c r="R709" s="420"/>
      <c r="S709" s="420"/>
      <c r="T709" s="420"/>
      <c r="U709" s="420"/>
      <c r="V709" s="420"/>
      <c r="W709" s="420"/>
      <c r="X709" s="420"/>
      <c r="Y709" s="420"/>
      <c r="Z709" s="367"/>
      <c r="AA709" s="420"/>
      <c r="AB709" s="420"/>
      <c r="AC709" s="420"/>
      <c r="AD709" s="420"/>
      <c r="AE709" s="420"/>
      <c r="AF709" s="367"/>
      <c r="AG709" s="420"/>
      <c r="AH709" s="367"/>
      <c r="AI709" s="367"/>
      <c r="AJ709" s="367"/>
      <c r="AK709" s="358"/>
      <c r="AL709" s="358"/>
      <c r="AM709" s="358"/>
      <c r="AN709" s="358"/>
      <c r="AO709" s="358"/>
      <c r="AP709" s="367"/>
    </row>
    <row r="710">
      <c r="A710" s="418"/>
      <c r="B710" s="418"/>
      <c r="C710" s="418"/>
      <c r="D710" s="418"/>
      <c r="E710" s="418"/>
      <c r="F710" s="418"/>
      <c r="G710" s="367"/>
      <c r="H710" s="418"/>
      <c r="I710" s="418"/>
      <c r="J710" s="418"/>
      <c r="K710" s="418"/>
      <c r="L710" s="420"/>
      <c r="M710" s="420"/>
      <c r="N710" s="420"/>
      <c r="O710" s="420"/>
      <c r="P710" s="420"/>
      <c r="Q710" s="420"/>
      <c r="R710" s="420"/>
      <c r="S710" s="420"/>
      <c r="T710" s="420"/>
      <c r="U710" s="420"/>
      <c r="V710" s="420"/>
      <c r="W710" s="420"/>
      <c r="X710" s="420"/>
      <c r="Y710" s="420"/>
      <c r="Z710" s="367"/>
      <c r="AA710" s="420"/>
      <c r="AB710" s="420"/>
      <c r="AC710" s="420"/>
      <c r="AD710" s="420"/>
      <c r="AE710" s="420"/>
      <c r="AF710" s="367"/>
      <c r="AG710" s="420"/>
      <c r="AH710" s="367"/>
      <c r="AI710" s="367"/>
      <c r="AJ710" s="367"/>
      <c r="AK710" s="358"/>
      <c r="AL710" s="358"/>
      <c r="AM710" s="358"/>
      <c r="AN710" s="358"/>
      <c r="AO710" s="358"/>
      <c r="AP710" s="367"/>
    </row>
    <row r="711">
      <c r="A711" s="418"/>
      <c r="B711" s="418"/>
      <c r="C711" s="418"/>
      <c r="D711" s="418"/>
      <c r="E711" s="418"/>
      <c r="F711" s="418"/>
      <c r="G711" s="367"/>
      <c r="H711" s="418"/>
      <c r="I711" s="418"/>
      <c r="J711" s="418"/>
      <c r="K711" s="418"/>
      <c r="L711" s="420"/>
      <c r="M711" s="420"/>
      <c r="N711" s="420"/>
      <c r="O711" s="420"/>
      <c r="P711" s="420"/>
      <c r="Q711" s="420"/>
      <c r="R711" s="420"/>
      <c r="S711" s="420"/>
      <c r="T711" s="420"/>
      <c r="U711" s="420"/>
      <c r="V711" s="420"/>
      <c r="W711" s="420"/>
      <c r="X711" s="420"/>
      <c r="Y711" s="420"/>
      <c r="Z711" s="367"/>
      <c r="AA711" s="420"/>
      <c r="AB711" s="420"/>
      <c r="AC711" s="420"/>
      <c r="AD711" s="420"/>
      <c r="AE711" s="420"/>
      <c r="AF711" s="367"/>
      <c r="AG711" s="420"/>
      <c r="AH711" s="367"/>
      <c r="AI711" s="367"/>
      <c r="AJ711" s="367"/>
      <c r="AK711" s="358"/>
      <c r="AL711" s="358"/>
      <c r="AM711" s="358"/>
      <c r="AN711" s="358"/>
      <c r="AO711" s="358"/>
      <c r="AP711" s="367"/>
    </row>
    <row r="712">
      <c r="A712" s="418"/>
      <c r="B712" s="418"/>
      <c r="C712" s="418"/>
      <c r="D712" s="418"/>
      <c r="E712" s="418"/>
      <c r="F712" s="418"/>
      <c r="G712" s="367"/>
      <c r="H712" s="418"/>
      <c r="I712" s="418"/>
      <c r="J712" s="418"/>
      <c r="K712" s="418"/>
      <c r="L712" s="420"/>
      <c r="M712" s="420"/>
      <c r="N712" s="420"/>
      <c r="O712" s="420"/>
      <c r="P712" s="420"/>
      <c r="Q712" s="420"/>
      <c r="R712" s="420"/>
      <c r="S712" s="420"/>
      <c r="T712" s="420"/>
      <c r="U712" s="420"/>
      <c r="V712" s="420"/>
      <c r="W712" s="420"/>
      <c r="X712" s="420"/>
      <c r="Y712" s="420"/>
      <c r="Z712" s="367"/>
      <c r="AA712" s="420"/>
      <c r="AB712" s="420"/>
      <c r="AC712" s="420"/>
      <c r="AD712" s="420"/>
      <c r="AE712" s="420"/>
      <c r="AF712" s="367"/>
      <c r="AG712" s="420"/>
      <c r="AH712" s="367"/>
      <c r="AI712" s="367"/>
      <c r="AJ712" s="367"/>
      <c r="AK712" s="358"/>
      <c r="AL712" s="358"/>
      <c r="AM712" s="358"/>
      <c r="AN712" s="358"/>
      <c r="AO712" s="358"/>
      <c r="AP712" s="367"/>
    </row>
    <row r="713">
      <c r="A713" s="418"/>
      <c r="B713" s="418"/>
      <c r="C713" s="418"/>
      <c r="D713" s="418"/>
      <c r="E713" s="418"/>
      <c r="F713" s="418"/>
      <c r="G713" s="367"/>
      <c r="H713" s="418"/>
      <c r="I713" s="418"/>
      <c r="J713" s="418"/>
      <c r="K713" s="418"/>
      <c r="L713" s="420"/>
      <c r="M713" s="420"/>
      <c r="N713" s="420"/>
      <c r="O713" s="420"/>
      <c r="P713" s="420"/>
      <c r="Q713" s="420"/>
      <c r="R713" s="420"/>
      <c r="S713" s="420"/>
      <c r="T713" s="420"/>
      <c r="U713" s="420"/>
      <c r="V713" s="420"/>
      <c r="W713" s="420"/>
      <c r="X713" s="420"/>
      <c r="Y713" s="420"/>
      <c r="Z713" s="367"/>
      <c r="AA713" s="420"/>
      <c r="AB713" s="420"/>
      <c r="AC713" s="420"/>
      <c r="AD713" s="420"/>
      <c r="AE713" s="420"/>
      <c r="AF713" s="367"/>
      <c r="AG713" s="420"/>
      <c r="AH713" s="367"/>
      <c r="AI713" s="367"/>
      <c r="AJ713" s="367"/>
      <c r="AK713" s="358"/>
      <c r="AL713" s="358"/>
      <c r="AM713" s="358"/>
      <c r="AN713" s="358"/>
      <c r="AO713" s="358"/>
      <c r="AP713" s="367"/>
    </row>
    <row r="714">
      <c r="A714" s="418"/>
      <c r="B714" s="418"/>
      <c r="C714" s="418"/>
      <c r="D714" s="418"/>
      <c r="E714" s="418"/>
      <c r="F714" s="418"/>
      <c r="G714" s="367"/>
      <c r="H714" s="418"/>
      <c r="I714" s="418"/>
      <c r="J714" s="418"/>
      <c r="K714" s="418"/>
      <c r="L714" s="420"/>
      <c r="M714" s="420"/>
      <c r="N714" s="420"/>
      <c r="O714" s="420"/>
      <c r="P714" s="420"/>
      <c r="Q714" s="420"/>
      <c r="R714" s="420"/>
      <c r="S714" s="420"/>
      <c r="T714" s="420"/>
      <c r="U714" s="420"/>
      <c r="V714" s="420"/>
      <c r="W714" s="420"/>
      <c r="X714" s="420"/>
      <c r="Y714" s="420"/>
      <c r="Z714" s="367"/>
      <c r="AA714" s="420"/>
      <c r="AB714" s="420"/>
      <c r="AC714" s="420"/>
      <c r="AD714" s="420"/>
      <c r="AE714" s="420"/>
      <c r="AF714" s="367"/>
      <c r="AG714" s="420"/>
      <c r="AH714" s="367"/>
      <c r="AI714" s="367"/>
      <c r="AJ714" s="367"/>
      <c r="AK714" s="358"/>
      <c r="AL714" s="358"/>
      <c r="AM714" s="358"/>
      <c r="AN714" s="358"/>
      <c r="AO714" s="358"/>
      <c r="AP714" s="367"/>
    </row>
    <row r="715">
      <c r="A715" s="418"/>
      <c r="B715" s="418"/>
      <c r="C715" s="418"/>
      <c r="D715" s="418"/>
      <c r="E715" s="418"/>
      <c r="F715" s="418"/>
      <c r="G715" s="367"/>
      <c r="H715" s="418"/>
      <c r="I715" s="418"/>
      <c r="J715" s="418"/>
      <c r="K715" s="418"/>
      <c r="L715" s="420"/>
      <c r="M715" s="420"/>
      <c r="N715" s="420"/>
      <c r="O715" s="420"/>
      <c r="P715" s="420"/>
      <c r="Q715" s="420"/>
      <c r="R715" s="420"/>
      <c r="S715" s="420"/>
      <c r="T715" s="420"/>
      <c r="U715" s="420"/>
      <c r="V715" s="420"/>
      <c r="W715" s="420"/>
      <c r="X715" s="420"/>
      <c r="Y715" s="420"/>
      <c r="Z715" s="367"/>
      <c r="AA715" s="420"/>
      <c r="AB715" s="420"/>
      <c r="AC715" s="420"/>
      <c r="AD715" s="420"/>
      <c r="AE715" s="420"/>
      <c r="AF715" s="367"/>
      <c r="AG715" s="420"/>
      <c r="AH715" s="367"/>
      <c r="AI715" s="367"/>
      <c r="AJ715" s="367"/>
      <c r="AK715" s="358"/>
      <c r="AL715" s="358"/>
      <c r="AM715" s="358"/>
      <c r="AN715" s="358"/>
      <c r="AO715" s="358"/>
      <c r="AP715" s="367"/>
    </row>
    <row r="716">
      <c r="A716" s="418"/>
      <c r="B716" s="418"/>
      <c r="C716" s="418"/>
      <c r="D716" s="418"/>
      <c r="E716" s="418"/>
      <c r="F716" s="418"/>
      <c r="G716" s="367"/>
      <c r="H716" s="418"/>
      <c r="I716" s="418"/>
      <c r="J716" s="418"/>
      <c r="K716" s="418"/>
      <c r="L716" s="420"/>
      <c r="M716" s="420"/>
      <c r="N716" s="420"/>
      <c r="O716" s="420"/>
      <c r="P716" s="420"/>
      <c r="Q716" s="420"/>
      <c r="R716" s="420"/>
      <c r="S716" s="420"/>
      <c r="T716" s="420"/>
      <c r="U716" s="420"/>
      <c r="V716" s="420"/>
      <c r="W716" s="420"/>
      <c r="X716" s="420"/>
      <c r="Y716" s="420"/>
      <c r="Z716" s="367"/>
      <c r="AA716" s="420"/>
      <c r="AB716" s="420"/>
      <c r="AC716" s="420"/>
      <c r="AD716" s="420"/>
      <c r="AE716" s="420"/>
      <c r="AF716" s="367"/>
      <c r="AG716" s="420"/>
      <c r="AH716" s="367"/>
      <c r="AI716" s="367"/>
      <c r="AJ716" s="367"/>
      <c r="AK716" s="358"/>
      <c r="AL716" s="358"/>
      <c r="AM716" s="358"/>
      <c r="AN716" s="358"/>
      <c r="AO716" s="358"/>
      <c r="AP716" s="367"/>
    </row>
    <row r="717">
      <c r="A717" s="418"/>
      <c r="B717" s="418"/>
      <c r="C717" s="418"/>
      <c r="D717" s="418"/>
      <c r="E717" s="418"/>
      <c r="F717" s="418"/>
      <c r="G717" s="367"/>
      <c r="H717" s="418"/>
      <c r="I717" s="418"/>
      <c r="J717" s="418"/>
      <c r="K717" s="418"/>
      <c r="L717" s="420"/>
      <c r="M717" s="420"/>
      <c r="N717" s="420"/>
      <c r="O717" s="420"/>
      <c r="P717" s="420"/>
      <c r="Q717" s="420"/>
      <c r="R717" s="420"/>
      <c r="S717" s="420"/>
      <c r="T717" s="420"/>
      <c r="U717" s="420"/>
      <c r="V717" s="420"/>
      <c r="W717" s="420"/>
      <c r="X717" s="420"/>
      <c r="Y717" s="420"/>
      <c r="Z717" s="367"/>
      <c r="AA717" s="420"/>
      <c r="AB717" s="420"/>
      <c r="AC717" s="420"/>
      <c r="AD717" s="420"/>
      <c r="AE717" s="420"/>
      <c r="AF717" s="367"/>
      <c r="AG717" s="420"/>
      <c r="AH717" s="367"/>
      <c r="AI717" s="367"/>
      <c r="AJ717" s="367"/>
      <c r="AK717" s="358"/>
      <c r="AL717" s="358"/>
      <c r="AM717" s="358"/>
      <c r="AN717" s="358"/>
      <c r="AO717" s="358"/>
      <c r="AP717" s="367"/>
    </row>
    <row r="718">
      <c r="A718" s="418"/>
      <c r="B718" s="418"/>
      <c r="C718" s="418"/>
      <c r="D718" s="418"/>
      <c r="E718" s="418"/>
      <c r="F718" s="418"/>
      <c r="G718" s="367"/>
      <c r="H718" s="418"/>
      <c r="I718" s="418"/>
      <c r="J718" s="418"/>
      <c r="K718" s="418"/>
      <c r="L718" s="420"/>
      <c r="M718" s="420"/>
      <c r="N718" s="420"/>
      <c r="O718" s="420"/>
      <c r="P718" s="420"/>
      <c r="Q718" s="420"/>
      <c r="R718" s="420"/>
      <c r="S718" s="420"/>
      <c r="T718" s="420"/>
      <c r="U718" s="420"/>
      <c r="V718" s="420"/>
      <c r="W718" s="420"/>
      <c r="X718" s="420"/>
      <c r="Y718" s="420"/>
      <c r="Z718" s="367"/>
      <c r="AA718" s="420"/>
      <c r="AB718" s="420"/>
      <c r="AC718" s="420"/>
      <c r="AD718" s="420"/>
      <c r="AE718" s="420"/>
      <c r="AF718" s="367"/>
      <c r="AG718" s="420"/>
      <c r="AH718" s="367"/>
      <c r="AI718" s="367"/>
      <c r="AJ718" s="367"/>
      <c r="AK718" s="358"/>
      <c r="AL718" s="358"/>
      <c r="AM718" s="358"/>
      <c r="AN718" s="358"/>
      <c r="AO718" s="358"/>
      <c r="AP718" s="367"/>
    </row>
    <row r="719">
      <c r="A719" s="418"/>
      <c r="B719" s="418"/>
      <c r="C719" s="418"/>
      <c r="D719" s="418"/>
      <c r="E719" s="418"/>
      <c r="F719" s="418"/>
      <c r="G719" s="367"/>
      <c r="H719" s="418"/>
      <c r="I719" s="418"/>
      <c r="J719" s="418"/>
      <c r="K719" s="418"/>
      <c r="L719" s="420"/>
      <c r="M719" s="420"/>
      <c r="N719" s="420"/>
      <c r="O719" s="420"/>
      <c r="P719" s="420"/>
      <c r="Q719" s="420"/>
      <c r="R719" s="420"/>
      <c r="S719" s="420"/>
      <c r="T719" s="420"/>
      <c r="U719" s="420"/>
      <c r="V719" s="420"/>
      <c r="W719" s="420"/>
      <c r="X719" s="420"/>
      <c r="Y719" s="420"/>
      <c r="Z719" s="367"/>
      <c r="AA719" s="420"/>
      <c r="AB719" s="420"/>
      <c r="AC719" s="420"/>
      <c r="AD719" s="420"/>
      <c r="AE719" s="420"/>
      <c r="AF719" s="367"/>
      <c r="AG719" s="420"/>
      <c r="AH719" s="367"/>
      <c r="AI719" s="367"/>
      <c r="AJ719" s="367"/>
      <c r="AK719" s="358"/>
      <c r="AL719" s="358"/>
      <c r="AM719" s="358"/>
      <c r="AN719" s="358"/>
      <c r="AO719" s="358"/>
      <c r="AP719" s="367"/>
    </row>
    <row r="720">
      <c r="A720" s="418"/>
      <c r="B720" s="418"/>
      <c r="C720" s="418"/>
      <c r="D720" s="418"/>
      <c r="E720" s="418"/>
      <c r="F720" s="418"/>
      <c r="G720" s="367"/>
      <c r="H720" s="418"/>
      <c r="I720" s="418"/>
      <c r="J720" s="418"/>
      <c r="K720" s="418"/>
      <c r="L720" s="420"/>
      <c r="M720" s="420"/>
      <c r="N720" s="420"/>
      <c r="O720" s="420"/>
      <c r="P720" s="420"/>
      <c r="Q720" s="420"/>
      <c r="R720" s="420"/>
      <c r="S720" s="420"/>
      <c r="T720" s="420"/>
      <c r="U720" s="420"/>
      <c r="V720" s="420"/>
      <c r="W720" s="420"/>
      <c r="X720" s="420"/>
      <c r="Y720" s="420"/>
      <c r="Z720" s="367"/>
      <c r="AA720" s="420"/>
      <c r="AB720" s="420"/>
      <c r="AC720" s="420"/>
      <c r="AD720" s="420"/>
      <c r="AE720" s="420"/>
      <c r="AF720" s="367"/>
      <c r="AG720" s="420"/>
      <c r="AH720" s="367"/>
      <c r="AI720" s="367"/>
      <c r="AJ720" s="367"/>
      <c r="AK720" s="358"/>
      <c r="AL720" s="358"/>
      <c r="AM720" s="358"/>
      <c r="AN720" s="358"/>
      <c r="AO720" s="358"/>
      <c r="AP720" s="367"/>
    </row>
    <row r="721">
      <c r="A721" s="418"/>
      <c r="B721" s="418"/>
      <c r="C721" s="418"/>
      <c r="D721" s="418"/>
      <c r="E721" s="418"/>
      <c r="F721" s="418"/>
      <c r="G721" s="367"/>
      <c r="H721" s="418"/>
      <c r="I721" s="418"/>
      <c r="J721" s="418"/>
      <c r="K721" s="418"/>
      <c r="L721" s="420"/>
      <c r="M721" s="420"/>
      <c r="N721" s="420"/>
      <c r="O721" s="420"/>
      <c r="P721" s="420"/>
      <c r="Q721" s="420"/>
      <c r="R721" s="420"/>
      <c r="S721" s="420"/>
      <c r="T721" s="420"/>
      <c r="U721" s="420"/>
      <c r="V721" s="420"/>
      <c r="W721" s="420"/>
      <c r="X721" s="420"/>
      <c r="Y721" s="420"/>
      <c r="Z721" s="367"/>
      <c r="AA721" s="420"/>
      <c r="AB721" s="420"/>
      <c r="AC721" s="420"/>
      <c r="AD721" s="420"/>
      <c r="AE721" s="420"/>
      <c r="AF721" s="367"/>
      <c r="AG721" s="420"/>
      <c r="AH721" s="367"/>
      <c r="AI721" s="367"/>
      <c r="AJ721" s="367"/>
      <c r="AK721" s="358"/>
      <c r="AL721" s="358"/>
      <c r="AM721" s="358"/>
      <c r="AN721" s="358"/>
      <c r="AO721" s="358"/>
      <c r="AP721" s="367"/>
    </row>
    <row r="722">
      <c r="A722" s="418"/>
      <c r="B722" s="418"/>
      <c r="C722" s="418"/>
      <c r="D722" s="418"/>
      <c r="E722" s="418"/>
      <c r="F722" s="418"/>
      <c r="G722" s="367"/>
      <c r="H722" s="418"/>
      <c r="I722" s="418"/>
      <c r="J722" s="418"/>
      <c r="K722" s="418"/>
      <c r="L722" s="420"/>
      <c r="M722" s="420"/>
      <c r="N722" s="420"/>
      <c r="O722" s="420"/>
      <c r="P722" s="420"/>
      <c r="Q722" s="420"/>
      <c r="R722" s="420"/>
      <c r="S722" s="420"/>
      <c r="T722" s="420"/>
      <c r="U722" s="420"/>
      <c r="V722" s="420"/>
      <c r="W722" s="420"/>
      <c r="X722" s="420"/>
      <c r="Y722" s="420"/>
      <c r="Z722" s="367"/>
      <c r="AA722" s="420"/>
      <c r="AB722" s="420"/>
      <c r="AC722" s="420"/>
      <c r="AD722" s="420"/>
      <c r="AE722" s="420"/>
      <c r="AF722" s="367"/>
      <c r="AG722" s="420"/>
      <c r="AH722" s="367"/>
      <c r="AI722" s="367"/>
      <c r="AJ722" s="367"/>
      <c r="AK722" s="358"/>
      <c r="AL722" s="358"/>
      <c r="AM722" s="358"/>
      <c r="AN722" s="358"/>
      <c r="AO722" s="358"/>
      <c r="AP722" s="367"/>
    </row>
    <row r="723">
      <c r="A723" s="418"/>
      <c r="B723" s="418"/>
      <c r="C723" s="418"/>
      <c r="D723" s="418"/>
      <c r="E723" s="418"/>
      <c r="F723" s="418"/>
      <c r="G723" s="367"/>
      <c r="H723" s="418"/>
      <c r="I723" s="418"/>
      <c r="J723" s="418"/>
      <c r="K723" s="418"/>
      <c r="L723" s="420"/>
      <c r="M723" s="420"/>
      <c r="N723" s="420"/>
      <c r="O723" s="420"/>
      <c r="P723" s="420"/>
      <c r="Q723" s="420"/>
      <c r="R723" s="420"/>
      <c r="S723" s="420"/>
      <c r="T723" s="420"/>
      <c r="U723" s="420"/>
      <c r="V723" s="420"/>
      <c r="W723" s="420"/>
      <c r="X723" s="420"/>
      <c r="Y723" s="420"/>
      <c r="Z723" s="367"/>
      <c r="AA723" s="420"/>
      <c r="AB723" s="420"/>
      <c r="AC723" s="420"/>
      <c r="AD723" s="420"/>
      <c r="AE723" s="420"/>
      <c r="AF723" s="367"/>
      <c r="AG723" s="420"/>
      <c r="AH723" s="367"/>
      <c r="AI723" s="367"/>
      <c r="AJ723" s="367"/>
      <c r="AK723" s="358"/>
      <c r="AL723" s="358"/>
      <c r="AM723" s="358"/>
      <c r="AN723" s="358"/>
      <c r="AO723" s="358"/>
      <c r="AP723" s="367"/>
    </row>
    <row r="724">
      <c r="A724" s="418"/>
      <c r="B724" s="418"/>
      <c r="C724" s="418"/>
      <c r="D724" s="418"/>
      <c r="E724" s="418"/>
      <c r="F724" s="418"/>
      <c r="G724" s="367"/>
      <c r="H724" s="418"/>
      <c r="I724" s="418"/>
      <c r="J724" s="418"/>
      <c r="K724" s="418"/>
      <c r="L724" s="420"/>
      <c r="M724" s="420"/>
      <c r="N724" s="420"/>
      <c r="O724" s="420"/>
      <c r="P724" s="420"/>
      <c r="Q724" s="420"/>
      <c r="R724" s="420"/>
      <c r="S724" s="420"/>
      <c r="T724" s="420"/>
      <c r="U724" s="420"/>
      <c r="V724" s="420"/>
      <c r="W724" s="420"/>
      <c r="X724" s="420"/>
      <c r="Y724" s="420"/>
      <c r="Z724" s="367"/>
      <c r="AA724" s="420"/>
      <c r="AB724" s="420"/>
      <c r="AC724" s="420"/>
      <c r="AD724" s="420"/>
      <c r="AE724" s="420"/>
      <c r="AF724" s="367"/>
      <c r="AG724" s="420"/>
      <c r="AH724" s="367"/>
      <c r="AI724" s="367"/>
      <c r="AJ724" s="367"/>
      <c r="AK724" s="358"/>
      <c r="AL724" s="358"/>
      <c r="AM724" s="358"/>
      <c r="AN724" s="358"/>
      <c r="AO724" s="358"/>
      <c r="AP724" s="367"/>
    </row>
    <row r="725">
      <c r="A725" s="418"/>
      <c r="B725" s="418"/>
      <c r="C725" s="418"/>
      <c r="D725" s="418"/>
      <c r="E725" s="418"/>
      <c r="F725" s="418"/>
      <c r="G725" s="367"/>
      <c r="H725" s="418"/>
      <c r="I725" s="418"/>
      <c r="J725" s="418"/>
      <c r="K725" s="418"/>
      <c r="L725" s="420"/>
      <c r="M725" s="420"/>
      <c r="N725" s="420"/>
      <c r="O725" s="420"/>
      <c r="P725" s="420"/>
      <c r="Q725" s="420"/>
      <c r="R725" s="420"/>
      <c r="S725" s="420"/>
      <c r="T725" s="420"/>
      <c r="U725" s="420"/>
      <c r="V725" s="420"/>
      <c r="W725" s="420"/>
      <c r="X725" s="420"/>
      <c r="Y725" s="420"/>
      <c r="Z725" s="367"/>
      <c r="AA725" s="420"/>
      <c r="AB725" s="420"/>
      <c r="AC725" s="420"/>
      <c r="AD725" s="420"/>
      <c r="AE725" s="420"/>
      <c r="AF725" s="367"/>
      <c r="AG725" s="420"/>
      <c r="AH725" s="367"/>
      <c r="AI725" s="367"/>
      <c r="AJ725" s="367"/>
      <c r="AK725" s="358"/>
      <c r="AL725" s="358"/>
      <c r="AM725" s="358"/>
      <c r="AN725" s="358"/>
      <c r="AO725" s="358"/>
      <c r="AP725" s="367"/>
    </row>
    <row r="726">
      <c r="A726" s="418"/>
      <c r="B726" s="418"/>
      <c r="C726" s="418"/>
      <c r="D726" s="418"/>
      <c r="E726" s="418"/>
      <c r="F726" s="418"/>
      <c r="G726" s="367"/>
      <c r="H726" s="418"/>
      <c r="I726" s="418"/>
      <c r="J726" s="418"/>
      <c r="K726" s="418"/>
      <c r="L726" s="420"/>
      <c r="M726" s="420"/>
      <c r="N726" s="420"/>
      <c r="O726" s="420"/>
      <c r="P726" s="420"/>
      <c r="Q726" s="420"/>
      <c r="R726" s="420"/>
      <c r="S726" s="420"/>
      <c r="T726" s="420"/>
      <c r="U726" s="420"/>
      <c r="V726" s="420"/>
      <c r="W726" s="420"/>
      <c r="X726" s="420"/>
      <c r="Y726" s="420"/>
      <c r="Z726" s="367"/>
      <c r="AA726" s="420"/>
      <c r="AB726" s="420"/>
      <c r="AC726" s="420"/>
      <c r="AD726" s="420"/>
      <c r="AE726" s="420"/>
      <c r="AF726" s="367"/>
      <c r="AG726" s="420"/>
      <c r="AH726" s="367"/>
      <c r="AI726" s="367"/>
      <c r="AJ726" s="367"/>
      <c r="AK726" s="358"/>
      <c r="AL726" s="358"/>
      <c r="AM726" s="358"/>
      <c r="AN726" s="358"/>
      <c r="AO726" s="358"/>
      <c r="AP726" s="367"/>
    </row>
    <row r="727">
      <c r="A727" s="418"/>
      <c r="B727" s="418"/>
      <c r="C727" s="418"/>
      <c r="D727" s="418"/>
      <c r="E727" s="418"/>
      <c r="F727" s="418"/>
      <c r="G727" s="367"/>
      <c r="H727" s="418"/>
      <c r="I727" s="418"/>
      <c r="J727" s="418"/>
      <c r="K727" s="418"/>
      <c r="L727" s="420"/>
      <c r="M727" s="420"/>
      <c r="N727" s="420"/>
      <c r="O727" s="420"/>
      <c r="P727" s="420"/>
      <c r="Q727" s="420"/>
      <c r="R727" s="420"/>
      <c r="S727" s="420"/>
      <c r="T727" s="420"/>
      <c r="U727" s="420"/>
      <c r="V727" s="420"/>
      <c r="W727" s="420"/>
      <c r="X727" s="420"/>
      <c r="Y727" s="420"/>
      <c r="Z727" s="367"/>
      <c r="AA727" s="420"/>
      <c r="AB727" s="420"/>
      <c r="AC727" s="420"/>
      <c r="AD727" s="420"/>
      <c r="AE727" s="420"/>
      <c r="AF727" s="367"/>
      <c r="AG727" s="420"/>
      <c r="AH727" s="367"/>
      <c r="AI727" s="367"/>
      <c r="AJ727" s="367"/>
      <c r="AK727" s="358"/>
      <c r="AL727" s="358"/>
      <c r="AM727" s="358"/>
      <c r="AN727" s="358"/>
      <c r="AO727" s="358"/>
      <c r="AP727" s="367"/>
    </row>
    <row r="728">
      <c r="A728" s="418"/>
      <c r="B728" s="418"/>
      <c r="C728" s="418"/>
      <c r="D728" s="418"/>
      <c r="E728" s="418"/>
      <c r="F728" s="418"/>
      <c r="G728" s="367"/>
      <c r="H728" s="418"/>
      <c r="I728" s="418"/>
      <c r="J728" s="418"/>
      <c r="K728" s="418"/>
      <c r="L728" s="420"/>
      <c r="M728" s="420"/>
      <c r="N728" s="420"/>
      <c r="O728" s="420"/>
      <c r="P728" s="420"/>
      <c r="Q728" s="420"/>
      <c r="R728" s="420"/>
      <c r="S728" s="420"/>
      <c r="T728" s="420"/>
      <c r="U728" s="420"/>
      <c r="V728" s="420"/>
      <c r="W728" s="420"/>
      <c r="X728" s="420"/>
      <c r="Y728" s="420"/>
      <c r="Z728" s="367"/>
      <c r="AA728" s="420"/>
      <c r="AB728" s="420"/>
      <c r="AC728" s="420"/>
      <c r="AD728" s="420"/>
      <c r="AE728" s="420"/>
      <c r="AF728" s="367"/>
      <c r="AG728" s="420"/>
      <c r="AH728" s="367"/>
      <c r="AI728" s="367"/>
      <c r="AJ728" s="367"/>
      <c r="AK728" s="358"/>
      <c r="AL728" s="358"/>
      <c r="AM728" s="358"/>
      <c r="AN728" s="358"/>
      <c r="AO728" s="358"/>
      <c r="AP728" s="367"/>
    </row>
    <row r="729">
      <c r="A729" s="418"/>
      <c r="B729" s="418"/>
      <c r="C729" s="418"/>
      <c r="D729" s="418"/>
      <c r="E729" s="418"/>
      <c r="F729" s="418"/>
      <c r="G729" s="367"/>
      <c r="H729" s="418"/>
      <c r="I729" s="418"/>
      <c r="J729" s="418"/>
      <c r="K729" s="418"/>
      <c r="L729" s="420"/>
      <c r="M729" s="420"/>
      <c r="N729" s="420"/>
      <c r="O729" s="420"/>
      <c r="P729" s="420"/>
      <c r="Q729" s="420"/>
      <c r="R729" s="420"/>
      <c r="S729" s="420"/>
      <c r="T729" s="420"/>
      <c r="U729" s="420"/>
      <c r="V729" s="420"/>
      <c r="W729" s="420"/>
      <c r="X729" s="420"/>
      <c r="Y729" s="420"/>
      <c r="Z729" s="367"/>
      <c r="AA729" s="420"/>
      <c r="AB729" s="420"/>
      <c r="AC729" s="420"/>
      <c r="AD729" s="420"/>
      <c r="AE729" s="420"/>
      <c r="AF729" s="367"/>
      <c r="AG729" s="420"/>
      <c r="AH729" s="367"/>
      <c r="AI729" s="367"/>
      <c r="AJ729" s="367"/>
      <c r="AK729" s="358"/>
      <c r="AL729" s="358"/>
      <c r="AM729" s="358"/>
      <c r="AN729" s="358"/>
      <c r="AO729" s="358"/>
      <c r="AP729" s="367"/>
    </row>
    <row r="730">
      <c r="A730" s="418"/>
      <c r="B730" s="418"/>
      <c r="C730" s="418"/>
      <c r="D730" s="418"/>
      <c r="E730" s="418"/>
      <c r="F730" s="418"/>
      <c r="G730" s="367"/>
      <c r="H730" s="418"/>
      <c r="I730" s="418"/>
      <c r="J730" s="418"/>
      <c r="K730" s="418"/>
      <c r="L730" s="420"/>
      <c r="M730" s="420"/>
      <c r="N730" s="420"/>
      <c r="O730" s="420"/>
      <c r="P730" s="420"/>
      <c r="Q730" s="420"/>
      <c r="R730" s="420"/>
      <c r="S730" s="420"/>
      <c r="T730" s="420"/>
      <c r="U730" s="420"/>
      <c r="V730" s="420"/>
      <c r="W730" s="420"/>
      <c r="X730" s="420"/>
      <c r="Y730" s="420"/>
      <c r="Z730" s="367"/>
      <c r="AA730" s="420"/>
      <c r="AB730" s="420"/>
      <c r="AC730" s="420"/>
      <c r="AD730" s="420"/>
      <c r="AE730" s="420"/>
      <c r="AF730" s="367"/>
      <c r="AG730" s="420"/>
      <c r="AH730" s="367"/>
      <c r="AI730" s="367"/>
      <c r="AJ730" s="367"/>
      <c r="AK730" s="358"/>
      <c r="AL730" s="358"/>
      <c r="AM730" s="358"/>
      <c r="AN730" s="358"/>
      <c r="AO730" s="358"/>
      <c r="AP730" s="367"/>
    </row>
    <row r="731">
      <c r="A731" s="418"/>
      <c r="B731" s="418"/>
      <c r="C731" s="418"/>
      <c r="D731" s="418"/>
      <c r="E731" s="418"/>
      <c r="F731" s="418"/>
      <c r="G731" s="367"/>
      <c r="H731" s="418"/>
      <c r="I731" s="418"/>
      <c r="J731" s="418"/>
      <c r="K731" s="418"/>
      <c r="L731" s="420"/>
      <c r="M731" s="420"/>
      <c r="N731" s="420"/>
      <c r="O731" s="420"/>
      <c r="P731" s="420"/>
      <c r="Q731" s="420"/>
      <c r="R731" s="420"/>
      <c r="S731" s="420"/>
      <c r="T731" s="420"/>
      <c r="U731" s="420"/>
      <c r="V731" s="420"/>
      <c r="W731" s="420"/>
      <c r="X731" s="420"/>
      <c r="Y731" s="420"/>
      <c r="Z731" s="367"/>
      <c r="AA731" s="420"/>
      <c r="AB731" s="420"/>
      <c r="AC731" s="420"/>
      <c r="AD731" s="420"/>
      <c r="AE731" s="420"/>
      <c r="AF731" s="367"/>
      <c r="AG731" s="420"/>
      <c r="AH731" s="367"/>
      <c r="AI731" s="367"/>
      <c r="AJ731" s="367"/>
      <c r="AK731" s="358"/>
      <c r="AL731" s="358"/>
      <c r="AM731" s="358"/>
      <c r="AN731" s="358"/>
      <c r="AO731" s="358"/>
      <c r="AP731" s="367"/>
    </row>
    <row r="732">
      <c r="A732" s="418"/>
      <c r="B732" s="418"/>
      <c r="C732" s="418"/>
      <c r="D732" s="418"/>
      <c r="E732" s="418"/>
      <c r="F732" s="418"/>
      <c r="G732" s="367"/>
      <c r="H732" s="418"/>
      <c r="I732" s="418"/>
      <c r="J732" s="418"/>
      <c r="K732" s="418"/>
      <c r="L732" s="420"/>
      <c r="M732" s="420"/>
      <c r="N732" s="420"/>
      <c r="O732" s="420"/>
      <c r="P732" s="420"/>
      <c r="Q732" s="420"/>
      <c r="R732" s="420"/>
      <c r="S732" s="420"/>
      <c r="T732" s="420"/>
      <c r="U732" s="420"/>
      <c r="V732" s="420"/>
      <c r="W732" s="420"/>
      <c r="X732" s="420"/>
      <c r="Y732" s="420"/>
      <c r="Z732" s="367"/>
      <c r="AA732" s="420"/>
      <c r="AB732" s="420"/>
      <c r="AC732" s="420"/>
      <c r="AD732" s="420"/>
      <c r="AE732" s="420"/>
      <c r="AF732" s="367"/>
      <c r="AG732" s="420"/>
      <c r="AH732" s="367"/>
      <c r="AI732" s="367"/>
      <c r="AJ732" s="367"/>
      <c r="AK732" s="358"/>
      <c r="AL732" s="358"/>
      <c r="AM732" s="358"/>
      <c r="AN732" s="358"/>
      <c r="AO732" s="358"/>
      <c r="AP732" s="367"/>
    </row>
    <row r="733">
      <c r="A733" s="418"/>
      <c r="B733" s="418"/>
      <c r="C733" s="418"/>
      <c r="D733" s="418"/>
      <c r="E733" s="418"/>
      <c r="F733" s="418"/>
      <c r="G733" s="367"/>
      <c r="H733" s="418"/>
      <c r="I733" s="418"/>
      <c r="J733" s="418"/>
      <c r="K733" s="418"/>
      <c r="L733" s="420"/>
      <c r="M733" s="420"/>
      <c r="N733" s="420"/>
      <c r="O733" s="420"/>
      <c r="P733" s="420"/>
      <c r="Q733" s="420"/>
      <c r="R733" s="420"/>
      <c r="S733" s="420"/>
      <c r="T733" s="420"/>
      <c r="U733" s="420"/>
      <c r="V733" s="420"/>
      <c r="W733" s="420"/>
      <c r="X733" s="420"/>
      <c r="Y733" s="420"/>
      <c r="Z733" s="367"/>
      <c r="AA733" s="420"/>
      <c r="AB733" s="420"/>
      <c r="AC733" s="420"/>
      <c r="AD733" s="420"/>
      <c r="AE733" s="420"/>
      <c r="AF733" s="367"/>
      <c r="AG733" s="420"/>
      <c r="AH733" s="367"/>
      <c r="AI733" s="367"/>
      <c r="AJ733" s="367"/>
      <c r="AK733" s="358"/>
      <c r="AL733" s="358"/>
      <c r="AM733" s="358"/>
      <c r="AN733" s="358"/>
      <c r="AO733" s="358"/>
      <c r="AP733" s="367"/>
    </row>
    <row r="734">
      <c r="A734" s="418"/>
      <c r="B734" s="418"/>
      <c r="C734" s="418"/>
      <c r="D734" s="418"/>
      <c r="E734" s="418"/>
      <c r="F734" s="418"/>
      <c r="G734" s="367"/>
      <c r="H734" s="418"/>
      <c r="I734" s="418"/>
      <c r="J734" s="418"/>
      <c r="K734" s="418"/>
      <c r="L734" s="420"/>
      <c r="M734" s="420"/>
      <c r="N734" s="420"/>
      <c r="O734" s="420"/>
      <c r="P734" s="420"/>
      <c r="Q734" s="420"/>
      <c r="R734" s="420"/>
      <c r="S734" s="420"/>
      <c r="T734" s="420"/>
      <c r="U734" s="420"/>
      <c r="V734" s="420"/>
      <c r="W734" s="420"/>
      <c r="X734" s="420"/>
      <c r="Y734" s="420"/>
      <c r="Z734" s="367"/>
      <c r="AA734" s="420"/>
      <c r="AB734" s="420"/>
      <c r="AC734" s="420"/>
      <c r="AD734" s="420"/>
      <c r="AE734" s="420"/>
      <c r="AF734" s="367"/>
      <c r="AG734" s="420"/>
      <c r="AH734" s="367"/>
      <c r="AI734" s="367"/>
      <c r="AJ734" s="367"/>
      <c r="AK734" s="358"/>
      <c r="AL734" s="358"/>
      <c r="AM734" s="358"/>
      <c r="AN734" s="358"/>
      <c r="AO734" s="358"/>
      <c r="AP734" s="367"/>
    </row>
    <row r="735">
      <c r="A735" s="418"/>
      <c r="B735" s="418"/>
      <c r="C735" s="418"/>
      <c r="D735" s="418"/>
      <c r="E735" s="418"/>
      <c r="F735" s="418"/>
      <c r="G735" s="367"/>
      <c r="H735" s="418"/>
      <c r="I735" s="418"/>
      <c r="J735" s="418"/>
      <c r="K735" s="418"/>
      <c r="L735" s="420"/>
      <c r="M735" s="420"/>
      <c r="N735" s="420"/>
      <c r="O735" s="420"/>
      <c r="P735" s="420"/>
      <c r="Q735" s="420"/>
      <c r="R735" s="420"/>
      <c r="S735" s="420"/>
      <c r="T735" s="420"/>
      <c r="U735" s="420"/>
      <c r="V735" s="420"/>
      <c r="W735" s="420"/>
      <c r="X735" s="420"/>
      <c r="Y735" s="420"/>
      <c r="Z735" s="367"/>
      <c r="AA735" s="420"/>
      <c r="AB735" s="420"/>
      <c r="AC735" s="420"/>
      <c r="AD735" s="420"/>
      <c r="AE735" s="420"/>
      <c r="AF735" s="367"/>
      <c r="AG735" s="420"/>
      <c r="AH735" s="367"/>
      <c r="AI735" s="367"/>
      <c r="AJ735" s="367"/>
      <c r="AK735" s="358"/>
      <c r="AL735" s="358"/>
      <c r="AM735" s="358"/>
      <c r="AN735" s="358"/>
      <c r="AO735" s="358"/>
      <c r="AP735" s="367"/>
    </row>
    <row r="736">
      <c r="A736" s="418"/>
      <c r="B736" s="418"/>
      <c r="C736" s="418"/>
      <c r="D736" s="418"/>
      <c r="E736" s="418"/>
      <c r="F736" s="418"/>
      <c r="G736" s="367"/>
      <c r="H736" s="418"/>
      <c r="I736" s="418"/>
      <c r="J736" s="418"/>
      <c r="K736" s="418"/>
      <c r="L736" s="420"/>
      <c r="M736" s="420"/>
      <c r="N736" s="420"/>
      <c r="O736" s="420"/>
      <c r="P736" s="420"/>
      <c r="Q736" s="420"/>
      <c r="R736" s="420"/>
      <c r="S736" s="420"/>
      <c r="T736" s="420"/>
      <c r="U736" s="420"/>
      <c r="V736" s="420"/>
      <c r="W736" s="420"/>
      <c r="X736" s="420"/>
      <c r="Y736" s="420"/>
      <c r="Z736" s="367"/>
      <c r="AA736" s="420"/>
      <c r="AB736" s="420"/>
      <c r="AC736" s="420"/>
      <c r="AD736" s="420"/>
      <c r="AE736" s="420"/>
      <c r="AF736" s="367"/>
      <c r="AG736" s="420"/>
      <c r="AH736" s="367"/>
      <c r="AI736" s="367"/>
      <c r="AJ736" s="367"/>
      <c r="AK736" s="358"/>
      <c r="AL736" s="358"/>
      <c r="AM736" s="358"/>
      <c r="AN736" s="358"/>
      <c r="AO736" s="358"/>
      <c r="AP736" s="367"/>
    </row>
    <row r="737">
      <c r="A737" s="418"/>
      <c r="B737" s="418"/>
      <c r="C737" s="418"/>
      <c r="D737" s="418"/>
      <c r="E737" s="418"/>
      <c r="F737" s="418"/>
      <c r="G737" s="367"/>
      <c r="H737" s="418"/>
      <c r="I737" s="418"/>
      <c r="J737" s="418"/>
      <c r="K737" s="418"/>
      <c r="L737" s="420"/>
      <c r="M737" s="420"/>
      <c r="N737" s="420"/>
      <c r="O737" s="420"/>
      <c r="P737" s="420"/>
      <c r="Q737" s="420"/>
      <c r="R737" s="420"/>
      <c r="S737" s="420"/>
      <c r="T737" s="420"/>
      <c r="U737" s="420"/>
      <c r="V737" s="420"/>
      <c r="W737" s="420"/>
      <c r="X737" s="420"/>
      <c r="Y737" s="420"/>
      <c r="Z737" s="367"/>
      <c r="AA737" s="420"/>
      <c r="AB737" s="420"/>
      <c r="AC737" s="420"/>
      <c r="AD737" s="420"/>
      <c r="AE737" s="420"/>
      <c r="AF737" s="367"/>
      <c r="AG737" s="420"/>
      <c r="AH737" s="367"/>
      <c r="AI737" s="367"/>
      <c r="AJ737" s="367"/>
      <c r="AK737" s="358"/>
      <c r="AL737" s="358"/>
      <c r="AM737" s="358"/>
      <c r="AN737" s="358"/>
      <c r="AO737" s="358"/>
      <c r="AP737" s="367"/>
    </row>
    <row r="738">
      <c r="A738" s="418"/>
      <c r="B738" s="418"/>
      <c r="C738" s="418"/>
      <c r="D738" s="418"/>
      <c r="E738" s="418"/>
      <c r="F738" s="418"/>
      <c r="G738" s="367"/>
      <c r="H738" s="418"/>
      <c r="I738" s="418"/>
      <c r="J738" s="418"/>
      <c r="K738" s="418"/>
      <c r="L738" s="420"/>
      <c r="M738" s="420"/>
      <c r="N738" s="420"/>
      <c r="O738" s="420"/>
      <c r="P738" s="420"/>
      <c r="Q738" s="420"/>
      <c r="R738" s="420"/>
      <c r="S738" s="420"/>
      <c r="T738" s="420"/>
      <c r="U738" s="420"/>
      <c r="V738" s="420"/>
      <c r="W738" s="420"/>
      <c r="X738" s="420"/>
      <c r="Y738" s="420"/>
      <c r="Z738" s="367"/>
      <c r="AA738" s="420"/>
      <c r="AB738" s="420"/>
      <c r="AC738" s="420"/>
      <c r="AD738" s="420"/>
      <c r="AE738" s="420"/>
      <c r="AF738" s="367"/>
      <c r="AG738" s="420"/>
      <c r="AH738" s="367"/>
      <c r="AI738" s="367"/>
      <c r="AJ738" s="367"/>
      <c r="AK738" s="358"/>
      <c r="AL738" s="358"/>
      <c r="AM738" s="358"/>
      <c r="AN738" s="358"/>
      <c r="AO738" s="358"/>
      <c r="AP738" s="367"/>
    </row>
    <row r="739">
      <c r="A739" s="418"/>
      <c r="B739" s="418"/>
      <c r="C739" s="418"/>
      <c r="D739" s="418"/>
      <c r="E739" s="418"/>
      <c r="F739" s="418"/>
      <c r="G739" s="367"/>
      <c r="H739" s="418"/>
      <c r="I739" s="418"/>
      <c r="J739" s="418"/>
      <c r="K739" s="418"/>
      <c r="L739" s="420"/>
      <c r="M739" s="420"/>
      <c r="N739" s="420"/>
      <c r="O739" s="420"/>
      <c r="P739" s="420"/>
      <c r="Q739" s="420"/>
      <c r="R739" s="420"/>
      <c r="S739" s="420"/>
      <c r="T739" s="420"/>
      <c r="U739" s="420"/>
      <c r="V739" s="420"/>
      <c r="W739" s="420"/>
      <c r="X739" s="420"/>
      <c r="Y739" s="420"/>
      <c r="Z739" s="367"/>
      <c r="AA739" s="420"/>
      <c r="AB739" s="420"/>
      <c r="AC739" s="420"/>
      <c r="AD739" s="420"/>
      <c r="AE739" s="420"/>
      <c r="AF739" s="367"/>
      <c r="AG739" s="420"/>
      <c r="AH739" s="367"/>
      <c r="AI739" s="367"/>
      <c r="AJ739" s="367"/>
      <c r="AK739" s="358"/>
      <c r="AL739" s="358"/>
      <c r="AM739" s="358"/>
      <c r="AN739" s="358"/>
      <c r="AO739" s="358"/>
      <c r="AP739" s="367"/>
    </row>
    <row r="740">
      <c r="A740" s="418"/>
      <c r="B740" s="418"/>
      <c r="C740" s="418"/>
      <c r="D740" s="418"/>
      <c r="E740" s="418"/>
      <c r="F740" s="418"/>
      <c r="G740" s="367"/>
      <c r="H740" s="418"/>
      <c r="I740" s="418"/>
      <c r="J740" s="418"/>
      <c r="K740" s="418"/>
      <c r="L740" s="420"/>
      <c r="M740" s="420"/>
      <c r="N740" s="420"/>
      <c r="O740" s="420"/>
      <c r="P740" s="420"/>
      <c r="Q740" s="420"/>
      <c r="R740" s="420"/>
      <c r="S740" s="420"/>
      <c r="T740" s="420"/>
      <c r="U740" s="420"/>
      <c r="V740" s="420"/>
      <c r="W740" s="420"/>
      <c r="X740" s="420"/>
      <c r="Y740" s="420"/>
      <c r="Z740" s="367"/>
      <c r="AA740" s="420"/>
      <c r="AB740" s="420"/>
      <c r="AC740" s="420"/>
      <c r="AD740" s="420"/>
      <c r="AE740" s="420"/>
      <c r="AF740" s="367"/>
      <c r="AG740" s="420"/>
      <c r="AH740" s="367"/>
      <c r="AI740" s="367"/>
      <c r="AJ740" s="367"/>
      <c r="AK740" s="358"/>
      <c r="AL740" s="358"/>
      <c r="AM740" s="358"/>
      <c r="AN740" s="358"/>
      <c r="AO740" s="358"/>
      <c r="AP740" s="367"/>
    </row>
    <row r="741">
      <c r="A741" s="418"/>
      <c r="B741" s="418"/>
      <c r="C741" s="418"/>
      <c r="D741" s="418"/>
      <c r="E741" s="418"/>
      <c r="F741" s="418"/>
      <c r="G741" s="367"/>
      <c r="H741" s="418"/>
      <c r="I741" s="418"/>
      <c r="J741" s="418"/>
      <c r="K741" s="418"/>
      <c r="L741" s="420"/>
      <c r="M741" s="420"/>
      <c r="N741" s="420"/>
      <c r="O741" s="420"/>
      <c r="P741" s="420"/>
      <c r="Q741" s="420"/>
      <c r="R741" s="420"/>
      <c r="S741" s="420"/>
      <c r="T741" s="420"/>
      <c r="U741" s="420"/>
      <c r="V741" s="420"/>
      <c r="W741" s="420"/>
      <c r="X741" s="420"/>
      <c r="Y741" s="420"/>
      <c r="Z741" s="367"/>
      <c r="AA741" s="420"/>
      <c r="AB741" s="420"/>
      <c r="AC741" s="420"/>
      <c r="AD741" s="420"/>
      <c r="AE741" s="420"/>
      <c r="AF741" s="367"/>
      <c r="AG741" s="420"/>
      <c r="AH741" s="367"/>
      <c r="AI741" s="367"/>
      <c r="AJ741" s="367"/>
      <c r="AK741" s="358"/>
      <c r="AL741" s="358"/>
      <c r="AM741" s="358"/>
      <c r="AN741" s="358"/>
      <c r="AO741" s="358"/>
      <c r="AP741" s="367"/>
    </row>
    <row r="742">
      <c r="A742" s="418"/>
      <c r="B742" s="418"/>
      <c r="C742" s="418"/>
      <c r="D742" s="418"/>
      <c r="E742" s="418"/>
      <c r="F742" s="418"/>
      <c r="G742" s="367"/>
      <c r="H742" s="418"/>
      <c r="I742" s="418"/>
      <c r="J742" s="418"/>
      <c r="K742" s="418"/>
      <c r="L742" s="420"/>
      <c r="M742" s="420"/>
      <c r="N742" s="420"/>
      <c r="O742" s="420"/>
      <c r="P742" s="420"/>
      <c r="Q742" s="420"/>
      <c r="R742" s="420"/>
      <c r="S742" s="420"/>
      <c r="T742" s="420"/>
      <c r="U742" s="420"/>
      <c r="V742" s="420"/>
      <c r="W742" s="420"/>
      <c r="X742" s="420"/>
      <c r="Y742" s="420"/>
      <c r="Z742" s="367"/>
      <c r="AA742" s="420"/>
      <c r="AB742" s="420"/>
      <c r="AC742" s="420"/>
      <c r="AD742" s="420"/>
      <c r="AE742" s="420"/>
      <c r="AF742" s="367"/>
      <c r="AG742" s="420"/>
      <c r="AH742" s="367"/>
      <c r="AI742" s="367"/>
      <c r="AJ742" s="367"/>
      <c r="AK742" s="358"/>
      <c r="AL742" s="358"/>
      <c r="AM742" s="358"/>
      <c r="AN742" s="358"/>
      <c r="AO742" s="358"/>
      <c r="AP742" s="367"/>
    </row>
    <row r="743">
      <c r="A743" s="418"/>
      <c r="B743" s="418"/>
      <c r="C743" s="418"/>
      <c r="D743" s="418"/>
      <c r="E743" s="418"/>
      <c r="F743" s="418"/>
      <c r="G743" s="367"/>
      <c r="H743" s="418"/>
      <c r="I743" s="418"/>
      <c r="J743" s="418"/>
      <c r="K743" s="418"/>
      <c r="L743" s="420"/>
      <c r="M743" s="420"/>
      <c r="N743" s="420"/>
      <c r="O743" s="420"/>
      <c r="P743" s="420"/>
      <c r="Q743" s="420"/>
      <c r="R743" s="420"/>
      <c r="S743" s="420"/>
      <c r="T743" s="420"/>
      <c r="U743" s="420"/>
      <c r="V743" s="420"/>
      <c r="W743" s="420"/>
      <c r="X743" s="420"/>
      <c r="Y743" s="420"/>
      <c r="Z743" s="367"/>
      <c r="AA743" s="420"/>
      <c r="AB743" s="420"/>
      <c r="AC743" s="420"/>
      <c r="AD743" s="420"/>
      <c r="AE743" s="420"/>
      <c r="AF743" s="367"/>
      <c r="AG743" s="420"/>
      <c r="AH743" s="367"/>
      <c r="AI743" s="367"/>
      <c r="AJ743" s="367"/>
      <c r="AK743" s="358"/>
      <c r="AL743" s="358"/>
      <c r="AM743" s="358"/>
      <c r="AN743" s="358"/>
      <c r="AO743" s="358"/>
      <c r="AP743" s="367"/>
    </row>
    <row r="744">
      <c r="A744" s="418"/>
      <c r="B744" s="418"/>
      <c r="C744" s="418"/>
      <c r="D744" s="418"/>
      <c r="E744" s="418"/>
      <c r="F744" s="418"/>
      <c r="G744" s="367"/>
      <c r="H744" s="418"/>
      <c r="I744" s="418"/>
      <c r="J744" s="418"/>
      <c r="K744" s="418"/>
      <c r="L744" s="420"/>
      <c r="M744" s="420"/>
      <c r="N744" s="420"/>
      <c r="O744" s="420"/>
      <c r="P744" s="420"/>
      <c r="Q744" s="420"/>
      <c r="R744" s="420"/>
      <c r="S744" s="420"/>
      <c r="T744" s="420"/>
      <c r="U744" s="420"/>
      <c r="V744" s="420"/>
      <c r="W744" s="420"/>
      <c r="X744" s="420"/>
      <c r="Y744" s="420"/>
      <c r="Z744" s="367"/>
      <c r="AA744" s="420"/>
      <c r="AB744" s="420"/>
      <c r="AC744" s="420"/>
      <c r="AD744" s="420"/>
      <c r="AE744" s="420"/>
      <c r="AF744" s="367"/>
      <c r="AG744" s="420"/>
      <c r="AH744" s="367"/>
      <c r="AI744" s="367"/>
      <c r="AJ744" s="367"/>
      <c r="AK744" s="358"/>
      <c r="AL744" s="358"/>
      <c r="AM744" s="358"/>
      <c r="AN744" s="358"/>
      <c r="AO744" s="358"/>
      <c r="AP744" s="367"/>
    </row>
    <row r="745">
      <c r="A745" s="418"/>
      <c r="B745" s="418"/>
      <c r="C745" s="418"/>
      <c r="D745" s="418"/>
      <c r="E745" s="418"/>
      <c r="F745" s="418"/>
      <c r="G745" s="367"/>
      <c r="H745" s="418"/>
      <c r="I745" s="418"/>
      <c r="J745" s="418"/>
      <c r="K745" s="418"/>
      <c r="L745" s="420"/>
      <c r="M745" s="420"/>
      <c r="N745" s="420"/>
      <c r="O745" s="420"/>
      <c r="P745" s="420"/>
      <c r="Q745" s="420"/>
      <c r="R745" s="420"/>
      <c r="S745" s="420"/>
      <c r="T745" s="420"/>
      <c r="U745" s="420"/>
      <c r="V745" s="420"/>
      <c r="W745" s="420"/>
      <c r="X745" s="420"/>
      <c r="Y745" s="420"/>
      <c r="Z745" s="367"/>
      <c r="AA745" s="420"/>
      <c r="AB745" s="420"/>
      <c r="AC745" s="420"/>
      <c r="AD745" s="420"/>
      <c r="AE745" s="420"/>
      <c r="AF745" s="367"/>
      <c r="AG745" s="420"/>
      <c r="AH745" s="367"/>
      <c r="AI745" s="367"/>
      <c r="AJ745" s="367"/>
      <c r="AK745" s="358"/>
      <c r="AL745" s="358"/>
      <c r="AM745" s="358"/>
      <c r="AN745" s="358"/>
      <c r="AO745" s="358"/>
      <c r="AP745" s="367"/>
    </row>
    <row r="746">
      <c r="A746" s="418"/>
      <c r="B746" s="418"/>
      <c r="C746" s="418"/>
      <c r="D746" s="418"/>
      <c r="E746" s="418"/>
      <c r="F746" s="418"/>
      <c r="G746" s="367"/>
      <c r="H746" s="418"/>
      <c r="I746" s="418"/>
      <c r="J746" s="418"/>
      <c r="K746" s="418"/>
      <c r="L746" s="420"/>
      <c r="M746" s="420"/>
      <c r="N746" s="420"/>
      <c r="O746" s="420"/>
      <c r="P746" s="420"/>
      <c r="Q746" s="420"/>
      <c r="R746" s="420"/>
      <c r="S746" s="420"/>
      <c r="T746" s="420"/>
      <c r="U746" s="420"/>
      <c r="V746" s="420"/>
      <c r="W746" s="420"/>
      <c r="X746" s="420"/>
      <c r="Y746" s="420"/>
      <c r="Z746" s="367"/>
      <c r="AA746" s="420"/>
      <c r="AB746" s="420"/>
      <c r="AC746" s="420"/>
      <c r="AD746" s="420"/>
      <c r="AE746" s="420"/>
      <c r="AF746" s="367"/>
      <c r="AG746" s="420"/>
      <c r="AH746" s="367"/>
      <c r="AI746" s="367"/>
      <c r="AJ746" s="367"/>
      <c r="AK746" s="358"/>
      <c r="AL746" s="358"/>
      <c r="AM746" s="358"/>
      <c r="AN746" s="358"/>
      <c r="AO746" s="358"/>
      <c r="AP746" s="367"/>
    </row>
    <row r="747">
      <c r="A747" s="418"/>
      <c r="B747" s="418"/>
      <c r="C747" s="418"/>
      <c r="D747" s="418"/>
      <c r="E747" s="418"/>
      <c r="F747" s="418"/>
      <c r="G747" s="367"/>
      <c r="H747" s="418"/>
      <c r="I747" s="418"/>
      <c r="J747" s="418"/>
      <c r="K747" s="418"/>
      <c r="L747" s="420"/>
      <c r="M747" s="420"/>
      <c r="N747" s="420"/>
      <c r="O747" s="420"/>
      <c r="P747" s="420"/>
      <c r="Q747" s="420"/>
      <c r="R747" s="420"/>
      <c r="S747" s="420"/>
      <c r="T747" s="420"/>
      <c r="U747" s="420"/>
      <c r="V747" s="420"/>
      <c r="W747" s="420"/>
      <c r="X747" s="420"/>
      <c r="Y747" s="420"/>
      <c r="Z747" s="367"/>
      <c r="AA747" s="420"/>
      <c r="AB747" s="420"/>
      <c r="AC747" s="420"/>
      <c r="AD747" s="420"/>
      <c r="AE747" s="420"/>
      <c r="AF747" s="367"/>
      <c r="AG747" s="420"/>
      <c r="AH747" s="367"/>
      <c r="AI747" s="367"/>
      <c r="AJ747" s="367"/>
      <c r="AK747" s="358"/>
      <c r="AL747" s="358"/>
      <c r="AM747" s="358"/>
      <c r="AN747" s="358"/>
      <c r="AO747" s="358"/>
      <c r="AP747" s="367"/>
    </row>
    <row r="748">
      <c r="A748" s="418"/>
      <c r="B748" s="418"/>
      <c r="C748" s="418"/>
      <c r="D748" s="418"/>
      <c r="E748" s="418"/>
      <c r="F748" s="418"/>
      <c r="G748" s="367"/>
      <c r="H748" s="418"/>
      <c r="I748" s="418"/>
      <c r="J748" s="418"/>
      <c r="K748" s="418"/>
      <c r="L748" s="420"/>
      <c r="M748" s="420"/>
      <c r="N748" s="420"/>
      <c r="O748" s="420"/>
      <c r="P748" s="420"/>
      <c r="Q748" s="420"/>
      <c r="R748" s="420"/>
      <c r="S748" s="420"/>
      <c r="T748" s="420"/>
      <c r="U748" s="420"/>
      <c r="V748" s="420"/>
      <c r="W748" s="420"/>
      <c r="X748" s="420"/>
      <c r="Y748" s="420"/>
      <c r="Z748" s="367"/>
      <c r="AA748" s="420"/>
      <c r="AB748" s="420"/>
      <c r="AC748" s="420"/>
      <c r="AD748" s="420"/>
      <c r="AE748" s="420"/>
      <c r="AF748" s="367"/>
      <c r="AG748" s="420"/>
      <c r="AH748" s="367"/>
      <c r="AI748" s="367"/>
      <c r="AJ748" s="367"/>
      <c r="AK748" s="358"/>
      <c r="AL748" s="358"/>
      <c r="AM748" s="358"/>
      <c r="AN748" s="358"/>
      <c r="AO748" s="358"/>
      <c r="AP748" s="367"/>
    </row>
    <row r="749">
      <c r="A749" s="418"/>
      <c r="B749" s="418"/>
      <c r="C749" s="418"/>
      <c r="D749" s="418"/>
      <c r="E749" s="418"/>
      <c r="F749" s="418"/>
      <c r="G749" s="367"/>
      <c r="H749" s="418"/>
      <c r="I749" s="418"/>
      <c r="J749" s="418"/>
      <c r="K749" s="418"/>
      <c r="L749" s="420"/>
      <c r="M749" s="420"/>
      <c r="N749" s="420"/>
      <c r="O749" s="420"/>
      <c r="P749" s="420"/>
      <c r="Q749" s="420"/>
      <c r="R749" s="420"/>
      <c r="S749" s="420"/>
      <c r="T749" s="420"/>
      <c r="U749" s="420"/>
      <c r="V749" s="420"/>
      <c r="W749" s="420"/>
      <c r="X749" s="420"/>
      <c r="Y749" s="420"/>
      <c r="Z749" s="367"/>
      <c r="AA749" s="420"/>
      <c r="AB749" s="420"/>
      <c r="AC749" s="420"/>
      <c r="AD749" s="420"/>
      <c r="AE749" s="420"/>
      <c r="AF749" s="367"/>
      <c r="AG749" s="420"/>
      <c r="AH749" s="367"/>
      <c r="AI749" s="367"/>
      <c r="AJ749" s="367"/>
      <c r="AK749" s="358"/>
      <c r="AL749" s="358"/>
      <c r="AM749" s="358"/>
      <c r="AN749" s="358"/>
      <c r="AO749" s="358"/>
      <c r="AP749" s="367"/>
    </row>
    <row r="750">
      <c r="A750" s="418"/>
      <c r="B750" s="418"/>
      <c r="C750" s="418"/>
      <c r="D750" s="418"/>
      <c r="E750" s="418"/>
      <c r="F750" s="418"/>
      <c r="G750" s="367"/>
      <c r="H750" s="418"/>
      <c r="I750" s="418"/>
      <c r="J750" s="418"/>
      <c r="K750" s="418"/>
      <c r="L750" s="420"/>
      <c r="M750" s="420"/>
      <c r="N750" s="420"/>
      <c r="O750" s="420"/>
      <c r="P750" s="420"/>
      <c r="Q750" s="420"/>
      <c r="R750" s="420"/>
      <c r="S750" s="420"/>
      <c r="T750" s="420"/>
      <c r="U750" s="420"/>
      <c r="V750" s="420"/>
      <c r="W750" s="420"/>
      <c r="X750" s="420"/>
      <c r="Y750" s="420"/>
      <c r="Z750" s="367"/>
      <c r="AA750" s="420"/>
      <c r="AB750" s="420"/>
      <c r="AC750" s="420"/>
      <c r="AD750" s="420"/>
      <c r="AE750" s="420"/>
      <c r="AF750" s="367"/>
      <c r="AG750" s="420"/>
      <c r="AH750" s="367"/>
      <c r="AI750" s="367"/>
      <c r="AJ750" s="367"/>
      <c r="AK750" s="358"/>
      <c r="AL750" s="358"/>
      <c r="AM750" s="358"/>
      <c r="AN750" s="358"/>
      <c r="AO750" s="358"/>
      <c r="AP750" s="367"/>
    </row>
    <row r="751">
      <c r="A751" s="418"/>
      <c r="B751" s="418"/>
      <c r="C751" s="418"/>
      <c r="D751" s="418"/>
      <c r="E751" s="418"/>
      <c r="F751" s="418"/>
      <c r="G751" s="367"/>
      <c r="H751" s="418"/>
      <c r="I751" s="418"/>
      <c r="J751" s="418"/>
      <c r="K751" s="418"/>
      <c r="L751" s="420"/>
      <c r="M751" s="420"/>
      <c r="N751" s="420"/>
      <c r="O751" s="420"/>
      <c r="P751" s="420"/>
      <c r="Q751" s="420"/>
      <c r="R751" s="420"/>
      <c r="S751" s="420"/>
      <c r="T751" s="420"/>
      <c r="U751" s="420"/>
      <c r="V751" s="420"/>
      <c r="W751" s="420"/>
      <c r="X751" s="420"/>
      <c r="Y751" s="420"/>
      <c r="Z751" s="367"/>
      <c r="AA751" s="420"/>
      <c r="AB751" s="420"/>
      <c r="AC751" s="420"/>
      <c r="AD751" s="420"/>
      <c r="AE751" s="420"/>
      <c r="AF751" s="367"/>
      <c r="AG751" s="420"/>
      <c r="AH751" s="367"/>
      <c r="AI751" s="367"/>
      <c r="AJ751" s="367"/>
      <c r="AK751" s="358"/>
      <c r="AL751" s="358"/>
      <c r="AM751" s="358"/>
      <c r="AN751" s="358"/>
      <c r="AO751" s="358"/>
      <c r="AP751" s="367"/>
    </row>
    <row r="752">
      <c r="A752" s="418"/>
      <c r="B752" s="418"/>
      <c r="C752" s="418"/>
      <c r="D752" s="418"/>
      <c r="E752" s="418"/>
      <c r="F752" s="418"/>
      <c r="G752" s="367"/>
      <c r="H752" s="418"/>
      <c r="I752" s="418"/>
      <c r="J752" s="418"/>
      <c r="K752" s="418"/>
      <c r="L752" s="420"/>
      <c r="M752" s="420"/>
      <c r="N752" s="420"/>
      <c r="O752" s="420"/>
      <c r="P752" s="420"/>
      <c r="Q752" s="420"/>
      <c r="R752" s="420"/>
      <c r="S752" s="420"/>
      <c r="T752" s="420"/>
      <c r="U752" s="420"/>
      <c r="V752" s="420"/>
      <c r="W752" s="420"/>
      <c r="X752" s="420"/>
      <c r="Y752" s="420"/>
      <c r="Z752" s="367"/>
      <c r="AA752" s="420"/>
      <c r="AB752" s="420"/>
      <c r="AC752" s="420"/>
      <c r="AD752" s="420"/>
      <c r="AE752" s="420"/>
      <c r="AF752" s="367"/>
      <c r="AG752" s="420"/>
      <c r="AH752" s="367"/>
      <c r="AI752" s="367"/>
      <c r="AJ752" s="367"/>
      <c r="AK752" s="358"/>
      <c r="AL752" s="358"/>
      <c r="AM752" s="358"/>
      <c r="AN752" s="358"/>
      <c r="AO752" s="358"/>
      <c r="AP752" s="367"/>
    </row>
    <row r="753">
      <c r="A753" s="418"/>
      <c r="B753" s="418"/>
      <c r="C753" s="418"/>
      <c r="D753" s="418"/>
      <c r="E753" s="418"/>
      <c r="F753" s="418"/>
      <c r="G753" s="367"/>
      <c r="H753" s="418"/>
      <c r="I753" s="418"/>
      <c r="J753" s="418"/>
      <c r="K753" s="418"/>
      <c r="L753" s="420"/>
      <c r="M753" s="420"/>
      <c r="N753" s="420"/>
      <c r="O753" s="420"/>
      <c r="P753" s="420"/>
      <c r="Q753" s="420"/>
      <c r="R753" s="420"/>
      <c r="S753" s="420"/>
      <c r="T753" s="420"/>
      <c r="U753" s="420"/>
      <c r="V753" s="420"/>
      <c r="W753" s="420"/>
      <c r="X753" s="420"/>
      <c r="Y753" s="420"/>
      <c r="Z753" s="367"/>
      <c r="AA753" s="420"/>
      <c r="AB753" s="420"/>
      <c r="AC753" s="420"/>
      <c r="AD753" s="420"/>
      <c r="AE753" s="420"/>
      <c r="AF753" s="367"/>
      <c r="AG753" s="420"/>
      <c r="AH753" s="367"/>
      <c r="AI753" s="367"/>
      <c r="AJ753" s="367"/>
      <c r="AK753" s="358"/>
      <c r="AL753" s="358"/>
      <c r="AM753" s="358"/>
      <c r="AN753" s="358"/>
      <c r="AO753" s="358"/>
      <c r="AP753" s="367"/>
    </row>
    <row r="754">
      <c r="A754" s="418"/>
      <c r="B754" s="418"/>
      <c r="C754" s="418"/>
      <c r="D754" s="418"/>
      <c r="E754" s="418"/>
      <c r="F754" s="418"/>
      <c r="G754" s="367"/>
      <c r="H754" s="418"/>
      <c r="I754" s="418"/>
      <c r="J754" s="418"/>
      <c r="K754" s="418"/>
      <c r="L754" s="420"/>
      <c r="M754" s="420"/>
      <c r="N754" s="420"/>
      <c r="O754" s="420"/>
      <c r="P754" s="420"/>
      <c r="Q754" s="420"/>
      <c r="R754" s="420"/>
      <c r="S754" s="420"/>
      <c r="T754" s="420"/>
      <c r="U754" s="420"/>
      <c r="V754" s="420"/>
      <c r="W754" s="420"/>
      <c r="X754" s="420"/>
      <c r="Y754" s="420"/>
      <c r="Z754" s="367"/>
      <c r="AA754" s="420"/>
      <c r="AB754" s="420"/>
      <c r="AC754" s="420"/>
      <c r="AD754" s="420"/>
      <c r="AE754" s="420"/>
      <c r="AF754" s="367"/>
      <c r="AG754" s="420"/>
      <c r="AH754" s="367"/>
      <c r="AI754" s="367"/>
      <c r="AJ754" s="367"/>
      <c r="AK754" s="358"/>
      <c r="AL754" s="358"/>
      <c r="AM754" s="358"/>
      <c r="AN754" s="358"/>
      <c r="AO754" s="358"/>
      <c r="AP754" s="367"/>
    </row>
    <row r="755">
      <c r="A755" s="418"/>
      <c r="B755" s="418"/>
      <c r="C755" s="418"/>
      <c r="D755" s="418"/>
      <c r="E755" s="418"/>
      <c r="F755" s="418"/>
      <c r="G755" s="367"/>
      <c r="H755" s="418"/>
      <c r="I755" s="418"/>
      <c r="J755" s="418"/>
      <c r="K755" s="418"/>
      <c r="L755" s="420"/>
      <c r="M755" s="420"/>
      <c r="N755" s="420"/>
      <c r="O755" s="420"/>
      <c r="P755" s="420"/>
      <c r="Q755" s="420"/>
      <c r="R755" s="420"/>
      <c r="S755" s="420"/>
      <c r="T755" s="420"/>
      <c r="U755" s="420"/>
      <c r="V755" s="420"/>
      <c r="W755" s="420"/>
      <c r="X755" s="420"/>
      <c r="Y755" s="420"/>
      <c r="Z755" s="367"/>
      <c r="AA755" s="420"/>
      <c r="AB755" s="420"/>
      <c r="AC755" s="420"/>
      <c r="AD755" s="420"/>
      <c r="AE755" s="420"/>
      <c r="AF755" s="367"/>
      <c r="AG755" s="420"/>
      <c r="AH755" s="367"/>
      <c r="AI755" s="367"/>
      <c r="AJ755" s="367"/>
      <c r="AK755" s="358"/>
      <c r="AL755" s="358"/>
      <c r="AM755" s="358"/>
      <c r="AN755" s="358"/>
      <c r="AO755" s="358"/>
      <c r="AP755" s="367"/>
    </row>
    <row r="756">
      <c r="A756" s="418"/>
      <c r="B756" s="418"/>
      <c r="C756" s="418"/>
      <c r="D756" s="418"/>
      <c r="E756" s="418"/>
      <c r="F756" s="418"/>
      <c r="G756" s="367"/>
      <c r="H756" s="418"/>
      <c r="I756" s="418"/>
      <c r="J756" s="418"/>
      <c r="K756" s="418"/>
      <c r="L756" s="420"/>
      <c r="M756" s="420"/>
      <c r="N756" s="420"/>
      <c r="O756" s="420"/>
      <c r="P756" s="420"/>
      <c r="Q756" s="420"/>
      <c r="R756" s="420"/>
      <c r="S756" s="420"/>
      <c r="T756" s="420"/>
      <c r="U756" s="420"/>
      <c r="V756" s="420"/>
      <c r="W756" s="420"/>
      <c r="X756" s="420"/>
      <c r="Y756" s="420"/>
      <c r="Z756" s="367"/>
      <c r="AA756" s="420"/>
      <c r="AB756" s="420"/>
      <c r="AC756" s="420"/>
      <c r="AD756" s="420"/>
      <c r="AE756" s="420"/>
      <c r="AF756" s="367"/>
      <c r="AG756" s="420"/>
      <c r="AH756" s="367"/>
      <c r="AI756" s="367"/>
      <c r="AJ756" s="367"/>
      <c r="AK756" s="358"/>
      <c r="AL756" s="358"/>
      <c r="AM756" s="358"/>
      <c r="AN756" s="358"/>
      <c r="AO756" s="358"/>
      <c r="AP756" s="367"/>
    </row>
    <row r="757">
      <c r="A757" s="418"/>
      <c r="B757" s="418"/>
      <c r="C757" s="418"/>
      <c r="D757" s="418"/>
      <c r="E757" s="418"/>
      <c r="F757" s="418"/>
      <c r="G757" s="367"/>
      <c r="H757" s="418"/>
      <c r="I757" s="418"/>
      <c r="J757" s="418"/>
      <c r="K757" s="418"/>
      <c r="L757" s="420"/>
      <c r="M757" s="420"/>
      <c r="N757" s="420"/>
      <c r="O757" s="420"/>
      <c r="P757" s="420"/>
      <c r="Q757" s="420"/>
      <c r="R757" s="420"/>
      <c r="S757" s="420"/>
      <c r="T757" s="420"/>
      <c r="U757" s="420"/>
      <c r="V757" s="420"/>
      <c r="W757" s="420"/>
      <c r="X757" s="420"/>
      <c r="Y757" s="420"/>
      <c r="Z757" s="367"/>
      <c r="AA757" s="420"/>
      <c r="AB757" s="420"/>
      <c r="AC757" s="420"/>
      <c r="AD757" s="420"/>
      <c r="AE757" s="420"/>
      <c r="AF757" s="367"/>
      <c r="AG757" s="420"/>
      <c r="AH757" s="367"/>
      <c r="AI757" s="367"/>
      <c r="AJ757" s="367"/>
      <c r="AK757" s="358"/>
      <c r="AL757" s="358"/>
      <c r="AM757" s="358"/>
      <c r="AN757" s="358"/>
      <c r="AO757" s="358"/>
      <c r="AP757" s="367"/>
    </row>
    <row r="758">
      <c r="A758" s="418"/>
      <c r="B758" s="418"/>
      <c r="C758" s="418"/>
      <c r="D758" s="418"/>
      <c r="E758" s="418"/>
      <c r="F758" s="418"/>
      <c r="G758" s="367"/>
      <c r="H758" s="418"/>
      <c r="I758" s="418"/>
      <c r="J758" s="418"/>
      <c r="K758" s="418"/>
      <c r="L758" s="420"/>
      <c r="M758" s="420"/>
      <c r="N758" s="420"/>
      <c r="O758" s="420"/>
      <c r="P758" s="420"/>
      <c r="Q758" s="420"/>
      <c r="R758" s="420"/>
      <c r="S758" s="420"/>
      <c r="T758" s="420"/>
      <c r="U758" s="420"/>
      <c r="V758" s="420"/>
      <c r="W758" s="420"/>
      <c r="X758" s="420"/>
      <c r="Y758" s="420"/>
      <c r="Z758" s="367"/>
      <c r="AA758" s="420"/>
      <c r="AB758" s="420"/>
      <c r="AC758" s="420"/>
      <c r="AD758" s="420"/>
      <c r="AE758" s="420"/>
      <c r="AF758" s="367"/>
      <c r="AG758" s="420"/>
      <c r="AH758" s="367"/>
      <c r="AI758" s="367"/>
      <c r="AJ758" s="367"/>
      <c r="AK758" s="358"/>
      <c r="AL758" s="358"/>
      <c r="AM758" s="358"/>
      <c r="AN758" s="358"/>
      <c r="AO758" s="358"/>
      <c r="AP758" s="367"/>
    </row>
    <row r="759">
      <c r="A759" s="418"/>
      <c r="B759" s="418"/>
      <c r="C759" s="418"/>
      <c r="D759" s="418"/>
      <c r="E759" s="418"/>
      <c r="F759" s="418"/>
      <c r="G759" s="367"/>
      <c r="H759" s="418"/>
      <c r="I759" s="418"/>
      <c r="J759" s="418"/>
      <c r="K759" s="418"/>
      <c r="L759" s="420"/>
      <c r="M759" s="420"/>
      <c r="N759" s="420"/>
      <c r="O759" s="420"/>
      <c r="P759" s="420"/>
      <c r="Q759" s="420"/>
      <c r="R759" s="420"/>
      <c r="S759" s="420"/>
      <c r="T759" s="420"/>
      <c r="U759" s="420"/>
      <c r="V759" s="420"/>
      <c r="W759" s="420"/>
      <c r="X759" s="420"/>
      <c r="Y759" s="420"/>
      <c r="Z759" s="367"/>
      <c r="AA759" s="420"/>
      <c r="AB759" s="420"/>
      <c r="AC759" s="420"/>
      <c r="AD759" s="420"/>
      <c r="AE759" s="420"/>
      <c r="AF759" s="367"/>
      <c r="AG759" s="420"/>
      <c r="AH759" s="367"/>
      <c r="AI759" s="367"/>
      <c r="AJ759" s="367"/>
      <c r="AK759" s="358"/>
      <c r="AL759" s="358"/>
      <c r="AM759" s="358"/>
      <c r="AN759" s="358"/>
      <c r="AO759" s="358"/>
      <c r="AP759" s="367"/>
    </row>
    <row r="760">
      <c r="A760" s="418"/>
      <c r="B760" s="418"/>
      <c r="C760" s="418"/>
      <c r="D760" s="418"/>
      <c r="E760" s="418"/>
      <c r="F760" s="418"/>
      <c r="G760" s="367"/>
      <c r="H760" s="418"/>
      <c r="I760" s="418"/>
      <c r="J760" s="418"/>
      <c r="K760" s="418"/>
      <c r="L760" s="420"/>
      <c r="M760" s="420"/>
      <c r="N760" s="420"/>
      <c r="O760" s="420"/>
      <c r="P760" s="420"/>
      <c r="Q760" s="420"/>
      <c r="R760" s="420"/>
      <c r="S760" s="420"/>
      <c r="T760" s="420"/>
      <c r="U760" s="420"/>
      <c r="V760" s="420"/>
      <c r="W760" s="420"/>
      <c r="X760" s="420"/>
      <c r="Y760" s="420"/>
      <c r="Z760" s="367"/>
      <c r="AA760" s="420"/>
      <c r="AB760" s="420"/>
      <c r="AC760" s="420"/>
      <c r="AD760" s="420"/>
      <c r="AE760" s="420"/>
      <c r="AF760" s="367"/>
      <c r="AG760" s="420"/>
      <c r="AH760" s="367"/>
      <c r="AI760" s="367"/>
      <c r="AJ760" s="367"/>
      <c r="AK760" s="358"/>
      <c r="AL760" s="358"/>
      <c r="AM760" s="358"/>
      <c r="AN760" s="358"/>
      <c r="AO760" s="358"/>
      <c r="AP760" s="367"/>
    </row>
    <row r="761">
      <c r="A761" s="418"/>
      <c r="B761" s="418"/>
      <c r="C761" s="418"/>
      <c r="D761" s="418"/>
      <c r="E761" s="418"/>
      <c r="F761" s="418"/>
      <c r="G761" s="367"/>
      <c r="H761" s="418"/>
      <c r="I761" s="418"/>
      <c r="J761" s="418"/>
      <c r="K761" s="418"/>
      <c r="L761" s="420"/>
      <c r="M761" s="420"/>
      <c r="N761" s="420"/>
      <c r="O761" s="420"/>
      <c r="P761" s="420"/>
      <c r="Q761" s="420"/>
      <c r="R761" s="420"/>
      <c r="S761" s="420"/>
      <c r="T761" s="420"/>
      <c r="U761" s="420"/>
      <c r="V761" s="420"/>
      <c r="W761" s="420"/>
      <c r="X761" s="420"/>
      <c r="Y761" s="420"/>
      <c r="Z761" s="367"/>
      <c r="AA761" s="420"/>
      <c r="AB761" s="420"/>
      <c r="AC761" s="420"/>
      <c r="AD761" s="420"/>
      <c r="AE761" s="420"/>
      <c r="AF761" s="367"/>
      <c r="AG761" s="420"/>
      <c r="AH761" s="367"/>
      <c r="AI761" s="367"/>
      <c r="AJ761" s="367"/>
      <c r="AK761" s="358"/>
      <c r="AL761" s="358"/>
      <c r="AM761" s="358"/>
      <c r="AN761" s="358"/>
      <c r="AO761" s="358"/>
      <c r="AP761" s="367"/>
    </row>
    <row r="762">
      <c r="A762" s="418"/>
      <c r="B762" s="418"/>
      <c r="C762" s="418"/>
      <c r="D762" s="418"/>
      <c r="E762" s="418"/>
      <c r="F762" s="418"/>
      <c r="G762" s="367"/>
      <c r="H762" s="418"/>
      <c r="I762" s="418"/>
      <c r="J762" s="418"/>
      <c r="K762" s="418"/>
      <c r="L762" s="420"/>
      <c r="M762" s="420"/>
      <c r="N762" s="420"/>
      <c r="O762" s="420"/>
      <c r="P762" s="420"/>
      <c r="Q762" s="420"/>
      <c r="R762" s="420"/>
      <c r="S762" s="420"/>
      <c r="T762" s="420"/>
      <c r="U762" s="420"/>
      <c r="V762" s="420"/>
      <c r="W762" s="420"/>
      <c r="X762" s="420"/>
      <c r="Y762" s="420"/>
      <c r="Z762" s="367"/>
      <c r="AA762" s="420"/>
      <c r="AB762" s="420"/>
      <c r="AC762" s="420"/>
      <c r="AD762" s="420"/>
      <c r="AE762" s="420"/>
      <c r="AF762" s="367"/>
      <c r="AG762" s="420"/>
      <c r="AH762" s="367"/>
      <c r="AI762" s="367"/>
      <c r="AJ762" s="367"/>
      <c r="AK762" s="358"/>
      <c r="AL762" s="358"/>
      <c r="AM762" s="358"/>
      <c r="AN762" s="358"/>
      <c r="AO762" s="358"/>
      <c r="AP762" s="367"/>
    </row>
    <row r="763">
      <c r="A763" s="418"/>
      <c r="B763" s="418"/>
      <c r="C763" s="418"/>
      <c r="D763" s="418"/>
      <c r="E763" s="418"/>
      <c r="F763" s="418"/>
      <c r="G763" s="367"/>
      <c r="H763" s="418"/>
      <c r="I763" s="418"/>
      <c r="J763" s="418"/>
      <c r="K763" s="418"/>
      <c r="L763" s="420"/>
      <c r="M763" s="420"/>
      <c r="N763" s="420"/>
      <c r="O763" s="420"/>
      <c r="P763" s="420"/>
      <c r="Q763" s="420"/>
      <c r="R763" s="420"/>
      <c r="S763" s="420"/>
      <c r="T763" s="420"/>
      <c r="U763" s="420"/>
      <c r="V763" s="420"/>
      <c r="W763" s="420"/>
      <c r="X763" s="420"/>
      <c r="Y763" s="420"/>
      <c r="Z763" s="367"/>
      <c r="AA763" s="420"/>
      <c r="AB763" s="420"/>
      <c r="AC763" s="420"/>
      <c r="AD763" s="420"/>
      <c r="AE763" s="420"/>
      <c r="AF763" s="367"/>
      <c r="AG763" s="420"/>
      <c r="AH763" s="367"/>
      <c r="AI763" s="367"/>
      <c r="AJ763" s="367"/>
      <c r="AK763" s="358"/>
      <c r="AL763" s="358"/>
      <c r="AM763" s="358"/>
      <c r="AN763" s="358"/>
      <c r="AO763" s="358"/>
      <c r="AP763" s="367"/>
    </row>
    <row r="764">
      <c r="A764" s="418"/>
      <c r="B764" s="418"/>
      <c r="C764" s="418"/>
      <c r="D764" s="418"/>
      <c r="E764" s="418"/>
      <c r="F764" s="418"/>
      <c r="G764" s="367"/>
      <c r="H764" s="418"/>
      <c r="I764" s="418"/>
      <c r="J764" s="418"/>
      <c r="K764" s="418"/>
      <c r="L764" s="420"/>
      <c r="M764" s="420"/>
      <c r="N764" s="420"/>
      <c r="O764" s="420"/>
      <c r="P764" s="420"/>
      <c r="Q764" s="420"/>
      <c r="R764" s="420"/>
      <c r="S764" s="420"/>
      <c r="T764" s="420"/>
      <c r="U764" s="420"/>
      <c r="V764" s="420"/>
      <c r="W764" s="420"/>
      <c r="X764" s="420"/>
      <c r="Y764" s="420"/>
      <c r="Z764" s="367"/>
      <c r="AA764" s="420"/>
      <c r="AB764" s="420"/>
      <c r="AC764" s="420"/>
      <c r="AD764" s="420"/>
      <c r="AE764" s="420"/>
      <c r="AF764" s="367"/>
      <c r="AG764" s="420"/>
      <c r="AH764" s="367"/>
      <c r="AI764" s="367"/>
      <c r="AJ764" s="367"/>
      <c r="AK764" s="358"/>
      <c r="AL764" s="358"/>
      <c r="AM764" s="358"/>
      <c r="AN764" s="358"/>
      <c r="AO764" s="358"/>
      <c r="AP764" s="367"/>
    </row>
    <row r="765">
      <c r="A765" s="418"/>
      <c r="B765" s="418"/>
      <c r="C765" s="418"/>
      <c r="D765" s="418"/>
      <c r="E765" s="418"/>
      <c r="F765" s="418"/>
      <c r="G765" s="367"/>
      <c r="H765" s="418"/>
      <c r="I765" s="418"/>
      <c r="J765" s="418"/>
      <c r="K765" s="418"/>
      <c r="L765" s="420"/>
      <c r="M765" s="420"/>
      <c r="N765" s="420"/>
      <c r="O765" s="420"/>
      <c r="P765" s="420"/>
      <c r="Q765" s="420"/>
      <c r="R765" s="420"/>
      <c r="S765" s="420"/>
      <c r="T765" s="420"/>
      <c r="U765" s="420"/>
      <c r="V765" s="420"/>
      <c r="W765" s="420"/>
      <c r="X765" s="420"/>
      <c r="Y765" s="420"/>
      <c r="Z765" s="367"/>
      <c r="AA765" s="420"/>
      <c r="AB765" s="420"/>
      <c r="AC765" s="420"/>
      <c r="AD765" s="420"/>
      <c r="AE765" s="420"/>
      <c r="AF765" s="367"/>
      <c r="AG765" s="420"/>
      <c r="AH765" s="367"/>
      <c r="AI765" s="367"/>
      <c r="AJ765" s="367"/>
      <c r="AK765" s="358"/>
      <c r="AL765" s="358"/>
      <c r="AM765" s="358"/>
      <c r="AN765" s="358"/>
      <c r="AO765" s="358"/>
      <c r="AP765" s="367"/>
    </row>
    <row r="766">
      <c r="A766" s="418"/>
      <c r="B766" s="418"/>
      <c r="C766" s="418"/>
      <c r="D766" s="418"/>
      <c r="E766" s="418"/>
      <c r="F766" s="418"/>
      <c r="G766" s="367"/>
      <c r="H766" s="418"/>
      <c r="I766" s="418"/>
      <c r="J766" s="418"/>
      <c r="K766" s="418"/>
      <c r="L766" s="420"/>
      <c r="M766" s="420"/>
      <c r="N766" s="420"/>
      <c r="O766" s="420"/>
      <c r="P766" s="420"/>
      <c r="Q766" s="420"/>
      <c r="R766" s="420"/>
      <c r="S766" s="420"/>
      <c r="T766" s="420"/>
      <c r="U766" s="420"/>
      <c r="V766" s="420"/>
      <c r="W766" s="420"/>
      <c r="X766" s="420"/>
      <c r="Y766" s="420"/>
      <c r="Z766" s="367"/>
      <c r="AA766" s="420"/>
      <c r="AB766" s="420"/>
      <c r="AC766" s="420"/>
      <c r="AD766" s="420"/>
      <c r="AE766" s="420"/>
      <c r="AF766" s="367"/>
      <c r="AG766" s="420"/>
      <c r="AH766" s="367"/>
      <c r="AI766" s="367"/>
      <c r="AJ766" s="367"/>
      <c r="AK766" s="358"/>
      <c r="AL766" s="358"/>
      <c r="AM766" s="358"/>
      <c r="AN766" s="358"/>
      <c r="AO766" s="358"/>
      <c r="AP766" s="367"/>
    </row>
    <row r="767">
      <c r="A767" s="418"/>
      <c r="B767" s="418"/>
      <c r="C767" s="418"/>
      <c r="D767" s="418"/>
      <c r="E767" s="418"/>
      <c r="F767" s="418"/>
      <c r="G767" s="367"/>
      <c r="H767" s="418"/>
      <c r="I767" s="418"/>
      <c r="J767" s="418"/>
      <c r="K767" s="418"/>
      <c r="L767" s="420"/>
      <c r="M767" s="420"/>
      <c r="N767" s="420"/>
      <c r="O767" s="420"/>
      <c r="P767" s="420"/>
      <c r="Q767" s="420"/>
      <c r="R767" s="420"/>
      <c r="S767" s="420"/>
      <c r="T767" s="420"/>
      <c r="U767" s="420"/>
      <c r="V767" s="420"/>
      <c r="W767" s="420"/>
      <c r="X767" s="420"/>
      <c r="Y767" s="420"/>
      <c r="Z767" s="367"/>
      <c r="AA767" s="420"/>
      <c r="AB767" s="420"/>
      <c r="AC767" s="420"/>
      <c r="AD767" s="420"/>
      <c r="AE767" s="420"/>
      <c r="AF767" s="367"/>
      <c r="AG767" s="420"/>
      <c r="AH767" s="367"/>
      <c r="AI767" s="367"/>
      <c r="AJ767" s="367"/>
      <c r="AK767" s="358"/>
      <c r="AL767" s="358"/>
      <c r="AM767" s="358"/>
      <c r="AN767" s="358"/>
      <c r="AO767" s="358"/>
      <c r="AP767" s="367"/>
    </row>
    <row r="768">
      <c r="A768" s="418"/>
      <c r="B768" s="418"/>
      <c r="C768" s="418"/>
      <c r="D768" s="418"/>
      <c r="E768" s="418"/>
      <c r="F768" s="418"/>
      <c r="G768" s="367"/>
      <c r="H768" s="418"/>
      <c r="I768" s="418"/>
      <c r="J768" s="418"/>
      <c r="K768" s="418"/>
      <c r="L768" s="420"/>
      <c r="M768" s="420"/>
      <c r="N768" s="420"/>
      <c r="O768" s="420"/>
      <c r="P768" s="420"/>
      <c r="Q768" s="420"/>
      <c r="R768" s="420"/>
      <c r="S768" s="420"/>
      <c r="T768" s="420"/>
      <c r="U768" s="420"/>
      <c r="V768" s="420"/>
      <c r="W768" s="420"/>
      <c r="X768" s="420"/>
      <c r="Y768" s="420"/>
      <c r="Z768" s="367"/>
      <c r="AA768" s="420"/>
      <c r="AB768" s="420"/>
      <c r="AC768" s="420"/>
      <c r="AD768" s="420"/>
      <c r="AE768" s="420"/>
      <c r="AF768" s="367"/>
      <c r="AG768" s="420"/>
      <c r="AH768" s="367"/>
      <c r="AI768" s="367"/>
      <c r="AJ768" s="367"/>
      <c r="AK768" s="358"/>
      <c r="AL768" s="358"/>
      <c r="AM768" s="358"/>
      <c r="AN768" s="358"/>
      <c r="AO768" s="358"/>
      <c r="AP768" s="367"/>
    </row>
    <row r="769">
      <c r="A769" s="418"/>
      <c r="B769" s="418"/>
      <c r="C769" s="418"/>
      <c r="D769" s="418"/>
      <c r="E769" s="418"/>
      <c r="F769" s="418"/>
      <c r="G769" s="367"/>
      <c r="H769" s="418"/>
      <c r="I769" s="418"/>
      <c r="J769" s="418"/>
      <c r="K769" s="418"/>
      <c r="L769" s="420"/>
      <c r="M769" s="420"/>
      <c r="N769" s="420"/>
      <c r="O769" s="420"/>
      <c r="P769" s="420"/>
      <c r="Q769" s="420"/>
      <c r="R769" s="420"/>
      <c r="S769" s="420"/>
      <c r="T769" s="420"/>
      <c r="U769" s="420"/>
      <c r="V769" s="420"/>
      <c r="W769" s="420"/>
      <c r="X769" s="420"/>
      <c r="Y769" s="420"/>
      <c r="Z769" s="367"/>
      <c r="AA769" s="420"/>
      <c r="AB769" s="420"/>
      <c r="AC769" s="420"/>
      <c r="AD769" s="420"/>
      <c r="AE769" s="420"/>
      <c r="AF769" s="367"/>
      <c r="AG769" s="420"/>
      <c r="AH769" s="367"/>
      <c r="AI769" s="367"/>
      <c r="AJ769" s="367"/>
      <c r="AK769" s="358"/>
      <c r="AL769" s="358"/>
      <c r="AM769" s="358"/>
      <c r="AN769" s="358"/>
      <c r="AO769" s="358"/>
      <c r="AP769" s="367"/>
    </row>
    <row r="770">
      <c r="A770" s="418"/>
      <c r="B770" s="418"/>
      <c r="C770" s="418"/>
      <c r="D770" s="418"/>
      <c r="E770" s="418"/>
      <c r="F770" s="418"/>
      <c r="G770" s="367"/>
      <c r="H770" s="418"/>
      <c r="I770" s="418"/>
      <c r="J770" s="418"/>
      <c r="K770" s="418"/>
      <c r="L770" s="420"/>
      <c r="M770" s="420"/>
      <c r="N770" s="420"/>
      <c r="O770" s="420"/>
      <c r="P770" s="420"/>
      <c r="Q770" s="420"/>
      <c r="R770" s="420"/>
      <c r="S770" s="420"/>
      <c r="T770" s="420"/>
      <c r="U770" s="420"/>
      <c r="V770" s="420"/>
      <c r="W770" s="420"/>
      <c r="X770" s="420"/>
      <c r="Y770" s="420"/>
      <c r="Z770" s="367"/>
      <c r="AA770" s="420"/>
      <c r="AB770" s="420"/>
      <c r="AC770" s="420"/>
      <c r="AD770" s="420"/>
      <c r="AE770" s="420"/>
      <c r="AF770" s="367"/>
      <c r="AG770" s="420"/>
      <c r="AH770" s="367"/>
      <c r="AI770" s="367"/>
      <c r="AJ770" s="367"/>
      <c r="AK770" s="358"/>
      <c r="AL770" s="358"/>
      <c r="AM770" s="358"/>
      <c r="AN770" s="358"/>
      <c r="AO770" s="358"/>
      <c r="AP770" s="367"/>
    </row>
    <row r="771">
      <c r="A771" s="418"/>
      <c r="B771" s="418"/>
      <c r="C771" s="418"/>
      <c r="D771" s="418"/>
      <c r="E771" s="418"/>
      <c r="F771" s="418"/>
      <c r="G771" s="367"/>
      <c r="H771" s="418"/>
      <c r="I771" s="418"/>
      <c r="J771" s="418"/>
      <c r="K771" s="418"/>
      <c r="L771" s="420"/>
      <c r="M771" s="420"/>
      <c r="N771" s="420"/>
      <c r="O771" s="420"/>
      <c r="P771" s="420"/>
      <c r="Q771" s="420"/>
      <c r="R771" s="420"/>
      <c r="S771" s="420"/>
      <c r="T771" s="420"/>
      <c r="U771" s="420"/>
      <c r="V771" s="420"/>
      <c r="W771" s="420"/>
      <c r="X771" s="420"/>
      <c r="Y771" s="420"/>
      <c r="Z771" s="367"/>
      <c r="AA771" s="420"/>
      <c r="AB771" s="420"/>
      <c r="AC771" s="420"/>
      <c r="AD771" s="420"/>
      <c r="AE771" s="420"/>
      <c r="AF771" s="367"/>
      <c r="AG771" s="420"/>
      <c r="AH771" s="367"/>
      <c r="AI771" s="367"/>
      <c r="AJ771" s="367"/>
      <c r="AK771" s="358"/>
      <c r="AL771" s="358"/>
      <c r="AM771" s="358"/>
      <c r="AN771" s="358"/>
      <c r="AO771" s="358"/>
      <c r="AP771" s="367"/>
    </row>
    <row r="772">
      <c r="A772" s="418"/>
      <c r="B772" s="418"/>
      <c r="C772" s="418"/>
      <c r="D772" s="418"/>
      <c r="E772" s="418"/>
      <c r="F772" s="418"/>
      <c r="G772" s="367"/>
      <c r="H772" s="418"/>
      <c r="I772" s="418"/>
      <c r="J772" s="418"/>
      <c r="K772" s="418"/>
      <c r="L772" s="420"/>
      <c r="M772" s="420"/>
      <c r="N772" s="420"/>
      <c r="O772" s="420"/>
      <c r="P772" s="420"/>
      <c r="Q772" s="420"/>
      <c r="R772" s="420"/>
      <c r="S772" s="420"/>
      <c r="T772" s="420"/>
      <c r="U772" s="420"/>
      <c r="V772" s="420"/>
      <c r="W772" s="420"/>
      <c r="X772" s="420"/>
      <c r="Y772" s="420"/>
      <c r="Z772" s="367"/>
      <c r="AA772" s="420"/>
      <c r="AB772" s="420"/>
      <c r="AC772" s="420"/>
      <c r="AD772" s="420"/>
      <c r="AE772" s="420"/>
      <c r="AF772" s="367"/>
      <c r="AG772" s="420"/>
      <c r="AH772" s="367"/>
      <c r="AI772" s="367"/>
      <c r="AJ772" s="367"/>
      <c r="AK772" s="358"/>
      <c r="AL772" s="358"/>
      <c r="AM772" s="358"/>
      <c r="AN772" s="358"/>
      <c r="AO772" s="358"/>
      <c r="AP772" s="367"/>
    </row>
    <row r="773">
      <c r="A773" s="418"/>
      <c r="B773" s="418"/>
      <c r="C773" s="418"/>
      <c r="D773" s="418"/>
      <c r="E773" s="418"/>
      <c r="F773" s="418"/>
      <c r="G773" s="367"/>
      <c r="H773" s="418"/>
      <c r="I773" s="418"/>
      <c r="J773" s="418"/>
      <c r="K773" s="418"/>
      <c r="L773" s="420"/>
      <c r="M773" s="420"/>
      <c r="N773" s="420"/>
      <c r="O773" s="420"/>
      <c r="P773" s="420"/>
      <c r="Q773" s="420"/>
      <c r="R773" s="420"/>
      <c r="S773" s="420"/>
      <c r="T773" s="420"/>
      <c r="U773" s="420"/>
      <c r="V773" s="420"/>
      <c r="W773" s="420"/>
      <c r="X773" s="420"/>
      <c r="Y773" s="420"/>
      <c r="Z773" s="367"/>
      <c r="AA773" s="420"/>
      <c r="AB773" s="420"/>
      <c r="AC773" s="420"/>
      <c r="AD773" s="420"/>
      <c r="AE773" s="420"/>
      <c r="AF773" s="367"/>
      <c r="AG773" s="420"/>
      <c r="AH773" s="367"/>
      <c r="AI773" s="367"/>
      <c r="AJ773" s="367"/>
      <c r="AK773" s="358"/>
      <c r="AL773" s="358"/>
      <c r="AM773" s="358"/>
      <c r="AN773" s="358"/>
      <c r="AO773" s="358"/>
      <c r="AP773" s="367"/>
    </row>
    <row r="774">
      <c r="A774" s="418"/>
      <c r="B774" s="418"/>
      <c r="C774" s="418"/>
      <c r="D774" s="418"/>
      <c r="E774" s="418"/>
      <c r="F774" s="418"/>
      <c r="G774" s="367"/>
      <c r="H774" s="418"/>
      <c r="I774" s="418"/>
      <c r="J774" s="418"/>
      <c r="K774" s="418"/>
      <c r="L774" s="420"/>
      <c r="M774" s="420"/>
      <c r="N774" s="420"/>
      <c r="O774" s="420"/>
      <c r="P774" s="420"/>
      <c r="Q774" s="420"/>
      <c r="R774" s="420"/>
      <c r="S774" s="420"/>
      <c r="T774" s="420"/>
      <c r="U774" s="420"/>
      <c r="V774" s="420"/>
      <c r="W774" s="420"/>
      <c r="X774" s="420"/>
      <c r="Y774" s="420"/>
      <c r="Z774" s="367"/>
      <c r="AA774" s="420"/>
      <c r="AB774" s="420"/>
      <c r="AC774" s="420"/>
      <c r="AD774" s="420"/>
      <c r="AE774" s="420"/>
      <c r="AF774" s="367"/>
      <c r="AG774" s="420"/>
      <c r="AH774" s="367"/>
      <c r="AI774" s="367"/>
      <c r="AJ774" s="367"/>
      <c r="AK774" s="358"/>
      <c r="AL774" s="358"/>
      <c r="AM774" s="358"/>
      <c r="AN774" s="358"/>
      <c r="AO774" s="358"/>
      <c r="AP774" s="367"/>
    </row>
    <row r="775">
      <c r="A775" s="418"/>
      <c r="B775" s="418"/>
      <c r="C775" s="418"/>
      <c r="D775" s="418"/>
      <c r="E775" s="418"/>
      <c r="F775" s="418"/>
      <c r="G775" s="367"/>
      <c r="H775" s="418"/>
      <c r="I775" s="418"/>
      <c r="J775" s="418"/>
      <c r="K775" s="418"/>
      <c r="L775" s="420"/>
      <c r="M775" s="420"/>
      <c r="N775" s="420"/>
      <c r="O775" s="420"/>
      <c r="P775" s="420"/>
      <c r="Q775" s="420"/>
      <c r="R775" s="420"/>
      <c r="S775" s="420"/>
      <c r="T775" s="420"/>
      <c r="U775" s="420"/>
      <c r="V775" s="420"/>
      <c r="W775" s="420"/>
      <c r="X775" s="420"/>
      <c r="Y775" s="420"/>
      <c r="Z775" s="367"/>
      <c r="AA775" s="420"/>
      <c r="AB775" s="420"/>
      <c r="AC775" s="420"/>
      <c r="AD775" s="420"/>
      <c r="AE775" s="420"/>
      <c r="AF775" s="367"/>
      <c r="AG775" s="420"/>
      <c r="AH775" s="367"/>
      <c r="AI775" s="367"/>
      <c r="AJ775" s="367"/>
      <c r="AK775" s="358"/>
      <c r="AL775" s="358"/>
      <c r="AM775" s="358"/>
      <c r="AN775" s="358"/>
      <c r="AO775" s="358"/>
      <c r="AP775" s="367"/>
    </row>
    <row r="776">
      <c r="A776" s="418"/>
      <c r="B776" s="418"/>
      <c r="C776" s="418"/>
      <c r="D776" s="418"/>
      <c r="E776" s="418"/>
      <c r="F776" s="418"/>
      <c r="G776" s="367"/>
      <c r="H776" s="418"/>
      <c r="I776" s="418"/>
      <c r="J776" s="418"/>
      <c r="K776" s="418"/>
      <c r="L776" s="420"/>
      <c r="M776" s="420"/>
      <c r="N776" s="420"/>
      <c r="O776" s="420"/>
      <c r="P776" s="420"/>
      <c r="Q776" s="420"/>
      <c r="R776" s="420"/>
      <c r="S776" s="420"/>
      <c r="T776" s="420"/>
      <c r="U776" s="420"/>
      <c r="V776" s="420"/>
      <c r="W776" s="420"/>
      <c r="X776" s="420"/>
      <c r="Y776" s="420"/>
      <c r="Z776" s="367"/>
      <c r="AA776" s="420"/>
      <c r="AB776" s="420"/>
      <c r="AC776" s="420"/>
      <c r="AD776" s="420"/>
      <c r="AE776" s="420"/>
      <c r="AF776" s="367"/>
      <c r="AG776" s="420"/>
      <c r="AH776" s="367"/>
      <c r="AI776" s="367"/>
      <c r="AJ776" s="367"/>
      <c r="AK776" s="358"/>
      <c r="AL776" s="358"/>
      <c r="AM776" s="358"/>
      <c r="AN776" s="358"/>
      <c r="AO776" s="358"/>
      <c r="AP776" s="367"/>
    </row>
    <row r="777">
      <c r="A777" s="418"/>
      <c r="B777" s="418"/>
      <c r="C777" s="418"/>
      <c r="D777" s="418"/>
      <c r="E777" s="418"/>
      <c r="F777" s="418"/>
      <c r="G777" s="367"/>
      <c r="H777" s="418"/>
      <c r="I777" s="418"/>
      <c r="J777" s="418"/>
      <c r="K777" s="418"/>
      <c r="L777" s="420"/>
      <c r="M777" s="420"/>
      <c r="N777" s="420"/>
      <c r="O777" s="420"/>
      <c r="P777" s="420"/>
      <c r="Q777" s="420"/>
      <c r="R777" s="420"/>
      <c r="S777" s="420"/>
      <c r="T777" s="420"/>
      <c r="U777" s="420"/>
      <c r="V777" s="420"/>
      <c r="W777" s="420"/>
      <c r="X777" s="420"/>
      <c r="Y777" s="420"/>
      <c r="Z777" s="367"/>
      <c r="AA777" s="420"/>
      <c r="AB777" s="420"/>
      <c r="AC777" s="420"/>
      <c r="AD777" s="420"/>
      <c r="AE777" s="420"/>
      <c r="AF777" s="367"/>
      <c r="AG777" s="420"/>
      <c r="AH777" s="367"/>
      <c r="AI777" s="367"/>
      <c r="AJ777" s="367"/>
      <c r="AK777" s="358"/>
      <c r="AL777" s="358"/>
      <c r="AM777" s="358"/>
      <c r="AN777" s="358"/>
      <c r="AO777" s="358"/>
      <c r="AP777" s="367"/>
    </row>
    <row r="778">
      <c r="A778" s="418"/>
      <c r="B778" s="418"/>
      <c r="C778" s="418"/>
      <c r="D778" s="418"/>
      <c r="E778" s="418"/>
      <c r="F778" s="418"/>
      <c r="G778" s="367"/>
      <c r="H778" s="418"/>
      <c r="I778" s="418"/>
      <c r="J778" s="418"/>
      <c r="K778" s="418"/>
      <c r="L778" s="420"/>
      <c r="M778" s="420"/>
      <c r="N778" s="420"/>
      <c r="O778" s="420"/>
      <c r="P778" s="420"/>
      <c r="Q778" s="420"/>
      <c r="R778" s="420"/>
      <c r="S778" s="420"/>
      <c r="T778" s="420"/>
      <c r="U778" s="420"/>
      <c r="V778" s="420"/>
      <c r="W778" s="420"/>
      <c r="X778" s="420"/>
      <c r="Y778" s="420"/>
      <c r="Z778" s="367"/>
      <c r="AA778" s="420"/>
      <c r="AB778" s="420"/>
      <c r="AC778" s="420"/>
      <c r="AD778" s="420"/>
      <c r="AE778" s="420"/>
      <c r="AF778" s="367"/>
      <c r="AG778" s="420"/>
      <c r="AH778" s="367"/>
      <c r="AI778" s="367"/>
      <c r="AJ778" s="367"/>
      <c r="AK778" s="358"/>
      <c r="AL778" s="358"/>
      <c r="AM778" s="358"/>
      <c r="AN778" s="358"/>
      <c r="AO778" s="358"/>
      <c r="AP778" s="367"/>
    </row>
    <row r="779">
      <c r="A779" s="418"/>
      <c r="B779" s="418"/>
      <c r="C779" s="418"/>
      <c r="D779" s="418"/>
      <c r="E779" s="418"/>
      <c r="F779" s="418"/>
      <c r="G779" s="367"/>
      <c r="H779" s="418"/>
      <c r="I779" s="418"/>
      <c r="J779" s="418"/>
      <c r="K779" s="418"/>
      <c r="L779" s="420"/>
      <c r="M779" s="420"/>
      <c r="N779" s="420"/>
      <c r="O779" s="420"/>
      <c r="P779" s="420"/>
      <c r="Q779" s="420"/>
      <c r="R779" s="420"/>
      <c r="S779" s="420"/>
      <c r="T779" s="420"/>
      <c r="U779" s="420"/>
      <c r="V779" s="420"/>
      <c r="W779" s="420"/>
      <c r="X779" s="420"/>
      <c r="Y779" s="420"/>
      <c r="Z779" s="367"/>
      <c r="AA779" s="420"/>
      <c r="AB779" s="420"/>
      <c r="AC779" s="420"/>
      <c r="AD779" s="420"/>
      <c r="AE779" s="420"/>
      <c r="AF779" s="367"/>
      <c r="AG779" s="420"/>
      <c r="AH779" s="367"/>
      <c r="AI779" s="367"/>
      <c r="AJ779" s="367"/>
      <c r="AK779" s="358"/>
      <c r="AL779" s="358"/>
      <c r="AM779" s="358"/>
      <c r="AN779" s="358"/>
      <c r="AO779" s="358"/>
      <c r="AP779" s="367"/>
    </row>
    <row r="780">
      <c r="A780" s="418"/>
      <c r="B780" s="418"/>
      <c r="C780" s="418"/>
      <c r="D780" s="418"/>
      <c r="E780" s="418"/>
      <c r="F780" s="418"/>
      <c r="G780" s="367"/>
      <c r="H780" s="418"/>
      <c r="I780" s="418"/>
      <c r="J780" s="418"/>
      <c r="K780" s="418"/>
      <c r="L780" s="420"/>
      <c r="M780" s="420"/>
      <c r="N780" s="420"/>
      <c r="O780" s="420"/>
      <c r="P780" s="420"/>
      <c r="Q780" s="420"/>
      <c r="R780" s="420"/>
      <c r="S780" s="420"/>
      <c r="T780" s="420"/>
      <c r="U780" s="420"/>
      <c r="V780" s="420"/>
      <c r="W780" s="420"/>
      <c r="X780" s="420"/>
      <c r="Y780" s="420"/>
      <c r="Z780" s="367"/>
      <c r="AA780" s="420"/>
      <c r="AB780" s="420"/>
      <c r="AC780" s="420"/>
      <c r="AD780" s="420"/>
      <c r="AE780" s="420"/>
      <c r="AF780" s="367"/>
      <c r="AG780" s="420"/>
      <c r="AH780" s="367"/>
      <c r="AI780" s="367"/>
      <c r="AJ780" s="367"/>
      <c r="AK780" s="358"/>
      <c r="AL780" s="358"/>
      <c r="AM780" s="358"/>
      <c r="AN780" s="358"/>
      <c r="AO780" s="358"/>
      <c r="AP780" s="367"/>
    </row>
    <row r="781">
      <c r="A781" s="418"/>
      <c r="B781" s="418"/>
      <c r="C781" s="418"/>
      <c r="D781" s="418"/>
      <c r="E781" s="418"/>
      <c r="F781" s="418"/>
      <c r="G781" s="367"/>
      <c r="H781" s="418"/>
      <c r="I781" s="418"/>
      <c r="J781" s="418"/>
      <c r="K781" s="418"/>
      <c r="L781" s="420"/>
      <c r="M781" s="420"/>
      <c r="N781" s="420"/>
      <c r="O781" s="420"/>
      <c r="P781" s="420"/>
      <c r="Q781" s="420"/>
      <c r="R781" s="420"/>
      <c r="S781" s="420"/>
      <c r="T781" s="420"/>
      <c r="U781" s="420"/>
      <c r="V781" s="420"/>
      <c r="W781" s="420"/>
      <c r="X781" s="420"/>
      <c r="Y781" s="420"/>
      <c r="Z781" s="367"/>
      <c r="AA781" s="420"/>
      <c r="AB781" s="420"/>
      <c r="AC781" s="420"/>
      <c r="AD781" s="420"/>
      <c r="AE781" s="420"/>
      <c r="AF781" s="367"/>
      <c r="AG781" s="420"/>
      <c r="AH781" s="367"/>
      <c r="AI781" s="367"/>
      <c r="AJ781" s="367"/>
      <c r="AK781" s="358"/>
      <c r="AL781" s="358"/>
      <c r="AM781" s="358"/>
      <c r="AN781" s="358"/>
      <c r="AO781" s="358"/>
      <c r="AP781" s="367"/>
    </row>
    <row r="782">
      <c r="A782" s="418"/>
      <c r="B782" s="418"/>
      <c r="C782" s="418"/>
      <c r="D782" s="418"/>
      <c r="E782" s="418"/>
      <c r="F782" s="418"/>
      <c r="G782" s="367"/>
      <c r="H782" s="418"/>
      <c r="I782" s="418"/>
      <c r="J782" s="418"/>
      <c r="K782" s="418"/>
      <c r="L782" s="420"/>
      <c r="M782" s="420"/>
      <c r="N782" s="420"/>
      <c r="O782" s="420"/>
      <c r="P782" s="420"/>
      <c r="Q782" s="420"/>
      <c r="R782" s="420"/>
      <c r="S782" s="420"/>
      <c r="T782" s="420"/>
      <c r="U782" s="420"/>
      <c r="V782" s="420"/>
      <c r="W782" s="420"/>
      <c r="X782" s="420"/>
      <c r="Y782" s="420"/>
      <c r="Z782" s="367"/>
      <c r="AA782" s="420"/>
      <c r="AB782" s="420"/>
      <c r="AC782" s="420"/>
      <c r="AD782" s="420"/>
      <c r="AE782" s="420"/>
      <c r="AF782" s="367"/>
      <c r="AG782" s="420"/>
      <c r="AH782" s="367"/>
      <c r="AI782" s="367"/>
      <c r="AJ782" s="367"/>
      <c r="AK782" s="358"/>
      <c r="AL782" s="358"/>
      <c r="AM782" s="358"/>
      <c r="AN782" s="358"/>
      <c r="AO782" s="358"/>
      <c r="AP782" s="367"/>
    </row>
    <row r="783">
      <c r="A783" s="418"/>
      <c r="B783" s="418"/>
      <c r="C783" s="418"/>
      <c r="D783" s="418"/>
      <c r="E783" s="418"/>
      <c r="F783" s="418"/>
      <c r="G783" s="367"/>
      <c r="H783" s="418"/>
      <c r="I783" s="418"/>
      <c r="J783" s="418"/>
      <c r="K783" s="418"/>
      <c r="L783" s="420"/>
      <c r="M783" s="420"/>
      <c r="N783" s="420"/>
      <c r="O783" s="420"/>
      <c r="P783" s="420"/>
      <c r="Q783" s="420"/>
      <c r="R783" s="420"/>
      <c r="S783" s="420"/>
      <c r="T783" s="420"/>
      <c r="U783" s="420"/>
      <c r="V783" s="420"/>
      <c r="W783" s="420"/>
      <c r="X783" s="420"/>
      <c r="Y783" s="420"/>
      <c r="Z783" s="367"/>
      <c r="AA783" s="420"/>
      <c r="AB783" s="420"/>
      <c r="AC783" s="420"/>
      <c r="AD783" s="420"/>
      <c r="AE783" s="420"/>
      <c r="AF783" s="367"/>
      <c r="AG783" s="420"/>
      <c r="AH783" s="367"/>
      <c r="AI783" s="367"/>
      <c r="AJ783" s="367"/>
      <c r="AK783" s="358"/>
      <c r="AL783" s="358"/>
      <c r="AM783" s="358"/>
      <c r="AN783" s="358"/>
      <c r="AO783" s="358"/>
      <c r="AP783" s="367"/>
    </row>
    <row r="784">
      <c r="A784" s="418"/>
      <c r="B784" s="418"/>
      <c r="C784" s="418"/>
      <c r="D784" s="418"/>
      <c r="E784" s="418"/>
      <c r="F784" s="418"/>
      <c r="G784" s="367"/>
      <c r="H784" s="418"/>
      <c r="I784" s="418"/>
      <c r="J784" s="418"/>
      <c r="K784" s="418"/>
      <c r="L784" s="420"/>
      <c r="M784" s="420"/>
      <c r="N784" s="420"/>
      <c r="O784" s="420"/>
      <c r="P784" s="420"/>
      <c r="Q784" s="420"/>
      <c r="R784" s="420"/>
      <c r="S784" s="420"/>
      <c r="T784" s="420"/>
      <c r="U784" s="420"/>
      <c r="V784" s="420"/>
      <c r="W784" s="420"/>
      <c r="X784" s="420"/>
      <c r="Y784" s="420"/>
      <c r="Z784" s="367"/>
      <c r="AA784" s="420"/>
      <c r="AB784" s="420"/>
      <c r="AC784" s="420"/>
      <c r="AD784" s="420"/>
      <c r="AE784" s="420"/>
      <c r="AF784" s="367"/>
      <c r="AG784" s="420"/>
      <c r="AH784" s="367"/>
      <c r="AI784" s="367"/>
      <c r="AJ784" s="367"/>
      <c r="AK784" s="358"/>
      <c r="AL784" s="358"/>
      <c r="AM784" s="358"/>
      <c r="AN784" s="358"/>
      <c r="AO784" s="358"/>
      <c r="AP784" s="367"/>
    </row>
    <row r="785">
      <c r="A785" s="418"/>
      <c r="B785" s="418"/>
      <c r="C785" s="418"/>
      <c r="D785" s="418"/>
      <c r="E785" s="418"/>
      <c r="F785" s="418"/>
      <c r="G785" s="367"/>
      <c r="H785" s="418"/>
      <c r="I785" s="418"/>
      <c r="J785" s="418"/>
      <c r="K785" s="418"/>
      <c r="L785" s="420"/>
      <c r="M785" s="420"/>
      <c r="N785" s="420"/>
      <c r="O785" s="420"/>
      <c r="P785" s="420"/>
      <c r="Q785" s="420"/>
      <c r="R785" s="420"/>
      <c r="S785" s="420"/>
      <c r="T785" s="420"/>
      <c r="U785" s="420"/>
      <c r="V785" s="420"/>
      <c r="W785" s="420"/>
      <c r="X785" s="420"/>
      <c r="Y785" s="420"/>
      <c r="Z785" s="367"/>
      <c r="AA785" s="420"/>
      <c r="AB785" s="420"/>
      <c r="AC785" s="420"/>
      <c r="AD785" s="420"/>
      <c r="AE785" s="420"/>
      <c r="AF785" s="367"/>
      <c r="AG785" s="420"/>
      <c r="AH785" s="367"/>
      <c r="AI785" s="367"/>
      <c r="AJ785" s="367"/>
      <c r="AK785" s="358"/>
      <c r="AL785" s="358"/>
      <c r="AM785" s="358"/>
      <c r="AN785" s="358"/>
      <c r="AO785" s="358"/>
      <c r="AP785" s="367"/>
    </row>
    <row r="786">
      <c r="A786" s="418"/>
      <c r="B786" s="418"/>
      <c r="C786" s="418"/>
      <c r="D786" s="418"/>
      <c r="E786" s="418"/>
      <c r="F786" s="418"/>
      <c r="G786" s="367"/>
      <c r="H786" s="418"/>
      <c r="I786" s="418"/>
      <c r="J786" s="418"/>
      <c r="K786" s="418"/>
      <c r="L786" s="420"/>
      <c r="M786" s="420"/>
      <c r="N786" s="420"/>
      <c r="O786" s="420"/>
      <c r="P786" s="420"/>
      <c r="Q786" s="420"/>
      <c r="R786" s="420"/>
      <c r="S786" s="420"/>
      <c r="T786" s="420"/>
      <c r="U786" s="420"/>
      <c r="V786" s="420"/>
      <c r="W786" s="420"/>
      <c r="X786" s="420"/>
      <c r="Y786" s="420"/>
      <c r="Z786" s="367"/>
      <c r="AA786" s="420"/>
      <c r="AB786" s="420"/>
      <c r="AC786" s="420"/>
      <c r="AD786" s="420"/>
      <c r="AE786" s="420"/>
      <c r="AF786" s="367"/>
      <c r="AG786" s="420"/>
      <c r="AH786" s="367"/>
      <c r="AI786" s="367"/>
      <c r="AJ786" s="367"/>
      <c r="AK786" s="358"/>
      <c r="AL786" s="358"/>
      <c r="AM786" s="358"/>
      <c r="AN786" s="358"/>
      <c r="AO786" s="358"/>
      <c r="AP786" s="367"/>
    </row>
    <row r="787">
      <c r="A787" s="418"/>
      <c r="B787" s="418"/>
      <c r="C787" s="418"/>
      <c r="D787" s="418"/>
      <c r="E787" s="418"/>
      <c r="F787" s="418"/>
      <c r="G787" s="367"/>
      <c r="H787" s="418"/>
      <c r="I787" s="418"/>
      <c r="J787" s="418"/>
      <c r="K787" s="418"/>
      <c r="L787" s="420"/>
      <c r="M787" s="420"/>
      <c r="N787" s="420"/>
      <c r="O787" s="420"/>
      <c r="P787" s="420"/>
      <c r="Q787" s="420"/>
      <c r="R787" s="420"/>
      <c r="S787" s="420"/>
      <c r="T787" s="420"/>
      <c r="U787" s="420"/>
      <c r="V787" s="420"/>
      <c r="W787" s="420"/>
      <c r="X787" s="420"/>
      <c r="Y787" s="420"/>
      <c r="Z787" s="367"/>
      <c r="AA787" s="420"/>
      <c r="AB787" s="420"/>
      <c r="AC787" s="420"/>
      <c r="AD787" s="420"/>
      <c r="AE787" s="420"/>
      <c r="AF787" s="367"/>
      <c r="AG787" s="420"/>
      <c r="AH787" s="367"/>
      <c r="AI787" s="367"/>
      <c r="AJ787" s="367"/>
      <c r="AK787" s="358"/>
      <c r="AL787" s="358"/>
      <c r="AM787" s="358"/>
      <c r="AN787" s="358"/>
      <c r="AO787" s="358"/>
      <c r="AP787" s="367"/>
    </row>
    <row r="788">
      <c r="A788" s="418"/>
      <c r="B788" s="418"/>
      <c r="C788" s="418"/>
      <c r="D788" s="418"/>
      <c r="E788" s="418"/>
      <c r="F788" s="418"/>
      <c r="G788" s="367"/>
      <c r="H788" s="418"/>
      <c r="I788" s="418"/>
      <c r="J788" s="418"/>
      <c r="K788" s="418"/>
      <c r="L788" s="420"/>
      <c r="M788" s="420"/>
      <c r="N788" s="420"/>
      <c r="O788" s="420"/>
      <c r="P788" s="420"/>
      <c r="Q788" s="420"/>
      <c r="R788" s="420"/>
      <c r="S788" s="420"/>
      <c r="T788" s="420"/>
      <c r="U788" s="420"/>
      <c r="V788" s="420"/>
      <c r="W788" s="420"/>
      <c r="X788" s="420"/>
      <c r="Y788" s="420"/>
      <c r="Z788" s="367"/>
      <c r="AA788" s="420"/>
      <c r="AB788" s="420"/>
      <c r="AC788" s="420"/>
      <c r="AD788" s="420"/>
      <c r="AE788" s="420"/>
      <c r="AF788" s="367"/>
      <c r="AG788" s="420"/>
      <c r="AH788" s="367"/>
      <c r="AI788" s="367"/>
      <c r="AJ788" s="367"/>
      <c r="AK788" s="358"/>
      <c r="AL788" s="358"/>
      <c r="AM788" s="358"/>
      <c r="AN788" s="358"/>
      <c r="AO788" s="358"/>
      <c r="AP788" s="367"/>
    </row>
    <row r="789">
      <c r="A789" s="418"/>
      <c r="B789" s="418"/>
      <c r="C789" s="418"/>
      <c r="D789" s="418"/>
      <c r="E789" s="418"/>
      <c r="F789" s="418"/>
      <c r="G789" s="367"/>
      <c r="H789" s="418"/>
      <c r="I789" s="418"/>
      <c r="J789" s="418"/>
      <c r="K789" s="418"/>
      <c r="L789" s="420"/>
      <c r="M789" s="420"/>
      <c r="N789" s="420"/>
      <c r="O789" s="420"/>
      <c r="P789" s="420"/>
      <c r="Q789" s="420"/>
      <c r="R789" s="420"/>
      <c r="S789" s="420"/>
      <c r="T789" s="420"/>
      <c r="U789" s="420"/>
      <c r="V789" s="420"/>
      <c r="W789" s="420"/>
      <c r="X789" s="420"/>
      <c r="Y789" s="420"/>
      <c r="Z789" s="367"/>
      <c r="AA789" s="420"/>
      <c r="AB789" s="420"/>
      <c r="AC789" s="420"/>
      <c r="AD789" s="420"/>
      <c r="AE789" s="420"/>
      <c r="AF789" s="367"/>
      <c r="AG789" s="420"/>
      <c r="AH789" s="367"/>
      <c r="AI789" s="367"/>
      <c r="AJ789" s="367"/>
      <c r="AK789" s="358"/>
      <c r="AL789" s="358"/>
      <c r="AM789" s="358"/>
      <c r="AN789" s="358"/>
      <c r="AO789" s="358"/>
      <c r="AP789" s="367"/>
    </row>
    <row r="790">
      <c r="A790" s="418"/>
      <c r="B790" s="418"/>
      <c r="C790" s="418"/>
      <c r="D790" s="418"/>
      <c r="E790" s="418"/>
      <c r="F790" s="418"/>
      <c r="G790" s="367"/>
      <c r="H790" s="418"/>
      <c r="I790" s="418"/>
      <c r="J790" s="418"/>
      <c r="K790" s="418"/>
      <c r="L790" s="420"/>
      <c r="M790" s="420"/>
      <c r="N790" s="420"/>
      <c r="O790" s="420"/>
      <c r="P790" s="420"/>
      <c r="Q790" s="420"/>
      <c r="R790" s="420"/>
      <c r="S790" s="420"/>
      <c r="T790" s="420"/>
      <c r="U790" s="420"/>
      <c r="V790" s="420"/>
      <c r="W790" s="420"/>
      <c r="X790" s="420"/>
      <c r="Y790" s="420"/>
      <c r="Z790" s="367"/>
      <c r="AA790" s="420"/>
      <c r="AB790" s="420"/>
      <c r="AC790" s="420"/>
      <c r="AD790" s="420"/>
      <c r="AE790" s="420"/>
      <c r="AF790" s="367"/>
      <c r="AG790" s="420"/>
      <c r="AH790" s="367"/>
      <c r="AI790" s="367"/>
      <c r="AJ790" s="367"/>
      <c r="AK790" s="358"/>
      <c r="AL790" s="358"/>
      <c r="AM790" s="358"/>
      <c r="AN790" s="358"/>
      <c r="AO790" s="358"/>
      <c r="AP790" s="367"/>
    </row>
    <row r="791">
      <c r="A791" s="418"/>
      <c r="B791" s="418"/>
      <c r="C791" s="418"/>
      <c r="D791" s="418"/>
      <c r="E791" s="418"/>
      <c r="F791" s="418"/>
      <c r="G791" s="367"/>
      <c r="H791" s="418"/>
      <c r="I791" s="418"/>
      <c r="J791" s="418"/>
      <c r="K791" s="418"/>
      <c r="L791" s="420"/>
      <c r="M791" s="420"/>
      <c r="N791" s="420"/>
      <c r="O791" s="420"/>
      <c r="P791" s="420"/>
      <c r="Q791" s="420"/>
      <c r="R791" s="420"/>
      <c r="S791" s="420"/>
      <c r="T791" s="420"/>
      <c r="U791" s="420"/>
      <c r="V791" s="420"/>
      <c r="W791" s="420"/>
      <c r="X791" s="420"/>
      <c r="Y791" s="420"/>
      <c r="Z791" s="367"/>
      <c r="AA791" s="420"/>
      <c r="AB791" s="420"/>
      <c r="AC791" s="420"/>
      <c r="AD791" s="420"/>
      <c r="AE791" s="420"/>
      <c r="AF791" s="367"/>
      <c r="AG791" s="420"/>
      <c r="AH791" s="367"/>
      <c r="AI791" s="367"/>
      <c r="AJ791" s="367"/>
      <c r="AK791" s="358"/>
      <c r="AL791" s="358"/>
      <c r="AM791" s="358"/>
      <c r="AN791" s="358"/>
      <c r="AO791" s="358"/>
      <c r="AP791" s="367"/>
    </row>
    <row r="792">
      <c r="A792" s="418"/>
      <c r="B792" s="418"/>
      <c r="C792" s="418"/>
      <c r="D792" s="418"/>
      <c r="E792" s="418"/>
      <c r="F792" s="418"/>
      <c r="G792" s="367"/>
      <c r="H792" s="418"/>
      <c r="I792" s="418"/>
      <c r="J792" s="418"/>
      <c r="K792" s="418"/>
      <c r="L792" s="420"/>
      <c r="M792" s="420"/>
      <c r="N792" s="420"/>
      <c r="O792" s="420"/>
      <c r="P792" s="420"/>
      <c r="Q792" s="420"/>
      <c r="R792" s="420"/>
      <c r="S792" s="420"/>
      <c r="T792" s="420"/>
      <c r="U792" s="420"/>
      <c r="V792" s="420"/>
      <c r="W792" s="420"/>
      <c r="X792" s="420"/>
      <c r="Y792" s="420"/>
      <c r="Z792" s="367"/>
      <c r="AA792" s="420"/>
      <c r="AB792" s="420"/>
      <c r="AC792" s="420"/>
      <c r="AD792" s="420"/>
      <c r="AE792" s="420"/>
      <c r="AF792" s="367"/>
      <c r="AG792" s="420"/>
      <c r="AH792" s="367"/>
      <c r="AI792" s="367"/>
      <c r="AJ792" s="367"/>
      <c r="AK792" s="358"/>
      <c r="AL792" s="358"/>
      <c r="AM792" s="358"/>
      <c r="AN792" s="358"/>
      <c r="AO792" s="358"/>
      <c r="AP792" s="367"/>
    </row>
    <row r="793">
      <c r="A793" s="418"/>
      <c r="B793" s="418"/>
      <c r="C793" s="418"/>
      <c r="D793" s="418"/>
      <c r="E793" s="418"/>
      <c r="F793" s="418"/>
      <c r="G793" s="367"/>
      <c r="H793" s="418"/>
      <c r="I793" s="418"/>
      <c r="J793" s="418"/>
      <c r="K793" s="418"/>
      <c r="L793" s="420"/>
      <c r="M793" s="420"/>
      <c r="N793" s="420"/>
      <c r="O793" s="420"/>
      <c r="P793" s="420"/>
      <c r="Q793" s="420"/>
      <c r="R793" s="420"/>
      <c r="S793" s="420"/>
      <c r="T793" s="420"/>
      <c r="U793" s="420"/>
      <c r="V793" s="420"/>
      <c r="W793" s="420"/>
      <c r="X793" s="420"/>
      <c r="Y793" s="420"/>
      <c r="Z793" s="367"/>
      <c r="AA793" s="420"/>
      <c r="AB793" s="420"/>
      <c r="AC793" s="420"/>
      <c r="AD793" s="420"/>
      <c r="AE793" s="420"/>
      <c r="AF793" s="367"/>
      <c r="AG793" s="420"/>
      <c r="AH793" s="367"/>
      <c r="AI793" s="367"/>
      <c r="AJ793" s="367"/>
      <c r="AK793" s="358"/>
      <c r="AL793" s="358"/>
      <c r="AM793" s="358"/>
      <c r="AN793" s="358"/>
      <c r="AO793" s="358"/>
      <c r="AP793" s="367"/>
    </row>
    <row r="794">
      <c r="A794" s="418"/>
      <c r="B794" s="418"/>
      <c r="C794" s="418"/>
      <c r="D794" s="418"/>
      <c r="E794" s="418"/>
      <c r="F794" s="418"/>
      <c r="G794" s="367"/>
      <c r="H794" s="418"/>
      <c r="I794" s="418"/>
      <c r="J794" s="418"/>
      <c r="K794" s="418"/>
      <c r="L794" s="420"/>
      <c r="M794" s="420"/>
      <c r="N794" s="420"/>
      <c r="O794" s="420"/>
      <c r="P794" s="420"/>
      <c r="Q794" s="420"/>
      <c r="R794" s="420"/>
      <c r="S794" s="420"/>
      <c r="T794" s="420"/>
      <c r="U794" s="420"/>
      <c r="V794" s="420"/>
      <c r="W794" s="420"/>
      <c r="X794" s="420"/>
      <c r="Y794" s="420"/>
      <c r="Z794" s="367"/>
      <c r="AA794" s="420"/>
      <c r="AB794" s="420"/>
      <c r="AC794" s="420"/>
      <c r="AD794" s="420"/>
      <c r="AE794" s="420"/>
      <c r="AF794" s="367"/>
      <c r="AG794" s="420"/>
      <c r="AH794" s="367"/>
      <c r="AI794" s="367"/>
      <c r="AJ794" s="367"/>
      <c r="AK794" s="358"/>
      <c r="AL794" s="358"/>
      <c r="AM794" s="358"/>
      <c r="AN794" s="358"/>
      <c r="AO794" s="358"/>
      <c r="AP794" s="367"/>
    </row>
    <row r="795">
      <c r="A795" s="418"/>
      <c r="B795" s="418"/>
      <c r="C795" s="418"/>
      <c r="D795" s="418"/>
      <c r="E795" s="418"/>
      <c r="F795" s="418"/>
      <c r="G795" s="367"/>
      <c r="H795" s="418"/>
      <c r="I795" s="418"/>
      <c r="J795" s="418"/>
      <c r="K795" s="418"/>
      <c r="L795" s="420"/>
      <c r="M795" s="420"/>
      <c r="N795" s="420"/>
      <c r="O795" s="420"/>
      <c r="P795" s="420"/>
      <c r="Q795" s="420"/>
      <c r="R795" s="420"/>
      <c r="S795" s="420"/>
      <c r="T795" s="420"/>
      <c r="U795" s="420"/>
      <c r="V795" s="420"/>
      <c r="W795" s="420"/>
      <c r="X795" s="420"/>
      <c r="Y795" s="420"/>
      <c r="Z795" s="367"/>
      <c r="AA795" s="420"/>
      <c r="AB795" s="420"/>
      <c r="AC795" s="420"/>
      <c r="AD795" s="420"/>
      <c r="AE795" s="420"/>
      <c r="AF795" s="367"/>
      <c r="AG795" s="420"/>
      <c r="AH795" s="367"/>
      <c r="AI795" s="367"/>
      <c r="AJ795" s="367"/>
      <c r="AK795" s="358"/>
      <c r="AL795" s="358"/>
      <c r="AM795" s="358"/>
      <c r="AN795" s="358"/>
      <c r="AO795" s="358"/>
      <c r="AP795" s="367"/>
    </row>
    <row r="796">
      <c r="A796" s="418"/>
      <c r="B796" s="418"/>
      <c r="C796" s="418"/>
      <c r="D796" s="418"/>
      <c r="E796" s="418"/>
      <c r="F796" s="418"/>
      <c r="G796" s="367"/>
      <c r="H796" s="418"/>
      <c r="I796" s="418"/>
      <c r="J796" s="418"/>
      <c r="K796" s="418"/>
      <c r="L796" s="420"/>
      <c r="M796" s="420"/>
      <c r="N796" s="420"/>
      <c r="O796" s="420"/>
      <c r="P796" s="420"/>
      <c r="Q796" s="420"/>
      <c r="R796" s="420"/>
      <c r="S796" s="420"/>
      <c r="T796" s="420"/>
      <c r="U796" s="420"/>
      <c r="V796" s="420"/>
      <c r="W796" s="420"/>
      <c r="X796" s="420"/>
      <c r="Y796" s="420"/>
      <c r="Z796" s="367"/>
      <c r="AA796" s="420"/>
      <c r="AB796" s="420"/>
      <c r="AC796" s="420"/>
      <c r="AD796" s="420"/>
      <c r="AE796" s="420"/>
      <c r="AF796" s="367"/>
      <c r="AG796" s="420"/>
      <c r="AH796" s="367"/>
      <c r="AI796" s="367"/>
      <c r="AJ796" s="367"/>
      <c r="AK796" s="358"/>
      <c r="AL796" s="358"/>
      <c r="AM796" s="358"/>
      <c r="AN796" s="358"/>
      <c r="AO796" s="358"/>
      <c r="AP796" s="367"/>
    </row>
    <row r="797">
      <c r="A797" s="418"/>
      <c r="B797" s="418"/>
      <c r="C797" s="418"/>
      <c r="D797" s="418"/>
      <c r="E797" s="418"/>
      <c r="F797" s="418"/>
      <c r="G797" s="367"/>
      <c r="H797" s="418"/>
      <c r="I797" s="418"/>
      <c r="J797" s="418"/>
      <c r="K797" s="418"/>
      <c r="L797" s="420"/>
      <c r="M797" s="420"/>
      <c r="N797" s="420"/>
      <c r="O797" s="420"/>
      <c r="P797" s="420"/>
      <c r="Q797" s="420"/>
      <c r="R797" s="420"/>
      <c r="S797" s="420"/>
      <c r="T797" s="420"/>
      <c r="U797" s="420"/>
      <c r="V797" s="420"/>
      <c r="W797" s="420"/>
      <c r="X797" s="420"/>
      <c r="Y797" s="420"/>
      <c r="Z797" s="367"/>
      <c r="AA797" s="420"/>
      <c r="AB797" s="420"/>
      <c r="AC797" s="420"/>
      <c r="AD797" s="420"/>
      <c r="AE797" s="420"/>
      <c r="AF797" s="367"/>
      <c r="AG797" s="420"/>
      <c r="AH797" s="367"/>
      <c r="AI797" s="367"/>
      <c r="AJ797" s="367"/>
      <c r="AK797" s="358"/>
      <c r="AL797" s="358"/>
      <c r="AM797" s="358"/>
      <c r="AN797" s="358"/>
      <c r="AO797" s="358"/>
      <c r="AP797" s="367"/>
    </row>
  </sheetData>
  <mergeCells count="12">
    <mergeCell ref="D1:D2"/>
    <mergeCell ref="B3:D3"/>
    <mergeCell ref="E3:G3"/>
    <mergeCell ref="B4:D4"/>
    <mergeCell ref="E4:G4"/>
    <mergeCell ref="F1:F2"/>
    <mergeCell ref="G1:G2"/>
    <mergeCell ref="H1:K1"/>
    <mergeCell ref="L1:O1"/>
    <mergeCell ref="P1:R1"/>
    <mergeCell ref="T1:Z1"/>
    <mergeCell ref="AA1:AH1"/>
  </mergeCells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7" t="s">
        <v>379</v>
      </c>
      <c r="B2" s="39">
        <v>0.0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 t="s">
        <v>1348</v>
      </c>
      <c r="B3" s="39">
        <v>0.0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 t="s">
        <v>378</v>
      </c>
      <c r="B4" s="39">
        <v>0.0</v>
      </c>
      <c r="C4" s="7"/>
      <c r="D4" s="7"/>
      <c r="E4" s="479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 t="s">
        <v>380</v>
      </c>
      <c r="B5" s="39">
        <v>0.0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 t="s">
        <v>636</v>
      </c>
      <c r="B6" s="39">
        <v>26.0</v>
      </c>
      <c r="C6" s="7"/>
      <c r="D6" s="7"/>
      <c r="E6" s="7"/>
      <c r="F6" s="7"/>
      <c r="G6" s="7" t="s">
        <v>3755</v>
      </c>
      <c r="H6" s="39">
        <v>74.0</v>
      </c>
      <c r="I6" s="39">
        <v>76.0</v>
      </c>
      <c r="J6" s="39">
        <v>70.0</v>
      </c>
      <c r="K6" s="39">
        <v>70.0</v>
      </c>
      <c r="L6" s="39">
        <v>44.0</v>
      </c>
      <c r="M6" s="39">
        <v>13.0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 t="s">
        <v>1349</v>
      </c>
      <c r="B7" s="39">
        <v>26.0</v>
      </c>
      <c r="C7" s="7"/>
      <c r="D7" s="7"/>
      <c r="E7" s="7"/>
      <c r="F7" s="7"/>
      <c r="G7" s="7" t="s">
        <v>3755</v>
      </c>
      <c r="H7" s="39">
        <v>0.0</v>
      </c>
      <c r="I7" s="39">
        <v>0.0</v>
      </c>
      <c r="J7" s="39">
        <v>0.0</v>
      </c>
      <c r="K7" s="39">
        <v>0.0</v>
      </c>
      <c r="L7" s="39">
        <v>0.0</v>
      </c>
      <c r="M7" s="39">
        <v>0.0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 t="s">
        <v>883</v>
      </c>
      <c r="B8" s="39">
        <v>55.0</v>
      </c>
      <c r="C8" s="7"/>
      <c r="D8" s="7"/>
      <c r="E8" s="7"/>
      <c r="F8" s="7"/>
      <c r="G8" s="7"/>
      <c r="H8" s="39">
        <v>81.0</v>
      </c>
      <c r="I8" s="39">
        <v>91.0</v>
      </c>
      <c r="J8" s="39">
        <v>70.0</v>
      </c>
      <c r="K8" s="39">
        <v>70.0</v>
      </c>
      <c r="L8" s="39">
        <v>50.0</v>
      </c>
      <c r="M8" s="39">
        <v>50.0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 t="s">
        <v>884</v>
      </c>
      <c r="B9" s="39">
        <v>55.0</v>
      </c>
      <c r="C9" s="7"/>
      <c r="D9" s="7"/>
      <c r="E9" s="7"/>
      <c r="F9" s="7"/>
      <c r="G9" s="7"/>
      <c r="H9" s="39">
        <v>79.0</v>
      </c>
      <c r="I9" s="39">
        <v>92.0</v>
      </c>
      <c r="J9" s="39">
        <v>81.0</v>
      </c>
      <c r="K9" s="39">
        <v>70.0</v>
      </c>
      <c r="L9" s="39">
        <v>59.0</v>
      </c>
      <c r="M9" s="39">
        <v>45.0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 t="s">
        <v>885</v>
      </c>
      <c r="B10" s="39">
        <v>54.0</v>
      </c>
      <c r="C10" s="7"/>
      <c r="D10" s="7"/>
      <c r="E10" s="7"/>
      <c r="F10" s="7"/>
      <c r="G10" s="7"/>
      <c r="H10" s="39">
        <v>72.0</v>
      </c>
      <c r="I10" s="39">
        <v>83.0</v>
      </c>
      <c r="J10" s="39">
        <v>70.0</v>
      </c>
      <c r="K10" s="39">
        <v>70.0</v>
      </c>
      <c r="L10" s="39">
        <v>50.0</v>
      </c>
      <c r="M10" s="39">
        <v>22.0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 t="s">
        <v>886</v>
      </c>
      <c r="B11" s="39">
        <v>65.0</v>
      </c>
      <c r="C11" s="7"/>
      <c r="D11" s="7"/>
      <c r="E11" s="7"/>
      <c r="F11" s="7"/>
      <c r="G11" s="7"/>
      <c r="H11" s="39">
        <v>71.0</v>
      </c>
      <c r="I11" s="39">
        <v>80.0</v>
      </c>
      <c r="J11" s="39">
        <v>53.0</v>
      </c>
      <c r="K11" s="39">
        <v>70.0</v>
      </c>
      <c r="L11" s="39">
        <v>50.0</v>
      </c>
      <c r="M11" s="39">
        <v>50.0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 t="s">
        <v>887</v>
      </c>
      <c r="B12" s="39">
        <v>53.0</v>
      </c>
      <c r="C12" s="7"/>
      <c r="D12" s="7"/>
      <c r="E12" s="7"/>
      <c r="F12" s="7"/>
      <c r="G12" s="7"/>
      <c r="H12" s="39">
        <v>79.0</v>
      </c>
      <c r="I12" s="39">
        <v>94.0</v>
      </c>
      <c r="J12" s="39">
        <v>70.0</v>
      </c>
      <c r="K12" s="39">
        <v>70.0</v>
      </c>
      <c r="L12" s="39">
        <v>54.0</v>
      </c>
      <c r="M12" s="39">
        <v>50.0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 t="s">
        <v>888</v>
      </c>
      <c r="B13" s="39">
        <v>23.0</v>
      </c>
      <c r="C13" s="7"/>
      <c r="D13" s="7"/>
      <c r="E13" s="7"/>
      <c r="F13" s="7"/>
      <c r="G13" s="7"/>
      <c r="H13" s="39">
        <v>84.0</v>
      </c>
      <c r="I13" s="39">
        <v>83.0</v>
      </c>
      <c r="J13" s="39">
        <v>70.0</v>
      </c>
      <c r="K13" s="39">
        <v>70.0</v>
      </c>
      <c r="L13" s="39">
        <v>14.0</v>
      </c>
      <c r="M13" s="39">
        <v>29.0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 t="s">
        <v>889</v>
      </c>
      <c r="B14" s="39">
        <v>0.0</v>
      </c>
      <c r="C14" s="7"/>
      <c r="D14" s="7"/>
      <c r="E14" s="7"/>
      <c r="F14" s="7"/>
      <c r="G14" s="7"/>
      <c r="H14" s="39">
        <v>65.0</v>
      </c>
      <c r="I14" s="39">
        <v>69.0</v>
      </c>
      <c r="J14" s="39">
        <v>48.0</v>
      </c>
      <c r="K14" s="39">
        <v>34.0</v>
      </c>
      <c r="L14" s="39">
        <v>17.0</v>
      </c>
      <c r="M14" s="39">
        <v>50.0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 t="s">
        <v>890</v>
      </c>
      <c r="B15" s="39">
        <v>73.0</v>
      </c>
      <c r="C15" s="7"/>
      <c r="D15" s="7"/>
      <c r="E15" s="7"/>
      <c r="F15" s="7"/>
      <c r="G15" s="7"/>
      <c r="H15" s="39">
        <v>70.0</v>
      </c>
      <c r="I15" s="39">
        <v>78.0</v>
      </c>
      <c r="J15" s="39">
        <v>70.0</v>
      </c>
      <c r="K15" s="39">
        <v>70.0</v>
      </c>
      <c r="L15" s="39">
        <v>36.0</v>
      </c>
      <c r="M15" s="39">
        <v>19.0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 t="s">
        <v>891</v>
      </c>
      <c r="B16" s="39">
        <v>65.0</v>
      </c>
      <c r="C16" s="7"/>
      <c r="D16" s="7"/>
      <c r="E16" s="7"/>
      <c r="F16" s="7"/>
      <c r="G16" s="7"/>
      <c r="H16" s="39">
        <v>70.0</v>
      </c>
      <c r="I16" s="39">
        <v>87.0</v>
      </c>
      <c r="J16" s="39">
        <v>70.0</v>
      </c>
      <c r="K16" s="39">
        <v>70.0</v>
      </c>
      <c r="L16" s="39">
        <v>50.0</v>
      </c>
      <c r="M16" s="39">
        <v>25.0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 t="s">
        <v>892</v>
      </c>
      <c r="B17" s="39">
        <v>0.0</v>
      </c>
      <c r="C17" s="7"/>
      <c r="D17" s="7"/>
      <c r="E17" s="7"/>
      <c r="F17" s="7"/>
      <c r="G17" s="7"/>
      <c r="H17" s="39">
        <v>65.0</v>
      </c>
      <c r="I17" s="39">
        <v>77.0</v>
      </c>
      <c r="J17" s="39">
        <v>17.0</v>
      </c>
      <c r="K17" s="39">
        <v>14.0</v>
      </c>
      <c r="L17" s="39">
        <v>27.0</v>
      </c>
      <c r="M17" s="39">
        <v>50.0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 t="s">
        <v>893</v>
      </c>
      <c r="B18" s="39">
        <v>50.0</v>
      </c>
      <c r="C18" s="7"/>
      <c r="D18" s="7"/>
      <c r="E18" s="7"/>
      <c r="F18" s="7"/>
      <c r="G18" s="7"/>
      <c r="H18" s="39">
        <v>75.0</v>
      </c>
      <c r="I18" s="39">
        <v>81.0</v>
      </c>
      <c r="J18" s="39">
        <v>54.0</v>
      </c>
      <c r="K18" s="39">
        <v>70.0</v>
      </c>
      <c r="L18" s="39">
        <v>50.0</v>
      </c>
      <c r="M18" s="39">
        <v>50.0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 t="s">
        <v>894</v>
      </c>
      <c r="B19" s="39">
        <v>58.0</v>
      </c>
      <c r="C19" s="7"/>
      <c r="D19" s="7"/>
      <c r="E19" s="7"/>
      <c r="F19" s="7"/>
      <c r="G19" s="7"/>
      <c r="H19" s="39">
        <v>74.0</v>
      </c>
      <c r="I19" s="39">
        <v>83.0</v>
      </c>
      <c r="J19" s="39">
        <v>78.0</v>
      </c>
      <c r="K19" s="39">
        <v>70.0</v>
      </c>
      <c r="L19" s="39">
        <v>50.0</v>
      </c>
      <c r="M19" s="39">
        <v>50.0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 t="s">
        <v>895</v>
      </c>
      <c r="B20" s="39">
        <v>50.0</v>
      </c>
      <c r="C20" s="7"/>
      <c r="D20" s="7"/>
      <c r="E20" s="7"/>
      <c r="F20" s="7"/>
      <c r="G20" s="7"/>
      <c r="H20" s="39">
        <v>83.0</v>
      </c>
      <c r="I20" s="39">
        <v>87.0</v>
      </c>
      <c r="J20" s="39">
        <v>70.0</v>
      </c>
      <c r="K20" s="39">
        <v>70.0</v>
      </c>
      <c r="L20" s="39">
        <v>50.0</v>
      </c>
      <c r="M20" s="39">
        <v>51.0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 t="s">
        <v>896</v>
      </c>
      <c r="B21" s="39">
        <v>0.0</v>
      </c>
      <c r="C21" s="7"/>
      <c r="D21" s="7"/>
      <c r="E21" s="7"/>
      <c r="F21" s="7"/>
      <c r="G21" s="7"/>
      <c r="H21" s="39">
        <v>71.0</v>
      </c>
      <c r="I21" s="39">
        <v>84.0</v>
      </c>
      <c r="J21" s="39">
        <v>9.0</v>
      </c>
      <c r="K21" s="39">
        <v>6.0</v>
      </c>
      <c r="L21" s="39">
        <v>28.0</v>
      </c>
      <c r="M21" s="39">
        <v>0.0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 t="s">
        <v>897</v>
      </c>
      <c r="B22" s="39">
        <v>57.0</v>
      </c>
      <c r="C22" s="7"/>
      <c r="D22" s="7"/>
      <c r="E22" s="7"/>
      <c r="F22" s="7"/>
      <c r="G22" s="7"/>
      <c r="H22" s="39">
        <v>70.0</v>
      </c>
      <c r="I22" s="39">
        <v>79.0</v>
      </c>
      <c r="J22" s="39">
        <v>35.0</v>
      </c>
      <c r="K22" s="39">
        <v>70.0</v>
      </c>
      <c r="L22" s="39">
        <v>19.0</v>
      </c>
      <c r="M22" s="39">
        <v>0.0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 t="s">
        <v>898</v>
      </c>
      <c r="B23" s="39">
        <v>0.0</v>
      </c>
      <c r="C23" s="7"/>
      <c r="D23" s="7"/>
      <c r="E23" s="7"/>
      <c r="F23" s="7"/>
      <c r="G23" s="7"/>
      <c r="H23" s="39">
        <v>82.0</v>
      </c>
      <c r="I23" s="39">
        <v>90.0</v>
      </c>
      <c r="J23" s="39">
        <v>40.0</v>
      </c>
      <c r="K23" s="39">
        <v>39.0</v>
      </c>
      <c r="L23" s="39">
        <v>48.0</v>
      </c>
      <c r="M23" s="39">
        <v>43.0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 t="s">
        <v>899</v>
      </c>
      <c r="B24" s="39">
        <v>59.0</v>
      </c>
      <c r="C24" s="7"/>
      <c r="D24" s="7"/>
      <c r="E24" s="7"/>
      <c r="F24" s="7"/>
      <c r="G24" s="7"/>
      <c r="H24" s="39">
        <v>73.0</v>
      </c>
      <c r="I24" s="39">
        <v>83.0</v>
      </c>
      <c r="J24" s="39">
        <v>70.0</v>
      </c>
      <c r="K24" s="39">
        <v>70.0</v>
      </c>
      <c r="L24" s="39">
        <v>50.0</v>
      </c>
      <c r="M24" s="39">
        <v>50.0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 t="s">
        <v>900</v>
      </c>
      <c r="B25" s="39">
        <v>50.0</v>
      </c>
      <c r="C25" s="39" t="str">
        <f t="shared" ref="C25:C27" si="1">vlookup(A25,Sheet2!$1:$1000,2,False)</f>
        <v>#REF!</v>
      </c>
      <c r="D25" s="7"/>
      <c r="E25" s="7"/>
      <c r="F25" s="7"/>
      <c r="G25" s="7"/>
      <c r="H25" s="39">
        <v>72.0</v>
      </c>
      <c r="I25" s="39">
        <v>92.0</v>
      </c>
      <c r="J25" s="39">
        <v>64.0</v>
      </c>
      <c r="K25" s="39">
        <v>70.0</v>
      </c>
      <c r="L25" s="39">
        <v>50.0</v>
      </c>
      <c r="M25" s="39">
        <v>50.0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 t="s">
        <v>901</v>
      </c>
      <c r="B26" s="39">
        <v>50.0</v>
      </c>
      <c r="C26" s="39" t="str">
        <f t="shared" si="1"/>
        <v>#REF!</v>
      </c>
      <c r="D26" s="7"/>
      <c r="E26" s="7"/>
      <c r="F26" s="7"/>
      <c r="G26" s="7"/>
      <c r="H26" s="39">
        <v>72.0</v>
      </c>
      <c r="I26" s="39">
        <v>78.0</v>
      </c>
      <c r="J26" s="39">
        <v>71.0</v>
      </c>
      <c r="K26" s="39">
        <v>70.0</v>
      </c>
      <c r="L26" s="39">
        <v>50.0</v>
      </c>
      <c r="M26" s="39">
        <v>50.0</v>
      </c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 t="s">
        <v>902</v>
      </c>
      <c r="B27" s="39">
        <v>50.0</v>
      </c>
      <c r="C27" s="39" t="str">
        <f t="shared" si="1"/>
        <v>#REF!</v>
      </c>
      <c r="D27" s="7"/>
      <c r="E27" s="7"/>
      <c r="F27" s="7"/>
      <c r="G27" s="7"/>
      <c r="H27" s="39">
        <v>82.0</v>
      </c>
      <c r="I27" s="39">
        <v>95.0</v>
      </c>
      <c r="J27" s="39">
        <v>77.0</v>
      </c>
      <c r="K27" s="39">
        <v>82.0</v>
      </c>
      <c r="L27" s="39">
        <v>50.0</v>
      </c>
      <c r="M27" s="39">
        <v>50.0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 t="s">
        <v>903</v>
      </c>
      <c r="B28" s="39">
        <v>0.0</v>
      </c>
      <c r="C28" s="7"/>
      <c r="D28" s="7"/>
      <c r="E28" s="7"/>
      <c r="F28" s="7"/>
      <c r="G28" s="7"/>
      <c r="H28" s="39">
        <v>74.0</v>
      </c>
      <c r="I28" s="39">
        <v>79.0</v>
      </c>
      <c r="J28" s="39">
        <v>50.0</v>
      </c>
      <c r="K28" s="39">
        <v>4.0</v>
      </c>
      <c r="L28" s="39">
        <v>39.0</v>
      </c>
      <c r="M28" s="39">
        <v>0.0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 t="s">
        <v>904</v>
      </c>
      <c r="B29" s="39">
        <v>0.0</v>
      </c>
      <c r="C29" s="7"/>
      <c r="D29" s="7"/>
      <c r="E29" s="7"/>
      <c r="F29" s="7"/>
      <c r="G29" s="7"/>
      <c r="H29" s="39">
        <v>76.0</v>
      </c>
      <c r="I29" s="39">
        <v>75.0</v>
      </c>
      <c r="J29" s="39">
        <v>29.0</v>
      </c>
      <c r="K29" s="39">
        <v>2.0</v>
      </c>
      <c r="L29" s="39">
        <v>33.0</v>
      </c>
      <c r="M29" s="39">
        <v>0.0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 t="s">
        <v>905</v>
      </c>
      <c r="B30" s="39">
        <v>57.0</v>
      </c>
      <c r="C30" s="7"/>
      <c r="D30" s="7"/>
      <c r="E30" s="7"/>
      <c r="F30" s="7"/>
      <c r="G30" s="7"/>
      <c r="H30" s="39">
        <v>70.0</v>
      </c>
      <c r="I30" s="39">
        <v>82.0</v>
      </c>
      <c r="J30" s="39">
        <v>70.0</v>
      </c>
      <c r="K30" s="39">
        <v>70.0</v>
      </c>
      <c r="L30" s="39">
        <v>50.0</v>
      </c>
      <c r="M30" s="39">
        <v>17.0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 t="s">
        <v>906</v>
      </c>
      <c r="B31" s="39">
        <v>51.0</v>
      </c>
      <c r="C31" s="7"/>
      <c r="D31" s="7"/>
      <c r="E31" s="7"/>
      <c r="F31" s="7"/>
      <c r="G31" s="7"/>
      <c r="H31" s="39">
        <v>76.0</v>
      </c>
      <c r="I31" s="39">
        <v>88.0</v>
      </c>
      <c r="J31" s="39">
        <v>77.0</v>
      </c>
      <c r="K31" s="39">
        <v>71.0</v>
      </c>
      <c r="L31" s="39">
        <v>50.0</v>
      </c>
      <c r="M31" s="39">
        <v>43.0</v>
      </c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 t="s">
        <v>907</v>
      </c>
      <c r="B32" s="39">
        <v>53.0</v>
      </c>
      <c r="C32" s="7"/>
      <c r="D32" s="7"/>
      <c r="E32" s="7"/>
      <c r="F32" s="7"/>
      <c r="G32" s="7"/>
      <c r="H32" s="39">
        <v>78.0</v>
      </c>
      <c r="I32" s="39">
        <v>84.0</v>
      </c>
      <c r="J32" s="39">
        <v>71.0</v>
      </c>
      <c r="K32" s="39">
        <v>70.0</v>
      </c>
      <c r="L32" s="39">
        <v>50.0</v>
      </c>
      <c r="M32" s="39">
        <v>50.0</v>
      </c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 t="s">
        <v>908</v>
      </c>
      <c r="B33" s="39">
        <v>0.0</v>
      </c>
      <c r="C33" s="7"/>
      <c r="D33" s="7"/>
      <c r="E33" s="7"/>
      <c r="F33" s="7"/>
      <c r="G33" s="7"/>
      <c r="H33" s="39">
        <v>72.0</v>
      </c>
      <c r="I33" s="39">
        <v>73.0</v>
      </c>
      <c r="J33" s="39">
        <v>35.0</v>
      </c>
      <c r="K33" s="39">
        <v>36.0</v>
      </c>
      <c r="L33" s="39">
        <v>28.0</v>
      </c>
      <c r="M33" s="39">
        <v>12.0</v>
      </c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 t="s">
        <v>909</v>
      </c>
      <c r="B34" s="39">
        <v>38.0</v>
      </c>
      <c r="C34" s="7"/>
      <c r="D34" s="7"/>
      <c r="E34" s="7"/>
      <c r="F34" s="7"/>
      <c r="G34" s="7"/>
      <c r="H34" s="39">
        <v>79.0</v>
      </c>
      <c r="I34" s="39">
        <v>83.0</v>
      </c>
      <c r="J34" s="39">
        <v>76.0</v>
      </c>
      <c r="K34" s="39">
        <v>70.0</v>
      </c>
      <c r="L34" s="39">
        <v>50.0</v>
      </c>
      <c r="M34" s="39">
        <v>50.0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 t="s">
        <v>910</v>
      </c>
      <c r="B35" s="39">
        <v>51.0</v>
      </c>
      <c r="C35" s="7"/>
      <c r="D35" s="7"/>
      <c r="E35" s="7"/>
      <c r="F35" s="7"/>
      <c r="G35" s="7"/>
      <c r="H35" s="39">
        <v>88.0</v>
      </c>
      <c r="I35" s="39">
        <v>73.0</v>
      </c>
      <c r="J35" s="39">
        <v>70.0</v>
      </c>
      <c r="K35" s="39">
        <v>70.0</v>
      </c>
      <c r="L35" s="39">
        <v>50.0</v>
      </c>
      <c r="M35" s="39">
        <v>30.0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 t="s">
        <v>911</v>
      </c>
      <c r="B36" s="39">
        <v>4.0</v>
      </c>
      <c r="C36" s="7"/>
      <c r="D36" s="7"/>
      <c r="E36" s="7"/>
      <c r="F36" s="7"/>
      <c r="G36" s="7"/>
      <c r="H36" s="39">
        <v>71.0</v>
      </c>
      <c r="I36" s="39">
        <v>75.0</v>
      </c>
      <c r="J36" s="39">
        <v>70.0</v>
      </c>
      <c r="K36" s="39">
        <v>51.0</v>
      </c>
      <c r="L36" s="39">
        <v>50.0</v>
      </c>
      <c r="M36" s="39">
        <v>50.0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 t="s">
        <v>912</v>
      </c>
      <c r="B37" s="39">
        <v>50.0</v>
      </c>
      <c r="C37" s="39" t="str">
        <f>vlookup(A37,Sheet2!$1:$1000,2,False)</f>
        <v>#REF!</v>
      </c>
      <c r="D37" s="7"/>
      <c r="E37" s="7"/>
      <c r="F37" s="7"/>
      <c r="G37" s="7"/>
      <c r="H37" s="39">
        <v>74.0</v>
      </c>
      <c r="I37" s="39">
        <v>75.0</v>
      </c>
      <c r="J37" s="39">
        <v>70.0</v>
      </c>
      <c r="K37" s="39">
        <v>70.0</v>
      </c>
      <c r="L37" s="39">
        <v>50.0</v>
      </c>
      <c r="M37" s="39">
        <v>29.0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 t="s">
        <v>913</v>
      </c>
      <c r="B38" s="39">
        <v>10.0</v>
      </c>
      <c r="C38" s="7"/>
      <c r="D38" s="7"/>
      <c r="E38" s="7"/>
      <c r="F38" s="7"/>
      <c r="G38" s="7"/>
      <c r="H38" s="39">
        <v>80.0</v>
      </c>
      <c r="I38" s="39">
        <v>76.0</v>
      </c>
      <c r="J38" s="39">
        <v>56.0</v>
      </c>
      <c r="K38" s="39">
        <v>44.0</v>
      </c>
      <c r="L38" s="39">
        <v>50.0</v>
      </c>
      <c r="M38" s="39">
        <v>7.0</v>
      </c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 t="s">
        <v>914</v>
      </c>
      <c r="B39" s="39">
        <v>58.0</v>
      </c>
      <c r="C39" s="7"/>
      <c r="D39" s="7"/>
      <c r="E39" s="7"/>
      <c r="F39" s="7"/>
      <c r="G39" s="7"/>
      <c r="H39" s="39">
        <v>75.0</v>
      </c>
      <c r="I39" s="39">
        <v>81.0</v>
      </c>
      <c r="J39" s="39">
        <v>70.0</v>
      </c>
      <c r="K39" s="39">
        <v>70.0</v>
      </c>
      <c r="L39" s="39">
        <v>50.0</v>
      </c>
      <c r="M39" s="39">
        <v>25.0</v>
      </c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 t="s">
        <v>915</v>
      </c>
      <c r="B40" s="39">
        <v>60.0</v>
      </c>
      <c r="C40" s="7"/>
      <c r="D40" s="7"/>
      <c r="E40" s="7"/>
      <c r="F40" s="7"/>
      <c r="G40" s="7"/>
      <c r="H40" s="39">
        <v>75.0</v>
      </c>
      <c r="I40" s="39">
        <v>90.0</v>
      </c>
      <c r="J40" s="39">
        <v>70.0</v>
      </c>
      <c r="K40" s="39">
        <v>72.0</v>
      </c>
      <c r="L40" s="39">
        <v>50.0</v>
      </c>
      <c r="M40" s="39">
        <v>55.0</v>
      </c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 t="s">
        <v>916</v>
      </c>
      <c r="B41" s="39">
        <v>54.0</v>
      </c>
      <c r="C41" s="7"/>
      <c r="D41" s="7"/>
      <c r="E41" s="7"/>
      <c r="F41" s="7"/>
      <c r="G41" s="7"/>
      <c r="H41" s="39">
        <v>74.0</v>
      </c>
      <c r="I41" s="39">
        <v>72.0</v>
      </c>
      <c r="J41" s="39">
        <v>57.0</v>
      </c>
      <c r="K41" s="39">
        <v>70.0</v>
      </c>
      <c r="L41" s="39">
        <v>21.0</v>
      </c>
      <c r="M41" s="39">
        <v>50.0</v>
      </c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 t="s">
        <v>917</v>
      </c>
      <c r="B42" s="39">
        <v>50.0</v>
      </c>
      <c r="C42" s="39" t="str">
        <f>vlookup(A42,Sheet2!$1:$1000,2,False)</f>
        <v>#REF!</v>
      </c>
      <c r="D42" s="7"/>
      <c r="E42" s="7"/>
      <c r="F42" s="7"/>
      <c r="G42" s="7"/>
      <c r="H42" s="39">
        <v>74.0</v>
      </c>
      <c r="I42" s="39">
        <v>78.0</v>
      </c>
      <c r="J42" s="39">
        <v>26.0</v>
      </c>
      <c r="K42" s="39">
        <v>70.0</v>
      </c>
      <c r="L42" s="39">
        <v>24.0</v>
      </c>
      <c r="M42" s="39">
        <v>18.0</v>
      </c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 t="s">
        <v>918</v>
      </c>
      <c r="B43" s="39">
        <v>53.0</v>
      </c>
      <c r="C43" s="7"/>
      <c r="D43" s="7"/>
      <c r="E43" s="7"/>
      <c r="F43" s="7"/>
      <c r="G43" s="7"/>
      <c r="H43" s="39">
        <v>73.0</v>
      </c>
      <c r="I43" s="39">
        <v>86.0</v>
      </c>
      <c r="J43" s="39">
        <v>70.0</v>
      </c>
      <c r="K43" s="39">
        <v>70.0</v>
      </c>
      <c r="L43" s="39">
        <v>50.0</v>
      </c>
      <c r="M43" s="39">
        <v>23.0</v>
      </c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 t="s">
        <v>919</v>
      </c>
      <c r="B44" s="39">
        <v>50.0</v>
      </c>
      <c r="C44" s="39" t="str">
        <f>vlookup(A44,Sheet2!$1:$1000,2,False)</f>
        <v>#REF!</v>
      </c>
      <c r="D44" s="7"/>
      <c r="E44" s="7"/>
      <c r="F44" s="7"/>
      <c r="G44" s="7"/>
      <c r="H44" s="39">
        <v>76.0</v>
      </c>
      <c r="I44" s="39">
        <v>84.0</v>
      </c>
      <c r="J44" s="39">
        <v>70.0</v>
      </c>
      <c r="K44" s="39">
        <v>74.0</v>
      </c>
      <c r="L44" s="39">
        <v>38.0</v>
      </c>
      <c r="M44" s="39">
        <v>50.0</v>
      </c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 t="s">
        <v>920</v>
      </c>
      <c r="B45" s="39">
        <v>50.0</v>
      </c>
      <c r="C45" s="7"/>
      <c r="D45" s="7"/>
      <c r="E45" s="7"/>
      <c r="F45" s="7"/>
      <c r="G45" s="7"/>
      <c r="H45" s="39">
        <v>79.0</v>
      </c>
      <c r="I45" s="39">
        <v>86.0</v>
      </c>
      <c r="J45" s="39">
        <v>80.0</v>
      </c>
      <c r="K45" s="39">
        <v>75.0</v>
      </c>
      <c r="L45" s="39">
        <v>50.0</v>
      </c>
      <c r="M45" s="39">
        <v>50.0</v>
      </c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 t="s">
        <v>921</v>
      </c>
      <c r="B46" s="39">
        <v>50.0</v>
      </c>
      <c r="C46" s="39" t="str">
        <f>vlookup(A46,Sheet2!$1:$1000,2,False)</f>
        <v>#REF!</v>
      </c>
      <c r="D46" s="7"/>
      <c r="E46" s="7"/>
      <c r="F46" s="7"/>
      <c r="G46" s="7"/>
      <c r="H46" s="39">
        <v>79.0</v>
      </c>
      <c r="I46" s="39">
        <v>83.0</v>
      </c>
      <c r="J46" s="39">
        <v>79.0</v>
      </c>
      <c r="K46" s="39">
        <v>70.0</v>
      </c>
      <c r="L46" s="39">
        <v>15.0</v>
      </c>
      <c r="M46" s="39">
        <v>50.0</v>
      </c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 t="s">
        <v>922</v>
      </c>
      <c r="B47" s="39">
        <v>60.0</v>
      </c>
      <c r="C47" s="7"/>
      <c r="D47" s="7"/>
      <c r="E47" s="7"/>
      <c r="F47" s="7"/>
      <c r="G47" s="7"/>
      <c r="H47" s="39">
        <v>74.0</v>
      </c>
      <c r="I47" s="39">
        <v>75.0</v>
      </c>
      <c r="J47" s="39">
        <v>70.0</v>
      </c>
      <c r="K47" s="39">
        <v>70.0</v>
      </c>
      <c r="L47" s="39">
        <v>50.0</v>
      </c>
      <c r="M47" s="39">
        <v>50.0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 t="s">
        <v>923</v>
      </c>
      <c r="B48" s="39">
        <v>66.0</v>
      </c>
      <c r="C48" s="7"/>
      <c r="D48" s="7"/>
      <c r="E48" s="7"/>
      <c r="F48" s="7"/>
      <c r="G48" s="7"/>
      <c r="H48" s="39">
        <v>82.0</v>
      </c>
      <c r="I48" s="39">
        <v>92.0</v>
      </c>
      <c r="J48" s="39">
        <v>79.0</v>
      </c>
      <c r="K48" s="39">
        <v>70.0</v>
      </c>
      <c r="L48" s="39">
        <v>52.0</v>
      </c>
      <c r="M48" s="39">
        <v>61.0</v>
      </c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 t="s">
        <v>924</v>
      </c>
      <c r="B49" s="39">
        <v>9.0</v>
      </c>
      <c r="C49" s="7"/>
      <c r="D49" s="7"/>
      <c r="E49" s="7"/>
      <c r="F49" s="7"/>
      <c r="G49" s="7"/>
      <c r="H49" s="39">
        <v>70.0</v>
      </c>
      <c r="I49" s="39">
        <v>81.0</v>
      </c>
      <c r="J49" s="39">
        <v>70.0</v>
      </c>
      <c r="K49" s="39">
        <v>70.0</v>
      </c>
      <c r="L49" s="39">
        <v>29.0</v>
      </c>
      <c r="M49" s="39">
        <v>12.0</v>
      </c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 t="s">
        <v>925</v>
      </c>
      <c r="B50" s="39">
        <v>50.0</v>
      </c>
      <c r="C50" s="39" t="str">
        <f>vlookup(A50,Sheet2!$1:$1000,2,False)</f>
        <v>#REF!</v>
      </c>
      <c r="D50" s="7"/>
      <c r="E50" s="7"/>
      <c r="F50" s="7"/>
      <c r="G50" s="7"/>
      <c r="H50" s="39">
        <v>80.0</v>
      </c>
      <c r="I50" s="39">
        <v>87.0</v>
      </c>
      <c r="J50" s="39">
        <v>70.0</v>
      </c>
      <c r="K50" s="39">
        <v>74.0</v>
      </c>
      <c r="L50" s="39">
        <v>50.0</v>
      </c>
      <c r="M50" s="39">
        <v>19.0</v>
      </c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 t="s">
        <v>926</v>
      </c>
      <c r="B51" s="39">
        <v>52.0</v>
      </c>
      <c r="C51" s="7"/>
      <c r="D51" s="7"/>
      <c r="E51" s="7"/>
      <c r="F51" s="7"/>
      <c r="G51" s="7"/>
      <c r="H51" s="39">
        <v>71.0</v>
      </c>
      <c r="I51" s="39">
        <v>81.0</v>
      </c>
      <c r="J51" s="39">
        <v>70.0</v>
      </c>
      <c r="K51" s="39">
        <v>70.0</v>
      </c>
      <c r="L51" s="39">
        <v>50.0</v>
      </c>
      <c r="M51" s="39">
        <v>10.0</v>
      </c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 t="s">
        <v>927</v>
      </c>
      <c r="B52" s="39">
        <v>50.0</v>
      </c>
      <c r="C52" s="39" t="str">
        <f>vlookup(A52,Sheet2!$1:$1000,2,False)</f>
        <v>#REF!</v>
      </c>
      <c r="D52" s="7"/>
      <c r="E52" s="7"/>
      <c r="F52" s="7"/>
      <c r="G52" s="7"/>
      <c r="H52" s="39">
        <v>71.0</v>
      </c>
      <c r="I52" s="39">
        <v>82.0</v>
      </c>
      <c r="J52" s="39">
        <v>72.0</v>
      </c>
      <c r="K52" s="39">
        <v>70.0</v>
      </c>
      <c r="L52" s="39">
        <v>50.0</v>
      </c>
      <c r="M52" s="39">
        <v>24.0</v>
      </c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 t="s">
        <v>928</v>
      </c>
      <c r="B53" s="39">
        <v>8.0</v>
      </c>
      <c r="C53" s="7"/>
      <c r="D53" s="7"/>
      <c r="E53" s="7"/>
      <c r="F53" s="7"/>
      <c r="G53" s="7"/>
      <c r="H53" s="39">
        <v>88.0</v>
      </c>
      <c r="I53" s="39">
        <v>87.0</v>
      </c>
      <c r="J53" s="39">
        <v>70.0</v>
      </c>
      <c r="K53" s="39">
        <v>70.0</v>
      </c>
      <c r="L53" s="39">
        <v>50.0</v>
      </c>
      <c r="M53" s="39">
        <v>50.0</v>
      </c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 t="s">
        <v>929</v>
      </c>
      <c r="B54" s="39">
        <v>41.0</v>
      </c>
      <c r="C54" s="7"/>
      <c r="D54" s="7"/>
      <c r="E54" s="7"/>
      <c r="F54" s="7"/>
      <c r="G54" s="7"/>
      <c r="H54" s="39">
        <v>70.0</v>
      </c>
      <c r="I54" s="39">
        <v>70.0</v>
      </c>
      <c r="J54" s="39">
        <v>50.0</v>
      </c>
      <c r="K54" s="39">
        <v>70.0</v>
      </c>
      <c r="L54" s="39">
        <v>14.0</v>
      </c>
      <c r="M54" s="39">
        <v>0.0</v>
      </c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 t="s">
        <v>930</v>
      </c>
      <c r="B55" s="39">
        <v>9.0</v>
      </c>
      <c r="C55" s="7"/>
      <c r="D55" s="7"/>
      <c r="E55" s="7"/>
      <c r="F55" s="7"/>
      <c r="G55" s="7"/>
      <c r="H55" s="39">
        <v>79.0</v>
      </c>
      <c r="I55" s="39">
        <v>81.0</v>
      </c>
      <c r="J55" s="39">
        <v>77.0</v>
      </c>
      <c r="K55" s="39">
        <v>70.0</v>
      </c>
      <c r="L55" s="39">
        <v>50.0</v>
      </c>
      <c r="M55" s="39">
        <v>19.0</v>
      </c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 t="s">
        <v>931</v>
      </c>
      <c r="B56" s="39">
        <v>63.0</v>
      </c>
      <c r="C56" s="7"/>
      <c r="D56" s="7"/>
      <c r="E56" s="7"/>
      <c r="F56" s="7"/>
      <c r="G56" s="7"/>
      <c r="H56" s="39">
        <v>70.0</v>
      </c>
      <c r="I56" s="39">
        <v>73.0</v>
      </c>
      <c r="J56" s="39">
        <v>70.0</v>
      </c>
      <c r="K56" s="39">
        <v>70.0</v>
      </c>
      <c r="L56" s="39">
        <v>50.0</v>
      </c>
      <c r="M56" s="39">
        <v>40.0</v>
      </c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 t="s">
        <v>932</v>
      </c>
      <c r="B57" s="39">
        <v>50.0</v>
      </c>
      <c r="C57" s="39" t="str">
        <f>vlookup(A57,Sheet2!$1:$1000,2,False)</f>
        <v>#REF!</v>
      </c>
      <c r="D57" s="7"/>
      <c r="E57" s="7"/>
      <c r="F57" s="7"/>
      <c r="G57" s="7"/>
      <c r="H57" s="39">
        <v>70.0</v>
      </c>
      <c r="I57" s="39">
        <v>81.0</v>
      </c>
      <c r="J57" s="39">
        <v>70.0</v>
      </c>
      <c r="K57" s="39">
        <v>70.0</v>
      </c>
      <c r="L57" s="39">
        <v>11.0</v>
      </c>
      <c r="M57" s="39">
        <v>50.0</v>
      </c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 t="s">
        <v>933</v>
      </c>
      <c r="B58" s="39">
        <v>50.0</v>
      </c>
      <c r="C58" s="7"/>
      <c r="D58" s="7"/>
      <c r="E58" s="7"/>
      <c r="F58" s="7"/>
      <c r="G58" s="7"/>
      <c r="H58" s="39">
        <v>70.0</v>
      </c>
      <c r="I58" s="39">
        <v>79.0</v>
      </c>
      <c r="J58" s="39">
        <v>70.0</v>
      </c>
      <c r="K58" s="39">
        <v>70.0</v>
      </c>
      <c r="L58" s="39">
        <v>50.0</v>
      </c>
      <c r="M58" s="39">
        <v>50.0</v>
      </c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 t="s">
        <v>934</v>
      </c>
      <c r="B59" s="39">
        <v>0.0</v>
      </c>
      <c r="C59" s="7"/>
      <c r="D59" s="7"/>
      <c r="E59" s="7"/>
      <c r="F59" s="7"/>
      <c r="G59" s="7"/>
      <c r="H59" s="39">
        <v>71.0</v>
      </c>
      <c r="I59" s="39">
        <v>79.0</v>
      </c>
      <c r="J59" s="39">
        <v>30.0</v>
      </c>
      <c r="K59" s="39">
        <v>4.0</v>
      </c>
      <c r="L59" s="39">
        <v>14.0</v>
      </c>
      <c r="M59" s="39">
        <v>13.0</v>
      </c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 t="s">
        <v>935</v>
      </c>
      <c r="B60" s="39">
        <v>0.0</v>
      </c>
      <c r="C60" s="7"/>
      <c r="D60" s="7"/>
      <c r="E60" s="7"/>
      <c r="F60" s="7"/>
      <c r="G60" s="7"/>
      <c r="H60" s="39">
        <v>79.0</v>
      </c>
      <c r="I60" s="39">
        <v>92.0</v>
      </c>
      <c r="J60" s="39">
        <v>5.0</v>
      </c>
      <c r="K60" s="39">
        <v>16.0</v>
      </c>
      <c r="L60" s="39">
        <v>11.0</v>
      </c>
      <c r="M60" s="39">
        <v>0.0</v>
      </c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 t="s">
        <v>936</v>
      </c>
      <c r="B61" s="39">
        <v>41.0</v>
      </c>
      <c r="C61" s="39" t="str">
        <f>vlookup(A61,Sheet2!$1:$1000,2,False)</f>
        <v>#REF!</v>
      </c>
      <c r="D61" s="7"/>
      <c r="E61" s="7"/>
      <c r="F61" s="7"/>
      <c r="G61" s="7"/>
      <c r="H61" s="39">
        <v>70.0</v>
      </c>
      <c r="I61" s="39">
        <v>71.0</v>
      </c>
      <c r="J61" s="39">
        <v>70.0</v>
      </c>
      <c r="K61" s="39">
        <v>70.0</v>
      </c>
      <c r="L61" s="39">
        <v>50.0</v>
      </c>
      <c r="M61" s="39">
        <v>50.0</v>
      </c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 t="s">
        <v>937</v>
      </c>
      <c r="B62" s="39">
        <v>6.0</v>
      </c>
      <c r="C62" s="7"/>
      <c r="D62" s="7"/>
      <c r="E62" s="7"/>
      <c r="F62" s="7"/>
      <c r="G62" s="7"/>
      <c r="H62" s="39">
        <v>79.0</v>
      </c>
      <c r="I62" s="39">
        <v>84.0</v>
      </c>
      <c r="J62" s="39">
        <v>82.0</v>
      </c>
      <c r="K62" s="39">
        <v>70.0</v>
      </c>
      <c r="L62" s="39">
        <v>50.0</v>
      </c>
      <c r="M62" s="39">
        <v>20.0</v>
      </c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 t="s">
        <v>938</v>
      </c>
      <c r="B63" s="39">
        <v>50.0</v>
      </c>
      <c r="C63" s="39" t="str">
        <f t="shared" ref="C63:C65" si="2">vlookup(A63,Sheet2!$1:$1000,2,False)</f>
        <v>#REF!</v>
      </c>
      <c r="D63" s="7"/>
      <c r="E63" s="7"/>
      <c r="F63" s="7"/>
      <c r="G63" s="7"/>
      <c r="H63" s="39">
        <v>70.0</v>
      </c>
      <c r="I63" s="39">
        <v>81.0</v>
      </c>
      <c r="J63" s="39">
        <v>73.0</v>
      </c>
      <c r="K63" s="39">
        <v>70.0</v>
      </c>
      <c r="L63" s="39">
        <v>50.0</v>
      </c>
      <c r="M63" s="39">
        <v>50.0</v>
      </c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 t="s">
        <v>939</v>
      </c>
      <c r="B64" s="39">
        <v>50.0</v>
      </c>
      <c r="C64" s="39" t="str">
        <f t="shared" si="2"/>
        <v>#REF!</v>
      </c>
      <c r="D64" s="7"/>
      <c r="E64" s="7"/>
      <c r="F64" s="7"/>
      <c r="G64" s="7"/>
      <c r="H64" s="39">
        <v>77.0</v>
      </c>
      <c r="I64" s="39">
        <v>84.0</v>
      </c>
      <c r="J64" s="39">
        <v>76.0</v>
      </c>
      <c r="K64" s="39">
        <v>70.0</v>
      </c>
      <c r="L64" s="39">
        <v>50.0</v>
      </c>
      <c r="M64" s="39">
        <v>25.0</v>
      </c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 t="s">
        <v>940</v>
      </c>
      <c r="B65" s="39">
        <v>50.0</v>
      </c>
      <c r="C65" s="39" t="str">
        <f t="shared" si="2"/>
        <v>#REF!</v>
      </c>
      <c r="D65" s="7"/>
      <c r="E65" s="7"/>
      <c r="F65" s="7"/>
      <c r="G65" s="7"/>
      <c r="H65" s="39">
        <v>72.0</v>
      </c>
      <c r="I65" s="39">
        <v>84.0</v>
      </c>
      <c r="J65" s="39">
        <v>58.0</v>
      </c>
      <c r="K65" s="39">
        <v>70.0</v>
      </c>
      <c r="L65" s="39">
        <v>42.0</v>
      </c>
      <c r="M65" s="39">
        <v>25.0</v>
      </c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 t="s">
        <v>941</v>
      </c>
      <c r="B66" s="39">
        <v>59.0</v>
      </c>
      <c r="C66" s="7"/>
      <c r="D66" s="7"/>
      <c r="E66" s="7"/>
      <c r="F66" s="7"/>
      <c r="G66" s="7"/>
      <c r="H66" s="39">
        <v>79.0</v>
      </c>
      <c r="I66" s="39">
        <v>83.0</v>
      </c>
      <c r="J66" s="39">
        <v>74.0</v>
      </c>
      <c r="K66" s="39">
        <v>70.0</v>
      </c>
      <c r="L66" s="39">
        <v>50.0</v>
      </c>
      <c r="M66" s="39">
        <v>50.0</v>
      </c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 t="s">
        <v>942</v>
      </c>
      <c r="B67" s="39">
        <v>28.0</v>
      </c>
      <c r="C67" s="7"/>
      <c r="D67" s="7"/>
      <c r="E67" s="7"/>
      <c r="F67" s="7"/>
      <c r="G67" s="7"/>
      <c r="H67" s="39">
        <v>72.0</v>
      </c>
      <c r="I67" s="39">
        <v>84.0</v>
      </c>
      <c r="J67" s="39">
        <v>76.0</v>
      </c>
      <c r="K67" s="39">
        <v>70.0</v>
      </c>
      <c r="L67" s="39">
        <v>48.0</v>
      </c>
      <c r="M67" s="39">
        <v>16.0</v>
      </c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 t="s">
        <v>943</v>
      </c>
      <c r="B68" s="39">
        <v>50.0</v>
      </c>
      <c r="C68" s="39" t="str">
        <f t="shared" ref="C68:C70" si="3">vlookup(A68,Sheet2!$1:$1000,2,False)</f>
        <v>#REF!</v>
      </c>
      <c r="D68" s="7"/>
      <c r="E68" s="7"/>
      <c r="F68" s="7"/>
      <c r="G68" s="7"/>
      <c r="H68" s="39">
        <v>86.0</v>
      </c>
      <c r="I68" s="39">
        <v>92.0</v>
      </c>
      <c r="J68" s="39">
        <v>71.0</v>
      </c>
      <c r="K68" s="39">
        <v>70.0</v>
      </c>
      <c r="L68" s="39">
        <v>50.0</v>
      </c>
      <c r="M68" s="39">
        <v>44.0</v>
      </c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 t="s">
        <v>944</v>
      </c>
      <c r="B69" s="39">
        <v>50.0</v>
      </c>
      <c r="C69" s="39" t="str">
        <f t="shared" si="3"/>
        <v>#REF!</v>
      </c>
      <c r="D69" s="7"/>
      <c r="E69" s="7"/>
      <c r="F69" s="7"/>
      <c r="G69" s="7"/>
      <c r="H69" s="39">
        <v>88.0</v>
      </c>
      <c r="I69" s="39">
        <v>88.0</v>
      </c>
      <c r="J69" s="39">
        <v>77.0</v>
      </c>
      <c r="K69" s="39">
        <v>70.0</v>
      </c>
      <c r="L69" s="39">
        <v>20.0</v>
      </c>
      <c r="M69" s="39">
        <v>50.0</v>
      </c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 t="s">
        <v>945</v>
      </c>
      <c r="B70" s="39">
        <v>50.0</v>
      </c>
      <c r="C70" s="39" t="str">
        <f t="shared" si="3"/>
        <v>#REF!</v>
      </c>
      <c r="D70" s="7"/>
      <c r="E70" s="7"/>
      <c r="F70" s="7"/>
      <c r="G70" s="7"/>
      <c r="H70" s="39">
        <v>70.0</v>
      </c>
      <c r="I70" s="39">
        <v>70.0</v>
      </c>
      <c r="J70" s="39">
        <v>70.0</v>
      </c>
      <c r="K70" s="39">
        <v>70.0</v>
      </c>
      <c r="L70" s="39">
        <v>7.0</v>
      </c>
      <c r="M70" s="39">
        <v>8.0</v>
      </c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 t="s">
        <v>947</v>
      </c>
      <c r="B71" s="39">
        <v>56.0</v>
      </c>
      <c r="C71" s="7"/>
      <c r="D71" s="7"/>
      <c r="E71" s="7"/>
      <c r="F71" s="7"/>
      <c r="G71" s="7"/>
      <c r="H71" s="39">
        <v>84.0</v>
      </c>
      <c r="I71" s="39">
        <v>88.0</v>
      </c>
      <c r="J71" s="39">
        <v>72.0</v>
      </c>
      <c r="K71" s="39">
        <v>70.0</v>
      </c>
      <c r="L71" s="39">
        <v>50.0</v>
      </c>
      <c r="M71" s="39">
        <v>50.0</v>
      </c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 t="s">
        <v>948</v>
      </c>
      <c r="B72" s="39">
        <v>60.0</v>
      </c>
      <c r="C72" s="7"/>
      <c r="D72" s="7"/>
      <c r="E72" s="7"/>
      <c r="F72" s="7"/>
      <c r="G72" s="7"/>
      <c r="H72" s="39">
        <v>78.0</v>
      </c>
      <c r="I72" s="39">
        <v>89.0</v>
      </c>
      <c r="J72" s="39">
        <v>83.0</v>
      </c>
      <c r="K72" s="39">
        <v>70.0</v>
      </c>
      <c r="L72" s="39">
        <v>50.0</v>
      </c>
      <c r="M72" s="39">
        <v>50.0</v>
      </c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 t="s">
        <v>949</v>
      </c>
      <c r="B73" s="39">
        <v>50.0</v>
      </c>
      <c r="C73" s="39" t="str">
        <f t="shared" ref="C73:C74" si="4">vlookup(A73,Sheet2!$1:$1000,2,False)</f>
        <v>#REF!</v>
      </c>
      <c r="D73" s="7"/>
      <c r="E73" s="7"/>
      <c r="F73" s="7"/>
      <c r="G73" s="7"/>
      <c r="H73" s="39">
        <v>74.0</v>
      </c>
      <c r="I73" s="39">
        <v>78.0</v>
      </c>
      <c r="J73" s="39">
        <v>83.0</v>
      </c>
      <c r="K73" s="39">
        <v>83.0</v>
      </c>
      <c r="L73" s="39">
        <v>50.0</v>
      </c>
      <c r="M73" s="39">
        <v>50.0</v>
      </c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 t="s">
        <v>950</v>
      </c>
      <c r="B74" s="39">
        <v>50.0</v>
      </c>
      <c r="C74" s="39" t="str">
        <f t="shared" si="4"/>
        <v>#REF!</v>
      </c>
      <c r="D74" s="7"/>
      <c r="E74" s="7"/>
      <c r="F74" s="7"/>
      <c r="G74" s="7"/>
      <c r="H74" s="39">
        <v>74.0</v>
      </c>
      <c r="I74" s="39">
        <v>92.0</v>
      </c>
      <c r="J74" s="39">
        <v>79.0</v>
      </c>
      <c r="K74" s="39">
        <v>70.0</v>
      </c>
      <c r="L74" s="39">
        <v>50.0</v>
      </c>
      <c r="M74" s="39">
        <v>44.0</v>
      </c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 t="s">
        <v>951</v>
      </c>
      <c r="B75" s="39">
        <v>8.0</v>
      </c>
      <c r="C75" s="7"/>
      <c r="D75" s="7"/>
      <c r="E75" s="7"/>
      <c r="F75" s="7"/>
      <c r="G75" s="7"/>
      <c r="H75" s="39">
        <v>73.0</v>
      </c>
      <c r="I75" s="39">
        <v>77.0</v>
      </c>
      <c r="J75" s="39">
        <v>79.0</v>
      </c>
      <c r="K75" s="39">
        <v>56.0</v>
      </c>
      <c r="L75" s="39">
        <v>33.0</v>
      </c>
      <c r="M75" s="39">
        <v>15.0</v>
      </c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 t="s">
        <v>952</v>
      </c>
      <c r="B76" s="39">
        <v>11.0</v>
      </c>
      <c r="C76" s="7"/>
      <c r="D76" s="7"/>
      <c r="E76" s="7"/>
      <c r="F76" s="7"/>
      <c r="G76" s="7"/>
      <c r="H76" s="39">
        <v>74.0</v>
      </c>
      <c r="I76" s="39">
        <v>75.0</v>
      </c>
      <c r="J76" s="39">
        <v>70.0</v>
      </c>
      <c r="K76" s="39">
        <v>70.0</v>
      </c>
      <c r="L76" s="39">
        <v>50.0</v>
      </c>
      <c r="M76" s="39">
        <v>21.0</v>
      </c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 t="s">
        <v>953</v>
      </c>
      <c r="B77" s="39">
        <v>43.0</v>
      </c>
      <c r="C77" s="7"/>
      <c r="D77" s="7"/>
      <c r="E77" s="7"/>
      <c r="F77" s="7"/>
      <c r="G77" s="7"/>
      <c r="H77" s="39">
        <v>72.0</v>
      </c>
      <c r="I77" s="39">
        <v>91.0</v>
      </c>
      <c r="J77" s="39">
        <v>70.0</v>
      </c>
      <c r="K77" s="39">
        <v>70.0</v>
      </c>
      <c r="L77" s="39">
        <v>35.0</v>
      </c>
      <c r="M77" s="39">
        <v>20.0</v>
      </c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 t="s">
        <v>954</v>
      </c>
      <c r="B78" s="39">
        <v>50.0</v>
      </c>
      <c r="C78" s="39" t="str">
        <f>vlookup(A78,Sheet2!$1:$1000,2,False)</f>
        <v>#REF!</v>
      </c>
      <c r="D78" s="7"/>
      <c r="E78" s="7"/>
      <c r="F78" s="7"/>
      <c r="G78" s="7"/>
      <c r="H78" s="39">
        <v>71.0</v>
      </c>
      <c r="I78" s="39">
        <v>83.0</v>
      </c>
      <c r="J78" s="39">
        <v>76.0</v>
      </c>
      <c r="K78" s="39">
        <v>77.0</v>
      </c>
      <c r="L78" s="39">
        <v>50.0</v>
      </c>
      <c r="M78" s="39">
        <v>30.0</v>
      </c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 t="s">
        <v>955</v>
      </c>
      <c r="B79" s="39">
        <v>0.0</v>
      </c>
      <c r="C79" s="7"/>
      <c r="D79" s="7"/>
      <c r="E79" s="7"/>
      <c r="F79" s="7"/>
      <c r="G79" s="7"/>
      <c r="H79" s="39">
        <v>72.0</v>
      </c>
      <c r="I79" s="39">
        <v>84.0</v>
      </c>
      <c r="J79" s="39">
        <v>70.0</v>
      </c>
      <c r="K79" s="39">
        <v>70.0</v>
      </c>
      <c r="L79" s="39">
        <v>50.0</v>
      </c>
      <c r="M79" s="39">
        <v>24.0</v>
      </c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 t="s">
        <v>956</v>
      </c>
      <c r="B80" s="39">
        <v>50.0</v>
      </c>
      <c r="C80" s="39" t="str">
        <f>vlookup(A80,Sheet2!$1:$1000,2,False)</f>
        <v>#REF!</v>
      </c>
      <c r="D80" s="7"/>
      <c r="E80" s="7"/>
      <c r="F80" s="7"/>
      <c r="G80" s="7"/>
      <c r="H80" s="39">
        <v>87.0</v>
      </c>
      <c r="I80" s="39">
        <v>91.0</v>
      </c>
      <c r="J80" s="39">
        <v>70.0</v>
      </c>
      <c r="K80" s="39">
        <v>80.0</v>
      </c>
      <c r="L80" s="39">
        <v>50.0</v>
      </c>
      <c r="M80" s="39">
        <v>19.0</v>
      </c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 t="s">
        <v>957</v>
      </c>
      <c r="B81" s="39">
        <v>69.0</v>
      </c>
      <c r="C81" s="7"/>
      <c r="D81" s="7"/>
      <c r="E81" s="7"/>
      <c r="F81" s="7"/>
      <c r="G81" s="7"/>
      <c r="H81" s="39">
        <v>70.0</v>
      </c>
      <c r="I81" s="39">
        <v>70.0</v>
      </c>
      <c r="J81" s="39">
        <v>70.0</v>
      </c>
      <c r="K81" s="39">
        <v>70.0</v>
      </c>
      <c r="L81" s="39">
        <v>50.0</v>
      </c>
      <c r="M81" s="39">
        <v>31.0</v>
      </c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 t="s">
        <v>959</v>
      </c>
      <c r="B82" s="39">
        <v>50.0</v>
      </c>
      <c r="C82" s="39" t="str">
        <f>vlookup(A82,Sheet2!$1:$1000,2,False)</f>
        <v>#REF!</v>
      </c>
      <c r="D82" s="7"/>
      <c r="E82" s="7"/>
      <c r="F82" s="7"/>
      <c r="G82" s="7"/>
      <c r="H82" s="39">
        <v>74.0</v>
      </c>
      <c r="I82" s="39">
        <v>80.0</v>
      </c>
      <c r="J82" s="39">
        <v>70.0</v>
      </c>
      <c r="K82" s="39">
        <v>70.0</v>
      </c>
      <c r="L82" s="39">
        <v>50.0</v>
      </c>
      <c r="M82" s="39">
        <v>50.0</v>
      </c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 t="s">
        <v>960</v>
      </c>
      <c r="B83" s="39">
        <v>8.0</v>
      </c>
      <c r="C83" s="7"/>
      <c r="D83" s="7"/>
      <c r="E83" s="7"/>
      <c r="F83" s="7"/>
      <c r="G83" s="7"/>
      <c r="H83" s="39">
        <v>67.0</v>
      </c>
      <c r="I83" s="39">
        <v>81.0</v>
      </c>
      <c r="J83" s="39">
        <v>58.0</v>
      </c>
      <c r="K83" s="39">
        <v>21.0</v>
      </c>
      <c r="L83" s="39">
        <v>40.0</v>
      </c>
      <c r="M83" s="39">
        <v>12.0</v>
      </c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 t="s">
        <v>961</v>
      </c>
      <c r="B84" s="39">
        <v>50.0</v>
      </c>
      <c r="C84" s="7"/>
      <c r="D84" s="7"/>
      <c r="E84" s="7"/>
      <c r="F84" s="7"/>
      <c r="G84" s="7"/>
      <c r="H84" s="39">
        <v>73.0</v>
      </c>
      <c r="I84" s="39">
        <v>81.0</v>
      </c>
      <c r="J84" s="39">
        <v>70.0</v>
      </c>
      <c r="K84" s="39">
        <v>70.0</v>
      </c>
      <c r="L84" s="39">
        <v>50.0</v>
      </c>
      <c r="M84" s="39">
        <v>50.0</v>
      </c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 t="s">
        <v>962</v>
      </c>
      <c r="B85" s="39">
        <v>63.0</v>
      </c>
      <c r="C85" s="7"/>
      <c r="D85" s="7"/>
      <c r="E85" s="7"/>
      <c r="F85" s="7"/>
      <c r="G85" s="7"/>
      <c r="H85" s="39">
        <v>70.0</v>
      </c>
      <c r="I85" s="39">
        <v>85.0</v>
      </c>
      <c r="J85" s="39">
        <v>70.0</v>
      </c>
      <c r="K85" s="39">
        <v>83.0</v>
      </c>
      <c r="L85" s="39">
        <v>50.0</v>
      </c>
      <c r="M85" s="39">
        <v>50.0</v>
      </c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 t="s">
        <v>963</v>
      </c>
      <c r="B86" s="39">
        <v>50.0</v>
      </c>
      <c r="C86" s="39" t="str">
        <f>vlookup(A86,Sheet2!$1:$1000,2,False)</f>
        <v>#REF!</v>
      </c>
      <c r="D86" s="7"/>
      <c r="E86" s="7"/>
      <c r="F86" s="7"/>
      <c r="G86" s="7"/>
      <c r="H86" s="39">
        <v>76.0</v>
      </c>
      <c r="I86" s="39">
        <v>88.0</v>
      </c>
      <c r="J86" s="39">
        <v>71.0</v>
      </c>
      <c r="K86" s="39">
        <v>84.0</v>
      </c>
      <c r="L86" s="39">
        <v>50.0</v>
      </c>
      <c r="M86" s="39">
        <v>50.0</v>
      </c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 t="s">
        <v>964</v>
      </c>
      <c r="B87" s="39">
        <v>28.0</v>
      </c>
      <c r="C87" s="7"/>
      <c r="D87" s="7"/>
      <c r="E87" s="7"/>
      <c r="F87" s="7"/>
      <c r="G87" s="7"/>
      <c r="H87" s="39">
        <v>66.0</v>
      </c>
      <c r="I87" s="39">
        <v>74.0</v>
      </c>
      <c r="J87" s="39">
        <v>67.0</v>
      </c>
      <c r="K87" s="39">
        <v>70.0</v>
      </c>
      <c r="L87" s="39">
        <v>50.0</v>
      </c>
      <c r="M87" s="39">
        <v>33.0</v>
      </c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 t="s">
        <v>965</v>
      </c>
      <c r="B88" s="39">
        <v>69.0</v>
      </c>
      <c r="C88" s="7"/>
      <c r="D88" s="7"/>
      <c r="E88" s="7"/>
      <c r="F88" s="7"/>
      <c r="G88" s="7"/>
      <c r="H88" s="39">
        <v>70.0</v>
      </c>
      <c r="I88" s="39">
        <v>70.0</v>
      </c>
      <c r="J88" s="39">
        <v>70.0</v>
      </c>
      <c r="K88" s="39">
        <v>72.0</v>
      </c>
      <c r="L88" s="39">
        <v>50.0</v>
      </c>
      <c r="M88" s="39">
        <v>42.0</v>
      </c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 t="s">
        <v>966</v>
      </c>
      <c r="B89" s="39">
        <v>78.0</v>
      </c>
      <c r="C89" s="7"/>
      <c r="D89" s="7"/>
      <c r="E89" s="7"/>
      <c r="F89" s="7"/>
      <c r="G89" s="7"/>
      <c r="H89" s="39">
        <v>85.0</v>
      </c>
      <c r="I89" s="39">
        <v>93.0</v>
      </c>
      <c r="J89" s="39">
        <v>90.0</v>
      </c>
      <c r="K89" s="39">
        <v>72.0</v>
      </c>
      <c r="L89" s="39">
        <v>50.0</v>
      </c>
      <c r="M89" s="39">
        <v>50.0</v>
      </c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 t="s">
        <v>967</v>
      </c>
      <c r="B90" s="39">
        <v>73.0</v>
      </c>
      <c r="C90" s="7"/>
      <c r="D90" s="7"/>
      <c r="E90" s="7"/>
      <c r="F90" s="7"/>
      <c r="G90" s="7"/>
      <c r="H90" s="39">
        <v>73.0</v>
      </c>
      <c r="I90" s="39">
        <v>86.0</v>
      </c>
      <c r="J90" s="39">
        <v>87.0</v>
      </c>
      <c r="K90" s="39">
        <v>82.0</v>
      </c>
      <c r="L90" s="39">
        <v>55.0</v>
      </c>
      <c r="M90" s="39">
        <v>51.0</v>
      </c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 t="s">
        <v>968</v>
      </c>
      <c r="B91" s="39">
        <v>60.0</v>
      </c>
      <c r="C91" s="7"/>
      <c r="D91" s="7"/>
      <c r="E91" s="7"/>
      <c r="F91" s="7"/>
      <c r="G91" s="7"/>
      <c r="H91" s="39">
        <v>80.0</v>
      </c>
      <c r="I91" s="39">
        <v>88.0</v>
      </c>
      <c r="J91" s="39">
        <v>70.0</v>
      </c>
      <c r="K91" s="39">
        <v>74.0</v>
      </c>
      <c r="L91" s="39">
        <v>50.0</v>
      </c>
      <c r="M91" s="39">
        <v>50.0</v>
      </c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 t="s">
        <v>969</v>
      </c>
      <c r="B92" s="39">
        <v>0.0</v>
      </c>
      <c r="C92" s="7"/>
      <c r="D92" s="7"/>
      <c r="E92" s="7"/>
      <c r="F92" s="7"/>
      <c r="G92" s="7"/>
      <c r="H92" s="39">
        <v>73.0</v>
      </c>
      <c r="I92" s="39">
        <v>80.0</v>
      </c>
      <c r="J92" s="39">
        <v>70.0</v>
      </c>
      <c r="K92" s="39">
        <v>70.0</v>
      </c>
      <c r="L92" s="39">
        <v>25.0</v>
      </c>
      <c r="M92" s="39">
        <v>50.0</v>
      </c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 t="s">
        <v>970</v>
      </c>
      <c r="B93" s="39">
        <v>50.0</v>
      </c>
      <c r="C93" s="39" t="str">
        <f>vlookup(A93,Sheet2!$1:$1000,2,False)</f>
        <v>#REF!</v>
      </c>
      <c r="D93" s="7"/>
      <c r="E93" s="7"/>
      <c r="F93" s="7"/>
      <c r="G93" s="7"/>
      <c r="H93" s="39">
        <v>82.0</v>
      </c>
      <c r="I93" s="39">
        <v>90.0</v>
      </c>
      <c r="J93" s="39">
        <v>76.0</v>
      </c>
      <c r="K93" s="39">
        <v>79.0</v>
      </c>
      <c r="L93" s="39">
        <v>50.0</v>
      </c>
      <c r="M93" s="39">
        <v>50.0</v>
      </c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 t="s">
        <v>971</v>
      </c>
      <c r="B94" s="39">
        <v>77.0</v>
      </c>
      <c r="C94" s="7"/>
      <c r="D94" s="7"/>
      <c r="E94" s="7"/>
      <c r="F94" s="7"/>
      <c r="G94" s="7"/>
      <c r="H94" s="39">
        <v>72.0</v>
      </c>
      <c r="I94" s="39">
        <v>77.0</v>
      </c>
      <c r="J94" s="39">
        <v>70.0</v>
      </c>
      <c r="K94" s="39">
        <v>70.0</v>
      </c>
      <c r="L94" s="39">
        <v>50.0</v>
      </c>
      <c r="M94" s="39">
        <v>57.0</v>
      </c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 t="s">
        <v>972</v>
      </c>
      <c r="B95" s="39">
        <v>50.0</v>
      </c>
      <c r="C95" s="39" t="str">
        <f>vlookup(A95,Sheet2!$1:$1000,2,False)</f>
        <v>#REF!</v>
      </c>
      <c r="D95" s="7"/>
      <c r="E95" s="7"/>
      <c r="F95" s="7"/>
      <c r="G95" s="7"/>
      <c r="H95" s="39">
        <v>70.0</v>
      </c>
      <c r="I95" s="39">
        <v>73.0</v>
      </c>
      <c r="J95" s="39">
        <v>70.0</v>
      </c>
      <c r="K95" s="39">
        <v>70.0</v>
      </c>
      <c r="L95" s="39">
        <v>50.0</v>
      </c>
      <c r="M95" s="39">
        <v>61.0</v>
      </c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 t="s">
        <v>973</v>
      </c>
      <c r="B96" s="39">
        <v>0.0</v>
      </c>
      <c r="C96" s="7"/>
      <c r="D96" s="7"/>
      <c r="E96" s="7"/>
      <c r="F96" s="7"/>
      <c r="G96" s="7"/>
      <c r="H96" s="39">
        <v>70.0</v>
      </c>
      <c r="I96" s="39">
        <v>70.0</v>
      </c>
      <c r="J96" s="39">
        <v>15.0</v>
      </c>
      <c r="K96" s="39">
        <v>15.0</v>
      </c>
      <c r="L96" s="39">
        <v>50.0</v>
      </c>
      <c r="M96" s="39">
        <v>0.0</v>
      </c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 t="s">
        <v>974</v>
      </c>
      <c r="B97" s="39">
        <v>0.0</v>
      </c>
      <c r="C97" s="7"/>
      <c r="D97" s="7"/>
      <c r="E97" s="7"/>
      <c r="F97" s="7"/>
      <c r="G97" s="7"/>
      <c r="H97" s="39">
        <v>74.0</v>
      </c>
      <c r="I97" s="39">
        <v>83.0</v>
      </c>
      <c r="J97" s="39">
        <v>74.0</v>
      </c>
      <c r="K97" s="39">
        <v>60.0</v>
      </c>
      <c r="L97" s="39">
        <v>5.0</v>
      </c>
      <c r="M97" s="39">
        <v>19.0</v>
      </c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 t="s">
        <v>975</v>
      </c>
      <c r="B98" s="39">
        <v>50.0</v>
      </c>
      <c r="C98" s="39" t="str">
        <f>vlookup(A98,Sheet2!$1:$1000,2,False)</f>
        <v>#REF!</v>
      </c>
      <c r="D98" s="7"/>
      <c r="E98" s="7"/>
      <c r="F98" s="7"/>
      <c r="G98" s="7"/>
      <c r="H98" s="39">
        <v>84.0</v>
      </c>
      <c r="I98" s="39">
        <v>84.0</v>
      </c>
      <c r="J98" s="39">
        <v>82.0</v>
      </c>
      <c r="K98" s="39">
        <v>75.0</v>
      </c>
      <c r="L98" s="39">
        <v>50.0</v>
      </c>
      <c r="M98" s="39">
        <v>31.0</v>
      </c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 t="s">
        <v>976</v>
      </c>
      <c r="B99" s="39">
        <v>16.0</v>
      </c>
      <c r="C99" s="7"/>
      <c r="D99" s="7"/>
      <c r="E99" s="7"/>
      <c r="F99" s="7"/>
      <c r="G99" s="7"/>
      <c r="H99" s="39">
        <v>70.0</v>
      </c>
      <c r="I99" s="39">
        <v>84.0</v>
      </c>
      <c r="J99" s="39">
        <v>71.0</v>
      </c>
      <c r="K99" s="39">
        <v>70.0</v>
      </c>
      <c r="L99" s="39">
        <v>58.0</v>
      </c>
      <c r="M99" s="39">
        <v>51.0</v>
      </c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 t="s">
        <v>977</v>
      </c>
      <c r="B100" s="39">
        <v>63.0</v>
      </c>
      <c r="C100" s="7"/>
      <c r="D100" s="7"/>
      <c r="E100" s="7"/>
      <c r="F100" s="7"/>
      <c r="G100" s="7"/>
      <c r="H100" s="39">
        <v>79.0</v>
      </c>
      <c r="I100" s="39">
        <v>82.0</v>
      </c>
      <c r="J100" s="39">
        <v>83.0</v>
      </c>
      <c r="K100" s="39">
        <v>73.0</v>
      </c>
      <c r="L100" s="39">
        <v>62.0</v>
      </c>
      <c r="M100" s="39">
        <v>74.0</v>
      </c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 t="s">
        <v>978</v>
      </c>
      <c r="B101" s="39">
        <v>50.0</v>
      </c>
      <c r="C101" s="39" t="str">
        <f t="shared" ref="C101:C102" si="5">vlookup(A101,Sheet2!$1:$1000,2,False)</f>
        <v>#REF!</v>
      </c>
      <c r="D101" s="7"/>
      <c r="E101" s="7"/>
      <c r="F101" s="7"/>
      <c r="G101" s="7"/>
      <c r="H101" s="39">
        <v>77.0</v>
      </c>
      <c r="I101" s="39">
        <v>87.0</v>
      </c>
      <c r="J101" s="39">
        <v>71.0</v>
      </c>
      <c r="K101" s="39">
        <v>82.0</v>
      </c>
      <c r="L101" s="39">
        <v>50.0</v>
      </c>
      <c r="M101" s="39">
        <v>50.0</v>
      </c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 t="s">
        <v>979</v>
      </c>
      <c r="B102" s="39">
        <v>50.0</v>
      </c>
      <c r="C102" s="39" t="str">
        <f t="shared" si="5"/>
        <v>#REF!</v>
      </c>
      <c r="D102" s="7"/>
      <c r="E102" s="7"/>
      <c r="F102" s="7"/>
      <c r="G102" s="7"/>
      <c r="H102" s="39">
        <v>70.0</v>
      </c>
      <c r="I102" s="39">
        <v>70.0</v>
      </c>
      <c r="J102" s="39">
        <v>70.0</v>
      </c>
      <c r="K102" s="39">
        <v>70.0</v>
      </c>
      <c r="L102" s="39">
        <v>50.0</v>
      </c>
      <c r="M102" s="39">
        <v>21.0</v>
      </c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 t="s">
        <v>980</v>
      </c>
      <c r="B103" s="39">
        <v>6.0</v>
      </c>
      <c r="C103" s="7"/>
      <c r="D103" s="7"/>
      <c r="E103" s="7"/>
      <c r="F103" s="7"/>
      <c r="G103" s="7"/>
      <c r="H103" s="39">
        <v>62.0</v>
      </c>
      <c r="I103" s="39">
        <v>68.0</v>
      </c>
      <c r="J103" s="39">
        <v>60.0</v>
      </c>
      <c r="K103" s="39">
        <v>21.0</v>
      </c>
      <c r="L103" s="39">
        <v>6.0</v>
      </c>
      <c r="M103" s="39">
        <v>10.0</v>
      </c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 t="s">
        <v>981</v>
      </c>
      <c r="B104" s="39">
        <v>3.0</v>
      </c>
      <c r="C104" s="7"/>
      <c r="D104" s="7"/>
      <c r="E104" s="7"/>
      <c r="F104" s="7"/>
      <c r="G104" s="7"/>
      <c r="H104" s="39">
        <v>70.0</v>
      </c>
      <c r="I104" s="39">
        <v>70.0</v>
      </c>
      <c r="J104" s="39">
        <v>70.0</v>
      </c>
      <c r="K104" s="39">
        <v>70.0</v>
      </c>
      <c r="L104" s="39">
        <v>50.0</v>
      </c>
      <c r="M104" s="39">
        <v>50.0</v>
      </c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 t="s">
        <v>982</v>
      </c>
      <c r="B105" s="39">
        <v>13.0</v>
      </c>
      <c r="C105" s="39" t="str">
        <f t="shared" ref="C105:C106" si="6">vlookup(A105,Sheet2!$1:$1000,2,False)</f>
        <v>#REF!</v>
      </c>
      <c r="D105" s="7"/>
      <c r="E105" s="7"/>
      <c r="F105" s="7"/>
      <c r="G105" s="7"/>
      <c r="H105" s="39">
        <v>70.0</v>
      </c>
      <c r="I105" s="39">
        <v>72.0</v>
      </c>
      <c r="J105" s="39">
        <v>70.0</v>
      </c>
      <c r="K105" s="39">
        <v>70.0</v>
      </c>
      <c r="L105" s="39">
        <v>50.0</v>
      </c>
      <c r="M105" s="39">
        <v>13.0</v>
      </c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 t="s">
        <v>983</v>
      </c>
      <c r="B106" s="39">
        <v>50.0</v>
      </c>
      <c r="C106" s="39" t="str">
        <f t="shared" si="6"/>
        <v>#REF!</v>
      </c>
      <c r="D106" s="7"/>
      <c r="E106" s="7"/>
      <c r="F106" s="7"/>
      <c r="G106" s="7"/>
      <c r="H106" s="39">
        <v>92.0</v>
      </c>
      <c r="I106" s="39">
        <v>92.0</v>
      </c>
      <c r="J106" s="39">
        <v>85.0</v>
      </c>
      <c r="K106" s="39">
        <v>70.0</v>
      </c>
      <c r="L106" s="39">
        <v>50.0</v>
      </c>
      <c r="M106" s="39">
        <v>44.0</v>
      </c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 t="s">
        <v>984</v>
      </c>
      <c r="B107" s="39">
        <v>24.0</v>
      </c>
      <c r="C107" s="7"/>
      <c r="D107" s="7"/>
      <c r="E107" s="7"/>
      <c r="F107" s="7"/>
      <c r="G107" s="7"/>
      <c r="H107" s="39">
        <v>70.0</v>
      </c>
      <c r="I107" s="39">
        <v>86.0</v>
      </c>
      <c r="J107" s="39">
        <v>76.0</v>
      </c>
      <c r="K107" s="39">
        <v>73.0</v>
      </c>
      <c r="L107" s="39">
        <v>50.0</v>
      </c>
      <c r="M107" s="39">
        <v>50.0</v>
      </c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 t="s">
        <v>985</v>
      </c>
      <c r="B108" s="39">
        <v>5.0</v>
      </c>
      <c r="C108" s="7"/>
      <c r="D108" s="7"/>
      <c r="E108" s="7"/>
      <c r="F108" s="7"/>
      <c r="G108" s="7"/>
      <c r="H108" s="39">
        <v>70.0</v>
      </c>
      <c r="I108" s="39">
        <v>74.0</v>
      </c>
      <c r="J108" s="39">
        <v>75.0</v>
      </c>
      <c r="K108" s="39">
        <v>71.0</v>
      </c>
      <c r="L108" s="39">
        <v>12.0</v>
      </c>
      <c r="M108" s="39">
        <v>22.0</v>
      </c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 t="s">
        <v>986</v>
      </c>
      <c r="B109" s="39">
        <v>0.0</v>
      </c>
      <c r="C109" s="7"/>
      <c r="D109" s="7"/>
      <c r="E109" s="7"/>
      <c r="F109" s="7"/>
      <c r="G109" s="7"/>
      <c r="H109" s="39">
        <v>67.0</v>
      </c>
      <c r="I109" s="39">
        <v>80.0</v>
      </c>
      <c r="J109" s="39">
        <v>22.0</v>
      </c>
      <c r="K109" s="39">
        <v>4.0</v>
      </c>
      <c r="L109" s="39">
        <v>22.0</v>
      </c>
      <c r="M109" s="39">
        <v>0.0</v>
      </c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 t="s">
        <v>987</v>
      </c>
      <c r="B110" s="39">
        <v>0.0</v>
      </c>
      <c r="C110" s="7"/>
      <c r="D110" s="7"/>
      <c r="E110" s="7"/>
      <c r="F110" s="7"/>
      <c r="G110" s="7"/>
      <c r="H110" s="39">
        <v>68.0</v>
      </c>
      <c r="I110" s="39">
        <v>81.0</v>
      </c>
      <c r="J110" s="39">
        <v>67.0</v>
      </c>
      <c r="K110" s="39">
        <v>55.0</v>
      </c>
      <c r="L110" s="39">
        <v>10.0</v>
      </c>
      <c r="M110" s="39">
        <v>25.0</v>
      </c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 t="s">
        <v>988</v>
      </c>
      <c r="B111" s="39">
        <v>0.0</v>
      </c>
      <c r="C111" s="7"/>
      <c r="D111" s="7"/>
      <c r="E111" s="7"/>
      <c r="F111" s="7"/>
      <c r="G111" s="7"/>
      <c r="H111" s="39">
        <v>81.0</v>
      </c>
      <c r="I111" s="39">
        <v>79.0</v>
      </c>
      <c r="J111" s="39">
        <v>81.0</v>
      </c>
      <c r="K111" s="39">
        <v>51.0</v>
      </c>
      <c r="L111" s="39">
        <v>15.0</v>
      </c>
      <c r="M111" s="39">
        <v>16.0</v>
      </c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 t="s">
        <v>989</v>
      </c>
      <c r="B112" s="39">
        <v>50.0</v>
      </c>
      <c r="C112" s="39" t="str">
        <f>vlookup(A112,Sheet2!$1:$1000,2,False)</f>
        <v>#REF!</v>
      </c>
      <c r="D112" s="7"/>
      <c r="E112" s="7"/>
      <c r="F112" s="7"/>
      <c r="G112" s="7"/>
      <c r="H112" s="39">
        <v>86.0</v>
      </c>
      <c r="I112" s="39">
        <v>88.0</v>
      </c>
      <c r="J112" s="39">
        <v>84.0</v>
      </c>
      <c r="K112" s="39">
        <v>75.0</v>
      </c>
      <c r="L112" s="39">
        <v>58.0</v>
      </c>
      <c r="M112" s="39">
        <v>50.0</v>
      </c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 t="s">
        <v>990</v>
      </c>
      <c r="B113" s="39">
        <v>54.0</v>
      </c>
      <c r="C113" s="7"/>
      <c r="D113" s="7"/>
      <c r="E113" s="7"/>
      <c r="F113" s="7"/>
      <c r="G113" s="7"/>
      <c r="H113" s="39">
        <v>82.0</v>
      </c>
      <c r="I113" s="39">
        <v>90.0</v>
      </c>
      <c r="J113" s="39">
        <v>77.0</v>
      </c>
      <c r="K113" s="39">
        <v>84.0</v>
      </c>
      <c r="L113" s="39">
        <v>64.0</v>
      </c>
      <c r="M113" s="39">
        <v>56.0</v>
      </c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 t="s">
        <v>991</v>
      </c>
      <c r="B114" s="39">
        <v>36.0</v>
      </c>
      <c r="C114" s="39" t="str">
        <f>vlookup(A114,Sheet2!$1:$1000,2,False)</f>
        <v>#REF!</v>
      </c>
      <c r="D114" s="7"/>
      <c r="E114" s="7"/>
      <c r="F114" s="7"/>
      <c r="G114" s="7"/>
      <c r="H114" s="39">
        <v>82.0</v>
      </c>
      <c r="I114" s="39">
        <v>90.0</v>
      </c>
      <c r="J114" s="39">
        <v>79.0</v>
      </c>
      <c r="K114" s="39">
        <v>84.0</v>
      </c>
      <c r="L114" s="39">
        <v>50.0</v>
      </c>
      <c r="M114" s="39">
        <v>50.0</v>
      </c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 t="s">
        <v>992</v>
      </c>
      <c r="B115" s="39">
        <v>0.0</v>
      </c>
      <c r="C115" s="7"/>
      <c r="D115" s="7"/>
      <c r="E115" s="7"/>
      <c r="F115" s="7"/>
      <c r="G115" s="7"/>
      <c r="H115" s="39">
        <v>70.0</v>
      </c>
      <c r="I115" s="39">
        <v>90.0</v>
      </c>
      <c r="J115" s="39">
        <v>69.0</v>
      </c>
      <c r="K115" s="39">
        <v>21.0</v>
      </c>
      <c r="L115" s="39">
        <v>19.0</v>
      </c>
      <c r="M115" s="39">
        <v>0.0</v>
      </c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 t="s">
        <v>993</v>
      </c>
      <c r="B116" s="39">
        <v>50.0</v>
      </c>
      <c r="C116" s="39" t="str">
        <f t="shared" ref="C116:C117" si="7">vlookup(A116,Sheet2!$1:$1000,2,False)</f>
        <v>#REF!</v>
      </c>
      <c r="D116" s="7"/>
      <c r="E116" s="7"/>
      <c r="F116" s="7"/>
      <c r="G116" s="7"/>
      <c r="H116" s="39">
        <v>81.0</v>
      </c>
      <c r="I116" s="39">
        <v>87.0</v>
      </c>
      <c r="J116" s="39">
        <v>72.0</v>
      </c>
      <c r="K116" s="39">
        <v>71.0</v>
      </c>
      <c r="L116" s="39">
        <v>55.0</v>
      </c>
      <c r="M116" s="39">
        <v>52.0</v>
      </c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 t="s">
        <v>994</v>
      </c>
      <c r="B117" s="39">
        <v>50.0</v>
      </c>
      <c r="C117" s="39" t="str">
        <f t="shared" si="7"/>
        <v>#REF!</v>
      </c>
      <c r="D117" s="7"/>
      <c r="E117" s="7"/>
      <c r="F117" s="7"/>
      <c r="G117" s="7"/>
      <c r="H117" s="39">
        <v>84.0</v>
      </c>
      <c r="I117" s="39">
        <v>90.0</v>
      </c>
      <c r="J117" s="39">
        <v>75.0</v>
      </c>
      <c r="K117" s="39">
        <v>70.0</v>
      </c>
      <c r="L117" s="39">
        <v>58.0</v>
      </c>
      <c r="M117" s="39">
        <v>55.0</v>
      </c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 t="s">
        <v>995</v>
      </c>
      <c r="B118" s="39">
        <v>0.0</v>
      </c>
      <c r="C118" s="7"/>
      <c r="D118" s="7"/>
      <c r="E118" s="7"/>
      <c r="F118" s="7"/>
      <c r="G118" s="7"/>
      <c r="H118" s="39">
        <v>74.0</v>
      </c>
      <c r="I118" s="39">
        <v>77.0</v>
      </c>
      <c r="J118" s="39">
        <v>47.0</v>
      </c>
      <c r="K118" s="39">
        <v>49.0</v>
      </c>
      <c r="L118" s="39">
        <v>17.0</v>
      </c>
      <c r="M118" s="39">
        <v>4.0</v>
      </c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 t="s">
        <v>996</v>
      </c>
      <c r="B119" s="39">
        <v>50.0</v>
      </c>
      <c r="C119" s="39" t="str">
        <f>vlookup(A119,Sheet2!$1:$1000,2,False)</f>
        <v>#REF!</v>
      </c>
      <c r="D119" s="7"/>
      <c r="E119" s="7"/>
      <c r="F119" s="7"/>
      <c r="G119" s="7"/>
      <c r="H119" s="39">
        <v>71.0</v>
      </c>
      <c r="I119" s="39">
        <v>90.0</v>
      </c>
      <c r="J119" s="39">
        <v>76.0</v>
      </c>
      <c r="K119" s="39">
        <v>71.0</v>
      </c>
      <c r="L119" s="39">
        <v>53.0</v>
      </c>
      <c r="M119" s="39">
        <v>50.0</v>
      </c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 t="s">
        <v>997</v>
      </c>
      <c r="B120" s="39">
        <v>6.0</v>
      </c>
      <c r="C120" s="7"/>
      <c r="D120" s="7"/>
      <c r="E120" s="7"/>
      <c r="F120" s="7"/>
      <c r="G120" s="7"/>
      <c r="H120" s="39">
        <v>96.0</v>
      </c>
      <c r="I120" s="39">
        <v>84.0</v>
      </c>
      <c r="J120" s="39">
        <v>28.0</v>
      </c>
      <c r="K120" s="39">
        <v>70.0</v>
      </c>
      <c r="L120" s="39">
        <v>50.0</v>
      </c>
      <c r="M120" s="39">
        <v>11.0</v>
      </c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 t="s">
        <v>998</v>
      </c>
      <c r="B121" s="39">
        <v>0.0</v>
      </c>
      <c r="C121" s="7"/>
      <c r="D121" s="7"/>
      <c r="E121" s="7"/>
      <c r="F121" s="7"/>
      <c r="G121" s="7"/>
      <c r="H121" s="39">
        <v>74.0</v>
      </c>
      <c r="I121" s="39">
        <v>87.0</v>
      </c>
      <c r="J121" s="39">
        <v>70.0</v>
      </c>
      <c r="K121" s="39">
        <v>47.0</v>
      </c>
      <c r="L121" s="39">
        <v>50.0</v>
      </c>
      <c r="M121" s="39">
        <v>37.0</v>
      </c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 t="s">
        <v>999</v>
      </c>
      <c r="B122" s="39">
        <v>52.0</v>
      </c>
      <c r="C122" s="7"/>
      <c r="D122" s="7"/>
      <c r="E122" s="7"/>
      <c r="F122" s="7"/>
      <c r="G122" s="7"/>
      <c r="H122" s="39">
        <v>82.0</v>
      </c>
      <c r="I122" s="39">
        <v>92.0</v>
      </c>
      <c r="J122" s="39">
        <v>79.0</v>
      </c>
      <c r="K122" s="39">
        <v>83.0</v>
      </c>
      <c r="L122" s="39">
        <v>50.0</v>
      </c>
      <c r="M122" s="39">
        <v>61.0</v>
      </c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 t="s">
        <v>1000</v>
      </c>
      <c r="B123" s="39">
        <v>50.0</v>
      </c>
      <c r="C123" s="39" t="str">
        <f>vlookup(A123,Sheet2!$1:$1000,2,False)</f>
        <v>#REF!</v>
      </c>
      <c r="D123" s="7"/>
      <c r="E123" s="7"/>
      <c r="F123" s="7"/>
      <c r="G123" s="7"/>
      <c r="H123" s="39">
        <v>87.0</v>
      </c>
      <c r="I123" s="39">
        <v>85.0</v>
      </c>
      <c r="J123" s="39">
        <v>88.0</v>
      </c>
      <c r="K123" s="39">
        <v>77.0</v>
      </c>
      <c r="L123" s="39">
        <v>68.0</v>
      </c>
      <c r="M123" s="39">
        <v>65.0</v>
      </c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 t="s">
        <v>1001</v>
      </c>
      <c r="B124" s="39">
        <v>-1.0</v>
      </c>
      <c r="C124" s="7"/>
      <c r="D124" s="7"/>
      <c r="E124" s="7"/>
      <c r="F124" s="7"/>
      <c r="G124" s="7"/>
      <c r="H124" s="39">
        <v>65.0</v>
      </c>
      <c r="I124" s="39">
        <v>74.0</v>
      </c>
      <c r="J124" s="39">
        <v>57.0</v>
      </c>
      <c r="K124" s="39">
        <v>70.0</v>
      </c>
      <c r="L124" s="39">
        <v>50.0</v>
      </c>
      <c r="M124" s="39">
        <v>12.0</v>
      </c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 t="s">
        <v>1002</v>
      </c>
      <c r="B125" s="39">
        <v>20.0</v>
      </c>
      <c r="C125" s="39" t="str">
        <f t="shared" ref="C125:C127" si="8">vlookup(A125,Sheet2!$1:$1000,2,False)</f>
        <v>#REF!</v>
      </c>
      <c r="D125" s="7"/>
      <c r="E125" s="7"/>
      <c r="F125" s="7"/>
      <c r="G125" s="7"/>
      <c r="H125" s="39">
        <v>70.0</v>
      </c>
      <c r="I125" s="39">
        <v>71.0</v>
      </c>
      <c r="J125" s="39">
        <v>70.0</v>
      </c>
      <c r="K125" s="39">
        <v>70.0</v>
      </c>
      <c r="L125" s="39">
        <v>50.0</v>
      </c>
      <c r="M125" s="39">
        <v>50.0</v>
      </c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 t="s">
        <v>1003</v>
      </c>
      <c r="B126" s="39">
        <v>50.0</v>
      </c>
      <c r="C126" s="39" t="str">
        <f t="shared" si="8"/>
        <v>#REF!</v>
      </c>
      <c r="D126" s="7"/>
      <c r="E126" s="7"/>
      <c r="F126" s="7"/>
      <c r="G126" s="7"/>
      <c r="H126" s="39">
        <v>80.0</v>
      </c>
      <c r="I126" s="39">
        <v>83.0</v>
      </c>
      <c r="J126" s="39">
        <v>70.0</v>
      </c>
      <c r="K126" s="39">
        <v>78.0</v>
      </c>
      <c r="L126" s="39">
        <v>50.0</v>
      </c>
      <c r="M126" s="39">
        <v>24.0</v>
      </c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 t="s">
        <v>1004</v>
      </c>
      <c r="B127" s="39">
        <v>50.0</v>
      </c>
      <c r="C127" s="39" t="str">
        <f t="shared" si="8"/>
        <v>#REF!</v>
      </c>
      <c r="D127" s="7"/>
      <c r="E127" s="7"/>
      <c r="F127" s="7"/>
      <c r="G127" s="7"/>
      <c r="H127" s="39">
        <v>70.0</v>
      </c>
      <c r="I127" s="39">
        <v>80.0</v>
      </c>
      <c r="J127" s="39">
        <v>77.0</v>
      </c>
      <c r="K127" s="39">
        <v>78.0</v>
      </c>
      <c r="L127" s="39">
        <v>50.0</v>
      </c>
      <c r="M127" s="39">
        <v>33.0</v>
      </c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 t="s">
        <v>1005</v>
      </c>
      <c r="B128" s="39">
        <v>0.0</v>
      </c>
      <c r="C128" s="7"/>
      <c r="D128" s="7"/>
      <c r="E128" s="7"/>
      <c r="F128" s="7"/>
      <c r="G128" s="7"/>
      <c r="H128" s="39">
        <v>62.0</v>
      </c>
      <c r="I128" s="39">
        <v>63.0</v>
      </c>
      <c r="J128" s="39">
        <v>38.0</v>
      </c>
      <c r="K128" s="39">
        <v>70.0</v>
      </c>
      <c r="L128" s="39">
        <v>13.0</v>
      </c>
      <c r="M128" s="39">
        <v>0.0</v>
      </c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 t="s">
        <v>1006</v>
      </c>
      <c r="B129" s="39">
        <v>50.0</v>
      </c>
      <c r="C129" s="39" t="str">
        <f>vlookup(A129,Sheet2!$1:$1000,2,False)</f>
        <v>#REF!</v>
      </c>
      <c r="D129" s="7"/>
      <c r="E129" s="7"/>
      <c r="F129" s="7"/>
      <c r="G129" s="7"/>
      <c r="H129" s="39">
        <v>71.0</v>
      </c>
      <c r="I129" s="39">
        <v>80.0</v>
      </c>
      <c r="J129" s="39">
        <v>70.0</v>
      </c>
      <c r="K129" s="39">
        <v>70.0</v>
      </c>
      <c r="L129" s="39">
        <v>50.0</v>
      </c>
      <c r="M129" s="39">
        <v>30.0</v>
      </c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 t="s">
        <v>1007</v>
      </c>
      <c r="B130" s="39">
        <v>0.0</v>
      </c>
      <c r="C130" s="7"/>
      <c r="D130" s="7"/>
      <c r="E130" s="7"/>
      <c r="F130" s="7"/>
      <c r="G130" s="7"/>
      <c r="H130" s="39">
        <v>74.0</v>
      </c>
      <c r="I130" s="39">
        <v>74.0</v>
      </c>
      <c r="J130" s="39">
        <v>39.0</v>
      </c>
      <c r="K130" s="39">
        <v>70.0</v>
      </c>
      <c r="L130" s="39">
        <v>9.0</v>
      </c>
      <c r="M130" s="39">
        <v>13.0</v>
      </c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 t="s">
        <v>1008</v>
      </c>
      <c r="B131" s="39">
        <v>12.0</v>
      </c>
      <c r="C131" s="7"/>
      <c r="D131" s="7"/>
      <c r="E131" s="7"/>
      <c r="F131" s="7"/>
      <c r="G131" s="7"/>
      <c r="H131" s="39">
        <v>65.0</v>
      </c>
      <c r="I131" s="39">
        <v>70.0</v>
      </c>
      <c r="J131" s="39">
        <v>39.0</v>
      </c>
      <c r="K131" s="39">
        <v>70.0</v>
      </c>
      <c r="L131" s="39">
        <v>40.0</v>
      </c>
      <c r="M131" s="39">
        <v>29.0</v>
      </c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 t="s">
        <v>1009</v>
      </c>
      <c r="B132" s="39">
        <v>17.0</v>
      </c>
      <c r="C132" s="7"/>
      <c r="D132" s="7"/>
      <c r="E132" s="7"/>
      <c r="F132" s="7"/>
      <c r="G132" s="7"/>
      <c r="H132" s="39">
        <v>70.0</v>
      </c>
      <c r="I132" s="39">
        <v>70.0</v>
      </c>
      <c r="J132" s="39">
        <v>61.0</v>
      </c>
      <c r="K132" s="39">
        <v>70.0</v>
      </c>
      <c r="L132" s="39">
        <v>16.0</v>
      </c>
      <c r="M132" s="39">
        <v>0.0</v>
      </c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 t="s">
        <v>1010</v>
      </c>
      <c r="B133" s="39">
        <v>50.0</v>
      </c>
      <c r="C133" s="39" t="str">
        <f>vlookup(A133,Sheet2!$1:$1000,2,False)</f>
        <v>#REF!</v>
      </c>
      <c r="D133" s="7"/>
      <c r="E133" s="7"/>
      <c r="F133" s="7"/>
      <c r="G133" s="7"/>
      <c r="H133" s="39">
        <v>81.0</v>
      </c>
      <c r="I133" s="39">
        <v>87.0</v>
      </c>
      <c r="J133" s="39">
        <v>74.0</v>
      </c>
      <c r="K133" s="39">
        <v>70.0</v>
      </c>
      <c r="L133" s="39">
        <v>50.0</v>
      </c>
      <c r="M133" s="39">
        <v>44.0</v>
      </c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 t="s">
        <v>1011</v>
      </c>
      <c r="B134" s="39">
        <v>18.0</v>
      </c>
      <c r="C134" s="7"/>
      <c r="D134" s="7"/>
      <c r="E134" s="7"/>
      <c r="F134" s="7"/>
      <c r="G134" s="7"/>
      <c r="H134" s="39">
        <v>68.0</v>
      </c>
      <c r="I134" s="39">
        <v>72.0</v>
      </c>
      <c r="J134" s="39">
        <v>38.0</v>
      </c>
      <c r="K134" s="39">
        <v>70.0</v>
      </c>
      <c r="L134" s="39">
        <v>3.0</v>
      </c>
      <c r="M134" s="39">
        <v>25.0</v>
      </c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 t="s">
        <v>1012</v>
      </c>
      <c r="B135" s="39">
        <v>21.0</v>
      </c>
      <c r="C135" s="7"/>
      <c r="D135" s="7"/>
      <c r="E135" s="7"/>
      <c r="F135" s="7"/>
      <c r="G135" s="7"/>
      <c r="H135" s="39">
        <v>77.0</v>
      </c>
      <c r="I135" s="39">
        <v>87.0</v>
      </c>
      <c r="J135" s="39">
        <v>67.0</v>
      </c>
      <c r="K135" s="39">
        <v>70.0</v>
      </c>
      <c r="L135" s="39">
        <v>50.0</v>
      </c>
      <c r="M135" s="39">
        <v>50.0</v>
      </c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 t="s">
        <v>1013</v>
      </c>
      <c r="B136" s="39">
        <v>18.0</v>
      </c>
      <c r="C136" s="7"/>
      <c r="D136" s="7"/>
      <c r="E136" s="7"/>
      <c r="F136" s="7"/>
      <c r="G136" s="7"/>
      <c r="H136" s="39">
        <v>74.0</v>
      </c>
      <c r="I136" s="39">
        <v>81.0</v>
      </c>
      <c r="J136" s="39">
        <v>73.0</v>
      </c>
      <c r="K136" s="39">
        <v>70.0</v>
      </c>
      <c r="L136" s="39">
        <v>22.0</v>
      </c>
      <c r="M136" s="39">
        <v>50.0</v>
      </c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 t="s">
        <v>1014</v>
      </c>
      <c r="B137" s="39">
        <v>11.0</v>
      </c>
      <c r="C137" s="7"/>
      <c r="D137" s="7"/>
      <c r="E137" s="7"/>
      <c r="F137" s="7"/>
      <c r="G137" s="7"/>
      <c r="H137" s="39">
        <v>70.0</v>
      </c>
      <c r="I137" s="39">
        <v>70.0</v>
      </c>
      <c r="J137" s="39">
        <v>15.0</v>
      </c>
      <c r="K137" s="39">
        <v>70.0</v>
      </c>
      <c r="L137" s="39">
        <v>50.0</v>
      </c>
      <c r="M137" s="39">
        <v>50.0</v>
      </c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 t="s">
        <v>1015</v>
      </c>
      <c r="B138" s="39">
        <v>0.0</v>
      </c>
      <c r="C138" s="7"/>
      <c r="D138" s="7"/>
      <c r="E138" s="7"/>
      <c r="F138" s="7"/>
      <c r="G138" s="7"/>
      <c r="H138" s="39">
        <v>70.0</v>
      </c>
      <c r="I138" s="39">
        <v>84.0</v>
      </c>
      <c r="J138" s="39">
        <v>70.0</v>
      </c>
      <c r="K138" s="39">
        <v>70.0</v>
      </c>
      <c r="L138" s="39">
        <v>50.0</v>
      </c>
      <c r="M138" s="39">
        <v>21.0</v>
      </c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 t="s">
        <v>1016</v>
      </c>
      <c r="B139" s="39">
        <v>50.0</v>
      </c>
      <c r="C139" s="39" t="str">
        <f t="shared" ref="C139:C140" si="9">vlookup(A139,Sheet2!$1:$1000,2,False)</f>
        <v>#REF!</v>
      </c>
      <c r="D139" s="7"/>
      <c r="E139" s="7"/>
      <c r="F139" s="7"/>
      <c r="G139" s="7"/>
      <c r="H139" s="39">
        <v>70.0</v>
      </c>
      <c r="I139" s="39">
        <v>78.0</v>
      </c>
      <c r="J139" s="39">
        <v>70.0</v>
      </c>
      <c r="K139" s="39">
        <v>70.0</v>
      </c>
      <c r="L139" s="39">
        <v>50.0</v>
      </c>
      <c r="M139" s="39">
        <v>50.0</v>
      </c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 t="s">
        <v>1017</v>
      </c>
      <c r="B140" s="39">
        <v>27.0</v>
      </c>
      <c r="C140" s="39" t="str">
        <f t="shared" si="9"/>
        <v>#REF!</v>
      </c>
      <c r="D140" s="7"/>
      <c r="E140" s="7"/>
      <c r="F140" s="7"/>
      <c r="G140" s="7"/>
      <c r="H140" s="39">
        <v>70.0</v>
      </c>
      <c r="I140" s="39">
        <v>81.0</v>
      </c>
      <c r="J140" s="39">
        <v>75.0</v>
      </c>
      <c r="K140" s="39">
        <v>77.0</v>
      </c>
      <c r="L140" s="39">
        <v>50.0</v>
      </c>
      <c r="M140" s="39">
        <v>20.0</v>
      </c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 t="s">
        <v>1018</v>
      </c>
      <c r="B141" s="39">
        <v>59.0</v>
      </c>
      <c r="C141" s="7"/>
      <c r="D141" s="7"/>
      <c r="E141" s="7"/>
      <c r="F141" s="7"/>
      <c r="G141" s="7"/>
      <c r="H141" s="39">
        <v>74.0</v>
      </c>
      <c r="I141" s="39">
        <v>83.0</v>
      </c>
      <c r="J141" s="39">
        <v>76.0</v>
      </c>
      <c r="K141" s="39">
        <v>81.0</v>
      </c>
      <c r="L141" s="39">
        <v>61.0</v>
      </c>
      <c r="M141" s="39">
        <v>50.0</v>
      </c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 t="s">
        <v>1019</v>
      </c>
      <c r="B142" s="39">
        <v>21.0</v>
      </c>
      <c r="C142" s="7"/>
      <c r="D142" s="7"/>
      <c r="E142" s="7"/>
      <c r="F142" s="7"/>
      <c r="G142" s="7"/>
      <c r="H142" s="39">
        <v>71.0</v>
      </c>
      <c r="I142" s="39">
        <v>76.0</v>
      </c>
      <c r="J142" s="39">
        <v>75.0</v>
      </c>
      <c r="K142" s="39">
        <v>74.0</v>
      </c>
      <c r="L142" s="39">
        <v>40.0</v>
      </c>
      <c r="M142" s="39">
        <v>50.0</v>
      </c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 t="s">
        <v>1020</v>
      </c>
      <c r="B143" s="39">
        <v>21.0</v>
      </c>
      <c r="C143" s="7"/>
      <c r="D143" s="7"/>
      <c r="E143" s="7"/>
      <c r="F143" s="7"/>
      <c r="G143" s="7"/>
      <c r="H143" s="39">
        <v>81.0</v>
      </c>
      <c r="I143" s="39">
        <v>86.0</v>
      </c>
      <c r="J143" s="39">
        <v>72.0</v>
      </c>
      <c r="K143" s="39">
        <v>38.0</v>
      </c>
      <c r="L143" s="39">
        <v>50.0</v>
      </c>
      <c r="M143" s="39">
        <v>50.0</v>
      </c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 t="s">
        <v>1021</v>
      </c>
      <c r="B144" s="39">
        <v>15.0</v>
      </c>
      <c r="C144" s="7"/>
      <c r="D144" s="7"/>
      <c r="E144" s="480"/>
      <c r="F144" s="7"/>
      <c r="G144" s="7"/>
      <c r="H144" s="39">
        <v>69.0</v>
      </c>
      <c r="I144" s="39">
        <v>74.0</v>
      </c>
      <c r="J144" s="39">
        <v>47.0</v>
      </c>
      <c r="K144" s="39">
        <v>70.0</v>
      </c>
      <c r="L144" s="39">
        <v>50.0</v>
      </c>
      <c r="M144" s="39">
        <v>15.0</v>
      </c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 t="s">
        <v>1022</v>
      </c>
      <c r="B145" s="39">
        <v>20.0</v>
      </c>
      <c r="C145" s="7"/>
      <c r="D145" s="7"/>
      <c r="E145" s="7"/>
      <c r="F145" s="7"/>
      <c r="G145" s="7"/>
      <c r="H145" s="39">
        <v>80.0</v>
      </c>
      <c r="I145" s="39">
        <v>87.0</v>
      </c>
      <c r="J145" s="39">
        <v>70.0</v>
      </c>
      <c r="K145" s="39">
        <v>70.0</v>
      </c>
      <c r="L145" s="39">
        <v>59.0</v>
      </c>
      <c r="M145" s="39">
        <v>50.0</v>
      </c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 t="s">
        <v>1023</v>
      </c>
      <c r="B146" s="39">
        <v>9.0</v>
      </c>
      <c r="C146" s="7"/>
      <c r="D146" s="7"/>
      <c r="E146" s="7"/>
      <c r="F146" s="7"/>
      <c r="G146" s="7"/>
      <c r="H146" s="39">
        <v>72.0</v>
      </c>
      <c r="I146" s="39">
        <v>83.0</v>
      </c>
      <c r="J146" s="39">
        <v>73.0</v>
      </c>
      <c r="K146" s="39">
        <v>70.0</v>
      </c>
      <c r="L146" s="39">
        <v>50.0</v>
      </c>
      <c r="M146" s="39">
        <v>17.0</v>
      </c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 t="s">
        <v>1024</v>
      </c>
      <c r="B147" s="39">
        <v>0.0</v>
      </c>
      <c r="C147" s="7"/>
      <c r="D147" s="7"/>
      <c r="E147" s="7"/>
      <c r="F147" s="7"/>
      <c r="G147" s="7"/>
      <c r="H147" s="39">
        <v>69.0</v>
      </c>
      <c r="I147" s="39">
        <v>78.0</v>
      </c>
      <c r="J147" s="39">
        <v>70.0</v>
      </c>
      <c r="K147" s="39">
        <v>58.0</v>
      </c>
      <c r="L147" s="39">
        <v>22.0</v>
      </c>
      <c r="M147" s="39">
        <v>10.0</v>
      </c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 t="s">
        <v>1025</v>
      </c>
      <c r="B148" s="39">
        <v>22.0</v>
      </c>
      <c r="C148" s="7"/>
      <c r="D148" s="7"/>
      <c r="E148" s="7"/>
      <c r="F148" s="7"/>
      <c r="G148" s="7"/>
      <c r="H148" s="39">
        <v>70.0</v>
      </c>
      <c r="I148" s="39">
        <v>75.0</v>
      </c>
      <c r="J148" s="39">
        <v>76.0</v>
      </c>
      <c r="K148" s="39">
        <v>77.0</v>
      </c>
      <c r="L148" s="39">
        <v>50.0</v>
      </c>
      <c r="M148" s="39">
        <v>35.0</v>
      </c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 t="s">
        <v>1026</v>
      </c>
      <c r="B149" s="39">
        <v>50.0</v>
      </c>
      <c r="C149" s="39" t="str">
        <f>vlookup(A149,Sheet2!$1:$1000,2,False)</f>
        <v>#REF!</v>
      </c>
      <c r="D149" s="7"/>
      <c r="E149" s="7"/>
      <c r="F149" s="7"/>
      <c r="G149" s="7"/>
      <c r="H149" s="39">
        <v>86.0</v>
      </c>
      <c r="I149" s="39">
        <v>90.0</v>
      </c>
      <c r="J149" s="39">
        <v>70.0</v>
      </c>
      <c r="K149" s="39">
        <v>70.0</v>
      </c>
      <c r="L149" s="39">
        <v>50.0</v>
      </c>
      <c r="M149" s="39">
        <v>24.0</v>
      </c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 t="s">
        <v>1347</v>
      </c>
      <c r="B150" s="39">
        <v>7.0</v>
      </c>
      <c r="C150" s="7"/>
      <c r="D150" s="7"/>
      <c r="E150" s="7"/>
      <c r="F150" s="7"/>
      <c r="G150" s="7"/>
      <c r="H150" s="39">
        <v>0.0</v>
      </c>
      <c r="I150" s="39">
        <v>0.0</v>
      </c>
      <c r="J150" s="39">
        <v>40.0</v>
      </c>
      <c r="K150" s="39">
        <v>0.0</v>
      </c>
      <c r="L150" s="39">
        <v>20.0</v>
      </c>
      <c r="M150" s="39">
        <v>50.0</v>
      </c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 t="s">
        <v>1196</v>
      </c>
      <c r="B151" s="39">
        <v>66.0</v>
      </c>
      <c r="C151" s="7"/>
      <c r="D151" s="7"/>
      <c r="E151" s="7"/>
      <c r="F151" s="7"/>
      <c r="G151" s="7"/>
      <c r="H151" s="39">
        <v>83.0</v>
      </c>
      <c r="I151" s="39">
        <v>86.0</v>
      </c>
      <c r="J151" s="39">
        <v>84.0</v>
      </c>
      <c r="K151" s="39">
        <v>84.0</v>
      </c>
      <c r="L151" s="39">
        <v>76.0</v>
      </c>
      <c r="M151" s="39">
        <v>50.0</v>
      </c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 t="s">
        <v>1197</v>
      </c>
      <c r="B152" s="39">
        <v>53.0</v>
      </c>
      <c r="C152" s="7"/>
      <c r="D152" s="7"/>
      <c r="E152" s="7"/>
      <c r="F152" s="7"/>
      <c r="G152" s="7"/>
      <c r="H152" s="39">
        <v>79.0</v>
      </c>
      <c r="I152" s="39">
        <v>80.0</v>
      </c>
      <c r="J152" s="39">
        <v>70.0</v>
      </c>
      <c r="K152" s="39">
        <v>70.0</v>
      </c>
      <c r="L152" s="39">
        <v>50.0</v>
      </c>
      <c r="M152" s="39">
        <v>50.0</v>
      </c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 t="s">
        <v>1198</v>
      </c>
      <c r="B153" s="39">
        <v>12.0</v>
      </c>
      <c r="C153" s="7"/>
      <c r="D153" s="7"/>
      <c r="E153" s="7"/>
      <c r="F153" s="7"/>
      <c r="G153" s="7"/>
      <c r="H153" s="39">
        <v>92.0</v>
      </c>
      <c r="I153" s="39">
        <v>91.0</v>
      </c>
      <c r="J153" s="39">
        <v>70.0</v>
      </c>
      <c r="K153" s="39">
        <v>73.0</v>
      </c>
      <c r="L153" s="39">
        <v>10.0</v>
      </c>
      <c r="M153" s="39">
        <v>22.0</v>
      </c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 t="s">
        <v>1199</v>
      </c>
      <c r="B154" s="39">
        <v>11.0</v>
      </c>
      <c r="C154" s="7"/>
      <c r="D154" s="7"/>
      <c r="E154" s="7"/>
      <c r="F154" s="7"/>
      <c r="G154" s="7"/>
      <c r="H154" s="39">
        <v>81.0</v>
      </c>
      <c r="I154" s="39">
        <v>84.0</v>
      </c>
      <c r="J154" s="39">
        <v>70.0</v>
      </c>
      <c r="K154" s="39">
        <v>81.0</v>
      </c>
      <c r="L154" s="39">
        <v>50.0</v>
      </c>
      <c r="M154" s="39">
        <v>57.0</v>
      </c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 t="s">
        <v>1200</v>
      </c>
      <c r="B155" s="39">
        <v>10.0</v>
      </c>
      <c r="C155" s="7"/>
      <c r="D155" s="7"/>
      <c r="E155" s="7"/>
      <c r="F155" s="7"/>
      <c r="G155" s="7"/>
      <c r="H155" s="39">
        <v>73.0</v>
      </c>
      <c r="I155" s="39">
        <v>65.0</v>
      </c>
      <c r="J155" s="39">
        <v>50.0</v>
      </c>
      <c r="K155" s="39">
        <v>45.0</v>
      </c>
      <c r="L155" s="39">
        <v>35.0</v>
      </c>
      <c r="M155" s="39">
        <v>25.0</v>
      </c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 t="s">
        <v>1201</v>
      </c>
      <c r="B156" s="39">
        <v>0.0</v>
      </c>
      <c r="C156" s="7"/>
      <c r="D156" s="7"/>
      <c r="E156" s="7"/>
      <c r="F156" s="7"/>
      <c r="G156" s="7"/>
      <c r="H156" s="39">
        <v>86.0</v>
      </c>
      <c r="I156" s="39">
        <v>95.0</v>
      </c>
      <c r="J156" s="39">
        <v>80.0</v>
      </c>
      <c r="K156" s="39">
        <v>61.0</v>
      </c>
      <c r="L156" s="39">
        <v>67.0</v>
      </c>
      <c r="M156" s="39">
        <v>50.0</v>
      </c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 t="s">
        <v>1202</v>
      </c>
      <c r="B157" s="39">
        <v>50.0</v>
      </c>
      <c r="C157" s="39" t="str">
        <f>vlookup(A157,Sheet2!$1:$1000,2,False)</f>
        <v>#REF!</v>
      </c>
      <c r="D157" s="7"/>
      <c r="E157" s="7"/>
      <c r="F157" s="7"/>
      <c r="G157" s="7"/>
      <c r="H157" s="39">
        <v>76.0</v>
      </c>
      <c r="I157" s="39">
        <v>85.0</v>
      </c>
      <c r="J157" s="39">
        <v>71.0</v>
      </c>
      <c r="K157" s="39">
        <v>72.0</v>
      </c>
      <c r="L157" s="39">
        <v>50.0</v>
      </c>
      <c r="M157" s="39">
        <v>35.0</v>
      </c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 t="s">
        <v>1203</v>
      </c>
      <c r="B158" s="39">
        <v>51.0</v>
      </c>
      <c r="C158" s="7"/>
      <c r="D158" s="7"/>
      <c r="E158" s="7"/>
      <c r="F158" s="7"/>
      <c r="G158" s="7"/>
      <c r="H158" s="39">
        <v>85.0</v>
      </c>
      <c r="I158" s="39">
        <v>86.0</v>
      </c>
      <c r="J158" s="39">
        <v>86.0</v>
      </c>
      <c r="K158" s="39">
        <v>83.0</v>
      </c>
      <c r="L158" s="39">
        <v>76.0</v>
      </c>
      <c r="M158" s="39">
        <v>57.0</v>
      </c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 t="s">
        <v>1204</v>
      </c>
      <c r="B159" s="39">
        <v>50.0</v>
      </c>
      <c r="C159" s="39" t="str">
        <f>vlookup(A159,Sheet2!$1:$1000,2,False)</f>
        <v>#REF!</v>
      </c>
      <c r="D159" s="7"/>
      <c r="E159" s="7"/>
      <c r="F159" s="7"/>
      <c r="G159" s="7"/>
      <c r="H159" s="39">
        <v>77.0</v>
      </c>
      <c r="I159" s="39">
        <v>75.0</v>
      </c>
      <c r="J159" s="39">
        <v>71.0</v>
      </c>
      <c r="K159" s="39">
        <v>84.0</v>
      </c>
      <c r="L159" s="39">
        <v>57.0</v>
      </c>
      <c r="M159" s="39">
        <v>54.0</v>
      </c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 t="s">
        <v>1205</v>
      </c>
      <c r="B160" s="39">
        <v>55.0</v>
      </c>
      <c r="C160" s="7"/>
      <c r="D160" s="7"/>
      <c r="E160" s="7"/>
      <c r="F160" s="7"/>
      <c r="G160" s="7"/>
      <c r="H160" s="39">
        <v>88.0</v>
      </c>
      <c r="I160" s="39">
        <v>87.0</v>
      </c>
      <c r="J160" s="39">
        <v>72.0</v>
      </c>
      <c r="K160" s="39">
        <v>78.0</v>
      </c>
      <c r="L160" s="39">
        <v>68.0</v>
      </c>
      <c r="M160" s="39">
        <v>52.0</v>
      </c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 t="s">
        <v>1206</v>
      </c>
      <c r="B161" s="39">
        <v>52.0</v>
      </c>
      <c r="C161" s="7"/>
      <c r="D161" s="7"/>
      <c r="E161" s="7"/>
      <c r="F161" s="7"/>
      <c r="G161" s="7"/>
      <c r="H161" s="39">
        <v>81.0</v>
      </c>
      <c r="I161" s="39">
        <v>88.0</v>
      </c>
      <c r="J161" s="39">
        <v>70.0</v>
      </c>
      <c r="K161" s="39">
        <v>70.0</v>
      </c>
      <c r="L161" s="39">
        <v>58.0</v>
      </c>
      <c r="M161" s="39">
        <v>50.0</v>
      </c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 t="s">
        <v>1207</v>
      </c>
      <c r="B162" s="39">
        <v>0.0</v>
      </c>
      <c r="C162" s="7"/>
      <c r="D162" s="7"/>
      <c r="E162" s="7"/>
      <c r="F162" s="7"/>
      <c r="G162" s="7"/>
      <c r="H162" s="39">
        <v>81.0</v>
      </c>
      <c r="I162" s="39">
        <v>80.0</v>
      </c>
      <c r="J162" s="39">
        <v>70.0</v>
      </c>
      <c r="K162" s="39">
        <v>70.0</v>
      </c>
      <c r="L162" s="39">
        <v>50.0</v>
      </c>
      <c r="M162" s="39">
        <v>1.0</v>
      </c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 t="s">
        <v>1208</v>
      </c>
      <c r="B163" s="39">
        <v>0.0</v>
      </c>
      <c r="C163" s="7"/>
      <c r="D163" s="7"/>
      <c r="E163" s="7"/>
      <c r="F163" s="7"/>
      <c r="G163" s="7"/>
      <c r="H163" s="39">
        <v>80.0</v>
      </c>
      <c r="I163" s="39">
        <v>77.0</v>
      </c>
      <c r="J163" s="39">
        <v>51.0</v>
      </c>
      <c r="K163" s="39">
        <v>29.0</v>
      </c>
      <c r="L163" s="39">
        <v>35.0</v>
      </c>
      <c r="M163" s="39">
        <v>0.0</v>
      </c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 t="s">
        <v>1209</v>
      </c>
      <c r="B164" s="39">
        <v>52.0</v>
      </c>
      <c r="C164" s="7"/>
      <c r="D164" s="7"/>
      <c r="E164" s="7"/>
      <c r="F164" s="7"/>
      <c r="G164" s="7"/>
      <c r="H164" s="39">
        <v>89.0</v>
      </c>
      <c r="I164" s="39">
        <v>87.0</v>
      </c>
      <c r="J164" s="39">
        <v>71.0</v>
      </c>
      <c r="K164" s="39">
        <v>78.0</v>
      </c>
      <c r="L164" s="39">
        <v>50.0</v>
      </c>
      <c r="M164" s="39">
        <v>50.0</v>
      </c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 t="s">
        <v>1210</v>
      </c>
      <c r="B165" s="39">
        <v>61.0</v>
      </c>
      <c r="C165" s="7"/>
      <c r="D165" s="7"/>
      <c r="E165" s="7"/>
      <c r="F165" s="7"/>
      <c r="G165" s="7"/>
      <c r="H165" s="39">
        <v>80.0</v>
      </c>
      <c r="I165" s="39">
        <v>87.0</v>
      </c>
      <c r="J165" s="39">
        <v>70.0</v>
      </c>
      <c r="K165" s="39">
        <v>70.0</v>
      </c>
      <c r="L165" s="39">
        <v>71.0</v>
      </c>
      <c r="M165" s="39">
        <v>53.0</v>
      </c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 t="s">
        <v>1211</v>
      </c>
      <c r="B166" s="39">
        <v>12.0</v>
      </c>
      <c r="C166" s="7"/>
      <c r="D166" s="7"/>
      <c r="E166" s="7"/>
      <c r="F166" s="7"/>
      <c r="G166" s="7"/>
      <c r="H166" s="39">
        <v>77.0</v>
      </c>
      <c r="I166" s="39">
        <v>81.0</v>
      </c>
      <c r="J166" s="39">
        <v>70.0</v>
      </c>
      <c r="K166" s="39">
        <v>70.0</v>
      </c>
      <c r="L166" s="39">
        <v>50.0</v>
      </c>
      <c r="M166" s="39">
        <v>53.0</v>
      </c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 t="s">
        <v>1212</v>
      </c>
      <c r="B167" s="39">
        <v>50.0</v>
      </c>
      <c r="C167" s="39" t="str">
        <f>vlookup(A167,Sheet2!$1:$1000,2,False)</f>
        <v>#REF!</v>
      </c>
      <c r="D167" s="7"/>
      <c r="E167" s="7"/>
      <c r="F167" s="7"/>
      <c r="G167" s="7"/>
      <c r="H167" s="39">
        <v>86.0</v>
      </c>
      <c r="I167" s="39">
        <v>82.0</v>
      </c>
      <c r="J167" s="39">
        <v>70.0</v>
      </c>
      <c r="K167" s="39">
        <v>84.0</v>
      </c>
      <c r="L167" s="39">
        <v>61.0</v>
      </c>
      <c r="M167" s="39">
        <v>50.0</v>
      </c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 t="s">
        <v>1213</v>
      </c>
      <c r="B168" s="39">
        <v>0.0</v>
      </c>
      <c r="C168" s="7"/>
      <c r="D168" s="7"/>
      <c r="E168" s="7"/>
      <c r="F168" s="7"/>
      <c r="G168" s="7"/>
      <c r="H168" s="39">
        <v>84.0</v>
      </c>
      <c r="I168" s="39">
        <v>78.0</v>
      </c>
      <c r="J168" s="39">
        <v>28.0</v>
      </c>
      <c r="K168" s="39">
        <v>4.0</v>
      </c>
      <c r="L168" s="39">
        <v>50.0</v>
      </c>
      <c r="M168" s="39">
        <v>0.0</v>
      </c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 t="s">
        <v>1214</v>
      </c>
      <c r="B169" s="39">
        <v>50.0</v>
      </c>
      <c r="C169" s="39" t="str">
        <f>vlookup(A169,Sheet2!$1:$1000,2,False)</f>
        <v>#REF!</v>
      </c>
      <c r="D169" s="7"/>
      <c r="E169" s="7"/>
      <c r="F169" s="7"/>
      <c r="G169" s="7"/>
      <c r="H169" s="39">
        <v>80.0</v>
      </c>
      <c r="I169" s="39">
        <v>74.0</v>
      </c>
      <c r="J169" s="39">
        <v>70.0</v>
      </c>
      <c r="K169" s="39">
        <v>72.0</v>
      </c>
      <c r="L169" s="39">
        <v>50.0</v>
      </c>
      <c r="M169" s="39">
        <v>50.0</v>
      </c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 t="s">
        <v>1215</v>
      </c>
      <c r="B170" s="39">
        <v>53.0</v>
      </c>
      <c r="C170" s="7"/>
      <c r="D170" s="7"/>
      <c r="E170" s="7"/>
      <c r="F170" s="7"/>
      <c r="G170" s="7"/>
      <c r="H170" s="39">
        <v>79.0</v>
      </c>
      <c r="I170" s="39">
        <v>83.0</v>
      </c>
      <c r="J170" s="39">
        <v>77.0</v>
      </c>
      <c r="K170" s="39">
        <v>79.0</v>
      </c>
      <c r="L170" s="39">
        <v>50.0</v>
      </c>
      <c r="M170" s="39">
        <v>52.0</v>
      </c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 t="s">
        <v>1216</v>
      </c>
      <c r="B171" s="39">
        <v>50.0</v>
      </c>
      <c r="C171" s="39" t="str">
        <f>vlookup(A171,Sheet2!$1:$1000,2,False)</f>
        <v>#REF!</v>
      </c>
      <c r="D171" s="7"/>
      <c r="E171" s="7"/>
      <c r="F171" s="7"/>
      <c r="G171" s="7"/>
      <c r="H171" s="39">
        <v>71.0</v>
      </c>
      <c r="I171" s="39">
        <v>73.0</v>
      </c>
      <c r="J171" s="39">
        <v>70.0</v>
      </c>
      <c r="K171" s="39">
        <v>70.0</v>
      </c>
      <c r="L171" s="39">
        <v>50.0</v>
      </c>
      <c r="M171" s="39">
        <v>19.0</v>
      </c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 t="s">
        <v>1218</v>
      </c>
      <c r="B172" s="39">
        <v>51.0</v>
      </c>
      <c r="C172" s="7"/>
      <c r="D172" s="7"/>
      <c r="E172" s="7"/>
      <c r="F172" s="7"/>
      <c r="G172" s="7"/>
      <c r="H172" s="39">
        <v>84.0</v>
      </c>
      <c r="I172" s="39">
        <v>87.0</v>
      </c>
      <c r="J172" s="39">
        <v>70.0</v>
      </c>
      <c r="K172" s="39">
        <v>70.0</v>
      </c>
      <c r="L172" s="39">
        <v>50.0</v>
      </c>
      <c r="M172" s="39">
        <v>34.0</v>
      </c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 t="s">
        <v>1219</v>
      </c>
      <c r="B173" s="39">
        <v>0.0</v>
      </c>
      <c r="C173" s="7"/>
      <c r="D173" s="7"/>
      <c r="E173" s="7"/>
      <c r="F173" s="7"/>
      <c r="G173" s="7"/>
      <c r="H173" s="39">
        <v>88.0</v>
      </c>
      <c r="I173" s="39">
        <v>85.0</v>
      </c>
      <c r="J173" s="39">
        <v>70.0</v>
      </c>
      <c r="K173" s="39">
        <v>70.0</v>
      </c>
      <c r="L173" s="39">
        <v>68.0</v>
      </c>
      <c r="M173" s="39">
        <v>17.0</v>
      </c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 t="s">
        <v>1220</v>
      </c>
      <c r="B174" s="39">
        <v>50.0</v>
      </c>
      <c r="C174" s="39" t="str">
        <f t="shared" ref="C174:C175" si="10">vlookup(A174,Sheet2!$1:$1000,2,False)</f>
        <v>#REF!</v>
      </c>
      <c r="D174" s="7"/>
      <c r="E174" s="7"/>
      <c r="F174" s="7"/>
      <c r="G174" s="7"/>
      <c r="H174" s="39">
        <v>85.0</v>
      </c>
      <c r="I174" s="39">
        <v>78.0</v>
      </c>
      <c r="J174" s="39">
        <v>70.0</v>
      </c>
      <c r="K174" s="39">
        <v>80.0</v>
      </c>
      <c r="L174" s="39">
        <v>69.0</v>
      </c>
      <c r="M174" s="39">
        <v>55.0</v>
      </c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 t="s">
        <v>1221</v>
      </c>
      <c r="B175" s="39">
        <v>50.0</v>
      </c>
      <c r="C175" s="39" t="str">
        <f t="shared" si="10"/>
        <v>#REF!</v>
      </c>
      <c r="D175" s="7"/>
      <c r="E175" s="7"/>
      <c r="F175" s="7"/>
      <c r="G175" s="7"/>
      <c r="H175" s="39">
        <v>81.0</v>
      </c>
      <c r="I175" s="39">
        <v>84.0</v>
      </c>
      <c r="J175" s="39">
        <v>70.0</v>
      </c>
      <c r="K175" s="39">
        <v>70.0</v>
      </c>
      <c r="L175" s="39">
        <v>50.0</v>
      </c>
      <c r="M175" s="39">
        <v>50.0</v>
      </c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 t="s">
        <v>1222</v>
      </c>
      <c r="B176" s="39">
        <v>51.0</v>
      </c>
      <c r="C176" s="7"/>
      <c r="D176" s="7"/>
      <c r="E176" s="7"/>
      <c r="F176" s="7"/>
      <c r="G176" s="7"/>
      <c r="H176" s="39">
        <v>87.0</v>
      </c>
      <c r="I176" s="39">
        <v>94.0</v>
      </c>
      <c r="J176" s="39">
        <v>70.0</v>
      </c>
      <c r="K176" s="39">
        <v>71.0</v>
      </c>
      <c r="L176" s="39">
        <v>61.0</v>
      </c>
      <c r="M176" s="39">
        <v>50.0</v>
      </c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 t="s">
        <v>1223</v>
      </c>
      <c r="B177" s="39">
        <v>50.0</v>
      </c>
      <c r="C177" s="7"/>
      <c r="D177" s="7"/>
      <c r="E177" s="7"/>
      <c r="F177" s="7"/>
      <c r="G177" s="7"/>
      <c r="H177" s="39">
        <v>75.0</v>
      </c>
      <c r="I177" s="39">
        <v>80.0</v>
      </c>
      <c r="J177" s="39">
        <v>57.0</v>
      </c>
      <c r="K177" s="39">
        <v>70.0</v>
      </c>
      <c r="L177" s="39">
        <v>50.0</v>
      </c>
      <c r="M177" s="39">
        <v>50.0</v>
      </c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 t="s">
        <v>1224</v>
      </c>
      <c r="B178" s="39">
        <v>56.0</v>
      </c>
      <c r="C178" s="7"/>
      <c r="D178" s="7"/>
      <c r="E178" s="7"/>
      <c r="F178" s="7"/>
      <c r="G178" s="7"/>
      <c r="H178" s="39">
        <v>82.0</v>
      </c>
      <c r="I178" s="39">
        <v>91.0</v>
      </c>
      <c r="J178" s="39">
        <v>70.0</v>
      </c>
      <c r="K178" s="39">
        <v>70.0</v>
      </c>
      <c r="L178" s="39">
        <v>75.0</v>
      </c>
      <c r="M178" s="39">
        <v>58.0</v>
      </c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 t="s">
        <v>1225</v>
      </c>
      <c r="B179" s="39">
        <v>50.0</v>
      </c>
      <c r="C179" s="39" t="str">
        <f>vlookup(A179,Sheet2!$1:$1000,2,False)</f>
        <v>#REF!</v>
      </c>
      <c r="D179" s="7"/>
      <c r="E179" s="7"/>
      <c r="F179" s="7"/>
      <c r="G179" s="7"/>
      <c r="H179" s="39">
        <v>85.0</v>
      </c>
      <c r="I179" s="39">
        <v>93.0</v>
      </c>
      <c r="J179" s="39">
        <v>70.0</v>
      </c>
      <c r="K179" s="39">
        <v>83.0</v>
      </c>
      <c r="L179" s="39">
        <v>50.0</v>
      </c>
      <c r="M179" s="39">
        <v>50.0</v>
      </c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 t="s">
        <v>1226</v>
      </c>
      <c r="B180" s="39">
        <v>0.0</v>
      </c>
      <c r="C180" s="7"/>
      <c r="D180" s="7"/>
      <c r="E180" s="7"/>
      <c r="F180" s="7"/>
      <c r="G180" s="7"/>
      <c r="H180" s="39">
        <v>78.0</v>
      </c>
      <c r="I180" s="39">
        <v>86.0</v>
      </c>
      <c r="J180" s="39">
        <v>70.0</v>
      </c>
      <c r="K180" s="39">
        <v>70.0</v>
      </c>
      <c r="L180" s="39">
        <v>61.0</v>
      </c>
      <c r="M180" s="39">
        <v>50.0</v>
      </c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 t="s">
        <v>1228</v>
      </c>
      <c r="B181" s="39">
        <v>51.0</v>
      </c>
      <c r="C181" s="7"/>
      <c r="D181" s="7"/>
      <c r="E181" s="7"/>
      <c r="F181" s="7"/>
      <c r="G181" s="7"/>
      <c r="H181" s="39">
        <v>83.0</v>
      </c>
      <c r="I181" s="39">
        <v>78.0</v>
      </c>
      <c r="J181" s="39">
        <v>70.0</v>
      </c>
      <c r="K181" s="39">
        <v>70.0</v>
      </c>
      <c r="L181" s="39">
        <v>50.0</v>
      </c>
      <c r="M181" s="39">
        <v>50.0</v>
      </c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 t="s">
        <v>1229</v>
      </c>
      <c r="B182" s="39">
        <v>48.0</v>
      </c>
      <c r="C182" s="7"/>
      <c r="D182" s="7"/>
      <c r="E182" s="7"/>
      <c r="F182" s="7"/>
      <c r="G182" s="7"/>
      <c r="H182" s="39">
        <v>72.0</v>
      </c>
      <c r="I182" s="39">
        <v>73.0</v>
      </c>
      <c r="J182" s="39">
        <v>70.0</v>
      </c>
      <c r="K182" s="39">
        <v>70.0</v>
      </c>
      <c r="L182" s="39">
        <v>50.0</v>
      </c>
      <c r="M182" s="39">
        <v>17.0</v>
      </c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 t="s">
        <v>1230</v>
      </c>
      <c r="B183" s="39">
        <v>53.0</v>
      </c>
      <c r="C183" s="7"/>
      <c r="D183" s="7"/>
      <c r="E183" s="7"/>
      <c r="F183" s="7"/>
      <c r="G183" s="7"/>
      <c r="H183" s="39">
        <v>79.0</v>
      </c>
      <c r="I183" s="39">
        <v>84.0</v>
      </c>
      <c r="J183" s="39">
        <v>79.0</v>
      </c>
      <c r="K183" s="39">
        <v>74.0</v>
      </c>
      <c r="L183" s="39">
        <v>59.0</v>
      </c>
      <c r="M183" s="39">
        <v>50.0</v>
      </c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 t="s">
        <v>1231</v>
      </c>
      <c r="B184" s="39">
        <v>50.0</v>
      </c>
      <c r="C184" s="7"/>
      <c r="D184" s="7"/>
      <c r="E184" s="7"/>
      <c r="F184" s="7"/>
      <c r="G184" s="7"/>
      <c r="H184" s="39">
        <v>77.0</v>
      </c>
      <c r="I184" s="39">
        <v>79.0</v>
      </c>
      <c r="J184" s="39">
        <v>70.0</v>
      </c>
      <c r="K184" s="39">
        <v>70.0</v>
      </c>
      <c r="L184" s="39">
        <v>50.0</v>
      </c>
      <c r="M184" s="39">
        <v>51.0</v>
      </c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 t="s">
        <v>1232</v>
      </c>
      <c r="B185" s="39">
        <v>60.0</v>
      </c>
      <c r="C185" s="7"/>
      <c r="D185" s="7"/>
      <c r="E185" s="7"/>
      <c r="F185" s="7"/>
      <c r="G185" s="7"/>
      <c r="H185" s="39">
        <v>90.0</v>
      </c>
      <c r="I185" s="39">
        <v>89.0</v>
      </c>
      <c r="J185" s="39">
        <v>76.0</v>
      </c>
      <c r="K185" s="39">
        <v>86.0</v>
      </c>
      <c r="L185" s="39">
        <v>56.0</v>
      </c>
      <c r="M185" s="39">
        <v>59.0</v>
      </c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 t="s">
        <v>1233</v>
      </c>
      <c r="B186" s="39">
        <v>63.0</v>
      </c>
      <c r="C186" s="7"/>
      <c r="D186" s="7"/>
      <c r="E186" s="7"/>
      <c r="F186" s="7"/>
      <c r="G186" s="7"/>
      <c r="H186" s="39">
        <v>83.0</v>
      </c>
      <c r="I186" s="39">
        <v>85.0</v>
      </c>
      <c r="J186" s="39">
        <v>70.0</v>
      </c>
      <c r="K186" s="39">
        <v>77.0</v>
      </c>
      <c r="L186" s="39">
        <v>78.0</v>
      </c>
      <c r="M186" s="39">
        <v>52.0</v>
      </c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 t="s">
        <v>1234</v>
      </c>
      <c r="B187" s="39">
        <v>50.0</v>
      </c>
      <c r="C187" s="39" t="str">
        <f>vlookup(A187,Sheet2!$1:$1000,2,False)</f>
        <v>#REF!</v>
      </c>
      <c r="D187" s="7"/>
      <c r="E187" s="7"/>
      <c r="F187" s="7"/>
      <c r="G187" s="7"/>
      <c r="H187" s="39">
        <v>85.0</v>
      </c>
      <c r="I187" s="39">
        <v>84.0</v>
      </c>
      <c r="J187" s="39">
        <v>70.0</v>
      </c>
      <c r="K187" s="39">
        <v>70.0</v>
      </c>
      <c r="L187" s="39">
        <v>50.0</v>
      </c>
      <c r="M187" s="39">
        <v>50.0</v>
      </c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 t="s">
        <v>1235</v>
      </c>
      <c r="B188" s="39">
        <v>0.0</v>
      </c>
      <c r="C188" s="7"/>
      <c r="D188" s="7"/>
      <c r="E188" s="7"/>
      <c r="F188" s="7"/>
      <c r="G188" s="7"/>
      <c r="H188" s="39">
        <v>70.0</v>
      </c>
      <c r="I188" s="39">
        <v>70.0</v>
      </c>
      <c r="J188" s="39">
        <v>56.0</v>
      </c>
      <c r="K188" s="39">
        <v>70.0</v>
      </c>
      <c r="L188" s="39">
        <v>29.0</v>
      </c>
      <c r="M188" s="39">
        <v>6.0</v>
      </c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 t="s">
        <v>1236</v>
      </c>
      <c r="B189" s="39">
        <v>8.0</v>
      </c>
      <c r="C189" s="7"/>
      <c r="D189" s="7"/>
      <c r="E189" s="7"/>
      <c r="F189" s="7"/>
      <c r="G189" s="7"/>
      <c r="H189" s="39">
        <v>80.0</v>
      </c>
      <c r="I189" s="39">
        <v>83.0</v>
      </c>
      <c r="J189" s="39">
        <v>70.0</v>
      </c>
      <c r="K189" s="39">
        <v>70.0</v>
      </c>
      <c r="L189" s="39">
        <v>50.0</v>
      </c>
      <c r="M189" s="39">
        <v>50.0</v>
      </c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 t="s">
        <v>1237</v>
      </c>
      <c r="B190" s="39">
        <v>6.0</v>
      </c>
      <c r="C190" s="7"/>
      <c r="D190" s="7"/>
      <c r="E190" s="7"/>
      <c r="F190" s="7"/>
      <c r="G190" s="7"/>
      <c r="H190" s="39">
        <v>75.0</v>
      </c>
      <c r="I190" s="39">
        <v>80.0</v>
      </c>
      <c r="J190" s="39">
        <v>70.0</v>
      </c>
      <c r="K190" s="39">
        <v>70.0</v>
      </c>
      <c r="L190" s="39">
        <v>50.0</v>
      </c>
      <c r="M190" s="39">
        <v>25.0</v>
      </c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 t="s">
        <v>1238</v>
      </c>
      <c r="B191" s="39">
        <v>12.0</v>
      </c>
      <c r="C191" s="7"/>
      <c r="D191" s="7"/>
      <c r="E191" s="7"/>
      <c r="F191" s="7"/>
      <c r="G191" s="7"/>
      <c r="H191" s="39">
        <v>76.0</v>
      </c>
      <c r="I191" s="39">
        <v>79.0</v>
      </c>
      <c r="J191" s="39">
        <v>70.0</v>
      </c>
      <c r="K191" s="39">
        <v>74.0</v>
      </c>
      <c r="L191" s="39">
        <v>50.0</v>
      </c>
      <c r="M191" s="39">
        <v>23.0</v>
      </c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 t="s">
        <v>1239</v>
      </c>
      <c r="B192" s="39">
        <v>0.0</v>
      </c>
      <c r="C192" s="7"/>
      <c r="D192" s="7"/>
      <c r="E192" s="7"/>
      <c r="F192" s="7"/>
      <c r="G192" s="7"/>
      <c r="H192" s="39">
        <v>81.0</v>
      </c>
      <c r="I192" s="39">
        <v>81.0</v>
      </c>
      <c r="J192" s="39">
        <v>70.0</v>
      </c>
      <c r="K192" s="39">
        <v>81.0</v>
      </c>
      <c r="L192" s="39">
        <v>35.0</v>
      </c>
      <c r="M192" s="39">
        <v>33.0</v>
      </c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 t="s">
        <v>1241</v>
      </c>
      <c r="B193" s="39">
        <v>66.0</v>
      </c>
      <c r="C193" s="7"/>
      <c r="D193" s="7"/>
      <c r="E193" s="7"/>
      <c r="F193" s="7"/>
      <c r="G193" s="7"/>
      <c r="H193" s="39">
        <v>85.0</v>
      </c>
      <c r="I193" s="39">
        <v>89.0</v>
      </c>
      <c r="J193" s="39">
        <v>74.0</v>
      </c>
      <c r="K193" s="39">
        <v>86.0</v>
      </c>
      <c r="L193" s="39">
        <v>80.0</v>
      </c>
      <c r="M193" s="39">
        <v>77.0</v>
      </c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 t="s">
        <v>1242</v>
      </c>
      <c r="B194" s="39">
        <v>50.0</v>
      </c>
      <c r="C194" s="39" t="str">
        <f t="shared" ref="C194:C196" si="11">vlookup(A194,Sheet2!$1:$1000,2,False)</f>
        <v>#REF!</v>
      </c>
      <c r="D194" s="7"/>
      <c r="E194" s="7"/>
      <c r="F194" s="7"/>
      <c r="G194" s="7"/>
      <c r="H194" s="39">
        <v>88.0</v>
      </c>
      <c r="I194" s="39">
        <v>86.0</v>
      </c>
      <c r="J194" s="39">
        <v>74.0</v>
      </c>
      <c r="K194" s="39">
        <v>75.0</v>
      </c>
      <c r="L194" s="39">
        <v>50.0</v>
      </c>
      <c r="M194" s="39">
        <v>27.0</v>
      </c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 t="s">
        <v>1243</v>
      </c>
      <c r="B195" s="39">
        <v>50.0</v>
      </c>
      <c r="C195" s="39" t="str">
        <f t="shared" si="11"/>
        <v>#REF!</v>
      </c>
      <c r="D195" s="7"/>
      <c r="E195" s="7"/>
      <c r="F195" s="7"/>
      <c r="G195" s="7"/>
      <c r="H195" s="39">
        <v>77.0</v>
      </c>
      <c r="I195" s="39">
        <v>80.0</v>
      </c>
      <c r="J195" s="39">
        <v>70.0</v>
      </c>
      <c r="K195" s="39">
        <v>70.0</v>
      </c>
      <c r="L195" s="39">
        <v>50.0</v>
      </c>
      <c r="M195" s="39">
        <v>50.0</v>
      </c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 t="s">
        <v>1244</v>
      </c>
      <c r="B196" s="39">
        <v>32.0</v>
      </c>
      <c r="C196" s="39" t="str">
        <f t="shared" si="11"/>
        <v>#REF!</v>
      </c>
      <c r="D196" s="7"/>
      <c r="E196" s="7"/>
      <c r="F196" s="7"/>
      <c r="G196" s="7"/>
      <c r="H196" s="39">
        <v>73.0</v>
      </c>
      <c r="I196" s="39">
        <v>71.0</v>
      </c>
      <c r="J196" s="39">
        <v>70.0</v>
      </c>
      <c r="K196" s="39">
        <v>70.0</v>
      </c>
      <c r="L196" s="39">
        <v>50.0</v>
      </c>
      <c r="M196" s="39">
        <v>16.0</v>
      </c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 t="s">
        <v>1245</v>
      </c>
      <c r="B197" s="39">
        <v>17.0</v>
      </c>
      <c r="C197" s="7"/>
      <c r="D197" s="7"/>
      <c r="E197" s="7"/>
      <c r="F197" s="7"/>
      <c r="G197" s="7"/>
      <c r="H197" s="39">
        <v>81.0</v>
      </c>
      <c r="I197" s="39">
        <v>86.0</v>
      </c>
      <c r="J197" s="39">
        <v>78.0</v>
      </c>
      <c r="K197" s="39">
        <v>70.0</v>
      </c>
      <c r="L197" s="39">
        <v>52.0</v>
      </c>
      <c r="M197" s="39">
        <v>31.0</v>
      </c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 t="s">
        <v>1246</v>
      </c>
      <c r="B198" s="39">
        <v>50.0</v>
      </c>
      <c r="C198" s="39" t="str">
        <f t="shared" ref="C198:C199" si="12">vlookup(A198,Sheet2!$1:$1000,2,False)</f>
        <v>#REF!</v>
      </c>
      <c r="D198" s="7"/>
      <c r="E198" s="7"/>
      <c r="F198" s="7"/>
      <c r="G198" s="7"/>
      <c r="H198" s="39">
        <v>91.0</v>
      </c>
      <c r="I198" s="39">
        <v>92.0</v>
      </c>
      <c r="J198" s="39">
        <v>83.0</v>
      </c>
      <c r="K198" s="39">
        <v>83.0</v>
      </c>
      <c r="L198" s="39">
        <v>52.0</v>
      </c>
      <c r="M198" s="39">
        <v>50.0</v>
      </c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 t="s">
        <v>1247</v>
      </c>
      <c r="B199" s="39">
        <v>50.0</v>
      </c>
      <c r="C199" s="39" t="str">
        <f t="shared" si="12"/>
        <v>#REF!</v>
      </c>
      <c r="D199" s="7"/>
      <c r="E199" s="7"/>
      <c r="F199" s="7"/>
      <c r="G199" s="7"/>
      <c r="H199" s="39">
        <v>82.0</v>
      </c>
      <c r="I199" s="39">
        <v>84.0</v>
      </c>
      <c r="J199" s="39">
        <v>70.0</v>
      </c>
      <c r="K199" s="39">
        <v>70.0</v>
      </c>
      <c r="L199" s="39">
        <v>50.0</v>
      </c>
      <c r="M199" s="39">
        <v>50.0</v>
      </c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 t="s">
        <v>1248</v>
      </c>
      <c r="B200" s="39">
        <v>7.0</v>
      </c>
      <c r="C200" s="7"/>
      <c r="D200" s="7"/>
      <c r="E200" s="7"/>
      <c r="F200" s="7"/>
      <c r="G200" s="7"/>
      <c r="H200" s="39">
        <v>81.0</v>
      </c>
      <c r="I200" s="39">
        <v>85.0</v>
      </c>
      <c r="J200" s="39">
        <v>70.0</v>
      </c>
      <c r="K200" s="39">
        <v>70.0</v>
      </c>
      <c r="L200" s="39">
        <v>50.0</v>
      </c>
      <c r="M200" s="39">
        <v>20.0</v>
      </c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 t="s">
        <v>1250</v>
      </c>
      <c r="B201" s="39">
        <v>74.0</v>
      </c>
      <c r="C201" s="7"/>
      <c r="D201" s="7"/>
      <c r="E201" s="7"/>
      <c r="F201" s="7"/>
      <c r="G201" s="7"/>
      <c r="H201" s="39">
        <v>89.0</v>
      </c>
      <c r="I201" s="39">
        <v>84.0</v>
      </c>
      <c r="J201" s="39">
        <v>70.0</v>
      </c>
      <c r="K201" s="39">
        <v>74.0</v>
      </c>
      <c r="L201" s="39">
        <v>63.0</v>
      </c>
      <c r="M201" s="39">
        <v>64.0</v>
      </c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 t="s">
        <v>1252</v>
      </c>
      <c r="B202" s="39">
        <v>67.0</v>
      </c>
      <c r="C202" s="7"/>
      <c r="D202" s="7"/>
      <c r="E202" s="7"/>
      <c r="F202" s="7"/>
      <c r="G202" s="7"/>
      <c r="H202" s="39">
        <v>87.0</v>
      </c>
      <c r="I202" s="39">
        <v>91.0</v>
      </c>
      <c r="J202" s="39">
        <v>77.0</v>
      </c>
      <c r="K202" s="39">
        <v>75.0</v>
      </c>
      <c r="L202" s="39">
        <v>62.0</v>
      </c>
      <c r="M202" s="39">
        <v>50.0</v>
      </c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 t="s">
        <v>1253</v>
      </c>
      <c r="B203" s="39">
        <v>3.0</v>
      </c>
      <c r="C203" s="7"/>
      <c r="D203" s="7"/>
      <c r="E203" s="7"/>
      <c r="F203" s="7"/>
      <c r="G203" s="7"/>
      <c r="H203" s="39">
        <v>80.0</v>
      </c>
      <c r="I203" s="39">
        <v>81.0</v>
      </c>
      <c r="J203" s="39">
        <v>70.0</v>
      </c>
      <c r="K203" s="39">
        <v>61.0</v>
      </c>
      <c r="L203" s="39">
        <v>44.0</v>
      </c>
      <c r="M203" s="39">
        <v>33.0</v>
      </c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 t="s">
        <v>1254</v>
      </c>
      <c r="B204" s="39">
        <v>59.0</v>
      </c>
      <c r="C204" s="7"/>
      <c r="D204" s="7"/>
      <c r="E204" s="7"/>
      <c r="F204" s="7"/>
      <c r="G204" s="7"/>
      <c r="H204" s="39">
        <v>84.0</v>
      </c>
      <c r="I204" s="39">
        <v>86.0</v>
      </c>
      <c r="J204" s="39">
        <v>71.0</v>
      </c>
      <c r="K204" s="39">
        <v>80.0</v>
      </c>
      <c r="L204" s="39">
        <v>77.0</v>
      </c>
      <c r="M204" s="39">
        <v>50.0</v>
      </c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 t="s">
        <v>1255</v>
      </c>
      <c r="B205" s="39">
        <v>54.0</v>
      </c>
      <c r="C205" s="7"/>
      <c r="D205" s="7"/>
      <c r="E205" s="7"/>
      <c r="F205" s="7"/>
      <c r="G205" s="7"/>
      <c r="H205" s="39">
        <v>91.0</v>
      </c>
      <c r="I205" s="39">
        <v>92.0</v>
      </c>
      <c r="J205" s="39">
        <v>71.0</v>
      </c>
      <c r="K205" s="39">
        <v>72.0</v>
      </c>
      <c r="L205" s="39">
        <v>77.0</v>
      </c>
      <c r="M205" s="39">
        <v>50.0</v>
      </c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 t="s">
        <v>1256</v>
      </c>
      <c r="B206" s="39">
        <v>0.0</v>
      </c>
      <c r="C206" s="7"/>
      <c r="D206" s="7"/>
      <c r="E206" s="7"/>
      <c r="F206" s="7"/>
      <c r="G206" s="7"/>
      <c r="H206" s="39">
        <v>82.0</v>
      </c>
      <c r="I206" s="39">
        <v>77.0</v>
      </c>
      <c r="J206" s="39">
        <v>70.0</v>
      </c>
      <c r="K206" s="39">
        <v>70.0</v>
      </c>
      <c r="L206" s="39">
        <v>35.0</v>
      </c>
      <c r="M206" s="39">
        <v>15.0</v>
      </c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 t="s">
        <v>1257</v>
      </c>
      <c r="B207" s="39">
        <v>0.0</v>
      </c>
      <c r="C207" s="7"/>
      <c r="D207" s="7"/>
      <c r="E207" s="7"/>
      <c r="F207" s="7"/>
      <c r="G207" s="7"/>
      <c r="H207" s="39">
        <v>75.0</v>
      </c>
      <c r="I207" s="39">
        <v>72.0</v>
      </c>
      <c r="J207" s="39">
        <v>71.0</v>
      </c>
      <c r="K207" s="39">
        <v>70.0</v>
      </c>
      <c r="L207" s="39">
        <v>43.0</v>
      </c>
      <c r="M207" s="39">
        <v>7.0</v>
      </c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 t="s">
        <v>1258</v>
      </c>
      <c r="B208" s="39">
        <v>50.0</v>
      </c>
      <c r="C208" s="39" t="str">
        <f>vlookup(A208,Sheet2!$1:$1000,2,False)</f>
        <v>#REF!</v>
      </c>
      <c r="D208" s="7"/>
      <c r="E208" s="7"/>
      <c r="F208" s="7"/>
      <c r="G208" s="7"/>
      <c r="H208" s="39">
        <v>90.0</v>
      </c>
      <c r="I208" s="39">
        <v>87.0</v>
      </c>
      <c r="J208" s="39">
        <v>73.0</v>
      </c>
      <c r="K208" s="39">
        <v>70.0</v>
      </c>
      <c r="L208" s="39">
        <v>50.0</v>
      </c>
      <c r="M208" s="39">
        <v>50.0</v>
      </c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 t="s">
        <v>1259</v>
      </c>
      <c r="B209" s="39">
        <v>57.0</v>
      </c>
      <c r="C209" s="7"/>
      <c r="D209" s="7"/>
      <c r="E209" s="7"/>
      <c r="F209" s="7"/>
      <c r="G209" s="7"/>
      <c r="H209" s="39">
        <v>88.0</v>
      </c>
      <c r="I209" s="39">
        <v>90.0</v>
      </c>
      <c r="J209" s="39">
        <v>74.5</v>
      </c>
      <c r="K209" s="39">
        <v>73.0</v>
      </c>
      <c r="L209" s="39">
        <v>50.0</v>
      </c>
      <c r="M209" s="39">
        <v>50.0</v>
      </c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 t="s">
        <v>1260</v>
      </c>
      <c r="B210" s="39">
        <v>55.0</v>
      </c>
      <c r="C210" s="7"/>
      <c r="D210" s="7"/>
      <c r="E210" s="7"/>
      <c r="F210" s="7"/>
      <c r="G210" s="7"/>
      <c r="H210" s="39">
        <v>80.0</v>
      </c>
      <c r="I210" s="39">
        <v>86.0</v>
      </c>
      <c r="J210" s="39">
        <v>70.0</v>
      </c>
      <c r="K210" s="39">
        <v>73.0</v>
      </c>
      <c r="L210" s="39">
        <v>50.0</v>
      </c>
      <c r="M210" s="39">
        <v>50.0</v>
      </c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 t="s">
        <v>1261</v>
      </c>
      <c r="B211" s="39">
        <v>52.0</v>
      </c>
      <c r="C211" s="7"/>
      <c r="D211" s="7"/>
      <c r="E211" s="7"/>
      <c r="F211" s="7"/>
      <c r="G211" s="7"/>
      <c r="H211" s="39">
        <v>81.0</v>
      </c>
      <c r="I211" s="39">
        <v>80.0</v>
      </c>
      <c r="J211" s="39">
        <v>70.0</v>
      </c>
      <c r="K211" s="39">
        <v>70.0</v>
      </c>
      <c r="L211" s="39">
        <v>50.0</v>
      </c>
      <c r="M211" s="39">
        <v>28.0</v>
      </c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 t="s">
        <v>138</v>
      </c>
      <c r="B212" s="39">
        <v>50.0</v>
      </c>
      <c r="C212" s="39" t="str">
        <f>vlookup(A212,Sheet2!$1:$1000,2,False)</f>
        <v>#REF!</v>
      </c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 t="s">
        <v>139</v>
      </c>
      <c r="B213" s="39">
        <v>42.0</v>
      </c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 t="s">
        <v>140</v>
      </c>
      <c r="B214" s="39">
        <v>50.0</v>
      </c>
      <c r="C214" s="7"/>
      <c r="D214" s="7"/>
      <c r="E214" s="479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 t="s">
        <v>141</v>
      </c>
      <c r="B215" s="39">
        <v>40.0</v>
      </c>
      <c r="C215" s="39" t="str">
        <f>vlookup(A215,Sheet2!$1:$1000,2,False)</f>
        <v>#REF!</v>
      </c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 t="s">
        <v>142</v>
      </c>
      <c r="B216" s="39">
        <v>51.0</v>
      </c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 t="s">
        <v>143</v>
      </c>
      <c r="B217" s="39">
        <v>50.0</v>
      </c>
      <c r="C217" s="39" t="str">
        <f>vlookup(A217,Sheet2!$1:$1000,2,False)</f>
        <v>#REF!</v>
      </c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 t="s">
        <v>145</v>
      </c>
      <c r="B218" s="39">
        <v>45.0</v>
      </c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 t="s">
        <v>146</v>
      </c>
      <c r="B219" s="39">
        <v>0.0</v>
      </c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 t="s">
        <v>147</v>
      </c>
      <c r="B220" s="39">
        <v>50.0</v>
      </c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 t="s">
        <v>148</v>
      </c>
      <c r="B221" s="39">
        <v>56.0</v>
      </c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 t="s">
        <v>149</v>
      </c>
      <c r="B222" s="39">
        <v>18.0</v>
      </c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 t="s">
        <v>150</v>
      </c>
      <c r="B223" s="39">
        <v>50.0</v>
      </c>
      <c r="C223" s="39" t="str">
        <f>vlookup(A223,Sheet2!$1:$1000,2,False)</f>
        <v>#REF!</v>
      </c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 t="s">
        <v>151</v>
      </c>
      <c r="B224" s="39">
        <v>0.0</v>
      </c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 t="s">
        <v>152</v>
      </c>
      <c r="B225" s="39">
        <v>61.0</v>
      </c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 t="s">
        <v>153</v>
      </c>
      <c r="B226" s="39">
        <v>54.0</v>
      </c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 t="s">
        <v>154</v>
      </c>
      <c r="B227" s="39">
        <v>0.0</v>
      </c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 t="s">
        <v>155</v>
      </c>
      <c r="B228" s="39">
        <v>52.0</v>
      </c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 t="s">
        <v>156</v>
      </c>
      <c r="B229" s="39">
        <v>50.0</v>
      </c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 t="s">
        <v>157</v>
      </c>
      <c r="B230" s="39">
        <v>6.0</v>
      </c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 t="s">
        <v>158</v>
      </c>
      <c r="B231" s="39">
        <v>50.0</v>
      </c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 t="s">
        <v>159</v>
      </c>
      <c r="B232" s="39">
        <v>50.0</v>
      </c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 t="s">
        <v>160</v>
      </c>
      <c r="B233" s="39">
        <v>13.0</v>
      </c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 t="s">
        <v>161</v>
      </c>
      <c r="B234" s="39">
        <v>52.0</v>
      </c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 t="s">
        <v>162</v>
      </c>
      <c r="B235" s="39">
        <v>0.0</v>
      </c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 t="s">
        <v>163</v>
      </c>
      <c r="B236" s="39">
        <v>0.0</v>
      </c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 t="s">
        <v>164</v>
      </c>
      <c r="B237" s="39">
        <v>50.0</v>
      </c>
      <c r="C237" s="39" t="str">
        <f t="shared" ref="C237:C238" si="13">vlookup(A237,Sheet2!$1:$1000,2,False)</f>
        <v>#REF!</v>
      </c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 t="s">
        <v>165</v>
      </c>
      <c r="B238" s="39">
        <v>50.0</v>
      </c>
      <c r="C238" s="39" t="str">
        <f t="shared" si="13"/>
        <v>#REF!</v>
      </c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 t="s">
        <v>166</v>
      </c>
      <c r="B239" s="39">
        <v>0.0</v>
      </c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 t="s">
        <v>167</v>
      </c>
      <c r="B240" s="39">
        <v>9.0</v>
      </c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 t="s">
        <v>168</v>
      </c>
      <c r="B241" s="39">
        <v>0.0</v>
      </c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 t="s">
        <v>169</v>
      </c>
      <c r="B242" s="39">
        <v>12.0</v>
      </c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 t="s">
        <v>170</v>
      </c>
      <c r="B243" s="39">
        <v>50.0</v>
      </c>
      <c r="C243" s="39" t="str">
        <f t="shared" ref="C243:C244" si="14">vlookup(A243,Sheet2!$1:$1000,2,False)</f>
        <v>#REF!</v>
      </c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 t="s">
        <v>171</v>
      </c>
      <c r="B244" s="39">
        <v>27.0</v>
      </c>
      <c r="C244" s="39" t="str">
        <f t="shared" si="14"/>
        <v>#REF!</v>
      </c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 t="s">
        <v>172</v>
      </c>
      <c r="B245" s="39">
        <v>61.0</v>
      </c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 t="s">
        <v>173</v>
      </c>
      <c r="B246" s="39">
        <v>50.0</v>
      </c>
      <c r="C246" s="39" t="str">
        <f>vlookup(A246,Sheet2!$1:$1000,2,False)</f>
        <v>#REF!</v>
      </c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 t="s">
        <v>174</v>
      </c>
      <c r="B247" s="39">
        <v>53.0</v>
      </c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 t="s">
        <v>175</v>
      </c>
      <c r="B248" s="39">
        <v>66.0</v>
      </c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 t="s">
        <v>177</v>
      </c>
      <c r="B249" s="39">
        <v>0.0</v>
      </c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 t="s">
        <v>178</v>
      </c>
      <c r="B250" s="39">
        <v>0.0</v>
      </c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 t="s">
        <v>179</v>
      </c>
      <c r="B251" s="39">
        <v>50.0</v>
      </c>
      <c r="C251" s="39" t="str">
        <f t="shared" ref="C251:C255" si="15">vlookup(A251,Sheet2!$1:$1000,2,False)</f>
        <v>#REF!</v>
      </c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 t="s">
        <v>180</v>
      </c>
      <c r="B252" s="39">
        <v>50.0</v>
      </c>
      <c r="C252" s="39" t="str">
        <f t="shared" si="15"/>
        <v>#REF!</v>
      </c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 t="s">
        <v>181</v>
      </c>
      <c r="B253" s="39">
        <v>50.0</v>
      </c>
      <c r="C253" s="39" t="str">
        <f t="shared" si="15"/>
        <v>#REF!</v>
      </c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 t="s">
        <v>182</v>
      </c>
      <c r="B254" s="39">
        <v>4.0</v>
      </c>
      <c r="C254" s="39" t="str">
        <f t="shared" si="15"/>
        <v>#REF!</v>
      </c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 t="s">
        <v>183</v>
      </c>
      <c r="B255" s="39">
        <v>28.0</v>
      </c>
      <c r="C255" s="39" t="str">
        <f t="shared" si="15"/>
        <v>#REF!</v>
      </c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 t="s">
        <v>184</v>
      </c>
      <c r="B256" s="39">
        <v>55.0</v>
      </c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 t="s">
        <v>185</v>
      </c>
      <c r="B257" s="39">
        <v>0.0</v>
      </c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 t="s">
        <v>186</v>
      </c>
      <c r="B258" s="39">
        <v>22.0</v>
      </c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 t="s">
        <v>187</v>
      </c>
      <c r="B259" s="39">
        <v>50.0</v>
      </c>
      <c r="C259" s="39" t="str">
        <f>vlookup(A259,Sheet2!$1:$1000,2,False)</f>
        <v>#REF!</v>
      </c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 t="s">
        <v>188</v>
      </c>
      <c r="B260" s="39">
        <v>25.0</v>
      </c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 t="s">
        <v>189</v>
      </c>
      <c r="B261" s="39">
        <v>55.0</v>
      </c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 t="s">
        <v>190</v>
      </c>
      <c r="B262" s="39">
        <v>0.0</v>
      </c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 t="s">
        <v>191</v>
      </c>
      <c r="B263" s="39">
        <v>50.0</v>
      </c>
      <c r="C263" s="39" t="str">
        <f>vlookup(A263,Sheet2!$1:$1000,2,False)</f>
        <v>#REF!</v>
      </c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 t="s">
        <v>192</v>
      </c>
      <c r="B264" s="39">
        <v>56.0</v>
      </c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 t="s">
        <v>193</v>
      </c>
      <c r="B265" s="39">
        <v>66.0</v>
      </c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 t="s">
        <v>194</v>
      </c>
      <c r="B266" s="39">
        <v>55.0</v>
      </c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 t="s">
        <v>195</v>
      </c>
      <c r="B267" s="39">
        <v>50.0</v>
      </c>
      <c r="C267" s="39" t="str">
        <f>vlookup(A267,Sheet2!$1:$1000,2,False)</f>
        <v>#REF!</v>
      </c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 t="s">
        <v>196</v>
      </c>
      <c r="B268" s="39">
        <v>0.0</v>
      </c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 t="s">
        <v>197</v>
      </c>
      <c r="B269" s="39">
        <v>60.0</v>
      </c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 t="s">
        <v>198</v>
      </c>
      <c r="B270" s="39">
        <v>9.0</v>
      </c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 t="s">
        <v>199</v>
      </c>
      <c r="B271" s="39">
        <v>50.0</v>
      </c>
      <c r="C271" s="39" t="str">
        <f>vlookup(A271,Sheet2!$1:$1000,2,False)</f>
        <v>#REF!</v>
      </c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 t="s">
        <v>201</v>
      </c>
      <c r="B272" s="39">
        <v>52.0</v>
      </c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 t="s">
        <v>202</v>
      </c>
      <c r="B273" s="39">
        <v>14.0</v>
      </c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 t="s">
        <v>203</v>
      </c>
      <c r="B274" s="39">
        <v>53.0</v>
      </c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 t="s">
        <v>204</v>
      </c>
      <c r="B275" s="39">
        <v>50.0</v>
      </c>
      <c r="C275" s="39" t="str">
        <f t="shared" ref="C275:C276" si="16">vlookup(A275,Sheet2!$1:$1000,2,False)</f>
        <v>#REF!</v>
      </c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 t="s">
        <v>205</v>
      </c>
      <c r="B276" s="39">
        <v>50.0</v>
      </c>
      <c r="C276" s="39" t="str">
        <f t="shared" si="16"/>
        <v>#REF!</v>
      </c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 t="s">
        <v>206</v>
      </c>
      <c r="B277" s="39">
        <v>50.0</v>
      </c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 t="s">
        <v>207</v>
      </c>
      <c r="B278" s="39">
        <v>0.0</v>
      </c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 t="s">
        <v>208</v>
      </c>
      <c r="B279" s="39">
        <v>56.0</v>
      </c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 t="s">
        <v>209</v>
      </c>
      <c r="B280" s="39">
        <v>39.0</v>
      </c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 t="s">
        <v>210</v>
      </c>
      <c r="B281" s="39">
        <v>3.0</v>
      </c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 t="s">
        <v>211</v>
      </c>
      <c r="B282" s="39">
        <v>26.0</v>
      </c>
      <c r="C282" s="39" t="str">
        <f>vlookup(A282,Sheet2!$1:$1000,2,False)</f>
        <v>#REF!</v>
      </c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 t="s">
        <v>212</v>
      </c>
      <c r="B283" s="39">
        <v>38.0</v>
      </c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 t="s">
        <v>213</v>
      </c>
      <c r="B284" s="39">
        <v>0.0</v>
      </c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 t="s">
        <v>214</v>
      </c>
      <c r="B285" s="39">
        <v>0.0</v>
      </c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 t="s">
        <v>215</v>
      </c>
      <c r="B286" s="39">
        <v>14.0</v>
      </c>
      <c r="C286" s="39" t="str">
        <f>vlookup(A286,Sheet2!$1:$1000,2,False)</f>
        <v>#REF!</v>
      </c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 t="s">
        <v>216</v>
      </c>
      <c r="B287" s="39">
        <v>51.0</v>
      </c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 t="s">
        <v>217</v>
      </c>
      <c r="B288" s="39">
        <v>0.0</v>
      </c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 t="s">
        <v>218</v>
      </c>
      <c r="B289" s="39">
        <v>50.0</v>
      </c>
      <c r="C289" s="39" t="str">
        <f t="shared" ref="C289:C291" si="17">vlookup(A289,Sheet2!$1:$1000,2,False)</f>
        <v>#REF!</v>
      </c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 t="s">
        <v>219</v>
      </c>
      <c r="B290" s="39">
        <v>33.0</v>
      </c>
      <c r="C290" s="39" t="str">
        <f t="shared" si="17"/>
        <v>#REF!</v>
      </c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 t="s">
        <v>220</v>
      </c>
      <c r="B291" s="39">
        <v>50.0</v>
      </c>
      <c r="C291" s="39" t="str">
        <f t="shared" si="17"/>
        <v>#REF!</v>
      </c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 t="s">
        <v>221</v>
      </c>
      <c r="B292" s="39">
        <v>19.0</v>
      </c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 t="s">
        <v>222</v>
      </c>
      <c r="B293" s="39">
        <v>53.0</v>
      </c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 t="s">
        <v>223</v>
      </c>
      <c r="B294" s="39">
        <v>9.0</v>
      </c>
      <c r="C294" s="7"/>
      <c r="D294" s="7"/>
      <c r="E294" s="480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 t="s">
        <v>224</v>
      </c>
      <c r="B295" s="39">
        <v>5.0</v>
      </c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 t="s">
        <v>225</v>
      </c>
      <c r="B296" s="39">
        <v>0.0</v>
      </c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 t="s">
        <v>226</v>
      </c>
      <c r="B297" s="39">
        <v>61.0</v>
      </c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 t="s">
        <v>227</v>
      </c>
      <c r="B298" s="39">
        <v>50.0</v>
      </c>
      <c r="C298" s="39" t="str">
        <f>vlookup(A298,Sheet2!$1:$1000,2,False)</f>
        <v>#REF!</v>
      </c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 t="s">
        <v>228</v>
      </c>
      <c r="B299" s="39">
        <v>62.0</v>
      </c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 t="s">
        <v>229</v>
      </c>
      <c r="B300" s="39">
        <v>6.0</v>
      </c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 t="s">
        <v>230</v>
      </c>
      <c r="B301" s="39">
        <v>50.0</v>
      </c>
      <c r="C301" s="39" t="str">
        <f>vlookup(A301,Sheet2!$1:$1000,2,False)</f>
        <v>#REF!</v>
      </c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 t="s">
        <v>231</v>
      </c>
      <c r="B302" s="39">
        <v>18.0</v>
      </c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 t="s">
        <v>232</v>
      </c>
      <c r="B303" s="39">
        <v>0.0</v>
      </c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 t="s">
        <v>233</v>
      </c>
      <c r="B304" s="39">
        <v>1.0</v>
      </c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 t="s">
        <v>236</v>
      </c>
      <c r="B305" s="39">
        <v>63.0</v>
      </c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 t="s">
        <v>237</v>
      </c>
      <c r="B306" s="39">
        <v>40.0</v>
      </c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 t="s">
        <v>238</v>
      </c>
      <c r="B307" s="39">
        <v>50.0</v>
      </c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 t="s">
        <v>239</v>
      </c>
      <c r="B308" s="39">
        <v>9.0</v>
      </c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 t="s">
        <v>240</v>
      </c>
      <c r="B309" s="39">
        <v>0.0</v>
      </c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 t="s">
        <v>241</v>
      </c>
      <c r="B310" s="39">
        <v>50.0</v>
      </c>
      <c r="C310" s="39" t="str">
        <f>vlookup(A310,Sheet2!$1:$1000,2,False)</f>
        <v>#REF!</v>
      </c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 t="s">
        <v>242</v>
      </c>
      <c r="B311" s="39">
        <v>13.0</v>
      </c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 t="s">
        <v>243</v>
      </c>
      <c r="B312" s="39">
        <v>10.0</v>
      </c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 t="s">
        <v>244</v>
      </c>
      <c r="B313" s="39">
        <v>5.0</v>
      </c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 t="s">
        <v>245</v>
      </c>
      <c r="B314" s="39">
        <v>19.0</v>
      </c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 t="s">
        <v>246</v>
      </c>
      <c r="B315" s="39">
        <v>50.0</v>
      </c>
      <c r="C315" s="39" t="str">
        <f>vlookup(A315,Sheet2!$1:$1000,2,False)</f>
        <v>#REF!</v>
      </c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 t="s">
        <v>247</v>
      </c>
      <c r="B316" s="39">
        <v>79.0</v>
      </c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 t="s">
        <v>248</v>
      </c>
      <c r="B317" s="39">
        <v>50.0</v>
      </c>
      <c r="C317" s="39" t="str">
        <f t="shared" ref="C317:C318" si="18">vlookup(A317,Sheet2!$1:$1000,2,False)</f>
        <v>#REF!</v>
      </c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 t="s">
        <v>249</v>
      </c>
      <c r="B318" s="39">
        <v>50.0</v>
      </c>
      <c r="C318" s="39" t="str">
        <f t="shared" si="18"/>
        <v>#REF!</v>
      </c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 t="s">
        <v>250</v>
      </c>
      <c r="B319" s="39">
        <v>56.0</v>
      </c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 t="s">
        <v>251</v>
      </c>
      <c r="B320" s="39">
        <v>54.0</v>
      </c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 t="s">
        <v>252</v>
      </c>
      <c r="B321" s="39">
        <v>50.0</v>
      </c>
      <c r="C321" s="39" t="str">
        <f t="shared" ref="C321:C323" si="19">vlookup(A321,Sheet2!$1:$1000,2,False)</f>
        <v>#REF!</v>
      </c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 t="s">
        <v>254</v>
      </c>
      <c r="B322" s="39">
        <v>50.0</v>
      </c>
      <c r="C322" s="39" t="str">
        <f t="shared" si="19"/>
        <v>#REF!</v>
      </c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 t="s">
        <v>255</v>
      </c>
      <c r="B323" s="39">
        <v>50.0</v>
      </c>
      <c r="C323" s="39" t="str">
        <f t="shared" si="19"/>
        <v>#REF!</v>
      </c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 t="s">
        <v>256</v>
      </c>
      <c r="B324" s="39">
        <v>12.0</v>
      </c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 t="s">
        <v>257</v>
      </c>
      <c r="B325" s="39">
        <v>50.0</v>
      </c>
      <c r="C325" s="39" t="str">
        <f t="shared" ref="C325:C326" si="20">vlookup(A325,Sheet2!$1:$1000,2,False)</f>
        <v>#REF!</v>
      </c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 t="s">
        <v>258</v>
      </c>
      <c r="B326" s="39">
        <v>50.0</v>
      </c>
      <c r="C326" s="39" t="str">
        <f t="shared" si="20"/>
        <v>#REF!</v>
      </c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 t="s">
        <v>259</v>
      </c>
      <c r="B327" s="39">
        <v>58.0</v>
      </c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 t="s">
        <v>260</v>
      </c>
      <c r="B328" s="39">
        <v>50.0</v>
      </c>
      <c r="C328" s="39" t="str">
        <f t="shared" ref="C328:C329" si="21">vlookup(A328,Sheet2!$1:$1000,2,False)</f>
        <v>#REF!</v>
      </c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 t="s">
        <v>261</v>
      </c>
      <c r="B329" s="39">
        <v>50.0</v>
      </c>
      <c r="C329" s="39" t="str">
        <f t="shared" si="21"/>
        <v>#REF!</v>
      </c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 t="s">
        <v>262</v>
      </c>
      <c r="B330" s="39">
        <v>0.0</v>
      </c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 t="s">
        <v>263</v>
      </c>
      <c r="B331" s="39">
        <v>51.0</v>
      </c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 t="s">
        <v>264</v>
      </c>
      <c r="B332" s="39">
        <v>6.0</v>
      </c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 t="s">
        <v>265</v>
      </c>
      <c r="B333" s="39">
        <v>50.0</v>
      </c>
      <c r="C333" s="39" t="str">
        <f t="shared" ref="C333:C336" si="22">vlookup(A333,Sheet2!$1:$1000,2,False)</f>
        <v>#REF!</v>
      </c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 t="s">
        <v>266</v>
      </c>
      <c r="B334" s="39">
        <v>50.0</v>
      </c>
      <c r="C334" s="39" t="str">
        <f t="shared" si="22"/>
        <v>#REF!</v>
      </c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 t="s">
        <v>267</v>
      </c>
      <c r="B335" s="39">
        <v>50.0</v>
      </c>
      <c r="C335" s="39" t="str">
        <f t="shared" si="22"/>
        <v>#REF!</v>
      </c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 t="s">
        <v>268</v>
      </c>
      <c r="B336" s="39">
        <v>50.0</v>
      </c>
      <c r="C336" s="39" t="str">
        <f t="shared" si="22"/>
        <v>#REF!</v>
      </c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 t="s">
        <v>269</v>
      </c>
      <c r="B337" s="39">
        <v>50.0</v>
      </c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 t="s">
        <v>270</v>
      </c>
      <c r="B338" s="39">
        <v>60.0</v>
      </c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 t="s">
        <v>271</v>
      </c>
      <c r="B339" s="39">
        <v>50.0</v>
      </c>
      <c r="C339" s="39" t="str">
        <f>vlookup(A339,Sheet2!$1:$1000,2,False)</f>
        <v>#REF!</v>
      </c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 t="s">
        <v>272</v>
      </c>
      <c r="B340" s="39">
        <v>50.0</v>
      </c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 t="s">
        <v>273</v>
      </c>
      <c r="B341" s="39">
        <v>50.0</v>
      </c>
      <c r="C341" s="39" t="str">
        <f t="shared" ref="C341:C343" si="23">vlookup(A341,Sheet2!$1:$1000,2,False)</f>
        <v>#REF!</v>
      </c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 t="s">
        <v>274</v>
      </c>
      <c r="B342" s="39">
        <v>50.0</v>
      </c>
      <c r="C342" s="39" t="str">
        <f t="shared" si="23"/>
        <v>#REF!</v>
      </c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 t="s">
        <v>275</v>
      </c>
      <c r="B343" s="39">
        <v>50.0</v>
      </c>
      <c r="C343" s="39" t="str">
        <f t="shared" si="23"/>
        <v>#REF!</v>
      </c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 t="s">
        <v>276</v>
      </c>
      <c r="B344" s="39">
        <v>0.0</v>
      </c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 t="s">
        <v>277</v>
      </c>
      <c r="B345" s="39">
        <v>18.0</v>
      </c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 t="s">
        <v>278</v>
      </c>
      <c r="B346" s="39">
        <v>50.0</v>
      </c>
      <c r="C346" s="39" t="str">
        <f>vlookup(A346,Sheet2!$1:$1000,2,False)</f>
        <v>#REF!</v>
      </c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 t="s">
        <v>279</v>
      </c>
      <c r="B347" s="39">
        <v>0.0</v>
      </c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 t="s">
        <v>280</v>
      </c>
      <c r="B348" s="39">
        <v>50.0</v>
      </c>
      <c r="C348" s="39" t="str">
        <f t="shared" ref="C348:C350" si="24">vlookup(A348,Sheet2!$1:$1000,2,False)</f>
        <v>#REF!</v>
      </c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 t="s">
        <v>281</v>
      </c>
      <c r="B349" s="39">
        <v>50.0</v>
      </c>
      <c r="C349" s="39" t="str">
        <f t="shared" si="24"/>
        <v>#REF!</v>
      </c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 t="s">
        <v>282</v>
      </c>
      <c r="B350" s="39">
        <v>50.0</v>
      </c>
      <c r="C350" s="39" t="str">
        <f t="shared" si="24"/>
        <v>#REF!</v>
      </c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 t="s">
        <v>283</v>
      </c>
      <c r="B351" s="39">
        <v>0.0</v>
      </c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 t="s">
        <v>285</v>
      </c>
      <c r="B352" s="39">
        <v>5.0</v>
      </c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 t="s">
        <v>286</v>
      </c>
      <c r="B353" s="39">
        <v>10.0</v>
      </c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 t="s">
        <v>287</v>
      </c>
      <c r="B354" s="39">
        <v>15.0</v>
      </c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 t="s">
        <v>288</v>
      </c>
      <c r="B355" s="39">
        <v>18.0</v>
      </c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 t="s">
        <v>290</v>
      </c>
      <c r="B356" s="39">
        <v>15.0</v>
      </c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 t="s">
        <v>291</v>
      </c>
      <c r="B357" s="39">
        <v>50.0</v>
      </c>
      <c r="C357" s="39" t="str">
        <f t="shared" ref="C357:C358" si="25">vlookup(A357,Sheet2!$1:$1000,2,False)</f>
        <v>#REF!</v>
      </c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 t="s">
        <v>292</v>
      </c>
      <c r="B358" s="39">
        <v>50.0</v>
      </c>
      <c r="C358" s="39" t="str">
        <f t="shared" si="25"/>
        <v>#REF!</v>
      </c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 t="s">
        <v>293</v>
      </c>
      <c r="B359" s="39">
        <v>40.0</v>
      </c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 t="s">
        <v>294</v>
      </c>
      <c r="B360" s="39">
        <v>9.0</v>
      </c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 t="s">
        <v>295</v>
      </c>
      <c r="B361" s="39">
        <v>50.0</v>
      </c>
      <c r="C361" s="39" t="str">
        <f t="shared" ref="C361:C362" si="26">vlookup(A361,Sheet2!$1:$1000,2,False)</f>
        <v>#REF!</v>
      </c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 t="s">
        <v>296</v>
      </c>
      <c r="B362" s="39">
        <v>50.0</v>
      </c>
      <c r="C362" s="39" t="str">
        <f t="shared" si="26"/>
        <v>#REF!</v>
      </c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 t="s">
        <v>297</v>
      </c>
      <c r="B363" s="39">
        <v>0.0</v>
      </c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 t="s">
        <v>298</v>
      </c>
      <c r="B364" s="39">
        <v>50.0</v>
      </c>
      <c r="C364" s="39" t="str">
        <f>vlookup(A364,Sheet2!$1:$1000,2,False)</f>
        <v>#REF!</v>
      </c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 t="s">
        <v>299</v>
      </c>
      <c r="B365" s="39">
        <v>64.0</v>
      </c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 t="s">
        <v>300</v>
      </c>
      <c r="B366" s="39">
        <v>0.0</v>
      </c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 t="s">
        <v>301</v>
      </c>
      <c r="B367" s="39">
        <v>0.0</v>
      </c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 t="s">
        <v>302</v>
      </c>
      <c r="B368" s="39">
        <v>0.0</v>
      </c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 t="s">
        <v>303</v>
      </c>
      <c r="B369" s="39">
        <v>52.0</v>
      </c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 t="s">
        <v>304</v>
      </c>
      <c r="B370" s="39">
        <v>50.0</v>
      </c>
      <c r="C370" s="39" t="str">
        <f t="shared" ref="C370:C371" si="27">vlookup(A370,Sheet2!$1:$1000,2,False)</f>
        <v>#REF!</v>
      </c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 t="s">
        <v>305</v>
      </c>
      <c r="B371" s="39">
        <v>50.0</v>
      </c>
      <c r="C371" s="39" t="str">
        <f t="shared" si="27"/>
        <v>#REF!</v>
      </c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 t="s">
        <v>306</v>
      </c>
      <c r="B372" s="39">
        <v>64.0</v>
      </c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 t="s">
        <v>307</v>
      </c>
      <c r="B373" s="39">
        <v>0.0</v>
      </c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 t="s">
        <v>308</v>
      </c>
      <c r="B374" s="39">
        <v>6.0</v>
      </c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 t="s">
        <v>309</v>
      </c>
      <c r="B375" s="39">
        <v>50.0</v>
      </c>
      <c r="C375" s="39" t="str">
        <f>vlookup(A375,Sheet2!$1:$1000,2,False)</f>
        <v>#REF!</v>
      </c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 t="s">
        <v>310</v>
      </c>
      <c r="B376" s="39">
        <v>62.0</v>
      </c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 t="s">
        <v>311</v>
      </c>
      <c r="B377" s="39">
        <v>0.0</v>
      </c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 t="s">
        <v>312</v>
      </c>
      <c r="B378" s="39">
        <v>0.0</v>
      </c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 t="s">
        <v>313</v>
      </c>
      <c r="B379" s="39">
        <v>50.0</v>
      </c>
      <c r="C379" s="39" t="str">
        <f>vlookup(A379,Sheet2!$1:$1000,2,False)</f>
        <v>#REF!</v>
      </c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 t="s">
        <v>314</v>
      </c>
      <c r="B380" s="39">
        <v>51.0</v>
      </c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 t="s">
        <v>315</v>
      </c>
      <c r="B381" s="39">
        <v>53.0</v>
      </c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 t="s">
        <v>316</v>
      </c>
      <c r="B382" s="39">
        <v>59.0</v>
      </c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 t="s">
        <v>317</v>
      </c>
      <c r="B383" s="39">
        <v>52.0</v>
      </c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 t="s">
        <v>318</v>
      </c>
      <c r="B384" s="39">
        <v>61.0</v>
      </c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 t="s">
        <v>319</v>
      </c>
      <c r="B385" s="39">
        <v>52.0</v>
      </c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 t="s">
        <v>320</v>
      </c>
      <c r="B386" s="39">
        <v>50.0</v>
      </c>
      <c r="C386" s="39" t="str">
        <f t="shared" ref="C386:C389" si="28">vlookup(A386,Sheet2!$1:$1000,2,False)</f>
        <v>#REF!</v>
      </c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 t="s">
        <v>321</v>
      </c>
      <c r="B387" s="39">
        <v>29.0</v>
      </c>
      <c r="C387" s="39" t="str">
        <f t="shared" si="28"/>
        <v>#REF!</v>
      </c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 t="s">
        <v>322</v>
      </c>
      <c r="B388" s="39">
        <v>50.0</v>
      </c>
      <c r="C388" s="39" t="str">
        <f t="shared" si="28"/>
        <v>#REF!</v>
      </c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 t="s">
        <v>323</v>
      </c>
      <c r="B389" s="39">
        <v>50.0</v>
      </c>
      <c r="C389" s="39" t="str">
        <f t="shared" si="28"/>
        <v>#REF!</v>
      </c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 t="s">
        <v>324</v>
      </c>
      <c r="B390" s="39">
        <v>50.0</v>
      </c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 t="s">
        <v>325</v>
      </c>
      <c r="B391" s="39">
        <v>50.0</v>
      </c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 t="s">
        <v>326</v>
      </c>
      <c r="B392" s="39">
        <v>60.0</v>
      </c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 t="s">
        <v>327</v>
      </c>
      <c r="B393" s="39">
        <v>50.0</v>
      </c>
      <c r="C393" s="39" t="str">
        <f t="shared" ref="C393:C394" si="29">vlookup(A393,Sheet2!$1:$1000,2,False)</f>
        <v>#REF!</v>
      </c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 t="s">
        <v>328</v>
      </c>
      <c r="B394" s="39">
        <v>50.0</v>
      </c>
      <c r="C394" s="39" t="str">
        <f t="shared" si="29"/>
        <v>#REF!</v>
      </c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 t="s">
        <v>329</v>
      </c>
      <c r="B395" s="39">
        <v>50.0</v>
      </c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 t="s">
        <v>330</v>
      </c>
      <c r="B396" s="39">
        <v>0.0</v>
      </c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 t="s">
        <v>331</v>
      </c>
      <c r="B397" s="39">
        <v>0.0</v>
      </c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 t="s">
        <v>332</v>
      </c>
      <c r="B398" s="39">
        <v>0.0</v>
      </c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 t="s">
        <v>333</v>
      </c>
      <c r="B399" s="39">
        <v>0.0</v>
      </c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 t="s">
        <v>334</v>
      </c>
      <c r="B400" s="39">
        <v>50.0</v>
      </c>
      <c r="C400" s="39" t="str">
        <f>vlookup(A400,Sheet2!$1:$1000,2,False)</f>
        <v>#REF!</v>
      </c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 t="s">
        <v>335</v>
      </c>
      <c r="B401" s="39">
        <v>57.0</v>
      </c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 t="s">
        <v>336</v>
      </c>
      <c r="B402" s="39">
        <v>0.0</v>
      </c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 t="s">
        <v>337</v>
      </c>
      <c r="B403" s="39">
        <v>50.0</v>
      </c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 t="s">
        <v>338</v>
      </c>
      <c r="B404" s="39">
        <v>60.0</v>
      </c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 t="s">
        <v>339</v>
      </c>
      <c r="B405" s="39">
        <v>0.0</v>
      </c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 t="s">
        <v>340</v>
      </c>
      <c r="B406" s="39">
        <v>50.0</v>
      </c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 t="s">
        <v>341</v>
      </c>
      <c r="B407" s="39">
        <v>0.0</v>
      </c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 t="s">
        <v>342</v>
      </c>
      <c r="B408" s="39">
        <v>0.0</v>
      </c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 t="s">
        <v>343</v>
      </c>
      <c r="B409" s="39">
        <v>50.0</v>
      </c>
      <c r="C409" s="39" t="str">
        <f>vlookup(A409,Sheet2!$1:$1000,2,False)</f>
        <v>#REF!</v>
      </c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 t="s">
        <v>344</v>
      </c>
      <c r="B410" s="39">
        <v>55.0</v>
      </c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 t="s">
        <v>345</v>
      </c>
      <c r="B411" s="39">
        <v>50.0</v>
      </c>
      <c r="C411" s="39" t="str">
        <f>vlookup(A411,Sheet2!$1:$1000,2,False)</f>
        <v>#REF!</v>
      </c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 t="s">
        <v>346</v>
      </c>
      <c r="B412" s="39">
        <v>18.0</v>
      </c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 t="s">
        <v>347</v>
      </c>
      <c r="B413" s="39">
        <v>52.0</v>
      </c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 t="s">
        <v>348</v>
      </c>
      <c r="B414" s="39">
        <v>32.0</v>
      </c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 t="s">
        <v>349</v>
      </c>
      <c r="B415" s="39">
        <v>0.0</v>
      </c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 t="s">
        <v>350</v>
      </c>
      <c r="B416" s="39">
        <v>50.0</v>
      </c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 t="s">
        <v>351</v>
      </c>
      <c r="B417" s="39">
        <v>0.0</v>
      </c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 t="s">
        <v>352</v>
      </c>
      <c r="B418" s="39">
        <v>0.0</v>
      </c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 t="s">
        <v>353</v>
      </c>
      <c r="B419" s="39">
        <v>0.0</v>
      </c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 t="s">
        <v>354</v>
      </c>
      <c r="B420" s="39">
        <v>0.0</v>
      </c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 t="s">
        <v>355</v>
      </c>
      <c r="B421" s="39">
        <v>50.0</v>
      </c>
      <c r="C421" s="39" t="str">
        <f>vlookup(A421,Sheet2!$1:$1000,2,False)</f>
        <v>#REF!</v>
      </c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 t="s">
        <v>356</v>
      </c>
      <c r="B422" s="39">
        <v>0.0</v>
      </c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 t="s">
        <v>357</v>
      </c>
      <c r="B423" s="39">
        <v>60.0</v>
      </c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 t="s">
        <v>358</v>
      </c>
      <c r="B424" s="39">
        <v>50.0</v>
      </c>
      <c r="C424" s="39" t="str">
        <f>vlookup(A424,Sheet2!$1:$1000,2,False)</f>
        <v>#REF!</v>
      </c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 t="s">
        <v>359</v>
      </c>
      <c r="B425" s="39">
        <v>67.0</v>
      </c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 t="s">
        <v>381</v>
      </c>
      <c r="B426" s="39">
        <v>57.0</v>
      </c>
      <c r="C426" s="7"/>
      <c r="D426" s="7"/>
      <c r="E426" s="7"/>
      <c r="F426" s="7"/>
      <c r="G426" s="7"/>
      <c r="H426" s="39">
        <v>87.0</v>
      </c>
      <c r="I426" s="39">
        <v>74.0</v>
      </c>
      <c r="J426" s="39">
        <v>70.0</v>
      </c>
      <c r="K426" s="39">
        <v>70.0</v>
      </c>
      <c r="L426" s="39">
        <v>67.0</v>
      </c>
      <c r="M426" s="39">
        <v>52.0</v>
      </c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 t="s">
        <v>382</v>
      </c>
      <c r="B427" s="39">
        <v>41.0</v>
      </c>
      <c r="C427" s="39" t="str">
        <f>vlookup(A427,Sheet2!$1:$1000,2,False)</f>
        <v>#REF!</v>
      </c>
      <c r="D427" s="7"/>
      <c r="E427" s="7"/>
      <c r="F427" s="7"/>
      <c r="G427" s="7"/>
      <c r="H427" s="39">
        <v>84.0</v>
      </c>
      <c r="I427" s="39">
        <v>73.0</v>
      </c>
      <c r="J427" s="39">
        <v>70.0</v>
      </c>
      <c r="K427" s="39">
        <v>70.0</v>
      </c>
      <c r="L427" s="39">
        <v>20.0</v>
      </c>
      <c r="M427" s="39">
        <v>44.0</v>
      </c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 t="s">
        <v>383</v>
      </c>
      <c r="B428" s="39">
        <v>0.0</v>
      </c>
      <c r="C428" s="7"/>
      <c r="D428" s="7"/>
      <c r="E428" s="7"/>
      <c r="F428" s="7"/>
      <c r="G428" s="7"/>
      <c r="H428" s="39">
        <v>81.0</v>
      </c>
      <c r="I428" s="39">
        <v>74.0</v>
      </c>
      <c r="J428" s="39">
        <v>51.0</v>
      </c>
      <c r="K428" s="39">
        <v>70.0</v>
      </c>
      <c r="L428" s="39">
        <v>41.0</v>
      </c>
      <c r="M428" s="39">
        <v>27.0</v>
      </c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 t="s">
        <v>384</v>
      </c>
      <c r="B429" s="39">
        <v>0.0</v>
      </c>
      <c r="C429" s="7"/>
      <c r="D429" s="7"/>
      <c r="E429" s="7"/>
      <c r="F429" s="7"/>
      <c r="G429" s="7"/>
      <c r="H429" s="39">
        <v>77.0</v>
      </c>
      <c r="I429" s="39">
        <v>80.0</v>
      </c>
      <c r="J429" s="39">
        <v>60.0</v>
      </c>
      <c r="K429" s="39">
        <v>40.0</v>
      </c>
      <c r="L429" s="39">
        <v>46.0</v>
      </c>
      <c r="M429" s="39">
        <v>0.0</v>
      </c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 t="s">
        <v>385</v>
      </c>
      <c r="B430" s="39">
        <v>12.0</v>
      </c>
      <c r="C430" s="7"/>
      <c r="D430" s="7"/>
      <c r="E430" s="7"/>
      <c r="F430" s="7"/>
      <c r="G430" s="7"/>
      <c r="H430" s="39">
        <v>73.0</v>
      </c>
      <c r="I430" s="39">
        <v>72.0</v>
      </c>
      <c r="J430" s="39">
        <v>70.0</v>
      </c>
      <c r="K430" s="39">
        <v>70.0</v>
      </c>
      <c r="L430" s="39">
        <v>50.0</v>
      </c>
      <c r="M430" s="39">
        <v>5.0</v>
      </c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 t="s">
        <v>386</v>
      </c>
      <c r="B431" s="39">
        <v>15.0</v>
      </c>
      <c r="C431" s="7"/>
      <c r="D431" s="7"/>
      <c r="E431" s="7"/>
      <c r="F431" s="7"/>
      <c r="G431" s="7"/>
      <c r="H431" s="39">
        <v>72.0</v>
      </c>
      <c r="I431" s="39">
        <v>71.0</v>
      </c>
      <c r="J431" s="39">
        <v>70.0</v>
      </c>
      <c r="K431" s="39">
        <v>70.0</v>
      </c>
      <c r="L431" s="39">
        <v>52.0</v>
      </c>
      <c r="M431" s="39">
        <v>6.0</v>
      </c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 t="s">
        <v>387</v>
      </c>
      <c r="B432" s="39">
        <v>-1.0</v>
      </c>
      <c r="C432" s="7"/>
      <c r="D432" s="7"/>
      <c r="E432" s="7"/>
      <c r="F432" s="7"/>
      <c r="G432" s="7"/>
      <c r="H432" s="39">
        <v>80.0</v>
      </c>
      <c r="I432" s="39">
        <v>73.0</v>
      </c>
      <c r="J432" s="39">
        <v>64.0</v>
      </c>
      <c r="K432" s="39">
        <v>70.0</v>
      </c>
      <c r="L432" s="39">
        <v>33.0</v>
      </c>
      <c r="M432" s="39">
        <v>20.0</v>
      </c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 t="s">
        <v>389</v>
      </c>
      <c r="B433" s="39">
        <v>6.0</v>
      </c>
      <c r="C433" s="39" t="str">
        <f t="shared" ref="C433:C435" si="30">vlookup(A433,Sheet2!$1:$1000,2,False)</f>
        <v>#REF!</v>
      </c>
      <c r="D433" s="7"/>
      <c r="E433" s="7"/>
      <c r="F433" s="7"/>
      <c r="G433" s="7"/>
      <c r="H433" s="39">
        <v>83.0</v>
      </c>
      <c r="I433" s="39">
        <v>79.0</v>
      </c>
      <c r="J433" s="39">
        <v>61.0</v>
      </c>
      <c r="K433" s="39">
        <v>70.0</v>
      </c>
      <c r="L433" s="39">
        <v>29.0</v>
      </c>
      <c r="M433" s="39">
        <v>15.0</v>
      </c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 t="s">
        <v>390</v>
      </c>
      <c r="B434" s="39">
        <v>50.0</v>
      </c>
      <c r="C434" s="39" t="str">
        <f t="shared" si="30"/>
        <v>#REF!</v>
      </c>
      <c r="D434" s="7"/>
      <c r="E434" s="7"/>
      <c r="F434" s="7"/>
      <c r="G434" s="7"/>
      <c r="H434" s="39">
        <v>83.0</v>
      </c>
      <c r="I434" s="39">
        <v>83.0</v>
      </c>
      <c r="J434" s="39">
        <v>79.0</v>
      </c>
      <c r="K434" s="39">
        <v>76.0</v>
      </c>
      <c r="L434" s="39">
        <v>50.0</v>
      </c>
      <c r="M434" s="39">
        <v>50.0</v>
      </c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 t="s">
        <v>391</v>
      </c>
      <c r="B435" s="39">
        <v>50.0</v>
      </c>
      <c r="C435" s="39" t="str">
        <f t="shared" si="30"/>
        <v>#REF!</v>
      </c>
      <c r="D435" s="7"/>
      <c r="E435" s="7"/>
      <c r="F435" s="7"/>
      <c r="G435" s="7"/>
      <c r="H435" s="39">
        <v>84.0</v>
      </c>
      <c r="I435" s="39">
        <v>85.0</v>
      </c>
      <c r="J435" s="39">
        <v>74.0</v>
      </c>
      <c r="K435" s="39">
        <v>89.0</v>
      </c>
      <c r="L435" s="39">
        <v>53.0</v>
      </c>
      <c r="M435" s="39">
        <v>50.0</v>
      </c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 t="s">
        <v>392</v>
      </c>
      <c r="B436" s="39">
        <v>6.0</v>
      </c>
      <c r="C436" s="7"/>
      <c r="D436" s="7"/>
      <c r="E436" s="7"/>
      <c r="F436" s="7"/>
      <c r="G436" s="7"/>
      <c r="H436" s="39">
        <v>84.0</v>
      </c>
      <c r="I436" s="39">
        <v>84.0</v>
      </c>
      <c r="J436" s="39">
        <v>70.0</v>
      </c>
      <c r="K436" s="39">
        <v>70.0</v>
      </c>
      <c r="L436" s="39">
        <v>50.0</v>
      </c>
      <c r="M436" s="39">
        <v>10.0</v>
      </c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 t="s">
        <v>393</v>
      </c>
      <c r="B437" s="39">
        <v>50.0</v>
      </c>
      <c r="C437" s="7"/>
      <c r="D437" s="7"/>
      <c r="E437" s="7"/>
      <c r="F437" s="7"/>
      <c r="G437" s="7"/>
      <c r="H437" s="39">
        <v>86.0</v>
      </c>
      <c r="I437" s="39">
        <v>87.0</v>
      </c>
      <c r="J437" s="39">
        <v>79.0</v>
      </c>
      <c r="K437" s="39">
        <v>83.0</v>
      </c>
      <c r="L437" s="39">
        <v>69.0</v>
      </c>
      <c r="M437" s="39">
        <v>50.0</v>
      </c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 t="s">
        <v>394</v>
      </c>
      <c r="B438" s="39">
        <v>5.0</v>
      </c>
      <c r="C438" s="7"/>
      <c r="D438" s="7"/>
      <c r="E438" s="7"/>
      <c r="F438" s="7"/>
      <c r="G438" s="7"/>
      <c r="H438" s="39">
        <v>76.0</v>
      </c>
      <c r="I438" s="39">
        <v>82.0</v>
      </c>
      <c r="J438" s="39">
        <v>70.0</v>
      </c>
      <c r="K438" s="39">
        <v>70.0</v>
      </c>
      <c r="L438" s="39">
        <v>57.0</v>
      </c>
      <c r="M438" s="39">
        <v>50.0</v>
      </c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 t="s">
        <v>395</v>
      </c>
      <c r="B439" s="39">
        <v>16.0</v>
      </c>
      <c r="C439" s="7"/>
      <c r="D439" s="7"/>
      <c r="E439" s="7"/>
      <c r="F439" s="7"/>
      <c r="G439" s="7"/>
      <c r="H439" s="39">
        <v>77.0</v>
      </c>
      <c r="I439" s="39">
        <v>74.0</v>
      </c>
      <c r="J439" s="39">
        <v>53.0</v>
      </c>
      <c r="K439" s="39">
        <v>52.0</v>
      </c>
      <c r="L439" s="39">
        <v>50.0</v>
      </c>
      <c r="M439" s="39">
        <v>11.0</v>
      </c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 t="s">
        <v>396</v>
      </c>
      <c r="B440" s="39">
        <v>7.0</v>
      </c>
      <c r="C440" s="7"/>
      <c r="D440" s="7"/>
      <c r="E440" s="7"/>
      <c r="F440" s="7"/>
      <c r="G440" s="7"/>
      <c r="H440" s="39">
        <v>82.0</v>
      </c>
      <c r="I440" s="39">
        <v>84.0</v>
      </c>
      <c r="J440" s="39">
        <v>76.0</v>
      </c>
      <c r="K440" s="39">
        <v>83.0</v>
      </c>
      <c r="L440" s="39">
        <v>18.0</v>
      </c>
      <c r="M440" s="39">
        <v>34.0</v>
      </c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 t="s">
        <v>397</v>
      </c>
      <c r="B441" s="39">
        <v>55.0</v>
      </c>
      <c r="C441" s="7"/>
      <c r="D441" s="7"/>
      <c r="E441" s="7"/>
      <c r="F441" s="7"/>
      <c r="G441" s="7"/>
      <c r="H441" s="39">
        <v>86.0</v>
      </c>
      <c r="I441" s="39">
        <v>88.0</v>
      </c>
      <c r="J441" s="39">
        <v>84.0</v>
      </c>
      <c r="K441" s="39">
        <v>81.0</v>
      </c>
      <c r="L441" s="39">
        <v>58.0</v>
      </c>
      <c r="M441" s="39">
        <v>47.0</v>
      </c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 t="s">
        <v>398</v>
      </c>
      <c r="B442" s="39">
        <v>53.0</v>
      </c>
      <c r="C442" s="7"/>
      <c r="D442" s="7"/>
      <c r="E442" s="7"/>
      <c r="F442" s="7"/>
      <c r="G442" s="7"/>
      <c r="H442" s="39">
        <v>77.0</v>
      </c>
      <c r="I442" s="39">
        <v>83.0</v>
      </c>
      <c r="J442" s="39">
        <v>70.0</v>
      </c>
      <c r="K442" s="39">
        <v>70.0</v>
      </c>
      <c r="L442" s="39">
        <v>50.0</v>
      </c>
      <c r="M442" s="39">
        <v>42.0</v>
      </c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 t="s">
        <v>399</v>
      </c>
      <c r="B443" s="39">
        <v>53.0</v>
      </c>
      <c r="C443" s="7"/>
      <c r="D443" s="7"/>
      <c r="E443" s="7"/>
      <c r="F443" s="7"/>
      <c r="G443" s="7"/>
      <c r="H443" s="39">
        <v>81.0</v>
      </c>
      <c r="I443" s="39">
        <v>91.0</v>
      </c>
      <c r="J443" s="39">
        <v>83.0</v>
      </c>
      <c r="K443" s="39">
        <v>82.0</v>
      </c>
      <c r="L443" s="39">
        <v>52.0</v>
      </c>
      <c r="M443" s="39">
        <v>50.0</v>
      </c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 t="s">
        <v>400</v>
      </c>
      <c r="B444" s="39">
        <v>50.0</v>
      </c>
      <c r="C444" s="39" t="str">
        <f t="shared" ref="C444:C445" si="31">vlookup(A444,Sheet2!$1:$1000,2,False)</f>
        <v>#REF!</v>
      </c>
      <c r="D444" s="7"/>
      <c r="E444" s="7"/>
      <c r="F444" s="7"/>
      <c r="G444" s="7"/>
      <c r="H444" s="39">
        <v>84.0</v>
      </c>
      <c r="I444" s="39">
        <v>86.0</v>
      </c>
      <c r="J444" s="39">
        <v>70.0</v>
      </c>
      <c r="K444" s="39">
        <v>70.0</v>
      </c>
      <c r="L444" s="39">
        <v>50.0</v>
      </c>
      <c r="M444" s="39">
        <v>50.0</v>
      </c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 t="s">
        <v>401</v>
      </c>
      <c r="B445" s="39">
        <v>50.0</v>
      </c>
      <c r="C445" s="39" t="str">
        <f t="shared" si="31"/>
        <v>#REF!</v>
      </c>
      <c r="D445" s="7"/>
      <c r="E445" s="7"/>
      <c r="F445" s="7"/>
      <c r="G445" s="7"/>
      <c r="H445" s="39">
        <v>86.0</v>
      </c>
      <c r="I445" s="39">
        <v>83.0</v>
      </c>
      <c r="J445" s="39">
        <v>70.0</v>
      </c>
      <c r="K445" s="39">
        <v>70.0</v>
      </c>
      <c r="L445" s="39">
        <v>50.0</v>
      </c>
      <c r="M445" s="39">
        <v>50.0</v>
      </c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 t="s">
        <v>402</v>
      </c>
      <c r="B446" s="39">
        <v>30.0</v>
      </c>
      <c r="C446" s="7"/>
      <c r="D446" s="7"/>
      <c r="E446" s="7"/>
      <c r="F446" s="7"/>
      <c r="G446" s="7"/>
      <c r="H446" s="39">
        <v>76.0</v>
      </c>
      <c r="I446" s="39">
        <v>76.0</v>
      </c>
      <c r="J446" s="39">
        <v>62.0</v>
      </c>
      <c r="K446" s="39">
        <v>70.0</v>
      </c>
      <c r="L446" s="39">
        <v>32.0</v>
      </c>
      <c r="M446" s="39">
        <v>7.0</v>
      </c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 t="s">
        <v>403</v>
      </c>
      <c r="B447" s="39">
        <v>0.0</v>
      </c>
      <c r="C447" s="7"/>
      <c r="D447" s="7"/>
      <c r="E447" s="7"/>
      <c r="F447" s="7"/>
      <c r="G447" s="7"/>
      <c r="H447" s="39">
        <v>76.0</v>
      </c>
      <c r="I447" s="39">
        <v>78.0</v>
      </c>
      <c r="J447" s="39">
        <v>33.0</v>
      </c>
      <c r="K447" s="39">
        <v>6.0</v>
      </c>
      <c r="L447" s="39">
        <v>10.0</v>
      </c>
      <c r="M447" s="39">
        <v>11.0</v>
      </c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 t="s">
        <v>404</v>
      </c>
      <c r="B448" s="39">
        <v>0.0</v>
      </c>
      <c r="C448" s="7"/>
      <c r="D448" s="7"/>
      <c r="E448" s="7"/>
      <c r="F448" s="7"/>
      <c r="G448" s="7"/>
      <c r="H448" s="39">
        <v>80.0</v>
      </c>
      <c r="I448" s="39">
        <v>82.0</v>
      </c>
      <c r="J448" s="39">
        <v>44.0</v>
      </c>
      <c r="K448" s="39">
        <v>70.0</v>
      </c>
      <c r="L448" s="39">
        <v>8.0</v>
      </c>
      <c r="M448" s="39">
        <v>0.0</v>
      </c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 t="s">
        <v>405</v>
      </c>
      <c r="B449" s="39">
        <v>61.0</v>
      </c>
      <c r="C449" s="7"/>
      <c r="D449" s="7"/>
      <c r="E449" s="7"/>
      <c r="F449" s="7"/>
      <c r="G449" s="7"/>
      <c r="H449" s="39">
        <v>88.0</v>
      </c>
      <c r="I449" s="39">
        <v>95.0</v>
      </c>
      <c r="J449" s="39">
        <v>88.0</v>
      </c>
      <c r="K449" s="39">
        <v>88.0</v>
      </c>
      <c r="L449" s="39">
        <v>75.0</v>
      </c>
      <c r="M449" s="39">
        <v>61.0</v>
      </c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 t="s">
        <v>406</v>
      </c>
      <c r="B450" s="39">
        <v>6.0</v>
      </c>
      <c r="C450" s="7"/>
      <c r="D450" s="7"/>
      <c r="E450" s="7"/>
      <c r="F450" s="7"/>
      <c r="G450" s="7"/>
      <c r="H450" s="39">
        <v>86.0</v>
      </c>
      <c r="I450" s="39">
        <v>80.0</v>
      </c>
      <c r="J450" s="39">
        <v>70.0</v>
      </c>
      <c r="K450" s="39">
        <v>71.0</v>
      </c>
      <c r="L450" s="39">
        <v>38.0</v>
      </c>
      <c r="M450" s="39">
        <v>20.0</v>
      </c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 t="s">
        <v>407</v>
      </c>
      <c r="B451" s="39">
        <v>50.0</v>
      </c>
      <c r="C451" s="7"/>
      <c r="D451" s="7"/>
      <c r="E451" s="7"/>
      <c r="F451" s="7"/>
      <c r="G451" s="7"/>
      <c r="H451" s="39">
        <v>82.0</v>
      </c>
      <c r="I451" s="39">
        <v>87.0</v>
      </c>
      <c r="J451" s="39">
        <v>70.0</v>
      </c>
      <c r="K451" s="39">
        <v>77.0</v>
      </c>
      <c r="L451" s="39">
        <v>75.0</v>
      </c>
      <c r="M451" s="39">
        <v>50.0</v>
      </c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 t="s">
        <v>408</v>
      </c>
      <c r="B452" s="39">
        <v>50.0</v>
      </c>
      <c r="C452" s="39" t="str">
        <f t="shared" ref="C452:C453" si="32">vlookup(A452,Sheet2!$1:$1000,2,False)</f>
        <v>#REF!</v>
      </c>
      <c r="D452" s="7"/>
      <c r="E452" s="7"/>
      <c r="F452" s="7"/>
      <c r="G452" s="7"/>
      <c r="H452" s="39">
        <v>76.0</v>
      </c>
      <c r="I452" s="39">
        <v>75.0</v>
      </c>
      <c r="J452" s="39">
        <v>70.0</v>
      </c>
      <c r="K452" s="39">
        <v>73.0</v>
      </c>
      <c r="L452" s="39">
        <v>50.0</v>
      </c>
      <c r="M452" s="39">
        <v>4.0</v>
      </c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 t="s">
        <v>409</v>
      </c>
      <c r="B453" s="39">
        <v>50.0</v>
      </c>
      <c r="C453" s="39" t="str">
        <f t="shared" si="32"/>
        <v>#REF!</v>
      </c>
      <c r="D453" s="7"/>
      <c r="E453" s="7"/>
      <c r="F453" s="7"/>
      <c r="G453" s="7"/>
      <c r="H453" s="39">
        <v>86.0</v>
      </c>
      <c r="I453" s="39">
        <v>86.0</v>
      </c>
      <c r="J453" s="39">
        <v>72.0</v>
      </c>
      <c r="K453" s="39">
        <v>87.0</v>
      </c>
      <c r="L453" s="39">
        <v>62.0</v>
      </c>
      <c r="M453" s="39">
        <v>50.0</v>
      </c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 t="s">
        <v>410</v>
      </c>
      <c r="B454" s="39">
        <v>0.0</v>
      </c>
      <c r="C454" s="7"/>
      <c r="D454" s="7"/>
      <c r="E454" s="7"/>
      <c r="F454" s="7"/>
      <c r="G454" s="7"/>
      <c r="H454" s="39">
        <v>73.0</v>
      </c>
      <c r="I454" s="39">
        <v>80.0</v>
      </c>
      <c r="J454" s="39">
        <v>32.0</v>
      </c>
      <c r="K454" s="39">
        <v>19.0</v>
      </c>
      <c r="L454" s="39">
        <v>43.0</v>
      </c>
      <c r="M454" s="39">
        <v>15.0</v>
      </c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 t="s">
        <v>411</v>
      </c>
      <c r="B455" s="39">
        <v>11.0</v>
      </c>
      <c r="C455" s="7"/>
      <c r="D455" s="7"/>
      <c r="E455" s="7"/>
      <c r="F455" s="7"/>
      <c r="G455" s="7"/>
      <c r="H455" s="39">
        <v>79.0</v>
      </c>
      <c r="I455" s="39">
        <v>82.0</v>
      </c>
      <c r="J455" s="39">
        <v>24.0</v>
      </c>
      <c r="K455" s="39">
        <v>29.0</v>
      </c>
      <c r="L455" s="39">
        <v>50.0</v>
      </c>
      <c r="M455" s="39">
        <v>0.0</v>
      </c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 t="s">
        <v>412</v>
      </c>
      <c r="B456" s="39">
        <v>40.0</v>
      </c>
      <c r="C456" s="7"/>
      <c r="D456" s="7"/>
      <c r="E456" s="7"/>
      <c r="F456" s="7"/>
      <c r="G456" s="7"/>
      <c r="H456" s="39">
        <v>79.0</v>
      </c>
      <c r="I456" s="39">
        <v>86.0</v>
      </c>
      <c r="J456" s="39">
        <v>82.0</v>
      </c>
      <c r="K456" s="39">
        <v>80.0</v>
      </c>
      <c r="L456" s="39">
        <v>71.0</v>
      </c>
      <c r="M456" s="39">
        <v>50.0</v>
      </c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 t="s">
        <v>413</v>
      </c>
      <c r="B457" s="39">
        <v>5.0</v>
      </c>
      <c r="C457" s="7"/>
      <c r="D457" s="7"/>
      <c r="E457" s="7"/>
      <c r="F457" s="7"/>
      <c r="G457" s="7"/>
      <c r="H457" s="39">
        <v>74.0</v>
      </c>
      <c r="I457" s="39">
        <v>74.0</v>
      </c>
      <c r="J457" s="39">
        <v>70.0</v>
      </c>
      <c r="K457" s="39">
        <v>70.0</v>
      </c>
      <c r="L457" s="39">
        <v>50.0</v>
      </c>
      <c r="M457" s="39">
        <v>50.0</v>
      </c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 t="s">
        <v>414</v>
      </c>
      <c r="B458" s="39">
        <v>25.0</v>
      </c>
      <c r="C458" s="7"/>
      <c r="D458" s="7"/>
      <c r="E458" s="7"/>
      <c r="F458" s="7"/>
      <c r="G458" s="7"/>
      <c r="H458" s="39">
        <v>76.0</v>
      </c>
      <c r="I458" s="39">
        <v>76.0</v>
      </c>
      <c r="J458" s="39">
        <v>70.0</v>
      </c>
      <c r="K458" s="39">
        <v>71.0</v>
      </c>
      <c r="L458" s="39">
        <v>71.0</v>
      </c>
      <c r="M458" s="39">
        <v>50.0</v>
      </c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 t="s">
        <v>415</v>
      </c>
      <c r="B459" s="39">
        <v>50.0</v>
      </c>
      <c r="C459" s="39" t="str">
        <f>vlookup(A459,Sheet2!$1:$1000,2,False)</f>
        <v>#REF!</v>
      </c>
      <c r="D459" s="7"/>
      <c r="E459" s="7"/>
      <c r="F459" s="7"/>
      <c r="G459" s="7"/>
      <c r="H459" s="39">
        <v>82.0</v>
      </c>
      <c r="I459" s="39">
        <v>80.0</v>
      </c>
      <c r="J459" s="39">
        <v>70.0</v>
      </c>
      <c r="K459" s="39">
        <v>70.0</v>
      </c>
      <c r="L459" s="39">
        <v>50.0</v>
      </c>
      <c r="M459" s="39">
        <v>50.0</v>
      </c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 t="s">
        <v>416</v>
      </c>
      <c r="B460" s="39">
        <v>22.0</v>
      </c>
      <c r="C460" s="7"/>
      <c r="D460" s="7"/>
      <c r="E460" s="7"/>
      <c r="F460" s="7"/>
      <c r="G460" s="7"/>
      <c r="H460" s="39">
        <v>73.0</v>
      </c>
      <c r="I460" s="39">
        <v>72.0</v>
      </c>
      <c r="J460" s="39">
        <v>70.0</v>
      </c>
      <c r="K460" s="39">
        <v>51.0</v>
      </c>
      <c r="L460" s="39">
        <v>50.0</v>
      </c>
      <c r="M460" s="39">
        <v>50.0</v>
      </c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 t="s">
        <v>417</v>
      </c>
      <c r="B461" s="39">
        <v>5.0</v>
      </c>
      <c r="C461" s="7"/>
      <c r="D461" s="7"/>
      <c r="E461" s="7"/>
      <c r="F461" s="7"/>
      <c r="G461" s="7"/>
      <c r="H461" s="39">
        <v>76.0</v>
      </c>
      <c r="I461" s="39">
        <v>71.0</v>
      </c>
      <c r="J461" s="39">
        <v>27.0</v>
      </c>
      <c r="K461" s="39">
        <v>37.0</v>
      </c>
      <c r="L461" s="39">
        <v>33.0</v>
      </c>
      <c r="M461" s="39">
        <v>5.0</v>
      </c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 t="s">
        <v>418</v>
      </c>
      <c r="B462" s="39">
        <v>0.0</v>
      </c>
      <c r="C462" s="7"/>
      <c r="D462" s="7"/>
      <c r="E462" s="7"/>
      <c r="F462" s="7"/>
      <c r="G462" s="7"/>
      <c r="H462" s="39">
        <v>72.0</v>
      </c>
      <c r="I462" s="39">
        <v>75.0</v>
      </c>
      <c r="J462" s="39">
        <v>49.0</v>
      </c>
      <c r="K462" s="39">
        <v>70.0</v>
      </c>
      <c r="L462" s="39">
        <v>40.0</v>
      </c>
      <c r="M462" s="39">
        <v>14.0</v>
      </c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 t="s">
        <v>419</v>
      </c>
      <c r="B463" s="39">
        <v>18.0</v>
      </c>
      <c r="C463" s="7"/>
      <c r="D463" s="7"/>
      <c r="E463" s="7"/>
      <c r="F463" s="7"/>
      <c r="G463" s="7"/>
      <c r="H463" s="39">
        <v>84.0</v>
      </c>
      <c r="I463" s="39">
        <v>84.0</v>
      </c>
      <c r="J463" s="39">
        <v>70.0</v>
      </c>
      <c r="K463" s="39">
        <v>48.0</v>
      </c>
      <c r="L463" s="39">
        <v>58.0</v>
      </c>
      <c r="M463" s="39">
        <v>50.0</v>
      </c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 t="s">
        <v>420</v>
      </c>
      <c r="B464" s="39">
        <v>52.0</v>
      </c>
      <c r="C464" s="7"/>
      <c r="D464" s="7"/>
      <c r="E464" s="7"/>
      <c r="F464" s="7"/>
      <c r="G464" s="7"/>
      <c r="H464" s="39">
        <v>88.0</v>
      </c>
      <c r="I464" s="39">
        <v>91.0</v>
      </c>
      <c r="J464" s="39">
        <v>81.0</v>
      </c>
      <c r="K464" s="39">
        <v>76.0</v>
      </c>
      <c r="L464" s="39">
        <v>88.0</v>
      </c>
      <c r="M464" s="39">
        <v>50.0</v>
      </c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 t="s">
        <v>421</v>
      </c>
      <c r="B465" s="39">
        <v>0.0</v>
      </c>
      <c r="C465" s="39" t="str">
        <f t="shared" ref="C465:C469" si="33">vlookup(A465,Sheet2!$1:$1000,2,False)</f>
        <v>#REF!</v>
      </c>
      <c r="D465" s="7"/>
      <c r="E465" s="7"/>
      <c r="F465" s="7"/>
      <c r="G465" s="7"/>
      <c r="H465" s="39">
        <v>84.0</v>
      </c>
      <c r="I465" s="39">
        <v>75.0</v>
      </c>
      <c r="J465" s="39">
        <v>70.0</v>
      </c>
      <c r="K465" s="39">
        <v>70.0</v>
      </c>
      <c r="L465" s="39">
        <v>59.0</v>
      </c>
      <c r="M465" s="39">
        <v>11.0</v>
      </c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 t="s">
        <v>422</v>
      </c>
      <c r="B466" s="39">
        <v>50.0</v>
      </c>
      <c r="C466" s="39" t="str">
        <f t="shared" si="33"/>
        <v>#REF!</v>
      </c>
      <c r="D466" s="7"/>
      <c r="E466" s="7"/>
      <c r="F466" s="7"/>
      <c r="G466" s="7"/>
      <c r="H466" s="39">
        <v>83.0</v>
      </c>
      <c r="I466" s="39">
        <v>85.0</v>
      </c>
      <c r="J466" s="39">
        <v>76.0</v>
      </c>
      <c r="K466" s="39">
        <v>74.0</v>
      </c>
      <c r="L466" s="39">
        <v>50.0</v>
      </c>
      <c r="M466" s="39">
        <v>50.0</v>
      </c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 t="s">
        <v>423</v>
      </c>
      <c r="B467" s="39">
        <v>30.0</v>
      </c>
      <c r="C467" s="39" t="str">
        <f t="shared" si="33"/>
        <v>#REF!</v>
      </c>
      <c r="D467" s="7"/>
      <c r="E467" s="7"/>
      <c r="F467" s="7"/>
      <c r="G467" s="7"/>
      <c r="H467" s="39">
        <v>70.0</v>
      </c>
      <c r="I467" s="39">
        <v>75.0</v>
      </c>
      <c r="J467" s="39">
        <v>70.0</v>
      </c>
      <c r="K467" s="39">
        <v>70.0</v>
      </c>
      <c r="L467" s="39">
        <v>50.0</v>
      </c>
      <c r="M467" s="39">
        <v>50.0</v>
      </c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 t="s">
        <v>424</v>
      </c>
      <c r="B468" s="39">
        <v>50.0</v>
      </c>
      <c r="C468" s="39" t="str">
        <f t="shared" si="33"/>
        <v>#REF!</v>
      </c>
      <c r="D468" s="7"/>
      <c r="E468" s="7"/>
      <c r="F468" s="7"/>
      <c r="G468" s="7"/>
      <c r="H468" s="39">
        <v>75.0</v>
      </c>
      <c r="I468" s="39">
        <v>72.0</v>
      </c>
      <c r="J468" s="39">
        <v>71.0</v>
      </c>
      <c r="K468" s="39">
        <v>76.0</v>
      </c>
      <c r="L468" s="39">
        <v>50.0</v>
      </c>
      <c r="M468" s="39">
        <v>50.0</v>
      </c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 t="s">
        <v>425</v>
      </c>
      <c r="B469" s="39">
        <v>50.0</v>
      </c>
      <c r="C469" s="39" t="str">
        <f t="shared" si="33"/>
        <v>#REF!</v>
      </c>
      <c r="D469" s="7"/>
      <c r="E469" s="7"/>
      <c r="F469" s="7"/>
      <c r="G469" s="7"/>
      <c r="H469" s="39">
        <v>80.0</v>
      </c>
      <c r="I469" s="39">
        <v>85.0</v>
      </c>
      <c r="J469" s="39">
        <v>70.0</v>
      </c>
      <c r="K469" s="39">
        <v>79.0</v>
      </c>
      <c r="L469" s="39">
        <v>50.0</v>
      </c>
      <c r="M469" s="39">
        <v>50.0</v>
      </c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 t="s">
        <v>426</v>
      </c>
      <c r="B470" s="39">
        <v>11.0</v>
      </c>
      <c r="C470" s="7"/>
      <c r="D470" s="7"/>
      <c r="E470" s="7"/>
      <c r="F470" s="7"/>
      <c r="G470" s="7"/>
      <c r="H470" s="39">
        <v>79.0</v>
      </c>
      <c r="I470" s="39">
        <v>76.0</v>
      </c>
      <c r="J470" s="39">
        <v>74.0</v>
      </c>
      <c r="K470" s="39">
        <v>72.0</v>
      </c>
      <c r="L470" s="39">
        <v>65.0</v>
      </c>
      <c r="M470" s="39">
        <v>25.0</v>
      </c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 t="s">
        <v>427</v>
      </c>
      <c r="B471" s="39">
        <v>22.0</v>
      </c>
      <c r="C471" s="39" t="str">
        <f t="shared" ref="C471:C472" si="34">vlookup(A471,Sheet2!$1:$1000,2,False)</f>
        <v>#REF!</v>
      </c>
      <c r="D471" s="7"/>
      <c r="E471" s="7"/>
      <c r="F471" s="7"/>
      <c r="G471" s="7"/>
      <c r="H471" s="39">
        <v>86.0</v>
      </c>
      <c r="I471" s="39">
        <v>83.0</v>
      </c>
      <c r="J471" s="39">
        <v>71.0</v>
      </c>
      <c r="K471" s="39">
        <v>70.0</v>
      </c>
      <c r="L471" s="39">
        <v>52.0</v>
      </c>
      <c r="M471" s="39">
        <v>3.0</v>
      </c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 t="s">
        <v>428</v>
      </c>
      <c r="B472" s="39">
        <v>50.0</v>
      </c>
      <c r="C472" s="39" t="str">
        <f t="shared" si="34"/>
        <v>#REF!</v>
      </c>
      <c r="D472" s="7"/>
      <c r="E472" s="7"/>
      <c r="F472" s="7"/>
      <c r="G472" s="7"/>
      <c r="H472" s="39">
        <v>78.0</v>
      </c>
      <c r="I472" s="39">
        <v>72.0</v>
      </c>
      <c r="J472" s="39">
        <v>70.0</v>
      </c>
      <c r="K472" s="39">
        <v>70.0</v>
      </c>
      <c r="L472" s="39">
        <v>50.0</v>
      </c>
      <c r="M472" s="39">
        <v>50.0</v>
      </c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 t="s">
        <v>429</v>
      </c>
      <c r="B473" s="39">
        <v>6.0</v>
      </c>
      <c r="C473" s="7"/>
      <c r="D473" s="7"/>
      <c r="E473" s="7"/>
      <c r="F473" s="7"/>
      <c r="G473" s="7"/>
      <c r="H473" s="39">
        <v>84.0</v>
      </c>
      <c r="I473" s="39">
        <v>83.0</v>
      </c>
      <c r="J473" s="39">
        <v>70.0</v>
      </c>
      <c r="K473" s="39">
        <v>70.0</v>
      </c>
      <c r="L473" s="39">
        <v>66.0</v>
      </c>
      <c r="M473" s="39">
        <v>50.0</v>
      </c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 t="s">
        <v>430</v>
      </c>
      <c r="B474" s="39">
        <v>50.0</v>
      </c>
      <c r="C474" s="39" t="str">
        <f>vlookup(A474,Sheet2!$1:$1000,2,False)</f>
        <v>#REF!</v>
      </c>
      <c r="D474" s="7"/>
      <c r="E474" s="7"/>
      <c r="F474" s="7"/>
      <c r="G474" s="7"/>
      <c r="H474" s="39">
        <v>85.0</v>
      </c>
      <c r="I474" s="39">
        <v>85.0</v>
      </c>
      <c r="J474" s="39">
        <v>76.0</v>
      </c>
      <c r="K474" s="39">
        <v>70.0</v>
      </c>
      <c r="L474" s="39">
        <v>54.0</v>
      </c>
      <c r="M474" s="39">
        <v>19.0</v>
      </c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 t="s">
        <v>431</v>
      </c>
      <c r="B475" s="39">
        <v>0.0</v>
      </c>
      <c r="C475" s="7"/>
      <c r="D475" s="7"/>
      <c r="E475" s="7"/>
      <c r="F475" s="7"/>
      <c r="G475" s="7"/>
      <c r="H475" s="39">
        <v>82.0</v>
      </c>
      <c r="I475" s="39">
        <v>81.0</v>
      </c>
      <c r="J475" s="39">
        <v>62.0</v>
      </c>
      <c r="K475" s="39">
        <v>70.0</v>
      </c>
      <c r="L475" s="39">
        <v>48.0</v>
      </c>
      <c r="M475" s="39">
        <v>20.0</v>
      </c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 t="s">
        <v>432</v>
      </c>
      <c r="B476" s="39">
        <v>50.0</v>
      </c>
      <c r="C476" s="7"/>
      <c r="D476" s="7"/>
      <c r="E476" s="7"/>
      <c r="F476" s="7"/>
      <c r="G476" s="7"/>
      <c r="H476" s="39">
        <v>79.0</v>
      </c>
      <c r="I476" s="39">
        <v>89.0</v>
      </c>
      <c r="J476" s="39">
        <v>71.0</v>
      </c>
      <c r="K476" s="39">
        <v>72.0</v>
      </c>
      <c r="L476" s="39">
        <v>50.0</v>
      </c>
      <c r="M476" s="39">
        <v>50.0</v>
      </c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 t="s">
        <v>433</v>
      </c>
      <c r="B477" s="39">
        <v>58.0</v>
      </c>
      <c r="C477" s="7"/>
      <c r="D477" s="7"/>
      <c r="E477" s="7"/>
      <c r="F477" s="7"/>
      <c r="G477" s="7"/>
      <c r="H477" s="39">
        <v>91.0</v>
      </c>
      <c r="I477" s="39">
        <v>91.0</v>
      </c>
      <c r="J477" s="39">
        <v>87.0</v>
      </c>
      <c r="K477" s="39">
        <v>72.0</v>
      </c>
      <c r="L477" s="39">
        <v>70.0</v>
      </c>
      <c r="M477" s="39">
        <v>50.0</v>
      </c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 t="s">
        <v>435</v>
      </c>
      <c r="B478" s="39">
        <v>50.0</v>
      </c>
      <c r="C478" s="39" t="str">
        <f>vlookup(A478,Sheet2!$1:$1000,2,False)</f>
        <v>#REF!</v>
      </c>
      <c r="D478" s="7"/>
      <c r="E478" s="7"/>
      <c r="F478" s="7"/>
      <c r="G478" s="7"/>
      <c r="H478" s="39">
        <v>76.0</v>
      </c>
      <c r="I478" s="39">
        <v>73.0</v>
      </c>
      <c r="J478" s="39">
        <v>67.0</v>
      </c>
      <c r="K478" s="39">
        <v>70.0</v>
      </c>
      <c r="L478" s="39">
        <v>31.0</v>
      </c>
      <c r="M478" s="39">
        <v>50.0</v>
      </c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 t="s">
        <v>436</v>
      </c>
      <c r="B479" s="39">
        <v>0.0</v>
      </c>
      <c r="C479" s="7"/>
      <c r="D479" s="7"/>
      <c r="E479" s="7"/>
      <c r="F479" s="7"/>
      <c r="G479" s="7"/>
      <c r="H479" s="39">
        <v>87.0</v>
      </c>
      <c r="I479" s="39">
        <v>88.0</v>
      </c>
      <c r="J479" s="39">
        <v>43.0</v>
      </c>
      <c r="K479" s="39">
        <v>14.0</v>
      </c>
      <c r="L479" s="39">
        <v>50.0</v>
      </c>
      <c r="M479" s="39">
        <v>50.0</v>
      </c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 t="s">
        <v>437</v>
      </c>
      <c r="B480" s="39">
        <v>15.0</v>
      </c>
      <c r="C480" s="39" t="str">
        <f t="shared" ref="C480:C481" si="35">vlookup(A480,Sheet2!$1:$1000,2,False)</f>
        <v>#REF!</v>
      </c>
      <c r="D480" s="7"/>
      <c r="E480" s="7"/>
      <c r="F480" s="7"/>
      <c r="G480" s="7"/>
      <c r="H480" s="39">
        <v>87.0</v>
      </c>
      <c r="I480" s="39">
        <v>80.0</v>
      </c>
      <c r="J480" s="39">
        <v>70.0</v>
      </c>
      <c r="K480" s="39">
        <v>77.0</v>
      </c>
      <c r="L480" s="39">
        <v>50.0</v>
      </c>
      <c r="M480" s="39">
        <v>6.0</v>
      </c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 t="s">
        <v>438</v>
      </c>
      <c r="B481" s="39">
        <v>50.0</v>
      </c>
      <c r="C481" s="39" t="str">
        <f t="shared" si="35"/>
        <v>#REF!</v>
      </c>
      <c r="D481" s="7"/>
      <c r="E481" s="7"/>
      <c r="F481" s="7"/>
      <c r="G481" s="7"/>
      <c r="H481" s="39">
        <v>79.0</v>
      </c>
      <c r="I481" s="39">
        <v>80.0</v>
      </c>
      <c r="J481" s="39">
        <v>72.0</v>
      </c>
      <c r="K481" s="39">
        <v>70.0</v>
      </c>
      <c r="L481" s="39">
        <v>50.0</v>
      </c>
      <c r="M481" s="39">
        <v>7.0</v>
      </c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 t="s">
        <v>439</v>
      </c>
      <c r="B482" s="39">
        <v>0.0</v>
      </c>
      <c r="C482" s="7"/>
      <c r="D482" s="7"/>
      <c r="E482" s="7"/>
      <c r="F482" s="7"/>
      <c r="G482" s="7"/>
      <c r="H482" s="39">
        <v>82.0</v>
      </c>
      <c r="I482" s="39">
        <v>86.0</v>
      </c>
      <c r="J482" s="39">
        <v>70.0</v>
      </c>
      <c r="K482" s="39">
        <v>84.0</v>
      </c>
      <c r="L482" s="39">
        <v>61.0</v>
      </c>
      <c r="M482" s="39">
        <v>16.0</v>
      </c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 t="s">
        <v>440</v>
      </c>
      <c r="B483" s="39">
        <v>18.0</v>
      </c>
      <c r="C483" s="7"/>
      <c r="D483" s="7"/>
      <c r="E483" s="7"/>
      <c r="F483" s="7"/>
      <c r="G483" s="7"/>
      <c r="H483" s="39">
        <v>79.0</v>
      </c>
      <c r="I483" s="39">
        <v>81.0</v>
      </c>
      <c r="J483" s="39">
        <v>70.0</v>
      </c>
      <c r="K483" s="39">
        <v>70.0</v>
      </c>
      <c r="L483" s="39">
        <v>50.0</v>
      </c>
      <c r="M483" s="39">
        <v>50.0</v>
      </c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 t="s">
        <v>441</v>
      </c>
      <c r="B484" s="39">
        <v>22.0</v>
      </c>
      <c r="C484" s="39" t="str">
        <f>vlookup(A484,Sheet2!$1:$1000,2,False)</f>
        <v>#REF!</v>
      </c>
      <c r="D484" s="7"/>
      <c r="E484" s="7"/>
      <c r="F484" s="7"/>
      <c r="G484" s="7"/>
      <c r="H484" s="39">
        <v>76.0</v>
      </c>
      <c r="I484" s="39">
        <v>76.0</v>
      </c>
      <c r="J484" s="39">
        <v>70.0</v>
      </c>
      <c r="K484" s="39">
        <v>75.0</v>
      </c>
      <c r="L484" s="39">
        <v>50.0</v>
      </c>
      <c r="M484" s="39">
        <v>50.0</v>
      </c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 t="s">
        <v>442</v>
      </c>
      <c r="B485" s="39">
        <v>25.0</v>
      </c>
      <c r="C485" s="7"/>
      <c r="D485" s="7"/>
      <c r="E485" s="7"/>
      <c r="F485" s="7"/>
      <c r="G485" s="7"/>
      <c r="H485" s="39">
        <v>85.0</v>
      </c>
      <c r="I485" s="39">
        <v>79.0</v>
      </c>
      <c r="J485" s="39">
        <v>70.0</v>
      </c>
      <c r="K485" s="39">
        <v>70.0</v>
      </c>
      <c r="L485" s="39">
        <v>50.0</v>
      </c>
      <c r="M485" s="39">
        <v>0.0</v>
      </c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 t="s">
        <v>443</v>
      </c>
      <c r="B486" s="39">
        <v>4.0</v>
      </c>
      <c r="C486" s="7"/>
      <c r="D486" s="7"/>
      <c r="E486" s="7"/>
      <c r="F486" s="7"/>
      <c r="G486" s="7"/>
      <c r="H486" s="39">
        <v>77.0</v>
      </c>
      <c r="I486" s="39">
        <v>68.0</v>
      </c>
      <c r="J486" s="39">
        <v>45.0</v>
      </c>
      <c r="K486" s="39">
        <v>14.0</v>
      </c>
      <c r="L486" s="39">
        <v>31.0</v>
      </c>
      <c r="M486" s="39">
        <v>18.0</v>
      </c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 t="s">
        <v>444</v>
      </c>
      <c r="B487" s="39">
        <v>50.0</v>
      </c>
      <c r="C487" s="39" t="str">
        <f>vlookup(A487,Sheet2!$1:$1000,2,False)</f>
        <v>#REF!</v>
      </c>
      <c r="D487" s="7"/>
      <c r="E487" s="7"/>
      <c r="F487" s="7"/>
      <c r="G487" s="7"/>
      <c r="H487" s="39">
        <v>88.0</v>
      </c>
      <c r="I487" s="39">
        <v>83.0</v>
      </c>
      <c r="J487" s="39">
        <v>70.0</v>
      </c>
      <c r="K487" s="39">
        <v>70.0</v>
      </c>
      <c r="L487" s="39">
        <v>53.0</v>
      </c>
      <c r="M487" s="39">
        <v>6.0</v>
      </c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 t="s">
        <v>445</v>
      </c>
      <c r="B488" s="39">
        <v>5.0</v>
      </c>
      <c r="C488" s="7"/>
      <c r="D488" s="7"/>
      <c r="E488" s="7"/>
      <c r="F488" s="7"/>
      <c r="G488" s="7"/>
      <c r="H488" s="39">
        <v>75.0</v>
      </c>
      <c r="I488" s="39">
        <v>70.0</v>
      </c>
      <c r="J488" s="39">
        <v>70.0</v>
      </c>
      <c r="K488" s="39">
        <v>70.0</v>
      </c>
      <c r="L488" s="39">
        <v>18.0</v>
      </c>
      <c r="M488" s="39">
        <v>10.0</v>
      </c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 t="s">
        <v>446</v>
      </c>
      <c r="B489" s="39">
        <v>50.0</v>
      </c>
      <c r="C489" s="7"/>
      <c r="D489" s="7"/>
      <c r="E489" s="7"/>
      <c r="F489" s="7"/>
      <c r="G489" s="7"/>
      <c r="H489" s="39">
        <v>82.0</v>
      </c>
      <c r="I489" s="39">
        <v>85.0</v>
      </c>
      <c r="J489" s="39">
        <v>85.0</v>
      </c>
      <c r="K489" s="39">
        <v>70.0</v>
      </c>
      <c r="L489" s="39">
        <v>50.0</v>
      </c>
      <c r="M489" s="39">
        <v>50.0</v>
      </c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 t="s">
        <v>447</v>
      </c>
      <c r="B490" s="39">
        <v>56.0</v>
      </c>
      <c r="C490" s="7"/>
      <c r="D490" s="7"/>
      <c r="E490" s="7"/>
      <c r="F490" s="7"/>
      <c r="G490" s="7"/>
      <c r="H490" s="39">
        <v>70.0</v>
      </c>
      <c r="I490" s="39">
        <v>73.0</v>
      </c>
      <c r="J490" s="39">
        <v>75.0</v>
      </c>
      <c r="K490" s="39">
        <v>81.0</v>
      </c>
      <c r="L490" s="39">
        <v>81.0</v>
      </c>
      <c r="M490" s="39">
        <v>50.0</v>
      </c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 t="s">
        <v>448</v>
      </c>
      <c r="B491" s="39">
        <v>4.0</v>
      </c>
      <c r="C491" s="7"/>
      <c r="D491" s="7"/>
      <c r="E491" s="7"/>
      <c r="F491" s="7"/>
      <c r="G491" s="7"/>
      <c r="H491" s="39">
        <v>73.0</v>
      </c>
      <c r="I491" s="39">
        <v>72.0</v>
      </c>
      <c r="J491" s="39">
        <v>26.0</v>
      </c>
      <c r="K491" s="39">
        <v>70.0</v>
      </c>
      <c r="L491" s="39">
        <v>51.0</v>
      </c>
      <c r="M491" s="39">
        <v>50.0</v>
      </c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 t="s">
        <v>449</v>
      </c>
      <c r="B492" s="39">
        <v>35.0</v>
      </c>
      <c r="C492" s="39" t="str">
        <f>vlookup(A492,Sheet2!$1:$1000,2,False)</f>
        <v>#REF!</v>
      </c>
      <c r="D492" s="7"/>
      <c r="E492" s="7"/>
      <c r="F492" s="7"/>
      <c r="G492" s="7"/>
      <c r="H492" s="39">
        <v>82.0</v>
      </c>
      <c r="I492" s="39">
        <v>86.0</v>
      </c>
      <c r="J492" s="39">
        <v>82.0</v>
      </c>
      <c r="K492" s="39">
        <v>71.0</v>
      </c>
      <c r="L492" s="39">
        <v>36.0</v>
      </c>
      <c r="M492" s="39">
        <v>31.0</v>
      </c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 t="s">
        <v>450</v>
      </c>
      <c r="B493" s="39">
        <v>6.0</v>
      </c>
      <c r="C493" s="7"/>
      <c r="D493" s="7"/>
      <c r="E493" s="7"/>
      <c r="F493" s="7"/>
      <c r="G493" s="7"/>
      <c r="H493" s="39">
        <v>79.0</v>
      </c>
      <c r="I493" s="39">
        <v>75.0</v>
      </c>
      <c r="J493" s="39">
        <v>41.0</v>
      </c>
      <c r="K493" s="39">
        <v>70.0</v>
      </c>
      <c r="L493" s="39">
        <v>4.0</v>
      </c>
      <c r="M493" s="39">
        <v>17.0</v>
      </c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 t="s">
        <v>451</v>
      </c>
      <c r="B494" s="39">
        <v>0.0</v>
      </c>
      <c r="C494" s="7"/>
      <c r="D494" s="7"/>
      <c r="E494" s="7"/>
      <c r="F494" s="7"/>
      <c r="G494" s="7"/>
      <c r="H494" s="39">
        <v>77.0</v>
      </c>
      <c r="I494" s="39">
        <v>71.0</v>
      </c>
      <c r="J494" s="39">
        <v>70.0</v>
      </c>
      <c r="K494" s="39">
        <v>70.0</v>
      </c>
      <c r="L494" s="39">
        <v>21.0</v>
      </c>
      <c r="M494" s="39">
        <v>20.0</v>
      </c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 t="s">
        <v>452</v>
      </c>
      <c r="B495" s="39">
        <v>0.0</v>
      </c>
      <c r="C495" s="7"/>
      <c r="D495" s="7"/>
      <c r="E495" s="7"/>
      <c r="F495" s="7"/>
      <c r="G495" s="7"/>
      <c r="H495" s="39">
        <v>80.0</v>
      </c>
      <c r="I495" s="39">
        <v>80.0</v>
      </c>
      <c r="J495" s="39">
        <v>39.0</v>
      </c>
      <c r="K495" s="39">
        <v>70.0</v>
      </c>
      <c r="L495" s="39">
        <v>12.0</v>
      </c>
      <c r="M495" s="39">
        <v>17.0</v>
      </c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 t="s">
        <v>453</v>
      </c>
      <c r="B496" s="39">
        <v>50.0</v>
      </c>
      <c r="C496" s="39" t="str">
        <f t="shared" ref="C496:C505" si="36">vlookup(A496,Sheet2!$1:$1000,2,False)</f>
        <v>#REF!</v>
      </c>
      <c r="D496" s="7"/>
      <c r="E496" s="7"/>
      <c r="F496" s="7"/>
      <c r="G496" s="7"/>
      <c r="H496" s="39">
        <v>79.0</v>
      </c>
      <c r="I496" s="39">
        <v>82.0</v>
      </c>
      <c r="J496" s="39">
        <v>72.0</v>
      </c>
      <c r="K496" s="39">
        <v>76.0</v>
      </c>
      <c r="L496" s="39">
        <v>50.0</v>
      </c>
      <c r="M496" s="39">
        <v>20.0</v>
      </c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 t="s">
        <v>454</v>
      </c>
      <c r="B497" s="39">
        <v>50.0</v>
      </c>
      <c r="C497" s="39" t="str">
        <f t="shared" si="36"/>
        <v>#REF!</v>
      </c>
      <c r="D497" s="7"/>
      <c r="E497" s="7"/>
      <c r="F497" s="7"/>
      <c r="G497" s="7"/>
      <c r="H497" s="39">
        <v>87.0</v>
      </c>
      <c r="I497" s="39">
        <v>88.0</v>
      </c>
      <c r="J497" s="39">
        <v>73.0</v>
      </c>
      <c r="K497" s="39">
        <v>72.0</v>
      </c>
      <c r="L497" s="39">
        <v>50.0</v>
      </c>
      <c r="M497" s="39">
        <v>50.0</v>
      </c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 t="s">
        <v>455</v>
      </c>
      <c r="B498" s="39">
        <v>50.0</v>
      </c>
      <c r="C498" s="39" t="str">
        <f t="shared" si="36"/>
        <v>#REF!</v>
      </c>
      <c r="D498" s="7"/>
      <c r="E498" s="7"/>
      <c r="F498" s="7"/>
      <c r="G498" s="7"/>
      <c r="H498" s="39">
        <v>80.0</v>
      </c>
      <c r="I498" s="39">
        <v>82.0</v>
      </c>
      <c r="J498" s="39">
        <v>70.0</v>
      </c>
      <c r="K498" s="39">
        <v>70.0</v>
      </c>
      <c r="L498" s="39">
        <v>50.0</v>
      </c>
      <c r="M498" s="39">
        <v>50.0</v>
      </c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 t="s">
        <v>456</v>
      </c>
      <c r="B499" s="39">
        <v>50.0</v>
      </c>
      <c r="C499" s="39" t="str">
        <f t="shared" si="36"/>
        <v>#REF!</v>
      </c>
      <c r="D499" s="7"/>
      <c r="E499" s="7"/>
      <c r="F499" s="7"/>
      <c r="G499" s="7"/>
      <c r="H499" s="39">
        <v>77.0</v>
      </c>
      <c r="I499" s="39">
        <v>85.0</v>
      </c>
      <c r="J499" s="39">
        <v>72.0</v>
      </c>
      <c r="K499" s="39">
        <v>70.0</v>
      </c>
      <c r="L499" s="39">
        <v>50.0</v>
      </c>
      <c r="M499" s="39">
        <v>50.0</v>
      </c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 t="s">
        <v>457</v>
      </c>
      <c r="B500" s="39">
        <v>50.0</v>
      </c>
      <c r="C500" s="39" t="str">
        <f t="shared" si="36"/>
        <v>#REF!</v>
      </c>
      <c r="D500" s="7"/>
      <c r="E500" s="7"/>
      <c r="F500" s="7"/>
      <c r="G500" s="7"/>
      <c r="H500" s="39">
        <v>84.0</v>
      </c>
      <c r="I500" s="39">
        <v>83.0</v>
      </c>
      <c r="J500" s="39">
        <v>80.0</v>
      </c>
      <c r="K500" s="39">
        <v>81.0</v>
      </c>
      <c r="L500" s="39">
        <v>50.0</v>
      </c>
      <c r="M500" s="39">
        <v>50.0</v>
      </c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 t="s">
        <v>458</v>
      </c>
      <c r="B501" s="39">
        <v>50.0</v>
      </c>
      <c r="C501" s="39" t="str">
        <f t="shared" si="36"/>
        <v>#REF!</v>
      </c>
      <c r="D501" s="7"/>
      <c r="E501" s="7"/>
      <c r="F501" s="7"/>
      <c r="G501" s="7"/>
      <c r="H501" s="39">
        <v>71.0</v>
      </c>
      <c r="I501" s="39">
        <v>77.0</v>
      </c>
      <c r="J501" s="39">
        <v>70.0</v>
      </c>
      <c r="K501" s="39">
        <v>70.0</v>
      </c>
      <c r="L501" s="39">
        <v>50.0</v>
      </c>
      <c r="M501" s="39">
        <v>50.0</v>
      </c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 t="s">
        <v>459</v>
      </c>
      <c r="B502" s="39">
        <v>50.0</v>
      </c>
      <c r="C502" s="39" t="str">
        <f t="shared" si="36"/>
        <v>#REF!</v>
      </c>
      <c r="D502" s="7"/>
      <c r="E502" s="7"/>
      <c r="F502" s="7"/>
      <c r="G502" s="7"/>
      <c r="H502" s="39">
        <v>77.0</v>
      </c>
      <c r="I502" s="39">
        <v>80.0</v>
      </c>
      <c r="J502" s="39">
        <v>76.0</v>
      </c>
      <c r="K502" s="39">
        <v>82.0</v>
      </c>
      <c r="L502" s="39">
        <v>50.0</v>
      </c>
      <c r="M502" s="39">
        <v>50.0</v>
      </c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 t="s">
        <v>460</v>
      </c>
      <c r="B503" s="39">
        <v>33.0</v>
      </c>
      <c r="C503" s="39" t="str">
        <f t="shared" si="36"/>
        <v>#REF!</v>
      </c>
      <c r="D503" s="7"/>
      <c r="E503" s="7"/>
      <c r="F503" s="7"/>
      <c r="G503" s="7"/>
      <c r="H503" s="39">
        <v>87.0</v>
      </c>
      <c r="I503" s="39">
        <v>82.0</v>
      </c>
      <c r="J503" s="39">
        <v>69.0</v>
      </c>
      <c r="K503" s="39">
        <v>70.0</v>
      </c>
      <c r="L503" s="39">
        <v>18.0</v>
      </c>
      <c r="M503" s="39">
        <v>12.0</v>
      </c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 t="s">
        <v>461</v>
      </c>
      <c r="B504" s="39">
        <v>50.0</v>
      </c>
      <c r="C504" s="39" t="str">
        <f t="shared" si="36"/>
        <v>#REF!</v>
      </c>
      <c r="D504" s="7"/>
      <c r="E504" s="7"/>
      <c r="F504" s="7"/>
      <c r="G504" s="7"/>
      <c r="H504" s="39">
        <v>77.0</v>
      </c>
      <c r="I504" s="39">
        <v>70.0</v>
      </c>
      <c r="J504" s="39">
        <v>64.0</v>
      </c>
      <c r="K504" s="39">
        <v>70.0</v>
      </c>
      <c r="L504" s="39">
        <v>50.0</v>
      </c>
      <c r="M504" s="39">
        <v>50.0</v>
      </c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 t="s">
        <v>462</v>
      </c>
      <c r="B505" s="39">
        <v>3.0</v>
      </c>
      <c r="C505" s="39" t="str">
        <f t="shared" si="36"/>
        <v>#REF!</v>
      </c>
      <c r="D505" s="7"/>
      <c r="E505" s="7"/>
      <c r="F505" s="7"/>
      <c r="G505" s="7"/>
      <c r="H505" s="39">
        <v>70.0</v>
      </c>
      <c r="I505" s="39">
        <v>70.0</v>
      </c>
      <c r="J505" s="39">
        <v>39.0</v>
      </c>
      <c r="K505" s="39">
        <v>70.0</v>
      </c>
      <c r="L505" s="39">
        <v>50.0</v>
      </c>
      <c r="M505" s="39">
        <v>13.0</v>
      </c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 t="s">
        <v>463</v>
      </c>
      <c r="B506" s="39">
        <v>0.0</v>
      </c>
      <c r="C506" s="7"/>
      <c r="D506" s="7"/>
      <c r="E506" s="7"/>
      <c r="F506" s="7"/>
      <c r="G506" s="7"/>
      <c r="H506" s="39">
        <v>83.0</v>
      </c>
      <c r="I506" s="39">
        <v>81.0</v>
      </c>
      <c r="J506" s="39">
        <v>70.0</v>
      </c>
      <c r="K506" s="39">
        <v>70.0</v>
      </c>
      <c r="L506" s="39">
        <v>31.0</v>
      </c>
      <c r="M506" s="39">
        <v>13.0</v>
      </c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 t="s">
        <v>464</v>
      </c>
      <c r="B507" s="39">
        <v>50.0</v>
      </c>
      <c r="C507" s="39" t="str">
        <f>vlookup(A507,Sheet2!$1:$1000,2,False)</f>
        <v>#REF!</v>
      </c>
      <c r="D507" s="7"/>
      <c r="E507" s="7"/>
      <c r="F507" s="7"/>
      <c r="G507" s="7"/>
      <c r="H507" s="39">
        <v>70.0</v>
      </c>
      <c r="I507" s="39">
        <v>70.0</v>
      </c>
      <c r="J507" s="39">
        <v>70.0</v>
      </c>
      <c r="K507" s="39">
        <v>70.0</v>
      </c>
      <c r="L507" s="39">
        <v>50.0</v>
      </c>
      <c r="M507" s="39">
        <v>6.0</v>
      </c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 t="s">
        <v>465</v>
      </c>
      <c r="B508" s="39">
        <v>54.0</v>
      </c>
      <c r="C508" s="7"/>
      <c r="D508" s="7"/>
      <c r="E508" s="7"/>
      <c r="F508" s="7"/>
      <c r="G508" s="7"/>
      <c r="H508" s="39">
        <v>87.0</v>
      </c>
      <c r="I508" s="39">
        <v>90.0</v>
      </c>
      <c r="J508" s="39">
        <v>70.0</v>
      </c>
      <c r="K508" s="39">
        <v>70.0</v>
      </c>
      <c r="L508" s="39">
        <v>68.0</v>
      </c>
      <c r="M508" s="39">
        <v>50.0</v>
      </c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 t="s">
        <v>466</v>
      </c>
      <c r="B509" s="39">
        <v>50.0</v>
      </c>
      <c r="C509" s="39" t="str">
        <f>vlookup(A509,Sheet2!$1:$1000,2,False)</f>
        <v>#REF!</v>
      </c>
      <c r="D509" s="7"/>
      <c r="E509" s="7"/>
      <c r="F509" s="7"/>
      <c r="G509" s="7"/>
      <c r="H509" s="39">
        <v>76.0</v>
      </c>
      <c r="I509" s="39">
        <v>76.0</v>
      </c>
      <c r="J509" s="39">
        <v>70.0</v>
      </c>
      <c r="K509" s="39">
        <v>70.0</v>
      </c>
      <c r="L509" s="39">
        <v>50.0</v>
      </c>
      <c r="M509" s="39">
        <v>50.0</v>
      </c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 t="s">
        <v>467</v>
      </c>
      <c r="B510" s="39">
        <v>12.0</v>
      </c>
      <c r="C510" s="7"/>
      <c r="D510" s="7"/>
      <c r="E510" s="7"/>
      <c r="F510" s="7"/>
      <c r="G510" s="7"/>
      <c r="H510" s="39">
        <v>70.0</v>
      </c>
      <c r="I510" s="39">
        <v>70.0</v>
      </c>
      <c r="J510" s="39">
        <v>70.0</v>
      </c>
      <c r="K510" s="39">
        <v>70.0</v>
      </c>
      <c r="L510" s="39">
        <v>20.0</v>
      </c>
      <c r="M510" s="39">
        <v>6.0</v>
      </c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 t="s">
        <v>468</v>
      </c>
      <c r="B511" s="39">
        <v>50.0</v>
      </c>
      <c r="C511" s="39" t="str">
        <f t="shared" ref="C511:C512" si="37">vlookup(A511,Sheet2!$1:$1000,2,False)</f>
        <v>#REF!</v>
      </c>
      <c r="D511" s="7"/>
      <c r="E511" s="7"/>
      <c r="F511" s="7"/>
      <c r="G511" s="7"/>
      <c r="H511" s="39">
        <v>72.0</v>
      </c>
      <c r="I511" s="39">
        <v>91.0</v>
      </c>
      <c r="J511" s="39">
        <v>83.0</v>
      </c>
      <c r="K511" s="39">
        <v>76.0</v>
      </c>
      <c r="L511" s="39">
        <v>50.0</v>
      </c>
      <c r="M511" s="39">
        <v>50.0</v>
      </c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 t="s">
        <v>469</v>
      </c>
      <c r="B512" s="39">
        <v>0.0</v>
      </c>
      <c r="C512" s="39" t="str">
        <f t="shared" si="37"/>
        <v>#REF!</v>
      </c>
      <c r="D512" s="7"/>
      <c r="E512" s="7"/>
      <c r="F512" s="7"/>
      <c r="G512" s="7"/>
      <c r="H512" s="39">
        <v>77.0</v>
      </c>
      <c r="I512" s="39">
        <v>74.0</v>
      </c>
      <c r="J512" s="39">
        <v>70.0</v>
      </c>
      <c r="K512" s="39">
        <v>70.0</v>
      </c>
      <c r="L512" s="39">
        <v>20.0</v>
      </c>
      <c r="M512" s="39">
        <v>13.0</v>
      </c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 t="s">
        <v>470</v>
      </c>
      <c r="B513" s="39">
        <v>22.0</v>
      </c>
      <c r="C513" s="7"/>
      <c r="D513" s="7"/>
      <c r="E513" s="7"/>
      <c r="F513" s="7"/>
      <c r="G513" s="7"/>
      <c r="H513" s="39">
        <v>84.0</v>
      </c>
      <c r="I513" s="39">
        <v>83.0</v>
      </c>
      <c r="J513" s="39">
        <v>70.0</v>
      </c>
      <c r="K513" s="39">
        <v>70.0</v>
      </c>
      <c r="L513" s="39">
        <v>58.0</v>
      </c>
      <c r="M513" s="39">
        <v>50.0</v>
      </c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 t="s">
        <v>471</v>
      </c>
      <c r="B514" s="39">
        <v>5.0</v>
      </c>
      <c r="C514" s="7"/>
      <c r="D514" s="7"/>
      <c r="E514" s="7"/>
      <c r="F514" s="7"/>
      <c r="G514" s="7"/>
      <c r="H514" s="39">
        <v>74.0</v>
      </c>
      <c r="I514" s="39">
        <v>65.0</v>
      </c>
      <c r="J514" s="39">
        <v>37.0</v>
      </c>
      <c r="K514" s="39">
        <v>32.0</v>
      </c>
      <c r="L514" s="39">
        <v>50.0</v>
      </c>
      <c r="M514" s="39">
        <v>6.0</v>
      </c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 t="s">
        <v>472</v>
      </c>
      <c r="B515" s="39">
        <v>8.0</v>
      </c>
      <c r="C515" s="7"/>
      <c r="D515" s="7"/>
      <c r="E515" s="7"/>
      <c r="F515" s="7"/>
      <c r="G515" s="7"/>
      <c r="H515" s="39">
        <v>77.0</v>
      </c>
      <c r="I515" s="39">
        <v>78.0</v>
      </c>
      <c r="J515" s="39">
        <v>64.0</v>
      </c>
      <c r="K515" s="39">
        <v>78.0</v>
      </c>
      <c r="L515" s="39">
        <v>50.0</v>
      </c>
      <c r="M515" s="39">
        <v>8.0</v>
      </c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 t="s">
        <v>473</v>
      </c>
      <c r="B516" s="39">
        <v>57.0</v>
      </c>
      <c r="C516" s="7"/>
      <c r="D516" s="7"/>
      <c r="E516" s="7"/>
      <c r="F516" s="7"/>
      <c r="G516" s="7"/>
      <c r="H516" s="39">
        <v>86.0</v>
      </c>
      <c r="I516" s="39">
        <v>88.0</v>
      </c>
      <c r="J516" s="39">
        <v>89.0</v>
      </c>
      <c r="K516" s="39">
        <v>72.0</v>
      </c>
      <c r="L516" s="39">
        <v>54.0</v>
      </c>
      <c r="M516" s="39">
        <v>50.0</v>
      </c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 t="s">
        <v>474</v>
      </c>
      <c r="B517" s="39">
        <v>0.0</v>
      </c>
      <c r="C517" s="7"/>
      <c r="D517" s="7"/>
      <c r="E517" s="7"/>
      <c r="F517" s="7"/>
      <c r="G517" s="7"/>
      <c r="H517" s="39">
        <v>78.0</v>
      </c>
      <c r="I517" s="39">
        <v>79.0</v>
      </c>
      <c r="J517" s="39">
        <v>70.0</v>
      </c>
      <c r="K517" s="39">
        <v>55.0</v>
      </c>
      <c r="L517" s="39">
        <v>50.0</v>
      </c>
      <c r="M517" s="39">
        <v>10.0</v>
      </c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 t="s">
        <v>476</v>
      </c>
      <c r="B518" s="39">
        <v>50.0</v>
      </c>
      <c r="C518" s="39" t="str">
        <f t="shared" ref="C518:C519" si="38">vlookup(A518,Sheet2!$1:$1000,2,False)</f>
        <v>#REF!</v>
      </c>
      <c r="D518" s="7"/>
      <c r="E518" s="7"/>
      <c r="F518" s="7"/>
      <c r="G518" s="7"/>
      <c r="H518" s="39">
        <v>86.0</v>
      </c>
      <c r="I518" s="39">
        <v>92.0</v>
      </c>
      <c r="J518" s="39">
        <v>82.0</v>
      </c>
      <c r="K518" s="39">
        <v>82.0</v>
      </c>
      <c r="L518" s="39">
        <v>50.0</v>
      </c>
      <c r="M518" s="39">
        <v>50.0</v>
      </c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 t="s">
        <v>477</v>
      </c>
      <c r="B519" s="39">
        <v>24.0</v>
      </c>
      <c r="C519" s="39" t="str">
        <f t="shared" si="38"/>
        <v>#REF!</v>
      </c>
      <c r="D519" s="7"/>
      <c r="E519" s="7"/>
      <c r="F519" s="7"/>
      <c r="G519" s="7"/>
      <c r="H519" s="39">
        <v>78.0</v>
      </c>
      <c r="I519" s="39">
        <v>71.0</v>
      </c>
      <c r="J519" s="39">
        <v>70.0</v>
      </c>
      <c r="K519" s="39">
        <v>70.0</v>
      </c>
      <c r="L519" s="39">
        <v>50.0</v>
      </c>
      <c r="M519" s="39">
        <v>50.0</v>
      </c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 t="s">
        <v>478</v>
      </c>
      <c r="B520" s="39">
        <v>15.0</v>
      </c>
      <c r="C520" s="7"/>
      <c r="D520" s="7"/>
      <c r="E520" s="7"/>
      <c r="F520" s="7"/>
      <c r="G520" s="7"/>
      <c r="H520" s="39">
        <v>82.0</v>
      </c>
      <c r="I520" s="39">
        <v>85.0</v>
      </c>
      <c r="J520" s="39">
        <v>72.0</v>
      </c>
      <c r="K520" s="39">
        <v>70.0</v>
      </c>
      <c r="L520" s="39">
        <v>50.0</v>
      </c>
      <c r="M520" s="39">
        <v>50.0</v>
      </c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 t="s">
        <v>479</v>
      </c>
      <c r="B521" s="39">
        <v>0.0</v>
      </c>
      <c r="C521" s="7"/>
      <c r="D521" s="7"/>
      <c r="E521" s="7"/>
      <c r="F521" s="7"/>
      <c r="G521" s="7"/>
      <c r="H521" s="39">
        <v>81.0</v>
      </c>
      <c r="I521" s="39">
        <v>85.0</v>
      </c>
      <c r="J521" s="39">
        <v>71.0</v>
      </c>
      <c r="K521" s="39">
        <v>70.0</v>
      </c>
      <c r="L521" s="39">
        <v>50.0</v>
      </c>
      <c r="M521" s="39">
        <v>11.0</v>
      </c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 t="s">
        <v>480</v>
      </c>
      <c r="B522" s="39">
        <v>50.0</v>
      </c>
      <c r="C522" s="39" t="str">
        <f t="shared" ref="C522:C526" si="39">vlookup(A522,Sheet2!$1:$1000,2,False)</f>
        <v>#REF!</v>
      </c>
      <c r="D522" s="7"/>
      <c r="E522" s="7"/>
      <c r="F522" s="7"/>
      <c r="G522" s="7"/>
      <c r="H522" s="39">
        <v>85.0</v>
      </c>
      <c r="I522" s="39">
        <v>90.0</v>
      </c>
      <c r="J522" s="39">
        <v>84.0</v>
      </c>
      <c r="K522" s="39">
        <v>85.0</v>
      </c>
      <c r="L522" s="39">
        <v>50.0</v>
      </c>
      <c r="M522" s="39">
        <v>50.0</v>
      </c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 t="s">
        <v>481</v>
      </c>
      <c r="B523" s="39">
        <v>50.0</v>
      </c>
      <c r="C523" s="39" t="str">
        <f t="shared" si="39"/>
        <v>#REF!</v>
      </c>
      <c r="D523" s="7"/>
      <c r="E523" s="7"/>
      <c r="F523" s="7"/>
      <c r="G523" s="7"/>
      <c r="H523" s="39">
        <v>86.0</v>
      </c>
      <c r="I523" s="39">
        <v>84.0</v>
      </c>
      <c r="J523" s="39">
        <v>72.0</v>
      </c>
      <c r="K523" s="39">
        <v>80.0</v>
      </c>
      <c r="L523" s="39">
        <v>50.0</v>
      </c>
      <c r="M523" s="39">
        <v>50.0</v>
      </c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 t="s">
        <v>482</v>
      </c>
      <c r="B524" s="39">
        <v>50.0</v>
      </c>
      <c r="C524" s="39" t="str">
        <f t="shared" si="39"/>
        <v>#REF!</v>
      </c>
      <c r="D524" s="7"/>
      <c r="E524" s="7"/>
      <c r="F524" s="7"/>
      <c r="G524" s="7"/>
      <c r="H524" s="39">
        <v>87.0</v>
      </c>
      <c r="I524" s="39">
        <v>83.0</v>
      </c>
      <c r="J524" s="39">
        <v>77.0</v>
      </c>
      <c r="K524" s="39">
        <v>70.0</v>
      </c>
      <c r="L524" s="39">
        <v>50.0</v>
      </c>
      <c r="M524" s="39">
        <v>50.0</v>
      </c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 t="s">
        <v>483</v>
      </c>
      <c r="B525" s="39">
        <v>50.0</v>
      </c>
      <c r="C525" s="39" t="str">
        <f t="shared" si="39"/>
        <v>#REF!</v>
      </c>
      <c r="D525" s="7"/>
      <c r="E525" s="7"/>
      <c r="F525" s="7"/>
      <c r="G525" s="7"/>
      <c r="H525" s="39">
        <v>87.0</v>
      </c>
      <c r="I525" s="39">
        <v>79.0</v>
      </c>
      <c r="J525" s="39">
        <v>82.0</v>
      </c>
      <c r="K525" s="39">
        <v>70.0</v>
      </c>
      <c r="L525" s="39">
        <v>50.0</v>
      </c>
      <c r="M525" s="39">
        <v>13.0</v>
      </c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 t="s">
        <v>484</v>
      </c>
      <c r="B526" s="39">
        <v>18.0</v>
      </c>
      <c r="C526" s="39" t="str">
        <f t="shared" si="39"/>
        <v>#REF!</v>
      </c>
      <c r="D526" s="7"/>
      <c r="E526" s="7"/>
      <c r="F526" s="7"/>
      <c r="G526" s="7"/>
      <c r="H526" s="39">
        <v>74.0</v>
      </c>
      <c r="I526" s="39">
        <v>84.0</v>
      </c>
      <c r="J526" s="39">
        <v>80.0</v>
      </c>
      <c r="K526" s="39">
        <v>70.0</v>
      </c>
      <c r="L526" s="39">
        <v>50.0</v>
      </c>
      <c r="M526" s="39">
        <v>50.0</v>
      </c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 t="s">
        <v>485</v>
      </c>
      <c r="B527" s="39">
        <v>61.0</v>
      </c>
      <c r="C527" s="7"/>
      <c r="D527" s="7"/>
      <c r="E527" s="7"/>
      <c r="F527" s="7"/>
      <c r="G527" s="7"/>
      <c r="H527" s="39">
        <v>89.0</v>
      </c>
      <c r="I527" s="39">
        <v>91.0</v>
      </c>
      <c r="J527" s="39">
        <v>82.0</v>
      </c>
      <c r="K527" s="39">
        <v>80.0</v>
      </c>
      <c r="L527" s="39">
        <v>72.0</v>
      </c>
      <c r="M527" s="39">
        <v>50.0</v>
      </c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 t="s">
        <v>486</v>
      </c>
      <c r="B528" s="39">
        <v>50.0</v>
      </c>
      <c r="C528" s="39" t="str">
        <f>vlookup(A528,Sheet2!$1:$1000,2,False)</f>
        <v>#REF!</v>
      </c>
      <c r="D528" s="7"/>
      <c r="E528" s="7"/>
      <c r="F528" s="7"/>
      <c r="G528" s="7"/>
      <c r="H528" s="39">
        <v>75.0</v>
      </c>
      <c r="I528" s="39">
        <v>79.0</v>
      </c>
      <c r="J528" s="39">
        <v>70.0</v>
      </c>
      <c r="K528" s="39">
        <v>70.0</v>
      </c>
      <c r="L528" s="39">
        <v>53.0</v>
      </c>
      <c r="M528" s="39">
        <v>50.0</v>
      </c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 t="s">
        <v>487</v>
      </c>
      <c r="B529" s="39">
        <v>0.0</v>
      </c>
      <c r="C529" s="7"/>
      <c r="D529" s="7"/>
      <c r="E529" s="7"/>
      <c r="F529" s="7"/>
      <c r="G529" s="7"/>
      <c r="H529" s="39">
        <v>76.0</v>
      </c>
      <c r="I529" s="39">
        <v>75.0</v>
      </c>
      <c r="J529" s="39">
        <v>5.0</v>
      </c>
      <c r="K529" s="39">
        <v>32.0</v>
      </c>
      <c r="L529" s="39">
        <v>51.0</v>
      </c>
      <c r="M529" s="39">
        <v>50.0</v>
      </c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 t="s">
        <v>488</v>
      </c>
      <c r="B530" s="39">
        <v>33.0</v>
      </c>
      <c r="C530" s="39" t="str">
        <f>vlookup(A530,Sheet2!$1:$1000,2,False)</f>
        <v>#REF!</v>
      </c>
      <c r="D530" s="7"/>
      <c r="E530" s="7"/>
      <c r="F530" s="7"/>
      <c r="G530" s="7"/>
      <c r="H530" s="39">
        <v>75.0</v>
      </c>
      <c r="I530" s="39">
        <v>73.0</v>
      </c>
      <c r="J530" s="39">
        <v>43.0</v>
      </c>
      <c r="K530" s="39">
        <v>70.0</v>
      </c>
      <c r="L530" s="39">
        <v>26.0</v>
      </c>
      <c r="M530" s="39">
        <v>13.0</v>
      </c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 t="s">
        <v>489</v>
      </c>
      <c r="B531" s="39">
        <v>51.0</v>
      </c>
      <c r="C531" s="7"/>
      <c r="D531" s="7"/>
      <c r="E531" s="7"/>
      <c r="F531" s="7"/>
      <c r="G531" s="7"/>
      <c r="H531" s="39">
        <v>92.0</v>
      </c>
      <c r="I531" s="39">
        <v>85.0</v>
      </c>
      <c r="J531" s="39">
        <v>90.0</v>
      </c>
      <c r="K531" s="39">
        <v>84.0</v>
      </c>
      <c r="L531" s="39">
        <v>50.0</v>
      </c>
      <c r="M531" s="39">
        <v>26.0</v>
      </c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 t="s">
        <v>490</v>
      </c>
      <c r="B532" s="39">
        <v>17.0</v>
      </c>
      <c r="C532" s="39" t="str">
        <f>vlookup(A532,Sheet2!$1:$1000,2,False)</f>
        <v>#REF!</v>
      </c>
      <c r="D532" s="7"/>
      <c r="E532" s="7"/>
      <c r="F532" s="7"/>
      <c r="G532" s="7"/>
      <c r="H532" s="39">
        <v>88.0</v>
      </c>
      <c r="I532" s="39">
        <v>78.0</v>
      </c>
      <c r="J532" s="39">
        <v>70.0</v>
      </c>
      <c r="K532" s="39">
        <v>70.0</v>
      </c>
      <c r="L532" s="39">
        <v>11.0</v>
      </c>
      <c r="M532" s="39">
        <v>15.0</v>
      </c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 t="s">
        <v>492</v>
      </c>
      <c r="B533" s="39">
        <v>0.0</v>
      </c>
      <c r="C533" s="7"/>
      <c r="D533" s="7"/>
      <c r="E533" s="7"/>
      <c r="F533" s="7"/>
      <c r="G533" s="7"/>
      <c r="H533" s="39">
        <v>70.0</v>
      </c>
      <c r="I533" s="39">
        <v>76.0</v>
      </c>
      <c r="J533" s="39">
        <v>39.0</v>
      </c>
      <c r="K533" s="39">
        <v>29.0</v>
      </c>
      <c r="L533" s="39">
        <v>44.0</v>
      </c>
      <c r="M533" s="39">
        <v>8.0</v>
      </c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 t="s">
        <v>493</v>
      </c>
      <c r="B534" s="39">
        <v>13.0</v>
      </c>
      <c r="C534" s="7"/>
      <c r="D534" s="7"/>
      <c r="E534" s="7"/>
      <c r="F534" s="7"/>
      <c r="G534" s="7"/>
      <c r="H534" s="39">
        <v>75.0</v>
      </c>
      <c r="I534" s="39">
        <v>70.0</v>
      </c>
      <c r="J534" s="39">
        <v>27.0</v>
      </c>
      <c r="K534" s="39">
        <v>6.0</v>
      </c>
      <c r="L534" s="39">
        <v>22.0</v>
      </c>
      <c r="M534" s="39">
        <v>13.0</v>
      </c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 t="s">
        <v>495</v>
      </c>
      <c r="B535" s="39">
        <v>13.0</v>
      </c>
      <c r="C535" s="39" t="str">
        <f t="shared" ref="C535:C536" si="40">vlookup(A535,Sheet2!$1:$1000,2,False)</f>
        <v>#REF!</v>
      </c>
      <c r="D535" s="7"/>
      <c r="E535" s="7"/>
      <c r="F535" s="7"/>
      <c r="G535" s="7"/>
      <c r="H535" s="39">
        <v>81.0</v>
      </c>
      <c r="I535" s="39">
        <v>82.0</v>
      </c>
      <c r="J535" s="39">
        <v>70.0</v>
      </c>
      <c r="K535" s="39">
        <v>70.0</v>
      </c>
      <c r="L535" s="39">
        <v>50.0</v>
      </c>
      <c r="M535" s="39">
        <v>50.0</v>
      </c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 t="s">
        <v>496</v>
      </c>
      <c r="B536" s="39">
        <v>8.0</v>
      </c>
      <c r="C536" s="39" t="str">
        <f t="shared" si="40"/>
        <v>#REF!</v>
      </c>
      <c r="D536" s="7"/>
      <c r="E536" s="7"/>
      <c r="F536" s="7"/>
      <c r="G536" s="7"/>
      <c r="H536" s="39">
        <v>86.0</v>
      </c>
      <c r="I536" s="39">
        <v>85.0</v>
      </c>
      <c r="J536" s="39">
        <v>70.0</v>
      </c>
      <c r="K536" s="39">
        <v>70.0</v>
      </c>
      <c r="L536" s="39">
        <v>50.0</v>
      </c>
      <c r="M536" s="39">
        <v>8.0</v>
      </c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 t="s">
        <v>497</v>
      </c>
      <c r="B537" s="39">
        <v>0.0</v>
      </c>
      <c r="C537" s="7"/>
      <c r="D537" s="7"/>
      <c r="E537" s="7"/>
      <c r="F537" s="7"/>
      <c r="G537" s="7"/>
      <c r="H537" s="39">
        <v>74.0</v>
      </c>
      <c r="I537" s="39">
        <v>76.0</v>
      </c>
      <c r="J537" s="39">
        <v>13.0</v>
      </c>
      <c r="K537" s="39">
        <v>70.0</v>
      </c>
      <c r="L537" s="39">
        <v>5.0</v>
      </c>
      <c r="M537" s="39">
        <v>0.0</v>
      </c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 t="s">
        <v>498</v>
      </c>
      <c r="B538" s="39">
        <v>0.0</v>
      </c>
      <c r="C538" s="7"/>
      <c r="D538" s="7"/>
      <c r="E538" s="7"/>
      <c r="F538" s="7"/>
      <c r="G538" s="7"/>
      <c r="H538" s="39">
        <v>81.0</v>
      </c>
      <c r="I538" s="39">
        <v>84.0</v>
      </c>
      <c r="J538" s="39">
        <v>32.0</v>
      </c>
      <c r="K538" s="39">
        <v>70.0</v>
      </c>
      <c r="L538" s="39">
        <v>17.0</v>
      </c>
      <c r="M538" s="39">
        <v>0.0</v>
      </c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 t="s">
        <v>499</v>
      </c>
      <c r="B539" s="39">
        <v>0.0</v>
      </c>
      <c r="C539" s="7"/>
      <c r="D539" s="7"/>
      <c r="E539" s="7"/>
      <c r="F539" s="7"/>
      <c r="G539" s="7"/>
      <c r="H539" s="39">
        <v>83.0</v>
      </c>
      <c r="I539" s="39">
        <v>76.0</v>
      </c>
      <c r="J539" s="39">
        <v>45.0</v>
      </c>
      <c r="K539" s="39">
        <v>20.0</v>
      </c>
      <c r="L539" s="39">
        <v>24.0</v>
      </c>
      <c r="M539" s="39">
        <v>10.0</v>
      </c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 t="s">
        <v>500</v>
      </c>
      <c r="B540" s="39">
        <v>64.0</v>
      </c>
      <c r="C540" s="7"/>
      <c r="D540" s="7"/>
      <c r="E540" s="7"/>
      <c r="F540" s="7"/>
      <c r="G540" s="7"/>
      <c r="H540" s="39">
        <v>82.0</v>
      </c>
      <c r="I540" s="39">
        <v>81.0</v>
      </c>
      <c r="J540" s="39">
        <v>70.0</v>
      </c>
      <c r="K540" s="39">
        <v>76.0</v>
      </c>
      <c r="L540" s="39">
        <v>50.0</v>
      </c>
      <c r="M540" s="39">
        <v>50.0</v>
      </c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 t="s">
        <v>501</v>
      </c>
      <c r="B541" s="39">
        <v>0.0</v>
      </c>
      <c r="C541" s="7"/>
      <c r="D541" s="7"/>
      <c r="E541" s="7"/>
      <c r="F541" s="7"/>
      <c r="G541" s="7"/>
      <c r="H541" s="39">
        <v>73.0</v>
      </c>
      <c r="I541" s="39">
        <v>71.0</v>
      </c>
      <c r="J541" s="39">
        <v>32.0</v>
      </c>
      <c r="K541" s="39">
        <v>70.0</v>
      </c>
      <c r="L541" s="39">
        <v>25.0</v>
      </c>
      <c r="M541" s="39">
        <v>18.0</v>
      </c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 t="s">
        <v>502</v>
      </c>
      <c r="B542" s="39">
        <v>0.0</v>
      </c>
      <c r="C542" s="7"/>
      <c r="D542" s="7"/>
      <c r="E542" s="7"/>
      <c r="F542" s="7"/>
      <c r="G542" s="7"/>
      <c r="H542" s="39">
        <v>75.0</v>
      </c>
      <c r="I542" s="39">
        <v>70.0</v>
      </c>
      <c r="J542" s="39">
        <v>35.0</v>
      </c>
      <c r="K542" s="39">
        <v>70.0</v>
      </c>
      <c r="L542" s="39">
        <v>5.0</v>
      </c>
      <c r="M542" s="39">
        <v>0.0</v>
      </c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 t="s">
        <v>503</v>
      </c>
      <c r="B543" s="39">
        <v>63.0</v>
      </c>
      <c r="C543" s="7"/>
      <c r="D543" s="7"/>
      <c r="E543" s="7"/>
      <c r="F543" s="7"/>
      <c r="G543" s="7"/>
      <c r="H543" s="39">
        <v>79.0</v>
      </c>
      <c r="I543" s="39">
        <v>80.0</v>
      </c>
      <c r="J543" s="39">
        <v>70.0</v>
      </c>
      <c r="K543" s="39">
        <v>71.0</v>
      </c>
      <c r="L543" s="39">
        <v>51.0</v>
      </c>
      <c r="M543" s="39">
        <v>50.0</v>
      </c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 t="s">
        <v>504</v>
      </c>
      <c r="B544" s="39">
        <v>31.0</v>
      </c>
      <c r="C544" s="7"/>
      <c r="D544" s="7"/>
      <c r="E544" s="7"/>
      <c r="F544" s="7"/>
      <c r="G544" s="7"/>
      <c r="H544" s="39">
        <v>84.0</v>
      </c>
      <c r="I544" s="39">
        <v>79.0</v>
      </c>
      <c r="J544" s="39">
        <v>70.0</v>
      </c>
      <c r="K544" s="39">
        <v>70.0</v>
      </c>
      <c r="L544" s="39">
        <v>33.0</v>
      </c>
      <c r="M544" s="39">
        <v>0.0</v>
      </c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 t="s">
        <v>505</v>
      </c>
      <c r="B545" s="39">
        <v>72.0</v>
      </c>
      <c r="C545" s="7"/>
      <c r="D545" s="7"/>
      <c r="E545" s="7"/>
      <c r="F545" s="7"/>
      <c r="G545" s="7"/>
      <c r="H545" s="39">
        <v>72.0</v>
      </c>
      <c r="I545" s="39">
        <v>72.0</v>
      </c>
      <c r="J545" s="39">
        <v>70.0</v>
      </c>
      <c r="K545" s="39">
        <v>70.0</v>
      </c>
      <c r="L545" s="39">
        <v>45.0</v>
      </c>
      <c r="M545" s="39">
        <v>61.0</v>
      </c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 t="s">
        <v>506</v>
      </c>
      <c r="B546" s="39">
        <v>50.0</v>
      </c>
      <c r="C546" s="39" t="str">
        <f t="shared" ref="C546:C547" si="41">vlookup(A546,Sheet2!$1:$1000,2,False)</f>
        <v>#REF!</v>
      </c>
      <c r="D546" s="7"/>
      <c r="E546" s="7"/>
      <c r="F546" s="7"/>
      <c r="G546" s="7"/>
      <c r="H546" s="39">
        <v>74.0</v>
      </c>
      <c r="I546" s="39">
        <v>78.0</v>
      </c>
      <c r="J546" s="39">
        <v>71.0</v>
      </c>
      <c r="K546" s="39">
        <v>70.0</v>
      </c>
      <c r="L546" s="39">
        <v>50.0</v>
      </c>
      <c r="M546" s="39">
        <v>50.0</v>
      </c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 t="s">
        <v>507</v>
      </c>
      <c r="B547" s="39">
        <v>40.0</v>
      </c>
      <c r="C547" s="39" t="str">
        <f t="shared" si="41"/>
        <v>#REF!</v>
      </c>
      <c r="D547" s="7"/>
      <c r="E547" s="7"/>
      <c r="F547" s="7"/>
      <c r="G547" s="7"/>
      <c r="H547" s="39">
        <v>80.0</v>
      </c>
      <c r="I547" s="39">
        <v>70.0</v>
      </c>
      <c r="J547" s="39">
        <v>70.0</v>
      </c>
      <c r="K547" s="39">
        <v>70.0</v>
      </c>
      <c r="L547" s="39">
        <v>50.0</v>
      </c>
      <c r="M547" s="39">
        <v>50.0</v>
      </c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 t="s">
        <v>508</v>
      </c>
      <c r="B548" s="39">
        <v>65.0</v>
      </c>
      <c r="C548" s="7"/>
      <c r="D548" s="7"/>
      <c r="E548" s="7"/>
      <c r="F548" s="7"/>
      <c r="G548" s="7"/>
      <c r="H548" s="39">
        <v>85.0</v>
      </c>
      <c r="I548" s="39">
        <v>83.0</v>
      </c>
      <c r="J548" s="39">
        <v>70.0</v>
      </c>
      <c r="K548" s="39">
        <v>71.0</v>
      </c>
      <c r="L548" s="39">
        <v>64.0</v>
      </c>
      <c r="M548" s="39">
        <v>53.0</v>
      </c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 t="s">
        <v>510</v>
      </c>
      <c r="B549" s="39">
        <v>78.0</v>
      </c>
      <c r="C549" s="7"/>
      <c r="D549" s="7"/>
      <c r="E549" s="7"/>
      <c r="F549" s="7"/>
      <c r="G549" s="7"/>
      <c r="H549" s="39">
        <v>81.0</v>
      </c>
      <c r="I549" s="39">
        <v>73.0</v>
      </c>
      <c r="J549" s="39">
        <v>44.0</v>
      </c>
      <c r="K549" s="39">
        <v>70.0</v>
      </c>
      <c r="L549" s="39">
        <v>67.0</v>
      </c>
      <c r="M549" s="39">
        <v>50.0</v>
      </c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 t="s">
        <v>511</v>
      </c>
      <c r="B550" s="39">
        <v>15.0</v>
      </c>
      <c r="C550" s="7"/>
      <c r="D550" s="7"/>
      <c r="E550" s="7"/>
      <c r="F550" s="7"/>
      <c r="G550" s="7"/>
      <c r="H550" s="39">
        <v>87.0</v>
      </c>
      <c r="I550" s="39">
        <v>92.0</v>
      </c>
      <c r="J550" s="39">
        <v>70.0</v>
      </c>
      <c r="K550" s="39">
        <v>70.0</v>
      </c>
      <c r="L550" s="39">
        <v>44.0</v>
      </c>
      <c r="M550" s="39">
        <v>22.0</v>
      </c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 t="s">
        <v>512</v>
      </c>
      <c r="B551" s="39">
        <v>29.0</v>
      </c>
      <c r="C551" s="39" t="str">
        <f t="shared" ref="C551:C554" si="42">vlookup(A551,Sheet2!$1:$1000,2,False)</f>
        <v>#REF!</v>
      </c>
      <c r="D551" s="7"/>
      <c r="E551" s="7"/>
      <c r="F551" s="7"/>
      <c r="G551" s="7"/>
      <c r="H551" s="39">
        <v>72.0</v>
      </c>
      <c r="I551" s="39">
        <v>73.0</v>
      </c>
      <c r="J551" s="39">
        <v>70.0</v>
      </c>
      <c r="K551" s="39">
        <v>78.0</v>
      </c>
      <c r="L551" s="39">
        <v>52.0</v>
      </c>
      <c r="M551" s="39">
        <v>50.0</v>
      </c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 t="s">
        <v>513</v>
      </c>
      <c r="B552" s="39">
        <v>44.0</v>
      </c>
      <c r="C552" s="39" t="str">
        <f t="shared" si="42"/>
        <v>#REF!</v>
      </c>
      <c r="D552" s="7"/>
      <c r="E552" s="7"/>
      <c r="F552" s="7"/>
      <c r="G552" s="7"/>
      <c r="H552" s="39">
        <v>82.0</v>
      </c>
      <c r="I552" s="39">
        <v>84.0</v>
      </c>
      <c r="J552" s="39">
        <v>70.0</v>
      </c>
      <c r="K552" s="39">
        <v>70.0</v>
      </c>
      <c r="L552" s="39">
        <v>61.0</v>
      </c>
      <c r="M552" s="39">
        <v>50.0</v>
      </c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 t="s">
        <v>514</v>
      </c>
      <c r="B553" s="39">
        <v>50.0</v>
      </c>
      <c r="C553" s="39" t="str">
        <f t="shared" si="42"/>
        <v>#REF!</v>
      </c>
      <c r="D553" s="7"/>
      <c r="E553" s="7"/>
      <c r="F553" s="7"/>
      <c r="G553" s="7"/>
      <c r="H553" s="39">
        <v>81.0</v>
      </c>
      <c r="I553" s="39">
        <v>84.0</v>
      </c>
      <c r="J553" s="39">
        <v>83.0</v>
      </c>
      <c r="K553" s="39">
        <v>77.0</v>
      </c>
      <c r="L553" s="39">
        <v>50.0</v>
      </c>
      <c r="M553" s="39">
        <v>50.0</v>
      </c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 t="s">
        <v>515</v>
      </c>
      <c r="B554" s="39">
        <v>44.0</v>
      </c>
      <c r="C554" s="39" t="str">
        <f t="shared" si="42"/>
        <v>#REF!</v>
      </c>
      <c r="D554" s="7"/>
      <c r="E554" s="7"/>
      <c r="F554" s="7"/>
      <c r="G554" s="7"/>
      <c r="H554" s="39">
        <v>80.0</v>
      </c>
      <c r="I554" s="39">
        <v>85.0</v>
      </c>
      <c r="J554" s="39">
        <v>70.0</v>
      </c>
      <c r="K554" s="39">
        <v>70.0</v>
      </c>
      <c r="L554" s="39">
        <v>50.0</v>
      </c>
      <c r="M554" s="39">
        <v>15.0</v>
      </c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 t="s">
        <v>516</v>
      </c>
      <c r="B555" s="39">
        <v>70.0</v>
      </c>
      <c r="C555" s="7"/>
      <c r="D555" s="7"/>
      <c r="E555" s="7"/>
      <c r="F555" s="7"/>
      <c r="G555" s="7"/>
      <c r="H555" s="39">
        <v>79.0</v>
      </c>
      <c r="I555" s="39">
        <v>84.0</v>
      </c>
      <c r="J555" s="39">
        <v>72.0</v>
      </c>
      <c r="K555" s="39">
        <v>70.0</v>
      </c>
      <c r="L555" s="39">
        <v>50.0</v>
      </c>
      <c r="M555" s="39">
        <v>50.0</v>
      </c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 t="s">
        <v>517</v>
      </c>
      <c r="B556" s="39">
        <v>0.0</v>
      </c>
      <c r="C556" s="7"/>
      <c r="D556" s="7"/>
      <c r="E556" s="7"/>
      <c r="F556" s="7"/>
      <c r="G556" s="7"/>
      <c r="H556" s="39">
        <v>83.0</v>
      </c>
      <c r="I556" s="39">
        <v>81.0</v>
      </c>
      <c r="J556" s="39">
        <v>5.0</v>
      </c>
      <c r="K556" s="39">
        <v>8.0</v>
      </c>
      <c r="L556" s="39">
        <v>25.0</v>
      </c>
      <c r="M556" s="39">
        <v>0.0</v>
      </c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 t="s">
        <v>518</v>
      </c>
      <c r="B557" s="39">
        <v>64.0</v>
      </c>
      <c r="C557" s="7"/>
      <c r="D557" s="7"/>
      <c r="E557" s="7"/>
      <c r="F557" s="7"/>
      <c r="G557" s="7"/>
      <c r="H557" s="39">
        <v>79.0</v>
      </c>
      <c r="I557" s="39">
        <v>84.0</v>
      </c>
      <c r="J557" s="39">
        <v>75.0</v>
      </c>
      <c r="K557" s="39">
        <v>70.0</v>
      </c>
      <c r="L557" s="39">
        <v>50.0</v>
      </c>
      <c r="M557" s="39">
        <v>50.0</v>
      </c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 t="s">
        <v>520</v>
      </c>
      <c r="B558" s="39">
        <v>0.0</v>
      </c>
      <c r="C558" s="7"/>
      <c r="D558" s="7"/>
      <c r="E558" s="7"/>
      <c r="F558" s="7"/>
      <c r="G558" s="7"/>
      <c r="H558" s="39">
        <v>70.0</v>
      </c>
      <c r="I558" s="39">
        <v>68.0</v>
      </c>
      <c r="J558" s="39">
        <v>5.0</v>
      </c>
      <c r="K558" s="39">
        <v>22.0</v>
      </c>
      <c r="L558" s="39">
        <v>17.0</v>
      </c>
      <c r="M558" s="39">
        <v>0.0</v>
      </c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 t="s">
        <v>521</v>
      </c>
      <c r="B559" s="39">
        <v>34.0</v>
      </c>
      <c r="C559" s="39" t="str">
        <f>vlookup(A559,Sheet2!$1:$1000,2,False)</f>
        <v>#REF!</v>
      </c>
      <c r="D559" s="7"/>
      <c r="E559" s="7"/>
      <c r="F559" s="7"/>
      <c r="G559" s="7"/>
      <c r="H559" s="39">
        <v>87.0</v>
      </c>
      <c r="I559" s="39">
        <v>85.0</v>
      </c>
      <c r="J559" s="39">
        <v>81.0</v>
      </c>
      <c r="K559" s="39">
        <v>71.0</v>
      </c>
      <c r="L559" s="39">
        <v>50.0</v>
      </c>
      <c r="M559" s="39">
        <v>50.0</v>
      </c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 t="s">
        <v>522</v>
      </c>
      <c r="B560" s="39">
        <v>53.0</v>
      </c>
      <c r="C560" s="7"/>
      <c r="D560" s="7"/>
      <c r="E560" s="7"/>
      <c r="F560" s="7"/>
      <c r="G560" s="7"/>
      <c r="H560" s="39">
        <v>77.0</v>
      </c>
      <c r="I560" s="39">
        <v>84.0</v>
      </c>
      <c r="J560" s="39">
        <v>70.0</v>
      </c>
      <c r="K560" s="39">
        <v>70.0</v>
      </c>
      <c r="L560" s="39">
        <v>13.0</v>
      </c>
      <c r="M560" s="39">
        <v>25.0</v>
      </c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 t="s">
        <v>523</v>
      </c>
      <c r="B561" s="39">
        <v>35.0</v>
      </c>
      <c r="C561" s="7"/>
      <c r="D561" s="7"/>
      <c r="E561" s="7"/>
      <c r="F561" s="7"/>
      <c r="G561" s="7"/>
      <c r="H561" s="39">
        <v>84.0</v>
      </c>
      <c r="I561" s="39">
        <v>80.0</v>
      </c>
      <c r="J561" s="39">
        <v>79.0</v>
      </c>
      <c r="K561" s="39">
        <v>72.0</v>
      </c>
      <c r="L561" s="39">
        <v>50.0</v>
      </c>
      <c r="M561" s="39">
        <v>50.0</v>
      </c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 t="s">
        <v>524</v>
      </c>
      <c r="B562" s="39">
        <v>31.0</v>
      </c>
      <c r="C562" s="39" t="str">
        <f t="shared" ref="C562:C563" si="43">vlookup(A562,Sheet2!$1:$1000,2,False)</f>
        <v>#REF!</v>
      </c>
      <c r="D562" s="7"/>
      <c r="E562" s="7"/>
      <c r="F562" s="7"/>
      <c r="G562" s="7"/>
      <c r="H562" s="39">
        <v>79.0</v>
      </c>
      <c r="I562" s="39">
        <v>80.0</v>
      </c>
      <c r="J562" s="39">
        <v>70.0</v>
      </c>
      <c r="K562" s="39">
        <v>70.0</v>
      </c>
      <c r="L562" s="39">
        <v>50.0</v>
      </c>
      <c r="M562" s="39">
        <v>50.0</v>
      </c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 t="s">
        <v>525</v>
      </c>
      <c r="B563" s="39">
        <v>26.0</v>
      </c>
      <c r="C563" s="39" t="str">
        <f t="shared" si="43"/>
        <v>#REF!</v>
      </c>
      <c r="D563" s="7"/>
      <c r="E563" s="7"/>
      <c r="F563" s="7"/>
      <c r="G563" s="7"/>
      <c r="H563" s="39">
        <v>78.0</v>
      </c>
      <c r="I563" s="39">
        <v>76.0</v>
      </c>
      <c r="J563" s="39">
        <v>70.0</v>
      </c>
      <c r="K563" s="39">
        <v>74.0</v>
      </c>
      <c r="L563" s="39">
        <v>50.0</v>
      </c>
      <c r="M563" s="39">
        <v>50.0</v>
      </c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 t="s">
        <v>526</v>
      </c>
      <c r="B564" s="39">
        <v>0.0</v>
      </c>
      <c r="C564" s="7"/>
      <c r="D564" s="7"/>
      <c r="E564" s="7"/>
      <c r="F564" s="7"/>
      <c r="G564" s="7"/>
      <c r="H564" s="39">
        <v>78.0</v>
      </c>
      <c r="I564" s="39">
        <v>78.0</v>
      </c>
      <c r="J564" s="39">
        <v>10.0</v>
      </c>
      <c r="K564" s="39">
        <v>8.0</v>
      </c>
      <c r="L564" s="39">
        <v>54.0</v>
      </c>
      <c r="M564" s="39">
        <v>50.0</v>
      </c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 t="s">
        <v>527</v>
      </c>
      <c r="B565" s="39">
        <v>8.0</v>
      </c>
      <c r="C565" s="7"/>
      <c r="D565" s="7"/>
      <c r="E565" s="7"/>
      <c r="F565" s="7"/>
      <c r="G565" s="7"/>
      <c r="H565" s="39">
        <v>83.0</v>
      </c>
      <c r="I565" s="39">
        <v>80.0</v>
      </c>
      <c r="J565" s="39">
        <v>40.0</v>
      </c>
      <c r="K565" s="39">
        <v>70.0</v>
      </c>
      <c r="L565" s="39">
        <v>23.0</v>
      </c>
      <c r="M565" s="39">
        <v>10.0</v>
      </c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 t="s">
        <v>528</v>
      </c>
      <c r="B566" s="39">
        <v>0.0</v>
      </c>
      <c r="C566" s="7"/>
      <c r="D566" s="7"/>
      <c r="E566" s="7"/>
      <c r="F566" s="7"/>
      <c r="G566" s="7"/>
      <c r="H566" s="39">
        <v>70.0</v>
      </c>
      <c r="I566" s="39">
        <v>59.0</v>
      </c>
      <c r="J566" s="39">
        <v>13.0</v>
      </c>
      <c r="K566" s="39">
        <v>8.0</v>
      </c>
      <c r="L566" s="39">
        <v>47.0</v>
      </c>
      <c r="M566" s="39">
        <v>13.0</v>
      </c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 t="s">
        <v>529</v>
      </c>
      <c r="B567" s="39">
        <v>11.0</v>
      </c>
      <c r="C567" s="39" t="str">
        <f>vlookup(A567,Sheet2!$1:$1000,2,False)</f>
        <v>#REF!</v>
      </c>
      <c r="D567" s="7"/>
      <c r="E567" s="7"/>
      <c r="F567" s="7"/>
      <c r="G567" s="7"/>
      <c r="H567" s="39">
        <v>70.0</v>
      </c>
      <c r="I567" s="39">
        <v>72.0</v>
      </c>
      <c r="J567" s="39">
        <v>65.0</v>
      </c>
      <c r="K567" s="39">
        <v>70.0</v>
      </c>
      <c r="L567" s="39">
        <v>50.0</v>
      </c>
      <c r="M567" s="39">
        <v>50.0</v>
      </c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 t="s">
        <v>530</v>
      </c>
      <c r="B568" s="39">
        <v>59.0</v>
      </c>
      <c r="C568" s="7"/>
      <c r="D568" s="7"/>
      <c r="E568" s="7"/>
      <c r="F568" s="7"/>
      <c r="G568" s="7"/>
      <c r="H568" s="39">
        <v>73.0</v>
      </c>
      <c r="I568" s="39">
        <v>70.0</v>
      </c>
      <c r="J568" s="39">
        <v>70.0</v>
      </c>
      <c r="K568" s="39">
        <v>70.0</v>
      </c>
      <c r="L568" s="39">
        <v>50.0</v>
      </c>
      <c r="M568" s="39">
        <v>50.0</v>
      </c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 t="s">
        <v>531</v>
      </c>
      <c r="B569" s="39">
        <v>28.0</v>
      </c>
      <c r="C569" s="7"/>
      <c r="D569" s="7"/>
      <c r="E569" s="7"/>
      <c r="F569" s="7"/>
      <c r="G569" s="7"/>
      <c r="H569" s="39">
        <v>83.0</v>
      </c>
      <c r="I569" s="39">
        <v>84.0</v>
      </c>
      <c r="J569" s="39">
        <v>70.0</v>
      </c>
      <c r="K569" s="39">
        <v>70.0</v>
      </c>
      <c r="L569" s="39">
        <v>66.0</v>
      </c>
      <c r="M569" s="39">
        <v>50.0</v>
      </c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 t="s">
        <v>532</v>
      </c>
      <c r="B570" s="39">
        <v>50.0</v>
      </c>
      <c r="C570" s="7"/>
      <c r="D570" s="7"/>
      <c r="E570" s="7"/>
      <c r="F570" s="7"/>
      <c r="G570" s="7"/>
      <c r="H570" s="39">
        <v>81.0</v>
      </c>
      <c r="I570" s="39">
        <v>79.0</v>
      </c>
      <c r="J570" s="39">
        <v>70.0</v>
      </c>
      <c r="K570" s="39">
        <v>70.0</v>
      </c>
      <c r="L570" s="39">
        <v>52.0</v>
      </c>
      <c r="M570" s="39">
        <v>50.0</v>
      </c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 t="s">
        <v>533</v>
      </c>
      <c r="B571" s="39">
        <v>52.0</v>
      </c>
      <c r="C571" s="7"/>
      <c r="D571" s="7"/>
      <c r="E571" s="7"/>
      <c r="F571" s="7"/>
      <c r="G571" s="7"/>
      <c r="H571" s="39">
        <v>77.0</v>
      </c>
      <c r="I571" s="39">
        <v>77.0</v>
      </c>
      <c r="J571" s="39">
        <v>70.0</v>
      </c>
      <c r="K571" s="39">
        <v>70.0</v>
      </c>
      <c r="L571" s="39">
        <v>50.0</v>
      </c>
      <c r="M571" s="39">
        <v>50.0</v>
      </c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 t="s">
        <v>534</v>
      </c>
      <c r="B572" s="39">
        <v>50.0</v>
      </c>
      <c r="C572" s="39" t="str">
        <f>vlookup(A572,Sheet2!$1:$1000,2,False)</f>
        <v>#REF!</v>
      </c>
      <c r="D572" s="7"/>
      <c r="E572" s="7"/>
      <c r="F572" s="7"/>
      <c r="G572" s="7"/>
      <c r="H572" s="39">
        <v>70.0</v>
      </c>
      <c r="I572" s="39">
        <v>70.0</v>
      </c>
      <c r="J572" s="39">
        <v>70.0</v>
      </c>
      <c r="K572" s="39">
        <v>70.0</v>
      </c>
      <c r="L572" s="39">
        <v>50.0</v>
      </c>
      <c r="M572" s="39">
        <v>50.0</v>
      </c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 t="s">
        <v>535</v>
      </c>
      <c r="B573" s="39">
        <v>5.0</v>
      </c>
      <c r="C573" s="7"/>
      <c r="D573" s="7"/>
      <c r="E573" s="7"/>
      <c r="F573" s="7"/>
      <c r="G573" s="7"/>
      <c r="H573" s="39">
        <v>80.0</v>
      </c>
      <c r="I573" s="39">
        <v>80.0</v>
      </c>
      <c r="J573" s="39">
        <v>38.0</v>
      </c>
      <c r="K573" s="39">
        <v>70.0</v>
      </c>
      <c r="L573" s="39">
        <v>51.0</v>
      </c>
      <c r="M573" s="39">
        <v>50.0</v>
      </c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 t="s">
        <v>536</v>
      </c>
      <c r="B574" s="39">
        <v>58.0</v>
      </c>
      <c r="C574" s="7"/>
      <c r="D574" s="7"/>
      <c r="E574" s="7"/>
      <c r="F574" s="7"/>
      <c r="G574" s="7"/>
      <c r="H574" s="39">
        <v>86.0</v>
      </c>
      <c r="I574" s="39">
        <v>87.0</v>
      </c>
      <c r="J574" s="39">
        <v>70.0</v>
      </c>
      <c r="K574" s="39">
        <v>70.0</v>
      </c>
      <c r="L574" s="39">
        <v>50.0</v>
      </c>
      <c r="M574" s="39">
        <v>50.0</v>
      </c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 t="s">
        <v>537</v>
      </c>
      <c r="B575" s="39">
        <v>0.0</v>
      </c>
      <c r="C575" s="7"/>
      <c r="D575" s="7"/>
      <c r="E575" s="7"/>
      <c r="F575" s="7"/>
      <c r="G575" s="7"/>
      <c r="H575" s="39">
        <v>77.0</v>
      </c>
      <c r="I575" s="39">
        <v>67.0</v>
      </c>
      <c r="J575" s="39">
        <v>18.0</v>
      </c>
      <c r="K575" s="39">
        <v>22.0</v>
      </c>
      <c r="L575" s="39">
        <v>47.0</v>
      </c>
      <c r="M575" s="39">
        <v>3.0</v>
      </c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 t="s">
        <v>538</v>
      </c>
      <c r="B576" s="39">
        <v>55.0</v>
      </c>
      <c r="C576" s="7"/>
      <c r="D576" s="7"/>
      <c r="E576" s="7"/>
      <c r="F576" s="7"/>
      <c r="G576" s="7"/>
      <c r="H576" s="39">
        <v>70.0</v>
      </c>
      <c r="I576" s="39">
        <v>70.0</v>
      </c>
      <c r="J576" s="39">
        <v>70.0</v>
      </c>
      <c r="K576" s="39">
        <v>70.0</v>
      </c>
      <c r="L576" s="39">
        <v>50.0</v>
      </c>
      <c r="M576" s="39">
        <v>50.0</v>
      </c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 t="s">
        <v>539</v>
      </c>
      <c r="B577" s="39">
        <v>61.0</v>
      </c>
      <c r="C577" s="7"/>
      <c r="D577" s="7"/>
      <c r="E577" s="7"/>
      <c r="F577" s="7"/>
      <c r="G577" s="7"/>
      <c r="H577" s="39">
        <v>87.0</v>
      </c>
      <c r="I577" s="39">
        <v>88.0</v>
      </c>
      <c r="J577" s="39">
        <v>86.0</v>
      </c>
      <c r="K577" s="39">
        <v>70.0</v>
      </c>
      <c r="L577" s="39">
        <v>53.0</v>
      </c>
      <c r="M577" s="39">
        <v>44.0</v>
      </c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 t="s">
        <v>540</v>
      </c>
      <c r="B578" s="39">
        <v>50.0</v>
      </c>
      <c r="C578" s="7"/>
      <c r="D578" s="7"/>
      <c r="E578" s="7"/>
      <c r="F578" s="7"/>
      <c r="G578" s="7"/>
      <c r="H578" s="39">
        <v>81.0</v>
      </c>
      <c r="I578" s="39">
        <v>80.0</v>
      </c>
      <c r="J578" s="39">
        <v>70.0</v>
      </c>
      <c r="K578" s="39">
        <v>70.0</v>
      </c>
      <c r="L578" s="39">
        <v>53.0</v>
      </c>
      <c r="M578" s="39">
        <v>50.0</v>
      </c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 t="s">
        <v>541</v>
      </c>
      <c r="B579" s="39">
        <v>51.0</v>
      </c>
      <c r="C579" s="7"/>
      <c r="D579" s="7"/>
      <c r="E579" s="7"/>
      <c r="F579" s="7"/>
      <c r="G579" s="7"/>
      <c r="H579" s="39">
        <v>70.0</v>
      </c>
      <c r="I579" s="39">
        <v>79.0</v>
      </c>
      <c r="J579" s="39">
        <v>70.0</v>
      </c>
      <c r="K579" s="39">
        <v>70.0</v>
      </c>
      <c r="L579" s="39">
        <v>53.0</v>
      </c>
      <c r="M579" s="39">
        <v>50.0</v>
      </c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 t="s">
        <v>542</v>
      </c>
      <c r="B580" s="39">
        <v>52.0</v>
      </c>
      <c r="C580" s="7"/>
      <c r="D580" s="7"/>
      <c r="E580" s="7"/>
      <c r="F580" s="7"/>
      <c r="G580" s="7"/>
      <c r="H580" s="39">
        <v>76.0</v>
      </c>
      <c r="I580" s="39">
        <v>78.0</v>
      </c>
      <c r="J580" s="39">
        <v>51.0</v>
      </c>
      <c r="K580" s="39">
        <v>70.0</v>
      </c>
      <c r="L580" s="39">
        <v>65.0</v>
      </c>
      <c r="M580" s="39">
        <v>50.0</v>
      </c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 t="s">
        <v>543</v>
      </c>
      <c r="B581" s="39">
        <v>54.0</v>
      </c>
      <c r="C581" s="7"/>
      <c r="D581" s="7"/>
      <c r="E581" s="7"/>
      <c r="F581" s="7"/>
      <c r="G581" s="7"/>
      <c r="H581" s="39">
        <v>71.0</v>
      </c>
      <c r="I581" s="39">
        <v>79.0</v>
      </c>
      <c r="J581" s="39">
        <v>77.0</v>
      </c>
      <c r="K581" s="39">
        <v>70.0</v>
      </c>
      <c r="L581" s="39">
        <v>50.0</v>
      </c>
      <c r="M581" s="39">
        <v>50.0</v>
      </c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 t="s">
        <v>544</v>
      </c>
      <c r="B582" s="39">
        <v>58.0</v>
      </c>
      <c r="C582" s="7"/>
      <c r="D582" s="7"/>
      <c r="E582" s="7"/>
      <c r="F582" s="7"/>
      <c r="G582" s="7"/>
      <c r="H582" s="39">
        <v>82.0</v>
      </c>
      <c r="I582" s="39">
        <v>84.0</v>
      </c>
      <c r="J582" s="39">
        <v>76.0</v>
      </c>
      <c r="K582" s="39">
        <v>70.0</v>
      </c>
      <c r="L582" s="39">
        <v>50.0</v>
      </c>
      <c r="M582" s="39">
        <v>50.0</v>
      </c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 t="s">
        <v>545</v>
      </c>
      <c r="B583" s="39">
        <v>37.0</v>
      </c>
      <c r="C583" s="39" t="str">
        <f>vlookup(A583,Sheet2!$1:$1000,2,False)</f>
        <v>#REF!</v>
      </c>
      <c r="D583" s="7"/>
      <c r="E583" s="7"/>
      <c r="F583" s="7"/>
      <c r="G583" s="7"/>
      <c r="H583" s="39">
        <v>74.0</v>
      </c>
      <c r="I583" s="39">
        <v>75.0</v>
      </c>
      <c r="J583" s="39">
        <v>75.0</v>
      </c>
      <c r="K583" s="39">
        <v>77.0</v>
      </c>
      <c r="L583" s="39">
        <v>50.0</v>
      </c>
      <c r="M583" s="39">
        <v>50.0</v>
      </c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 t="s">
        <v>546</v>
      </c>
      <c r="B584" s="39">
        <v>50.0</v>
      </c>
      <c r="C584" s="7"/>
      <c r="D584" s="7"/>
      <c r="E584" s="7"/>
      <c r="F584" s="7"/>
      <c r="G584" s="7"/>
      <c r="H584" s="39">
        <v>78.0</v>
      </c>
      <c r="I584" s="39">
        <v>76.0</v>
      </c>
      <c r="J584" s="39">
        <v>70.0</v>
      </c>
      <c r="K584" s="39">
        <v>70.0</v>
      </c>
      <c r="L584" s="39">
        <v>50.0</v>
      </c>
      <c r="M584" s="39">
        <v>50.0</v>
      </c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 t="s">
        <v>547</v>
      </c>
      <c r="B585" s="39">
        <v>53.0</v>
      </c>
      <c r="C585" s="7"/>
      <c r="D585" s="7"/>
      <c r="E585" s="7"/>
      <c r="F585" s="7"/>
      <c r="G585" s="7"/>
      <c r="H585" s="39">
        <v>86.0</v>
      </c>
      <c r="I585" s="39">
        <v>86.0</v>
      </c>
      <c r="J585" s="39">
        <v>62.0</v>
      </c>
      <c r="K585" s="39">
        <v>70.0</v>
      </c>
      <c r="L585" s="39">
        <v>50.0</v>
      </c>
      <c r="M585" s="39">
        <v>50.0</v>
      </c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 t="s">
        <v>548</v>
      </c>
      <c r="B586" s="39">
        <v>44.0</v>
      </c>
      <c r="C586" s="39" t="str">
        <f>vlookup(A586,Sheet2!$1:$1000,2,False)</f>
        <v>#REF!</v>
      </c>
      <c r="D586" s="7"/>
      <c r="E586" s="7"/>
      <c r="F586" s="7"/>
      <c r="G586" s="7"/>
      <c r="H586" s="39">
        <v>78.0</v>
      </c>
      <c r="I586" s="39">
        <v>83.0</v>
      </c>
      <c r="J586" s="39">
        <v>77.0</v>
      </c>
      <c r="K586" s="39">
        <v>88.0</v>
      </c>
      <c r="L586" s="39">
        <v>51.0</v>
      </c>
      <c r="M586" s="39">
        <v>50.0</v>
      </c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 t="s">
        <v>549</v>
      </c>
      <c r="B587" s="39">
        <v>58.0</v>
      </c>
      <c r="C587" s="7"/>
      <c r="D587" s="7"/>
      <c r="E587" s="7"/>
      <c r="F587" s="7"/>
      <c r="G587" s="7"/>
      <c r="H587" s="39">
        <v>74.0</v>
      </c>
      <c r="I587" s="39">
        <v>70.0</v>
      </c>
      <c r="J587" s="39">
        <v>70.0</v>
      </c>
      <c r="K587" s="39">
        <v>70.0</v>
      </c>
      <c r="L587" s="39">
        <v>50.0</v>
      </c>
      <c r="M587" s="39">
        <v>50.0</v>
      </c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 t="s">
        <v>550</v>
      </c>
      <c r="B588" s="39">
        <v>60.0</v>
      </c>
      <c r="C588" s="7"/>
      <c r="D588" s="7"/>
      <c r="E588" s="7"/>
      <c r="F588" s="7"/>
      <c r="G588" s="7"/>
      <c r="H588" s="39">
        <v>80.0</v>
      </c>
      <c r="I588" s="39">
        <v>77.0</v>
      </c>
      <c r="J588" s="39">
        <v>70.0</v>
      </c>
      <c r="K588" s="39">
        <v>73.0</v>
      </c>
      <c r="L588" s="39">
        <v>50.0</v>
      </c>
      <c r="M588" s="39">
        <v>50.0</v>
      </c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 t="s">
        <v>551</v>
      </c>
      <c r="B589" s="39">
        <v>58.0</v>
      </c>
      <c r="C589" s="7"/>
      <c r="D589" s="7"/>
      <c r="E589" s="7"/>
      <c r="F589" s="7"/>
      <c r="G589" s="7"/>
      <c r="H589" s="39">
        <v>70.0</v>
      </c>
      <c r="I589" s="39">
        <v>75.0</v>
      </c>
      <c r="J589" s="39">
        <v>70.0</v>
      </c>
      <c r="K589" s="39">
        <v>70.0</v>
      </c>
      <c r="L589" s="39">
        <v>50.0</v>
      </c>
      <c r="M589" s="39">
        <v>50.0</v>
      </c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 t="s">
        <v>552</v>
      </c>
      <c r="B590" s="39">
        <v>46.0</v>
      </c>
      <c r="C590" s="39" t="str">
        <f t="shared" ref="C590:C593" si="44">vlookup(A590,Sheet2!$1:$1000,2,False)</f>
        <v>#REF!</v>
      </c>
      <c r="D590" s="7"/>
      <c r="E590" s="7"/>
      <c r="F590" s="7"/>
      <c r="G590" s="7"/>
      <c r="H590" s="39">
        <v>81.0</v>
      </c>
      <c r="I590" s="39">
        <v>81.0</v>
      </c>
      <c r="J590" s="39">
        <v>70.0</v>
      </c>
      <c r="K590" s="39">
        <v>70.0</v>
      </c>
      <c r="L590" s="39">
        <v>50.0</v>
      </c>
      <c r="M590" s="39">
        <v>50.0</v>
      </c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 t="s">
        <v>553</v>
      </c>
      <c r="B591" s="39">
        <v>50.0</v>
      </c>
      <c r="C591" s="39" t="str">
        <f t="shared" si="44"/>
        <v>#REF!</v>
      </c>
      <c r="D591" s="7"/>
      <c r="E591" s="7"/>
      <c r="F591" s="7"/>
      <c r="G591" s="7"/>
      <c r="H591" s="39">
        <v>80.0</v>
      </c>
      <c r="I591" s="39">
        <v>75.0</v>
      </c>
      <c r="J591" s="39">
        <v>70.0</v>
      </c>
      <c r="K591" s="39">
        <v>73.0</v>
      </c>
      <c r="L591" s="39">
        <v>51.0</v>
      </c>
      <c r="M591" s="39">
        <v>50.0</v>
      </c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 t="s">
        <v>554</v>
      </c>
      <c r="B592" s="39">
        <v>37.0</v>
      </c>
      <c r="C592" s="39" t="str">
        <f t="shared" si="44"/>
        <v>#REF!</v>
      </c>
      <c r="D592" s="7"/>
      <c r="E592" s="7"/>
      <c r="F592" s="7"/>
      <c r="G592" s="7"/>
      <c r="H592" s="39">
        <v>84.0</v>
      </c>
      <c r="I592" s="39">
        <v>87.0</v>
      </c>
      <c r="J592" s="39">
        <v>70.0</v>
      </c>
      <c r="K592" s="39">
        <v>78.0</v>
      </c>
      <c r="L592" s="39">
        <v>55.0</v>
      </c>
      <c r="M592" s="39">
        <v>50.0</v>
      </c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 t="s">
        <v>555</v>
      </c>
      <c r="B593" s="39">
        <v>45.0</v>
      </c>
      <c r="C593" s="39" t="str">
        <f t="shared" si="44"/>
        <v>#REF!</v>
      </c>
      <c r="D593" s="7"/>
      <c r="E593" s="7"/>
      <c r="F593" s="7"/>
      <c r="G593" s="7"/>
      <c r="H593" s="39">
        <v>85.0</v>
      </c>
      <c r="I593" s="39">
        <v>86.0</v>
      </c>
      <c r="J593" s="39">
        <v>74.0</v>
      </c>
      <c r="K593" s="39">
        <v>81.0</v>
      </c>
      <c r="L593" s="39">
        <v>50.0</v>
      </c>
      <c r="M593" s="39">
        <v>50.0</v>
      </c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 t="s">
        <v>556</v>
      </c>
      <c r="B594" s="39">
        <v>66.0</v>
      </c>
      <c r="C594" s="7"/>
      <c r="D594" s="7"/>
      <c r="E594" s="7"/>
      <c r="F594" s="7"/>
      <c r="G594" s="7"/>
      <c r="H594" s="39">
        <v>89.0</v>
      </c>
      <c r="I594" s="39">
        <v>91.0</v>
      </c>
      <c r="J594" s="39">
        <v>82.0</v>
      </c>
      <c r="K594" s="39">
        <v>70.0</v>
      </c>
      <c r="L594" s="39">
        <v>62.0</v>
      </c>
      <c r="M594" s="39">
        <v>50.0</v>
      </c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 t="s">
        <v>558</v>
      </c>
      <c r="B595" s="39">
        <v>0.0</v>
      </c>
      <c r="C595" s="7"/>
      <c r="D595" s="7"/>
      <c r="E595" s="7"/>
      <c r="F595" s="7"/>
      <c r="G595" s="7"/>
      <c r="H595" s="39">
        <v>76.0</v>
      </c>
      <c r="I595" s="39">
        <v>86.0</v>
      </c>
      <c r="J595" s="39">
        <v>59.0</v>
      </c>
      <c r="K595" s="39">
        <v>41.0</v>
      </c>
      <c r="L595" s="39">
        <v>8.0</v>
      </c>
      <c r="M595" s="39">
        <v>3.0</v>
      </c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 t="s">
        <v>559</v>
      </c>
      <c r="B596" s="39">
        <v>58.0</v>
      </c>
      <c r="C596" s="7"/>
      <c r="D596" s="7"/>
      <c r="E596" s="7"/>
      <c r="F596" s="7"/>
      <c r="G596" s="7"/>
      <c r="H596" s="39">
        <v>78.0</v>
      </c>
      <c r="I596" s="39">
        <v>80.0</v>
      </c>
      <c r="J596" s="39">
        <v>70.0</v>
      </c>
      <c r="K596" s="39">
        <v>70.0</v>
      </c>
      <c r="L596" s="39">
        <v>50.0</v>
      </c>
      <c r="M596" s="39">
        <v>50.0</v>
      </c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 t="s">
        <v>560</v>
      </c>
      <c r="B597" s="39">
        <v>43.0</v>
      </c>
      <c r="C597" s="39" t="str">
        <f>vlookup(A597,Sheet2!$1:$1000,2,False)</f>
        <v>#REF!</v>
      </c>
      <c r="D597" s="7"/>
      <c r="E597" s="7"/>
      <c r="F597" s="7"/>
      <c r="G597" s="7"/>
      <c r="H597" s="39">
        <v>81.0</v>
      </c>
      <c r="I597" s="39">
        <v>77.0</v>
      </c>
      <c r="J597" s="39">
        <v>73.0</v>
      </c>
      <c r="K597" s="39">
        <v>75.0</v>
      </c>
      <c r="L597" s="39">
        <v>50.0</v>
      </c>
      <c r="M597" s="39">
        <v>50.0</v>
      </c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 t="s">
        <v>561</v>
      </c>
      <c r="B598" s="39">
        <v>63.0</v>
      </c>
      <c r="C598" s="7"/>
      <c r="D598" s="7"/>
      <c r="E598" s="7"/>
      <c r="F598" s="7"/>
      <c r="G598" s="7"/>
      <c r="H598" s="39">
        <v>82.0</v>
      </c>
      <c r="I598" s="39">
        <v>83.0</v>
      </c>
      <c r="J598" s="39">
        <v>70.0</v>
      </c>
      <c r="K598" s="39">
        <v>70.0</v>
      </c>
      <c r="L598" s="39">
        <v>50.0</v>
      </c>
      <c r="M598" s="39">
        <v>50.0</v>
      </c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 t="s">
        <v>563</v>
      </c>
      <c r="B599" s="39">
        <v>42.0</v>
      </c>
      <c r="C599" s="39" t="str">
        <f>vlookup(A599,Sheet2!$1:$1000,2,False)</f>
        <v>#REF!</v>
      </c>
      <c r="D599" s="7"/>
      <c r="E599" s="7"/>
      <c r="F599" s="7"/>
      <c r="G599" s="7"/>
      <c r="H599" s="39">
        <v>82.0</v>
      </c>
      <c r="I599" s="39">
        <v>86.0</v>
      </c>
      <c r="J599" s="39">
        <v>70.0</v>
      </c>
      <c r="K599" s="39">
        <v>70.0</v>
      </c>
      <c r="L599" s="39">
        <v>57.0</v>
      </c>
      <c r="M599" s="39">
        <v>14.0</v>
      </c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 t="s">
        <v>564</v>
      </c>
      <c r="B600" s="39">
        <v>25.0</v>
      </c>
      <c r="C600" s="7"/>
      <c r="D600" s="7"/>
      <c r="E600" s="7"/>
      <c r="F600" s="7"/>
      <c r="G600" s="7"/>
      <c r="H600" s="39">
        <v>77.0</v>
      </c>
      <c r="I600" s="39">
        <v>79.0</v>
      </c>
      <c r="J600" s="39">
        <v>36.0</v>
      </c>
      <c r="K600" s="39">
        <v>12.0</v>
      </c>
      <c r="L600" s="39">
        <v>59.0</v>
      </c>
      <c r="M600" s="39">
        <v>50.0</v>
      </c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 t="s">
        <v>565</v>
      </c>
      <c r="B601" s="39">
        <v>54.0</v>
      </c>
      <c r="C601" s="7"/>
      <c r="D601" s="7"/>
      <c r="E601" s="7"/>
      <c r="F601" s="7"/>
      <c r="G601" s="7"/>
      <c r="H601" s="39">
        <v>77.0</v>
      </c>
      <c r="I601" s="39">
        <v>70.0</v>
      </c>
      <c r="J601" s="39">
        <v>70.0</v>
      </c>
      <c r="K601" s="39">
        <v>70.0</v>
      </c>
      <c r="L601" s="39">
        <v>50.0</v>
      </c>
      <c r="M601" s="39">
        <v>50.0</v>
      </c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 t="s">
        <v>566</v>
      </c>
      <c r="B602" s="39">
        <v>54.0</v>
      </c>
      <c r="C602" s="7"/>
      <c r="D602" s="7"/>
      <c r="E602" s="7"/>
      <c r="F602" s="7"/>
      <c r="G602" s="7"/>
      <c r="H602" s="39">
        <v>74.0</v>
      </c>
      <c r="I602" s="39">
        <v>83.0</v>
      </c>
      <c r="J602" s="39">
        <v>70.0</v>
      </c>
      <c r="K602" s="39">
        <v>70.0</v>
      </c>
      <c r="L602" s="39">
        <v>50.0</v>
      </c>
      <c r="M602" s="39">
        <v>50.0</v>
      </c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 t="s">
        <v>567</v>
      </c>
      <c r="B603" s="39">
        <v>0.0</v>
      </c>
      <c r="C603" s="7"/>
      <c r="D603" s="7"/>
      <c r="E603" s="7"/>
      <c r="F603" s="7"/>
      <c r="G603" s="7"/>
      <c r="H603" s="39">
        <v>82.0</v>
      </c>
      <c r="I603" s="39">
        <v>78.0</v>
      </c>
      <c r="J603" s="39">
        <v>43.0</v>
      </c>
      <c r="K603" s="39">
        <v>48.0</v>
      </c>
      <c r="L603" s="39">
        <v>52.0</v>
      </c>
      <c r="M603" s="39">
        <v>8.0</v>
      </c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 t="s">
        <v>568</v>
      </c>
      <c r="B604" s="39">
        <v>53.0</v>
      </c>
      <c r="C604" s="7"/>
      <c r="D604" s="7"/>
      <c r="E604" s="7"/>
      <c r="F604" s="7"/>
      <c r="G604" s="7"/>
      <c r="H604" s="39">
        <v>86.0</v>
      </c>
      <c r="I604" s="39">
        <v>89.0</v>
      </c>
      <c r="J604" s="39">
        <v>70.0</v>
      </c>
      <c r="K604" s="39">
        <v>70.0</v>
      </c>
      <c r="L604" s="39">
        <v>50.0</v>
      </c>
      <c r="M604" s="39">
        <v>50.0</v>
      </c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 t="s">
        <v>569</v>
      </c>
      <c r="B605" s="39">
        <v>64.0</v>
      </c>
      <c r="C605" s="7"/>
      <c r="D605" s="7"/>
      <c r="E605" s="7"/>
      <c r="F605" s="7"/>
      <c r="G605" s="7"/>
      <c r="H605" s="39">
        <v>73.0</v>
      </c>
      <c r="I605" s="39">
        <v>70.0</v>
      </c>
      <c r="J605" s="39">
        <v>24.0</v>
      </c>
      <c r="K605" s="39">
        <v>70.0</v>
      </c>
      <c r="L605" s="39">
        <v>62.0</v>
      </c>
      <c r="M605" s="39">
        <v>50.0</v>
      </c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 t="s">
        <v>570</v>
      </c>
      <c r="B606" s="39">
        <v>50.0</v>
      </c>
      <c r="C606" s="39" t="str">
        <f>vlookup(A606,Sheet2!$1:$1000,2,False)</f>
        <v>#REF!</v>
      </c>
      <c r="D606" s="7"/>
      <c r="E606" s="7"/>
      <c r="F606" s="7"/>
      <c r="G606" s="7"/>
      <c r="H606" s="39">
        <v>86.0</v>
      </c>
      <c r="I606" s="39">
        <v>86.0</v>
      </c>
      <c r="J606" s="39">
        <v>70.0</v>
      </c>
      <c r="K606" s="39">
        <v>70.0</v>
      </c>
      <c r="L606" s="39">
        <v>50.0</v>
      </c>
      <c r="M606" s="39">
        <v>4.0</v>
      </c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 t="s">
        <v>572</v>
      </c>
      <c r="B607" s="39">
        <v>51.0</v>
      </c>
      <c r="C607" s="7"/>
      <c r="D607" s="7"/>
      <c r="E607" s="7"/>
      <c r="F607" s="7"/>
      <c r="G607" s="7"/>
      <c r="H607" s="39">
        <v>80.0</v>
      </c>
      <c r="I607" s="39">
        <v>90.0</v>
      </c>
      <c r="J607" s="39">
        <v>70.0</v>
      </c>
      <c r="K607" s="39">
        <v>70.0</v>
      </c>
      <c r="L607" s="39">
        <v>50.0</v>
      </c>
      <c r="M607" s="39">
        <v>50.0</v>
      </c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 t="s">
        <v>573</v>
      </c>
      <c r="B608" s="39">
        <v>28.0</v>
      </c>
      <c r="C608" s="7"/>
      <c r="D608" s="7"/>
      <c r="E608" s="7"/>
      <c r="F608" s="7"/>
      <c r="G608" s="7"/>
      <c r="H608" s="39">
        <v>83.0</v>
      </c>
      <c r="I608" s="39">
        <v>83.0</v>
      </c>
      <c r="J608" s="39">
        <v>72.0</v>
      </c>
      <c r="K608" s="39">
        <v>70.0</v>
      </c>
      <c r="L608" s="39">
        <v>50.0</v>
      </c>
      <c r="M608" s="39">
        <v>50.0</v>
      </c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 t="s">
        <v>574</v>
      </c>
      <c r="B609" s="39">
        <v>50.0</v>
      </c>
      <c r="C609" s="39" t="str">
        <f t="shared" ref="C609:C610" si="45">vlookup(A609,Sheet2!$1:$1000,2,False)</f>
        <v>#REF!</v>
      </c>
      <c r="D609" s="7"/>
      <c r="E609" s="7"/>
      <c r="F609" s="7"/>
      <c r="G609" s="7"/>
      <c r="H609" s="39">
        <v>76.0</v>
      </c>
      <c r="I609" s="39">
        <v>82.0</v>
      </c>
      <c r="J609" s="39">
        <v>78.0</v>
      </c>
      <c r="K609" s="39">
        <v>70.0</v>
      </c>
      <c r="L609" s="39">
        <v>50.0</v>
      </c>
      <c r="M609" s="39">
        <v>50.0</v>
      </c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 t="s">
        <v>575</v>
      </c>
      <c r="B610" s="39">
        <v>50.0</v>
      </c>
      <c r="C610" s="39" t="str">
        <f t="shared" si="45"/>
        <v>#REF!</v>
      </c>
      <c r="D610" s="7"/>
      <c r="E610" s="7"/>
      <c r="F610" s="7"/>
      <c r="G610" s="7"/>
      <c r="H610" s="39">
        <v>87.0</v>
      </c>
      <c r="I610" s="39">
        <v>89.0</v>
      </c>
      <c r="J610" s="39">
        <v>85.0</v>
      </c>
      <c r="K610" s="39">
        <v>70.0</v>
      </c>
      <c r="L610" s="39">
        <v>50.0</v>
      </c>
      <c r="M610" s="39">
        <v>50.0</v>
      </c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 t="s">
        <v>576</v>
      </c>
      <c r="B611" s="39">
        <v>0.0</v>
      </c>
      <c r="C611" s="7"/>
      <c r="D611" s="7"/>
      <c r="E611" s="7"/>
      <c r="F611" s="7"/>
      <c r="G611" s="7"/>
      <c r="H611" s="39">
        <v>86.0</v>
      </c>
      <c r="I611" s="39">
        <v>86.0</v>
      </c>
      <c r="J611" s="39">
        <v>75.0</v>
      </c>
      <c r="K611" s="39">
        <v>70.0</v>
      </c>
      <c r="L611" s="39">
        <v>28.0</v>
      </c>
      <c r="M611" s="39">
        <v>50.0</v>
      </c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 t="s">
        <v>577</v>
      </c>
      <c r="B612" s="39">
        <v>50.0</v>
      </c>
      <c r="C612" s="39" t="str">
        <f>vlookup(A612,Sheet2!$1:$1000,2,False)</f>
        <v>#REF!</v>
      </c>
      <c r="D612" s="7"/>
      <c r="E612" s="7"/>
      <c r="F612" s="7"/>
      <c r="G612" s="7"/>
      <c r="H612" s="39">
        <v>86.0</v>
      </c>
      <c r="I612" s="39">
        <v>77.0</v>
      </c>
      <c r="J612" s="39">
        <v>60.0</v>
      </c>
      <c r="K612" s="39">
        <v>70.0</v>
      </c>
      <c r="L612" s="39">
        <v>50.0</v>
      </c>
      <c r="M612" s="39">
        <v>50.0</v>
      </c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 t="s">
        <v>578</v>
      </c>
      <c r="B613" s="39">
        <v>0.0</v>
      </c>
      <c r="C613" s="7"/>
      <c r="D613" s="7"/>
      <c r="E613" s="7"/>
      <c r="F613" s="7"/>
      <c r="G613" s="7"/>
      <c r="H613" s="39">
        <v>75.0</v>
      </c>
      <c r="I613" s="39">
        <v>74.0</v>
      </c>
      <c r="J613" s="39">
        <v>77.0</v>
      </c>
      <c r="K613" s="39">
        <v>70.0</v>
      </c>
      <c r="L613" s="39">
        <v>6.0</v>
      </c>
      <c r="M613" s="39">
        <v>8.0</v>
      </c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 t="s">
        <v>579</v>
      </c>
      <c r="B614" s="39">
        <v>50.0</v>
      </c>
      <c r="C614" s="39" t="str">
        <f>vlookup(A614,Sheet2!$1:$1000,2,False)</f>
        <v>#REF!</v>
      </c>
      <c r="D614" s="7"/>
      <c r="E614" s="7"/>
      <c r="F614" s="7"/>
      <c r="G614" s="7"/>
      <c r="H614" s="39">
        <v>81.0</v>
      </c>
      <c r="I614" s="39">
        <v>84.0</v>
      </c>
      <c r="J614" s="39">
        <v>45.0</v>
      </c>
      <c r="K614" s="39">
        <v>70.0</v>
      </c>
      <c r="L614" s="39">
        <v>50.0</v>
      </c>
      <c r="M614" s="39">
        <v>50.0</v>
      </c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 t="s">
        <v>580</v>
      </c>
      <c r="B615" s="39">
        <v>0.0</v>
      </c>
      <c r="C615" s="7"/>
      <c r="D615" s="7"/>
      <c r="E615" s="7"/>
      <c r="F615" s="7"/>
      <c r="G615" s="7"/>
      <c r="H615" s="39">
        <v>72.0</v>
      </c>
      <c r="I615" s="39">
        <v>77.0</v>
      </c>
      <c r="J615" s="39">
        <v>49.0</v>
      </c>
      <c r="K615" s="39">
        <v>17.0</v>
      </c>
      <c r="L615" s="39">
        <v>50.0</v>
      </c>
      <c r="M615" s="39">
        <v>8.0</v>
      </c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 t="s">
        <v>581</v>
      </c>
      <c r="B616" s="39">
        <v>50.0</v>
      </c>
      <c r="C616" s="39" t="str">
        <f>vlookup(A616,Sheet2!$1:$1000,2,False)</f>
        <v>#REF!</v>
      </c>
      <c r="D616" s="7"/>
      <c r="E616" s="7"/>
      <c r="F616" s="7"/>
      <c r="G616" s="7"/>
      <c r="H616" s="39">
        <v>71.0</v>
      </c>
      <c r="I616" s="39">
        <v>73.0</v>
      </c>
      <c r="J616" s="39">
        <v>70.0</v>
      </c>
      <c r="K616" s="39">
        <v>70.0</v>
      </c>
      <c r="L616" s="39">
        <v>50.0</v>
      </c>
      <c r="M616" s="39">
        <v>18.0</v>
      </c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 t="s">
        <v>582</v>
      </c>
      <c r="B617" s="39">
        <v>0.0</v>
      </c>
      <c r="C617" s="7"/>
      <c r="D617" s="7"/>
      <c r="E617" s="7"/>
      <c r="F617" s="7"/>
      <c r="G617" s="7"/>
      <c r="H617" s="39">
        <v>75.0</v>
      </c>
      <c r="I617" s="39">
        <v>74.0</v>
      </c>
      <c r="J617" s="39">
        <v>51.0</v>
      </c>
      <c r="K617" s="39">
        <v>4.0</v>
      </c>
      <c r="L617" s="39">
        <v>30.0</v>
      </c>
      <c r="M617" s="39">
        <v>10.0</v>
      </c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 t="s">
        <v>583</v>
      </c>
      <c r="B618" s="39">
        <v>50.0</v>
      </c>
      <c r="C618" s="39" t="str">
        <f t="shared" ref="C618:C620" si="46">vlookup(A618,Sheet2!$1:$1000,2,False)</f>
        <v>#REF!</v>
      </c>
      <c r="D618" s="7"/>
      <c r="E618" s="7"/>
      <c r="F618" s="7"/>
      <c r="G618" s="7"/>
      <c r="H618" s="39">
        <v>71.0</v>
      </c>
      <c r="I618" s="39">
        <v>70.0</v>
      </c>
      <c r="J618" s="39">
        <v>70.0</v>
      </c>
      <c r="K618" s="39">
        <v>70.0</v>
      </c>
      <c r="L618" s="39">
        <v>50.0</v>
      </c>
      <c r="M618" s="39">
        <v>24.0</v>
      </c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 t="s">
        <v>584</v>
      </c>
      <c r="B619" s="39">
        <v>50.0</v>
      </c>
      <c r="C619" s="39" t="str">
        <f t="shared" si="46"/>
        <v>#REF!</v>
      </c>
      <c r="D619" s="7"/>
      <c r="E619" s="7"/>
      <c r="F619" s="7"/>
      <c r="G619" s="7"/>
      <c r="H619" s="39">
        <v>74.0</v>
      </c>
      <c r="I619" s="39">
        <v>73.0</v>
      </c>
      <c r="J619" s="39">
        <v>70.0</v>
      </c>
      <c r="K619" s="39">
        <v>70.0</v>
      </c>
      <c r="L619" s="39">
        <v>50.0</v>
      </c>
      <c r="M619" s="39">
        <v>15.0</v>
      </c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 t="s">
        <v>585</v>
      </c>
      <c r="B620" s="39">
        <v>50.0</v>
      </c>
      <c r="C620" s="39" t="str">
        <f t="shared" si="46"/>
        <v>#REF!</v>
      </c>
      <c r="D620" s="7"/>
      <c r="E620" s="7"/>
      <c r="F620" s="7"/>
      <c r="G620" s="7"/>
      <c r="H620" s="39">
        <v>82.0</v>
      </c>
      <c r="I620" s="39">
        <v>86.0</v>
      </c>
      <c r="J620" s="39">
        <v>78.0</v>
      </c>
      <c r="K620" s="39">
        <v>70.0</v>
      </c>
      <c r="L620" s="39">
        <v>50.0</v>
      </c>
      <c r="M620" s="39">
        <v>26.0</v>
      </c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 t="s">
        <v>587</v>
      </c>
      <c r="B621" s="39">
        <v>50.0</v>
      </c>
      <c r="C621" s="7"/>
      <c r="D621" s="7"/>
      <c r="E621" s="7"/>
      <c r="F621" s="7"/>
      <c r="G621" s="7"/>
      <c r="H621" s="39">
        <v>79.0</v>
      </c>
      <c r="I621" s="39">
        <v>78.0</v>
      </c>
      <c r="J621" s="39">
        <v>57.0</v>
      </c>
      <c r="K621" s="39">
        <v>70.0</v>
      </c>
      <c r="L621" s="39">
        <v>50.0</v>
      </c>
      <c r="M621" s="39">
        <v>50.0</v>
      </c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 t="s">
        <v>588</v>
      </c>
      <c r="B622" s="39">
        <v>50.0</v>
      </c>
      <c r="C622" s="39" t="str">
        <f t="shared" ref="C622:C626" si="47">vlookup(A622,Sheet2!$1:$1000,2,False)</f>
        <v>#REF!</v>
      </c>
      <c r="D622" s="7"/>
      <c r="E622" s="7"/>
      <c r="F622" s="7"/>
      <c r="G622" s="7"/>
      <c r="H622" s="39">
        <v>80.0</v>
      </c>
      <c r="I622" s="39">
        <v>89.0</v>
      </c>
      <c r="J622" s="39">
        <v>71.0</v>
      </c>
      <c r="K622" s="39">
        <v>70.0</v>
      </c>
      <c r="L622" s="39">
        <v>50.0</v>
      </c>
      <c r="M622" s="39">
        <v>50.0</v>
      </c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 t="s">
        <v>589</v>
      </c>
      <c r="B623" s="39">
        <v>50.0</v>
      </c>
      <c r="C623" s="39" t="str">
        <f t="shared" si="47"/>
        <v>#REF!</v>
      </c>
      <c r="D623" s="7"/>
      <c r="E623" s="7"/>
      <c r="F623" s="7"/>
      <c r="G623" s="7"/>
      <c r="H623" s="39">
        <v>88.0</v>
      </c>
      <c r="I623" s="39">
        <v>83.0</v>
      </c>
      <c r="J623" s="39">
        <v>71.0</v>
      </c>
      <c r="K623" s="39">
        <v>70.0</v>
      </c>
      <c r="L623" s="39">
        <v>55.0</v>
      </c>
      <c r="M623" s="39">
        <v>50.0</v>
      </c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 t="s">
        <v>590</v>
      </c>
      <c r="B624" s="39">
        <v>50.0</v>
      </c>
      <c r="C624" s="39" t="str">
        <f t="shared" si="47"/>
        <v>#REF!</v>
      </c>
      <c r="D624" s="7"/>
      <c r="E624" s="7"/>
      <c r="F624" s="7"/>
      <c r="G624" s="7"/>
      <c r="H624" s="39">
        <v>86.0</v>
      </c>
      <c r="I624" s="39">
        <v>78.0</v>
      </c>
      <c r="J624" s="39">
        <v>72.0</v>
      </c>
      <c r="K624" s="39">
        <v>70.0</v>
      </c>
      <c r="L624" s="39">
        <v>59.0</v>
      </c>
      <c r="M624" s="39">
        <v>7.0</v>
      </c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 t="s">
        <v>591</v>
      </c>
      <c r="B625" s="39">
        <v>50.0</v>
      </c>
      <c r="C625" s="39" t="str">
        <f t="shared" si="47"/>
        <v>#REF!</v>
      </c>
      <c r="D625" s="7"/>
      <c r="E625" s="7"/>
      <c r="F625" s="7"/>
      <c r="G625" s="7"/>
      <c r="H625" s="39">
        <v>95.0</v>
      </c>
      <c r="I625" s="39">
        <v>92.0</v>
      </c>
      <c r="J625" s="39">
        <v>85.0</v>
      </c>
      <c r="K625" s="39">
        <v>77.0</v>
      </c>
      <c r="L625" s="39">
        <v>56.0</v>
      </c>
      <c r="M625" s="39">
        <v>50.0</v>
      </c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 t="s">
        <v>592</v>
      </c>
      <c r="B626" s="39">
        <v>50.0</v>
      </c>
      <c r="C626" s="39" t="str">
        <f t="shared" si="47"/>
        <v>#REF!</v>
      </c>
      <c r="D626" s="7"/>
      <c r="E626" s="7"/>
      <c r="F626" s="7"/>
      <c r="G626" s="7"/>
      <c r="H626" s="39">
        <v>74.0</v>
      </c>
      <c r="I626" s="39">
        <v>74.0</v>
      </c>
      <c r="J626" s="39">
        <v>62.0</v>
      </c>
      <c r="K626" s="39">
        <v>70.0</v>
      </c>
      <c r="L626" s="39">
        <v>27.0</v>
      </c>
      <c r="M626" s="39">
        <v>50.0</v>
      </c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 t="s">
        <v>593</v>
      </c>
      <c r="B627" s="39">
        <v>0.0</v>
      </c>
      <c r="C627" s="7"/>
      <c r="D627" s="7"/>
      <c r="E627" s="7"/>
      <c r="F627" s="7"/>
      <c r="G627" s="7"/>
      <c r="H627" s="39">
        <v>88.0</v>
      </c>
      <c r="I627" s="39">
        <v>88.0</v>
      </c>
      <c r="J627" s="39">
        <v>72.0</v>
      </c>
      <c r="K627" s="39">
        <v>79.0</v>
      </c>
      <c r="L627" s="39">
        <v>50.0</v>
      </c>
      <c r="M627" s="39">
        <v>0.0</v>
      </c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 t="s">
        <v>595</v>
      </c>
      <c r="B628" s="39">
        <v>50.0</v>
      </c>
      <c r="C628" s="39" t="str">
        <f t="shared" ref="C628:C630" si="48">vlookup(A628,Sheet2!$1:$1000,2,False)</f>
        <v>#REF!</v>
      </c>
      <c r="D628" s="7"/>
      <c r="E628" s="7"/>
      <c r="F628" s="7"/>
      <c r="G628" s="7"/>
      <c r="H628" s="39">
        <v>86.0</v>
      </c>
      <c r="I628" s="39">
        <v>76.0</v>
      </c>
      <c r="J628" s="39">
        <v>74.0</v>
      </c>
      <c r="K628" s="39">
        <v>70.0</v>
      </c>
      <c r="L628" s="39">
        <v>50.0</v>
      </c>
      <c r="M628" s="39">
        <v>10.0</v>
      </c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 t="s">
        <v>596</v>
      </c>
      <c r="B629" s="39">
        <v>50.0</v>
      </c>
      <c r="C629" s="39" t="str">
        <f t="shared" si="48"/>
        <v>#REF!</v>
      </c>
      <c r="D629" s="7"/>
      <c r="E629" s="7"/>
      <c r="F629" s="7"/>
      <c r="G629" s="7"/>
      <c r="H629" s="39">
        <v>83.0</v>
      </c>
      <c r="I629" s="39">
        <v>77.0</v>
      </c>
      <c r="J629" s="39">
        <v>70.0</v>
      </c>
      <c r="K629" s="39">
        <v>70.0</v>
      </c>
      <c r="L629" s="39">
        <v>50.0</v>
      </c>
      <c r="M629" s="39">
        <v>23.0</v>
      </c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 t="s">
        <v>597</v>
      </c>
      <c r="B630" s="39">
        <v>25.0</v>
      </c>
      <c r="C630" s="39" t="str">
        <f t="shared" si="48"/>
        <v>#REF!</v>
      </c>
      <c r="D630" s="7"/>
      <c r="E630" s="7"/>
      <c r="F630" s="7"/>
      <c r="G630" s="7"/>
      <c r="H630" s="39">
        <v>81.0</v>
      </c>
      <c r="I630" s="39">
        <v>86.0</v>
      </c>
      <c r="J630" s="39">
        <v>70.0</v>
      </c>
      <c r="K630" s="39">
        <v>70.0</v>
      </c>
      <c r="L630" s="39">
        <v>50.0</v>
      </c>
      <c r="M630" s="39">
        <v>0.0</v>
      </c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 t="s">
        <v>598</v>
      </c>
      <c r="B631" s="39">
        <v>55.0</v>
      </c>
      <c r="C631" s="7"/>
      <c r="D631" s="7"/>
      <c r="E631" s="7"/>
      <c r="F631" s="7"/>
      <c r="G631" s="7"/>
      <c r="H631" s="39">
        <v>83.0</v>
      </c>
      <c r="I631" s="39">
        <v>78.0</v>
      </c>
      <c r="J631" s="39">
        <v>70.0</v>
      </c>
      <c r="K631" s="39">
        <v>70.0</v>
      </c>
      <c r="L631" s="39">
        <v>50.0</v>
      </c>
      <c r="M631" s="39">
        <v>50.0</v>
      </c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 t="s">
        <v>599</v>
      </c>
      <c r="B632" s="39">
        <v>59.0</v>
      </c>
      <c r="C632" s="7"/>
      <c r="D632" s="7"/>
      <c r="E632" s="7"/>
      <c r="F632" s="7"/>
      <c r="G632" s="7"/>
      <c r="H632" s="39">
        <v>82.0</v>
      </c>
      <c r="I632" s="39">
        <v>79.0</v>
      </c>
      <c r="J632" s="39">
        <v>74.0</v>
      </c>
      <c r="K632" s="39">
        <v>70.0</v>
      </c>
      <c r="L632" s="39">
        <v>50.0</v>
      </c>
      <c r="M632" s="39">
        <v>50.0</v>
      </c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 t="s">
        <v>600</v>
      </c>
      <c r="B633" s="39">
        <v>22.0</v>
      </c>
      <c r="C633" s="7"/>
      <c r="D633" s="7"/>
      <c r="E633" s="7"/>
      <c r="F633" s="7"/>
      <c r="G633" s="7"/>
      <c r="H633" s="39">
        <v>82.0</v>
      </c>
      <c r="I633" s="39">
        <v>84.0</v>
      </c>
      <c r="J633" s="39">
        <v>70.0</v>
      </c>
      <c r="K633" s="39">
        <v>70.0</v>
      </c>
      <c r="L633" s="39">
        <v>50.0</v>
      </c>
      <c r="M633" s="39">
        <v>50.0</v>
      </c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 t="s">
        <v>601</v>
      </c>
      <c r="B634" s="39">
        <v>40.0</v>
      </c>
      <c r="C634" s="39" t="str">
        <f t="shared" ref="C634:C638" si="49">vlookup(A634,Sheet2!$1:$1000,2,False)</f>
        <v>#REF!</v>
      </c>
      <c r="D634" s="7"/>
      <c r="E634" s="7"/>
      <c r="F634" s="7"/>
      <c r="G634" s="7"/>
      <c r="H634" s="39">
        <v>80.0</v>
      </c>
      <c r="I634" s="39">
        <v>83.0</v>
      </c>
      <c r="J634" s="39">
        <v>70.0</v>
      </c>
      <c r="K634" s="39">
        <v>70.0</v>
      </c>
      <c r="L634" s="39">
        <v>50.0</v>
      </c>
      <c r="M634" s="39">
        <v>0.0</v>
      </c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 t="s">
        <v>602</v>
      </c>
      <c r="B635" s="39">
        <v>50.0</v>
      </c>
      <c r="C635" s="39" t="str">
        <f t="shared" si="49"/>
        <v>#REF!</v>
      </c>
      <c r="D635" s="7"/>
      <c r="E635" s="7"/>
      <c r="F635" s="7"/>
      <c r="G635" s="7"/>
      <c r="H635" s="39">
        <v>86.0</v>
      </c>
      <c r="I635" s="39">
        <v>96.0</v>
      </c>
      <c r="J635" s="39">
        <v>87.0</v>
      </c>
      <c r="K635" s="39">
        <v>76.0</v>
      </c>
      <c r="L635" s="39">
        <v>50.0</v>
      </c>
      <c r="M635" s="39">
        <v>11.0</v>
      </c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 t="s">
        <v>603</v>
      </c>
      <c r="B636" s="39">
        <v>50.0</v>
      </c>
      <c r="C636" s="39" t="str">
        <f t="shared" si="49"/>
        <v>#REF!</v>
      </c>
      <c r="D636" s="7"/>
      <c r="E636" s="7"/>
      <c r="F636" s="7"/>
      <c r="G636" s="7"/>
      <c r="H636" s="39">
        <v>89.0</v>
      </c>
      <c r="I636" s="39">
        <v>86.0</v>
      </c>
      <c r="J636" s="39">
        <v>71.0</v>
      </c>
      <c r="K636" s="39">
        <v>70.0</v>
      </c>
      <c r="L636" s="39">
        <v>50.0</v>
      </c>
      <c r="M636" s="39">
        <v>50.0</v>
      </c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 t="s">
        <v>604</v>
      </c>
      <c r="B637" s="39">
        <v>50.0</v>
      </c>
      <c r="C637" s="39" t="str">
        <f t="shared" si="49"/>
        <v>#REF!</v>
      </c>
      <c r="D637" s="7"/>
      <c r="E637" s="7"/>
      <c r="F637" s="7"/>
      <c r="G637" s="7"/>
      <c r="H637" s="39">
        <v>76.0</v>
      </c>
      <c r="I637" s="39">
        <v>76.0</v>
      </c>
      <c r="J637" s="39">
        <v>70.0</v>
      </c>
      <c r="K637" s="39">
        <v>70.0</v>
      </c>
      <c r="L637" s="39">
        <v>50.0</v>
      </c>
      <c r="M637" s="39">
        <v>16.0</v>
      </c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 t="s">
        <v>605</v>
      </c>
      <c r="B638" s="39">
        <v>50.0</v>
      </c>
      <c r="C638" s="39" t="str">
        <f t="shared" si="49"/>
        <v>#REF!</v>
      </c>
      <c r="D638" s="7"/>
      <c r="E638" s="7"/>
      <c r="F638" s="7"/>
      <c r="G638" s="7"/>
      <c r="H638" s="39">
        <v>83.0</v>
      </c>
      <c r="I638" s="39">
        <v>77.0</v>
      </c>
      <c r="J638" s="39">
        <v>70.0</v>
      </c>
      <c r="K638" s="39">
        <v>70.0</v>
      </c>
      <c r="L638" s="39">
        <v>50.0</v>
      </c>
      <c r="M638" s="39">
        <v>50.0</v>
      </c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 t="s">
        <v>606</v>
      </c>
      <c r="B639" s="39">
        <v>65.0</v>
      </c>
      <c r="C639" s="7"/>
      <c r="D639" s="7"/>
      <c r="E639" s="7"/>
      <c r="F639" s="7"/>
      <c r="G639" s="7"/>
      <c r="H639" s="39">
        <v>84.0</v>
      </c>
      <c r="I639" s="39">
        <v>86.0</v>
      </c>
      <c r="J639" s="39">
        <v>77.0</v>
      </c>
      <c r="K639" s="39">
        <v>70.0</v>
      </c>
      <c r="L639" s="39">
        <v>50.0</v>
      </c>
      <c r="M639" s="39">
        <v>50.0</v>
      </c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 t="s">
        <v>607</v>
      </c>
      <c r="B640" s="39">
        <v>0.0</v>
      </c>
      <c r="C640" s="7"/>
      <c r="D640" s="7"/>
      <c r="E640" s="7"/>
      <c r="F640" s="7"/>
      <c r="G640" s="7"/>
      <c r="H640" s="39">
        <v>83.0</v>
      </c>
      <c r="I640" s="39">
        <v>86.0</v>
      </c>
      <c r="J640" s="39">
        <v>62.0</v>
      </c>
      <c r="K640" s="39">
        <v>70.0</v>
      </c>
      <c r="L640" s="39">
        <v>50.0</v>
      </c>
      <c r="M640" s="39">
        <v>50.0</v>
      </c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 t="s">
        <v>608</v>
      </c>
      <c r="B641" s="39">
        <v>13.0</v>
      </c>
      <c r="C641" s="7"/>
      <c r="D641" s="7"/>
      <c r="E641" s="7"/>
      <c r="F641" s="7"/>
      <c r="G641" s="7"/>
      <c r="H641" s="39">
        <v>81.0</v>
      </c>
      <c r="I641" s="39">
        <v>72.0</v>
      </c>
      <c r="J641" s="39">
        <v>70.0</v>
      </c>
      <c r="K641" s="39">
        <v>70.0</v>
      </c>
      <c r="L641" s="39">
        <v>25.0</v>
      </c>
      <c r="M641" s="39">
        <v>8.0</v>
      </c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 t="s">
        <v>609</v>
      </c>
      <c r="B642" s="39">
        <v>0.0</v>
      </c>
      <c r="C642" s="7"/>
      <c r="D642" s="7"/>
      <c r="E642" s="7"/>
      <c r="F642" s="7"/>
      <c r="G642" s="7"/>
      <c r="H642" s="39">
        <v>71.0</v>
      </c>
      <c r="I642" s="39">
        <v>65.0</v>
      </c>
      <c r="J642" s="39">
        <v>15.0</v>
      </c>
      <c r="K642" s="39">
        <v>26.0</v>
      </c>
      <c r="L642" s="39">
        <v>5.0</v>
      </c>
      <c r="M642" s="39">
        <v>0.0</v>
      </c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 t="s">
        <v>610</v>
      </c>
      <c r="B643" s="39">
        <v>0.0</v>
      </c>
      <c r="C643" s="7"/>
      <c r="D643" s="7"/>
      <c r="E643" s="7"/>
      <c r="F643" s="7"/>
      <c r="G643" s="7"/>
      <c r="H643" s="39">
        <v>81.0</v>
      </c>
      <c r="I643" s="39">
        <v>75.0</v>
      </c>
      <c r="J643" s="39">
        <v>65.0</v>
      </c>
      <c r="K643" s="39">
        <v>25.0</v>
      </c>
      <c r="L643" s="39">
        <v>50.0</v>
      </c>
      <c r="M643" s="39">
        <v>7.0</v>
      </c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 t="s">
        <v>611</v>
      </c>
      <c r="B644" s="39">
        <v>50.0</v>
      </c>
      <c r="C644" s="39" t="str">
        <f>vlookup(A644,Sheet2!$1:$1000,2,False)</f>
        <v>#REF!</v>
      </c>
      <c r="D644" s="7"/>
      <c r="E644" s="7"/>
      <c r="F644" s="7"/>
      <c r="G644" s="7"/>
      <c r="H644" s="39">
        <v>87.0</v>
      </c>
      <c r="I644" s="39">
        <v>88.0</v>
      </c>
      <c r="J644" s="39">
        <v>70.0</v>
      </c>
      <c r="K644" s="39">
        <v>70.0</v>
      </c>
      <c r="L644" s="39">
        <v>50.0</v>
      </c>
      <c r="M644" s="39">
        <v>50.0</v>
      </c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 t="s">
        <v>612</v>
      </c>
      <c r="B645" s="39">
        <v>0.0</v>
      </c>
      <c r="C645" s="7"/>
      <c r="D645" s="7"/>
      <c r="E645" s="7"/>
      <c r="F645" s="7"/>
      <c r="G645" s="7"/>
      <c r="H645" s="39">
        <v>82.0</v>
      </c>
      <c r="I645" s="39">
        <v>78.0</v>
      </c>
      <c r="J645" s="39">
        <v>46.0</v>
      </c>
      <c r="K645" s="39">
        <v>70.0</v>
      </c>
      <c r="L645" s="39">
        <v>43.0</v>
      </c>
      <c r="M645" s="39">
        <v>20.0</v>
      </c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 t="s">
        <v>613</v>
      </c>
      <c r="B646" s="39">
        <v>50.0</v>
      </c>
      <c r="C646" s="39" t="str">
        <f>vlookup(A646,Sheet2!$1:$1000,2,False)</f>
        <v>#REF!</v>
      </c>
      <c r="D646" s="7"/>
      <c r="E646" s="7"/>
      <c r="F646" s="7"/>
      <c r="G646" s="7"/>
      <c r="H646" s="39">
        <v>77.0</v>
      </c>
      <c r="I646" s="39">
        <v>83.0</v>
      </c>
      <c r="J646" s="39">
        <v>71.0</v>
      </c>
      <c r="K646" s="39">
        <v>70.0</v>
      </c>
      <c r="L646" s="39">
        <v>50.0</v>
      </c>
      <c r="M646" s="39">
        <v>21.0</v>
      </c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 t="s">
        <v>614</v>
      </c>
      <c r="B647" s="39">
        <v>0.0</v>
      </c>
      <c r="C647" s="7"/>
      <c r="D647" s="7"/>
      <c r="E647" s="7"/>
      <c r="F647" s="7"/>
      <c r="G647" s="7"/>
      <c r="H647" s="39">
        <v>82.0</v>
      </c>
      <c r="I647" s="39">
        <v>81.0</v>
      </c>
      <c r="J647" s="39">
        <v>48.0</v>
      </c>
      <c r="K647" s="39">
        <v>70.0</v>
      </c>
      <c r="L647" s="39">
        <v>50.0</v>
      </c>
      <c r="M647" s="39">
        <v>16.0</v>
      </c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 t="s">
        <v>615</v>
      </c>
      <c r="B648" s="39">
        <v>50.0</v>
      </c>
      <c r="C648" s="7"/>
      <c r="D648" s="7"/>
      <c r="E648" s="7"/>
      <c r="F648" s="7"/>
      <c r="G648" s="7"/>
      <c r="H648" s="39">
        <v>85.0</v>
      </c>
      <c r="I648" s="39">
        <v>90.0</v>
      </c>
      <c r="J648" s="39">
        <v>74.0</v>
      </c>
      <c r="K648" s="39">
        <v>70.0</v>
      </c>
      <c r="L648" s="39">
        <v>55.0</v>
      </c>
      <c r="M648" s="39">
        <v>50.0</v>
      </c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 t="s">
        <v>616</v>
      </c>
      <c r="B649" s="39">
        <v>50.0</v>
      </c>
      <c r="C649" s="7"/>
      <c r="D649" s="7"/>
      <c r="E649" s="7"/>
      <c r="F649" s="7"/>
      <c r="G649" s="7"/>
      <c r="H649" s="39">
        <v>82.0</v>
      </c>
      <c r="I649" s="39">
        <v>86.0</v>
      </c>
      <c r="J649" s="39">
        <v>70.0</v>
      </c>
      <c r="K649" s="39">
        <v>70.0</v>
      </c>
      <c r="L649" s="39">
        <v>50.0</v>
      </c>
      <c r="M649" s="39">
        <v>50.0</v>
      </c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 t="s">
        <v>617</v>
      </c>
      <c r="B650" s="39">
        <v>14.0</v>
      </c>
      <c r="C650" s="7"/>
      <c r="D650" s="7"/>
      <c r="E650" s="7"/>
      <c r="F650" s="7"/>
      <c r="G650" s="7"/>
      <c r="H650" s="39">
        <v>71.0</v>
      </c>
      <c r="I650" s="39">
        <v>76.0</v>
      </c>
      <c r="J650" s="39">
        <v>70.0</v>
      </c>
      <c r="K650" s="39">
        <v>70.0</v>
      </c>
      <c r="L650" s="39">
        <v>50.0</v>
      </c>
      <c r="M650" s="39">
        <v>3.0</v>
      </c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 t="s">
        <v>619</v>
      </c>
      <c r="B651" s="39">
        <v>8.0</v>
      </c>
      <c r="C651" s="39" t="str">
        <f t="shared" ref="C651:C652" si="50">vlookup(A651,Sheet2!$1:$1000,2,False)</f>
        <v>#REF!</v>
      </c>
      <c r="D651" s="7"/>
      <c r="E651" s="7"/>
      <c r="F651" s="7"/>
      <c r="G651" s="7"/>
      <c r="H651" s="39">
        <v>71.0</v>
      </c>
      <c r="I651" s="39">
        <v>70.0</v>
      </c>
      <c r="J651" s="39">
        <v>56.0</v>
      </c>
      <c r="K651" s="39">
        <v>70.0</v>
      </c>
      <c r="L651" s="39">
        <v>50.0</v>
      </c>
      <c r="M651" s="39">
        <v>18.0</v>
      </c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 t="s">
        <v>620</v>
      </c>
      <c r="B652" s="39">
        <v>50.0</v>
      </c>
      <c r="C652" s="39" t="str">
        <f t="shared" si="50"/>
        <v>#REF!</v>
      </c>
      <c r="D652" s="7"/>
      <c r="E652" s="7"/>
      <c r="F652" s="7"/>
      <c r="G652" s="7"/>
      <c r="H652" s="39">
        <v>73.0</v>
      </c>
      <c r="I652" s="39">
        <v>72.0</v>
      </c>
      <c r="J652" s="39">
        <v>70.0</v>
      </c>
      <c r="K652" s="39">
        <v>70.0</v>
      </c>
      <c r="L652" s="39">
        <v>50.0</v>
      </c>
      <c r="M652" s="39">
        <v>50.0</v>
      </c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 t="s">
        <v>622</v>
      </c>
      <c r="B653" s="39">
        <v>26.0</v>
      </c>
      <c r="C653" s="7"/>
      <c r="D653" s="7"/>
      <c r="E653" s="7"/>
      <c r="F653" s="7"/>
      <c r="G653" s="7"/>
      <c r="H653" s="39">
        <v>75.0</v>
      </c>
      <c r="I653" s="39">
        <v>72.0</v>
      </c>
      <c r="J653" s="39">
        <v>70.0</v>
      </c>
      <c r="K653" s="39">
        <v>70.0</v>
      </c>
      <c r="L653" s="39">
        <v>50.0</v>
      </c>
      <c r="M653" s="39">
        <v>12.0</v>
      </c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 t="s">
        <v>623</v>
      </c>
      <c r="B654" s="39">
        <v>18.0</v>
      </c>
      <c r="C654" s="39" t="str">
        <f t="shared" ref="C654:C655" si="51">vlookup(A654,Sheet2!$1:$1000,2,False)</f>
        <v>#REF!</v>
      </c>
      <c r="D654" s="7"/>
      <c r="E654" s="7"/>
      <c r="F654" s="7"/>
      <c r="G654" s="7"/>
      <c r="H654" s="39">
        <v>86.0</v>
      </c>
      <c r="I654" s="39">
        <v>80.0</v>
      </c>
      <c r="J654" s="39">
        <v>62.0</v>
      </c>
      <c r="K654" s="39">
        <v>70.0</v>
      </c>
      <c r="L654" s="39">
        <v>50.0</v>
      </c>
      <c r="M654" s="39">
        <v>50.0</v>
      </c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 t="s">
        <v>624</v>
      </c>
      <c r="B655" s="39">
        <v>50.0</v>
      </c>
      <c r="C655" s="39" t="str">
        <f t="shared" si="51"/>
        <v>#REF!</v>
      </c>
      <c r="D655" s="7"/>
      <c r="E655" s="7"/>
      <c r="F655" s="7"/>
      <c r="G655" s="7"/>
      <c r="H655" s="39">
        <v>75.0</v>
      </c>
      <c r="I655" s="39">
        <v>82.0</v>
      </c>
      <c r="J655" s="39">
        <v>70.0</v>
      </c>
      <c r="K655" s="39">
        <v>70.0</v>
      </c>
      <c r="L655" s="39">
        <v>50.0</v>
      </c>
      <c r="M655" s="39">
        <v>50.0</v>
      </c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 t="s">
        <v>625</v>
      </c>
      <c r="B656" s="39">
        <v>50.0</v>
      </c>
      <c r="C656" s="7"/>
      <c r="D656" s="7"/>
      <c r="E656" s="7"/>
      <c r="F656" s="7"/>
      <c r="G656" s="7"/>
      <c r="H656" s="39">
        <v>79.0</v>
      </c>
      <c r="I656" s="39">
        <v>80.0</v>
      </c>
      <c r="J656" s="39">
        <v>70.0</v>
      </c>
      <c r="K656" s="39">
        <v>70.0</v>
      </c>
      <c r="L656" s="39">
        <v>32.0</v>
      </c>
      <c r="M656" s="39">
        <v>50.0</v>
      </c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 t="s">
        <v>626</v>
      </c>
      <c r="B657" s="39">
        <v>34.0</v>
      </c>
      <c r="C657" s="7"/>
      <c r="D657" s="7"/>
      <c r="E657" s="7"/>
      <c r="F657" s="7"/>
      <c r="G657" s="7"/>
      <c r="H657" s="39">
        <v>72.0</v>
      </c>
      <c r="I657" s="39">
        <v>70.0</v>
      </c>
      <c r="J657" s="39">
        <v>34.0</v>
      </c>
      <c r="K657" s="39">
        <v>70.0</v>
      </c>
      <c r="L657" s="39">
        <v>56.0</v>
      </c>
      <c r="M657" s="39">
        <v>50.0</v>
      </c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 t="s">
        <v>627</v>
      </c>
      <c r="B658" s="39">
        <v>0.0</v>
      </c>
      <c r="C658" s="7"/>
      <c r="D658" s="7"/>
      <c r="E658" s="7"/>
      <c r="F658" s="7"/>
      <c r="G658" s="7"/>
      <c r="H658" s="39">
        <v>79.0</v>
      </c>
      <c r="I658" s="39">
        <v>74.0</v>
      </c>
      <c r="J658" s="39">
        <v>19.0</v>
      </c>
      <c r="K658" s="39">
        <v>6.0</v>
      </c>
      <c r="L658" s="39">
        <v>49.0</v>
      </c>
      <c r="M658" s="39">
        <v>0.0</v>
      </c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 t="s">
        <v>628</v>
      </c>
      <c r="B659" s="39">
        <v>50.0</v>
      </c>
      <c r="C659" s="39" t="str">
        <f>vlookup(A659,Sheet2!$1:$1000,2,False)</f>
        <v>#REF!</v>
      </c>
      <c r="D659" s="7"/>
      <c r="E659" s="7"/>
      <c r="F659" s="7"/>
      <c r="G659" s="7"/>
      <c r="H659" s="39">
        <v>70.0</v>
      </c>
      <c r="I659" s="39">
        <v>73.0</v>
      </c>
      <c r="J659" s="39">
        <v>70.0</v>
      </c>
      <c r="K659" s="39">
        <v>70.0</v>
      </c>
      <c r="L659" s="39">
        <v>50.0</v>
      </c>
      <c r="M659" s="39">
        <v>50.0</v>
      </c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 t="s">
        <v>629</v>
      </c>
      <c r="B660" s="39">
        <v>16.0</v>
      </c>
      <c r="C660" s="7"/>
      <c r="D660" s="7"/>
      <c r="E660" s="7"/>
      <c r="F660" s="7"/>
      <c r="G660" s="7"/>
      <c r="H660" s="39">
        <v>80.0</v>
      </c>
      <c r="I660" s="39">
        <v>90.0</v>
      </c>
      <c r="J660" s="39">
        <v>74.0</v>
      </c>
      <c r="K660" s="39">
        <v>70.0</v>
      </c>
      <c r="L660" s="39">
        <v>62.0</v>
      </c>
      <c r="M660" s="39">
        <v>10.0</v>
      </c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 t="s">
        <v>630</v>
      </c>
      <c r="B661" s="39">
        <v>52.0</v>
      </c>
      <c r="C661" s="7"/>
      <c r="D661" s="7"/>
      <c r="E661" s="7"/>
      <c r="F661" s="7"/>
      <c r="G661" s="7"/>
      <c r="H661" s="39">
        <v>80.0</v>
      </c>
      <c r="I661" s="39">
        <v>88.0</v>
      </c>
      <c r="J661" s="39">
        <v>80.0</v>
      </c>
      <c r="K661" s="39">
        <v>70.0</v>
      </c>
      <c r="L661" s="39">
        <v>50.0</v>
      </c>
      <c r="M661" s="39">
        <v>50.0</v>
      </c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 t="s">
        <v>631</v>
      </c>
      <c r="B662" s="39">
        <v>50.0</v>
      </c>
      <c r="C662" s="39" t="str">
        <f>vlookup(A662,Sheet2!$1:$1000,2,False)</f>
        <v>#REF!</v>
      </c>
      <c r="D662" s="7"/>
      <c r="E662" s="7"/>
      <c r="F662" s="7"/>
      <c r="G662" s="7"/>
      <c r="H662" s="39">
        <v>84.0</v>
      </c>
      <c r="I662" s="39">
        <v>87.0</v>
      </c>
      <c r="J662" s="39">
        <v>51.0</v>
      </c>
      <c r="K662" s="39">
        <v>72.0</v>
      </c>
      <c r="L662" s="39">
        <v>50.0</v>
      </c>
      <c r="M662" s="39">
        <v>50.0</v>
      </c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 t="s">
        <v>633</v>
      </c>
      <c r="B663" s="39">
        <v>0.0</v>
      </c>
      <c r="C663" s="7"/>
      <c r="D663" s="7"/>
      <c r="E663" s="7"/>
      <c r="F663" s="7"/>
      <c r="G663" s="7"/>
      <c r="H663" s="39">
        <v>70.0</v>
      </c>
      <c r="I663" s="39">
        <v>70.0</v>
      </c>
      <c r="J663" s="39">
        <v>38.0</v>
      </c>
      <c r="K663" s="39">
        <v>51.0</v>
      </c>
      <c r="L663" s="39">
        <v>50.0</v>
      </c>
      <c r="M663" s="39">
        <v>0.0</v>
      </c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 t="s">
        <v>634</v>
      </c>
      <c r="B664" s="39">
        <v>14.0</v>
      </c>
      <c r="C664" s="7"/>
      <c r="D664" s="7"/>
      <c r="E664" s="7"/>
      <c r="F664" s="7"/>
      <c r="G664" s="7"/>
      <c r="H664" s="39">
        <v>80.0</v>
      </c>
      <c r="I664" s="39">
        <v>81.0</v>
      </c>
      <c r="J664" s="39">
        <v>46.0</v>
      </c>
      <c r="K664" s="39">
        <v>70.0</v>
      </c>
      <c r="L664" s="39">
        <v>50.0</v>
      </c>
      <c r="M664" s="39">
        <v>8.0</v>
      </c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 t="s">
        <v>635</v>
      </c>
      <c r="B665" s="39">
        <v>0.0</v>
      </c>
      <c r="C665" s="7"/>
      <c r="D665" s="7"/>
      <c r="E665" s="7"/>
      <c r="F665" s="7"/>
      <c r="G665" s="7"/>
      <c r="H665" s="39">
        <v>70.0</v>
      </c>
      <c r="I665" s="39">
        <v>70.0</v>
      </c>
      <c r="J665" s="39">
        <v>70.0</v>
      </c>
      <c r="K665" s="39">
        <v>70.0</v>
      </c>
      <c r="L665" s="39">
        <v>50.0</v>
      </c>
      <c r="M665" s="39">
        <v>50.0</v>
      </c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 t="s">
        <v>1350</v>
      </c>
      <c r="B666" s="39">
        <v>0.0</v>
      </c>
      <c r="C666" s="7"/>
      <c r="D666" s="7"/>
      <c r="E666" s="7"/>
      <c r="F666" s="7"/>
      <c r="G666" s="7" t="s">
        <v>3778</v>
      </c>
      <c r="H666" s="39">
        <v>80.0</v>
      </c>
      <c r="I666" s="39">
        <v>60.0</v>
      </c>
      <c r="J666" s="39">
        <v>70.0</v>
      </c>
      <c r="K666" s="39">
        <v>20.5</v>
      </c>
      <c r="L666" s="39">
        <v>0.0</v>
      </c>
      <c r="M666" s="39">
        <v>31.0</v>
      </c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 t="s">
        <v>659</v>
      </c>
      <c r="B667" s="39">
        <v>0.0</v>
      </c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 t="s">
        <v>660</v>
      </c>
      <c r="B668" s="39">
        <v>50.0</v>
      </c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 t="s">
        <v>661</v>
      </c>
      <c r="B669" s="39">
        <v>42.0</v>
      </c>
      <c r="C669" s="39" t="str">
        <f>vlookup(A669,Sheet2!$1:$1000,2,False)</f>
        <v>#REF!</v>
      </c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 t="s">
        <v>662</v>
      </c>
      <c r="B670" s="39">
        <v>20.0</v>
      </c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 t="s">
        <v>663</v>
      </c>
      <c r="B671" s="39">
        <v>62.0</v>
      </c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 t="s">
        <v>664</v>
      </c>
      <c r="B672" s="39">
        <v>8.0</v>
      </c>
      <c r="C672" s="39" t="str">
        <f>vlookup(A672,Sheet2!$1:$1000,2,False)</f>
        <v>#REF!</v>
      </c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 t="s">
        <v>665</v>
      </c>
      <c r="B673" s="39">
        <v>58.0</v>
      </c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 t="s">
        <v>666</v>
      </c>
      <c r="B674" s="39">
        <v>52.0</v>
      </c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 t="s">
        <v>667</v>
      </c>
      <c r="B675" s="39">
        <v>50.0</v>
      </c>
      <c r="C675" s="39" t="str">
        <f>vlookup(A675,Sheet2!$1:$1000,2,False)</f>
        <v>#REF!</v>
      </c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 t="s">
        <v>668</v>
      </c>
      <c r="B676" s="39">
        <v>55.0</v>
      </c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 t="s">
        <v>669</v>
      </c>
      <c r="B677" s="39">
        <v>50.0</v>
      </c>
      <c r="C677" s="39" t="str">
        <f>vlookup(A677,Sheet2!$1:$1000,2,False)</f>
        <v>#REF!</v>
      </c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 t="s">
        <v>670</v>
      </c>
      <c r="B678" s="39">
        <v>50.0</v>
      </c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 t="s">
        <v>671</v>
      </c>
      <c r="B679" s="39">
        <v>32.0</v>
      </c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 t="s">
        <v>672</v>
      </c>
      <c r="B680" s="39">
        <v>55.0</v>
      </c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 t="s">
        <v>673</v>
      </c>
      <c r="B681" s="39">
        <v>47.0</v>
      </c>
      <c r="C681" s="39" t="str">
        <f>vlookup(A681,Sheet2!$1:$1000,2,False)</f>
        <v>#REF!</v>
      </c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 t="s">
        <v>674</v>
      </c>
      <c r="B682" s="39">
        <v>22.0</v>
      </c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 t="s">
        <v>675</v>
      </c>
      <c r="B683" s="39">
        <v>51.0</v>
      </c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 t="s">
        <v>676</v>
      </c>
      <c r="B684" s="39">
        <v>58.0</v>
      </c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 t="s">
        <v>677</v>
      </c>
      <c r="B685" s="39">
        <v>45.0</v>
      </c>
      <c r="C685" s="39" t="str">
        <f>vlookup(A685,Sheet2!$1:$1000,2,False)</f>
        <v>#REF!</v>
      </c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 t="s">
        <v>678</v>
      </c>
      <c r="B686" s="39">
        <v>0.0</v>
      </c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 t="s">
        <v>679</v>
      </c>
      <c r="B687" s="39">
        <v>0.0</v>
      </c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 t="s">
        <v>680</v>
      </c>
      <c r="B688" s="39">
        <v>17.0</v>
      </c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 t="s">
        <v>681</v>
      </c>
      <c r="B689" s="39">
        <v>50.0</v>
      </c>
      <c r="C689" s="39" t="str">
        <f t="shared" ref="C689:C690" si="52">vlookup(A689,Sheet2!$1:$1000,2,False)</f>
        <v>#REF!</v>
      </c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 t="s">
        <v>682</v>
      </c>
      <c r="B690" s="39">
        <v>26.0</v>
      </c>
      <c r="C690" s="39" t="str">
        <f t="shared" si="52"/>
        <v>#REF!</v>
      </c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 t="s">
        <v>683</v>
      </c>
      <c r="B691" s="39">
        <v>29.0</v>
      </c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 t="s">
        <v>684</v>
      </c>
      <c r="B692" s="39">
        <v>12.0</v>
      </c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 t="s">
        <v>685</v>
      </c>
      <c r="B693" s="39">
        <v>50.0</v>
      </c>
      <c r="C693" s="39" t="str">
        <f>vlookup(A693,Sheet2!$1:$1000,2,False)</f>
        <v>#REF!</v>
      </c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 t="s">
        <v>686</v>
      </c>
      <c r="B694" s="39">
        <v>70.0</v>
      </c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 t="s">
        <v>687</v>
      </c>
      <c r="B695" s="39">
        <v>11.0</v>
      </c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 t="s">
        <v>688</v>
      </c>
      <c r="B696" s="39">
        <v>50.0</v>
      </c>
      <c r="C696" s="39" t="str">
        <f>vlookup(A696,Sheet2!$1:$1000,2,False)</f>
        <v>#REF!</v>
      </c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 t="s">
        <v>689</v>
      </c>
      <c r="B697" s="39">
        <v>50.0</v>
      </c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 t="s">
        <v>690</v>
      </c>
      <c r="B698" s="39">
        <v>56.0</v>
      </c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 t="s">
        <v>691</v>
      </c>
      <c r="B699" s="39">
        <v>0.0</v>
      </c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 t="s">
        <v>692</v>
      </c>
      <c r="B700" s="39">
        <v>50.0</v>
      </c>
      <c r="C700" s="39" t="str">
        <f>vlookup(A700,Sheet2!$1:$1000,2,False)</f>
        <v>#REF!</v>
      </c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 t="s">
        <v>693</v>
      </c>
      <c r="B701" s="39">
        <v>58.0</v>
      </c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 t="s">
        <v>694</v>
      </c>
      <c r="B702" s="39">
        <v>15.0</v>
      </c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 t="s">
        <v>695</v>
      </c>
      <c r="B703" s="39">
        <v>61.0</v>
      </c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 t="s">
        <v>696</v>
      </c>
      <c r="B704" s="39">
        <v>0.0</v>
      </c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 t="s">
        <v>697</v>
      </c>
      <c r="B705" s="39">
        <v>58.0</v>
      </c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 t="s">
        <v>698</v>
      </c>
      <c r="B706" s="39">
        <v>13.0</v>
      </c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 t="s">
        <v>699</v>
      </c>
      <c r="B707" s="39">
        <v>53.0</v>
      </c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 t="s">
        <v>700</v>
      </c>
      <c r="B708" s="39">
        <v>50.0</v>
      </c>
      <c r="C708" s="39" t="str">
        <f t="shared" ref="C708:C710" si="53">vlookup(A708,Sheet2!$1:$1000,2,False)</f>
        <v>#REF!</v>
      </c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 t="s">
        <v>701</v>
      </c>
      <c r="B709" s="39">
        <v>50.0</v>
      </c>
      <c r="C709" s="39" t="str">
        <f t="shared" si="53"/>
        <v>#REF!</v>
      </c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 t="s">
        <v>703</v>
      </c>
      <c r="B710" s="39">
        <v>34.0</v>
      </c>
      <c r="C710" s="39" t="str">
        <f t="shared" si="53"/>
        <v>#REF!</v>
      </c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 t="s">
        <v>704</v>
      </c>
      <c r="B711" s="39">
        <v>50.0</v>
      </c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 t="s">
        <v>705</v>
      </c>
      <c r="B712" s="39">
        <v>0.0</v>
      </c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 t="s">
        <v>706</v>
      </c>
      <c r="B713" s="39">
        <v>53.0</v>
      </c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 t="s">
        <v>707</v>
      </c>
      <c r="B714" s="39">
        <v>58.0</v>
      </c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 t="s">
        <v>708</v>
      </c>
      <c r="B715" s="39">
        <v>50.0</v>
      </c>
      <c r="C715" s="39" t="str">
        <f t="shared" ref="C715:C716" si="54">vlookup(A715,Sheet2!$1:$1000,2,False)</f>
        <v>#REF!</v>
      </c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 t="s">
        <v>709</v>
      </c>
      <c r="B716" s="39">
        <v>50.0</v>
      </c>
      <c r="C716" s="39" t="str">
        <f t="shared" si="54"/>
        <v>#REF!</v>
      </c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 t="s">
        <v>710</v>
      </c>
      <c r="B717" s="39">
        <v>19.0</v>
      </c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 t="s">
        <v>711</v>
      </c>
      <c r="B718" s="39">
        <v>0.0</v>
      </c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 t="s">
        <v>712</v>
      </c>
      <c r="B719" s="39">
        <v>50.0</v>
      </c>
      <c r="C719" s="39" t="str">
        <f t="shared" ref="C719:C721" si="55">vlookup(A719,Sheet2!$1:$1000,2,False)</f>
        <v>#REF!</v>
      </c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 t="s">
        <v>713</v>
      </c>
      <c r="B720" s="39">
        <v>50.0</v>
      </c>
      <c r="C720" s="39" t="str">
        <f t="shared" si="55"/>
        <v>#REF!</v>
      </c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 t="s">
        <v>714</v>
      </c>
      <c r="B721" s="39">
        <v>50.0</v>
      </c>
      <c r="C721" s="39" t="str">
        <f t="shared" si="55"/>
        <v>#REF!</v>
      </c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 t="s">
        <v>715</v>
      </c>
      <c r="B722" s="39">
        <v>55.0</v>
      </c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 t="s">
        <v>716</v>
      </c>
      <c r="B723" s="39">
        <v>50.0</v>
      </c>
      <c r="C723" s="39" t="str">
        <f>vlookup(A723,Sheet2!$1:$1000,2,False)</f>
        <v>#REF!</v>
      </c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 t="s">
        <v>717</v>
      </c>
      <c r="B724" s="39">
        <v>0.0</v>
      </c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 t="s">
        <v>718</v>
      </c>
      <c r="B725" s="39">
        <v>64.0</v>
      </c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 t="s">
        <v>719</v>
      </c>
      <c r="B726" s="39">
        <v>57.0</v>
      </c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 t="s">
        <v>720</v>
      </c>
      <c r="B727" s="39">
        <v>59.0</v>
      </c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 t="s">
        <v>721</v>
      </c>
      <c r="B728" s="39">
        <v>53.0</v>
      </c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 t="s">
        <v>722</v>
      </c>
      <c r="B729" s="39">
        <v>60.0</v>
      </c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 t="s">
        <v>723</v>
      </c>
      <c r="B730" s="39">
        <v>0.0</v>
      </c>
      <c r="C730" s="7"/>
      <c r="D730" s="7"/>
      <c r="E730" s="7"/>
      <c r="F730" s="7"/>
      <c r="G730" s="7"/>
      <c r="H730" s="7"/>
      <c r="I730" s="39">
        <v>78.0</v>
      </c>
      <c r="J730" s="39">
        <v>5.0</v>
      </c>
      <c r="K730" s="39">
        <v>10.0</v>
      </c>
      <c r="L730" s="39">
        <v>0.0</v>
      </c>
      <c r="M730" s="39">
        <v>0.0</v>
      </c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 t="s">
        <v>724</v>
      </c>
      <c r="B731" s="39">
        <v>22.0</v>
      </c>
      <c r="C731" s="7"/>
      <c r="D731" s="7"/>
      <c r="E731" s="7"/>
      <c r="F731" s="7"/>
      <c r="G731" s="7"/>
      <c r="H731" s="39">
        <v>70.0</v>
      </c>
      <c r="I731" s="39">
        <v>74.0</v>
      </c>
      <c r="J731" s="39">
        <v>70.0</v>
      </c>
      <c r="K731" s="39">
        <v>79.0</v>
      </c>
      <c r="L731" s="39">
        <v>50.0</v>
      </c>
      <c r="M731" s="39">
        <v>67.0</v>
      </c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 t="s">
        <v>726</v>
      </c>
      <c r="B732" s="39">
        <v>50.0</v>
      </c>
      <c r="C732" s="7"/>
      <c r="D732" s="7"/>
      <c r="E732" s="7"/>
      <c r="F732" s="7"/>
      <c r="G732" s="7"/>
      <c r="H732" s="39">
        <v>81.0</v>
      </c>
      <c r="I732" s="39">
        <v>86.0</v>
      </c>
      <c r="J732" s="39">
        <v>87.0</v>
      </c>
      <c r="K732" s="39">
        <v>72.0</v>
      </c>
      <c r="L732" s="39">
        <v>50.0</v>
      </c>
      <c r="M732" s="39">
        <v>21.0</v>
      </c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 t="s">
        <v>727</v>
      </c>
      <c r="B733" s="39">
        <v>41.0</v>
      </c>
      <c r="C733" s="7"/>
      <c r="D733" s="7"/>
      <c r="E733" s="7"/>
      <c r="F733" s="7"/>
      <c r="G733" s="7"/>
      <c r="H733" s="39">
        <v>80.0</v>
      </c>
      <c r="I733" s="39">
        <v>84.0</v>
      </c>
      <c r="J733" s="39">
        <v>20.0</v>
      </c>
      <c r="K733" s="39">
        <v>70.0</v>
      </c>
      <c r="L733" s="39">
        <v>50.0</v>
      </c>
      <c r="M733" s="39">
        <v>15.0</v>
      </c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 t="s">
        <v>728</v>
      </c>
      <c r="B734" s="39">
        <v>50.0</v>
      </c>
      <c r="C734" s="39" t="str">
        <f>vlookup(A734,Sheet2!$1:$1000,2,False)</f>
        <v>#REF!</v>
      </c>
      <c r="D734" s="7"/>
      <c r="E734" s="7"/>
      <c r="F734" s="7"/>
      <c r="G734" s="7"/>
      <c r="H734" s="39">
        <v>78.0</v>
      </c>
      <c r="I734" s="39">
        <v>86.0</v>
      </c>
      <c r="J734" s="39">
        <v>70.0</v>
      </c>
      <c r="K734" s="39">
        <v>70.0</v>
      </c>
      <c r="L734" s="39">
        <v>50.0</v>
      </c>
      <c r="M734" s="39">
        <v>29.0</v>
      </c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 t="s">
        <v>729</v>
      </c>
      <c r="B735" s="39">
        <v>9.0</v>
      </c>
      <c r="C735" s="7"/>
      <c r="D735" s="7"/>
      <c r="E735" s="7"/>
      <c r="F735" s="7"/>
      <c r="G735" s="7"/>
      <c r="H735" s="39">
        <v>74.0</v>
      </c>
      <c r="I735" s="39">
        <v>79.0</v>
      </c>
      <c r="J735" s="39">
        <v>26.0</v>
      </c>
      <c r="K735" s="39">
        <v>70.0</v>
      </c>
      <c r="L735" s="39">
        <v>50.0</v>
      </c>
      <c r="M735" s="39">
        <v>0.0</v>
      </c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 t="s">
        <v>730</v>
      </c>
      <c r="B736" s="39">
        <v>50.0</v>
      </c>
      <c r="C736" s="39" t="str">
        <f t="shared" ref="C736:C737" si="56">vlookup(A736,Sheet2!$1:$1000,2,False)</f>
        <v>#REF!</v>
      </c>
      <c r="D736" s="7"/>
      <c r="E736" s="7"/>
      <c r="F736" s="7"/>
      <c r="G736" s="7"/>
      <c r="H736" s="39">
        <v>79.0</v>
      </c>
      <c r="I736" s="39">
        <v>77.0</v>
      </c>
      <c r="J736" s="39">
        <v>70.0</v>
      </c>
      <c r="K736" s="39">
        <v>73.0</v>
      </c>
      <c r="L736" s="39">
        <v>50.0</v>
      </c>
      <c r="M736" s="39">
        <v>59.0</v>
      </c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 t="s">
        <v>731</v>
      </c>
      <c r="B737" s="39">
        <v>50.0</v>
      </c>
      <c r="C737" s="39" t="str">
        <f t="shared" si="56"/>
        <v>#REF!</v>
      </c>
      <c r="D737" s="7"/>
      <c r="E737" s="7"/>
      <c r="F737" s="7"/>
      <c r="G737" s="7"/>
      <c r="H737" s="39">
        <v>76.0</v>
      </c>
      <c r="I737" s="39">
        <v>87.0</v>
      </c>
      <c r="J737" s="39">
        <v>79.0</v>
      </c>
      <c r="K737" s="39">
        <v>76.0</v>
      </c>
      <c r="L737" s="39">
        <v>50.0</v>
      </c>
      <c r="M737" s="39">
        <v>64.0</v>
      </c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 t="s">
        <v>732</v>
      </c>
      <c r="B738" s="39">
        <v>0.0</v>
      </c>
      <c r="C738" s="7"/>
      <c r="D738" s="7"/>
      <c r="E738" s="7"/>
      <c r="F738" s="7"/>
      <c r="G738" s="7"/>
      <c r="H738" s="39">
        <v>82.0</v>
      </c>
      <c r="I738" s="39">
        <v>85.0</v>
      </c>
      <c r="J738" s="39">
        <v>5.0</v>
      </c>
      <c r="K738" s="39">
        <v>4.0</v>
      </c>
      <c r="L738" s="39">
        <v>27.0</v>
      </c>
      <c r="M738" s="39">
        <v>0.0</v>
      </c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 t="s">
        <v>733</v>
      </c>
      <c r="B739" s="39">
        <v>50.0</v>
      </c>
      <c r="C739" s="39" t="str">
        <f t="shared" ref="C739:C740" si="57">vlookup(A739,Sheet2!$1:$1000,2,False)</f>
        <v>#REF!</v>
      </c>
      <c r="D739" s="7"/>
      <c r="E739" s="7"/>
      <c r="F739" s="7"/>
      <c r="G739" s="7"/>
      <c r="H739" s="39">
        <v>66.0</v>
      </c>
      <c r="I739" s="39">
        <v>69.0</v>
      </c>
      <c r="J739" s="39">
        <v>70.0</v>
      </c>
      <c r="K739" s="39">
        <v>70.0</v>
      </c>
      <c r="L739" s="39">
        <v>50.0</v>
      </c>
      <c r="M739" s="39">
        <v>21.0</v>
      </c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 t="s">
        <v>734</v>
      </c>
      <c r="B740" s="39">
        <v>50.0</v>
      </c>
      <c r="C740" s="39" t="str">
        <f t="shared" si="57"/>
        <v>#REF!</v>
      </c>
      <c r="D740" s="7"/>
      <c r="E740" s="7"/>
      <c r="F740" s="7"/>
      <c r="G740" s="7"/>
      <c r="H740" s="39">
        <v>70.0</v>
      </c>
      <c r="I740" s="39">
        <v>78.0</v>
      </c>
      <c r="J740" s="39">
        <v>70.0</v>
      </c>
      <c r="K740" s="39">
        <v>70.0</v>
      </c>
      <c r="L740" s="39">
        <v>50.0</v>
      </c>
      <c r="M740" s="39">
        <v>5.0</v>
      </c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 t="s">
        <v>735</v>
      </c>
      <c r="B741" s="39">
        <v>50.0</v>
      </c>
      <c r="C741" s="7"/>
      <c r="D741" s="7"/>
      <c r="E741" s="7"/>
      <c r="F741" s="7"/>
      <c r="G741" s="7"/>
      <c r="H741" s="39">
        <v>77.0</v>
      </c>
      <c r="I741" s="39">
        <v>85.0</v>
      </c>
      <c r="J741" s="39">
        <v>71.0</v>
      </c>
      <c r="K741" s="39">
        <v>79.0</v>
      </c>
      <c r="L741" s="39">
        <v>53.0</v>
      </c>
      <c r="M741" s="39">
        <v>50.0</v>
      </c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 t="s">
        <v>736</v>
      </c>
      <c r="B742" s="39">
        <v>51.0</v>
      </c>
      <c r="C742" s="7"/>
      <c r="D742" s="7"/>
      <c r="E742" s="7"/>
      <c r="F742" s="7"/>
      <c r="G742" s="7"/>
      <c r="H742" s="39">
        <v>80.0</v>
      </c>
      <c r="I742" s="39">
        <v>89.0</v>
      </c>
      <c r="J742" s="39">
        <v>81.0</v>
      </c>
      <c r="K742" s="39">
        <v>83.0</v>
      </c>
      <c r="L742" s="39">
        <v>50.0</v>
      </c>
      <c r="M742" s="39">
        <v>50.0</v>
      </c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 t="s">
        <v>737</v>
      </c>
      <c r="B743" s="39">
        <v>61.0</v>
      </c>
      <c r="C743" s="7"/>
      <c r="D743" s="7"/>
      <c r="E743" s="7"/>
      <c r="F743" s="7"/>
      <c r="G743" s="7"/>
      <c r="H743" s="39">
        <v>85.0</v>
      </c>
      <c r="I743" s="39">
        <v>96.0</v>
      </c>
      <c r="J743" s="39">
        <v>77.0</v>
      </c>
      <c r="K743" s="39">
        <v>87.0</v>
      </c>
      <c r="L743" s="39">
        <v>50.0</v>
      </c>
      <c r="M743" s="39">
        <v>53.0</v>
      </c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 t="s">
        <v>738</v>
      </c>
      <c r="B744" s="39">
        <v>6.0</v>
      </c>
      <c r="C744" s="7"/>
      <c r="D744" s="7"/>
      <c r="E744" s="7"/>
      <c r="F744" s="7"/>
      <c r="G744" s="7"/>
      <c r="H744" s="39">
        <v>81.0</v>
      </c>
      <c r="I744" s="39">
        <v>89.0</v>
      </c>
      <c r="J744" s="39">
        <v>77.0</v>
      </c>
      <c r="K744" s="39">
        <v>70.0</v>
      </c>
      <c r="L744" s="39">
        <v>50.0</v>
      </c>
      <c r="M744" s="39">
        <v>36.0</v>
      </c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 t="s">
        <v>739</v>
      </c>
      <c r="B745" s="39">
        <v>50.0</v>
      </c>
      <c r="C745" s="39" t="str">
        <f>vlookup(A745,Sheet2!$1:$1000,2,False)</f>
        <v>#REF!</v>
      </c>
      <c r="D745" s="7"/>
      <c r="E745" s="7"/>
      <c r="F745" s="7"/>
      <c r="G745" s="7"/>
      <c r="H745" s="39">
        <v>73.0</v>
      </c>
      <c r="I745" s="39">
        <v>77.0</v>
      </c>
      <c r="J745" s="39">
        <v>26.0</v>
      </c>
      <c r="K745" s="39">
        <v>70.0</v>
      </c>
      <c r="L745" s="39">
        <v>50.0</v>
      </c>
      <c r="M745" s="39">
        <v>51.0</v>
      </c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 t="s">
        <v>740</v>
      </c>
      <c r="B746" s="39">
        <v>7.0</v>
      </c>
      <c r="C746" s="7"/>
      <c r="D746" s="7"/>
      <c r="E746" s="7"/>
      <c r="F746" s="7"/>
      <c r="G746" s="7"/>
      <c r="H746" s="39">
        <v>71.0</v>
      </c>
      <c r="I746" s="39">
        <v>82.0</v>
      </c>
      <c r="J746" s="39">
        <v>75.0</v>
      </c>
      <c r="K746" s="39">
        <v>70.0</v>
      </c>
      <c r="L746" s="39">
        <v>50.0</v>
      </c>
      <c r="M746" s="39">
        <v>62.0</v>
      </c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 t="s">
        <v>741</v>
      </c>
      <c r="B747" s="39">
        <v>50.0</v>
      </c>
      <c r="C747" s="7"/>
      <c r="D747" s="7"/>
      <c r="E747" s="7"/>
      <c r="F747" s="7"/>
      <c r="G747" s="7"/>
      <c r="H747" s="39">
        <v>91.0</v>
      </c>
      <c r="I747" s="39">
        <v>96.0</v>
      </c>
      <c r="J747" s="39">
        <v>80.0</v>
      </c>
      <c r="K747" s="39">
        <v>90.0</v>
      </c>
      <c r="L747" s="39">
        <v>50.0</v>
      </c>
      <c r="M747" s="39">
        <v>50.0</v>
      </c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 t="s">
        <v>742</v>
      </c>
      <c r="B748" s="39">
        <v>9.0</v>
      </c>
      <c r="C748" s="7"/>
      <c r="D748" s="7"/>
      <c r="E748" s="7"/>
      <c r="F748" s="7"/>
      <c r="G748" s="7"/>
      <c r="H748" s="39">
        <v>65.0</v>
      </c>
      <c r="I748" s="39">
        <v>71.0</v>
      </c>
      <c r="J748" s="39">
        <v>29.0</v>
      </c>
      <c r="K748" s="39">
        <v>20.0</v>
      </c>
      <c r="L748" s="39">
        <v>29.0</v>
      </c>
      <c r="M748" s="39">
        <v>21.0</v>
      </c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 t="s">
        <v>743</v>
      </c>
      <c r="B749" s="39">
        <v>50.0</v>
      </c>
      <c r="C749" s="39" t="str">
        <f>vlookup(A749,Sheet2!$1:$1000,2,False)</f>
        <v>#REF!</v>
      </c>
      <c r="D749" s="7"/>
      <c r="E749" s="7"/>
      <c r="F749" s="7"/>
      <c r="G749" s="7"/>
      <c r="H749" s="39">
        <v>85.0</v>
      </c>
      <c r="I749" s="39">
        <v>95.0</v>
      </c>
      <c r="J749" s="39">
        <v>93.0</v>
      </c>
      <c r="K749" s="39">
        <v>82.0</v>
      </c>
      <c r="L749" s="39">
        <v>50.0</v>
      </c>
      <c r="M749" s="39">
        <v>50.0</v>
      </c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 t="s">
        <v>744</v>
      </c>
      <c r="B750" s="39">
        <v>12.0</v>
      </c>
      <c r="C750" s="7"/>
      <c r="D750" s="7"/>
      <c r="E750" s="7"/>
      <c r="F750" s="7"/>
      <c r="G750" s="7"/>
      <c r="H750" s="39">
        <v>70.0</v>
      </c>
      <c r="I750" s="39">
        <v>84.0</v>
      </c>
      <c r="J750" s="39">
        <v>59.0</v>
      </c>
      <c r="K750" s="39">
        <v>70.0</v>
      </c>
      <c r="L750" s="39">
        <v>50.0</v>
      </c>
      <c r="M750" s="39">
        <v>32.0</v>
      </c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 t="s">
        <v>745</v>
      </c>
      <c r="B751" s="39">
        <v>51.0</v>
      </c>
      <c r="C751" s="7"/>
      <c r="D751" s="7"/>
      <c r="E751" s="7"/>
      <c r="F751" s="7"/>
      <c r="G751" s="7"/>
      <c r="H751" s="39">
        <v>81.0</v>
      </c>
      <c r="I751" s="39">
        <v>84.0</v>
      </c>
      <c r="J751" s="39">
        <v>73.0</v>
      </c>
      <c r="K751" s="39">
        <v>87.0</v>
      </c>
      <c r="L751" s="39">
        <v>50.0</v>
      </c>
      <c r="M751" s="39">
        <v>50.0</v>
      </c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 t="s">
        <v>746</v>
      </c>
      <c r="B752" s="39">
        <v>50.0</v>
      </c>
      <c r="C752" s="39" t="str">
        <f t="shared" ref="C752:C754" si="58">vlookup(A752,Sheet2!$1:$1000,2,False)</f>
        <v>#REF!</v>
      </c>
      <c r="D752" s="7"/>
      <c r="E752" s="7"/>
      <c r="F752" s="7"/>
      <c r="G752" s="7"/>
      <c r="H752" s="39">
        <v>75.0</v>
      </c>
      <c r="I752" s="39">
        <v>84.0</v>
      </c>
      <c r="J752" s="39">
        <v>75.0</v>
      </c>
      <c r="K752" s="39">
        <v>80.0</v>
      </c>
      <c r="L752" s="39">
        <v>69.0</v>
      </c>
      <c r="M752" s="39">
        <v>37.0</v>
      </c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 t="s">
        <v>747</v>
      </c>
      <c r="B753" s="39">
        <v>50.0</v>
      </c>
      <c r="C753" s="39" t="str">
        <f t="shared" si="58"/>
        <v>#REF!</v>
      </c>
      <c r="D753" s="7"/>
      <c r="E753" s="7"/>
      <c r="F753" s="7"/>
      <c r="G753" s="7"/>
      <c r="H753" s="39">
        <v>71.0</v>
      </c>
      <c r="I753" s="39">
        <v>77.0</v>
      </c>
      <c r="J753" s="39">
        <v>71.0</v>
      </c>
      <c r="K753" s="39">
        <v>74.0</v>
      </c>
      <c r="L753" s="39">
        <v>50.0</v>
      </c>
      <c r="M753" s="39">
        <v>24.0</v>
      </c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 t="s">
        <v>748</v>
      </c>
      <c r="B754" s="39">
        <v>50.0</v>
      </c>
      <c r="C754" s="39" t="str">
        <f t="shared" si="58"/>
        <v>#REF!</v>
      </c>
      <c r="D754" s="7"/>
      <c r="E754" s="7"/>
      <c r="F754" s="7"/>
      <c r="G754" s="7"/>
      <c r="H754" s="39">
        <v>70.0</v>
      </c>
      <c r="I754" s="39">
        <v>76.0</v>
      </c>
      <c r="J754" s="39">
        <v>70.0</v>
      </c>
      <c r="K754" s="39">
        <v>70.0</v>
      </c>
      <c r="L754" s="39">
        <v>50.0</v>
      </c>
      <c r="M754" s="39">
        <v>50.0</v>
      </c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 t="s">
        <v>749</v>
      </c>
      <c r="B755" s="39">
        <v>0.0</v>
      </c>
      <c r="C755" s="7"/>
      <c r="D755" s="7"/>
      <c r="E755" s="7"/>
      <c r="F755" s="7"/>
      <c r="G755" s="7"/>
      <c r="H755" s="39">
        <v>82.0</v>
      </c>
      <c r="I755" s="39">
        <v>88.0</v>
      </c>
      <c r="J755" s="39">
        <v>65.0</v>
      </c>
      <c r="K755" s="39">
        <v>72.0</v>
      </c>
      <c r="L755" s="39">
        <v>51.0</v>
      </c>
      <c r="M755" s="39">
        <v>19.0</v>
      </c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 t="s">
        <v>750</v>
      </c>
      <c r="B756" s="39">
        <v>59.0</v>
      </c>
      <c r="C756" s="7"/>
      <c r="D756" s="7"/>
      <c r="E756" s="7"/>
      <c r="F756" s="7"/>
      <c r="G756" s="7"/>
      <c r="H756" s="39">
        <v>81.0</v>
      </c>
      <c r="I756" s="39">
        <v>91.0</v>
      </c>
      <c r="J756" s="39">
        <v>77.0</v>
      </c>
      <c r="K756" s="39">
        <v>86.0</v>
      </c>
      <c r="L756" s="39">
        <v>60.0</v>
      </c>
      <c r="M756" s="39">
        <v>43.0</v>
      </c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 t="s">
        <v>751</v>
      </c>
      <c r="B757" s="39">
        <v>76.0</v>
      </c>
      <c r="C757" s="7"/>
      <c r="D757" s="7"/>
      <c r="E757" s="7"/>
      <c r="F757" s="7"/>
      <c r="G757" s="7"/>
      <c r="H757" s="39">
        <v>92.0</v>
      </c>
      <c r="I757" s="39">
        <v>92.0</v>
      </c>
      <c r="J757" s="39">
        <v>79.0</v>
      </c>
      <c r="K757" s="39">
        <v>83.0</v>
      </c>
      <c r="L757" s="39">
        <v>63.0</v>
      </c>
      <c r="M757" s="39">
        <v>96.0</v>
      </c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 t="s">
        <v>752</v>
      </c>
      <c r="B758" s="39">
        <v>71.0</v>
      </c>
      <c r="C758" s="7"/>
      <c r="D758" s="7"/>
      <c r="E758" s="7"/>
      <c r="F758" s="7"/>
      <c r="G758" s="7"/>
      <c r="H758" s="39">
        <v>70.0</v>
      </c>
      <c r="I758" s="39">
        <v>94.0</v>
      </c>
      <c r="J758" s="39">
        <v>87.0</v>
      </c>
      <c r="K758" s="39">
        <v>72.0</v>
      </c>
      <c r="L758" s="39">
        <v>70.0</v>
      </c>
      <c r="M758" s="39">
        <v>70.0</v>
      </c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 t="s">
        <v>753</v>
      </c>
      <c r="B759" s="39">
        <v>50.0</v>
      </c>
      <c r="C759" s="39" t="str">
        <f t="shared" ref="C759:C761" si="59">vlookup(A759,Sheet2!$1:$1000,2,False)</f>
        <v>#REF!</v>
      </c>
      <c r="D759" s="7"/>
      <c r="E759" s="7"/>
      <c r="F759" s="7"/>
      <c r="G759" s="7"/>
      <c r="H759" s="39">
        <v>75.0</v>
      </c>
      <c r="I759" s="39">
        <v>78.0</v>
      </c>
      <c r="J759" s="39">
        <v>70.0</v>
      </c>
      <c r="K759" s="39">
        <v>70.0</v>
      </c>
      <c r="L759" s="39">
        <v>50.0</v>
      </c>
      <c r="M759" s="39">
        <v>50.0</v>
      </c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 t="s">
        <v>754</v>
      </c>
      <c r="B760" s="39">
        <v>50.0</v>
      </c>
      <c r="C760" s="39" t="str">
        <f t="shared" si="59"/>
        <v>#REF!</v>
      </c>
      <c r="D760" s="7"/>
      <c r="E760" s="7"/>
      <c r="F760" s="7"/>
      <c r="G760" s="7"/>
      <c r="H760" s="39">
        <v>71.0</v>
      </c>
      <c r="I760" s="39">
        <v>80.0</v>
      </c>
      <c r="J760" s="39">
        <v>78.0</v>
      </c>
      <c r="K760" s="39">
        <v>73.0</v>
      </c>
      <c r="L760" s="39">
        <v>50.0</v>
      </c>
      <c r="M760" s="39">
        <v>53.0</v>
      </c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 t="s">
        <v>755</v>
      </c>
      <c r="B761" s="39">
        <v>50.0</v>
      </c>
      <c r="C761" s="39" t="str">
        <f t="shared" si="59"/>
        <v>#REF!</v>
      </c>
      <c r="D761" s="7"/>
      <c r="E761" s="7"/>
      <c r="F761" s="7"/>
      <c r="G761" s="7"/>
      <c r="H761" s="39">
        <v>70.0</v>
      </c>
      <c r="I761" s="39">
        <v>81.0</v>
      </c>
      <c r="J761" s="39">
        <v>70.0</v>
      </c>
      <c r="K761" s="39">
        <v>72.0</v>
      </c>
      <c r="L761" s="39">
        <v>50.0</v>
      </c>
      <c r="M761" s="39">
        <v>38.0</v>
      </c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 t="s">
        <v>756</v>
      </c>
      <c r="B762" s="39">
        <v>10.0</v>
      </c>
      <c r="C762" s="7"/>
      <c r="D762" s="7"/>
      <c r="E762" s="7"/>
      <c r="F762" s="7"/>
      <c r="G762" s="7"/>
      <c r="H762" s="39">
        <v>66.0</v>
      </c>
      <c r="I762" s="39">
        <v>78.0</v>
      </c>
      <c r="J762" s="39">
        <v>71.0</v>
      </c>
      <c r="K762" s="39">
        <v>70.0</v>
      </c>
      <c r="L762" s="39">
        <v>50.0</v>
      </c>
      <c r="M762" s="39">
        <v>50.0</v>
      </c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 t="s">
        <v>757</v>
      </c>
      <c r="B763" s="39">
        <v>6.0</v>
      </c>
      <c r="C763" s="7"/>
      <c r="D763" s="7"/>
      <c r="E763" s="7"/>
      <c r="F763" s="7"/>
      <c r="G763" s="7"/>
      <c r="H763" s="39">
        <v>74.0</v>
      </c>
      <c r="I763" s="39">
        <v>81.0</v>
      </c>
      <c r="J763" s="39">
        <v>81.0</v>
      </c>
      <c r="K763" s="39">
        <v>70.0</v>
      </c>
      <c r="L763" s="39">
        <v>50.0</v>
      </c>
      <c r="M763" s="39">
        <v>39.0</v>
      </c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 t="s">
        <v>759</v>
      </c>
      <c r="B764" s="39">
        <v>50.0</v>
      </c>
      <c r="C764" s="7"/>
      <c r="D764" s="7"/>
      <c r="E764" s="7"/>
      <c r="F764" s="7"/>
      <c r="G764" s="7"/>
      <c r="H764" s="39">
        <v>86.0</v>
      </c>
      <c r="I764" s="39">
        <v>87.0</v>
      </c>
      <c r="J764" s="39">
        <v>70.0</v>
      </c>
      <c r="K764" s="39">
        <v>70.0</v>
      </c>
      <c r="L764" s="39">
        <v>50.0</v>
      </c>
      <c r="M764" s="39">
        <v>50.0</v>
      </c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 t="s">
        <v>760</v>
      </c>
      <c r="B765" s="39">
        <v>0.0</v>
      </c>
      <c r="C765" s="7"/>
      <c r="D765" s="7"/>
      <c r="E765" s="7"/>
      <c r="F765" s="7"/>
      <c r="G765" s="7"/>
      <c r="H765" s="39">
        <v>76.0</v>
      </c>
      <c r="I765" s="39">
        <v>85.0</v>
      </c>
      <c r="J765" s="39">
        <v>70.0</v>
      </c>
      <c r="K765" s="39">
        <v>70.0</v>
      </c>
      <c r="L765" s="39">
        <v>50.0</v>
      </c>
      <c r="M765" s="39">
        <v>50.0</v>
      </c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 t="s">
        <v>761</v>
      </c>
      <c r="B766" s="39">
        <v>50.0</v>
      </c>
      <c r="C766" s="39" t="str">
        <f>vlookup(A766,Sheet2!$1:$1000,2,False)</f>
        <v>#REF!</v>
      </c>
      <c r="D766" s="7"/>
      <c r="E766" s="7"/>
      <c r="F766" s="7"/>
      <c r="G766" s="7"/>
      <c r="H766" s="39">
        <v>77.0</v>
      </c>
      <c r="I766" s="39">
        <v>85.0</v>
      </c>
      <c r="J766" s="39">
        <v>70.0</v>
      </c>
      <c r="K766" s="39">
        <v>70.0</v>
      </c>
      <c r="L766" s="39">
        <v>50.0</v>
      </c>
      <c r="M766" s="39">
        <v>50.0</v>
      </c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 t="s">
        <v>762</v>
      </c>
      <c r="B767" s="39">
        <v>19.0</v>
      </c>
      <c r="C767" s="7"/>
      <c r="D767" s="7"/>
      <c r="E767" s="7"/>
      <c r="F767" s="7"/>
      <c r="G767" s="7"/>
      <c r="H767" s="39">
        <v>75.0</v>
      </c>
      <c r="I767" s="39">
        <v>78.0</v>
      </c>
      <c r="J767" s="39">
        <v>21.0</v>
      </c>
      <c r="K767" s="39">
        <v>70.0</v>
      </c>
      <c r="L767" s="39">
        <v>50.0</v>
      </c>
      <c r="M767" s="39">
        <v>41.0</v>
      </c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 t="s">
        <v>763</v>
      </c>
      <c r="B768" s="39">
        <v>50.0</v>
      </c>
      <c r="C768" s="39" t="str">
        <f>vlookup(A768,Sheet2!$1:$1000,2,False)</f>
        <v>#REF!</v>
      </c>
      <c r="D768" s="7"/>
      <c r="E768" s="7"/>
      <c r="F768" s="7"/>
      <c r="G768" s="7"/>
      <c r="H768" s="39">
        <v>83.0</v>
      </c>
      <c r="I768" s="39">
        <v>89.0</v>
      </c>
      <c r="J768" s="39">
        <v>87.0</v>
      </c>
      <c r="K768" s="39">
        <v>74.0</v>
      </c>
      <c r="L768" s="39">
        <v>50.0</v>
      </c>
      <c r="M768" s="39">
        <v>52.0</v>
      </c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 t="s">
        <v>764</v>
      </c>
      <c r="B769" s="39">
        <v>58.0</v>
      </c>
      <c r="C769" s="7"/>
      <c r="D769" s="7"/>
      <c r="E769" s="7"/>
      <c r="F769" s="7"/>
      <c r="G769" s="7"/>
      <c r="H769" s="39">
        <v>74.0</v>
      </c>
      <c r="I769" s="39">
        <v>83.0</v>
      </c>
      <c r="J769" s="39">
        <v>75.0</v>
      </c>
      <c r="K769" s="39">
        <v>73.0</v>
      </c>
      <c r="L769" s="39">
        <v>50.0</v>
      </c>
      <c r="M769" s="39">
        <v>50.0</v>
      </c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 t="s">
        <v>765</v>
      </c>
      <c r="B770" s="39">
        <v>76.0</v>
      </c>
      <c r="C770" s="7"/>
      <c r="D770" s="7"/>
      <c r="E770" s="7"/>
      <c r="F770" s="7"/>
      <c r="G770" s="7"/>
      <c r="H770" s="39">
        <v>80.0</v>
      </c>
      <c r="I770" s="39">
        <v>93.0</v>
      </c>
      <c r="J770" s="39">
        <v>88.0</v>
      </c>
      <c r="K770" s="39">
        <v>86.0</v>
      </c>
      <c r="L770" s="39">
        <v>54.0</v>
      </c>
      <c r="M770" s="39">
        <v>66.0</v>
      </c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 t="s">
        <v>766</v>
      </c>
      <c r="B771" s="39">
        <v>50.0</v>
      </c>
      <c r="C771" s="7"/>
      <c r="D771" s="7"/>
      <c r="E771" s="7"/>
      <c r="F771" s="7"/>
      <c r="G771" s="7"/>
      <c r="H771" s="39">
        <v>71.0</v>
      </c>
      <c r="I771" s="39">
        <v>72.0</v>
      </c>
      <c r="J771" s="39">
        <v>71.0</v>
      </c>
      <c r="K771" s="39">
        <v>70.0</v>
      </c>
      <c r="L771" s="39">
        <v>50.0</v>
      </c>
      <c r="M771" s="39">
        <v>67.0</v>
      </c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 t="s">
        <v>767</v>
      </c>
      <c r="B772" s="39">
        <v>50.0</v>
      </c>
      <c r="C772" s="39" t="str">
        <f>vlookup(A772,Sheet2!$1:$1000,2,False)</f>
        <v>#REF!</v>
      </c>
      <c r="D772" s="7"/>
      <c r="E772" s="7"/>
      <c r="F772" s="7"/>
      <c r="G772" s="7"/>
      <c r="H772" s="39">
        <v>70.0</v>
      </c>
      <c r="I772" s="39">
        <v>70.0</v>
      </c>
      <c r="J772" s="39">
        <v>70.0</v>
      </c>
      <c r="K772" s="39">
        <v>70.0</v>
      </c>
      <c r="L772" s="39">
        <v>50.0</v>
      </c>
      <c r="M772" s="39">
        <v>71.0</v>
      </c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 t="s">
        <v>768</v>
      </c>
      <c r="B773" s="39">
        <v>59.0</v>
      </c>
      <c r="C773" s="7"/>
      <c r="D773" s="7"/>
      <c r="E773" s="7"/>
      <c r="F773" s="7"/>
      <c r="G773" s="7"/>
      <c r="H773" s="39">
        <v>74.0</v>
      </c>
      <c r="I773" s="39">
        <v>74.0</v>
      </c>
      <c r="J773" s="39">
        <v>70.0</v>
      </c>
      <c r="K773" s="39">
        <v>70.0</v>
      </c>
      <c r="L773" s="39">
        <v>50.0</v>
      </c>
      <c r="M773" s="39">
        <v>57.0</v>
      </c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 t="s">
        <v>769</v>
      </c>
      <c r="B774" s="39">
        <v>67.0</v>
      </c>
      <c r="C774" s="7"/>
      <c r="D774" s="7"/>
      <c r="E774" s="7"/>
      <c r="F774" s="7"/>
      <c r="G774" s="7"/>
      <c r="H774" s="39">
        <v>71.0</v>
      </c>
      <c r="I774" s="39">
        <v>83.0</v>
      </c>
      <c r="J774" s="39">
        <v>88.0</v>
      </c>
      <c r="K774" s="39">
        <v>78.0</v>
      </c>
      <c r="L774" s="39">
        <v>66.0</v>
      </c>
      <c r="M774" s="39">
        <v>59.0</v>
      </c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 t="s">
        <v>770</v>
      </c>
      <c r="B775" s="39">
        <v>67.0</v>
      </c>
      <c r="C775" s="7"/>
      <c r="D775" s="7"/>
      <c r="E775" s="7"/>
      <c r="F775" s="7"/>
      <c r="G775" s="7"/>
      <c r="H775" s="39">
        <v>92.0</v>
      </c>
      <c r="I775" s="39">
        <v>89.0</v>
      </c>
      <c r="J775" s="39">
        <v>90.0</v>
      </c>
      <c r="K775" s="39">
        <v>70.0</v>
      </c>
      <c r="L775" s="39">
        <v>50.0</v>
      </c>
      <c r="M775" s="39">
        <v>63.0</v>
      </c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 t="s">
        <v>771</v>
      </c>
      <c r="B776" s="39">
        <v>72.0</v>
      </c>
      <c r="C776" s="7"/>
      <c r="D776" s="7"/>
      <c r="E776" s="7"/>
      <c r="F776" s="7"/>
      <c r="G776" s="7"/>
      <c r="H776" s="39">
        <v>76.0</v>
      </c>
      <c r="I776" s="39">
        <v>90.0</v>
      </c>
      <c r="J776" s="39">
        <v>81.0</v>
      </c>
      <c r="K776" s="39">
        <v>74.0</v>
      </c>
      <c r="L776" s="39">
        <v>63.0</v>
      </c>
      <c r="M776" s="39">
        <v>62.0</v>
      </c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 t="s">
        <v>773</v>
      </c>
      <c r="B777" s="39">
        <v>72.0</v>
      </c>
      <c r="C777" s="7"/>
      <c r="D777" s="7"/>
      <c r="E777" s="7"/>
      <c r="F777" s="7"/>
      <c r="G777" s="7"/>
      <c r="H777" s="39">
        <v>70.0</v>
      </c>
      <c r="I777" s="39">
        <v>72.0</v>
      </c>
      <c r="J777" s="39">
        <v>70.0</v>
      </c>
      <c r="K777" s="39">
        <v>73.0</v>
      </c>
      <c r="L777" s="39">
        <v>50.0</v>
      </c>
      <c r="M777" s="39">
        <v>58.0</v>
      </c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 t="s">
        <v>774</v>
      </c>
      <c r="B778" s="39">
        <v>76.0</v>
      </c>
      <c r="C778" s="7"/>
      <c r="D778" s="7"/>
      <c r="E778" s="7"/>
      <c r="F778" s="7"/>
      <c r="G778" s="7"/>
      <c r="H778" s="39">
        <v>89.0</v>
      </c>
      <c r="I778" s="39">
        <v>93.0</v>
      </c>
      <c r="J778" s="39">
        <v>85.0</v>
      </c>
      <c r="K778" s="39">
        <v>80.0</v>
      </c>
      <c r="L778" s="39">
        <v>74.0</v>
      </c>
      <c r="M778" s="39">
        <v>64.0</v>
      </c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 t="s">
        <v>775</v>
      </c>
      <c r="B779" s="39">
        <v>10.0</v>
      </c>
      <c r="C779" s="7"/>
      <c r="D779" s="7"/>
      <c r="E779" s="7"/>
      <c r="F779" s="7"/>
      <c r="G779" s="7"/>
      <c r="H779" s="39">
        <v>85.0</v>
      </c>
      <c r="I779" s="39">
        <v>89.0</v>
      </c>
      <c r="J779" s="39">
        <v>78.0</v>
      </c>
      <c r="K779" s="39">
        <v>70.0</v>
      </c>
      <c r="L779" s="39">
        <v>50.0</v>
      </c>
      <c r="M779" s="39">
        <v>50.0</v>
      </c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 t="s">
        <v>776</v>
      </c>
      <c r="B780" s="39">
        <v>78.0</v>
      </c>
      <c r="C780" s="7"/>
      <c r="D780" s="7"/>
      <c r="E780" s="7"/>
      <c r="F780" s="7"/>
      <c r="G780" s="7"/>
      <c r="H780" s="39">
        <v>70.0</v>
      </c>
      <c r="I780" s="39">
        <v>72.0</v>
      </c>
      <c r="J780" s="39">
        <v>70.0</v>
      </c>
      <c r="K780" s="39">
        <v>75.0</v>
      </c>
      <c r="L780" s="39">
        <v>50.0</v>
      </c>
      <c r="M780" s="39">
        <v>50.0</v>
      </c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 t="s">
        <v>777</v>
      </c>
      <c r="B781" s="39">
        <v>13.0</v>
      </c>
      <c r="C781" s="39" t="str">
        <f>vlookup(A781,Sheet2!$1:$1000,2,False)</f>
        <v>#REF!</v>
      </c>
      <c r="D781" s="7"/>
      <c r="E781" s="7"/>
      <c r="F781" s="7"/>
      <c r="G781" s="7"/>
      <c r="H781" s="39">
        <v>76.0</v>
      </c>
      <c r="I781" s="39">
        <v>80.0</v>
      </c>
      <c r="J781" s="39">
        <v>70.0</v>
      </c>
      <c r="K781" s="39">
        <v>70.0</v>
      </c>
      <c r="L781" s="39">
        <v>50.0</v>
      </c>
      <c r="M781" s="39">
        <v>31.0</v>
      </c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 t="s">
        <v>778</v>
      </c>
      <c r="B782" s="39">
        <v>69.0</v>
      </c>
      <c r="C782" s="7"/>
      <c r="D782" s="7"/>
      <c r="E782" s="7"/>
      <c r="F782" s="7"/>
      <c r="G782" s="7"/>
      <c r="H782" s="39">
        <v>78.0</v>
      </c>
      <c r="I782" s="39">
        <v>85.0</v>
      </c>
      <c r="J782" s="39">
        <v>77.0</v>
      </c>
      <c r="K782" s="39">
        <v>70.0</v>
      </c>
      <c r="L782" s="39">
        <v>50.0</v>
      </c>
      <c r="M782" s="39">
        <v>53.0</v>
      </c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 t="s">
        <v>779</v>
      </c>
      <c r="B783" s="39">
        <v>65.0</v>
      </c>
      <c r="C783" s="7"/>
      <c r="D783" s="7"/>
      <c r="E783" s="7"/>
      <c r="F783" s="7"/>
      <c r="G783" s="7"/>
      <c r="H783" s="39">
        <v>87.0</v>
      </c>
      <c r="I783" s="39">
        <v>89.0</v>
      </c>
      <c r="J783" s="39">
        <v>70.0</v>
      </c>
      <c r="K783" s="39">
        <v>79.0</v>
      </c>
      <c r="L783" s="39">
        <v>50.0</v>
      </c>
      <c r="M783" s="39">
        <v>31.0</v>
      </c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 t="s">
        <v>780</v>
      </c>
      <c r="B784" s="39">
        <v>34.0</v>
      </c>
      <c r="C784" s="7"/>
      <c r="D784" s="7"/>
      <c r="E784" s="7"/>
      <c r="F784" s="7"/>
      <c r="G784" s="7"/>
      <c r="H784" s="39">
        <v>80.0</v>
      </c>
      <c r="I784" s="39">
        <v>78.0</v>
      </c>
      <c r="J784" s="39">
        <v>70.0</v>
      </c>
      <c r="K784" s="39">
        <v>70.0</v>
      </c>
      <c r="L784" s="39">
        <v>50.0</v>
      </c>
      <c r="M784" s="39">
        <v>32.0</v>
      </c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 t="s">
        <v>781</v>
      </c>
      <c r="B785" s="39">
        <v>75.0</v>
      </c>
      <c r="C785" s="7"/>
      <c r="D785" s="7"/>
      <c r="E785" s="7"/>
      <c r="F785" s="7"/>
      <c r="G785" s="7"/>
      <c r="H785" s="39">
        <v>93.0</v>
      </c>
      <c r="I785" s="39">
        <v>92.0</v>
      </c>
      <c r="J785" s="39">
        <v>74.0</v>
      </c>
      <c r="K785" s="39">
        <v>78.0</v>
      </c>
      <c r="L785" s="39">
        <v>50.0</v>
      </c>
      <c r="M785" s="39">
        <v>60.0</v>
      </c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 t="s">
        <v>782</v>
      </c>
      <c r="B786" s="39">
        <v>82.0</v>
      </c>
      <c r="C786" s="7"/>
      <c r="D786" s="7"/>
      <c r="E786" s="7"/>
      <c r="F786" s="7"/>
      <c r="G786" s="7"/>
      <c r="H786" s="39">
        <v>77.0</v>
      </c>
      <c r="I786" s="39">
        <v>88.0</v>
      </c>
      <c r="J786" s="39">
        <v>80.0</v>
      </c>
      <c r="K786" s="39">
        <v>76.0</v>
      </c>
      <c r="L786" s="39">
        <v>72.0</v>
      </c>
      <c r="M786" s="39">
        <v>61.0</v>
      </c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 t="s">
        <v>783</v>
      </c>
      <c r="B787" s="39">
        <v>75.0</v>
      </c>
      <c r="C787" s="7"/>
      <c r="D787" s="7"/>
      <c r="E787" s="7"/>
      <c r="F787" s="7"/>
      <c r="G787" s="7"/>
      <c r="H787" s="39">
        <v>73.0</v>
      </c>
      <c r="I787" s="39">
        <v>78.0</v>
      </c>
      <c r="J787" s="39">
        <v>83.0</v>
      </c>
      <c r="K787" s="39">
        <v>73.0</v>
      </c>
      <c r="L787" s="39">
        <v>50.0</v>
      </c>
      <c r="M787" s="39">
        <v>66.0</v>
      </c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 t="s">
        <v>784</v>
      </c>
      <c r="B788" s="39">
        <v>65.0</v>
      </c>
      <c r="C788" s="7"/>
      <c r="D788" s="7"/>
      <c r="E788" s="7"/>
      <c r="F788" s="7"/>
      <c r="G788" s="7"/>
      <c r="H788" s="39">
        <v>75.0</v>
      </c>
      <c r="I788" s="39">
        <v>70.0</v>
      </c>
      <c r="J788" s="39">
        <v>70.0</v>
      </c>
      <c r="K788" s="39">
        <v>70.0</v>
      </c>
      <c r="L788" s="39">
        <v>50.0</v>
      </c>
      <c r="M788" s="39">
        <v>50.0</v>
      </c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 t="s">
        <v>785</v>
      </c>
      <c r="B789" s="39">
        <v>64.0</v>
      </c>
      <c r="C789" s="7"/>
      <c r="D789" s="7"/>
      <c r="E789" s="7"/>
      <c r="F789" s="7"/>
      <c r="G789" s="7"/>
      <c r="H789" s="39">
        <v>71.0</v>
      </c>
      <c r="I789" s="39">
        <v>82.0</v>
      </c>
      <c r="J789" s="39">
        <v>71.0</v>
      </c>
      <c r="K789" s="39">
        <v>70.0</v>
      </c>
      <c r="L789" s="39">
        <v>50.0</v>
      </c>
      <c r="M789" s="39">
        <v>30.0</v>
      </c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 t="s">
        <v>786</v>
      </c>
      <c r="B790" s="39">
        <v>62.0</v>
      </c>
      <c r="C790" s="7"/>
      <c r="D790" s="7"/>
      <c r="E790" s="7"/>
      <c r="F790" s="7"/>
      <c r="G790" s="7"/>
      <c r="H790" s="39">
        <v>74.0</v>
      </c>
      <c r="I790" s="39">
        <v>78.0</v>
      </c>
      <c r="J790" s="39">
        <v>70.0</v>
      </c>
      <c r="K790" s="39">
        <v>70.0</v>
      </c>
      <c r="L790" s="39">
        <v>50.0</v>
      </c>
      <c r="M790" s="39">
        <v>23.0</v>
      </c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 t="s">
        <v>787</v>
      </c>
      <c r="B791" s="39">
        <v>50.0</v>
      </c>
      <c r="C791" s="39" t="str">
        <f>vlookup(A791,Sheet2!$1:$1000,2,False)</f>
        <v>#REF!</v>
      </c>
      <c r="D791" s="7"/>
      <c r="E791" s="7"/>
      <c r="F791" s="7"/>
      <c r="G791" s="7"/>
      <c r="H791" s="39">
        <v>71.0</v>
      </c>
      <c r="I791" s="39">
        <v>80.0</v>
      </c>
      <c r="J791" s="39">
        <v>73.0</v>
      </c>
      <c r="K791" s="39">
        <v>77.0</v>
      </c>
      <c r="L791" s="39">
        <v>50.0</v>
      </c>
      <c r="M791" s="39">
        <v>29.0</v>
      </c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 t="s">
        <v>788</v>
      </c>
      <c r="B792" s="39">
        <v>60.0</v>
      </c>
      <c r="C792" s="7"/>
      <c r="D792" s="7"/>
      <c r="E792" s="7"/>
      <c r="F792" s="7"/>
      <c r="G792" s="7"/>
      <c r="H792" s="39">
        <v>80.0</v>
      </c>
      <c r="I792" s="39">
        <v>93.0</v>
      </c>
      <c r="J792" s="39">
        <v>83.0</v>
      </c>
      <c r="K792" s="39">
        <v>84.0</v>
      </c>
      <c r="L792" s="39">
        <v>55.0</v>
      </c>
      <c r="M792" s="39">
        <v>50.0</v>
      </c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 t="s">
        <v>789</v>
      </c>
      <c r="B793" s="39">
        <v>15.0</v>
      </c>
      <c r="C793" s="7"/>
      <c r="D793" s="7"/>
      <c r="E793" s="7"/>
      <c r="F793" s="7"/>
      <c r="G793" s="7"/>
      <c r="H793" s="39">
        <v>70.0</v>
      </c>
      <c r="I793" s="39">
        <v>82.0</v>
      </c>
      <c r="J793" s="39">
        <v>73.0</v>
      </c>
      <c r="K793" s="39">
        <v>70.0</v>
      </c>
      <c r="L793" s="39">
        <v>50.0</v>
      </c>
      <c r="M793" s="39">
        <v>37.0</v>
      </c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 t="s">
        <v>790</v>
      </c>
      <c r="B794" s="39">
        <v>50.0</v>
      </c>
      <c r="C794" s="39" t="str">
        <f>vlookup(A794,Sheet2!$1:$1000,2,False)</f>
        <v>#REF!</v>
      </c>
      <c r="D794" s="7"/>
      <c r="E794" s="7"/>
      <c r="F794" s="7"/>
      <c r="G794" s="7"/>
      <c r="H794" s="39">
        <v>70.0</v>
      </c>
      <c r="I794" s="39">
        <v>75.0</v>
      </c>
      <c r="J794" s="39">
        <v>70.0</v>
      </c>
      <c r="K794" s="39">
        <v>72.0</v>
      </c>
      <c r="L794" s="39">
        <v>50.0</v>
      </c>
      <c r="M794" s="39">
        <v>26.0</v>
      </c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 t="s">
        <v>791</v>
      </c>
      <c r="B795" s="39">
        <v>50.0</v>
      </c>
      <c r="C795" s="7"/>
      <c r="D795" s="7"/>
      <c r="E795" s="7"/>
      <c r="F795" s="7"/>
      <c r="G795" s="7"/>
      <c r="H795" s="39">
        <v>72.0</v>
      </c>
      <c r="I795" s="39">
        <v>85.0</v>
      </c>
      <c r="J795" s="39">
        <v>74.0</v>
      </c>
      <c r="K795" s="39">
        <v>70.0</v>
      </c>
      <c r="L795" s="39">
        <v>50.0</v>
      </c>
      <c r="M795" s="39">
        <v>50.0</v>
      </c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 t="s">
        <v>792</v>
      </c>
      <c r="B796" s="39">
        <v>50.0</v>
      </c>
      <c r="C796" s="39" t="str">
        <f>vlookup(A796,Sheet2!$1:$1000,2,False)</f>
        <v>#REF!</v>
      </c>
      <c r="D796" s="7"/>
      <c r="E796" s="7"/>
      <c r="F796" s="7"/>
      <c r="G796" s="7"/>
      <c r="H796" s="39">
        <v>70.0</v>
      </c>
      <c r="I796" s="39">
        <v>87.0</v>
      </c>
      <c r="J796" s="39">
        <v>70.0</v>
      </c>
      <c r="K796" s="39">
        <v>71.0</v>
      </c>
      <c r="L796" s="39">
        <v>50.0</v>
      </c>
      <c r="M796" s="39">
        <v>58.0</v>
      </c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 t="s">
        <v>793</v>
      </c>
      <c r="B797" s="39">
        <v>45.0</v>
      </c>
      <c r="C797" s="7"/>
      <c r="D797" s="7"/>
      <c r="E797" s="7"/>
      <c r="F797" s="7"/>
      <c r="G797" s="7"/>
      <c r="H797" s="39">
        <v>81.0</v>
      </c>
      <c r="I797" s="39">
        <v>91.0</v>
      </c>
      <c r="J797" s="39">
        <v>70.0</v>
      </c>
      <c r="K797" s="39">
        <v>79.0</v>
      </c>
      <c r="L797" s="39">
        <v>54.0</v>
      </c>
      <c r="M797" s="39">
        <v>50.0</v>
      </c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 t="s">
        <v>794</v>
      </c>
      <c r="B798" s="39">
        <v>56.0</v>
      </c>
      <c r="C798" s="7"/>
      <c r="D798" s="7"/>
      <c r="E798" s="7"/>
      <c r="F798" s="7"/>
      <c r="G798" s="7"/>
      <c r="H798" s="39">
        <v>75.0</v>
      </c>
      <c r="I798" s="39">
        <v>88.0</v>
      </c>
      <c r="J798" s="39">
        <v>77.0</v>
      </c>
      <c r="K798" s="39">
        <v>70.0</v>
      </c>
      <c r="L798" s="39">
        <v>50.0</v>
      </c>
      <c r="M798" s="39">
        <v>58.0</v>
      </c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 t="s">
        <v>795</v>
      </c>
      <c r="B799" s="39">
        <v>50.0</v>
      </c>
      <c r="C799" s="39" t="str">
        <f>vlookup(A799,Sheet2!$1:$1000,2,False)</f>
        <v>#REF!</v>
      </c>
      <c r="D799" s="7"/>
      <c r="E799" s="7"/>
      <c r="F799" s="7"/>
      <c r="G799" s="7"/>
      <c r="H799" s="39">
        <v>70.0</v>
      </c>
      <c r="I799" s="39">
        <v>72.0</v>
      </c>
      <c r="J799" s="39">
        <v>70.0</v>
      </c>
      <c r="K799" s="39">
        <v>70.0</v>
      </c>
      <c r="L799" s="39">
        <v>50.0</v>
      </c>
      <c r="M799" s="39">
        <v>48.0</v>
      </c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 t="s">
        <v>796</v>
      </c>
      <c r="B800" s="39">
        <v>13.0</v>
      </c>
      <c r="C800" s="7"/>
      <c r="D800" s="7"/>
      <c r="E800" s="7"/>
      <c r="F800" s="7"/>
      <c r="G800" s="7"/>
      <c r="H800" s="39">
        <v>78.0</v>
      </c>
      <c r="I800" s="39">
        <v>86.0</v>
      </c>
      <c r="J800" s="39">
        <v>70.0</v>
      </c>
      <c r="K800" s="39">
        <v>70.0</v>
      </c>
      <c r="L800" s="39">
        <v>50.0</v>
      </c>
      <c r="M800" s="39">
        <v>26.0</v>
      </c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 t="s">
        <v>797</v>
      </c>
      <c r="B801" s="39">
        <v>69.0</v>
      </c>
      <c r="C801" s="7"/>
      <c r="D801" s="7"/>
      <c r="E801" s="7"/>
      <c r="F801" s="7"/>
      <c r="G801" s="7"/>
      <c r="H801" s="39">
        <v>76.0</v>
      </c>
      <c r="I801" s="39">
        <v>88.0</v>
      </c>
      <c r="J801" s="39">
        <v>70.0</v>
      </c>
      <c r="K801" s="39">
        <v>79.0</v>
      </c>
      <c r="L801" s="39">
        <v>63.0</v>
      </c>
      <c r="M801" s="39">
        <v>68.0</v>
      </c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 t="s">
        <v>798</v>
      </c>
      <c r="B802" s="39">
        <v>64.0</v>
      </c>
      <c r="C802" s="7"/>
      <c r="D802" s="7"/>
      <c r="E802" s="7"/>
      <c r="F802" s="7"/>
      <c r="G802" s="7"/>
      <c r="H802" s="39">
        <v>79.0</v>
      </c>
      <c r="I802" s="39">
        <v>88.0</v>
      </c>
      <c r="J802" s="39">
        <v>70.0</v>
      </c>
      <c r="K802" s="39">
        <v>79.0</v>
      </c>
      <c r="L802" s="39">
        <v>50.0</v>
      </c>
      <c r="M802" s="39">
        <v>65.0</v>
      </c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 t="s">
        <v>799</v>
      </c>
      <c r="B803" s="39">
        <v>57.0</v>
      </c>
      <c r="C803" s="7"/>
      <c r="D803" s="7"/>
      <c r="E803" s="7"/>
      <c r="F803" s="7"/>
      <c r="G803" s="7"/>
      <c r="H803" s="39">
        <v>72.0</v>
      </c>
      <c r="I803" s="39">
        <v>80.0</v>
      </c>
      <c r="J803" s="39">
        <v>71.0</v>
      </c>
      <c r="K803" s="39">
        <v>70.0</v>
      </c>
      <c r="L803" s="39">
        <v>50.0</v>
      </c>
      <c r="M803" s="39">
        <v>42.0</v>
      </c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 t="s">
        <v>800</v>
      </c>
      <c r="B804" s="39">
        <v>31.0</v>
      </c>
      <c r="C804" s="7"/>
      <c r="D804" s="7"/>
      <c r="E804" s="7"/>
      <c r="F804" s="7"/>
      <c r="G804" s="7"/>
      <c r="H804" s="39">
        <v>74.0</v>
      </c>
      <c r="I804" s="39">
        <v>83.0</v>
      </c>
      <c r="J804" s="39">
        <v>70.0</v>
      </c>
      <c r="K804" s="39">
        <v>70.0</v>
      </c>
      <c r="L804" s="39">
        <v>50.0</v>
      </c>
      <c r="M804" s="39">
        <v>35.0</v>
      </c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 t="s">
        <v>801</v>
      </c>
      <c r="B805" s="39">
        <v>73.0</v>
      </c>
      <c r="C805" s="7"/>
      <c r="D805" s="7"/>
      <c r="E805" s="7"/>
      <c r="F805" s="7"/>
      <c r="G805" s="7"/>
      <c r="H805" s="39">
        <v>70.0</v>
      </c>
      <c r="I805" s="39">
        <v>81.0</v>
      </c>
      <c r="J805" s="39">
        <v>70.0</v>
      </c>
      <c r="K805" s="39">
        <v>70.0</v>
      </c>
      <c r="L805" s="39">
        <v>55.0</v>
      </c>
      <c r="M805" s="39">
        <v>66.0</v>
      </c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 t="s">
        <v>802</v>
      </c>
      <c r="B806" s="39">
        <v>66.0</v>
      </c>
      <c r="C806" s="7"/>
      <c r="D806" s="7"/>
      <c r="E806" s="7"/>
      <c r="F806" s="7"/>
      <c r="G806" s="7"/>
      <c r="H806" s="39">
        <v>84.0</v>
      </c>
      <c r="I806" s="39">
        <v>83.0</v>
      </c>
      <c r="J806" s="39">
        <v>76.0</v>
      </c>
      <c r="K806" s="39">
        <v>70.0</v>
      </c>
      <c r="L806" s="39">
        <v>50.0</v>
      </c>
      <c r="M806" s="39">
        <v>38.0</v>
      </c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 t="s">
        <v>803</v>
      </c>
      <c r="B807" s="39">
        <v>69.0</v>
      </c>
      <c r="C807" s="7"/>
      <c r="D807" s="7"/>
      <c r="E807" s="7"/>
      <c r="F807" s="7"/>
      <c r="G807" s="7"/>
      <c r="H807" s="39">
        <v>78.0</v>
      </c>
      <c r="I807" s="39">
        <v>87.0</v>
      </c>
      <c r="J807" s="39">
        <v>78.0</v>
      </c>
      <c r="K807" s="39">
        <v>70.0</v>
      </c>
      <c r="L807" s="39">
        <v>50.0</v>
      </c>
      <c r="M807" s="39">
        <v>45.0</v>
      </c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 t="s">
        <v>804</v>
      </c>
      <c r="B808" s="39">
        <v>57.0</v>
      </c>
      <c r="C808" s="7"/>
      <c r="D808" s="7"/>
      <c r="E808" s="7"/>
      <c r="F808" s="7"/>
      <c r="G808" s="7"/>
      <c r="H808" s="39">
        <v>70.0</v>
      </c>
      <c r="I808" s="39">
        <v>76.0</v>
      </c>
      <c r="J808" s="39">
        <v>70.0</v>
      </c>
      <c r="K808" s="39">
        <v>70.0</v>
      </c>
      <c r="L808" s="39">
        <v>50.0</v>
      </c>
      <c r="M808" s="39">
        <v>32.0</v>
      </c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 t="s">
        <v>805</v>
      </c>
      <c r="B809" s="39">
        <v>77.0</v>
      </c>
      <c r="C809" s="7"/>
      <c r="D809" s="7"/>
      <c r="E809" s="7"/>
      <c r="F809" s="7"/>
      <c r="G809" s="7"/>
      <c r="H809" s="39">
        <v>85.0</v>
      </c>
      <c r="I809" s="39">
        <v>97.0</v>
      </c>
      <c r="J809" s="39">
        <v>74.0</v>
      </c>
      <c r="K809" s="39">
        <v>78.0</v>
      </c>
      <c r="L809" s="39">
        <v>68.0</v>
      </c>
      <c r="M809" s="39">
        <v>77.0</v>
      </c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 t="s">
        <v>806</v>
      </c>
      <c r="B810" s="39">
        <v>78.0</v>
      </c>
      <c r="C810" s="7"/>
      <c r="D810" s="7"/>
      <c r="E810" s="7"/>
      <c r="F810" s="7"/>
      <c r="G810" s="7"/>
      <c r="H810" s="39">
        <v>83.0</v>
      </c>
      <c r="I810" s="39">
        <v>93.0</v>
      </c>
      <c r="J810" s="39">
        <v>70.0</v>
      </c>
      <c r="K810" s="39">
        <v>82.0</v>
      </c>
      <c r="L810" s="39">
        <v>73.0</v>
      </c>
      <c r="M810" s="39">
        <v>78.0</v>
      </c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 t="s">
        <v>807</v>
      </c>
      <c r="B811" s="39">
        <v>35.0</v>
      </c>
      <c r="C811" s="7"/>
      <c r="D811" s="7"/>
      <c r="E811" s="7"/>
      <c r="F811" s="7"/>
      <c r="G811" s="7"/>
      <c r="H811" s="39">
        <v>70.0</v>
      </c>
      <c r="I811" s="39">
        <v>76.0</v>
      </c>
      <c r="J811" s="39">
        <v>75.0</v>
      </c>
      <c r="K811" s="39">
        <v>70.0</v>
      </c>
      <c r="L811" s="39">
        <v>50.0</v>
      </c>
      <c r="M811" s="39">
        <v>31.0</v>
      </c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 t="s">
        <v>809</v>
      </c>
      <c r="B812" s="39">
        <v>9.0</v>
      </c>
      <c r="C812" s="7"/>
      <c r="D812" s="7"/>
      <c r="E812" s="7"/>
      <c r="F812" s="7"/>
      <c r="G812" s="7"/>
      <c r="H812" s="39">
        <v>76.0</v>
      </c>
      <c r="I812" s="39">
        <v>74.0</v>
      </c>
      <c r="J812" s="39">
        <v>38.0</v>
      </c>
      <c r="K812" s="39">
        <v>70.0</v>
      </c>
      <c r="L812" s="39">
        <v>50.0</v>
      </c>
      <c r="M812" s="39">
        <v>50.0</v>
      </c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 t="s">
        <v>810</v>
      </c>
      <c r="B813" s="39">
        <v>26.0</v>
      </c>
      <c r="C813" s="7"/>
      <c r="D813" s="7"/>
      <c r="E813" s="7"/>
      <c r="F813" s="7"/>
      <c r="G813" s="7"/>
      <c r="H813" s="39">
        <v>66.0</v>
      </c>
      <c r="I813" s="39">
        <v>72.0</v>
      </c>
      <c r="J813" s="39">
        <v>25.0</v>
      </c>
      <c r="K813" s="39">
        <v>70.0</v>
      </c>
      <c r="L813" s="39">
        <v>50.0</v>
      </c>
      <c r="M813" s="39">
        <v>50.0</v>
      </c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 t="s">
        <v>811</v>
      </c>
      <c r="B814" s="39">
        <v>76.0</v>
      </c>
      <c r="C814" s="7"/>
      <c r="D814" s="7"/>
      <c r="E814" s="7"/>
      <c r="F814" s="7"/>
      <c r="G814" s="7"/>
      <c r="H814" s="39">
        <v>77.0</v>
      </c>
      <c r="I814" s="39">
        <v>90.0</v>
      </c>
      <c r="J814" s="39">
        <v>79.0</v>
      </c>
      <c r="K814" s="39">
        <v>73.0</v>
      </c>
      <c r="L814" s="39">
        <v>50.0</v>
      </c>
      <c r="M814" s="39">
        <v>51.0</v>
      </c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 t="s">
        <v>812</v>
      </c>
      <c r="B815" s="39">
        <v>74.0</v>
      </c>
      <c r="C815" s="7"/>
      <c r="D815" s="7"/>
      <c r="E815" s="7"/>
      <c r="F815" s="7"/>
      <c r="G815" s="7"/>
      <c r="H815" s="39">
        <v>81.0</v>
      </c>
      <c r="I815" s="39">
        <v>88.0</v>
      </c>
      <c r="J815" s="39">
        <v>77.0</v>
      </c>
      <c r="K815" s="39">
        <v>83.0</v>
      </c>
      <c r="L815" s="39">
        <v>50.0</v>
      </c>
      <c r="M815" s="39">
        <v>44.0</v>
      </c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 t="s">
        <v>813</v>
      </c>
      <c r="B816" s="39">
        <v>74.0</v>
      </c>
      <c r="C816" s="7"/>
      <c r="D816" s="7"/>
      <c r="E816" s="7"/>
      <c r="F816" s="7"/>
      <c r="G816" s="7"/>
      <c r="H816" s="39">
        <v>89.0</v>
      </c>
      <c r="I816" s="39">
        <v>94.0</v>
      </c>
      <c r="J816" s="39">
        <v>82.0</v>
      </c>
      <c r="K816" s="39">
        <v>82.0</v>
      </c>
      <c r="L816" s="39">
        <v>50.0</v>
      </c>
      <c r="M816" s="39">
        <v>74.0</v>
      </c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 t="s">
        <v>814</v>
      </c>
      <c r="B817" s="39">
        <v>22.0</v>
      </c>
      <c r="C817" s="7"/>
      <c r="D817" s="7"/>
      <c r="E817" s="7"/>
      <c r="F817" s="7"/>
      <c r="G817" s="7"/>
      <c r="H817" s="39">
        <v>69.0</v>
      </c>
      <c r="I817" s="39">
        <v>72.0</v>
      </c>
      <c r="J817" s="39">
        <v>70.0</v>
      </c>
      <c r="K817" s="39">
        <v>22.0</v>
      </c>
      <c r="L817" s="39">
        <v>21.0</v>
      </c>
      <c r="M817" s="39">
        <v>53.0</v>
      </c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 t="s">
        <v>816</v>
      </c>
      <c r="B818" s="39">
        <v>25.0</v>
      </c>
      <c r="C818" s="7"/>
      <c r="D818" s="7"/>
      <c r="E818" s="7"/>
      <c r="F818" s="7"/>
      <c r="G818" s="7"/>
      <c r="H818" s="39">
        <v>80.0</v>
      </c>
      <c r="I818" s="39">
        <v>92.0</v>
      </c>
      <c r="J818" s="39">
        <v>32.0</v>
      </c>
      <c r="K818" s="39">
        <v>70.0</v>
      </c>
      <c r="L818" s="39">
        <v>50.0</v>
      </c>
      <c r="M818" s="39">
        <v>50.0</v>
      </c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 t="s">
        <v>817</v>
      </c>
      <c r="B819" s="39">
        <v>50.0</v>
      </c>
      <c r="C819" s="39" t="str">
        <f>vlookup(A819,Sheet2!$1:$1000,2,False)</f>
        <v>#REF!</v>
      </c>
      <c r="D819" s="7"/>
      <c r="E819" s="7"/>
      <c r="F819" s="7"/>
      <c r="G819" s="7"/>
      <c r="H819" s="39">
        <v>71.0</v>
      </c>
      <c r="I819" s="39">
        <v>88.0</v>
      </c>
      <c r="J819" s="39">
        <v>70.0</v>
      </c>
      <c r="K819" s="39">
        <v>70.0</v>
      </c>
      <c r="L819" s="39">
        <v>50.0</v>
      </c>
      <c r="M819" s="39">
        <v>64.0</v>
      </c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 t="s">
        <v>818</v>
      </c>
      <c r="B820" s="39">
        <v>26.0</v>
      </c>
      <c r="C820" s="7"/>
      <c r="D820" s="7"/>
      <c r="E820" s="7"/>
      <c r="F820" s="7"/>
      <c r="G820" s="7"/>
      <c r="H820" s="39">
        <v>77.0</v>
      </c>
      <c r="I820" s="39">
        <v>85.0</v>
      </c>
      <c r="J820" s="39">
        <v>70.0</v>
      </c>
      <c r="K820" s="39">
        <v>79.0</v>
      </c>
      <c r="L820" s="39">
        <v>50.0</v>
      </c>
      <c r="M820" s="39">
        <v>38.0</v>
      </c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 t="s">
        <v>819</v>
      </c>
      <c r="B821" s="39">
        <v>50.0</v>
      </c>
      <c r="C821" s="39" t="str">
        <f>vlookup(A821,Sheet2!$1:$1000,2,False)</f>
        <v>#REF!</v>
      </c>
      <c r="D821" s="7"/>
      <c r="E821" s="7"/>
      <c r="F821" s="7"/>
      <c r="G821" s="7"/>
      <c r="H821" s="39">
        <v>70.0</v>
      </c>
      <c r="I821" s="39">
        <v>75.0</v>
      </c>
      <c r="J821" s="39">
        <v>53.0</v>
      </c>
      <c r="K821" s="39">
        <v>70.0</v>
      </c>
      <c r="L821" s="39">
        <v>50.0</v>
      </c>
      <c r="M821" s="39">
        <v>23.0</v>
      </c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 t="s">
        <v>820</v>
      </c>
      <c r="B822" s="39">
        <v>56.0</v>
      </c>
      <c r="C822" s="7"/>
      <c r="D822" s="7"/>
      <c r="E822" s="7"/>
      <c r="F822" s="7"/>
      <c r="G822" s="7"/>
      <c r="H822" s="39">
        <v>81.0</v>
      </c>
      <c r="I822" s="39">
        <v>89.0</v>
      </c>
      <c r="J822" s="39">
        <v>74.0</v>
      </c>
      <c r="K822" s="39">
        <v>80.0</v>
      </c>
      <c r="L822" s="39">
        <v>50.0</v>
      </c>
      <c r="M822" s="39">
        <v>50.0</v>
      </c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 t="s">
        <v>821</v>
      </c>
      <c r="B823" s="39">
        <v>60.0</v>
      </c>
      <c r="C823" s="7"/>
      <c r="D823" s="7"/>
      <c r="E823" s="7"/>
      <c r="F823" s="7"/>
      <c r="G823" s="7"/>
      <c r="H823" s="39">
        <v>86.0</v>
      </c>
      <c r="I823" s="39">
        <v>91.0</v>
      </c>
      <c r="J823" s="39">
        <v>87.0</v>
      </c>
      <c r="K823" s="39">
        <v>78.0</v>
      </c>
      <c r="L823" s="39">
        <v>65.0</v>
      </c>
      <c r="M823" s="39">
        <v>53.0</v>
      </c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 t="s">
        <v>822</v>
      </c>
      <c r="B824" s="39">
        <v>62.0</v>
      </c>
      <c r="C824" s="7"/>
      <c r="D824" s="7"/>
      <c r="E824" s="7"/>
      <c r="F824" s="7"/>
      <c r="G824" s="7"/>
      <c r="H824" s="39">
        <v>80.0</v>
      </c>
      <c r="I824" s="39">
        <v>88.0</v>
      </c>
      <c r="J824" s="39">
        <v>74.0</v>
      </c>
      <c r="K824" s="39">
        <v>76.0</v>
      </c>
      <c r="L824" s="39">
        <v>48.0</v>
      </c>
      <c r="M824" s="39">
        <v>50.0</v>
      </c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 t="s">
        <v>823</v>
      </c>
      <c r="B825" s="39">
        <v>50.0</v>
      </c>
      <c r="C825" s="39" t="str">
        <f t="shared" ref="C825:C826" si="60">vlookup(A825,Sheet2!$1:$1000,2,False)</f>
        <v>#REF!</v>
      </c>
      <c r="D825" s="7"/>
      <c r="E825" s="7"/>
      <c r="F825" s="7"/>
      <c r="G825" s="7"/>
      <c r="H825" s="39">
        <v>70.0</v>
      </c>
      <c r="I825" s="39">
        <v>70.0</v>
      </c>
      <c r="J825" s="39">
        <v>70.0</v>
      </c>
      <c r="K825" s="39">
        <v>70.0</v>
      </c>
      <c r="L825" s="39">
        <v>50.0</v>
      </c>
      <c r="M825" s="39">
        <v>4.0</v>
      </c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 t="s">
        <v>824</v>
      </c>
      <c r="B826" s="39">
        <v>50.0</v>
      </c>
      <c r="C826" s="39" t="str">
        <f t="shared" si="60"/>
        <v>#REF!</v>
      </c>
      <c r="D826" s="7"/>
      <c r="E826" s="7"/>
      <c r="F826" s="7"/>
      <c r="G826" s="7"/>
      <c r="H826" s="39">
        <v>83.0</v>
      </c>
      <c r="I826" s="39">
        <v>92.0</v>
      </c>
      <c r="J826" s="39">
        <v>70.0</v>
      </c>
      <c r="K826" s="39">
        <v>70.0</v>
      </c>
      <c r="L826" s="39">
        <v>50.0</v>
      </c>
      <c r="M826" s="39">
        <v>50.0</v>
      </c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 t="s">
        <v>825</v>
      </c>
      <c r="B827" s="39">
        <v>0.0</v>
      </c>
      <c r="C827" s="7"/>
      <c r="D827" s="7"/>
      <c r="E827" s="7"/>
      <c r="F827" s="7"/>
      <c r="G827" s="7"/>
      <c r="H827" s="39">
        <v>73.0</v>
      </c>
      <c r="I827" s="39">
        <v>82.0</v>
      </c>
      <c r="J827" s="39">
        <v>41.0</v>
      </c>
      <c r="K827" s="39">
        <v>12.0</v>
      </c>
      <c r="L827" s="39">
        <v>12.0</v>
      </c>
      <c r="M827" s="39">
        <v>0.0</v>
      </c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 t="s">
        <v>826</v>
      </c>
      <c r="B828" s="39">
        <v>50.0</v>
      </c>
      <c r="C828" s="39" t="str">
        <f>vlookup(A828,Sheet2!$1:$1000,2,False)</f>
        <v>#REF!</v>
      </c>
      <c r="D828" s="7"/>
      <c r="E828" s="7"/>
      <c r="F828" s="7"/>
      <c r="G828" s="7"/>
      <c r="H828" s="39">
        <v>89.0</v>
      </c>
      <c r="I828" s="39">
        <v>90.0</v>
      </c>
      <c r="J828" s="39">
        <v>78.0</v>
      </c>
      <c r="K828" s="39">
        <v>75.0</v>
      </c>
      <c r="L828" s="39">
        <v>50.0</v>
      </c>
      <c r="M828" s="39">
        <v>50.0</v>
      </c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 t="s">
        <v>827</v>
      </c>
      <c r="B829" s="39">
        <v>57.0</v>
      </c>
      <c r="C829" s="7"/>
      <c r="D829" s="7"/>
      <c r="E829" s="7"/>
      <c r="F829" s="7"/>
      <c r="G829" s="7"/>
      <c r="H829" s="39">
        <v>70.0</v>
      </c>
      <c r="I829" s="39">
        <v>74.0</v>
      </c>
      <c r="J829" s="39">
        <v>70.0</v>
      </c>
      <c r="K829" s="39">
        <v>70.0</v>
      </c>
      <c r="L829" s="39">
        <v>50.0</v>
      </c>
      <c r="M829" s="39">
        <v>13.0</v>
      </c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 t="s">
        <v>828</v>
      </c>
      <c r="B830" s="39">
        <v>50.0</v>
      </c>
      <c r="C830" s="39" t="str">
        <f t="shared" ref="C830:C831" si="61">vlookup(A830,Sheet2!$1:$1000,2,False)</f>
        <v>#REF!</v>
      </c>
      <c r="D830" s="7"/>
      <c r="E830" s="7"/>
      <c r="F830" s="7"/>
      <c r="G830" s="7"/>
      <c r="H830" s="39">
        <v>70.0</v>
      </c>
      <c r="I830" s="39">
        <v>84.0</v>
      </c>
      <c r="J830" s="39">
        <v>77.0</v>
      </c>
      <c r="K830" s="39">
        <v>70.0</v>
      </c>
      <c r="L830" s="39">
        <v>50.0</v>
      </c>
      <c r="M830" s="39">
        <v>47.0</v>
      </c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 t="s">
        <v>829</v>
      </c>
      <c r="B831" s="39">
        <v>50.0</v>
      </c>
      <c r="C831" s="39" t="str">
        <f t="shared" si="61"/>
        <v>#REF!</v>
      </c>
      <c r="D831" s="7"/>
      <c r="E831" s="7"/>
      <c r="F831" s="7"/>
      <c r="G831" s="7"/>
      <c r="H831" s="39">
        <v>77.0</v>
      </c>
      <c r="I831" s="39">
        <v>90.0</v>
      </c>
      <c r="J831" s="39">
        <v>70.0</v>
      </c>
      <c r="K831" s="39">
        <v>76.0</v>
      </c>
      <c r="L831" s="39">
        <v>50.0</v>
      </c>
      <c r="M831" s="39">
        <v>43.0</v>
      </c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 t="s">
        <v>830</v>
      </c>
      <c r="B832" s="39">
        <v>73.0</v>
      </c>
      <c r="C832" s="7"/>
      <c r="D832" s="7"/>
      <c r="E832" s="7"/>
      <c r="F832" s="7"/>
      <c r="G832" s="7"/>
      <c r="H832" s="39">
        <v>90.0</v>
      </c>
      <c r="I832" s="39">
        <v>95.0</v>
      </c>
      <c r="J832" s="39">
        <v>75.0</v>
      </c>
      <c r="K832" s="39">
        <v>71.0</v>
      </c>
      <c r="L832" s="39">
        <v>72.0</v>
      </c>
      <c r="M832" s="39">
        <v>59.0</v>
      </c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 t="s">
        <v>831</v>
      </c>
      <c r="B833" s="39">
        <v>64.0</v>
      </c>
      <c r="C833" s="7"/>
      <c r="D833" s="7"/>
      <c r="E833" s="7"/>
      <c r="F833" s="7"/>
      <c r="G833" s="7"/>
      <c r="H833" s="39">
        <v>83.0</v>
      </c>
      <c r="I833" s="39">
        <v>83.0</v>
      </c>
      <c r="J833" s="39">
        <v>81.0</v>
      </c>
      <c r="K833" s="39">
        <v>85.0</v>
      </c>
      <c r="L833" s="39">
        <v>50.0</v>
      </c>
      <c r="M833" s="39">
        <v>74.0</v>
      </c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 t="s">
        <v>832</v>
      </c>
      <c r="B834" s="39">
        <v>67.0</v>
      </c>
      <c r="C834" s="7"/>
      <c r="D834" s="7"/>
      <c r="E834" s="7"/>
      <c r="F834" s="7"/>
      <c r="G834" s="7"/>
      <c r="H834" s="39">
        <v>77.0</v>
      </c>
      <c r="I834" s="39">
        <v>76.0</v>
      </c>
      <c r="J834" s="39">
        <v>71.0</v>
      </c>
      <c r="K834" s="39">
        <v>70.0</v>
      </c>
      <c r="L834" s="39">
        <v>50.0</v>
      </c>
      <c r="M834" s="39">
        <v>45.0</v>
      </c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 t="s">
        <v>833</v>
      </c>
      <c r="B835" s="39">
        <v>16.0</v>
      </c>
      <c r="C835" s="7"/>
      <c r="D835" s="7"/>
      <c r="E835" s="7"/>
      <c r="F835" s="7"/>
      <c r="G835" s="7"/>
      <c r="H835" s="39">
        <v>70.0</v>
      </c>
      <c r="I835" s="39">
        <v>70.0</v>
      </c>
      <c r="J835" s="39">
        <v>70.0</v>
      </c>
      <c r="K835" s="39">
        <v>70.0</v>
      </c>
      <c r="L835" s="39">
        <v>15.0</v>
      </c>
      <c r="M835" s="39">
        <v>44.0</v>
      </c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 t="s">
        <v>834</v>
      </c>
      <c r="B836" s="39">
        <v>50.0</v>
      </c>
      <c r="C836" s="39" t="str">
        <f>vlookup(A836,Sheet2!$1:$1000,2,False)</f>
        <v>#REF!</v>
      </c>
      <c r="D836" s="7"/>
      <c r="E836" s="7"/>
      <c r="F836" s="7"/>
      <c r="G836" s="7"/>
      <c r="H836" s="39">
        <v>71.0</v>
      </c>
      <c r="I836" s="39">
        <v>73.0</v>
      </c>
      <c r="J836" s="39">
        <v>70.0</v>
      </c>
      <c r="K836" s="39">
        <v>70.0</v>
      </c>
      <c r="L836" s="39">
        <v>50.0</v>
      </c>
      <c r="M836" s="39">
        <v>9.0</v>
      </c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 t="s">
        <v>835</v>
      </c>
      <c r="B837" s="39">
        <v>25.0</v>
      </c>
      <c r="C837" s="7"/>
      <c r="D837" s="7"/>
      <c r="E837" s="7"/>
      <c r="F837" s="7"/>
      <c r="G837" s="7"/>
      <c r="H837" s="39">
        <v>70.0</v>
      </c>
      <c r="I837" s="39">
        <v>75.0</v>
      </c>
      <c r="J837" s="39">
        <v>70.0</v>
      </c>
      <c r="K837" s="39">
        <v>70.0</v>
      </c>
      <c r="L837" s="39">
        <v>50.0</v>
      </c>
      <c r="M837" s="39">
        <v>42.0</v>
      </c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 t="s">
        <v>836</v>
      </c>
      <c r="B838" s="39">
        <v>0.0</v>
      </c>
      <c r="C838" s="7"/>
      <c r="D838" s="7"/>
      <c r="E838" s="7"/>
      <c r="F838" s="7"/>
      <c r="G838" s="7"/>
      <c r="H838" s="39">
        <v>64.0</v>
      </c>
      <c r="I838" s="39">
        <v>74.0</v>
      </c>
      <c r="J838" s="39">
        <v>18.0</v>
      </c>
      <c r="K838" s="39">
        <v>4.0</v>
      </c>
      <c r="L838" s="39">
        <v>14.0</v>
      </c>
      <c r="M838" s="39">
        <v>0.0</v>
      </c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 t="s">
        <v>837</v>
      </c>
      <c r="B839" s="39">
        <v>0.0</v>
      </c>
      <c r="C839" s="7"/>
      <c r="D839" s="7"/>
      <c r="E839" s="7"/>
      <c r="F839" s="7"/>
      <c r="G839" s="7"/>
      <c r="H839" s="39">
        <v>65.0</v>
      </c>
      <c r="I839" s="39">
        <v>66.0</v>
      </c>
      <c r="J839" s="39">
        <v>33.0</v>
      </c>
      <c r="K839" s="39">
        <v>45.0</v>
      </c>
      <c r="L839" s="39">
        <v>33.0</v>
      </c>
      <c r="M839" s="39">
        <v>50.0</v>
      </c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 t="s">
        <v>838</v>
      </c>
      <c r="B840" s="39">
        <v>78.0</v>
      </c>
      <c r="C840" s="7"/>
      <c r="D840" s="7"/>
      <c r="E840" s="7"/>
      <c r="F840" s="7"/>
      <c r="G840" s="7"/>
      <c r="H840" s="39">
        <v>82.0</v>
      </c>
      <c r="I840" s="39">
        <v>85.0</v>
      </c>
      <c r="J840" s="39">
        <v>79.0</v>
      </c>
      <c r="K840" s="39">
        <v>70.0</v>
      </c>
      <c r="L840" s="39">
        <v>87.0</v>
      </c>
      <c r="M840" s="39">
        <v>88.0</v>
      </c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 t="s">
        <v>839</v>
      </c>
      <c r="B841" s="39">
        <v>73.0</v>
      </c>
      <c r="C841" s="7"/>
      <c r="D841" s="7"/>
      <c r="E841" s="7"/>
      <c r="F841" s="7"/>
      <c r="G841" s="7"/>
      <c r="H841" s="39">
        <v>88.0</v>
      </c>
      <c r="I841" s="39">
        <v>94.0</v>
      </c>
      <c r="J841" s="39">
        <v>81.0</v>
      </c>
      <c r="K841" s="39">
        <v>79.0</v>
      </c>
      <c r="L841" s="39">
        <v>62.0</v>
      </c>
      <c r="M841" s="39">
        <v>70.0</v>
      </c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 t="s">
        <v>840</v>
      </c>
      <c r="B842" s="39">
        <v>50.0</v>
      </c>
      <c r="C842" s="7"/>
      <c r="D842" s="7"/>
      <c r="E842" s="7"/>
      <c r="F842" s="7"/>
      <c r="G842" s="7"/>
      <c r="H842" s="39">
        <v>79.0</v>
      </c>
      <c r="I842" s="39">
        <v>87.0</v>
      </c>
      <c r="J842" s="39">
        <v>81.0</v>
      </c>
      <c r="K842" s="39">
        <v>70.0</v>
      </c>
      <c r="L842" s="39">
        <v>50.0</v>
      </c>
      <c r="M842" s="39">
        <v>44.0</v>
      </c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 t="s">
        <v>841</v>
      </c>
      <c r="B843" s="39">
        <v>57.0</v>
      </c>
      <c r="C843" s="7"/>
      <c r="D843" s="7"/>
      <c r="E843" s="7"/>
      <c r="F843" s="7"/>
      <c r="G843" s="7"/>
      <c r="H843" s="39">
        <v>79.0</v>
      </c>
      <c r="I843" s="39">
        <v>80.0</v>
      </c>
      <c r="J843" s="39">
        <v>76.0</v>
      </c>
      <c r="K843" s="39">
        <v>70.0</v>
      </c>
      <c r="L843" s="39">
        <v>50.0</v>
      </c>
      <c r="M843" s="39">
        <v>50.0</v>
      </c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 t="s">
        <v>842</v>
      </c>
      <c r="B844" s="39">
        <v>52.0</v>
      </c>
      <c r="C844" s="7"/>
      <c r="D844" s="7"/>
      <c r="E844" s="7"/>
      <c r="F844" s="7"/>
      <c r="G844" s="7"/>
      <c r="H844" s="39">
        <v>72.0</v>
      </c>
      <c r="I844" s="39">
        <v>87.0</v>
      </c>
      <c r="J844" s="39">
        <v>72.0</v>
      </c>
      <c r="K844" s="39">
        <v>70.0</v>
      </c>
      <c r="L844" s="39">
        <v>50.0</v>
      </c>
      <c r="M844" s="39">
        <v>50.0</v>
      </c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 t="s">
        <v>843</v>
      </c>
      <c r="B845" s="39">
        <v>50.0</v>
      </c>
      <c r="C845" s="7"/>
      <c r="D845" s="7"/>
      <c r="E845" s="7"/>
      <c r="F845" s="7"/>
      <c r="G845" s="7"/>
      <c r="H845" s="39">
        <v>77.0</v>
      </c>
      <c r="I845" s="39">
        <v>75.0</v>
      </c>
      <c r="J845" s="39">
        <v>70.0</v>
      </c>
      <c r="K845" s="39">
        <v>70.0</v>
      </c>
      <c r="L845" s="39">
        <v>50.0</v>
      </c>
      <c r="M845" s="39">
        <v>50.0</v>
      </c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 t="s">
        <v>844</v>
      </c>
      <c r="B846" s="39">
        <v>19.0</v>
      </c>
      <c r="C846" s="7"/>
      <c r="D846" s="7"/>
      <c r="E846" s="7"/>
      <c r="F846" s="7"/>
      <c r="G846" s="7"/>
      <c r="H846" s="39">
        <v>70.0</v>
      </c>
      <c r="I846" s="39">
        <v>70.0</v>
      </c>
      <c r="J846" s="39">
        <v>70.0</v>
      </c>
      <c r="K846" s="39">
        <v>70.0</v>
      </c>
      <c r="L846" s="39">
        <v>50.0</v>
      </c>
      <c r="M846" s="39">
        <v>50.0</v>
      </c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 t="s">
        <v>845</v>
      </c>
      <c r="B847" s="39">
        <v>9.0</v>
      </c>
      <c r="C847" s="7"/>
      <c r="D847" s="7"/>
      <c r="E847" s="7"/>
      <c r="F847" s="7"/>
      <c r="G847" s="7"/>
      <c r="H847" s="39">
        <v>70.0</v>
      </c>
      <c r="I847" s="39">
        <v>87.0</v>
      </c>
      <c r="J847" s="39">
        <v>70.0</v>
      </c>
      <c r="K847" s="39">
        <v>70.0</v>
      </c>
      <c r="L847" s="39">
        <v>31.0</v>
      </c>
      <c r="M847" s="39">
        <v>50.0</v>
      </c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 t="s">
        <v>846</v>
      </c>
      <c r="B848" s="39">
        <v>54.0</v>
      </c>
      <c r="C848" s="7"/>
      <c r="D848" s="7"/>
      <c r="E848" s="7"/>
      <c r="F848" s="7"/>
      <c r="G848" s="7"/>
      <c r="H848" s="39">
        <v>71.0</v>
      </c>
      <c r="I848" s="39">
        <v>81.0</v>
      </c>
      <c r="J848" s="39">
        <v>70.0</v>
      </c>
      <c r="K848" s="39">
        <v>70.0</v>
      </c>
      <c r="L848" s="39">
        <v>50.0</v>
      </c>
      <c r="M848" s="39">
        <v>52.0</v>
      </c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 t="s">
        <v>847</v>
      </c>
      <c r="B849" s="39">
        <v>63.0</v>
      </c>
      <c r="C849" s="7"/>
      <c r="D849" s="7"/>
      <c r="E849" s="7"/>
      <c r="F849" s="7"/>
      <c r="G849" s="7"/>
      <c r="H849" s="39">
        <v>80.0</v>
      </c>
      <c r="I849" s="39">
        <v>83.0</v>
      </c>
      <c r="J849" s="39">
        <v>79.0</v>
      </c>
      <c r="K849" s="39">
        <v>70.0</v>
      </c>
      <c r="L849" s="39">
        <v>26.0</v>
      </c>
      <c r="M849" s="39">
        <v>72.0</v>
      </c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 t="s">
        <v>848</v>
      </c>
      <c r="B850" s="39">
        <v>52.0</v>
      </c>
      <c r="C850" s="7"/>
      <c r="D850" s="7"/>
      <c r="E850" s="7"/>
      <c r="F850" s="7"/>
      <c r="G850" s="7"/>
      <c r="H850" s="39">
        <v>81.0</v>
      </c>
      <c r="I850" s="39">
        <v>87.0</v>
      </c>
      <c r="J850" s="39">
        <v>81.0</v>
      </c>
      <c r="K850" s="39">
        <v>78.0</v>
      </c>
      <c r="L850" s="39">
        <v>29.0</v>
      </c>
      <c r="M850" s="39">
        <v>61.0</v>
      </c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 t="s">
        <v>849</v>
      </c>
      <c r="B851" s="39">
        <v>20.0</v>
      </c>
      <c r="C851" s="7"/>
      <c r="D851" s="7"/>
      <c r="E851" s="7"/>
      <c r="F851" s="7"/>
      <c r="G851" s="7"/>
      <c r="H851" s="39">
        <v>78.0</v>
      </c>
      <c r="I851" s="39">
        <v>76.0</v>
      </c>
      <c r="J851" s="39">
        <v>17.0</v>
      </c>
      <c r="K851" s="39">
        <v>33.0</v>
      </c>
      <c r="L851" s="39">
        <v>27.0</v>
      </c>
      <c r="M851" s="39">
        <v>61.0</v>
      </c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 t="s">
        <v>850</v>
      </c>
      <c r="B852" s="39">
        <v>56.0</v>
      </c>
      <c r="C852" s="7"/>
      <c r="D852" s="7"/>
      <c r="E852" s="7"/>
      <c r="F852" s="7"/>
      <c r="G852" s="7"/>
      <c r="H852" s="39">
        <v>84.0</v>
      </c>
      <c r="I852" s="39">
        <v>90.0</v>
      </c>
      <c r="J852" s="39">
        <v>73.0</v>
      </c>
      <c r="K852" s="39">
        <v>74.0</v>
      </c>
      <c r="L852" s="39">
        <v>50.0</v>
      </c>
      <c r="M852" s="39">
        <v>48.0</v>
      </c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 t="s">
        <v>851</v>
      </c>
      <c r="B853" s="39">
        <v>63.0</v>
      </c>
      <c r="C853" s="7"/>
      <c r="D853" s="7"/>
      <c r="E853" s="7"/>
      <c r="F853" s="7"/>
      <c r="G853" s="7"/>
      <c r="H853" s="39">
        <v>80.0</v>
      </c>
      <c r="I853" s="39">
        <v>83.0</v>
      </c>
      <c r="J853" s="39">
        <v>70.0</v>
      </c>
      <c r="K853" s="39">
        <v>70.0</v>
      </c>
      <c r="L853" s="39">
        <v>50.0</v>
      </c>
      <c r="M853" s="39">
        <v>54.0</v>
      </c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 t="s">
        <v>853</v>
      </c>
      <c r="B854" s="39">
        <v>63.0</v>
      </c>
      <c r="C854" s="7"/>
      <c r="D854" s="7"/>
      <c r="E854" s="7"/>
      <c r="F854" s="7"/>
      <c r="G854" s="7"/>
      <c r="H854" s="39">
        <v>74.0</v>
      </c>
      <c r="I854" s="39">
        <v>88.0</v>
      </c>
      <c r="J854" s="39">
        <v>88.0</v>
      </c>
      <c r="K854" s="39">
        <v>75.0</v>
      </c>
      <c r="L854" s="39">
        <v>50.0</v>
      </c>
      <c r="M854" s="39">
        <v>44.0</v>
      </c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 t="s">
        <v>854</v>
      </c>
      <c r="B855" s="39">
        <v>65.0</v>
      </c>
      <c r="C855" s="7"/>
      <c r="D855" s="7"/>
      <c r="E855" s="7"/>
      <c r="F855" s="7"/>
      <c r="G855" s="7"/>
      <c r="H855" s="39">
        <v>83.0</v>
      </c>
      <c r="I855" s="39">
        <v>84.0</v>
      </c>
      <c r="J855" s="39">
        <v>78.0</v>
      </c>
      <c r="K855" s="39">
        <v>83.0</v>
      </c>
      <c r="L855" s="39">
        <v>70.0</v>
      </c>
      <c r="M855" s="39">
        <v>69.0</v>
      </c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 t="s">
        <v>855</v>
      </c>
      <c r="B856" s="39">
        <v>0.0</v>
      </c>
      <c r="C856" s="7"/>
      <c r="D856" s="7"/>
      <c r="E856" s="7"/>
      <c r="F856" s="7"/>
      <c r="G856" s="7"/>
      <c r="H856" s="39">
        <v>66.0</v>
      </c>
      <c r="I856" s="39">
        <v>81.0</v>
      </c>
      <c r="J856" s="39">
        <v>37.0</v>
      </c>
      <c r="K856" s="39">
        <v>43.0</v>
      </c>
      <c r="L856" s="39">
        <v>24.0</v>
      </c>
      <c r="M856" s="39">
        <v>5.0</v>
      </c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 t="s">
        <v>857</v>
      </c>
      <c r="B857" s="39">
        <v>50.0</v>
      </c>
      <c r="C857" s="7"/>
      <c r="D857" s="7"/>
      <c r="E857" s="7"/>
      <c r="F857" s="7"/>
      <c r="G857" s="7"/>
      <c r="H857" s="39">
        <v>70.0</v>
      </c>
      <c r="I857" s="39">
        <v>73.0</v>
      </c>
      <c r="J857" s="39">
        <v>70.0</v>
      </c>
      <c r="K857" s="39">
        <v>70.0</v>
      </c>
      <c r="L857" s="39">
        <v>50.0</v>
      </c>
      <c r="M857" s="39">
        <v>50.0</v>
      </c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 t="s">
        <v>858</v>
      </c>
      <c r="B858" s="39">
        <v>50.0</v>
      </c>
      <c r="C858" s="7"/>
      <c r="D858" s="7"/>
      <c r="E858" s="7"/>
      <c r="F858" s="7"/>
      <c r="G858" s="7"/>
      <c r="H858" s="39">
        <v>70.0</v>
      </c>
      <c r="I858" s="39">
        <v>77.0</v>
      </c>
      <c r="J858" s="39">
        <v>74.0</v>
      </c>
      <c r="K858" s="39">
        <v>70.0</v>
      </c>
      <c r="L858" s="39">
        <v>50.0</v>
      </c>
      <c r="M858" s="39">
        <v>21.0</v>
      </c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 t="s">
        <v>859</v>
      </c>
      <c r="B859" s="39">
        <v>68.0</v>
      </c>
      <c r="C859" s="7"/>
      <c r="D859" s="7"/>
      <c r="E859" s="7"/>
      <c r="F859" s="7"/>
      <c r="G859" s="7"/>
      <c r="H859" s="39">
        <v>70.0</v>
      </c>
      <c r="I859" s="39">
        <v>70.0</v>
      </c>
      <c r="J859" s="39">
        <v>70.0</v>
      </c>
      <c r="K859" s="39">
        <v>70.0</v>
      </c>
      <c r="L859" s="39">
        <v>50.0</v>
      </c>
      <c r="M859" s="39">
        <v>50.0</v>
      </c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 t="s">
        <v>860</v>
      </c>
      <c r="B860" s="39">
        <v>76.0</v>
      </c>
      <c r="C860" s="7"/>
      <c r="D860" s="7"/>
      <c r="E860" s="7"/>
      <c r="F860" s="7"/>
      <c r="G860" s="7"/>
      <c r="H860" s="39">
        <v>81.0</v>
      </c>
      <c r="I860" s="39">
        <v>94.0</v>
      </c>
      <c r="J860" s="39">
        <v>85.0</v>
      </c>
      <c r="K860" s="39">
        <v>86.0</v>
      </c>
      <c r="L860" s="39">
        <v>50.0</v>
      </c>
      <c r="M860" s="39">
        <v>74.0</v>
      </c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 t="s">
        <v>1339</v>
      </c>
      <c r="B861" s="39">
        <v>63.0</v>
      </c>
      <c r="C861" s="7"/>
      <c r="D861" s="7"/>
      <c r="E861" s="7"/>
      <c r="F861" s="7"/>
      <c r="G861" s="7"/>
      <c r="H861" s="39">
        <v>88.0</v>
      </c>
      <c r="I861" s="39">
        <v>89.0</v>
      </c>
      <c r="J861" s="39">
        <v>81.0</v>
      </c>
      <c r="K861" s="39">
        <v>81.0</v>
      </c>
      <c r="L861" s="39">
        <v>50.0</v>
      </c>
      <c r="M861" s="39">
        <v>62.0</v>
      </c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 t="s">
        <v>1249</v>
      </c>
      <c r="B862" s="39">
        <v>50.0</v>
      </c>
      <c r="C862" s="39" t="str">
        <f t="shared" ref="C862:C863" si="62">vlookup(A862,Sheet2!$1:$1000,2,False)</f>
        <v>#REF!</v>
      </c>
      <c r="D862" s="7"/>
      <c r="E862" s="7"/>
      <c r="F862" s="7"/>
      <c r="G862" s="7"/>
      <c r="H862" s="39">
        <v>70.0</v>
      </c>
      <c r="I862" s="39">
        <v>70.0</v>
      </c>
      <c r="J862" s="39">
        <v>70.0</v>
      </c>
      <c r="K862" s="39">
        <v>70.0</v>
      </c>
      <c r="L862" s="39">
        <v>50.0</v>
      </c>
      <c r="M862" s="39">
        <v>50.0</v>
      </c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 t="s">
        <v>864</v>
      </c>
      <c r="B863" s="39">
        <v>50.0</v>
      </c>
      <c r="C863" s="39" t="str">
        <f t="shared" si="62"/>
        <v>#REF!</v>
      </c>
      <c r="D863" s="7"/>
      <c r="E863" s="7"/>
      <c r="F863" s="7"/>
      <c r="G863" s="7"/>
      <c r="H863" s="39">
        <v>79.0</v>
      </c>
      <c r="I863" s="39">
        <v>83.0</v>
      </c>
      <c r="J863" s="39">
        <v>72.0</v>
      </c>
      <c r="K863" s="39">
        <v>78.0</v>
      </c>
      <c r="L863" s="39">
        <v>62.0</v>
      </c>
      <c r="M863" s="39">
        <v>62.0</v>
      </c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 t="s">
        <v>861</v>
      </c>
      <c r="B864" s="39">
        <v>66.0</v>
      </c>
      <c r="C864" s="7"/>
      <c r="D864" s="7"/>
      <c r="E864" s="7"/>
      <c r="F864" s="7"/>
      <c r="G864" s="7"/>
      <c r="H864" s="39">
        <v>83.0</v>
      </c>
      <c r="I864" s="39">
        <v>86.0</v>
      </c>
      <c r="J864" s="39">
        <v>70.0</v>
      </c>
      <c r="K864" s="39">
        <v>70.0</v>
      </c>
      <c r="L864" s="39">
        <v>72.0</v>
      </c>
      <c r="M864" s="39">
        <v>83.0</v>
      </c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 t="s">
        <v>1340</v>
      </c>
      <c r="B865" s="39">
        <v>0.0</v>
      </c>
      <c r="C865" s="7"/>
      <c r="D865" s="7"/>
      <c r="E865" s="7"/>
      <c r="F865" s="7"/>
      <c r="G865" s="7"/>
      <c r="H865" s="39">
        <v>0.0</v>
      </c>
      <c r="I865" s="39">
        <v>0.0</v>
      </c>
      <c r="J865" s="39">
        <v>0.0</v>
      </c>
      <c r="K865" s="39">
        <v>0.0</v>
      </c>
      <c r="L865" s="39">
        <v>50.0</v>
      </c>
      <c r="M865" s="39">
        <v>6.0</v>
      </c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 t="s">
        <v>1027</v>
      </c>
      <c r="B866" s="39">
        <v>1.0</v>
      </c>
      <c r="C866" s="7"/>
      <c r="D866" s="7"/>
      <c r="E866" s="7"/>
      <c r="F866" s="7"/>
      <c r="G866" s="7"/>
      <c r="H866" s="39">
        <v>70.0</v>
      </c>
      <c r="I866" s="39">
        <v>70.0</v>
      </c>
      <c r="J866" s="39">
        <v>70.0</v>
      </c>
      <c r="K866" s="39">
        <v>84.0</v>
      </c>
      <c r="L866" s="39">
        <v>34.0</v>
      </c>
      <c r="M866" s="39">
        <v>50.0</v>
      </c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 t="s">
        <v>1343</v>
      </c>
      <c r="B867" s="39">
        <v>0.0</v>
      </c>
      <c r="C867" s="7"/>
      <c r="D867" s="7"/>
      <c r="E867" s="7"/>
      <c r="F867" s="7"/>
      <c r="G867" s="7"/>
      <c r="H867" s="39">
        <v>84.0</v>
      </c>
      <c r="I867" s="39">
        <v>88.0</v>
      </c>
      <c r="J867" s="39">
        <v>80.5</v>
      </c>
      <c r="K867" s="39">
        <v>74.0</v>
      </c>
      <c r="L867" s="39">
        <v>68.0</v>
      </c>
      <c r="M867" s="39">
        <v>18.0</v>
      </c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 t="s">
        <v>1029</v>
      </c>
      <c r="B868" s="39">
        <v>50.0</v>
      </c>
      <c r="C868" s="39" t="str">
        <f>vlookup(A868,Sheet2!$1:$1000,2,False)</f>
        <v>#REF!</v>
      </c>
      <c r="D868" s="7"/>
      <c r="E868" s="7"/>
      <c r="F868" s="7"/>
      <c r="G868" s="7"/>
      <c r="H868" s="39">
        <v>96.0</v>
      </c>
      <c r="I868" s="39">
        <v>92.0</v>
      </c>
      <c r="J868" s="39">
        <v>82.0</v>
      </c>
      <c r="K868" s="39">
        <v>70.0</v>
      </c>
      <c r="L868" s="39">
        <v>71.0</v>
      </c>
      <c r="M868" s="39">
        <v>50.0</v>
      </c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 t="s">
        <v>1031</v>
      </c>
      <c r="B869" s="181" t="e">
        <v>#N/A</v>
      </c>
      <c r="C869" s="7"/>
      <c r="D869" s="7"/>
      <c r="E869" s="7"/>
      <c r="F869" s="7"/>
      <c r="G869" s="7"/>
      <c r="H869" s="39">
        <v>40.0</v>
      </c>
      <c r="I869" s="39">
        <v>92.0</v>
      </c>
      <c r="J869" s="39">
        <v>72.0</v>
      </c>
      <c r="K869" s="39">
        <v>59.0</v>
      </c>
      <c r="L869" s="39">
        <v>21.0</v>
      </c>
      <c r="M869" s="39">
        <v>50.0</v>
      </c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 t="s">
        <v>1030</v>
      </c>
      <c r="B870" s="39">
        <v>0.0</v>
      </c>
      <c r="C870" s="7"/>
      <c r="D870" s="7"/>
      <c r="E870" s="7"/>
      <c r="F870" s="7"/>
      <c r="G870" s="7"/>
      <c r="H870" s="39">
        <v>84.0</v>
      </c>
      <c r="I870" s="39">
        <v>84.0</v>
      </c>
      <c r="J870" s="39">
        <v>79.0</v>
      </c>
      <c r="K870" s="39">
        <v>70.0</v>
      </c>
      <c r="L870" s="39">
        <v>61.0</v>
      </c>
      <c r="M870" s="39">
        <v>50.0</v>
      </c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 t="s">
        <v>1032</v>
      </c>
      <c r="B871" s="39">
        <v>0.0</v>
      </c>
      <c r="C871" s="7"/>
      <c r="D871" s="7"/>
      <c r="E871" s="7"/>
      <c r="F871" s="7"/>
      <c r="G871" s="7"/>
      <c r="H871" s="39">
        <v>65.0</v>
      </c>
      <c r="I871" s="39">
        <v>84.0</v>
      </c>
      <c r="J871" s="39">
        <v>70.0</v>
      </c>
      <c r="K871" s="39">
        <v>41.0</v>
      </c>
      <c r="L871" s="39">
        <v>19.0</v>
      </c>
      <c r="M871" s="39">
        <v>8.0</v>
      </c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 t="s">
        <v>1033</v>
      </c>
      <c r="B872" s="39">
        <v>0.0</v>
      </c>
      <c r="C872" s="7"/>
      <c r="D872" s="7"/>
      <c r="E872" s="7"/>
      <c r="F872" s="7"/>
      <c r="G872" s="7"/>
      <c r="H872" s="39">
        <v>96.0</v>
      </c>
      <c r="I872" s="39">
        <v>88.0</v>
      </c>
      <c r="J872" s="39">
        <v>73.0</v>
      </c>
      <c r="K872" s="39">
        <v>55.0</v>
      </c>
      <c r="L872" s="39">
        <v>75.0</v>
      </c>
      <c r="M872" s="39">
        <v>8.0</v>
      </c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 t="s">
        <v>1034</v>
      </c>
      <c r="B873" s="181" t="e">
        <v>#N/A</v>
      </c>
      <c r="C873" s="7"/>
      <c r="D873" s="7"/>
      <c r="E873" s="7"/>
      <c r="F873" s="7"/>
      <c r="G873" s="7"/>
      <c r="H873" s="39">
        <v>32.0</v>
      </c>
      <c r="I873" s="39">
        <v>76.0</v>
      </c>
      <c r="J873" s="39">
        <v>30.0</v>
      </c>
      <c r="K873" s="39">
        <v>54.0</v>
      </c>
      <c r="L873" s="39">
        <v>25.0</v>
      </c>
      <c r="M873" s="39">
        <v>50.0</v>
      </c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 t="s">
        <v>1344</v>
      </c>
      <c r="B874" s="39">
        <v>5.0</v>
      </c>
      <c r="C874" s="7"/>
      <c r="D874" s="7"/>
      <c r="E874" s="7"/>
      <c r="F874" s="7"/>
      <c r="G874" s="7"/>
      <c r="H874" s="39">
        <v>48.0</v>
      </c>
      <c r="I874" s="39">
        <v>92.0</v>
      </c>
      <c r="J874" s="39">
        <v>0.0</v>
      </c>
      <c r="K874" s="39">
        <v>63.0</v>
      </c>
      <c r="L874" s="39">
        <v>21.0</v>
      </c>
      <c r="M874" s="39">
        <v>50.0</v>
      </c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 t="s">
        <v>1036</v>
      </c>
      <c r="B875" s="181" t="e">
        <v>#N/A</v>
      </c>
      <c r="C875" s="7"/>
      <c r="D875" s="7"/>
      <c r="E875" s="7"/>
      <c r="F875" s="7"/>
      <c r="G875" s="7"/>
      <c r="H875" s="39">
        <v>0.0</v>
      </c>
      <c r="I875" s="39">
        <v>0.0</v>
      </c>
      <c r="J875" s="39">
        <v>85.0</v>
      </c>
      <c r="K875" s="39">
        <v>52.0</v>
      </c>
      <c r="L875" s="39">
        <v>50.0</v>
      </c>
      <c r="M875" s="39">
        <v>3.0</v>
      </c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 t="s">
        <v>1038</v>
      </c>
      <c r="B876" s="39">
        <v>0.0</v>
      </c>
      <c r="C876" s="7"/>
      <c r="D876" s="7"/>
      <c r="E876" s="7"/>
      <c r="F876" s="7"/>
      <c r="G876" s="7"/>
      <c r="H876" s="39">
        <v>60.0</v>
      </c>
      <c r="I876" s="39">
        <v>44.0</v>
      </c>
      <c r="J876" s="39">
        <v>22.0</v>
      </c>
      <c r="K876" s="39">
        <v>14.0</v>
      </c>
      <c r="L876" s="39">
        <v>0.0</v>
      </c>
      <c r="M876" s="39">
        <v>0.0</v>
      </c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 t="s">
        <v>1037</v>
      </c>
      <c r="B877" s="39">
        <v>0.0</v>
      </c>
      <c r="C877" s="7"/>
      <c r="D877" s="7"/>
      <c r="E877" s="7"/>
      <c r="F877" s="7"/>
      <c r="G877" s="7"/>
      <c r="H877" s="39">
        <v>0.0</v>
      </c>
      <c r="I877" s="39">
        <v>0.0</v>
      </c>
      <c r="J877" s="39">
        <v>53.0</v>
      </c>
      <c r="K877" s="39">
        <v>36.0</v>
      </c>
      <c r="L877" s="39">
        <v>0.0</v>
      </c>
      <c r="M877" s="39">
        <v>9.0</v>
      </c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 t="s">
        <v>1268</v>
      </c>
      <c r="B878" s="39">
        <v>5.0</v>
      </c>
      <c r="C878" s="7"/>
      <c r="D878" s="7"/>
      <c r="E878" s="7"/>
      <c r="F878" s="7"/>
      <c r="G878" s="7"/>
      <c r="H878" s="39">
        <v>70.0</v>
      </c>
      <c r="I878" s="39">
        <v>70.0</v>
      </c>
      <c r="J878" s="39">
        <v>70.0</v>
      </c>
      <c r="K878" s="39">
        <v>70.0</v>
      </c>
      <c r="L878" s="39">
        <v>24.0</v>
      </c>
      <c r="M878" s="39">
        <v>14.0</v>
      </c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 t="s">
        <v>1264</v>
      </c>
      <c r="B879" s="39">
        <v>3.0</v>
      </c>
      <c r="C879" s="7"/>
      <c r="D879" s="7"/>
      <c r="E879" s="7"/>
      <c r="F879" s="7"/>
      <c r="G879" s="7"/>
      <c r="H879" s="39">
        <v>70.0</v>
      </c>
      <c r="I879" s="39">
        <v>70.0</v>
      </c>
      <c r="J879" s="39">
        <v>70.0</v>
      </c>
      <c r="K879" s="39">
        <v>70.0</v>
      </c>
      <c r="L879" s="39">
        <v>21.0</v>
      </c>
      <c r="M879" s="39">
        <v>25.0</v>
      </c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 t="s">
        <v>1265</v>
      </c>
      <c r="B880" s="39">
        <v>6.0</v>
      </c>
      <c r="C880" s="7"/>
      <c r="D880" s="7"/>
      <c r="E880" s="7"/>
      <c r="F880" s="7"/>
      <c r="G880" s="7"/>
      <c r="H880" s="39">
        <v>52.0</v>
      </c>
      <c r="I880" s="39">
        <v>48.0</v>
      </c>
      <c r="J880" s="39">
        <v>77.0</v>
      </c>
      <c r="K880" s="39">
        <v>60.0</v>
      </c>
      <c r="L880" s="39">
        <v>21.0</v>
      </c>
      <c r="M880" s="39">
        <v>12.0</v>
      </c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 t="s">
        <v>1263</v>
      </c>
      <c r="B881" s="39">
        <v>7.0</v>
      </c>
      <c r="C881" s="7"/>
      <c r="D881" s="7"/>
      <c r="E881" s="7"/>
      <c r="F881" s="7"/>
      <c r="G881" s="7"/>
      <c r="H881" s="39">
        <v>80.0</v>
      </c>
      <c r="I881" s="39">
        <v>70.0</v>
      </c>
      <c r="J881" s="39">
        <v>70.0</v>
      </c>
      <c r="K881" s="39">
        <v>70.0</v>
      </c>
      <c r="L881" s="39">
        <v>55.0</v>
      </c>
      <c r="M881" s="39">
        <v>6.0</v>
      </c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 t="s">
        <v>1266</v>
      </c>
      <c r="B882" s="39">
        <v>10.0</v>
      </c>
      <c r="C882" s="7"/>
      <c r="D882" s="7"/>
      <c r="E882" s="7"/>
      <c r="F882" s="7"/>
      <c r="G882" s="7"/>
      <c r="H882" s="39">
        <v>72.0</v>
      </c>
      <c r="I882" s="39">
        <v>70.0</v>
      </c>
      <c r="J882" s="39">
        <v>70.0</v>
      </c>
      <c r="K882" s="39">
        <v>71.0</v>
      </c>
      <c r="L882" s="39">
        <v>75.0</v>
      </c>
      <c r="M882" s="39">
        <v>50.0</v>
      </c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 t="s">
        <v>1267</v>
      </c>
      <c r="B883" s="39">
        <v>22.0</v>
      </c>
      <c r="C883" s="7"/>
      <c r="D883" s="7"/>
      <c r="E883" s="7"/>
      <c r="F883" s="7"/>
      <c r="G883" s="7"/>
      <c r="H883" s="39">
        <v>70.0</v>
      </c>
      <c r="I883" s="39">
        <v>70.0</v>
      </c>
      <c r="J883" s="39">
        <v>70.0</v>
      </c>
      <c r="K883" s="39">
        <v>70.0</v>
      </c>
      <c r="L883" s="39">
        <v>5.0</v>
      </c>
      <c r="M883" s="39">
        <v>1.0</v>
      </c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 t="s">
        <v>363</v>
      </c>
      <c r="B884" s="39">
        <v>0.0</v>
      </c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 t="s">
        <v>370</v>
      </c>
      <c r="B885" s="39">
        <v>50.0</v>
      </c>
      <c r="C885" s="39" t="str">
        <f t="shared" ref="C885:C889" si="63">vlookup(A885,Sheet2!$1:$1000,2,False)</f>
        <v>#REF!</v>
      </c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 t="s">
        <v>364</v>
      </c>
      <c r="B886" s="39">
        <v>20.0</v>
      </c>
      <c r="C886" s="39" t="str">
        <f t="shared" si="63"/>
        <v>#REF!</v>
      </c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 t="s">
        <v>366</v>
      </c>
      <c r="B887" s="39">
        <v>28.0</v>
      </c>
      <c r="C887" s="39" t="str">
        <f t="shared" si="63"/>
        <v>#REF!</v>
      </c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 t="s">
        <v>368</v>
      </c>
      <c r="B888" s="39">
        <v>50.0</v>
      </c>
      <c r="C888" s="39" t="str">
        <f t="shared" si="63"/>
        <v>#REF!</v>
      </c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 t="s">
        <v>365</v>
      </c>
      <c r="B889" s="39">
        <v>50.0</v>
      </c>
      <c r="C889" s="39" t="str">
        <f t="shared" si="63"/>
        <v>#REF!</v>
      </c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 t="s">
        <v>374</v>
      </c>
      <c r="B890" s="39">
        <v>0.0</v>
      </c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 t="s">
        <v>376</v>
      </c>
      <c r="B891" s="39">
        <v>0.0</v>
      </c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 t="s">
        <v>361</v>
      </c>
      <c r="B892" s="39">
        <v>0.0</v>
      </c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 t="s">
        <v>367</v>
      </c>
      <c r="B893" s="39">
        <v>50.0</v>
      </c>
      <c r="C893" s="39" t="str">
        <f>vlookup(A893,Sheet2!$1:$1000,2,False)</f>
        <v>#REF!</v>
      </c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 t="s">
        <v>372</v>
      </c>
      <c r="B894" s="39">
        <v>9.0</v>
      </c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 t="s">
        <v>377</v>
      </c>
      <c r="B895" s="39">
        <v>0.0</v>
      </c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 t="s">
        <v>373</v>
      </c>
      <c r="B896" s="39">
        <v>50.0</v>
      </c>
      <c r="C896" s="39" t="str">
        <f t="shared" ref="C896:C899" si="64">vlookup(A896,Sheet2!$1:$1000,2,False)</f>
        <v>#REF!</v>
      </c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 t="s">
        <v>362</v>
      </c>
      <c r="B897" s="39">
        <v>50.0</v>
      </c>
      <c r="C897" s="39" t="str">
        <f t="shared" si="64"/>
        <v>#REF!</v>
      </c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 t="s">
        <v>371</v>
      </c>
      <c r="B898" s="39">
        <v>50.0</v>
      </c>
      <c r="C898" s="39" t="str">
        <f t="shared" si="64"/>
        <v>#REF!</v>
      </c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 t="s">
        <v>375</v>
      </c>
      <c r="B899" s="39">
        <v>50.0</v>
      </c>
      <c r="C899" s="39" t="str">
        <f t="shared" si="64"/>
        <v>#REF!</v>
      </c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 t="s">
        <v>360</v>
      </c>
      <c r="B900" s="39">
        <v>0.0</v>
      </c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 t="s">
        <v>369</v>
      </c>
      <c r="B901" s="39">
        <v>0.0</v>
      </c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 t="s">
        <v>647</v>
      </c>
      <c r="B902" s="39">
        <v>0.0</v>
      </c>
      <c r="C902" s="7"/>
      <c r="D902" s="7"/>
      <c r="E902" s="7"/>
      <c r="F902" s="7"/>
      <c r="G902" s="7"/>
      <c r="H902" s="39">
        <v>40.0</v>
      </c>
      <c r="I902" s="39">
        <v>32.0</v>
      </c>
      <c r="J902" s="39">
        <v>32.0</v>
      </c>
      <c r="K902" s="39">
        <v>15.0</v>
      </c>
      <c r="L902" s="39">
        <v>10.0</v>
      </c>
      <c r="M902" s="39">
        <v>15.0</v>
      </c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 t="s">
        <v>637</v>
      </c>
      <c r="B903" s="39">
        <v>7.0</v>
      </c>
      <c r="C903" s="7"/>
      <c r="D903" s="7"/>
      <c r="E903" s="7"/>
      <c r="F903" s="7"/>
      <c r="G903" s="7"/>
      <c r="H903" s="39">
        <v>70.0</v>
      </c>
      <c r="I903" s="39">
        <v>70.0</v>
      </c>
      <c r="J903" s="39">
        <v>70.0</v>
      </c>
      <c r="K903" s="39">
        <v>70.0</v>
      </c>
      <c r="L903" s="39">
        <v>0.0</v>
      </c>
      <c r="M903" s="39">
        <v>0.0</v>
      </c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 t="s">
        <v>642</v>
      </c>
      <c r="B904" s="39">
        <v>28.0</v>
      </c>
      <c r="C904" s="7"/>
      <c r="D904" s="7"/>
      <c r="E904" s="7"/>
      <c r="F904" s="7"/>
      <c r="G904" s="7"/>
      <c r="H904" s="39">
        <v>44.0</v>
      </c>
      <c r="I904" s="39">
        <v>28.0</v>
      </c>
      <c r="J904" s="39">
        <v>70.0</v>
      </c>
      <c r="K904" s="39">
        <v>70.0</v>
      </c>
      <c r="L904" s="39">
        <v>3.0</v>
      </c>
      <c r="M904" s="39">
        <v>3.0</v>
      </c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 t="s">
        <v>638</v>
      </c>
      <c r="B905" s="39">
        <v>12.0</v>
      </c>
      <c r="C905" s="39" t="str">
        <f t="shared" ref="C905:C906" si="65">vlookup(A905,Sheet2!$1:$1000,2,False)</f>
        <v>#REF!</v>
      </c>
      <c r="D905" s="7"/>
      <c r="E905" s="7"/>
      <c r="F905" s="7"/>
      <c r="G905" s="7"/>
      <c r="H905" s="39">
        <v>70.0</v>
      </c>
      <c r="I905" s="39">
        <v>70.0</v>
      </c>
      <c r="J905" s="39">
        <v>70.0</v>
      </c>
      <c r="K905" s="39">
        <v>70.0</v>
      </c>
      <c r="L905" s="39">
        <v>3.0</v>
      </c>
      <c r="M905" s="39">
        <v>50.0</v>
      </c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 t="s">
        <v>639</v>
      </c>
      <c r="B906" s="39">
        <v>31.0</v>
      </c>
      <c r="C906" s="39" t="str">
        <f t="shared" si="65"/>
        <v>#REF!</v>
      </c>
      <c r="D906" s="7"/>
      <c r="E906" s="7"/>
      <c r="F906" s="7"/>
      <c r="G906" s="7"/>
      <c r="H906" s="39">
        <v>70.0</v>
      </c>
      <c r="I906" s="39">
        <v>70.0</v>
      </c>
      <c r="J906" s="39">
        <v>70.0</v>
      </c>
      <c r="K906" s="39">
        <v>70.0</v>
      </c>
      <c r="L906" s="39">
        <v>17.0</v>
      </c>
      <c r="M906" s="39">
        <v>0.0</v>
      </c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 t="s">
        <v>645</v>
      </c>
      <c r="B907" s="39">
        <v>50.0</v>
      </c>
      <c r="C907" s="7"/>
      <c r="D907" s="7"/>
      <c r="E907" s="7"/>
      <c r="F907" s="7"/>
      <c r="G907" s="7"/>
      <c r="H907" s="39">
        <v>70.0</v>
      </c>
      <c r="I907" s="39">
        <v>70.0</v>
      </c>
      <c r="J907" s="39">
        <v>53.0</v>
      </c>
      <c r="K907" s="39">
        <v>81.0</v>
      </c>
      <c r="L907" s="39">
        <v>0.0</v>
      </c>
      <c r="M907" s="39">
        <v>50.0</v>
      </c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 t="s">
        <v>648</v>
      </c>
      <c r="B908" s="39">
        <v>47.0</v>
      </c>
      <c r="C908" s="7"/>
      <c r="D908" s="7"/>
      <c r="E908" s="7"/>
      <c r="F908" s="7"/>
      <c r="G908" s="7"/>
      <c r="H908" s="39">
        <v>70.0</v>
      </c>
      <c r="I908" s="39">
        <v>70.0</v>
      </c>
      <c r="J908" s="39">
        <v>71.0</v>
      </c>
      <c r="K908" s="39">
        <v>82.0</v>
      </c>
      <c r="L908" s="39">
        <v>28.0</v>
      </c>
      <c r="M908" s="39">
        <v>50.0</v>
      </c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 t="s">
        <v>644</v>
      </c>
      <c r="B909" s="39">
        <v>11.0</v>
      </c>
      <c r="C909" s="7"/>
      <c r="D909" s="7"/>
      <c r="E909" s="7"/>
      <c r="F909" s="7"/>
      <c r="G909" s="7"/>
      <c r="H909" s="39">
        <v>70.0</v>
      </c>
      <c r="I909" s="39">
        <v>70.0</v>
      </c>
      <c r="J909" s="39">
        <v>70.0</v>
      </c>
      <c r="K909" s="39">
        <v>70.0</v>
      </c>
      <c r="L909" s="39">
        <v>0.0</v>
      </c>
      <c r="M909" s="39">
        <v>3.0</v>
      </c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 t="s">
        <v>640</v>
      </c>
      <c r="B910" s="39">
        <v>16.0</v>
      </c>
      <c r="C910" s="39" t="str">
        <f t="shared" ref="C910:C912" si="66">vlookup(A910,Sheet2!$1:$1000,2,False)</f>
        <v>#REF!</v>
      </c>
      <c r="D910" s="7"/>
      <c r="E910" s="7"/>
      <c r="F910" s="7"/>
      <c r="G910" s="7"/>
      <c r="H910" s="39">
        <v>70.0</v>
      </c>
      <c r="I910" s="39">
        <v>70.0</v>
      </c>
      <c r="J910" s="39">
        <v>70.0</v>
      </c>
      <c r="K910" s="39">
        <v>70.0</v>
      </c>
      <c r="L910" s="39">
        <v>0.0</v>
      </c>
      <c r="M910" s="39">
        <v>50.0</v>
      </c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 t="s">
        <v>646</v>
      </c>
      <c r="B911" s="39">
        <v>50.0</v>
      </c>
      <c r="C911" s="39" t="str">
        <f t="shared" si="66"/>
        <v>#REF!</v>
      </c>
      <c r="D911" s="7"/>
      <c r="E911" s="7"/>
      <c r="F911" s="7"/>
      <c r="G911" s="7"/>
      <c r="H911" s="39">
        <v>76.0</v>
      </c>
      <c r="I911" s="39">
        <v>76.0</v>
      </c>
      <c r="J911" s="39">
        <v>70.0</v>
      </c>
      <c r="K911" s="39">
        <v>79.0</v>
      </c>
      <c r="L911" s="39">
        <v>15.0</v>
      </c>
      <c r="M911" s="39">
        <v>20.0</v>
      </c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 t="s">
        <v>641</v>
      </c>
      <c r="B912" s="39">
        <v>5.0</v>
      </c>
      <c r="C912" s="39" t="str">
        <f t="shared" si="66"/>
        <v>#REF!</v>
      </c>
      <c r="D912" s="7"/>
      <c r="E912" s="7"/>
      <c r="F912" s="7"/>
      <c r="G912" s="7"/>
      <c r="H912" s="39">
        <v>70.0</v>
      </c>
      <c r="I912" s="39">
        <v>70.0</v>
      </c>
      <c r="J912" s="39">
        <v>70.0</v>
      </c>
      <c r="K912" s="39">
        <v>70.0</v>
      </c>
      <c r="L912" s="39">
        <v>0.0</v>
      </c>
      <c r="M912" s="39">
        <v>20.0</v>
      </c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 t="s">
        <v>652</v>
      </c>
      <c r="B913" s="39">
        <v>31.0</v>
      </c>
      <c r="C913" s="7"/>
      <c r="D913" s="7"/>
      <c r="E913" s="7"/>
      <c r="F913" s="7"/>
      <c r="G913" s="7"/>
      <c r="H913" s="39">
        <v>84.0</v>
      </c>
      <c r="I913" s="39">
        <v>76.0</v>
      </c>
      <c r="J913" s="39">
        <v>53.0</v>
      </c>
      <c r="K913" s="39">
        <v>70.0</v>
      </c>
      <c r="L913" s="39">
        <v>13.0</v>
      </c>
      <c r="M913" s="39">
        <v>8.0</v>
      </c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 t="s">
        <v>649</v>
      </c>
      <c r="B914" s="39">
        <v>25.0</v>
      </c>
      <c r="C914" s="39" t="str">
        <f>vlookup(A914,Sheet2!$1:$1000,2,False)</f>
        <v>#REF!</v>
      </c>
      <c r="D914" s="7"/>
      <c r="E914" s="7"/>
      <c r="F914" s="7"/>
      <c r="G914" s="7"/>
      <c r="H914" s="39">
        <v>70.0</v>
      </c>
      <c r="I914" s="39">
        <v>70.0</v>
      </c>
      <c r="J914" s="39">
        <v>70.0</v>
      </c>
      <c r="K914" s="39">
        <v>70.0</v>
      </c>
      <c r="L914" s="39">
        <v>3.0</v>
      </c>
      <c r="M914" s="39">
        <v>3.0</v>
      </c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 t="s">
        <v>650</v>
      </c>
      <c r="B915" s="39">
        <v>0.0</v>
      </c>
      <c r="C915" s="7"/>
      <c r="D915" s="7"/>
      <c r="E915" s="7"/>
      <c r="F915" s="7"/>
      <c r="G915" s="7"/>
      <c r="H915" s="39">
        <v>70.0</v>
      </c>
      <c r="I915" s="39">
        <v>70.0</v>
      </c>
      <c r="J915" s="39">
        <v>70.0</v>
      </c>
      <c r="K915" s="39">
        <v>70.0</v>
      </c>
      <c r="L915" s="39">
        <v>17.0</v>
      </c>
      <c r="M915" s="39">
        <v>0.0</v>
      </c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 t="s">
        <v>653</v>
      </c>
      <c r="B916" s="39">
        <v>55.0</v>
      </c>
      <c r="C916" s="7"/>
      <c r="D916" s="7"/>
      <c r="E916" s="7"/>
      <c r="F916" s="7"/>
      <c r="G916" s="7"/>
      <c r="H916" s="39">
        <v>70.0</v>
      </c>
      <c r="I916" s="39">
        <v>72.0</v>
      </c>
      <c r="J916" s="39">
        <v>70.0</v>
      </c>
      <c r="K916" s="39">
        <v>70.0</v>
      </c>
      <c r="L916" s="39">
        <v>15.0</v>
      </c>
      <c r="M916" s="39">
        <v>7.0</v>
      </c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 t="s">
        <v>1351</v>
      </c>
      <c r="B917" s="39">
        <v>3.0</v>
      </c>
      <c r="C917" s="7"/>
      <c r="D917" s="7"/>
      <c r="E917" s="7"/>
      <c r="F917" s="7"/>
      <c r="G917" s="7"/>
      <c r="H917" s="39">
        <v>80.0</v>
      </c>
      <c r="I917" s="39">
        <v>76.0</v>
      </c>
      <c r="J917" s="39">
        <v>0.0</v>
      </c>
      <c r="K917" s="39">
        <v>0.0</v>
      </c>
      <c r="L917" s="39">
        <v>7.0</v>
      </c>
      <c r="M917" s="39">
        <v>15.0</v>
      </c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 t="s">
        <v>651</v>
      </c>
      <c r="B918" s="39">
        <v>52.0</v>
      </c>
      <c r="C918" s="7"/>
      <c r="D918" s="7"/>
      <c r="E918" s="7"/>
      <c r="F918" s="7"/>
      <c r="G918" s="7"/>
      <c r="H918" s="39">
        <v>70.0</v>
      </c>
      <c r="I918" s="39">
        <v>72.0</v>
      </c>
      <c r="J918" s="39">
        <v>70.0</v>
      </c>
      <c r="K918" s="39">
        <v>70.0</v>
      </c>
      <c r="L918" s="39">
        <v>4.0</v>
      </c>
      <c r="M918" s="39">
        <v>7.0</v>
      </c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 t="s">
        <v>658</v>
      </c>
      <c r="B919" s="39">
        <v>13.0</v>
      </c>
      <c r="C919" s="39" t="str">
        <f>vlookup(A919,Sheet2!$1:$1000,2,False)</f>
        <v>#REF!</v>
      </c>
      <c r="D919" s="7"/>
      <c r="E919" s="7"/>
      <c r="F919" s="7"/>
      <c r="G919" s="7"/>
      <c r="H919" s="39">
        <v>70.0</v>
      </c>
      <c r="I919" s="39">
        <v>70.0</v>
      </c>
      <c r="J919" s="39">
        <v>45.0</v>
      </c>
      <c r="K919" s="39">
        <v>70.0</v>
      </c>
      <c r="L919" s="39">
        <v>12.0</v>
      </c>
      <c r="M919" s="39">
        <v>9.0</v>
      </c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 t="s">
        <v>657</v>
      </c>
      <c r="B920" s="39">
        <v>9.0</v>
      </c>
      <c r="C920" s="7"/>
      <c r="D920" s="7"/>
      <c r="E920" s="7"/>
      <c r="F920" s="7"/>
      <c r="G920" s="7"/>
      <c r="H920" s="39">
        <v>60.0</v>
      </c>
      <c r="I920" s="39">
        <v>44.0</v>
      </c>
      <c r="J920" s="39">
        <v>58.0</v>
      </c>
      <c r="K920" s="39">
        <v>70.0</v>
      </c>
      <c r="L920" s="39">
        <v>38.0</v>
      </c>
      <c r="M920" s="39">
        <v>10.0</v>
      </c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 t="s">
        <v>1352</v>
      </c>
      <c r="B921" s="39">
        <v>0.0</v>
      </c>
      <c r="C921" s="7"/>
      <c r="D921" s="7"/>
      <c r="E921" s="7"/>
      <c r="F921" s="7"/>
      <c r="G921" s="7"/>
      <c r="H921" s="39">
        <v>0.0</v>
      </c>
      <c r="I921" s="39">
        <v>0.0</v>
      </c>
      <c r="J921" s="39">
        <v>0.0</v>
      </c>
      <c r="K921" s="39">
        <v>0.0</v>
      </c>
      <c r="L921" s="39">
        <v>0.0</v>
      </c>
      <c r="M921" s="39">
        <v>0.0</v>
      </c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 t="s">
        <v>654</v>
      </c>
      <c r="B922" s="39">
        <v>0.0</v>
      </c>
      <c r="C922" s="7"/>
      <c r="D922" s="7"/>
      <c r="E922" s="7"/>
      <c r="F922" s="7"/>
      <c r="G922" s="7"/>
      <c r="H922" s="39">
        <v>32.0</v>
      </c>
      <c r="I922" s="39">
        <v>44.0</v>
      </c>
      <c r="J922" s="39">
        <v>40.0</v>
      </c>
      <c r="K922" s="39">
        <v>53.0</v>
      </c>
      <c r="L922" s="39">
        <v>5.0</v>
      </c>
      <c r="M922" s="39">
        <v>6.0</v>
      </c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 t="s">
        <v>655</v>
      </c>
      <c r="B923" s="39">
        <v>0.0</v>
      </c>
      <c r="C923" s="7"/>
      <c r="D923" s="7"/>
      <c r="E923" s="7"/>
      <c r="F923" s="7"/>
      <c r="G923" s="7"/>
      <c r="H923" s="39">
        <v>70.0</v>
      </c>
      <c r="I923" s="39">
        <v>70.0</v>
      </c>
      <c r="J923" s="39">
        <v>56.0</v>
      </c>
      <c r="K923" s="39">
        <v>70.0</v>
      </c>
      <c r="L923" s="39">
        <v>5.0</v>
      </c>
      <c r="M923" s="39">
        <v>13.0</v>
      </c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 t="s">
        <v>643</v>
      </c>
      <c r="B924" s="39">
        <v>11.0</v>
      </c>
      <c r="C924" s="39" t="str">
        <f t="shared" ref="C924:C925" si="67">vlookup(A924,Sheet2!$1:$1000,2,False)</f>
        <v>#REF!</v>
      </c>
      <c r="D924" s="7"/>
      <c r="E924" s="7"/>
      <c r="F924" s="7"/>
      <c r="G924" s="7"/>
      <c r="H924" s="39">
        <v>70.0</v>
      </c>
      <c r="I924" s="39">
        <v>70.0</v>
      </c>
      <c r="J924" s="39">
        <v>70.0</v>
      </c>
      <c r="K924" s="39">
        <v>70.0</v>
      </c>
      <c r="L924" s="39">
        <v>38.0</v>
      </c>
      <c r="M924" s="39">
        <v>25.0</v>
      </c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 t="s">
        <v>866</v>
      </c>
      <c r="B925" s="39">
        <v>50.0</v>
      </c>
      <c r="C925" s="39" t="str">
        <f t="shared" si="67"/>
        <v>#REF!</v>
      </c>
      <c r="D925" s="7"/>
      <c r="E925" s="7"/>
      <c r="F925" s="7"/>
      <c r="G925" s="7"/>
      <c r="H925" s="39">
        <v>70.0</v>
      </c>
      <c r="I925" s="39">
        <v>88.0</v>
      </c>
      <c r="J925" s="39">
        <v>70.0</v>
      </c>
      <c r="K925" s="39">
        <v>72.0</v>
      </c>
      <c r="L925" s="39">
        <v>42.0</v>
      </c>
      <c r="M925" s="39">
        <v>62.0</v>
      </c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 t="s">
        <v>871</v>
      </c>
      <c r="B926" s="39">
        <v>23.0</v>
      </c>
      <c r="C926" s="7"/>
      <c r="D926" s="7"/>
      <c r="E926" s="7"/>
      <c r="F926" s="7"/>
      <c r="G926" s="7"/>
      <c r="H926" s="39">
        <v>28.0</v>
      </c>
      <c r="I926" s="39">
        <v>32.0</v>
      </c>
      <c r="J926" s="39">
        <v>70.0</v>
      </c>
      <c r="K926" s="39">
        <v>47.0</v>
      </c>
      <c r="L926" s="39">
        <v>5.0</v>
      </c>
      <c r="M926" s="39">
        <v>15.0</v>
      </c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 t="s">
        <v>867</v>
      </c>
      <c r="B927" s="39">
        <v>50.0</v>
      </c>
      <c r="C927" s="39" t="str">
        <f t="shared" ref="C927:C928" si="68">vlookup(A927,Sheet2!$1:$1000,2,False)</f>
        <v>#REF!</v>
      </c>
      <c r="D927" s="7"/>
      <c r="E927" s="7"/>
      <c r="F927" s="7"/>
      <c r="G927" s="7"/>
      <c r="H927" s="39">
        <v>70.0</v>
      </c>
      <c r="I927" s="39">
        <v>80.0</v>
      </c>
      <c r="J927" s="39">
        <v>70.0</v>
      </c>
      <c r="K927" s="39">
        <v>70.0</v>
      </c>
      <c r="L927" s="39">
        <v>50.0</v>
      </c>
      <c r="M927" s="39">
        <v>44.0</v>
      </c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 t="s">
        <v>872</v>
      </c>
      <c r="B928" s="39">
        <v>47.0</v>
      </c>
      <c r="C928" s="39" t="str">
        <f t="shared" si="68"/>
        <v>#REF!</v>
      </c>
      <c r="D928" s="7"/>
      <c r="E928" s="7"/>
      <c r="F928" s="7"/>
      <c r="G928" s="7"/>
      <c r="H928" s="39">
        <v>70.0</v>
      </c>
      <c r="I928" s="39">
        <v>70.0</v>
      </c>
      <c r="J928" s="39">
        <v>70.0</v>
      </c>
      <c r="K928" s="39">
        <v>72.0</v>
      </c>
      <c r="L928" s="39">
        <v>50.0</v>
      </c>
      <c r="M928" s="39">
        <v>50.0</v>
      </c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 t="s">
        <v>869</v>
      </c>
      <c r="B929" s="39">
        <v>50.0</v>
      </c>
      <c r="C929" s="7"/>
      <c r="D929" s="7"/>
      <c r="E929" s="7"/>
      <c r="F929" s="7"/>
      <c r="G929" s="7"/>
      <c r="H929" s="39">
        <v>70.0</v>
      </c>
      <c r="I929" s="39">
        <v>88.0</v>
      </c>
      <c r="J929" s="39">
        <v>70.0</v>
      </c>
      <c r="K929" s="39">
        <v>70.0</v>
      </c>
      <c r="L929" s="39">
        <v>75.0</v>
      </c>
      <c r="M929" s="39">
        <v>43.0</v>
      </c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 t="s">
        <v>1342</v>
      </c>
      <c r="B930" s="39">
        <v>0.0</v>
      </c>
      <c r="C930" s="7"/>
      <c r="D930" s="7"/>
      <c r="E930" s="7"/>
      <c r="F930" s="7"/>
      <c r="G930" s="7"/>
      <c r="H930" s="39">
        <v>0.0</v>
      </c>
      <c r="I930" s="39">
        <v>0.0</v>
      </c>
      <c r="J930" s="39">
        <v>0.0</v>
      </c>
      <c r="K930" s="39">
        <v>0.0</v>
      </c>
      <c r="L930" s="39">
        <v>0.0</v>
      </c>
      <c r="M930" s="39">
        <v>0.0</v>
      </c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 t="s">
        <v>882</v>
      </c>
      <c r="B931" s="39">
        <v>14.0</v>
      </c>
      <c r="C931" s="39" t="str">
        <f>vlookup(A931,Sheet2!$1:$1000,2,False)</f>
        <v>#REF!</v>
      </c>
      <c r="D931" s="7"/>
      <c r="E931" s="7"/>
      <c r="F931" s="7"/>
      <c r="G931" s="7"/>
      <c r="H931" s="39">
        <v>70.0</v>
      </c>
      <c r="I931" s="39">
        <v>92.0</v>
      </c>
      <c r="J931" s="39">
        <v>70.0</v>
      </c>
      <c r="K931" s="39">
        <v>76.0</v>
      </c>
      <c r="L931" s="39">
        <v>75.0</v>
      </c>
      <c r="M931" s="39">
        <v>50.0</v>
      </c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 t="s">
        <v>873</v>
      </c>
      <c r="B932" s="39">
        <v>6.0</v>
      </c>
      <c r="C932" s="7"/>
      <c r="D932" s="7"/>
      <c r="E932" s="7"/>
      <c r="F932" s="7"/>
      <c r="G932" s="7"/>
      <c r="H932" s="39">
        <v>52.0</v>
      </c>
      <c r="I932" s="39">
        <v>80.0</v>
      </c>
      <c r="J932" s="39">
        <v>70.0</v>
      </c>
      <c r="K932" s="39">
        <v>55.0</v>
      </c>
      <c r="L932" s="39">
        <v>50.0</v>
      </c>
      <c r="M932" s="39">
        <v>24.0</v>
      </c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 t="s">
        <v>877</v>
      </c>
      <c r="B933" s="39">
        <v>26.0</v>
      </c>
      <c r="C933" s="7"/>
      <c r="D933" s="7"/>
      <c r="E933" s="7"/>
      <c r="F933" s="7"/>
      <c r="G933" s="7"/>
      <c r="H933" s="39">
        <v>70.0</v>
      </c>
      <c r="I933" s="39">
        <v>76.0</v>
      </c>
      <c r="J933" s="39">
        <v>70.0</v>
      </c>
      <c r="K933" s="39">
        <v>70.0</v>
      </c>
      <c r="L933" s="39">
        <v>50.0</v>
      </c>
      <c r="M933" s="39">
        <v>18.0</v>
      </c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 t="s">
        <v>879</v>
      </c>
      <c r="B934" s="39">
        <v>0.0</v>
      </c>
      <c r="C934" s="7"/>
      <c r="D934" s="7"/>
      <c r="E934" s="7"/>
      <c r="F934" s="7"/>
      <c r="G934" s="7"/>
      <c r="H934" s="39">
        <v>0.0</v>
      </c>
      <c r="I934" s="39">
        <v>0.0</v>
      </c>
      <c r="J934" s="39">
        <v>70.0</v>
      </c>
      <c r="K934" s="39">
        <v>47.0</v>
      </c>
      <c r="L934" s="39">
        <v>0.0</v>
      </c>
      <c r="M934" s="39">
        <v>7.0</v>
      </c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 t="s">
        <v>870</v>
      </c>
      <c r="B935" s="39">
        <v>50.0</v>
      </c>
      <c r="C935" s="39" t="str">
        <f>vlookup(A935,Sheet2!$1:$1000,2,False)</f>
        <v>#REF!</v>
      </c>
      <c r="D935" s="7"/>
      <c r="E935" s="7"/>
      <c r="F935" s="7"/>
      <c r="G935" s="7"/>
      <c r="H935" s="39">
        <v>70.0</v>
      </c>
      <c r="I935" s="39">
        <v>92.0</v>
      </c>
      <c r="J935" s="39">
        <v>70.0</v>
      </c>
      <c r="K935" s="39">
        <v>70.0</v>
      </c>
      <c r="L935" s="39">
        <v>75.0</v>
      </c>
      <c r="M935" s="39">
        <v>21.0</v>
      </c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 t="s">
        <v>881</v>
      </c>
      <c r="B936" s="39">
        <v>61.0</v>
      </c>
      <c r="C936" s="7"/>
      <c r="D936" s="7"/>
      <c r="E936" s="7"/>
      <c r="F936" s="7"/>
      <c r="G936" s="7"/>
      <c r="H936" s="39">
        <v>32.0</v>
      </c>
      <c r="I936" s="39">
        <v>52.0</v>
      </c>
      <c r="J936" s="39">
        <v>43.0</v>
      </c>
      <c r="K936" s="39">
        <v>70.0</v>
      </c>
      <c r="L936" s="39">
        <v>50.0</v>
      </c>
      <c r="M936" s="39">
        <v>22.0</v>
      </c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 t="s">
        <v>876</v>
      </c>
      <c r="B937" s="39">
        <v>13.0</v>
      </c>
      <c r="C937" s="7"/>
      <c r="D937" s="7"/>
      <c r="E937" s="7"/>
      <c r="F937" s="7"/>
      <c r="G937" s="7"/>
      <c r="H937" s="39">
        <v>70.0</v>
      </c>
      <c r="I937" s="39">
        <v>70.0</v>
      </c>
      <c r="J937" s="39">
        <v>70.0</v>
      </c>
      <c r="K937" s="39">
        <v>70.0</v>
      </c>
      <c r="L937" s="39">
        <v>5.0</v>
      </c>
      <c r="M937" s="39">
        <v>13.0</v>
      </c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 t="s">
        <v>878</v>
      </c>
      <c r="B938" s="39">
        <v>0.0</v>
      </c>
      <c r="C938" s="7"/>
      <c r="D938" s="7"/>
      <c r="E938" s="7"/>
      <c r="F938" s="7"/>
      <c r="G938" s="7"/>
      <c r="H938" s="39">
        <v>70.0</v>
      </c>
      <c r="I938" s="39">
        <v>70.0</v>
      </c>
      <c r="J938" s="39">
        <v>50.0</v>
      </c>
      <c r="K938" s="39">
        <v>70.0</v>
      </c>
      <c r="L938" s="39">
        <v>11.0</v>
      </c>
      <c r="M938" s="39">
        <v>11.0</v>
      </c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 t="s">
        <v>880</v>
      </c>
      <c r="B939" s="39">
        <v>9.0</v>
      </c>
      <c r="C939" s="7"/>
      <c r="D939" s="7"/>
      <c r="E939" s="7"/>
      <c r="F939" s="7"/>
      <c r="G939" s="7"/>
      <c r="H939" s="39">
        <v>72.0</v>
      </c>
      <c r="I939" s="39">
        <v>92.0</v>
      </c>
      <c r="J939" s="39">
        <v>70.0</v>
      </c>
      <c r="K939" s="39">
        <v>70.0</v>
      </c>
      <c r="L939" s="39">
        <v>75.0</v>
      </c>
      <c r="M939" s="39">
        <v>15.0</v>
      </c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 t="s">
        <v>1341</v>
      </c>
      <c r="B940" s="39">
        <v>4.0</v>
      </c>
      <c r="C940" s="7"/>
      <c r="D940" s="7"/>
      <c r="E940" s="7"/>
      <c r="F940" s="7"/>
      <c r="G940" s="7"/>
      <c r="H940" s="39">
        <v>48.0</v>
      </c>
      <c r="I940" s="39">
        <v>56.0</v>
      </c>
      <c r="J940" s="39">
        <v>0.0</v>
      </c>
      <c r="K940" s="39">
        <v>70.0</v>
      </c>
      <c r="L940" s="39">
        <v>50.0</v>
      </c>
      <c r="M940" s="39">
        <v>13.0</v>
      </c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 t="s">
        <v>865</v>
      </c>
      <c r="B941" s="39">
        <v>0.0</v>
      </c>
      <c r="C941" s="7"/>
      <c r="D941" s="7"/>
      <c r="E941" s="7"/>
      <c r="F941" s="7"/>
      <c r="G941" s="7"/>
      <c r="H941" s="39">
        <v>70.0</v>
      </c>
      <c r="I941" s="39">
        <v>70.0</v>
      </c>
      <c r="J941" s="39">
        <v>70.0</v>
      </c>
      <c r="K941" s="39">
        <v>70.0</v>
      </c>
      <c r="L941" s="39">
        <v>42.0</v>
      </c>
      <c r="M941" s="39">
        <v>6.0</v>
      </c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 t="s">
        <v>1039</v>
      </c>
      <c r="B942" s="39">
        <v>54.0</v>
      </c>
      <c r="C942" s="181" t="str">
        <f t="shared" ref="C942:C1091" si="69">vlookup(A942,Sheet2!$1:$1000,2,False)</f>
        <v>#REF!</v>
      </c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 t="s">
        <v>1040</v>
      </c>
      <c r="B943" s="39">
        <v>50.0</v>
      </c>
      <c r="C943" s="39" t="str">
        <f t="shared" si="69"/>
        <v>#REF!</v>
      </c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 t="s">
        <v>1041</v>
      </c>
      <c r="B944" s="39">
        <v>50.0</v>
      </c>
      <c r="C944" s="39" t="str">
        <f t="shared" si="69"/>
        <v>#REF!</v>
      </c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 t="s">
        <v>1042</v>
      </c>
      <c r="B945" s="39">
        <v>0.0</v>
      </c>
      <c r="C945" s="181" t="str">
        <f t="shared" si="69"/>
        <v>#REF!</v>
      </c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 t="s">
        <v>1043</v>
      </c>
      <c r="B946" s="39">
        <v>10.0</v>
      </c>
      <c r="C946" s="39" t="str">
        <f t="shared" si="69"/>
        <v>#REF!</v>
      </c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 t="s">
        <v>1044</v>
      </c>
      <c r="B947" s="39">
        <v>0.0</v>
      </c>
      <c r="C947" s="181" t="str">
        <f t="shared" si="69"/>
        <v>#REF!</v>
      </c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 t="s">
        <v>1045</v>
      </c>
      <c r="B948" s="39">
        <v>50.0</v>
      </c>
      <c r="C948" s="39" t="str">
        <f t="shared" si="69"/>
        <v>#REF!</v>
      </c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 t="s">
        <v>1046</v>
      </c>
      <c r="B949" s="39">
        <v>50.0</v>
      </c>
      <c r="C949" s="39" t="str">
        <f t="shared" si="69"/>
        <v>#REF!</v>
      </c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 t="s">
        <v>1047</v>
      </c>
      <c r="B950" s="39">
        <v>54.0</v>
      </c>
      <c r="C950" s="181" t="str">
        <f t="shared" si="69"/>
        <v>#REF!</v>
      </c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 t="s">
        <v>1048</v>
      </c>
      <c r="B951" s="39">
        <v>10.0</v>
      </c>
      <c r="C951" s="181" t="str">
        <f t="shared" si="69"/>
        <v>#REF!</v>
      </c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 t="s">
        <v>1049</v>
      </c>
      <c r="B952" s="39">
        <v>50.0</v>
      </c>
      <c r="C952" s="39" t="str">
        <f t="shared" si="69"/>
        <v>#REF!</v>
      </c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 t="s">
        <v>1050</v>
      </c>
      <c r="B953" s="39">
        <v>0.0</v>
      </c>
      <c r="C953" s="181" t="str">
        <f t="shared" si="69"/>
        <v>#REF!</v>
      </c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 t="s">
        <v>1051</v>
      </c>
      <c r="B954" s="39">
        <v>59.0</v>
      </c>
      <c r="C954" s="181" t="str">
        <f t="shared" si="69"/>
        <v>#REF!</v>
      </c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 t="s">
        <v>1052</v>
      </c>
      <c r="B955" s="39">
        <v>50.0</v>
      </c>
      <c r="C955" s="181" t="str">
        <f t="shared" si="69"/>
        <v>#REF!</v>
      </c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 t="s">
        <v>1053</v>
      </c>
      <c r="B956" s="39">
        <v>34.0</v>
      </c>
      <c r="C956" s="39" t="str">
        <f t="shared" si="69"/>
        <v>#REF!</v>
      </c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 t="s">
        <v>1054</v>
      </c>
      <c r="B957" s="39">
        <v>2.0</v>
      </c>
      <c r="C957" s="181" t="str">
        <f t="shared" si="69"/>
        <v>#REF!</v>
      </c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 t="s">
        <v>1055</v>
      </c>
      <c r="B958" s="39">
        <v>19.0</v>
      </c>
      <c r="C958" s="181" t="str">
        <f t="shared" si="69"/>
        <v>#REF!</v>
      </c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 t="s">
        <v>1056</v>
      </c>
      <c r="B959" s="39">
        <v>0.0</v>
      </c>
      <c r="C959" s="181" t="str">
        <f t="shared" si="69"/>
        <v>#REF!</v>
      </c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 t="s">
        <v>1057</v>
      </c>
      <c r="B960" s="39">
        <v>0.0</v>
      </c>
      <c r="C960" s="181" t="str">
        <f t="shared" si="69"/>
        <v>#REF!</v>
      </c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 t="s">
        <v>1058</v>
      </c>
      <c r="B961" s="39">
        <v>67.0</v>
      </c>
      <c r="C961" s="181" t="str">
        <f t="shared" si="69"/>
        <v>#REF!</v>
      </c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 t="s">
        <v>1059</v>
      </c>
      <c r="B962" s="39">
        <v>0.0</v>
      </c>
      <c r="C962" s="181" t="str">
        <f t="shared" si="69"/>
        <v>#REF!</v>
      </c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 t="s">
        <v>1060</v>
      </c>
      <c r="B963" s="39">
        <v>50.0</v>
      </c>
      <c r="C963" s="39" t="str">
        <f t="shared" si="69"/>
        <v>#REF!</v>
      </c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 t="s">
        <v>1061</v>
      </c>
      <c r="B964" s="39">
        <v>50.0</v>
      </c>
      <c r="C964" s="39" t="str">
        <f t="shared" si="69"/>
        <v>#REF!</v>
      </c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 t="s">
        <v>1063</v>
      </c>
      <c r="B965" s="39">
        <v>36.0</v>
      </c>
      <c r="C965" s="181" t="str">
        <f t="shared" si="69"/>
        <v>#REF!</v>
      </c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 t="s">
        <v>1064</v>
      </c>
      <c r="B966" s="39">
        <v>9.0</v>
      </c>
      <c r="C966" s="181" t="str">
        <f t="shared" si="69"/>
        <v>#REF!</v>
      </c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 t="s">
        <v>1065</v>
      </c>
      <c r="B967" s="39">
        <v>10.0</v>
      </c>
      <c r="C967" s="181" t="str">
        <f t="shared" si="69"/>
        <v>#REF!</v>
      </c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 t="s">
        <v>1066</v>
      </c>
      <c r="B968" s="39">
        <v>50.0</v>
      </c>
      <c r="C968" s="39" t="str">
        <f t="shared" si="69"/>
        <v>#REF!</v>
      </c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 t="s">
        <v>1067</v>
      </c>
      <c r="B969" s="39">
        <v>24.0</v>
      </c>
      <c r="C969" s="39" t="str">
        <f t="shared" si="69"/>
        <v>#REF!</v>
      </c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 t="s">
        <v>1068</v>
      </c>
      <c r="B970" s="39">
        <v>62.0</v>
      </c>
      <c r="C970" s="181" t="str">
        <f t="shared" si="69"/>
        <v>#REF!</v>
      </c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 t="s">
        <v>1069</v>
      </c>
      <c r="B971" s="39">
        <v>0.0</v>
      </c>
      <c r="C971" s="181" t="str">
        <f t="shared" si="69"/>
        <v>#REF!</v>
      </c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 t="s">
        <v>1070</v>
      </c>
      <c r="B972" s="39">
        <v>64.0</v>
      </c>
      <c r="C972" s="181" t="str">
        <f t="shared" si="69"/>
        <v>#REF!</v>
      </c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 t="s">
        <v>1071</v>
      </c>
      <c r="B973" s="39">
        <v>67.0</v>
      </c>
      <c r="C973" s="181" t="str">
        <f t="shared" si="69"/>
        <v>#REF!</v>
      </c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 t="s">
        <v>1072</v>
      </c>
      <c r="B974" s="39">
        <v>0.0</v>
      </c>
      <c r="C974" s="181" t="str">
        <f t="shared" si="69"/>
        <v>#REF!</v>
      </c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 t="s">
        <v>1073</v>
      </c>
      <c r="B975" s="39">
        <v>0.0</v>
      </c>
      <c r="C975" s="181" t="str">
        <f t="shared" si="69"/>
        <v>#REF!</v>
      </c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 t="s">
        <v>1074</v>
      </c>
      <c r="B976" s="39">
        <v>14.0</v>
      </c>
      <c r="C976" s="39" t="str">
        <f t="shared" si="69"/>
        <v>#REF!</v>
      </c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 t="s">
        <v>1075</v>
      </c>
      <c r="B977" s="39">
        <v>0.0</v>
      </c>
      <c r="C977" s="181" t="str">
        <f t="shared" si="69"/>
        <v>#REF!</v>
      </c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 t="s">
        <v>1076</v>
      </c>
      <c r="B978" s="39">
        <v>54.0</v>
      </c>
      <c r="C978" s="181" t="str">
        <f t="shared" si="69"/>
        <v>#REF!</v>
      </c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 t="s">
        <v>1077</v>
      </c>
      <c r="B979" s="39">
        <v>0.0</v>
      </c>
      <c r="C979" s="181" t="str">
        <f t="shared" si="69"/>
        <v>#REF!</v>
      </c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 t="s">
        <v>1078</v>
      </c>
      <c r="B980" s="39">
        <v>0.0</v>
      </c>
      <c r="C980" s="181" t="str">
        <f t="shared" si="69"/>
        <v>#REF!</v>
      </c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 t="s">
        <v>1079</v>
      </c>
      <c r="B981" s="39">
        <v>44.0</v>
      </c>
      <c r="C981" s="181" t="str">
        <f t="shared" si="69"/>
        <v>#REF!</v>
      </c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 t="s">
        <v>1080</v>
      </c>
      <c r="B982" s="39">
        <v>0.0</v>
      </c>
      <c r="C982" s="181" t="str">
        <f t="shared" si="69"/>
        <v>#REF!</v>
      </c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 t="s">
        <v>1081</v>
      </c>
      <c r="B983" s="39">
        <v>50.0</v>
      </c>
      <c r="C983" s="39" t="str">
        <f t="shared" si="69"/>
        <v>#REF!</v>
      </c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 t="s">
        <v>1082</v>
      </c>
      <c r="B984" s="39">
        <v>14.0</v>
      </c>
      <c r="C984" s="181" t="str">
        <f t="shared" si="69"/>
        <v>#REF!</v>
      </c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 t="s">
        <v>1083</v>
      </c>
      <c r="B985" s="39">
        <v>27.0</v>
      </c>
      <c r="C985" s="39" t="str">
        <f t="shared" si="69"/>
        <v>#REF!</v>
      </c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 t="s">
        <v>1084</v>
      </c>
      <c r="B986" s="39">
        <v>31.0</v>
      </c>
      <c r="C986" s="39" t="str">
        <f t="shared" si="69"/>
        <v>#REF!</v>
      </c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 t="s">
        <v>1085</v>
      </c>
      <c r="B987" s="39">
        <v>0.0</v>
      </c>
      <c r="C987" s="181" t="str">
        <f t="shared" si="69"/>
        <v>#REF!</v>
      </c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 t="s">
        <v>1086</v>
      </c>
      <c r="B988" s="39">
        <v>61.0</v>
      </c>
      <c r="C988" s="181" t="str">
        <f t="shared" si="69"/>
        <v>#REF!</v>
      </c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 t="s">
        <v>1087</v>
      </c>
      <c r="B989" s="39">
        <v>53.0</v>
      </c>
      <c r="C989" s="181" t="str">
        <f t="shared" si="69"/>
        <v>#REF!</v>
      </c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 t="s">
        <v>1089</v>
      </c>
      <c r="B990" s="39">
        <v>55.0</v>
      </c>
      <c r="C990" s="181" t="str">
        <f t="shared" si="69"/>
        <v>#REF!</v>
      </c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 t="s">
        <v>1090</v>
      </c>
      <c r="B991" s="39">
        <v>17.0</v>
      </c>
      <c r="C991" s="181" t="str">
        <f t="shared" si="69"/>
        <v>#REF!</v>
      </c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 t="s">
        <v>1091</v>
      </c>
      <c r="B992" s="39">
        <v>50.0</v>
      </c>
      <c r="C992" s="39" t="str">
        <f t="shared" si="69"/>
        <v>#REF!</v>
      </c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 t="s">
        <v>1092</v>
      </c>
      <c r="B993" s="39">
        <v>0.0</v>
      </c>
      <c r="C993" s="181" t="str">
        <f t="shared" si="69"/>
        <v>#REF!</v>
      </c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 t="s">
        <v>1093</v>
      </c>
      <c r="B994" s="39">
        <v>0.0</v>
      </c>
      <c r="C994" s="181" t="str">
        <f t="shared" si="69"/>
        <v>#REF!</v>
      </c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 t="s">
        <v>1094</v>
      </c>
      <c r="B995" s="39">
        <v>50.0</v>
      </c>
      <c r="C995" s="39" t="str">
        <f t="shared" si="69"/>
        <v>#REF!</v>
      </c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 t="s">
        <v>1096</v>
      </c>
      <c r="B996" s="39">
        <v>15.0</v>
      </c>
      <c r="C996" s="181" t="str">
        <f t="shared" si="69"/>
        <v>#REF!</v>
      </c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 t="s">
        <v>1097</v>
      </c>
      <c r="B997" s="39">
        <v>50.0</v>
      </c>
      <c r="C997" s="39" t="str">
        <f t="shared" si="69"/>
        <v>#REF!</v>
      </c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 t="s">
        <v>1098</v>
      </c>
      <c r="B998" s="39">
        <v>50.0</v>
      </c>
      <c r="C998" s="39" t="str">
        <f t="shared" si="69"/>
        <v>#REF!</v>
      </c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 t="s">
        <v>1099</v>
      </c>
      <c r="B999" s="39">
        <v>45.0</v>
      </c>
      <c r="C999" s="181" t="str">
        <f t="shared" si="69"/>
        <v>#REF!</v>
      </c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 t="s">
        <v>1100</v>
      </c>
      <c r="B1000" s="39">
        <v>6.0</v>
      </c>
      <c r="C1000" s="181" t="str">
        <f t="shared" si="69"/>
        <v>#REF!</v>
      </c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 t="s">
        <v>1101</v>
      </c>
      <c r="B1001" s="39">
        <v>50.0</v>
      </c>
      <c r="C1001" s="39" t="str">
        <f t="shared" si="69"/>
        <v>#REF!</v>
      </c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7" t="s">
        <v>1102</v>
      </c>
      <c r="B1002" s="39">
        <v>46.0</v>
      </c>
      <c r="C1002" s="39" t="str">
        <f t="shared" si="69"/>
        <v>#REF!</v>
      </c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>
      <c r="A1003" s="7" t="s">
        <v>1103</v>
      </c>
      <c r="B1003" s="39">
        <v>0.0</v>
      </c>
      <c r="C1003" s="181" t="str">
        <f t="shared" si="69"/>
        <v>#REF!</v>
      </c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>
      <c r="A1004" s="7" t="s">
        <v>1104</v>
      </c>
      <c r="B1004" s="39">
        <v>57.0</v>
      </c>
      <c r="C1004" s="181" t="str">
        <f t="shared" si="69"/>
        <v>#REF!</v>
      </c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>
      <c r="A1005" s="7" t="s">
        <v>1105</v>
      </c>
      <c r="B1005" s="39">
        <v>0.0</v>
      </c>
      <c r="C1005" s="181" t="str">
        <f t="shared" si="69"/>
        <v>#REF!</v>
      </c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>
      <c r="A1006" s="7" t="s">
        <v>1106</v>
      </c>
      <c r="B1006" s="39">
        <v>0.0</v>
      </c>
      <c r="C1006" s="39" t="str">
        <f t="shared" si="69"/>
        <v>#REF!</v>
      </c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>
      <c r="A1007" s="7" t="s">
        <v>1107</v>
      </c>
      <c r="B1007" s="39">
        <v>50.0</v>
      </c>
      <c r="C1007" s="181" t="str">
        <f t="shared" si="69"/>
        <v>#REF!</v>
      </c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>
      <c r="A1008" s="7" t="s">
        <v>1108</v>
      </c>
      <c r="B1008" s="39">
        <v>0.0</v>
      </c>
      <c r="C1008" s="181" t="str">
        <f t="shared" si="69"/>
        <v>#REF!</v>
      </c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>
      <c r="A1009" s="7" t="s">
        <v>1109</v>
      </c>
      <c r="B1009" s="39">
        <v>50.0</v>
      </c>
      <c r="C1009" s="39" t="str">
        <f t="shared" si="69"/>
        <v>#REF!</v>
      </c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>
      <c r="A1010" s="7" t="s">
        <v>1110</v>
      </c>
      <c r="B1010" s="39">
        <v>50.0</v>
      </c>
      <c r="C1010" s="39" t="str">
        <f t="shared" si="69"/>
        <v>#REF!</v>
      </c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>
      <c r="A1011" s="7" t="s">
        <v>1111</v>
      </c>
      <c r="B1011" s="39">
        <v>17.0</v>
      </c>
      <c r="C1011" s="39" t="str">
        <f t="shared" si="69"/>
        <v>#REF!</v>
      </c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>
      <c r="A1012" s="7" t="s">
        <v>1112</v>
      </c>
      <c r="B1012" s="39">
        <v>50.0</v>
      </c>
      <c r="C1012" s="39" t="str">
        <f t="shared" si="69"/>
        <v>#REF!</v>
      </c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>
      <c r="A1013" s="7" t="s">
        <v>1113</v>
      </c>
      <c r="B1013" s="39">
        <v>50.0</v>
      </c>
      <c r="C1013" s="39" t="str">
        <f t="shared" si="69"/>
        <v>#REF!</v>
      </c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>
      <c r="A1014" s="7" t="s">
        <v>1114</v>
      </c>
      <c r="B1014" s="39">
        <v>0.0</v>
      </c>
      <c r="C1014" s="181" t="str">
        <f t="shared" si="69"/>
        <v>#REF!</v>
      </c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>
      <c r="A1015" s="7" t="s">
        <v>1115</v>
      </c>
      <c r="B1015" s="39">
        <v>9.0</v>
      </c>
      <c r="C1015" s="181" t="str">
        <f t="shared" si="69"/>
        <v>#REF!</v>
      </c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>
      <c r="A1016" s="7" t="s">
        <v>1116</v>
      </c>
      <c r="B1016" s="39">
        <v>50.0</v>
      </c>
      <c r="C1016" s="39" t="str">
        <f t="shared" si="69"/>
        <v>#REF!</v>
      </c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>
      <c r="A1017" s="7" t="s">
        <v>1117</v>
      </c>
      <c r="B1017" s="39">
        <v>50.0</v>
      </c>
      <c r="C1017" s="39" t="str">
        <f t="shared" si="69"/>
        <v>#REF!</v>
      </c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>
      <c r="A1018" s="7" t="s">
        <v>1118</v>
      </c>
      <c r="B1018" s="39">
        <v>50.0</v>
      </c>
      <c r="C1018" s="39" t="str">
        <f t="shared" si="69"/>
        <v>#REF!</v>
      </c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>
      <c r="A1019" s="7" t="s">
        <v>1119</v>
      </c>
      <c r="B1019" s="39">
        <v>52.0</v>
      </c>
      <c r="C1019" s="181" t="str">
        <f t="shared" si="69"/>
        <v>#REF!</v>
      </c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>
      <c r="A1020" s="7" t="s">
        <v>1120</v>
      </c>
      <c r="B1020" s="39">
        <v>50.0</v>
      </c>
      <c r="C1020" s="39" t="str">
        <f t="shared" si="69"/>
        <v>#REF!</v>
      </c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>
      <c r="A1021" s="7" t="s">
        <v>1121</v>
      </c>
      <c r="B1021" s="39">
        <v>51.0</v>
      </c>
      <c r="C1021" s="181" t="str">
        <f t="shared" si="69"/>
        <v>#REF!</v>
      </c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>
      <c r="A1022" s="7" t="s">
        <v>1122</v>
      </c>
      <c r="B1022" s="39">
        <v>50.0</v>
      </c>
      <c r="C1022" s="39" t="str">
        <f t="shared" si="69"/>
        <v>#REF!</v>
      </c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>
      <c r="A1023" s="7" t="s">
        <v>1123</v>
      </c>
      <c r="B1023" s="39">
        <v>21.0</v>
      </c>
      <c r="C1023" s="39" t="str">
        <f t="shared" si="69"/>
        <v>#REF!</v>
      </c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>
      <c r="A1024" s="7" t="s">
        <v>1124</v>
      </c>
      <c r="B1024" s="39">
        <v>0.0</v>
      </c>
      <c r="C1024" s="181" t="str">
        <f t="shared" si="69"/>
        <v>#REF!</v>
      </c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>
      <c r="A1025" s="7" t="s">
        <v>1125</v>
      </c>
      <c r="B1025" s="39">
        <v>0.0</v>
      </c>
      <c r="C1025" s="181" t="str">
        <f t="shared" si="69"/>
        <v>#REF!</v>
      </c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>
      <c r="A1026" s="7" t="s">
        <v>1126</v>
      </c>
      <c r="B1026" s="39">
        <v>30.0</v>
      </c>
      <c r="C1026" s="181" t="str">
        <f t="shared" si="69"/>
        <v>#REF!</v>
      </c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>
      <c r="A1027" s="7" t="s">
        <v>1127</v>
      </c>
      <c r="B1027" s="39">
        <v>57.0</v>
      </c>
      <c r="C1027" s="181" t="str">
        <f t="shared" si="69"/>
        <v>#REF!</v>
      </c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>
      <c r="A1028" s="7" t="s">
        <v>1128</v>
      </c>
      <c r="B1028" s="39">
        <v>0.0</v>
      </c>
      <c r="C1028" s="181" t="str">
        <f t="shared" si="69"/>
        <v>#REF!</v>
      </c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>
      <c r="A1029" s="7" t="s">
        <v>1129</v>
      </c>
      <c r="B1029" s="39">
        <v>50.0</v>
      </c>
      <c r="C1029" s="39" t="str">
        <f t="shared" si="69"/>
        <v>#REF!</v>
      </c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>
      <c r="A1030" s="7" t="s">
        <v>1130</v>
      </c>
      <c r="B1030" s="39">
        <v>50.0</v>
      </c>
      <c r="C1030" s="39" t="str">
        <f t="shared" si="69"/>
        <v>#REF!</v>
      </c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>
      <c r="A1031" s="7" t="s">
        <v>1131</v>
      </c>
      <c r="B1031" s="39">
        <v>59.0</v>
      </c>
      <c r="C1031" s="181" t="str">
        <f t="shared" si="69"/>
        <v>#REF!</v>
      </c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>
      <c r="A1032" s="7" t="s">
        <v>1132</v>
      </c>
      <c r="B1032" s="39">
        <v>50.0</v>
      </c>
      <c r="C1032" s="39" t="str">
        <f t="shared" si="69"/>
        <v>#REF!</v>
      </c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>
      <c r="A1033" s="7" t="s">
        <v>1133</v>
      </c>
      <c r="B1033" s="39">
        <v>58.0</v>
      </c>
      <c r="C1033" s="181" t="str">
        <f t="shared" si="69"/>
        <v>#REF!</v>
      </c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>
      <c r="A1034" s="7" t="s">
        <v>1134</v>
      </c>
      <c r="B1034" s="39">
        <v>0.0</v>
      </c>
      <c r="C1034" s="181" t="str">
        <f t="shared" si="69"/>
        <v>#REF!</v>
      </c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>
      <c r="A1035" s="7" t="s">
        <v>1135</v>
      </c>
      <c r="B1035" s="39">
        <v>62.0</v>
      </c>
      <c r="C1035" s="181" t="str">
        <f t="shared" si="69"/>
        <v>#REF!</v>
      </c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>
      <c r="A1036" s="7" t="s">
        <v>1136</v>
      </c>
      <c r="B1036" s="39">
        <v>0.0</v>
      </c>
      <c r="C1036" s="181" t="str">
        <f t="shared" si="69"/>
        <v>#REF!</v>
      </c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>
      <c r="A1037" s="7" t="s">
        <v>1137</v>
      </c>
      <c r="B1037" s="39">
        <v>50.0</v>
      </c>
      <c r="C1037" s="39" t="str">
        <f t="shared" si="69"/>
        <v>#REF!</v>
      </c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>
      <c r="A1038" s="7" t="s">
        <v>1138</v>
      </c>
      <c r="B1038" s="39">
        <v>13.0</v>
      </c>
      <c r="C1038" s="181" t="str">
        <f t="shared" si="69"/>
        <v>#REF!</v>
      </c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>
      <c r="A1039" s="7" t="s">
        <v>1139</v>
      </c>
      <c r="B1039" s="39">
        <v>29.0</v>
      </c>
      <c r="C1039" s="39" t="str">
        <f t="shared" si="69"/>
        <v>#REF!</v>
      </c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>
      <c r="A1040" s="7" t="s">
        <v>1141</v>
      </c>
      <c r="B1040" s="39">
        <v>50.0</v>
      </c>
      <c r="C1040" s="39" t="str">
        <f t="shared" si="69"/>
        <v>#REF!</v>
      </c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>
      <c r="A1041" s="7" t="s">
        <v>1142</v>
      </c>
      <c r="B1041" s="39">
        <v>50.0</v>
      </c>
      <c r="C1041" s="39" t="str">
        <f t="shared" si="69"/>
        <v>#REF!</v>
      </c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>
      <c r="A1042" s="7" t="s">
        <v>1143</v>
      </c>
      <c r="B1042" s="39">
        <v>65.0</v>
      </c>
      <c r="C1042" s="181" t="str">
        <f t="shared" si="69"/>
        <v>#REF!</v>
      </c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>
      <c r="A1043" s="7" t="s">
        <v>1144</v>
      </c>
      <c r="B1043" s="39">
        <v>0.0</v>
      </c>
      <c r="C1043" s="181" t="str">
        <f t="shared" si="69"/>
        <v>#REF!</v>
      </c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>
      <c r="A1044" s="7" t="s">
        <v>1145</v>
      </c>
      <c r="B1044" s="39">
        <v>51.0</v>
      </c>
      <c r="C1044" s="181" t="str">
        <f t="shared" si="69"/>
        <v>#REF!</v>
      </c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>
      <c r="A1045" s="7" t="s">
        <v>1146</v>
      </c>
      <c r="B1045" s="39">
        <v>50.0</v>
      </c>
      <c r="C1045" s="39" t="str">
        <f t="shared" si="69"/>
        <v>#REF!</v>
      </c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>
      <c r="A1046" s="7" t="s">
        <v>1147</v>
      </c>
      <c r="B1046" s="39">
        <v>50.0</v>
      </c>
      <c r="C1046" s="39" t="str">
        <f t="shared" si="69"/>
        <v>#REF!</v>
      </c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>
      <c r="A1047" s="7" t="s">
        <v>1148</v>
      </c>
      <c r="B1047" s="39">
        <v>50.0</v>
      </c>
      <c r="C1047" s="181" t="str">
        <f t="shared" si="69"/>
        <v>#REF!</v>
      </c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>
      <c r="A1048" s="7" t="s">
        <v>1149</v>
      </c>
      <c r="B1048" s="39">
        <v>50.0</v>
      </c>
      <c r="C1048" s="39" t="str">
        <f t="shared" si="69"/>
        <v>#REF!</v>
      </c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>
      <c r="A1049" s="7" t="s">
        <v>1150</v>
      </c>
      <c r="B1049" s="39">
        <v>53.0</v>
      </c>
      <c r="C1049" s="181" t="str">
        <f t="shared" si="69"/>
        <v>#REF!</v>
      </c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>
      <c r="A1050" s="7" t="s">
        <v>1151</v>
      </c>
      <c r="B1050" s="39">
        <v>50.0</v>
      </c>
      <c r="C1050" s="39" t="str">
        <f t="shared" si="69"/>
        <v>#REF!</v>
      </c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>
      <c r="A1051" s="7" t="s">
        <v>1152</v>
      </c>
      <c r="B1051" s="39">
        <v>50.0</v>
      </c>
      <c r="C1051" s="39" t="str">
        <f t="shared" si="69"/>
        <v>#REF!</v>
      </c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>
      <c r="A1052" s="7" t="s">
        <v>1153</v>
      </c>
      <c r="B1052" s="39">
        <v>50.0</v>
      </c>
      <c r="C1052" s="39" t="str">
        <f t="shared" si="69"/>
        <v>#REF!</v>
      </c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>
      <c r="A1053" s="7" t="s">
        <v>1155</v>
      </c>
      <c r="B1053" s="39">
        <v>50.0</v>
      </c>
      <c r="C1053" s="39" t="str">
        <f t="shared" si="69"/>
        <v>#REF!</v>
      </c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>
      <c r="A1054" s="7" t="s">
        <v>1156</v>
      </c>
      <c r="B1054" s="39">
        <v>14.0</v>
      </c>
      <c r="C1054" s="39" t="str">
        <f t="shared" si="69"/>
        <v>#REF!</v>
      </c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>
      <c r="A1055" s="7" t="s">
        <v>1157</v>
      </c>
      <c r="B1055" s="39">
        <v>66.0</v>
      </c>
      <c r="C1055" s="181" t="str">
        <f t="shared" si="69"/>
        <v>#REF!</v>
      </c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>
      <c r="A1056" s="7" t="s">
        <v>1158</v>
      </c>
      <c r="B1056" s="39">
        <v>24.0</v>
      </c>
      <c r="C1056" s="181" t="str">
        <f t="shared" si="69"/>
        <v>#REF!</v>
      </c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>
      <c r="A1057" s="7" t="s">
        <v>1159</v>
      </c>
      <c r="B1057" s="39">
        <v>57.0</v>
      </c>
      <c r="C1057" s="181" t="str">
        <f t="shared" si="69"/>
        <v>#REF!</v>
      </c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>
      <c r="A1058" s="7" t="s">
        <v>1160</v>
      </c>
      <c r="B1058" s="39">
        <v>0.0</v>
      </c>
      <c r="C1058" s="181" t="str">
        <f t="shared" si="69"/>
        <v>#REF!</v>
      </c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>
      <c r="A1059" s="7" t="s">
        <v>1161</v>
      </c>
      <c r="B1059" s="39">
        <v>50.0</v>
      </c>
      <c r="C1059" s="39" t="str">
        <f t="shared" si="69"/>
        <v>#REF!</v>
      </c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>
      <c r="A1060" s="7" t="s">
        <v>1162</v>
      </c>
      <c r="B1060" s="39">
        <v>20.0</v>
      </c>
      <c r="C1060" s="181" t="str">
        <f t="shared" si="69"/>
        <v>#REF!</v>
      </c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</row>
    <row r="1061">
      <c r="A1061" s="7" t="s">
        <v>1164</v>
      </c>
      <c r="B1061" s="39">
        <v>39.0</v>
      </c>
      <c r="C1061" s="39" t="str">
        <f t="shared" si="69"/>
        <v>#REF!</v>
      </c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>
      <c r="A1062" s="7" t="s">
        <v>1165</v>
      </c>
      <c r="B1062" s="39">
        <v>37.0</v>
      </c>
      <c r="C1062" s="39" t="str">
        <f t="shared" si="69"/>
        <v>#REF!</v>
      </c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  <row r="1063">
      <c r="A1063" s="7" t="s">
        <v>1166</v>
      </c>
      <c r="B1063" s="39">
        <v>0.0</v>
      </c>
      <c r="C1063" s="181" t="str">
        <f t="shared" si="69"/>
        <v>#REF!</v>
      </c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</row>
    <row r="1064">
      <c r="A1064" s="7" t="s">
        <v>1167</v>
      </c>
      <c r="B1064" s="39">
        <v>50.0</v>
      </c>
      <c r="C1064" s="39" t="str">
        <f t="shared" si="69"/>
        <v>#REF!</v>
      </c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</row>
    <row r="1065">
      <c r="A1065" s="7" t="s">
        <v>1168</v>
      </c>
      <c r="B1065" s="39">
        <v>46.0</v>
      </c>
      <c r="C1065" s="39" t="str">
        <f t="shared" si="69"/>
        <v>#REF!</v>
      </c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</row>
    <row r="1066">
      <c r="A1066" s="7" t="s">
        <v>1169</v>
      </c>
      <c r="B1066" s="39">
        <v>50.0</v>
      </c>
      <c r="C1066" s="39" t="str">
        <f t="shared" si="69"/>
        <v>#REF!</v>
      </c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</row>
    <row r="1067">
      <c r="A1067" s="7" t="s">
        <v>1170</v>
      </c>
      <c r="B1067" s="39">
        <v>50.0</v>
      </c>
      <c r="C1067" s="39" t="str">
        <f t="shared" si="69"/>
        <v>#REF!</v>
      </c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</row>
    <row r="1068">
      <c r="A1068" s="7" t="s">
        <v>1171</v>
      </c>
      <c r="B1068" s="39">
        <v>50.0</v>
      </c>
      <c r="C1068" s="181" t="str">
        <f t="shared" si="69"/>
        <v>#REF!</v>
      </c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</row>
    <row r="1069">
      <c r="A1069" s="7" t="s">
        <v>1173</v>
      </c>
      <c r="B1069" s="39">
        <v>53.0</v>
      </c>
      <c r="C1069" s="181" t="str">
        <f t="shared" si="69"/>
        <v>#REF!</v>
      </c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</row>
    <row r="1070">
      <c r="A1070" s="7" t="s">
        <v>1174</v>
      </c>
      <c r="B1070" s="39">
        <v>50.0</v>
      </c>
      <c r="C1070" s="39" t="str">
        <f t="shared" si="69"/>
        <v>#REF!</v>
      </c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</row>
    <row r="1071">
      <c r="A1071" s="7" t="s">
        <v>1175</v>
      </c>
      <c r="B1071" s="39">
        <v>51.0</v>
      </c>
      <c r="C1071" s="181" t="str">
        <f t="shared" si="69"/>
        <v>#REF!</v>
      </c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</row>
    <row r="1072">
      <c r="A1072" s="7" t="s">
        <v>1176</v>
      </c>
      <c r="B1072" s="39">
        <v>50.0</v>
      </c>
      <c r="C1072" s="39" t="str">
        <f t="shared" si="69"/>
        <v>#REF!</v>
      </c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</row>
    <row r="1073">
      <c r="A1073" s="7" t="s">
        <v>1177</v>
      </c>
      <c r="B1073" s="39">
        <v>50.0</v>
      </c>
      <c r="C1073" s="39" t="str">
        <f t="shared" si="69"/>
        <v>#REF!</v>
      </c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</row>
    <row r="1074">
      <c r="A1074" s="7" t="s">
        <v>1178</v>
      </c>
      <c r="B1074" s="39">
        <v>50.0</v>
      </c>
      <c r="C1074" s="39" t="str">
        <f t="shared" si="69"/>
        <v>#REF!</v>
      </c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</row>
    <row r="1075">
      <c r="A1075" s="7" t="s">
        <v>1179</v>
      </c>
      <c r="B1075" s="39">
        <v>19.0</v>
      </c>
      <c r="C1075" s="181" t="str">
        <f t="shared" si="69"/>
        <v>#REF!</v>
      </c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</row>
    <row r="1076">
      <c r="A1076" s="7" t="s">
        <v>1180</v>
      </c>
      <c r="B1076" s="39">
        <v>50.0</v>
      </c>
      <c r="C1076" s="39" t="str">
        <f t="shared" si="69"/>
        <v>#REF!</v>
      </c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</row>
    <row r="1077">
      <c r="A1077" s="7" t="s">
        <v>1181</v>
      </c>
      <c r="B1077" s="39">
        <v>50.0</v>
      </c>
      <c r="C1077" s="39" t="str">
        <f t="shared" si="69"/>
        <v>#REF!</v>
      </c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</row>
    <row r="1078">
      <c r="A1078" s="7" t="s">
        <v>1191</v>
      </c>
      <c r="B1078" s="39">
        <v>50.0</v>
      </c>
      <c r="C1078" s="39" t="str">
        <f t="shared" si="69"/>
        <v>#REF!</v>
      </c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</row>
    <row r="1079">
      <c r="A1079" s="7" t="s">
        <v>1188</v>
      </c>
      <c r="B1079" s="39">
        <v>50.0</v>
      </c>
      <c r="C1079" s="39" t="str">
        <f t="shared" si="69"/>
        <v>#REF!</v>
      </c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</row>
    <row r="1080">
      <c r="A1080" s="7" t="s">
        <v>1192</v>
      </c>
      <c r="B1080" s="39">
        <v>0.0</v>
      </c>
      <c r="C1080" s="181" t="str">
        <f t="shared" si="69"/>
        <v>#REF!</v>
      </c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</row>
    <row r="1081">
      <c r="A1081" s="7" t="s">
        <v>1185</v>
      </c>
      <c r="B1081" s="39">
        <v>0.0</v>
      </c>
      <c r="C1081" s="181" t="str">
        <f t="shared" si="69"/>
        <v>#REF!</v>
      </c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</row>
    <row r="1082">
      <c r="A1082" s="7" t="s">
        <v>1189</v>
      </c>
      <c r="B1082" s="39">
        <v>9.0</v>
      </c>
      <c r="C1082" s="181" t="str">
        <f t="shared" si="69"/>
        <v>#REF!</v>
      </c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</row>
    <row r="1083">
      <c r="A1083" s="7" t="s">
        <v>1195</v>
      </c>
      <c r="B1083" s="39">
        <v>0.0</v>
      </c>
      <c r="C1083" s="181" t="str">
        <f t="shared" si="69"/>
        <v>#REF!</v>
      </c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</row>
    <row r="1084">
      <c r="A1084" s="7" t="s">
        <v>1183</v>
      </c>
      <c r="B1084" s="39">
        <v>50.0</v>
      </c>
      <c r="C1084" s="39" t="str">
        <f t="shared" si="69"/>
        <v>#REF!</v>
      </c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</row>
    <row r="1085">
      <c r="A1085" s="7" t="s">
        <v>1186</v>
      </c>
      <c r="B1085" s="39">
        <v>50.0</v>
      </c>
      <c r="C1085" s="39" t="str">
        <f t="shared" si="69"/>
        <v>#REF!</v>
      </c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</row>
    <row r="1086">
      <c r="A1086" s="7" t="s">
        <v>1193</v>
      </c>
      <c r="B1086" s="39">
        <v>50.0</v>
      </c>
      <c r="C1086" s="39" t="str">
        <f t="shared" si="69"/>
        <v>#REF!</v>
      </c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</row>
    <row r="1087">
      <c r="A1087" s="7" t="s">
        <v>1187</v>
      </c>
      <c r="B1087" s="39">
        <v>23.0</v>
      </c>
      <c r="C1087" s="181" t="str">
        <f t="shared" si="69"/>
        <v>#REF!</v>
      </c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</row>
    <row r="1088">
      <c r="A1088" s="7" t="s">
        <v>1184</v>
      </c>
      <c r="B1088" s="181" t="e">
        <v>#N/A</v>
      </c>
      <c r="C1088" s="39" t="str">
        <f t="shared" si="69"/>
        <v>#REF!</v>
      </c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</row>
    <row r="1089">
      <c r="A1089" s="7" t="s">
        <v>1190</v>
      </c>
      <c r="B1089" s="39">
        <v>50.0</v>
      </c>
      <c r="C1089" s="39" t="str">
        <f t="shared" si="69"/>
        <v>#REF!</v>
      </c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</row>
    <row r="1090">
      <c r="A1090" s="7" t="s">
        <v>1194</v>
      </c>
      <c r="B1090" s="39">
        <v>50.0</v>
      </c>
      <c r="C1090" s="39" t="str">
        <f t="shared" si="69"/>
        <v>#REF!</v>
      </c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</row>
    <row r="1091">
      <c r="A1091" s="7" t="s">
        <v>1182</v>
      </c>
      <c r="B1091" s="181" t="e">
        <v>#N/A</v>
      </c>
      <c r="C1091" s="181" t="str">
        <f t="shared" si="69"/>
        <v>#REF!</v>
      </c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1" max="1" width="5.63"/>
    <col customWidth="1" min="2" max="2" width="20.88"/>
    <col customWidth="1" min="3" max="3" width="32.13"/>
    <col customWidth="1" min="4" max="5" width="13.88"/>
    <col customWidth="1" min="6" max="6" width="8.88"/>
    <col customWidth="1" min="7" max="7" width="16.0"/>
    <col customWidth="1" min="8" max="11" width="9.75"/>
    <col customWidth="1" min="12" max="34" width="12.63"/>
    <col customWidth="1" min="35" max="36" width="15.13"/>
  </cols>
  <sheetData>
    <row r="1">
      <c r="A1" s="183" t="s">
        <v>3705</v>
      </c>
      <c r="B1" s="73" t="s">
        <v>2409</v>
      </c>
      <c r="C1" s="73" t="s">
        <v>2410</v>
      </c>
      <c r="D1" s="74" t="s">
        <v>2411</v>
      </c>
      <c r="E1" s="75" t="s">
        <v>2412</v>
      </c>
      <c r="F1" s="76" t="s">
        <v>2413</v>
      </c>
      <c r="G1" s="74" t="s">
        <v>2414</v>
      </c>
      <c r="H1" s="77" t="s">
        <v>2415</v>
      </c>
      <c r="I1" s="78"/>
      <c r="J1" s="78"/>
      <c r="K1" s="79"/>
      <c r="L1" s="80" t="s">
        <v>2416</v>
      </c>
      <c r="M1" s="78"/>
      <c r="N1" s="78"/>
      <c r="O1" s="79"/>
      <c r="P1" s="81" t="str">
        <f>'UG-CSE'!P1</f>
        <v>Softskill Sx</v>
      </c>
      <c r="Q1" s="78"/>
      <c r="R1" s="79"/>
      <c r="S1" s="82"/>
      <c r="T1" s="83" t="str">
        <f>'UG-CSE'!T1</f>
        <v>Core Cx</v>
      </c>
      <c r="U1" s="78"/>
      <c r="V1" s="78"/>
      <c r="W1" s="78"/>
      <c r="X1" s="78"/>
      <c r="Y1" s="78"/>
      <c r="Z1" s="79"/>
      <c r="AA1" s="84" t="str">
        <f>'UG-CSE'!AA1</f>
        <v>Programming Px</v>
      </c>
      <c r="AB1" s="78"/>
      <c r="AC1" s="78"/>
      <c r="AD1" s="78"/>
      <c r="AE1" s="78"/>
      <c r="AF1" s="78"/>
      <c r="AG1" s="78"/>
      <c r="AH1" s="79"/>
      <c r="AI1" s="75"/>
      <c r="AJ1" s="85"/>
      <c r="AK1" s="86" t="s">
        <v>2420</v>
      </c>
      <c r="AL1" s="86" t="s">
        <v>2421</v>
      </c>
      <c r="AM1" s="86" t="s">
        <v>2422</v>
      </c>
      <c r="AN1" s="86" t="s">
        <v>2423</v>
      </c>
      <c r="AO1" s="87" t="s">
        <v>2424</v>
      </c>
      <c r="AP1" s="186"/>
    </row>
    <row r="2" ht="42.0" customHeight="1">
      <c r="A2" s="187"/>
      <c r="B2" s="73" t="s">
        <v>2425</v>
      </c>
      <c r="C2" s="73" t="s">
        <v>2426</v>
      </c>
      <c r="D2" s="89"/>
      <c r="E2" s="75" t="s">
        <v>2427</v>
      </c>
      <c r="F2" s="89"/>
      <c r="G2" s="89"/>
      <c r="H2" s="189" t="s">
        <v>2428</v>
      </c>
      <c r="I2" s="189" t="s">
        <v>2429</v>
      </c>
      <c r="J2" s="189" t="s">
        <v>2430</v>
      </c>
      <c r="K2" s="189" t="s">
        <v>2431</v>
      </c>
      <c r="L2" s="190" t="s">
        <v>2432</v>
      </c>
      <c r="M2" s="190" t="s">
        <v>2433</v>
      </c>
      <c r="N2" s="190" t="s">
        <v>2434</v>
      </c>
      <c r="O2" s="190" t="s">
        <v>2435</v>
      </c>
      <c r="P2" s="191" t="str">
        <f>'UG-CSE'!P2</f>
        <v>S1</v>
      </c>
      <c r="Q2" s="191" t="str">
        <f>'UG-CSE'!Q2</f>
        <v>S2</v>
      </c>
      <c r="R2" s="191" t="str">
        <f>'UG-CSE'!R2</f>
        <v>S3</v>
      </c>
      <c r="S2" s="191" t="s">
        <v>2439</v>
      </c>
      <c r="T2" s="192" t="str">
        <f>'UG-CSE'!T2</f>
        <v>C2 Odd</v>
      </c>
      <c r="U2" s="192" t="str">
        <f>'UG-CSE'!U2</f>
        <v>C2 Full</v>
      </c>
      <c r="V2" s="192" t="str">
        <f>'UG-CSE'!V2</f>
        <v>C3 Odd</v>
      </c>
      <c r="W2" s="192" t="str">
        <f>'UG-CSE'!W2</f>
        <v>C3 Full</v>
      </c>
      <c r="X2" s="192" t="str">
        <f>'UG-CSE'!X2</f>
        <v>C4 Odd</v>
      </c>
      <c r="Y2" s="192" t="str">
        <f>'UG-CSE'!Y2</f>
        <v>C4 Full</v>
      </c>
      <c r="Z2" s="192" t="str">
        <f>'UG-CSE'!Z2</f>
        <v>C5 Full</v>
      </c>
      <c r="AA2" s="94" t="str">
        <f>'UG-CSE'!AA2</f>
        <v>P1-C</v>
      </c>
      <c r="AB2" s="94" t="str">
        <f>'UG-CSE'!AB2</f>
        <v>P2-Python</v>
      </c>
      <c r="AC2" s="94" t="str">
        <f>'UG-CSE'!AC2</f>
        <v>P3-Python</v>
      </c>
      <c r="AD2" s="94" t="str">
        <f>'UG-CSE'!AD2</f>
        <v>P3-Java </v>
      </c>
      <c r="AE2" s="94" t="str">
        <f>'UG-CSE'!AE2</f>
        <v>P4-Programming part 1</v>
      </c>
      <c r="AF2" s="94" t="str">
        <f>'UG-CSE'!AF2</f>
        <v>P4-Programming part 2</v>
      </c>
      <c r="AG2" s="94" t="str">
        <f>'UG-CSE'!AG2</f>
        <v>P4-MAD/FSD</v>
      </c>
      <c r="AH2" s="193" t="str">
        <f>'UG-CSE'!AH2</f>
        <v>P4-DS</v>
      </c>
      <c r="AI2" s="94" t="s">
        <v>2455</v>
      </c>
      <c r="AJ2" s="95" t="s">
        <v>2456</v>
      </c>
      <c r="AK2" s="96" t="s">
        <v>2457</v>
      </c>
      <c r="AL2" s="96" t="s">
        <v>2457</v>
      </c>
      <c r="AM2" s="96" t="s">
        <v>2457</v>
      </c>
      <c r="AN2" s="96" t="s">
        <v>2457</v>
      </c>
      <c r="AO2" s="96" t="s">
        <v>2457</v>
      </c>
      <c r="AP2" s="88"/>
    </row>
    <row r="3">
      <c r="A3" s="194"/>
      <c r="B3" s="195" t="s">
        <v>2458</v>
      </c>
      <c r="C3" s="196"/>
      <c r="D3" s="197"/>
      <c r="E3" s="198"/>
      <c r="F3" s="199"/>
      <c r="G3" s="200"/>
      <c r="H3" s="102">
        <v>100.0</v>
      </c>
      <c r="I3" s="102">
        <v>100.0</v>
      </c>
      <c r="J3" s="102">
        <v>100.0</v>
      </c>
      <c r="K3" s="102">
        <v>100.0</v>
      </c>
      <c r="L3" s="102">
        <v>100.0</v>
      </c>
      <c r="M3" s="102">
        <v>100.0</v>
      </c>
      <c r="N3" s="102">
        <v>100.0</v>
      </c>
      <c r="O3" s="102">
        <v>100.0</v>
      </c>
      <c r="P3" s="102">
        <v>100.0</v>
      </c>
      <c r="Q3" s="102">
        <v>100.0</v>
      </c>
      <c r="R3" s="102">
        <v>100.0</v>
      </c>
      <c r="S3" s="102">
        <v>100.0</v>
      </c>
      <c r="T3" s="102">
        <v>25.0</v>
      </c>
      <c r="U3" s="102">
        <v>25.0</v>
      </c>
      <c r="V3" s="102">
        <v>100.0</v>
      </c>
      <c r="W3" s="102">
        <v>100.0</v>
      </c>
      <c r="X3" s="102">
        <v>100.0</v>
      </c>
      <c r="Y3" s="102">
        <v>100.0</v>
      </c>
      <c r="Z3" s="102">
        <v>100.0</v>
      </c>
      <c r="AA3" s="102">
        <v>100.0</v>
      </c>
      <c r="AB3" s="102">
        <v>100.0</v>
      </c>
      <c r="AC3" s="102">
        <v>100.0</v>
      </c>
      <c r="AD3" s="102">
        <v>100.0</v>
      </c>
      <c r="AE3" s="102">
        <v>100.0</v>
      </c>
      <c r="AF3" s="102">
        <v>100.0</v>
      </c>
      <c r="AG3" s="102">
        <v>100.0</v>
      </c>
      <c r="AH3" s="274">
        <v>100.0</v>
      </c>
      <c r="AI3" s="131"/>
      <c r="AJ3" s="131"/>
      <c r="AK3" s="106"/>
      <c r="AL3" s="106"/>
      <c r="AM3" s="106"/>
      <c r="AN3" s="106"/>
      <c r="AO3" s="106"/>
      <c r="AP3" s="131"/>
    </row>
    <row r="4">
      <c r="A4" s="194"/>
      <c r="B4" s="203" t="s">
        <v>2459</v>
      </c>
      <c r="C4" s="204"/>
      <c r="D4" s="205"/>
      <c r="E4" s="198"/>
      <c r="F4" s="199"/>
      <c r="G4" s="200"/>
      <c r="H4" s="272">
        <v>65.0</v>
      </c>
      <c r="I4" s="102">
        <v>65.0</v>
      </c>
      <c r="J4" s="102">
        <v>70.0</v>
      </c>
      <c r="K4" s="102">
        <v>70.0</v>
      </c>
      <c r="L4" s="112">
        <v>50.0</v>
      </c>
      <c r="M4" s="112">
        <v>50.0</v>
      </c>
      <c r="N4" s="112">
        <v>50.0</v>
      </c>
      <c r="O4" s="103">
        <v>65.0</v>
      </c>
      <c r="P4" s="112">
        <v>50.0</v>
      </c>
      <c r="Q4" s="112">
        <v>50.0</v>
      </c>
      <c r="R4" s="112">
        <v>50.0</v>
      </c>
      <c r="S4" s="110">
        <v>50.0</v>
      </c>
      <c r="T4" s="110">
        <v>10.0</v>
      </c>
      <c r="U4" s="110">
        <v>10.0</v>
      </c>
      <c r="V4" s="112">
        <v>15.0</v>
      </c>
      <c r="W4" s="112">
        <v>25.0</v>
      </c>
      <c r="X4" s="112">
        <v>50.0</v>
      </c>
      <c r="Y4" s="112">
        <v>50.0</v>
      </c>
      <c r="Z4" s="206">
        <v>50.0</v>
      </c>
      <c r="AA4" s="112">
        <v>50.0</v>
      </c>
      <c r="AB4" s="112">
        <v>50.0</v>
      </c>
      <c r="AC4" s="282">
        <v>60.0</v>
      </c>
      <c r="AD4" s="112">
        <v>60.0</v>
      </c>
      <c r="AE4" s="110">
        <v>70.0</v>
      </c>
      <c r="AF4" s="110">
        <v>70.0</v>
      </c>
      <c r="AG4" s="110">
        <v>70.0</v>
      </c>
      <c r="AH4" s="207">
        <v>70.0</v>
      </c>
      <c r="AI4" s="131"/>
      <c r="AJ4" s="131"/>
      <c r="AK4" s="106"/>
      <c r="AL4" s="106"/>
      <c r="AM4" s="106"/>
      <c r="AN4" s="106"/>
      <c r="AO4" s="106"/>
      <c r="AP4" s="131"/>
    </row>
    <row r="5">
      <c r="A5" s="142">
        <v>1.0</v>
      </c>
      <c r="B5" s="137" t="s">
        <v>1616</v>
      </c>
      <c r="C5" s="137" t="s">
        <v>2868</v>
      </c>
      <c r="D5" s="209" t="str">
        <f>VLOOKUP(B5,USN!$1:$1088,2,False)</f>
        <v>1CR23AI001</v>
      </c>
      <c r="E5" s="138">
        <v>8.899757157E9</v>
      </c>
      <c r="F5" s="116" t="s">
        <v>3780</v>
      </c>
      <c r="G5" s="88"/>
      <c r="H5" s="210">
        <v>71.0</v>
      </c>
      <c r="I5" s="211">
        <v>81.0</v>
      </c>
      <c r="J5" s="211">
        <f>VLOOKUP(D5,'L3'!$1:$2060,2,False)</f>
        <v>70</v>
      </c>
      <c r="K5" s="211">
        <f>VLOOKUP(D5,'L4'!$1:$2059,2,False)</f>
        <v>70</v>
      </c>
      <c r="L5" s="212">
        <f>VLOOKUP(D5,'A1 RETEST 5 DEC'!$1:$2096,2,False)</f>
        <v>50</v>
      </c>
      <c r="M5" s="213">
        <f>VLOOKUP(D5,'A2 RETEST 4 DEC'!$1:$2096,2,False)</f>
        <v>50</v>
      </c>
      <c r="N5" s="213">
        <v>54.0</v>
      </c>
      <c r="O5" s="212"/>
      <c r="P5" s="214">
        <f>IFNA(VLOOKUP(D5,'S1'!$1:$1500,2,False),0)</f>
        <v>80</v>
      </c>
      <c r="Q5" s="214">
        <f>vlookup(D5,'S2'!A1:B1203,2,0)</f>
        <v>50</v>
      </c>
      <c r="R5" s="214">
        <f>ifna(vlookup(D5,'S3'!$1:$1311,2,False),0)</f>
        <v>50</v>
      </c>
      <c r="S5" s="214"/>
      <c r="T5" s="215">
        <v>13.0</v>
      </c>
      <c r="U5" s="215">
        <v>21.0</v>
      </c>
      <c r="V5" s="215">
        <v>88.0</v>
      </c>
      <c r="W5" s="215">
        <v>72.0</v>
      </c>
      <c r="X5" s="215">
        <v>70.0</v>
      </c>
      <c r="Y5" s="215"/>
      <c r="Z5" s="217"/>
      <c r="AA5" s="218">
        <v>4.0</v>
      </c>
      <c r="AB5" s="219">
        <v>75.0</v>
      </c>
      <c r="AC5" s="295">
        <v>100.0</v>
      </c>
      <c r="AD5" s="129">
        <v>60.0</v>
      </c>
      <c r="AE5" s="130">
        <v>90.0</v>
      </c>
      <c r="AF5" s="481"/>
      <c r="AG5" s="482">
        <v>79.0</v>
      </c>
      <c r="AH5" s="481"/>
      <c r="AI5" s="88"/>
      <c r="AJ5" s="88"/>
      <c r="AK5" s="132">
        <f t="shared" ref="AK5:AK154" si="1">IF(H5&gt;=$H$4, 
    IF(I5&gt;=$I$4, 
        IF(J5&gt;=$J$4, 
            IF(K5&gt;=$K$4, 4, 3), 
            2), 
        1), 
    0)
</f>
        <v>4</v>
      </c>
      <c r="AL5" s="132">
        <f t="shared" ref="AL5:AL154" si="2">IF(L5&gt;=$L$4, 
    IF(M5&gt;=$M$4, 
        IF(N5&gt;=$N$4, 
            IF(O5&gt;=$O$4, 4, 3), 
            2), 
        1), 
    0)
</f>
        <v>3</v>
      </c>
      <c r="AM5" s="133">
        <f t="shared" ref="AM5:AM154" si="3">IF(AND(U5&gt;=$U$4, W5&gt;=$W$4, Y5&gt;=$Y$4, Z5&lt;&gt;"", Z5&gt;=$Z$4), 5,
 IF(AND(U5&gt;=$U$4, W5&gt;=$W$4, Y5&gt;=$Y$4), 4,
  IF(AND(U5&gt;=$U$4, W5&gt;=$W$4), 3,
   IF(AND(T5&gt;=$T$4, U5&gt;=$U$4), 2,
    0
   )
  )
 )
)
</f>
        <v>3</v>
      </c>
      <c r="AN5" s="132" t="str">
        <f t="shared" ref="AN5:AN13" si="4">IF(AB5&gt;=$AB$4, 
    IF(OR(AC5&gt;=$AC$4, AD5&gt;=$AD$4), 
        IF(AND(AE5&gt;=$AE$4, AF5&gt;=$AF$4, OR(AG5&gt;=$AG$4, AH5&gt;=$AH$4)), "4", 
            IF(OR(AE5&gt;=$AE$4, AF5&gt;=$AF$4), "3.5", 
                "3")), 
        "2"), 
    "0")</f>
        <v>3.5</v>
      </c>
      <c r="AO5" s="132">
        <f t="shared" ref="AO5:AO154" si="5">IF(P5&gt;=$P$4, 
    IF(Q5&gt;=$Q$4, 
        IF(R5&gt;=$R$4, 
            IF(S5&gt;=$S$4, 4, 3), 
            2), 
        1), 
    0)
</f>
        <v>3</v>
      </c>
      <c r="AP5" s="88"/>
    </row>
    <row r="6">
      <c r="A6" s="142">
        <v>2.0</v>
      </c>
      <c r="B6" s="483" t="s">
        <v>1617</v>
      </c>
      <c r="C6" s="483" t="s">
        <v>2869</v>
      </c>
      <c r="D6" s="209" t="str">
        <f>VLOOKUP(B6,USN!$1:$1088,2,False)</f>
        <v>1CR23AI002</v>
      </c>
      <c r="E6" s="484">
        <v>8.431855409E9</v>
      </c>
      <c r="F6" s="234" t="s">
        <v>3780</v>
      </c>
      <c r="G6" s="88"/>
      <c r="H6" s="210">
        <v>78.0</v>
      </c>
      <c r="I6" s="211">
        <v>85.0</v>
      </c>
      <c r="J6" s="211">
        <f>VLOOKUP(D6,'L3'!$1:$2060,2,False)</f>
        <v>73</v>
      </c>
      <c r="K6" s="211">
        <f>VLOOKUP(D6,'L4'!$1:$2059,2,False)</f>
        <v>77</v>
      </c>
      <c r="L6" s="212">
        <f>VLOOKUP(D6,'A1 RETEST 5 DEC'!$1:$2096,2,False)</f>
        <v>60</v>
      </c>
      <c r="M6" s="213">
        <f>VLOOKUP(D6,'A2 RETEST 4 DEC'!$1:$2096,2,False)</f>
        <v>50</v>
      </c>
      <c r="N6" s="213">
        <v>50.0</v>
      </c>
      <c r="O6" s="212"/>
      <c r="P6" s="214">
        <f>IFNA(VLOOKUP(D6,'S1'!$1:$1500,2,False),0)</f>
        <v>80</v>
      </c>
      <c r="Q6" s="214">
        <f>vlookup(D6,'S2'!A2:B1204,2,0)</f>
        <v>67</v>
      </c>
      <c r="R6" s="214">
        <f>ifna(vlookup(D6,'S3'!$1:$1311,2,False),0)</f>
        <v>77</v>
      </c>
      <c r="S6" s="214"/>
      <c r="T6" s="215">
        <v>16.0</v>
      </c>
      <c r="U6" s="215">
        <v>16.0</v>
      </c>
      <c r="V6" s="215">
        <v>86.0</v>
      </c>
      <c r="W6" s="215">
        <v>86.0</v>
      </c>
      <c r="X6" s="215">
        <v>76.0</v>
      </c>
      <c r="Y6" s="215"/>
      <c r="Z6" s="217"/>
      <c r="AA6" s="218">
        <v>60.0</v>
      </c>
      <c r="AB6" s="219">
        <v>88.0</v>
      </c>
      <c r="AC6" s="295">
        <v>70.0</v>
      </c>
      <c r="AD6" s="129">
        <v>7.0</v>
      </c>
      <c r="AE6" s="130">
        <v>23.0</v>
      </c>
      <c r="AF6" s="481"/>
      <c r="AG6" s="482">
        <v>96.0</v>
      </c>
      <c r="AH6" s="481"/>
      <c r="AI6" s="88"/>
      <c r="AJ6" s="88"/>
      <c r="AK6" s="132">
        <f t="shared" si="1"/>
        <v>4</v>
      </c>
      <c r="AL6" s="132">
        <f t="shared" si="2"/>
        <v>3</v>
      </c>
      <c r="AM6" s="133">
        <f t="shared" si="3"/>
        <v>3</v>
      </c>
      <c r="AN6" s="132" t="str">
        <f t="shared" si="4"/>
        <v>3</v>
      </c>
      <c r="AO6" s="132">
        <f t="shared" si="5"/>
        <v>3</v>
      </c>
      <c r="AP6" s="88"/>
    </row>
    <row r="7">
      <c r="A7" s="142">
        <v>3.0</v>
      </c>
      <c r="B7" s="483" t="s">
        <v>1618</v>
      </c>
      <c r="C7" s="483" t="s">
        <v>2870</v>
      </c>
      <c r="D7" s="209" t="str">
        <f>VLOOKUP(B7,USN!$1:$1088,2,False)</f>
        <v>1CR23AI003</v>
      </c>
      <c r="E7" s="484">
        <v>9.81657171E9</v>
      </c>
      <c r="F7" s="234" t="s">
        <v>3780</v>
      </c>
      <c r="G7" s="88"/>
      <c r="H7" s="210">
        <v>80.0</v>
      </c>
      <c r="I7" s="211">
        <v>95.0</v>
      </c>
      <c r="J7" s="211">
        <f>VLOOKUP(D7,'L3'!$1:$2060,2,False)</f>
        <v>70</v>
      </c>
      <c r="K7" s="211">
        <f>VLOOKUP(D7,'L4'!$1:$2059,2,False)</f>
        <v>76</v>
      </c>
      <c r="L7" s="212">
        <f>VLOOKUP(D7,'A1 RETEST 5 DEC'!$1:$2096,2,False)</f>
        <v>46</v>
      </c>
      <c r="M7" s="213">
        <f>VLOOKUP(D7,'A2 RETEST 4 DEC'!$1:$2096,2,False)</f>
        <v>50</v>
      </c>
      <c r="N7" s="213">
        <v>50.0</v>
      </c>
      <c r="O7" s="212"/>
      <c r="P7" s="214">
        <f>IFNA(VLOOKUP(D7,'S1'!$1:$1500,2,False),0)</f>
        <v>80</v>
      </c>
      <c r="Q7" s="214">
        <f>vlookup(D7,'S2'!A3:B1205,2,0)</f>
        <v>67</v>
      </c>
      <c r="R7" s="214">
        <f>ifna(vlookup(D7,'S3'!$1:$1311,2,False),0)</f>
        <v>73</v>
      </c>
      <c r="S7" s="214"/>
      <c r="T7" s="215">
        <v>20.0</v>
      </c>
      <c r="U7" s="215">
        <v>23.0</v>
      </c>
      <c r="V7" s="215">
        <v>90.0</v>
      </c>
      <c r="W7" s="215">
        <v>88.0</v>
      </c>
      <c r="X7" s="215">
        <v>70.0</v>
      </c>
      <c r="Y7" s="215"/>
      <c r="Z7" s="217"/>
      <c r="AA7" s="218">
        <v>40.0</v>
      </c>
      <c r="AB7" s="219">
        <v>61.0</v>
      </c>
      <c r="AC7" s="295">
        <v>23.0</v>
      </c>
      <c r="AD7" s="129">
        <v>62.0</v>
      </c>
      <c r="AE7" s="130">
        <v>45.0</v>
      </c>
      <c r="AF7" s="481"/>
      <c r="AG7" s="485">
        <v>48.0</v>
      </c>
      <c r="AH7" s="481"/>
      <c r="AI7" s="88"/>
      <c r="AJ7" s="88"/>
      <c r="AK7" s="132">
        <f t="shared" si="1"/>
        <v>4</v>
      </c>
      <c r="AL7" s="132">
        <f t="shared" si="2"/>
        <v>0</v>
      </c>
      <c r="AM7" s="133">
        <f t="shared" si="3"/>
        <v>3</v>
      </c>
      <c r="AN7" s="132" t="str">
        <f t="shared" si="4"/>
        <v>3</v>
      </c>
      <c r="AO7" s="132">
        <f t="shared" si="5"/>
        <v>3</v>
      </c>
      <c r="AP7" s="88"/>
    </row>
    <row r="8">
      <c r="A8" s="142">
        <v>4.0</v>
      </c>
      <c r="B8" s="483" t="s">
        <v>1749</v>
      </c>
      <c r="C8" s="483" t="s">
        <v>2871</v>
      </c>
      <c r="D8" s="209" t="str">
        <f>VLOOKUP(B8,USN!$1:$1088,2,False)</f>
        <v>1CR23AI004</v>
      </c>
      <c r="E8" s="484">
        <v>7.892450407E9</v>
      </c>
      <c r="F8" s="484" t="s">
        <v>3780</v>
      </c>
      <c r="G8" s="88"/>
      <c r="H8" s="243">
        <v>70.0</v>
      </c>
      <c r="I8" s="211">
        <v>79.0</v>
      </c>
      <c r="J8" s="211">
        <f>VLOOKUP(D8,'L3'!$1:$2060,2,False)</f>
        <v>50</v>
      </c>
      <c r="K8" s="211">
        <f>VLOOKUP(D8,'L4'!$1:$2059,2,False)</f>
        <v>70</v>
      </c>
      <c r="L8" s="212">
        <f>VLOOKUP(D8,'A1 RETEST 5 DEC'!$1:$2096,2,False)</f>
        <v>50</v>
      </c>
      <c r="M8" s="213">
        <f>VLOOKUP(D8,'A2 RETEST 4 DEC'!$1:$2096,2,False)</f>
        <v>50</v>
      </c>
      <c r="N8" s="213">
        <v>0.0</v>
      </c>
      <c r="O8" s="212"/>
      <c r="P8" s="214">
        <f>IFNA(VLOOKUP(D8,'S1'!$1:$1500,2,False),0)</f>
        <v>50</v>
      </c>
      <c r="Q8" s="214">
        <f>vlookup(D8,'S2'!A4:B1206,2,0)</f>
        <v>50</v>
      </c>
      <c r="R8" s="214">
        <f>ifna(vlookup(D8,'S3'!$1:$1311,2,False),0)</f>
        <v>50</v>
      </c>
      <c r="S8" s="214"/>
      <c r="T8" s="215">
        <v>19.0</v>
      </c>
      <c r="U8" s="215">
        <v>21.0</v>
      </c>
      <c r="V8" s="215">
        <v>90.0</v>
      </c>
      <c r="W8" s="215">
        <v>0.0</v>
      </c>
      <c r="X8" s="215">
        <v>88.0</v>
      </c>
      <c r="Y8" s="215"/>
      <c r="Z8" s="217"/>
      <c r="AA8" s="218">
        <v>60.0</v>
      </c>
      <c r="AB8" s="219">
        <v>75.0</v>
      </c>
      <c r="AC8" s="295">
        <v>3.0</v>
      </c>
      <c r="AD8" s="129">
        <v>1.0</v>
      </c>
      <c r="AE8" s="130">
        <v>10.0</v>
      </c>
      <c r="AF8" s="481"/>
      <c r="AG8" s="485">
        <v>0.0</v>
      </c>
      <c r="AH8" s="481"/>
      <c r="AI8" s="88"/>
      <c r="AJ8" s="88"/>
      <c r="AK8" s="132">
        <f t="shared" si="1"/>
        <v>2</v>
      </c>
      <c r="AL8" s="132">
        <f t="shared" si="2"/>
        <v>2</v>
      </c>
      <c r="AM8" s="133">
        <f t="shared" si="3"/>
        <v>2</v>
      </c>
      <c r="AN8" s="132" t="str">
        <f t="shared" si="4"/>
        <v>2</v>
      </c>
      <c r="AO8" s="132">
        <f t="shared" si="5"/>
        <v>3</v>
      </c>
      <c r="AP8" s="88"/>
    </row>
    <row r="9">
      <c r="A9" s="142">
        <v>5.0</v>
      </c>
      <c r="B9" s="483" t="s">
        <v>78</v>
      </c>
      <c r="C9" s="483" t="s">
        <v>2872</v>
      </c>
      <c r="D9" s="209" t="str">
        <f>VLOOKUP(B9,USN!$1:$1088,2,False)</f>
        <v>1CR23AI005</v>
      </c>
      <c r="E9" s="484">
        <v>7.349720412E9</v>
      </c>
      <c r="F9" s="484" t="s">
        <v>3780</v>
      </c>
      <c r="G9" s="88"/>
      <c r="H9" s="243">
        <v>70.0</v>
      </c>
      <c r="I9" s="211">
        <v>72.0</v>
      </c>
      <c r="J9" s="211">
        <f>VLOOKUP(D9,'L3'!$1:$2060,2,False)</f>
        <v>62</v>
      </c>
      <c r="K9" s="211">
        <f>VLOOKUP(D9,'L4'!$1:$2059,2,False)</f>
        <v>70</v>
      </c>
      <c r="L9" s="212">
        <f>VLOOKUP(D9,'A1 RETEST 5 DEC'!$1:$2096,2,False)</f>
        <v>50</v>
      </c>
      <c r="M9" s="213">
        <f>VLOOKUP(D9,'A2 RETEST 4 DEC'!$1:$2096,2,False)</f>
        <v>50</v>
      </c>
      <c r="N9" s="213">
        <v>10.0</v>
      </c>
      <c r="O9" s="212"/>
      <c r="P9" s="214">
        <f>IFNA(VLOOKUP(D9,'S1'!$1:$1500,2,False),0)</f>
        <v>79</v>
      </c>
      <c r="Q9" s="214">
        <f>vlookup(D9,'S2'!A5:B1207,2,0)</f>
        <v>80</v>
      </c>
      <c r="R9" s="214">
        <f>ifna(vlookup(D9,'S3'!$1:$1311,2,False),0)</f>
        <v>84</v>
      </c>
      <c r="S9" s="214"/>
      <c r="T9" s="215">
        <v>18.0</v>
      </c>
      <c r="U9" s="215">
        <v>22.0</v>
      </c>
      <c r="V9" s="215">
        <v>94.0</v>
      </c>
      <c r="W9" s="215">
        <v>88.0</v>
      </c>
      <c r="X9" s="215">
        <v>84.0</v>
      </c>
      <c r="Y9" s="215"/>
      <c r="Z9" s="217"/>
      <c r="AA9" s="218">
        <v>60.0</v>
      </c>
      <c r="AB9" s="219">
        <v>50.0</v>
      </c>
      <c r="AC9" s="295">
        <v>70.0</v>
      </c>
      <c r="AD9" s="129">
        <v>31.0</v>
      </c>
      <c r="AE9" s="130">
        <v>33.0</v>
      </c>
      <c r="AF9" s="481"/>
      <c r="AG9" s="485">
        <v>55.0</v>
      </c>
      <c r="AH9" s="481"/>
      <c r="AI9" s="88"/>
      <c r="AJ9" s="88"/>
      <c r="AK9" s="132">
        <f t="shared" si="1"/>
        <v>2</v>
      </c>
      <c r="AL9" s="132">
        <f t="shared" si="2"/>
        <v>2</v>
      </c>
      <c r="AM9" s="133">
        <f t="shared" si="3"/>
        <v>3</v>
      </c>
      <c r="AN9" s="132" t="str">
        <f t="shared" si="4"/>
        <v>3</v>
      </c>
      <c r="AO9" s="132">
        <f t="shared" si="5"/>
        <v>3</v>
      </c>
      <c r="AP9" s="88"/>
    </row>
    <row r="10">
      <c r="A10" s="142">
        <v>6.0</v>
      </c>
      <c r="B10" s="483" t="s">
        <v>1656</v>
      </c>
      <c r="C10" s="483" t="s">
        <v>2873</v>
      </c>
      <c r="D10" s="209" t="str">
        <f>VLOOKUP(B10,USN!$1:$1088,2,False)</f>
        <v>1CR23AI006</v>
      </c>
      <c r="E10" s="484">
        <v>6.36442975E9</v>
      </c>
      <c r="F10" s="234" t="s">
        <v>3780</v>
      </c>
      <c r="G10" s="88"/>
      <c r="H10" s="210">
        <v>71.0</v>
      </c>
      <c r="I10" s="211">
        <v>79.0</v>
      </c>
      <c r="J10" s="211">
        <f>VLOOKUP(D10,'L3'!$1:$2060,2,False)</f>
        <v>55</v>
      </c>
      <c r="K10" s="211">
        <f>VLOOKUP(D10,'L4'!$1:$2059,2,False)</f>
        <v>70</v>
      </c>
      <c r="L10" s="212">
        <f>VLOOKUP(D10,'A1 RETEST 5 DEC'!$1:$2096,2,False)</f>
        <v>50</v>
      </c>
      <c r="M10" s="213">
        <f>VLOOKUP(D10,'A2 RETEST 4 DEC'!$1:$2096,2,False)</f>
        <v>13</v>
      </c>
      <c r="N10" s="213">
        <v>0.0</v>
      </c>
      <c r="O10" s="212"/>
      <c r="P10" s="214">
        <f>IFNA(VLOOKUP(D10,'S1'!$1:$1500,2,False),0)</f>
        <v>0</v>
      </c>
      <c r="Q10" s="214">
        <f>vlookup(D10,'S2'!A6:B1208,2,0)</f>
        <v>80</v>
      </c>
      <c r="R10" s="214">
        <f>ifna(vlookup(D10,'S3'!$1:$1311,2,False),0)</f>
        <v>50</v>
      </c>
      <c r="S10" s="214"/>
      <c r="T10" s="215">
        <v>19.0</v>
      </c>
      <c r="U10" s="215">
        <v>16.0</v>
      </c>
      <c r="V10" s="215">
        <v>0.0</v>
      </c>
      <c r="W10" s="215">
        <v>0.0</v>
      </c>
      <c r="X10" s="215">
        <v>78.0</v>
      </c>
      <c r="Y10" s="215"/>
      <c r="Z10" s="217"/>
      <c r="AA10" s="218">
        <v>24.0</v>
      </c>
      <c r="AB10" s="219">
        <v>35.0</v>
      </c>
      <c r="AC10" s="295">
        <v>35.0</v>
      </c>
      <c r="AD10" s="129">
        <v>0.0</v>
      </c>
      <c r="AE10" s="130">
        <v>10.0</v>
      </c>
      <c r="AF10" s="481"/>
      <c r="AG10" s="482">
        <v>70.0</v>
      </c>
      <c r="AH10" s="481"/>
      <c r="AI10" s="88"/>
      <c r="AJ10" s="88"/>
      <c r="AK10" s="132">
        <f t="shared" si="1"/>
        <v>2</v>
      </c>
      <c r="AL10" s="132">
        <f t="shared" si="2"/>
        <v>1</v>
      </c>
      <c r="AM10" s="133">
        <f t="shared" si="3"/>
        <v>2</v>
      </c>
      <c r="AN10" s="132" t="str">
        <f t="shared" si="4"/>
        <v>0</v>
      </c>
      <c r="AO10" s="132">
        <f t="shared" si="5"/>
        <v>0</v>
      </c>
      <c r="AP10" s="88"/>
    </row>
    <row r="11">
      <c r="A11" s="142">
        <v>7.0</v>
      </c>
      <c r="B11" s="483" t="s">
        <v>1651</v>
      </c>
      <c r="C11" s="483" t="s">
        <v>2874</v>
      </c>
      <c r="D11" s="209" t="str">
        <f>VLOOKUP(B11,USN!$1:$1088,2,False)</f>
        <v>1CR23AI007</v>
      </c>
      <c r="E11" s="484">
        <v>8.792695603E9</v>
      </c>
      <c r="F11" s="234" t="s">
        <v>3780</v>
      </c>
      <c r="G11" s="88"/>
      <c r="H11" s="243">
        <v>70.0</v>
      </c>
      <c r="I11" s="211">
        <v>76.0</v>
      </c>
      <c r="J11" s="211">
        <f>VLOOKUP(D11,'L3'!$1:$2060,2,False)</f>
        <v>70</v>
      </c>
      <c r="K11" s="211">
        <f>VLOOKUP(D11,'L4'!$1:$2059,2,False)</f>
        <v>70</v>
      </c>
      <c r="L11" s="212">
        <f>VLOOKUP(D11,'A1 RETEST 5 DEC'!$1:$2096,2,False)</f>
        <v>50</v>
      </c>
      <c r="M11" s="213">
        <f>VLOOKUP(D11,'A2 RETEST 4 DEC'!$1:$2096,2,False)</f>
        <v>18</v>
      </c>
      <c r="N11" s="213">
        <v>50.0</v>
      </c>
      <c r="O11" s="212"/>
      <c r="P11" s="214">
        <f>IFNA(VLOOKUP(D11,'S1'!$1:$1500,2,False),0)</f>
        <v>80</v>
      </c>
      <c r="Q11" s="214">
        <f>vlookup(D11,'S2'!A7:B1209,2,0)</f>
        <v>80</v>
      </c>
      <c r="R11" s="214">
        <f>ifna(vlookup(D11,'S3'!$1:$1311,2,False),0)</f>
        <v>77</v>
      </c>
      <c r="S11" s="214"/>
      <c r="T11" s="215">
        <v>10.0</v>
      </c>
      <c r="U11" s="215">
        <v>23.0</v>
      </c>
      <c r="V11" s="215">
        <v>92.0</v>
      </c>
      <c r="W11" s="215">
        <v>88.0</v>
      </c>
      <c r="X11" s="215">
        <v>82.0</v>
      </c>
      <c r="Y11" s="215"/>
      <c r="Z11" s="217"/>
      <c r="AA11" s="218">
        <v>14.0</v>
      </c>
      <c r="AB11" s="219">
        <v>94.0</v>
      </c>
      <c r="AC11" s="295">
        <v>100.0</v>
      </c>
      <c r="AD11" s="129">
        <v>73.0</v>
      </c>
      <c r="AE11" s="130">
        <v>37.0</v>
      </c>
      <c r="AF11" s="481"/>
      <c r="AG11" s="482">
        <v>74.0</v>
      </c>
      <c r="AH11" s="481"/>
      <c r="AI11" s="88"/>
      <c r="AJ11" s="88"/>
      <c r="AK11" s="132">
        <f t="shared" si="1"/>
        <v>4</v>
      </c>
      <c r="AL11" s="132">
        <f t="shared" si="2"/>
        <v>1</v>
      </c>
      <c r="AM11" s="133">
        <f t="shared" si="3"/>
        <v>3</v>
      </c>
      <c r="AN11" s="132" t="str">
        <f t="shared" si="4"/>
        <v>3</v>
      </c>
      <c r="AO11" s="132">
        <f t="shared" si="5"/>
        <v>3</v>
      </c>
      <c r="AP11" s="88"/>
    </row>
    <row r="12">
      <c r="A12" s="142">
        <v>8.0</v>
      </c>
      <c r="B12" s="483" t="s">
        <v>1619</v>
      </c>
      <c r="C12" s="483" t="s">
        <v>2875</v>
      </c>
      <c r="D12" s="209" t="str">
        <f>VLOOKUP(B12,USN!$1:$1088,2,False)</f>
        <v>1CR23AI008</v>
      </c>
      <c r="E12" s="484">
        <v>6.207766774E9</v>
      </c>
      <c r="F12" s="234" t="s">
        <v>3780</v>
      </c>
      <c r="G12" s="88"/>
      <c r="H12" s="210">
        <v>73.0</v>
      </c>
      <c r="I12" s="211">
        <v>88.0</v>
      </c>
      <c r="J12" s="211">
        <f>VLOOKUP(D12,'L3'!$1:$2060,2,False)</f>
        <v>79</v>
      </c>
      <c r="K12" s="211">
        <f>VLOOKUP(D12,'L4'!$1:$2059,2,False)</f>
        <v>75</v>
      </c>
      <c r="L12" s="212">
        <f>VLOOKUP(D12,'A1 RETEST 5 DEC'!$1:$2096,2,False)</f>
        <v>50</v>
      </c>
      <c r="M12" s="213">
        <f>VLOOKUP(D12,'A2 RETEST 4 DEC'!$1:$2096,2,False)</f>
        <v>50</v>
      </c>
      <c r="N12" s="213">
        <v>50.0</v>
      </c>
      <c r="O12" s="212"/>
      <c r="P12" s="214">
        <f>IFNA(VLOOKUP(D12,'S1'!$1:$1500,2,False),0)</f>
        <v>50</v>
      </c>
      <c r="Q12" s="214">
        <f>vlookup(D12,'S2'!A8:B1210,2,0)</f>
        <v>50</v>
      </c>
      <c r="R12" s="214">
        <f>ifna(vlookup(D12,'S3'!$1:$1311,2,False),0)</f>
        <v>50</v>
      </c>
      <c r="S12" s="214"/>
      <c r="T12" s="215">
        <v>22.0</v>
      </c>
      <c r="U12" s="215">
        <v>23.0</v>
      </c>
      <c r="V12" s="215">
        <v>86.0</v>
      </c>
      <c r="W12" s="215">
        <v>90.0</v>
      </c>
      <c r="X12" s="215">
        <v>84.0</v>
      </c>
      <c r="Y12" s="215"/>
      <c r="Z12" s="217"/>
      <c r="AA12" s="218">
        <v>100.0</v>
      </c>
      <c r="AB12" s="219">
        <v>100.0</v>
      </c>
      <c r="AC12" s="295">
        <v>71.0</v>
      </c>
      <c r="AD12" s="129">
        <v>60.0</v>
      </c>
      <c r="AE12" s="130">
        <v>97.0</v>
      </c>
      <c r="AF12" s="481"/>
      <c r="AG12" s="482">
        <v>74.0</v>
      </c>
      <c r="AH12" s="481"/>
      <c r="AI12" s="88"/>
      <c r="AJ12" s="88"/>
      <c r="AK12" s="132">
        <f t="shared" si="1"/>
        <v>4</v>
      </c>
      <c r="AL12" s="132">
        <f t="shared" si="2"/>
        <v>3</v>
      </c>
      <c r="AM12" s="133">
        <f t="shared" si="3"/>
        <v>3</v>
      </c>
      <c r="AN12" s="132" t="str">
        <f t="shared" si="4"/>
        <v>3.5</v>
      </c>
      <c r="AO12" s="132">
        <f t="shared" si="5"/>
        <v>3</v>
      </c>
      <c r="AP12" s="88"/>
    </row>
    <row r="13">
      <c r="A13" s="142">
        <v>9.0</v>
      </c>
      <c r="B13" s="483" t="s">
        <v>1620</v>
      </c>
      <c r="C13" s="483" t="s">
        <v>2876</v>
      </c>
      <c r="D13" s="209" t="str">
        <f>VLOOKUP(B13,USN!$1:$1088,2,False)</f>
        <v>1CR23AI009</v>
      </c>
      <c r="E13" s="484">
        <v>8.317303761E9</v>
      </c>
      <c r="F13" s="234" t="s">
        <v>3780</v>
      </c>
      <c r="G13" s="88"/>
      <c r="H13" s="210">
        <v>71.0</v>
      </c>
      <c r="I13" s="211">
        <v>82.0</v>
      </c>
      <c r="J13" s="211">
        <f>VLOOKUP(D13,'L3'!$1:$2060,2,False)</f>
        <v>72</v>
      </c>
      <c r="K13" s="211">
        <f>VLOOKUP(D13,'L4'!$1:$2059,2,False)</f>
        <v>70</v>
      </c>
      <c r="L13" s="212">
        <f>VLOOKUP(D13,'A1 RETEST 5 DEC'!$1:$2096,2,False)</f>
        <v>50</v>
      </c>
      <c r="M13" s="213">
        <f>VLOOKUP(D13,'A2 RETEST 4 DEC'!$1:$2096,2,False)</f>
        <v>50</v>
      </c>
      <c r="N13" s="213">
        <v>54.0</v>
      </c>
      <c r="O13" s="212"/>
      <c r="P13" s="214">
        <f>IFNA(VLOOKUP(D13,'S1'!$1:$1500,2,False),0)</f>
        <v>75</v>
      </c>
      <c r="Q13" s="214">
        <f>vlookup(D13,'S2'!A9:B1211,2,0)</f>
        <v>80</v>
      </c>
      <c r="R13" s="214">
        <f>ifna(vlookup(D13,'S3'!$1:$1311,2,False),0)</f>
        <v>85</v>
      </c>
      <c r="S13" s="214"/>
      <c r="T13" s="215">
        <v>15.0</v>
      </c>
      <c r="U13" s="215">
        <v>18.0</v>
      </c>
      <c r="V13" s="215">
        <v>88.0</v>
      </c>
      <c r="W13" s="215">
        <v>82.0</v>
      </c>
      <c r="X13" s="215">
        <v>74.0</v>
      </c>
      <c r="Y13" s="215"/>
      <c r="Z13" s="217"/>
      <c r="AA13" s="218">
        <v>48.0</v>
      </c>
      <c r="AB13" s="219">
        <v>97.0</v>
      </c>
      <c r="AC13" s="295">
        <v>68.0</v>
      </c>
      <c r="AD13" s="129">
        <v>71.0</v>
      </c>
      <c r="AE13" s="130">
        <v>74.0</v>
      </c>
      <c r="AF13" s="481"/>
      <c r="AG13" s="482">
        <v>88.0</v>
      </c>
      <c r="AH13" s="481"/>
      <c r="AI13" s="88"/>
      <c r="AJ13" s="88"/>
      <c r="AK13" s="132">
        <f t="shared" si="1"/>
        <v>4</v>
      </c>
      <c r="AL13" s="132">
        <f t="shared" si="2"/>
        <v>3</v>
      </c>
      <c r="AM13" s="133">
        <f t="shared" si="3"/>
        <v>3</v>
      </c>
      <c r="AN13" s="132" t="str">
        <f t="shared" si="4"/>
        <v>3.5</v>
      </c>
      <c r="AO13" s="132">
        <f t="shared" si="5"/>
        <v>3</v>
      </c>
      <c r="AP13" s="88"/>
    </row>
    <row r="14">
      <c r="A14" s="142">
        <v>10.0</v>
      </c>
      <c r="B14" s="483" t="s">
        <v>1621</v>
      </c>
      <c r="C14" s="483" t="s">
        <v>2877</v>
      </c>
      <c r="D14" s="209" t="str">
        <f>VLOOKUP(B14,USN!$1:$1088,2,False)</f>
        <v>1CR23AI010</v>
      </c>
      <c r="E14" s="484">
        <v>9.48322638E9</v>
      </c>
      <c r="F14" s="234" t="s">
        <v>3780</v>
      </c>
      <c r="G14" s="88"/>
      <c r="H14" s="210">
        <v>76.0</v>
      </c>
      <c r="I14" s="211">
        <v>87.0</v>
      </c>
      <c r="J14" s="211">
        <f>VLOOKUP(D14,'L3'!$1:$2060,2,False)</f>
        <v>85</v>
      </c>
      <c r="K14" s="211">
        <f>VLOOKUP(D14,'L4'!$1:$2059,2,False)</f>
        <v>6</v>
      </c>
      <c r="L14" s="212">
        <f>VLOOKUP(D14,'A1 RETEST 5 DEC'!$1:$2096,2,False)</f>
        <v>33</v>
      </c>
      <c r="M14" s="213">
        <f>VLOOKUP(D14,'A2 RETEST 4 DEC'!$1:$2096,2,False)</f>
        <v>0</v>
      </c>
      <c r="N14" s="213">
        <v>10.0</v>
      </c>
      <c r="O14" s="212"/>
      <c r="P14" s="214">
        <f>IFNA(VLOOKUP(D14,'S1'!$1:$1500,2,False),0)</f>
        <v>80</v>
      </c>
      <c r="Q14" s="214">
        <f>vlookup(D14,'S2'!A10:B1212,2,0)</f>
        <v>0</v>
      </c>
      <c r="R14" s="214">
        <f>ifna(vlookup(D14,'S3'!$1:$1311,2,False),0)</f>
        <v>0</v>
      </c>
      <c r="S14" s="214"/>
      <c r="T14" s="215">
        <v>23.0</v>
      </c>
      <c r="U14" s="215">
        <v>23.0</v>
      </c>
      <c r="V14" s="215">
        <v>94.0</v>
      </c>
      <c r="W14" s="215">
        <v>0.0</v>
      </c>
      <c r="X14" s="215">
        <v>0.0</v>
      </c>
      <c r="Y14" s="215"/>
      <c r="Z14" s="217"/>
      <c r="AA14" s="218">
        <v>34.0</v>
      </c>
      <c r="AB14" s="219">
        <v>67.0</v>
      </c>
      <c r="AC14" s="295">
        <v>0.0</v>
      </c>
      <c r="AD14" s="129">
        <v>11.0</v>
      </c>
      <c r="AE14" s="130">
        <v>10.0</v>
      </c>
      <c r="AF14" s="481"/>
      <c r="AG14" s="486">
        <v>39.0</v>
      </c>
      <c r="AH14" s="481"/>
      <c r="AI14" s="88"/>
      <c r="AJ14" s="88"/>
      <c r="AK14" s="132">
        <f t="shared" si="1"/>
        <v>3</v>
      </c>
      <c r="AL14" s="132">
        <f t="shared" si="2"/>
        <v>0</v>
      </c>
      <c r="AM14" s="133">
        <f t="shared" si="3"/>
        <v>2</v>
      </c>
      <c r="AN14" s="132" t="str">
        <f t="shared" ref="AN14:AN57" si="6">IF(AB14&gt;=$AB$4, 
    IF(OR(AC14&gt;=$AC$4, AD14&gt;=$AD$4), 
        IF(AND(AE14&gt;=$AE$4, AF14&gt;=$AF$4, OR(AG15&gt;=$AG$4, AH14&gt;=$AH$4)), "4", 
            IF(OR(AE14&gt;=$AE$4, AF14&gt;=$AF$4), "3.5", 
                "3")), 
        "2"), 
    "0")</f>
        <v>2</v>
      </c>
      <c r="AO14" s="132">
        <f t="shared" si="5"/>
        <v>1</v>
      </c>
      <c r="AP14" s="88"/>
    </row>
    <row r="15">
      <c r="A15" s="142">
        <v>11.0</v>
      </c>
      <c r="B15" s="483" t="s">
        <v>1622</v>
      </c>
      <c r="C15" s="483" t="s">
        <v>2878</v>
      </c>
      <c r="D15" s="209" t="str">
        <f>VLOOKUP(B15,USN!$1:$1088,2,False)</f>
        <v>1CR23AI011</v>
      </c>
      <c r="E15" s="484">
        <v>9.53596756E9</v>
      </c>
      <c r="F15" s="234" t="s">
        <v>3780</v>
      </c>
      <c r="G15" s="88"/>
      <c r="H15" s="210">
        <v>88.0</v>
      </c>
      <c r="I15" s="211">
        <v>87.0</v>
      </c>
      <c r="J15" s="211">
        <f>VLOOKUP(D15,'L3'!$1:$2060,2,False)</f>
        <v>79</v>
      </c>
      <c r="K15" s="211">
        <f>VLOOKUP(D15,'L4'!$1:$2059,2,False)</f>
        <v>70</v>
      </c>
      <c r="L15" s="212">
        <f>VLOOKUP(D15,'A1 RETEST 5 DEC'!$1:$2096,2,False)</f>
        <v>58</v>
      </c>
      <c r="M15" s="213">
        <f>VLOOKUP(D15,'A2 RETEST 4 DEC'!$1:$2096,2,False)</f>
        <v>50</v>
      </c>
      <c r="N15" s="213">
        <v>50.0</v>
      </c>
      <c r="O15" s="212"/>
      <c r="P15" s="214">
        <f>IFNA(VLOOKUP(D15,'S1'!$1:$1500,2,False),0)</f>
        <v>83</v>
      </c>
      <c r="Q15" s="214">
        <f>vlookup(D15,'S2'!A11:B1213,2,0)</f>
        <v>88</v>
      </c>
      <c r="R15" s="214">
        <f>ifna(vlookup(D15,'S3'!$1:$1311,2,False),0)</f>
        <v>78</v>
      </c>
      <c r="S15" s="214"/>
      <c r="T15" s="215">
        <v>14.0</v>
      </c>
      <c r="U15" s="215">
        <v>18.0</v>
      </c>
      <c r="V15" s="215">
        <v>74.0</v>
      </c>
      <c r="W15" s="215">
        <v>80.0</v>
      </c>
      <c r="X15" s="215">
        <v>72.0</v>
      </c>
      <c r="Y15" s="215"/>
      <c r="Z15" s="217"/>
      <c r="AA15" s="218">
        <v>100.0</v>
      </c>
      <c r="AB15" s="219">
        <v>97.0</v>
      </c>
      <c r="AC15" s="295">
        <v>91.0</v>
      </c>
      <c r="AD15" s="129">
        <v>65.0</v>
      </c>
      <c r="AE15" s="130">
        <v>70.0</v>
      </c>
      <c r="AF15" s="481"/>
      <c r="AG15" s="487">
        <v>81.0</v>
      </c>
      <c r="AH15" s="481"/>
      <c r="AI15" s="88"/>
      <c r="AJ15" s="88"/>
      <c r="AK15" s="132">
        <f t="shared" si="1"/>
        <v>4</v>
      </c>
      <c r="AL15" s="132">
        <f t="shared" si="2"/>
        <v>3</v>
      </c>
      <c r="AM15" s="133">
        <f t="shared" si="3"/>
        <v>3</v>
      </c>
      <c r="AN15" s="132" t="str">
        <f t="shared" si="6"/>
        <v>3.5</v>
      </c>
      <c r="AO15" s="132">
        <f t="shared" si="5"/>
        <v>3</v>
      </c>
      <c r="AP15" s="88"/>
    </row>
    <row r="16">
      <c r="A16" s="142">
        <v>12.0</v>
      </c>
      <c r="B16" s="483" t="s">
        <v>1659</v>
      </c>
      <c r="C16" s="483" t="s">
        <v>2879</v>
      </c>
      <c r="D16" s="209" t="str">
        <f>VLOOKUP(B16,USN!$1:$1088,2,False)</f>
        <v>1CR23AI012</v>
      </c>
      <c r="E16" s="484" t="s">
        <v>3781</v>
      </c>
      <c r="F16" s="234" t="s">
        <v>3780</v>
      </c>
      <c r="G16" s="88"/>
      <c r="H16" s="210">
        <v>81.0</v>
      </c>
      <c r="I16" s="211">
        <v>89.0</v>
      </c>
      <c r="J16" s="211">
        <f>VLOOKUP(D16,'L3'!$1:$2060,2,False)</f>
        <v>53</v>
      </c>
      <c r="K16" s="211">
        <f>VLOOKUP(D16,'L4'!$1:$2059,2,False)</f>
        <v>42</v>
      </c>
      <c r="L16" s="212">
        <f>VLOOKUP(D16,'A1 RETEST 5 DEC'!$1:$2096,2,False)</f>
        <v>17</v>
      </c>
      <c r="M16" s="213">
        <f>VLOOKUP(D16,'A2 RETEST 4 DEC'!$1:$2096,2,False)</f>
        <v>15</v>
      </c>
      <c r="N16" s="213">
        <v>0.0</v>
      </c>
      <c r="O16" s="212"/>
      <c r="P16" s="214">
        <f>IFNA(VLOOKUP(D16,'S1'!$1:$1500,2,False),0)</f>
        <v>0</v>
      </c>
      <c r="Q16" s="214">
        <f>vlookup(D16,'S2'!A12:B1214,2,0)</f>
        <v>50</v>
      </c>
      <c r="R16" s="214">
        <f>ifna(vlookup(D16,'S3'!$1:$1311,2,False),0)</f>
        <v>0</v>
      </c>
      <c r="S16" s="214"/>
      <c r="T16" s="215">
        <v>11.0</v>
      </c>
      <c r="U16" s="215">
        <v>19.0</v>
      </c>
      <c r="V16" s="215">
        <v>78.0</v>
      </c>
      <c r="W16" s="215">
        <v>82.0</v>
      </c>
      <c r="X16" s="215">
        <v>70.0</v>
      </c>
      <c r="Y16" s="215"/>
      <c r="Z16" s="217"/>
      <c r="AA16" s="218">
        <v>84.0</v>
      </c>
      <c r="AB16" s="219">
        <v>100.0</v>
      </c>
      <c r="AC16" s="295">
        <v>0.0</v>
      </c>
      <c r="AD16" s="129">
        <v>0.0</v>
      </c>
      <c r="AE16" s="130">
        <v>10.0</v>
      </c>
      <c r="AF16" s="481"/>
      <c r="AG16" s="487">
        <v>21.0</v>
      </c>
      <c r="AH16" s="481"/>
      <c r="AI16" s="88"/>
      <c r="AJ16" s="88"/>
      <c r="AK16" s="132">
        <f t="shared" si="1"/>
        <v>2</v>
      </c>
      <c r="AL16" s="132">
        <f t="shared" si="2"/>
        <v>0</v>
      </c>
      <c r="AM16" s="133">
        <f t="shared" si="3"/>
        <v>3</v>
      </c>
      <c r="AN16" s="132" t="str">
        <f t="shared" si="6"/>
        <v>2</v>
      </c>
      <c r="AO16" s="132">
        <f t="shared" si="5"/>
        <v>0</v>
      </c>
      <c r="AP16" s="88"/>
    </row>
    <row r="17">
      <c r="A17" s="142">
        <v>13.0</v>
      </c>
      <c r="B17" s="483" t="s">
        <v>1623</v>
      </c>
      <c r="C17" s="483" t="s">
        <v>2880</v>
      </c>
      <c r="D17" s="209" t="str">
        <f>VLOOKUP(B17,USN!$1:$1088,2,False)</f>
        <v>1CR23AI013</v>
      </c>
      <c r="E17" s="484">
        <v>8.052648374E9</v>
      </c>
      <c r="F17" s="234" t="s">
        <v>3780</v>
      </c>
      <c r="G17" s="88"/>
      <c r="H17" s="210">
        <v>82.0</v>
      </c>
      <c r="I17" s="211">
        <v>85.0</v>
      </c>
      <c r="J17" s="211">
        <f>VLOOKUP(D17,'L3'!$1:$2060,2,False)</f>
        <v>78</v>
      </c>
      <c r="K17" s="211">
        <f>VLOOKUP(D17,'L4'!$1:$2059,2,False)</f>
        <v>70</v>
      </c>
      <c r="L17" s="212">
        <f>VLOOKUP(D17,'A1 RETEST 5 DEC'!$1:$2096,2,False)</f>
        <v>54</v>
      </c>
      <c r="M17" s="213">
        <f>VLOOKUP(D17,'A2 RETEST 4 DEC'!$1:$2096,2,False)</f>
        <v>50</v>
      </c>
      <c r="N17" s="213">
        <v>59.0</v>
      </c>
      <c r="O17" s="212"/>
      <c r="P17" s="214">
        <f>IFNA(VLOOKUP(D17,'S1'!$1:$1500,2,False),0)</f>
        <v>50</v>
      </c>
      <c r="Q17" s="214">
        <f>vlookup(D17,'S2'!A13:B1215,2,0)</f>
        <v>50</v>
      </c>
      <c r="R17" s="214">
        <f>ifna(vlookup(D17,'S3'!$1:$1311,2,False),0)</f>
        <v>50</v>
      </c>
      <c r="S17" s="214"/>
      <c r="T17" s="215">
        <v>13.0</v>
      </c>
      <c r="U17" s="215">
        <v>23.0</v>
      </c>
      <c r="V17" s="215">
        <v>88.0</v>
      </c>
      <c r="W17" s="215">
        <v>80.0</v>
      </c>
      <c r="X17" s="215">
        <v>90.0</v>
      </c>
      <c r="Y17" s="215"/>
      <c r="Z17" s="217"/>
      <c r="AA17" s="218">
        <v>80.0</v>
      </c>
      <c r="AB17" s="219">
        <v>100.0</v>
      </c>
      <c r="AC17" s="295">
        <v>100.0</v>
      </c>
      <c r="AD17" s="129">
        <v>80.0</v>
      </c>
      <c r="AE17" s="130">
        <v>10.0</v>
      </c>
      <c r="AF17" s="481"/>
      <c r="AG17" s="488">
        <v>53.0</v>
      </c>
      <c r="AH17" s="481"/>
      <c r="AI17" s="88"/>
      <c r="AJ17" s="88"/>
      <c r="AK17" s="132">
        <f t="shared" si="1"/>
        <v>4</v>
      </c>
      <c r="AL17" s="132">
        <f t="shared" si="2"/>
        <v>3</v>
      </c>
      <c r="AM17" s="133">
        <f t="shared" si="3"/>
        <v>3</v>
      </c>
      <c r="AN17" s="132" t="str">
        <f t="shared" si="6"/>
        <v>3</v>
      </c>
      <c r="AO17" s="132">
        <f t="shared" si="5"/>
        <v>3</v>
      </c>
      <c r="AP17" s="88"/>
    </row>
    <row r="18">
      <c r="A18" s="142">
        <v>14.0</v>
      </c>
      <c r="B18" s="483" t="s">
        <v>1624</v>
      </c>
      <c r="C18" s="483" t="s">
        <v>2881</v>
      </c>
      <c r="D18" s="209" t="str">
        <f>VLOOKUP(B18,USN!$1:$1088,2,False)</f>
        <v>1CR23AI014</v>
      </c>
      <c r="E18" s="484">
        <v>9.972268833E9</v>
      </c>
      <c r="F18" s="234" t="s">
        <v>3780</v>
      </c>
      <c r="G18" s="88"/>
      <c r="H18" s="210">
        <v>81.0</v>
      </c>
      <c r="I18" s="211">
        <v>89.0</v>
      </c>
      <c r="J18" s="211">
        <f>VLOOKUP(D18,'L3'!$1:$2060,2,False)</f>
        <v>70</v>
      </c>
      <c r="K18" s="211">
        <f>VLOOKUP(D18,'L4'!$1:$2059,2,False)</f>
        <v>70</v>
      </c>
      <c r="L18" s="212">
        <f>VLOOKUP(D18,'A1 RETEST 5 DEC'!$1:$2096,2,False)</f>
        <v>50</v>
      </c>
      <c r="M18" s="213">
        <f>VLOOKUP(D18,'A2 RETEST 4 DEC'!$1:$2096,2,False)</f>
        <v>50</v>
      </c>
      <c r="N18" s="213">
        <v>50.0</v>
      </c>
      <c r="O18" s="212"/>
      <c r="P18" s="214">
        <f>IFNA(VLOOKUP(D18,'S1'!$1:$1500,2,False),0)</f>
        <v>75</v>
      </c>
      <c r="Q18" s="214">
        <f>vlookup(D18,'S2'!A14:B1216,2,0)</f>
        <v>88</v>
      </c>
      <c r="R18" s="214">
        <f>ifna(vlookup(D18,'S3'!$1:$1311,2,False),0)</f>
        <v>78</v>
      </c>
      <c r="S18" s="214"/>
      <c r="T18" s="215">
        <v>13.0</v>
      </c>
      <c r="U18" s="215">
        <v>22.0</v>
      </c>
      <c r="V18" s="215">
        <v>70.0</v>
      </c>
      <c r="W18" s="215">
        <v>88.0</v>
      </c>
      <c r="X18" s="215">
        <v>66.0</v>
      </c>
      <c r="Y18" s="215"/>
      <c r="Z18" s="217"/>
      <c r="AA18" s="218">
        <v>58.0</v>
      </c>
      <c r="AB18" s="219">
        <v>82.0</v>
      </c>
      <c r="AC18" s="295">
        <v>88.0</v>
      </c>
      <c r="AD18" s="129">
        <v>65.0</v>
      </c>
      <c r="AE18" s="130">
        <v>15.0</v>
      </c>
      <c r="AF18" s="481"/>
      <c r="AG18" s="487">
        <v>41.0</v>
      </c>
      <c r="AH18" s="481"/>
      <c r="AI18" s="88"/>
      <c r="AJ18" s="88"/>
      <c r="AK18" s="132">
        <f t="shared" si="1"/>
        <v>4</v>
      </c>
      <c r="AL18" s="132">
        <f t="shared" si="2"/>
        <v>3</v>
      </c>
      <c r="AM18" s="133">
        <f t="shared" si="3"/>
        <v>3</v>
      </c>
      <c r="AN18" s="132" t="str">
        <f t="shared" si="6"/>
        <v>3</v>
      </c>
      <c r="AO18" s="132">
        <f t="shared" si="5"/>
        <v>3</v>
      </c>
      <c r="AP18" s="88"/>
    </row>
    <row r="19">
      <c r="A19" s="142">
        <v>15.0</v>
      </c>
      <c r="B19" s="483" t="s">
        <v>1625</v>
      </c>
      <c r="C19" s="483" t="s">
        <v>2882</v>
      </c>
      <c r="D19" s="209" t="str">
        <f>VLOOKUP(B19,USN!$1:$1088,2,False)</f>
        <v>1CR23AI015</v>
      </c>
      <c r="E19" s="484">
        <v>8.792772957E9</v>
      </c>
      <c r="F19" s="234" t="s">
        <v>3780</v>
      </c>
      <c r="G19" s="88"/>
      <c r="H19" s="243">
        <v>70.0</v>
      </c>
      <c r="I19" s="211">
        <v>74.0</v>
      </c>
      <c r="J19" s="211">
        <f>VLOOKUP(D19,'L3'!$1:$2060,2,False)</f>
        <v>70</v>
      </c>
      <c r="K19" s="211">
        <f>VLOOKUP(D19,'L4'!$1:$2059,2,False)</f>
        <v>70</v>
      </c>
      <c r="L19" s="212">
        <f>VLOOKUP(D19,'A1 RETEST 5 DEC'!$1:$2096,2,False)</f>
        <v>50</v>
      </c>
      <c r="M19" s="213">
        <f>VLOOKUP(D19,'A2 RETEST 4 DEC'!$1:$2096,2,False)</f>
        <v>50</v>
      </c>
      <c r="N19" s="213">
        <v>34.0</v>
      </c>
      <c r="O19" s="212"/>
      <c r="P19" s="214">
        <f>IFNA(VLOOKUP(D19,'S1'!$1:$1500,2,False),0)</f>
        <v>74</v>
      </c>
      <c r="Q19" s="214">
        <f>vlookup(D19,'S2'!A15:B1217,2,0)</f>
        <v>50</v>
      </c>
      <c r="R19" s="214">
        <f>ifna(vlookup(D19,'S3'!$1:$1311,2,False),0)</f>
        <v>86</v>
      </c>
      <c r="S19" s="214"/>
      <c r="T19" s="215">
        <v>20.0</v>
      </c>
      <c r="U19" s="215">
        <v>16.0</v>
      </c>
      <c r="V19" s="215">
        <v>80.0</v>
      </c>
      <c r="W19" s="215">
        <v>88.0</v>
      </c>
      <c r="X19" s="215">
        <v>72.0</v>
      </c>
      <c r="Y19" s="215"/>
      <c r="Z19" s="217"/>
      <c r="AA19" s="218">
        <v>6.0</v>
      </c>
      <c r="AB19" s="219">
        <v>70.0</v>
      </c>
      <c r="AC19" s="295">
        <v>68.0</v>
      </c>
      <c r="AD19" s="129">
        <v>60.0</v>
      </c>
      <c r="AE19" s="130">
        <v>28.0</v>
      </c>
      <c r="AF19" s="481"/>
      <c r="AG19" s="487">
        <v>35.0</v>
      </c>
      <c r="AH19" s="481"/>
      <c r="AI19" s="88"/>
      <c r="AJ19" s="88"/>
      <c r="AK19" s="132">
        <f t="shared" si="1"/>
        <v>4</v>
      </c>
      <c r="AL19" s="132">
        <f t="shared" si="2"/>
        <v>2</v>
      </c>
      <c r="AM19" s="133">
        <f t="shared" si="3"/>
        <v>3</v>
      </c>
      <c r="AN19" s="132" t="str">
        <f t="shared" si="6"/>
        <v>3</v>
      </c>
      <c r="AO19" s="132">
        <f t="shared" si="5"/>
        <v>3</v>
      </c>
      <c r="AP19" s="88"/>
    </row>
    <row r="20">
      <c r="A20" s="142">
        <v>16.0</v>
      </c>
      <c r="B20" s="489" t="s">
        <v>1670</v>
      </c>
      <c r="C20" s="483" t="s">
        <v>2883</v>
      </c>
      <c r="D20" s="209" t="str">
        <f>VLOOKUP(B20,USN!$1:$1088,2,False)</f>
        <v>1CR23AI016</v>
      </c>
      <c r="E20" s="484">
        <v>9.449911656E9</v>
      </c>
      <c r="F20" s="234" t="s">
        <v>3780</v>
      </c>
      <c r="G20" s="88"/>
      <c r="H20" s="210">
        <v>80.0</v>
      </c>
      <c r="I20" s="211">
        <v>81.0</v>
      </c>
      <c r="J20" s="211">
        <f>VLOOKUP(D20,'L3'!$1:$2060,2,False)</f>
        <v>70</v>
      </c>
      <c r="K20" s="211">
        <f>VLOOKUP(D20,'L4'!$1:$2059,2,False)</f>
        <v>70</v>
      </c>
      <c r="L20" s="212">
        <f>VLOOKUP(D20,'A1 RETEST 5 DEC'!$1:$2096,2,False)</f>
        <v>50</v>
      </c>
      <c r="M20" s="213">
        <f>VLOOKUP(D20,'A2 RETEST 4 DEC'!$1:$2096,2,False)</f>
        <v>10</v>
      </c>
      <c r="N20" s="213">
        <v>50.0</v>
      </c>
      <c r="O20" s="212"/>
      <c r="P20" s="214">
        <f>IFNA(VLOOKUP(D20,'S1'!$1:$1500,2,False),0)</f>
        <v>77</v>
      </c>
      <c r="Q20" s="214">
        <f>vlookup(D20,'S2'!A16:B1218,2,0)</f>
        <v>88</v>
      </c>
      <c r="R20" s="214">
        <f>ifna(vlookup(D20,'S3'!$1:$1311,2,False),0)</f>
        <v>84</v>
      </c>
      <c r="S20" s="214"/>
      <c r="T20" s="215">
        <v>12.0</v>
      </c>
      <c r="U20" s="215">
        <v>21.0</v>
      </c>
      <c r="V20" s="215">
        <v>68.0</v>
      </c>
      <c r="W20" s="215">
        <v>80.0</v>
      </c>
      <c r="X20" s="215">
        <v>88.0</v>
      </c>
      <c r="Y20" s="215"/>
      <c r="Z20" s="217"/>
      <c r="AA20" s="218">
        <v>64.0</v>
      </c>
      <c r="AB20" s="219">
        <v>100.0</v>
      </c>
      <c r="AC20" s="295">
        <v>83.0</v>
      </c>
      <c r="AD20" s="129">
        <v>53.0</v>
      </c>
      <c r="AE20" s="130">
        <v>50.0</v>
      </c>
      <c r="AF20" s="481"/>
      <c r="AG20" s="487">
        <v>75.0</v>
      </c>
      <c r="AH20" s="481"/>
      <c r="AI20" s="88"/>
      <c r="AJ20" s="88"/>
      <c r="AK20" s="132">
        <f t="shared" si="1"/>
        <v>4</v>
      </c>
      <c r="AL20" s="132">
        <f t="shared" si="2"/>
        <v>1</v>
      </c>
      <c r="AM20" s="133">
        <f t="shared" si="3"/>
        <v>3</v>
      </c>
      <c r="AN20" s="132" t="str">
        <f t="shared" si="6"/>
        <v>3</v>
      </c>
      <c r="AO20" s="132">
        <f t="shared" si="5"/>
        <v>3</v>
      </c>
      <c r="AP20" s="88"/>
    </row>
    <row r="21">
      <c r="A21" s="142">
        <v>17.0</v>
      </c>
      <c r="B21" s="483" t="s">
        <v>1626</v>
      </c>
      <c r="C21" s="483" t="s">
        <v>2884</v>
      </c>
      <c r="D21" s="209" t="str">
        <f>VLOOKUP(B21,USN!$1:$1088,2,False)</f>
        <v>1CR23AI017</v>
      </c>
      <c r="E21" s="484">
        <v>9.636917174E9</v>
      </c>
      <c r="F21" s="234" t="s">
        <v>3780</v>
      </c>
      <c r="G21" s="88"/>
      <c r="H21" s="210">
        <v>66.0</v>
      </c>
      <c r="I21" s="211">
        <v>87.0</v>
      </c>
      <c r="J21" s="211">
        <f>VLOOKUP(D21,'L3'!$1:$2060,2,False)</f>
        <v>78</v>
      </c>
      <c r="K21" s="211">
        <f>VLOOKUP(D21,'L4'!$1:$2059,2,False)</f>
        <v>70</v>
      </c>
      <c r="L21" s="212">
        <f>VLOOKUP(D21,'A1 RETEST 5 DEC'!$1:$2096,2,False)</f>
        <v>51</v>
      </c>
      <c r="M21" s="213">
        <f>VLOOKUP(D21,'A2 RETEST 4 DEC'!$1:$2096,2,False)</f>
        <v>50</v>
      </c>
      <c r="N21" s="213">
        <v>19.0</v>
      </c>
      <c r="O21" s="212"/>
      <c r="P21" s="214">
        <f>IFNA(VLOOKUP(D21,'S1'!$1:$1500,2,False),0)</f>
        <v>80</v>
      </c>
      <c r="Q21" s="214">
        <f>vlookup(D21,'S2'!A17:B1219,2,0)</f>
        <v>56</v>
      </c>
      <c r="R21" s="214">
        <f>ifna(vlookup(D21,'S3'!$1:$1311,2,False),0)</f>
        <v>50</v>
      </c>
      <c r="S21" s="214"/>
      <c r="T21" s="215">
        <v>13.0</v>
      </c>
      <c r="U21" s="215">
        <v>21.0</v>
      </c>
      <c r="V21" s="215">
        <v>88.0</v>
      </c>
      <c r="W21" s="215">
        <v>84.0</v>
      </c>
      <c r="X21" s="215">
        <v>82.0</v>
      </c>
      <c r="Y21" s="215"/>
      <c r="Z21" s="217"/>
      <c r="AA21" s="218">
        <v>88.0</v>
      </c>
      <c r="AB21" s="219">
        <v>97.0</v>
      </c>
      <c r="AC21" s="295">
        <v>68.0</v>
      </c>
      <c r="AD21" s="129">
        <v>80.0</v>
      </c>
      <c r="AE21" s="130">
        <v>70.0</v>
      </c>
      <c r="AF21" s="481"/>
      <c r="AG21" s="487">
        <v>81.0</v>
      </c>
      <c r="AH21" s="481"/>
      <c r="AI21" s="88"/>
      <c r="AJ21" s="88"/>
      <c r="AK21" s="132">
        <f t="shared" si="1"/>
        <v>4</v>
      </c>
      <c r="AL21" s="132">
        <f t="shared" si="2"/>
        <v>2</v>
      </c>
      <c r="AM21" s="133">
        <f t="shared" si="3"/>
        <v>3</v>
      </c>
      <c r="AN21" s="132" t="str">
        <f t="shared" si="6"/>
        <v>3.5</v>
      </c>
      <c r="AO21" s="132">
        <f t="shared" si="5"/>
        <v>3</v>
      </c>
      <c r="AP21" s="88"/>
    </row>
    <row r="22">
      <c r="A22" s="142">
        <v>18.0</v>
      </c>
      <c r="B22" s="483" t="s">
        <v>1663</v>
      </c>
      <c r="C22" s="483" t="s">
        <v>2885</v>
      </c>
      <c r="D22" s="209" t="str">
        <f>VLOOKUP(B22,USN!$1:$1088,2,False)</f>
        <v>1CR23AI018</v>
      </c>
      <c r="E22" s="484">
        <v>8.095422434E9</v>
      </c>
      <c r="F22" s="234" t="s">
        <v>3780</v>
      </c>
      <c r="G22" s="88"/>
      <c r="H22" s="210">
        <v>65.0</v>
      </c>
      <c r="I22" s="211">
        <v>62.0</v>
      </c>
      <c r="J22" s="211">
        <f>VLOOKUP(D22,'L3'!$1:$2060,2,False)</f>
        <v>22</v>
      </c>
      <c r="K22" s="211">
        <f>VLOOKUP(D22,'L4'!$1:$2059,2,False)</f>
        <v>22</v>
      </c>
      <c r="L22" s="212">
        <f>VLOOKUP(D22,'A1 RETEST 5 DEC'!$1:$2096,2,False)</f>
        <v>11</v>
      </c>
      <c r="M22" s="213">
        <f>VLOOKUP(D22,'A2 RETEST 4 DEC'!$1:$2096,2,False)</f>
        <v>1</v>
      </c>
      <c r="N22" s="213">
        <v>0.0</v>
      </c>
      <c r="O22" s="212"/>
      <c r="P22" s="214">
        <f>IFNA(VLOOKUP(D22,'S1'!$1:$1500,2,False),0)</f>
        <v>0</v>
      </c>
      <c r="Q22" s="214">
        <f>vlookup(D22,'S2'!A18:B1220,2,0)</f>
        <v>0</v>
      </c>
      <c r="R22" s="214">
        <f>ifna(vlookup(D22,'S3'!$1:$1311,2,False),0)</f>
        <v>0</v>
      </c>
      <c r="S22" s="214"/>
      <c r="T22" s="215">
        <v>10.0</v>
      </c>
      <c r="U22" s="215">
        <v>4.0</v>
      </c>
      <c r="V22" s="215">
        <v>80.0</v>
      </c>
      <c r="W22" s="215">
        <v>0.0</v>
      </c>
      <c r="X22" s="215">
        <v>0.0</v>
      </c>
      <c r="Y22" s="215"/>
      <c r="Z22" s="217"/>
      <c r="AA22" s="218">
        <v>30.0</v>
      </c>
      <c r="AB22" s="219">
        <v>60.0</v>
      </c>
      <c r="AC22" s="295">
        <v>0.0</v>
      </c>
      <c r="AD22" s="129">
        <v>0.0</v>
      </c>
      <c r="AE22" s="130">
        <v>10.0</v>
      </c>
      <c r="AF22" s="481"/>
      <c r="AG22" s="487">
        <v>49.0</v>
      </c>
      <c r="AH22" s="481"/>
      <c r="AI22" s="88"/>
      <c r="AJ22" s="88"/>
      <c r="AK22" s="132">
        <f t="shared" si="1"/>
        <v>1</v>
      </c>
      <c r="AL22" s="132">
        <f t="shared" si="2"/>
        <v>0</v>
      </c>
      <c r="AM22" s="133">
        <f t="shared" si="3"/>
        <v>0</v>
      </c>
      <c r="AN22" s="132" t="str">
        <f t="shared" si="6"/>
        <v>2</v>
      </c>
      <c r="AO22" s="132">
        <f t="shared" si="5"/>
        <v>0</v>
      </c>
      <c r="AP22" s="88"/>
    </row>
    <row r="23">
      <c r="A23" s="142">
        <v>19.0</v>
      </c>
      <c r="B23" s="483" t="s">
        <v>1652</v>
      </c>
      <c r="C23" s="483" t="s">
        <v>2886</v>
      </c>
      <c r="D23" s="209" t="str">
        <f>VLOOKUP(B23,USN!$1:$1088,2,False)</f>
        <v>1CR23AI019</v>
      </c>
      <c r="E23" s="484">
        <v>8.299511771E9</v>
      </c>
      <c r="F23" s="234" t="s">
        <v>3780</v>
      </c>
      <c r="G23" s="88"/>
      <c r="H23" s="210">
        <v>83.0</v>
      </c>
      <c r="I23" s="211">
        <v>92.0</v>
      </c>
      <c r="J23" s="211">
        <f>VLOOKUP(D23,'L3'!$1:$2060,2,False)</f>
        <v>72</v>
      </c>
      <c r="K23" s="211">
        <f>VLOOKUP(D23,'L4'!$1:$2059,2,False)</f>
        <v>70</v>
      </c>
      <c r="L23" s="212">
        <f>VLOOKUP(D23,'A1 RETEST 5 DEC'!$1:$2096,2,False)</f>
        <v>50</v>
      </c>
      <c r="M23" s="213">
        <f>VLOOKUP(D23,'A2 RETEST 4 DEC'!$1:$2096,2,False)</f>
        <v>50</v>
      </c>
      <c r="N23" s="213">
        <v>0.0</v>
      </c>
      <c r="O23" s="212"/>
      <c r="P23" s="214">
        <f>IFNA(VLOOKUP(D23,'S1'!$1:$1500,2,False),0)</f>
        <v>81</v>
      </c>
      <c r="Q23" s="214">
        <f>vlookup(D23,'S2'!A19:B1221,2,0)</f>
        <v>50</v>
      </c>
      <c r="R23" s="214">
        <f>ifna(vlookup(D23,'S3'!$1:$1311,2,False),0)</f>
        <v>0</v>
      </c>
      <c r="S23" s="214"/>
      <c r="T23" s="215">
        <v>16.0</v>
      </c>
      <c r="U23" s="215">
        <v>23.0</v>
      </c>
      <c r="V23" s="215">
        <v>54.0</v>
      </c>
      <c r="W23" s="215">
        <v>88.0</v>
      </c>
      <c r="X23" s="215">
        <v>72.0</v>
      </c>
      <c r="Y23" s="215"/>
      <c r="Z23" s="217"/>
      <c r="AA23" s="218">
        <v>94.0</v>
      </c>
      <c r="AB23" s="219">
        <v>100.0</v>
      </c>
      <c r="AC23" s="295">
        <v>60.0</v>
      </c>
      <c r="AD23" s="129">
        <v>80.0</v>
      </c>
      <c r="AE23" s="130">
        <v>10.0</v>
      </c>
      <c r="AF23" s="481"/>
      <c r="AG23" s="487">
        <v>73.0</v>
      </c>
      <c r="AH23" s="481"/>
      <c r="AI23" s="88"/>
      <c r="AJ23" s="88"/>
      <c r="AK23" s="132">
        <f t="shared" si="1"/>
        <v>4</v>
      </c>
      <c r="AL23" s="132">
        <f t="shared" si="2"/>
        <v>2</v>
      </c>
      <c r="AM23" s="133">
        <f t="shared" si="3"/>
        <v>3</v>
      </c>
      <c r="AN23" s="132" t="str">
        <f t="shared" si="6"/>
        <v>3</v>
      </c>
      <c r="AO23" s="132">
        <f t="shared" si="5"/>
        <v>2</v>
      </c>
      <c r="AP23" s="88"/>
    </row>
    <row r="24">
      <c r="A24" s="142">
        <v>20.0</v>
      </c>
      <c r="B24" s="244" t="s">
        <v>80</v>
      </c>
      <c r="C24" s="490" t="s">
        <v>3782</v>
      </c>
      <c r="D24" s="209" t="str">
        <f>VLOOKUP(B24,USN!$1:$1088,2,False)</f>
        <v>1CR23AI020</v>
      </c>
      <c r="E24" s="491">
        <v>7.645911385E9</v>
      </c>
      <c r="F24" s="234" t="s">
        <v>3780</v>
      </c>
      <c r="G24" s="88"/>
      <c r="H24" s="243">
        <v>70.0</v>
      </c>
      <c r="I24" s="211">
        <v>81.0</v>
      </c>
      <c r="J24" s="211">
        <f>VLOOKUP(D24,'L3'!$1:$2060,2,False)</f>
        <v>44</v>
      </c>
      <c r="K24" s="211">
        <f>VLOOKUP(D24,'L4'!$1:$2059,2,False)</f>
        <v>70</v>
      </c>
      <c r="L24" s="212">
        <f>VLOOKUP(D24,'A1 RETEST 5 DEC'!$1:$2096,2,False)</f>
        <v>50</v>
      </c>
      <c r="M24" s="213">
        <f>VLOOKUP(D24,'A2 RETEST 4 DEC'!$1:$2096,2,False)</f>
        <v>50</v>
      </c>
      <c r="N24" s="213">
        <v>67.0</v>
      </c>
      <c r="O24" s="212"/>
      <c r="P24" s="214">
        <f>IFNA(VLOOKUP(D24,'S1'!$1:$1500,2,False),0)</f>
        <v>50</v>
      </c>
      <c r="Q24" s="214">
        <f>vlookup(D24,'S2'!A20:B1222,2,0)</f>
        <v>50</v>
      </c>
      <c r="R24" s="214">
        <f>ifna(vlookup(D24,'S3'!$1:$1311,2,False),0)</f>
        <v>50</v>
      </c>
      <c r="S24" s="214"/>
      <c r="T24" s="215">
        <v>19.0</v>
      </c>
      <c r="U24" s="215">
        <v>22.0</v>
      </c>
      <c r="V24" s="215">
        <v>90.0</v>
      </c>
      <c r="W24" s="215">
        <v>36.0</v>
      </c>
      <c r="X24" s="215">
        <v>66.0</v>
      </c>
      <c r="Y24" s="215"/>
      <c r="Z24" s="217"/>
      <c r="AA24" s="218">
        <v>26.0</v>
      </c>
      <c r="AB24" s="219">
        <v>90.0</v>
      </c>
      <c r="AC24" s="295">
        <v>73.0</v>
      </c>
      <c r="AD24" s="129">
        <v>90.0</v>
      </c>
      <c r="AE24" s="130">
        <v>75.0</v>
      </c>
      <c r="AF24" s="481"/>
      <c r="AG24" s="487">
        <v>57.0</v>
      </c>
      <c r="AH24" s="481"/>
      <c r="AI24" s="88"/>
      <c r="AJ24" s="88"/>
      <c r="AK24" s="132">
        <f t="shared" si="1"/>
        <v>2</v>
      </c>
      <c r="AL24" s="132">
        <f t="shared" si="2"/>
        <v>3</v>
      </c>
      <c r="AM24" s="133">
        <f t="shared" si="3"/>
        <v>3</v>
      </c>
      <c r="AN24" s="132" t="str">
        <f t="shared" si="6"/>
        <v>3.5</v>
      </c>
      <c r="AO24" s="132">
        <f t="shared" si="5"/>
        <v>3</v>
      </c>
      <c r="AP24" s="88"/>
    </row>
    <row r="25">
      <c r="A25" s="142">
        <v>21.0</v>
      </c>
      <c r="B25" s="483" t="s">
        <v>1676</v>
      </c>
      <c r="C25" s="483" t="s">
        <v>2888</v>
      </c>
      <c r="D25" s="209" t="str">
        <f>VLOOKUP(B25,USN!$1:$1088,2,False)</f>
        <v>1CR23AI021</v>
      </c>
      <c r="E25" s="484">
        <v>9.482593639E9</v>
      </c>
      <c r="F25" s="234" t="s">
        <v>3780</v>
      </c>
      <c r="G25" s="88"/>
      <c r="H25" s="210">
        <v>88.0</v>
      </c>
      <c r="I25" s="211">
        <v>91.0</v>
      </c>
      <c r="J25" s="211">
        <f>VLOOKUP(D25,'L3'!$1:$2060,2,False)</f>
        <v>77</v>
      </c>
      <c r="K25" s="211">
        <f>VLOOKUP(D25,'L4'!$1:$2059,2,False)</f>
        <v>19</v>
      </c>
      <c r="L25" s="212">
        <f>VLOOKUP(D25,'A1 RETEST 5 DEC'!$1:$2096,2,False)</f>
        <v>9</v>
      </c>
      <c r="M25" s="213">
        <f>VLOOKUP(D25,'A2 RETEST 4 DEC'!$1:$2096,2,False)</f>
        <v>18</v>
      </c>
      <c r="N25" s="213">
        <v>0.0</v>
      </c>
      <c r="O25" s="212"/>
      <c r="P25" s="214">
        <f>IFNA(VLOOKUP(D25,'S1'!$1:$1500,2,False),0)</f>
        <v>77</v>
      </c>
      <c r="Q25" s="214">
        <f>vlookup(D25,'S2'!A21:B1223,2,0)</f>
        <v>0</v>
      </c>
      <c r="R25" s="214">
        <f>ifna(vlookup(D25,'S3'!$1:$1311,2,False),0)</f>
        <v>0</v>
      </c>
      <c r="S25" s="214"/>
      <c r="T25" s="215">
        <v>13.0</v>
      </c>
      <c r="U25" s="215">
        <v>11.0</v>
      </c>
      <c r="V25" s="215">
        <v>88.0</v>
      </c>
      <c r="W25" s="215">
        <v>0.0</v>
      </c>
      <c r="X25" s="215">
        <v>0.0</v>
      </c>
      <c r="Y25" s="215"/>
      <c r="Z25" s="217"/>
      <c r="AA25" s="218">
        <v>100.0</v>
      </c>
      <c r="AB25" s="219">
        <v>100.0</v>
      </c>
      <c r="AC25" s="295">
        <v>89.0</v>
      </c>
      <c r="AD25" s="129">
        <v>76.0</v>
      </c>
      <c r="AE25" s="130">
        <v>10.0</v>
      </c>
      <c r="AF25" s="481"/>
      <c r="AG25" s="487">
        <v>83.0</v>
      </c>
      <c r="AH25" s="481"/>
      <c r="AI25" s="88"/>
      <c r="AJ25" s="88"/>
      <c r="AK25" s="132">
        <f t="shared" si="1"/>
        <v>3</v>
      </c>
      <c r="AL25" s="132">
        <f t="shared" si="2"/>
        <v>0</v>
      </c>
      <c r="AM25" s="133">
        <f t="shared" si="3"/>
        <v>2</v>
      </c>
      <c r="AN25" s="132" t="str">
        <f t="shared" si="6"/>
        <v>3</v>
      </c>
      <c r="AO25" s="132">
        <f t="shared" si="5"/>
        <v>1</v>
      </c>
      <c r="AP25" s="88"/>
    </row>
    <row r="26">
      <c r="A26" s="142">
        <v>22.0</v>
      </c>
      <c r="B26" s="483" t="s">
        <v>1673</v>
      </c>
      <c r="C26" s="483" t="s">
        <v>2889</v>
      </c>
      <c r="D26" s="209" t="str">
        <f>VLOOKUP(B26,USN!$1:$1088,2,False)</f>
        <v>1CR23AI022</v>
      </c>
      <c r="E26" s="484">
        <v>7.34933063E9</v>
      </c>
      <c r="F26" s="234" t="s">
        <v>3780</v>
      </c>
      <c r="G26" s="88"/>
      <c r="H26" s="210">
        <v>79.0</v>
      </c>
      <c r="I26" s="211">
        <v>82.0</v>
      </c>
      <c r="J26" s="211">
        <f>VLOOKUP(D26,'L3'!$1:$2060,2,False)</f>
        <v>74</v>
      </c>
      <c r="K26" s="211">
        <f>VLOOKUP(D26,'L4'!$1:$2059,2,False)</f>
        <v>70</v>
      </c>
      <c r="L26" s="212">
        <f>VLOOKUP(D26,'A1 RETEST 5 DEC'!$1:$2096,2,False)</f>
        <v>50</v>
      </c>
      <c r="M26" s="213">
        <f>VLOOKUP(D26,'A2 RETEST 4 DEC'!$1:$2096,2,False)</f>
        <v>51</v>
      </c>
      <c r="N26" s="213">
        <v>50.0</v>
      </c>
      <c r="O26" s="212"/>
      <c r="P26" s="214">
        <f>IFNA(VLOOKUP(D26,'S1'!$1:$1500,2,False),0)</f>
        <v>50</v>
      </c>
      <c r="Q26" s="214">
        <f>vlookup(D26,'S2'!A22:B1224,2,0)</f>
        <v>73</v>
      </c>
      <c r="R26" s="214">
        <f>ifna(vlookup(D26,'S3'!$1:$1311,2,False),0)</f>
        <v>83</v>
      </c>
      <c r="S26" s="214"/>
      <c r="T26" s="215">
        <v>11.0</v>
      </c>
      <c r="U26" s="215">
        <v>22.0</v>
      </c>
      <c r="V26" s="215">
        <v>92.0</v>
      </c>
      <c r="W26" s="215">
        <v>84.0</v>
      </c>
      <c r="X26" s="215">
        <v>64.0</v>
      </c>
      <c r="Y26" s="215"/>
      <c r="Z26" s="217"/>
      <c r="AA26" s="218">
        <v>80.0</v>
      </c>
      <c r="AB26" s="219">
        <v>100.0</v>
      </c>
      <c r="AC26" s="295">
        <v>84.0</v>
      </c>
      <c r="AD26" s="129">
        <v>90.0</v>
      </c>
      <c r="AE26" s="130">
        <v>97.0</v>
      </c>
      <c r="AF26" s="481"/>
      <c r="AG26" s="482">
        <v>88.0</v>
      </c>
      <c r="AH26" s="481"/>
      <c r="AI26" s="88"/>
      <c r="AJ26" s="88"/>
      <c r="AK26" s="132">
        <f t="shared" si="1"/>
        <v>4</v>
      </c>
      <c r="AL26" s="132">
        <f t="shared" si="2"/>
        <v>3</v>
      </c>
      <c r="AM26" s="133">
        <f t="shared" si="3"/>
        <v>3</v>
      </c>
      <c r="AN26" s="132" t="str">
        <f t="shared" si="6"/>
        <v>3.5</v>
      </c>
      <c r="AO26" s="132">
        <f t="shared" si="5"/>
        <v>3</v>
      </c>
      <c r="AP26" s="88"/>
    </row>
    <row r="27">
      <c r="A27" s="142">
        <v>23.0</v>
      </c>
      <c r="B27" s="483" t="s">
        <v>1681</v>
      </c>
      <c r="C27" s="492" t="s">
        <v>2890</v>
      </c>
      <c r="D27" s="209" t="str">
        <f>VLOOKUP(B27,USN!$1:$1088,2,False)</f>
        <v>1CR23AI023</v>
      </c>
      <c r="E27" s="484">
        <v>9.035585345E9</v>
      </c>
      <c r="F27" s="234" t="s">
        <v>3780</v>
      </c>
      <c r="G27" s="88"/>
      <c r="H27" s="243">
        <v>70.0</v>
      </c>
      <c r="I27" s="211">
        <v>85.0</v>
      </c>
      <c r="J27" s="211">
        <f>VLOOKUP(D27,'L3'!$1:$2060,2,False)</f>
        <v>78</v>
      </c>
      <c r="K27" s="211">
        <f>VLOOKUP(D27,'L4'!$1:$2059,2,False)</f>
        <v>70</v>
      </c>
      <c r="L27" s="212">
        <f>VLOOKUP(D27,'A1 RETEST 5 DEC'!$1:$2096,2,False)</f>
        <v>50</v>
      </c>
      <c r="M27" s="213">
        <f>VLOOKUP(D27,'A2 RETEST 4 DEC'!$1:$2096,2,False)</f>
        <v>54</v>
      </c>
      <c r="N27" s="213">
        <v>50.0</v>
      </c>
      <c r="O27" s="212"/>
      <c r="P27" s="214">
        <f>IFNA(VLOOKUP(D27,'S1'!$1:$1500,2,False),0)</f>
        <v>50</v>
      </c>
      <c r="Q27" s="214">
        <f>vlookup(D27,'S2'!A23:B1225,2,0)</f>
        <v>73</v>
      </c>
      <c r="R27" s="214">
        <f>ifna(vlookup(D27,'S3'!$1:$1311,2,False),0)</f>
        <v>84</v>
      </c>
      <c r="S27" s="214"/>
      <c r="T27" s="215">
        <v>19.0</v>
      </c>
      <c r="U27" s="215">
        <v>24.0</v>
      </c>
      <c r="V27" s="215">
        <v>90.0</v>
      </c>
      <c r="W27" s="215">
        <v>84.0</v>
      </c>
      <c r="X27" s="215">
        <v>72.0</v>
      </c>
      <c r="Y27" s="215"/>
      <c r="Z27" s="217"/>
      <c r="AA27" s="218">
        <v>64.0</v>
      </c>
      <c r="AB27" s="219">
        <v>96.0</v>
      </c>
      <c r="AC27" s="295">
        <v>87.0</v>
      </c>
      <c r="AD27" s="129">
        <v>100.0</v>
      </c>
      <c r="AE27" s="130">
        <v>60.0</v>
      </c>
      <c r="AF27" s="481"/>
      <c r="AG27" s="487">
        <v>72.0</v>
      </c>
      <c r="AH27" s="481"/>
      <c r="AI27" s="88"/>
      <c r="AJ27" s="88"/>
      <c r="AK27" s="132">
        <f t="shared" si="1"/>
        <v>4</v>
      </c>
      <c r="AL27" s="132">
        <f t="shared" si="2"/>
        <v>3</v>
      </c>
      <c r="AM27" s="133">
        <f t="shared" si="3"/>
        <v>3</v>
      </c>
      <c r="AN27" s="132" t="str">
        <f t="shared" si="6"/>
        <v>3</v>
      </c>
      <c r="AO27" s="132">
        <f t="shared" si="5"/>
        <v>3</v>
      </c>
      <c r="AP27" s="88"/>
    </row>
    <row r="28">
      <c r="A28" s="142">
        <v>24.0</v>
      </c>
      <c r="B28" s="483" t="s">
        <v>1627</v>
      </c>
      <c r="C28" s="483" t="s">
        <v>2891</v>
      </c>
      <c r="D28" s="209" t="str">
        <f>VLOOKUP(B28,USN!$1:$1088,2,False)</f>
        <v>1CR23AI025</v>
      </c>
      <c r="E28" s="484">
        <v>9.110814428E9</v>
      </c>
      <c r="F28" s="234" t="s">
        <v>3780</v>
      </c>
      <c r="G28" s="173" t="s">
        <v>2408</v>
      </c>
      <c r="H28" s="210">
        <v>81.0</v>
      </c>
      <c r="I28" s="211">
        <v>87.0</v>
      </c>
      <c r="J28" s="211">
        <f>VLOOKUP(D28,'L3'!$1:$2060,2,False)</f>
        <v>70</v>
      </c>
      <c r="K28" s="211">
        <f>VLOOKUP(D28,'L4'!$1:$2059,2,False)</f>
        <v>70</v>
      </c>
      <c r="L28" s="212">
        <f>VLOOKUP(D28,'A1 RETEST 5 DEC'!$1:$2096,2,False)</f>
        <v>62</v>
      </c>
      <c r="M28" s="213">
        <f>VLOOKUP(D28,'A2 RETEST 4 DEC'!$1:$2096,2,False)</f>
        <v>61</v>
      </c>
      <c r="N28" s="213">
        <v>50.0</v>
      </c>
      <c r="O28" s="212"/>
      <c r="P28" s="214">
        <f>IFNA(VLOOKUP(D28,'S1'!$1:$1500,2,False),0)</f>
        <v>81</v>
      </c>
      <c r="Q28" s="214">
        <f>vlookup(D28,'S2'!A24:B1226,2,0)</f>
        <v>50</v>
      </c>
      <c r="R28" s="214">
        <f>ifna(vlookup(D28,'S3'!$1:$1311,2,False),0)</f>
        <v>50</v>
      </c>
      <c r="S28" s="214"/>
      <c r="T28" s="215">
        <v>10.0</v>
      </c>
      <c r="U28" s="215">
        <v>20.0</v>
      </c>
      <c r="V28" s="215">
        <v>0.0</v>
      </c>
      <c r="W28" s="215">
        <v>88.0</v>
      </c>
      <c r="X28" s="215">
        <v>78.0</v>
      </c>
      <c r="Y28" s="215"/>
      <c r="Z28" s="217"/>
      <c r="AA28" s="218">
        <v>94.0</v>
      </c>
      <c r="AB28" s="219">
        <v>85.0</v>
      </c>
      <c r="AC28" s="295">
        <v>82.0</v>
      </c>
      <c r="AD28" s="129">
        <v>7.0</v>
      </c>
      <c r="AE28" s="130">
        <v>70.0</v>
      </c>
      <c r="AF28" s="481"/>
      <c r="AG28" s="487">
        <v>73.0</v>
      </c>
      <c r="AH28" s="481"/>
      <c r="AI28" s="88"/>
      <c r="AJ28" s="88"/>
      <c r="AK28" s="132">
        <f t="shared" si="1"/>
        <v>4</v>
      </c>
      <c r="AL28" s="132">
        <f t="shared" si="2"/>
        <v>3</v>
      </c>
      <c r="AM28" s="133">
        <f t="shared" si="3"/>
        <v>3</v>
      </c>
      <c r="AN28" s="132" t="str">
        <f t="shared" si="6"/>
        <v>3.5</v>
      </c>
      <c r="AO28" s="132">
        <f t="shared" si="5"/>
        <v>3</v>
      </c>
      <c r="AP28" s="88"/>
    </row>
    <row r="29">
      <c r="A29" s="142">
        <v>25.0</v>
      </c>
      <c r="B29" s="483" t="s">
        <v>1628</v>
      </c>
      <c r="C29" s="483" t="s">
        <v>2892</v>
      </c>
      <c r="D29" s="209" t="str">
        <f>VLOOKUP(B29,USN!$1:$1088,2,False)</f>
        <v>1CR23AI026</v>
      </c>
      <c r="E29" s="484">
        <v>7.483031537E9</v>
      </c>
      <c r="F29" s="234" t="s">
        <v>3780</v>
      </c>
      <c r="G29" s="88"/>
      <c r="H29" s="210">
        <v>62.0</v>
      </c>
      <c r="I29" s="211">
        <v>64.0</v>
      </c>
      <c r="J29" s="211">
        <f>VLOOKUP(D29,'L3'!$1:$2060,2,False)</f>
        <v>28</v>
      </c>
      <c r="K29" s="211">
        <f>VLOOKUP(D29,'L4'!$1:$2059,2,False)</f>
        <v>17</v>
      </c>
      <c r="L29" s="212">
        <f>VLOOKUP(D29,'A1 RETEST 5 DEC'!$1:$2096,2,False)</f>
        <v>50</v>
      </c>
      <c r="M29" s="213">
        <f>VLOOKUP(D29,'A2 RETEST 4 DEC'!$1:$2096,2,False)</f>
        <v>0</v>
      </c>
      <c r="N29" s="213">
        <v>9.0</v>
      </c>
      <c r="O29" s="212"/>
      <c r="P29" s="214">
        <f>IFNA(VLOOKUP(D29,'S1'!$1:$1500,2,False),0)</f>
        <v>80</v>
      </c>
      <c r="Q29" s="214">
        <f>vlookup(D29,'S2'!A25:B1227,2,0)</f>
        <v>0</v>
      </c>
      <c r="R29" s="214">
        <f>ifna(vlookup(D29,'S3'!$1:$1311,2,False),0)</f>
        <v>0</v>
      </c>
      <c r="S29" s="214"/>
      <c r="T29" s="215">
        <v>20.0</v>
      </c>
      <c r="U29" s="215" t="s">
        <v>2477</v>
      </c>
      <c r="V29" s="215">
        <v>0.0</v>
      </c>
      <c r="W29" s="215">
        <v>0.0</v>
      </c>
      <c r="X29" s="215">
        <v>56.0</v>
      </c>
      <c r="Y29" s="215"/>
      <c r="Z29" s="217"/>
      <c r="AA29" s="218">
        <v>0.0</v>
      </c>
      <c r="AB29" s="219">
        <v>0.0</v>
      </c>
      <c r="AC29" s="295">
        <v>70.0</v>
      </c>
      <c r="AD29" s="129">
        <v>0.0</v>
      </c>
      <c r="AE29" s="130">
        <v>10.0</v>
      </c>
      <c r="AF29" s="481"/>
      <c r="AG29" s="487">
        <v>50.0</v>
      </c>
      <c r="AH29" s="481"/>
      <c r="AI29" s="88"/>
      <c r="AJ29" s="88"/>
      <c r="AK29" s="132">
        <f t="shared" si="1"/>
        <v>0</v>
      </c>
      <c r="AL29" s="132">
        <f t="shared" si="2"/>
        <v>1</v>
      </c>
      <c r="AM29" s="133">
        <f t="shared" si="3"/>
        <v>2</v>
      </c>
      <c r="AN29" s="132" t="str">
        <f t="shared" si="6"/>
        <v>0</v>
      </c>
      <c r="AO29" s="132">
        <f t="shared" si="5"/>
        <v>1</v>
      </c>
      <c r="AP29" s="88"/>
    </row>
    <row r="30">
      <c r="A30" s="142">
        <v>26.0</v>
      </c>
      <c r="B30" s="483" t="s">
        <v>1629</v>
      </c>
      <c r="C30" s="483" t="s">
        <v>3783</v>
      </c>
      <c r="D30" s="209" t="str">
        <f>VLOOKUP(B30,USN!$1:$1088,2,False)</f>
        <v>1CR23AI027</v>
      </c>
      <c r="E30" s="484">
        <v>8.792054116E9</v>
      </c>
      <c r="F30" s="234" t="s">
        <v>3780</v>
      </c>
      <c r="G30" s="88"/>
      <c r="H30" s="210">
        <v>66.0</v>
      </c>
      <c r="I30" s="211">
        <v>80.0</v>
      </c>
      <c r="J30" s="211">
        <f>VLOOKUP(D30,'L3'!$1:$2060,2,False)</f>
        <v>70</v>
      </c>
      <c r="K30" s="211">
        <f>VLOOKUP(D30,'L4'!$1:$2059,2,False)</f>
        <v>55</v>
      </c>
      <c r="L30" s="212">
        <f>VLOOKUP(D30,'A1 RETEST 5 DEC'!$1:$2096,2,False)</f>
        <v>6</v>
      </c>
      <c r="M30" s="213">
        <f>VLOOKUP(D30,'A2 RETEST 4 DEC'!$1:$2096,2,False)</f>
        <v>22</v>
      </c>
      <c r="N30" s="213">
        <v>10.0</v>
      </c>
      <c r="O30" s="212"/>
      <c r="P30" s="214">
        <f>IFNA(VLOOKUP(D30,'S1'!$1:$1500,2,False),0)</f>
        <v>81</v>
      </c>
      <c r="Q30" s="214">
        <f>vlookup(D30,'S2'!A26:B1228,2,0)</f>
        <v>67</v>
      </c>
      <c r="R30" s="214">
        <f>ifna(vlookup(D30,'S3'!$1:$1311,2,False),0)</f>
        <v>73</v>
      </c>
      <c r="S30" s="214"/>
      <c r="T30" s="215">
        <v>10.0</v>
      </c>
      <c r="U30" s="215">
        <v>20.0</v>
      </c>
      <c r="V30" s="215">
        <v>0.0</v>
      </c>
      <c r="W30" s="215">
        <v>0.0</v>
      </c>
      <c r="X30" s="215">
        <v>66.0</v>
      </c>
      <c r="Y30" s="215"/>
      <c r="Z30" s="217"/>
      <c r="AA30" s="218">
        <v>14.0</v>
      </c>
      <c r="AB30" s="219">
        <v>75.0</v>
      </c>
      <c r="AC30" s="295">
        <v>0.0</v>
      </c>
      <c r="AD30" s="129">
        <v>0.0</v>
      </c>
      <c r="AE30" s="130">
        <v>13.0</v>
      </c>
      <c r="AF30" s="481"/>
      <c r="AG30" s="493">
        <v>36.0</v>
      </c>
      <c r="AH30" s="481"/>
      <c r="AI30" s="88"/>
      <c r="AJ30" s="88"/>
      <c r="AK30" s="132">
        <f t="shared" si="1"/>
        <v>3</v>
      </c>
      <c r="AL30" s="132">
        <f t="shared" si="2"/>
        <v>0</v>
      </c>
      <c r="AM30" s="133">
        <f t="shared" si="3"/>
        <v>2</v>
      </c>
      <c r="AN30" s="132" t="str">
        <f t="shared" si="6"/>
        <v>2</v>
      </c>
      <c r="AO30" s="132">
        <f t="shared" si="5"/>
        <v>3</v>
      </c>
      <c r="AP30" s="88"/>
    </row>
    <row r="31">
      <c r="A31" s="142">
        <v>27.0</v>
      </c>
      <c r="B31" s="483" t="s">
        <v>1653</v>
      </c>
      <c r="C31" s="483" t="s">
        <v>2894</v>
      </c>
      <c r="D31" s="209" t="str">
        <f>VLOOKUP(B31,USN!$1:$1088,2,False)</f>
        <v>1CR23AI028</v>
      </c>
      <c r="E31" s="484">
        <v>8.296050012E9</v>
      </c>
      <c r="F31" s="234" t="s">
        <v>3780</v>
      </c>
      <c r="G31" s="88"/>
      <c r="H31" s="243">
        <v>70.0</v>
      </c>
      <c r="I31" s="211">
        <v>78.0</v>
      </c>
      <c r="J31" s="211">
        <f>VLOOKUP(D31,'L3'!$1:$2060,2,False)</f>
        <v>70</v>
      </c>
      <c r="K31" s="211">
        <f>VLOOKUP(D31,'L4'!$1:$2059,2,False)</f>
        <v>70</v>
      </c>
      <c r="L31" s="212">
        <f>VLOOKUP(D31,'A1 RETEST 5 DEC'!$1:$2096,2,False)</f>
        <v>50</v>
      </c>
      <c r="M31" s="213">
        <f>VLOOKUP(D31,'A2 RETEST 4 DEC'!$1:$2096,2,False)</f>
        <v>50</v>
      </c>
      <c r="N31" s="213">
        <v>50.0</v>
      </c>
      <c r="O31" s="212"/>
      <c r="P31" s="214">
        <f>IFNA(VLOOKUP(D31,'S1'!$1:$1500,2,False),0)</f>
        <v>50</v>
      </c>
      <c r="Q31" s="214">
        <f>vlookup(D31,'S2'!A27:B1229,2,0)</f>
        <v>50</v>
      </c>
      <c r="R31" s="214">
        <f>ifna(vlookup(D31,'S3'!$1:$1311,2,False),0)</f>
        <v>50</v>
      </c>
      <c r="S31" s="214"/>
      <c r="T31" s="215">
        <v>19.0</v>
      </c>
      <c r="U31" s="215">
        <v>23.0</v>
      </c>
      <c r="V31" s="215">
        <v>90.0</v>
      </c>
      <c r="W31" s="215">
        <v>86.0</v>
      </c>
      <c r="X31" s="215">
        <v>82.0</v>
      </c>
      <c r="Y31" s="215"/>
      <c r="Z31" s="217"/>
      <c r="AA31" s="218">
        <v>42.0</v>
      </c>
      <c r="AB31" s="219">
        <v>75.0</v>
      </c>
      <c r="AC31" s="295">
        <v>83.0</v>
      </c>
      <c r="AD31" s="129">
        <v>70.0</v>
      </c>
      <c r="AE31" s="130">
        <v>85.0</v>
      </c>
      <c r="AF31" s="481"/>
      <c r="AG31" s="482">
        <v>75.0</v>
      </c>
      <c r="AH31" s="481"/>
      <c r="AI31" s="88"/>
      <c r="AJ31" s="88"/>
      <c r="AK31" s="132">
        <f t="shared" si="1"/>
        <v>4</v>
      </c>
      <c r="AL31" s="132">
        <f t="shared" si="2"/>
        <v>3</v>
      </c>
      <c r="AM31" s="133">
        <f t="shared" si="3"/>
        <v>3</v>
      </c>
      <c r="AN31" s="132" t="str">
        <f t="shared" si="6"/>
        <v>3.5</v>
      </c>
      <c r="AO31" s="132">
        <f t="shared" si="5"/>
        <v>3</v>
      </c>
      <c r="AP31" s="88"/>
    </row>
    <row r="32">
      <c r="A32" s="142">
        <v>28.0</v>
      </c>
      <c r="B32" s="483" t="s">
        <v>1734</v>
      </c>
      <c r="C32" s="483" t="s">
        <v>2895</v>
      </c>
      <c r="D32" s="209" t="str">
        <f>VLOOKUP(B32,USN!$1:$1088,2,False)</f>
        <v>1CR23AI029</v>
      </c>
      <c r="E32" s="484">
        <v>9.741122241E9</v>
      </c>
      <c r="F32" s="484" t="s">
        <v>3780</v>
      </c>
      <c r="G32" s="88"/>
      <c r="H32" s="210">
        <v>72.0</v>
      </c>
      <c r="I32" s="211">
        <v>80.0</v>
      </c>
      <c r="J32" s="211">
        <f>VLOOKUP(D32,'L3'!$1:$2060,2,False)</f>
        <v>75</v>
      </c>
      <c r="K32" s="211">
        <f>VLOOKUP(D32,'L4'!$1:$2059,2,False)</f>
        <v>78</v>
      </c>
      <c r="L32" s="212">
        <f>VLOOKUP(D32,'A1 RETEST 5 DEC'!$1:$2096,2,False)</f>
        <v>50</v>
      </c>
      <c r="M32" s="213">
        <f>VLOOKUP(D32,'A2 RETEST 4 DEC'!$1:$2096,2,False)</f>
        <v>50</v>
      </c>
      <c r="N32" s="213">
        <v>24.0</v>
      </c>
      <c r="O32" s="212"/>
      <c r="P32" s="214">
        <f>IFNA(VLOOKUP(D32,'S1'!$1:$1500,2,False),0)</f>
        <v>77</v>
      </c>
      <c r="Q32" s="214">
        <f>vlookup(D32,'S2'!A28:B1230,2,0)</f>
        <v>80</v>
      </c>
      <c r="R32" s="214">
        <f>ifna(vlookup(D32,'S3'!$1:$1311,2,False),0)</f>
        <v>84</v>
      </c>
      <c r="S32" s="214"/>
      <c r="T32" s="215">
        <v>16.0</v>
      </c>
      <c r="U32" s="215">
        <v>23.0</v>
      </c>
      <c r="V32" s="215">
        <v>86.0</v>
      </c>
      <c r="W32" s="215">
        <v>88.0</v>
      </c>
      <c r="X32" s="215">
        <v>74.0</v>
      </c>
      <c r="Y32" s="215"/>
      <c r="Z32" s="217"/>
      <c r="AA32" s="218">
        <v>68.0</v>
      </c>
      <c r="AB32" s="219">
        <v>64.0</v>
      </c>
      <c r="AC32" s="295">
        <v>100.0</v>
      </c>
      <c r="AD32" s="129">
        <v>2.0</v>
      </c>
      <c r="AE32" s="130">
        <v>32.0</v>
      </c>
      <c r="AF32" s="481"/>
      <c r="AG32" s="494">
        <v>59.0</v>
      </c>
      <c r="AH32" s="481"/>
      <c r="AI32" s="88"/>
      <c r="AJ32" s="88"/>
      <c r="AK32" s="132">
        <f t="shared" si="1"/>
        <v>4</v>
      </c>
      <c r="AL32" s="132">
        <f t="shared" si="2"/>
        <v>2</v>
      </c>
      <c r="AM32" s="133">
        <f t="shared" si="3"/>
        <v>3</v>
      </c>
      <c r="AN32" s="132" t="str">
        <f t="shared" si="6"/>
        <v>3</v>
      </c>
      <c r="AO32" s="132">
        <f t="shared" si="5"/>
        <v>3</v>
      </c>
      <c r="AP32" s="88"/>
    </row>
    <row r="33">
      <c r="A33" s="142">
        <v>29.0</v>
      </c>
      <c r="B33" s="483" t="s">
        <v>1630</v>
      </c>
      <c r="C33" s="483" t="s">
        <v>2896</v>
      </c>
      <c r="D33" s="209" t="str">
        <f>VLOOKUP(B33,USN!$1:$1088,2,False)</f>
        <v>1CR23AI030</v>
      </c>
      <c r="E33" s="484">
        <v>9.137879919E9</v>
      </c>
      <c r="F33" s="234" t="s">
        <v>3780</v>
      </c>
      <c r="G33" s="88"/>
      <c r="H33" s="210">
        <v>85.0</v>
      </c>
      <c r="I33" s="211">
        <v>94.0</v>
      </c>
      <c r="J33" s="211">
        <f>VLOOKUP(D33,'L3'!$1:$2060,2,False)</f>
        <v>83</v>
      </c>
      <c r="K33" s="211">
        <f>VLOOKUP(D33,'L4'!$1:$2059,2,False)</f>
        <v>73</v>
      </c>
      <c r="L33" s="212">
        <f>VLOOKUP(D33,'A1 RETEST 5 DEC'!$1:$2096,2,False)</f>
        <v>50</v>
      </c>
      <c r="M33" s="213">
        <f>VLOOKUP(D33,'A2 RETEST 4 DEC'!$1:$2096,2,False)</f>
        <v>50</v>
      </c>
      <c r="N33" s="213">
        <v>62.0</v>
      </c>
      <c r="O33" s="212"/>
      <c r="P33" s="214">
        <f>IFNA(VLOOKUP(D33,'S1'!$1:$1500,2,False),0)</f>
        <v>50</v>
      </c>
      <c r="Q33" s="214">
        <f>vlookup(D33,'S2'!A29:B1231,2,0)</f>
        <v>50</v>
      </c>
      <c r="R33" s="214">
        <f>ifna(vlookup(D33,'S3'!$1:$1311,2,False),0)</f>
        <v>50</v>
      </c>
      <c r="S33" s="214"/>
      <c r="T33" s="215">
        <v>15.0</v>
      </c>
      <c r="U33" s="215">
        <v>24.0</v>
      </c>
      <c r="V33" s="215">
        <v>0.0</v>
      </c>
      <c r="W33" s="215">
        <v>94.0</v>
      </c>
      <c r="X33" s="215">
        <v>80.0</v>
      </c>
      <c r="Y33" s="215"/>
      <c r="Z33" s="217"/>
      <c r="AA33" s="218">
        <v>96.0</v>
      </c>
      <c r="AB33" s="219">
        <v>100.0</v>
      </c>
      <c r="AC33" s="295">
        <v>100.0</v>
      </c>
      <c r="AD33" s="129">
        <v>60.0</v>
      </c>
      <c r="AE33" s="130">
        <v>74.0</v>
      </c>
      <c r="AF33" s="481"/>
      <c r="AG33" s="482">
        <v>78.0</v>
      </c>
      <c r="AH33" s="481"/>
      <c r="AI33" s="88"/>
      <c r="AJ33" s="88"/>
      <c r="AK33" s="132">
        <f t="shared" si="1"/>
        <v>4</v>
      </c>
      <c r="AL33" s="132">
        <f t="shared" si="2"/>
        <v>3</v>
      </c>
      <c r="AM33" s="133">
        <f t="shared" si="3"/>
        <v>3</v>
      </c>
      <c r="AN33" s="132" t="str">
        <f t="shared" si="6"/>
        <v>3.5</v>
      </c>
      <c r="AO33" s="132">
        <f t="shared" si="5"/>
        <v>3</v>
      </c>
      <c r="AP33" s="88"/>
    </row>
    <row r="34">
      <c r="A34" s="142">
        <v>30.0</v>
      </c>
      <c r="B34" s="483" t="s">
        <v>1671</v>
      </c>
      <c r="C34" s="483" t="s">
        <v>2897</v>
      </c>
      <c r="D34" s="209" t="str">
        <f>VLOOKUP(B34,USN!$1:$1088,2,False)</f>
        <v>1CR23AI031</v>
      </c>
      <c r="E34" s="484">
        <v>8.217261302E9</v>
      </c>
      <c r="F34" s="234" t="s">
        <v>3780</v>
      </c>
      <c r="G34" s="88"/>
      <c r="H34" s="210">
        <v>92.0</v>
      </c>
      <c r="I34" s="211">
        <v>93.0</v>
      </c>
      <c r="J34" s="211">
        <f>VLOOKUP(D34,'L3'!$1:$2060,2,False)</f>
        <v>75</v>
      </c>
      <c r="K34" s="211">
        <f>VLOOKUP(D34,'L4'!$1:$2059,2,False)</f>
        <v>70</v>
      </c>
      <c r="L34" s="212">
        <f>VLOOKUP(D34,'A1 RETEST 5 DEC'!$1:$2096,2,False)</f>
        <v>50</v>
      </c>
      <c r="M34" s="213">
        <f>VLOOKUP(D34,'A2 RETEST 4 DEC'!$1:$2096,2,False)</f>
        <v>50</v>
      </c>
      <c r="N34" s="213">
        <v>0.0</v>
      </c>
      <c r="O34" s="212"/>
      <c r="P34" s="214">
        <f>IFNA(VLOOKUP(D34,'S1'!$1:$1500,2,False),0)</f>
        <v>50</v>
      </c>
      <c r="Q34" s="214">
        <f>vlookup(D34,'S2'!A30:B1232,2,0)</f>
        <v>50</v>
      </c>
      <c r="R34" s="214">
        <f>ifna(vlookup(D34,'S3'!$1:$1311,2,False),0)</f>
        <v>50</v>
      </c>
      <c r="S34" s="214"/>
      <c r="T34" s="215">
        <v>14.0</v>
      </c>
      <c r="U34" s="215">
        <v>19.0</v>
      </c>
      <c r="V34" s="215">
        <v>70.0</v>
      </c>
      <c r="W34" s="215">
        <v>88.0</v>
      </c>
      <c r="X34" s="215">
        <v>74.0</v>
      </c>
      <c r="Y34" s="215"/>
      <c r="Z34" s="217"/>
      <c r="AA34" s="218">
        <v>96.0</v>
      </c>
      <c r="AB34" s="219">
        <v>100.0</v>
      </c>
      <c r="AC34" s="295">
        <v>100.0</v>
      </c>
      <c r="AD34" s="129">
        <v>80.0</v>
      </c>
      <c r="AE34" s="130">
        <v>10.0</v>
      </c>
      <c r="AF34" s="481"/>
      <c r="AG34" s="482">
        <v>78.0</v>
      </c>
      <c r="AH34" s="481"/>
      <c r="AI34" s="88"/>
      <c r="AJ34" s="88"/>
      <c r="AK34" s="132">
        <f t="shared" si="1"/>
        <v>4</v>
      </c>
      <c r="AL34" s="132">
        <f t="shared" si="2"/>
        <v>2</v>
      </c>
      <c r="AM34" s="133">
        <f t="shared" si="3"/>
        <v>3</v>
      </c>
      <c r="AN34" s="132" t="str">
        <f t="shared" si="6"/>
        <v>3</v>
      </c>
      <c r="AO34" s="132">
        <f t="shared" si="5"/>
        <v>3</v>
      </c>
      <c r="AP34" s="88"/>
    </row>
    <row r="35">
      <c r="A35" s="142">
        <v>31.0</v>
      </c>
      <c r="B35" s="483" t="s">
        <v>1631</v>
      </c>
      <c r="C35" s="483" t="s">
        <v>2898</v>
      </c>
      <c r="D35" s="209" t="str">
        <f>VLOOKUP(B35,USN!$1:$1088,2,False)</f>
        <v>1CR23AI032</v>
      </c>
      <c r="E35" s="484">
        <v>7.76046644E9</v>
      </c>
      <c r="F35" s="234" t="s">
        <v>3780</v>
      </c>
      <c r="G35" s="88"/>
      <c r="H35" s="243">
        <v>70.0</v>
      </c>
      <c r="I35" s="211">
        <v>70.0</v>
      </c>
      <c r="J35" s="211">
        <f>VLOOKUP(D35,'L3'!$1:$2060,2,False)</f>
        <v>72</v>
      </c>
      <c r="K35" s="211">
        <f>VLOOKUP(D35,'L4'!$1:$2059,2,False)</f>
        <v>70</v>
      </c>
      <c r="L35" s="212">
        <f>VLOOKUP(D35,'A1 RETEST 5 DEC'!$1:$2096,2,False)</f>
        <v>50</v>
      </c>
      <c r="M35" s="213">
        <f>VLOOKUP(D35,'A2 RETEST 4 DEC'!$1:$2096,2,False)</f>
        <v>42</v>
      </c>
      <c r="N35" s="213">
        <v>64.0</v>
      </c>
      <c r="O35" s="212"/>
      <c r="P35" s="214">
        <f>IFNA(VLOOKUP(D35,'S1'!$1:$1500,2,False),0)</f>
        <v>70</v>
      </c>
      <c r="Q35" s="214">
        <f>vlookup(D35,'S2'!A31:B1233,2,0)</f>
        <v>50</v>
      </c>
      <c r="R35" s="214">
        <f>ifna(vlookup(D35,'S3'!$1:$1311,2,False),0)</f>
        <v>80</v>
      </c>
      <c r="S35" s="214"/>
      <c r="T35" s="215">
        <v>21.0</v>
      </c>
      <c r="U35" s="215">
        <v>23.0</v>
      </c>
      <c r="V35" s="215">
        <v>84.0</v>
      </c>
      <c r="W35" s="215">
        <v>86.0</v>
      </c>
      <c r="X35" s="215">
        <v>82.0</v>
      </c>
      <c r="Y35" s="215"/>
      <c r="Z35" s="217"/>
      <c r="AA35" s="218">
        <v>18.0</v>
      </c>
      <c r="AB35" s="219">
        <v>53.0</v>
      </c>
      <c r="AC35" s="295">
        <v>72.0</v>
      </c>
      <c r="AD35" s="129">
        <v>60.0</v>
      </c>
      <c r="AE35" s="130">
        <v>70.0</v>
      </c>
      <c r="AF35" s="481"/>
      <c r="AG35" s="487">
        <v>31.0</v>
      </c>
      <c r="AH35" s="481"/>
      <c r="AI35" s="88"/>
      <c r="AJ35" s="88"/>
      <c r="AK35" s="132">
        <f t="shared" si="1"/>
        <v>4</v>
      </c>
      <c r="AL35" s="132">
        <f t="shared" si="2"/>
        <v>1</v>
      </c>
      <c r="AM35" s="133">
        <f t="shared" si="3"/>
        <v>3</v>
      </c>
      <c r="AN35" s="132" t="str">
        <f t="shared" si="6"/>
        <v>3.5</v>
      </c>
      <c r="AO35" s="132">
        <f t="shared" si="5"/>
        <v>3</v>
      </c>
      <c r="AP35" s="88"/>
    </row>
    <row r="36">
      <c r="A36" s="142">
        <v>32.0</v>
      </c>
      <c r="B36" s="483" t="s">
        <v>1632</v>
      </c>
      <c r="C36" s="483" t="s">
        <v>2899</v>
      </c>
      <c r="D36" s="209" t="str">
        <f>VLOOKUP(B36,USN!$1:$1088,2,False)</f>
        <v>1CR23AI033</v>
      </c>
      <c r="E36" s="484">
        <v>9.380278563E9</v>
      </c>
      <c r="F36" s="234" t="s">
        <v>3780</v>
      </c>
      <c r="G36" s="88"/>
      <c r="H36" s="210">
        <v>71.0</v>
      </c>
      <c r="I36" s="211">
        <v>77.0</v>
      </c>
      <c r="J36" s="211">
        <f>VLOOKUP(D36,'L3'!$1:$2060,2,False)</f>
        <v>70</v>
      </c>
      <c r="K36" s="211">
        <f>VLOOKUP(D36,'L4'!$1:$2059,2,False)</f>
        <v>70</v>
      </c>
      <c r="L36" s="212">
        <f>VLOOKUP(D36,'A1 RETEST 5 DEC'!$1:$2096,2,False)</f>
        <v>50</v>
      </c>
      <c r="M36" s="213">
        <f>VLOOKUP(D36,'A2 RETEST 4 DEC'!$1:$2096,2,False)</f>
        <v>50</v>
      </c>
      <c r="N36" s="213">
        <v>67.0</v>
      </c>
      <c r="O36" s="212"/>
      <c r="P36" s="214">
        <f>IFNA(VLOOKUP(D36,'S1'!$1:$1500,2,False),0)</f>
        <v>50</v>
      </c>
      <c r="Q36" s="214">
        <f>vlookup(D36,'S2'!A32:B1234,2,0)</f>
        <v>50</v>
      </c>
      <c r="R36" s="214">
        <f>ifna(vlookup(D36,'S3'!$1:$1311,2,False),0)</f>
        <v>68</v>
      </c>
      <c r="S36" s="214"/>
      <c r="T36" s="215">
        <v>19.0</v>
      </c>
      <c r="U36" s="215">
        <v>16.0</v>
      </c>
      <c r="V36" s="215">
        <v>82.0</v>
      </c>
      <c r="W36" s="215">
        <v>84.0</v>
      </c>
      <c r="X36" s="215">
        <v>80.0</v>
      </c>
      <c r="Y36" s="215"/>
      <c r="Z36" s="217"/>
      <c r="AA36" s="218">
        <v>20.0</v>
      </c>
      <c r="AB36" s="219">
        <v>87.0</v>
      </c>
      <c r="AC36" s="295">
        <v>54.0</v>
      </c>
      <c r="AD36" s="129">
        <v>60.0</v>
      </c>
      <c r="AE36" s="130">
        <v>60.0</v>
      </c>
      <c r="AF36" s="481"/>
      <c r="AG36" s="487">
        <v>38.0</v>
      </c>
      <c r="AH36" s="481"/>
      <c r="AI36" s="88"/>
      <c r="AJ36" s="88"/>
      <c r="AK36" s="132">
        <f t="shared" si="1"/>
        <v>4</v>
      </c>
      <c r="AL36" s="132">
        <f t="shared" si="2"/>
        <v>3</v>
      </c>
      <c r="AM36" s="133">
        <f t="shared" si="3"/>
        <v>3</v>
      </c>
      <c r="AN36" s="132" t="str">
        <f t="shared" si="6"/>
        <v>3</v>
      </c>
      <c r="AO36" s="132">
        <f t="shared" si="5"/>
        <v>3</v>
      </c>
      <c r="AP36" s="88"/>
    </row>
    <row r="37">
      <c r="A37" s="142">
        <v>33.0</v>
      </c>
      <c r="B37" s="483" t="s">
        <v>1633</v>
      </c>
      <c r="C37" s="483" t="s">
        <v>2900</v>
      </c>
      <c r="D37" s="209" t="str">
        <f>VLOOKUP(B37,USN!$1:$1088,2,False)</f>
        <v>1CR23AI034</v>
      </c>
      <c r="E37" s="484">
        <v>8.971024075E9</v>
      </c>
      <c r="F37" s="234" t="s">
        <v>3780</v>
      </c>
      <c r="G37" s="88"/>
      <c r="H37" s="210">
        <v>74.0</v>
      </c>
      <c r="I37" s="211">
        <v>91.0</v>
      </c>
      <c r="J37" s="211">
        <f>VLOOKUP(D37,'L3'!$1:$2060,2,False)</f>
        <v>31</v>
      </c>
      <c r="K37" s="211">
        <f>VLOOKUP(D37,'L4'!$1:$2059,2,False)</f>
        <v>41</v>
      </c>
      <c r="L37" s="212">
        <f>VLOOKUP(D37,'A1 RETEST 5 DEC'!$1:$2096,2,False)</f>
        <v>2</v>
      </c>
      <c r="M37" s="213">
        <f>VLOOKUP(D37,'A2 RETEST 4 DEC'!$1:$2096,2,False)</f>
        <v>6</v>
      </c>
      <c r="N37" s="213">
        <v>0.0</v>
      </c>
      <c r="O37" s="212"/>
      <c r="P37" s="214">
        <f>IFNA(VLOOKUP(D37,'S1'!$1:$1500,2,False),0)</f>
        <v>83</v>
      </c>
      <c r="Q37" s="214">
        <f>vlookup(D37,'S2'!A33:B1235,2,0)</f>
        <v>0</v>
      </c>
      <c r="R37" s="214">
        <f>ifna(vlookup(D37,'S3'!$1:$1311,2,False),0)</f>
        <v>0</v>
      </c>
      <c r="S37" s="214"/>
      <c r="T37" s="215">
        <v>10.0</v>
      </c>
      <c r="U37" s="215">
        <v>13.0</v>
      </c>
      <c r="V37" s="215">
        <v>82.0</v>
      </c>
      <c r="W37" s="215">
        <v>0.0</v>
      </c>
      <c r="X37" s="215">
        <v>72.0</v>
      </c>
      <c r="Y37" s="215"/>
      <c r="Z37" s="217"/>
      <c r="AA37" s="218">
        <v>0.0</v>
      </c>
      <c r="AB37" s="219">
        <v>72.0</v>
      </c>
      <c r="AC37" s="295">
        <v>0.0</v>
      </c>
      <c r="AD37" s="129">
        <v>0.0</v>
      </c>
      <c r="AE37" s="130">
        <v>10.0</v>
      </c>
      <c r="AF37" s="481"/>
      <c r="AG37" s="493">
        <v>0.0</v>
      </c>
      <c r="AH37" s="481"/>
      <c r="AI37" s="88"/>
      <c r="AJ37" s="88"/>
      <c r="AK37" s="132">
        <f t="shared" si="1"/>
        <v>2</v>
      </c>
      <c r="AL37" s="132">
        <f t="shared" si="2"/>
        <v>0</v>
      </c>
      <c r="AM37" s="133">
        <f t="shared" si="3"/>
        <v>2</v>
      </c>
      <c r="AN37" s="132" t="str">
        <f t="shared" si="6"/>
        <v>2</v>
      </c>
      <c r="AO37" s="132">
        <f t="shared" si="5"/>
        <v>1</v>
      </c>
      <c r="AP37" s="88"/>
    </row>
    <row r="38">
      <c r="A38" s="142">
        <v>34.0</v>
      </c>
      <c r="B38" s="483" t="s">
        <v>1736</v>
      </c>
      <c r="C38" s="483" t="s">
        <v>2901</v>
      </c>
      <c r="D38" s="209" t="str">
        <f>VLOOKUP(B38,USN!$1:$1088,2,False)</f>
        <v>1CR23AI035</v>
      </c>
      <c r="E38" s="484">
        <v>8.904306171E9</v>
      </c>
      <c r="F38" s="484" t="s">
        <v>3780</v>
      </c>
      <c r="G38" s="88"/>
      <c r="H38" s="243">
        <v>70.0</v>
      </c>
      <c r="I38" s="211">
        <v>77.0</v>
      </c>
      <c r="J38" s="211">
        <f>VLOOKUP(D38,'L3'!$1:$2060,2,False)</f>
        <v>48</v>
      </c>
      <c r="K38" s="211">
        <f>VLOOKUP(D38,'L4'!$1:$2059,2,False)</f>
        <v>70</v>
      </c>
      <c r="L38" s="212">
        <f>VLOOKUP(D38,'A1 RETEST 5 DEC'!$1:$2096,2,False)</f>
        <v>50</v>
      </c>
      <c r="M38" s="213">
        <f>VLOOKUP(D38,'A2 RETEST 4 DEC'!$1:$2096,2,False)</f>
        <v>0</v>
      </c>
      <c r="N38" s="213">
        <v>0.0</v>
      </c>
      <c r="O38" s="212"/>
      <c r="P38" s="214">
        <f>IFNA(VLOOKUP(D38,'S1'!$1:$1500,2,False),0)</f>
        <v>0</v>
      </c>
      <c r="Q38" s="214">
        <f>vlookup(D38,'S2'!A34:B1236,2,0)</f>
        <v>0</v>
      </c>
      <c r="R38" s="214">
        <f>ifna(vlookup(D38,'S3'!$1:$1311,2,False),0)</f>
        <v>0</v>
      </c>
      <c r="S38" s="214"/>
      <c r="T38" s="215">
        <v>16.0</v>
      </c>
      <c r="U38" s="215">
        <v>24.0</v>
      </c>
      <c r="V38" s="215">
        <v>0.0</v>
      </c>
      <c r="W38" s="215">
        <v>0.0</v>
      </c>
      <c r="X38" s="215"/>
      <c r="Y38" s="215"/>
      <c r="Z38" s="217"/>
      <c r="AA38" s="218">
        <v>0.0</v>
      </c>
      <c r="AB38" s="219">
        <v>0.0</v>
      </c>
      <c r="AC38" s="295">
        <v>100.0</v>
      </c>
      <c r="AD38" s="129">
        <v>3.0</v>
      </c>
      <c r="AE38" s="130">
        <v>10.0</v>
      </c>
      <c r="AF38" s="481"/>
      <c r="AG38" s="493">
        <v>15.0</v>
      </c>
      <c r="AH38" s="481"/>
      <c r="AI38" s="88"/>
      <c r="AJ38" s="88"/>
      <c r="AK38" s="132">
        <f t="shared" si="1"/>
        <v>2</v>
      </c>
      <c r="AL38" s="132">
        <f t="shared" si="2"/>
        <v>1</v>
      </c>
      <c r="AM38" s="133">
        <f t="shared" si="3"/>
        <v>2</v>
      </c>
      <c r="AN38" s="132" t="str">
        <f t="shared" si="6"/>
        <v>0</v>
      </c>
      <c r="AO38" s="132">
        <f t="shared" si="5"/>
        <v>0</v>
      </c>
      <c r="AP38" s="88"/>
    </row>
    <row r="39">
      <c r="A39" s="142">
        <v>35.0</v>
      </c>
      <c r="B39" s="483" t="s">
        <v>1634</v>
      </c>
      <c r="C39" s="483" t="s">
        <v>2902</v>
      </c>
      <c r="D39" s="209" t="str">
        <f>VLOOKUP(B39,USN!$1:$1088,2,False)</f>
        <v>1CR23AI036</v>
      </c>
      <c r="E39" s="484">
        <v>8.904019782E9</v>
      </c>
      <c r="F39" s="234" t="s">
        <v>3780</v>
      </c>
      <c r="G39" s="88"/>
      <c r="H39" s="243">
        <v>70.0</v>
      </c>
      <c r="I39" s="211">
        <v>72.0</v>
      </c>
      <c r="J39" s="211">
        <f>VLOOKUP(D39,'L3'!$1:$2060,2,False)</f>
        <v>70</v>
      </c>
      <c r="K39" s="211">
        <f>VLOOKUP(D39,'L4'!$1:$2059,2,False)</f>
        <v>70</v>
      </c>
      <c r="L39" s="212">
        <f>VLOOKUP(D39,'A1 RETEST 5 DEC'!$1:$2096,2,False)</f>
        <v>50</v>
      </c>
      <c r="M39" s="213">
        <f>VLOOKUP(D39,'A2 RETEST 4 DEC'!$1:$2096,2,False)</f>
        <v>50</v>
      </c>
      <c r="N39" s="213">
        <v>14.0</v>
      </c>
      <c r="O39" s="212"/>
      <c r="P39" s="214">
        <f>IFNA(VLOOKUP(D39,'S1'!$1:$1500,2,False),0)</f>
        <v>74</v>
      </c>
      <c r="Q39" s="214">
        <f>vlookup(D39,'S2'!A35:B1237,2,0)</f>
        <v>50</v>
      </c>
      <c r="R39" s="214">
        <f>ifna(vlookup(D39,'S3'!$1:$1311,2,False),0)</f>
        <v>0</v>
      </c>
      <c r="S39" s="214"/>
      <c r="T39" s="215">
        <v>19.0</v>
      </c>
      <c r="U39" s="215">
        <v>16.0</v>
      </c>
      <c r="V39" s="215">
        <v>90.0</v>
      </c>
      <c r="W39" s="215">
        <v>86.0</v>
      </c>
      <c r="X39" s="215">
        <v>78.0</v>
      </c>
      <c r="Y39" s="215"/>
      <c r="Z39" s="217"/>
      <c r="AA39" s="218">
        <v>16.0</v>
      </c>
      <c r="AB39" s="219">
        <v>12.0</v>
      </c>
      <c r="AC39" s="295">
        <v>63.0</v>
      </c>
      <c r="AD39" s="129">
        <v>60.0</v>
      </c>
      <c r="AE39" s="130">
        <v>45.0</v>
      </c>
      <c r="AF39" s="481"/>
      <c r="AG39" s="487">
        <v>34.0</v>
      </c>
      <c r="AH39" s="481"/>
      <c r="AI39" s="88"/>
      <c r="AJ39" s="88"/>
      <c r="AK39" s="132">
        <f t="shared" si="1"/>
        <v>4</v>
      </c>
      <c r="AL39" s="132">
        <f t="shared" si="2"/>
        <v>2</v>
      </c>
      <c r="AM39" s="133">
        <f t="shared" si="3"/>
        <v>3</v>
      </c>
      <c r="AN39" s="132" t="str">
        <f t="shared" si="6"/>
        <v>0</v>
      </c>
      <c r="AO39" s="132">
        <f t="shared" si="5"/>
        <v>2</v>
      </c>
      <c r="AP39" s="88"/>
    </row>
    <row r="40">
      <c r="A40" s="142">
        <v>36.0</v>
      </c>
      <c r="B40" s="483" t="s">
        <v>1665</v>
      </c>
      <c r="C40" s="483" t="s">
        <v>2903</v>
      </c>
      <c r="D40" s="209" t="str">
        <f>VLOOKUP(B40,USN!$1:$1088,2,False)</f>
        <v>1CR23AI037</v>
      </c>
      <c r="E40" s="484">
        <v>9.110810747E9</v>
      </c>
      <c r="F40" s="234" t="s">
        <v>3780</v>
      </c>
      <c r="G40" s="88"/>
      <c r="H40" s="210">
        <v>78.0</v>
      </c>
      <c r="I40" s="211">
        <v>77.0</v>
      </c>
      <c r="J40" s="211">
        <f>VLOOKUP(D40,'L3'!$1:$2060,2,False)</f>
        <v>56</v>
      </c>
      <c r="K40" s="211">
        <f>VLOOKUP(D40,'L4'!$1:$2059,2,False)</f>
        <v>2</v>
      </c>
      <c r="L40" s="212">
        <f>VLOOKUP(D40,'A1 RETEST 5 DEC'!$1:$2096,2,False)</f>
        <v>21</v>
      </c>
      <c r="M40" s="213">
        <f>VLOOKUP(D40,'A2 RETEST 4 DEC'!$1:$2096,2,False)</f>
        <v>2</v>
      </c>
      <c r="N40" s="213">
        <v>0.0</v>
      </c>
      <c r="O40" s="212"/>
      <c r="P40" s="214">
        <f>IFNA(VLOOKUP(D40,'S1'!$1:$1500,2,False),0)</f>
        <v>77</v>
      </c>
      <c r="Q40" s="214">
        <f>vlookup(D40,'S2'!A36:B1238,2,0)</f>
        <v>0</v>
      </c>
      <c r="R40" s="214">
        <f>ifna(vlookup(D40,'S3'!$1:$1311,2,False),0)</f>
        <v>0</v>
      </c>
      <c r="S40" s="214"/>
      <c r="T40" s="215">
        <v>11.0</v>
      </c>
      <c r="U40" s="215">
        <v>22.0</v>
      </c>
      <c r="V40" s="215">
        <v>86.0</v>
      </c>
      <c r="W40" s="215">
        <v>0.0</v>
      </c>
      <c r="X40" s="215">
        <v>66.0</v>
      </c>
      <c r="Y40" s="215"/>
      <c r="Z40" s="217"/>
      <c r="AA40" s="218">
        <v>20.0</v>
      </c>
      <c r="AB40" s="219">
        <v>82.0</v>
      </c>
      <c r="AC40" s="295">
        <v>0.0</v>
      </c>
      <c r="AD40" s="129">
        <v>2.0</v>
      </c>
      <c r="AE40" s="130">
        <v>10.0</v>
      </c>
      <c r="AF40" s="481"/>
      <c r="AG40" s="493">
        <v>0.0</v>
      </c>
      <c r="AH40" s="481"/>
      <c r="AI40" s="88"/>
      <c r="AJ40" s="88"/>
      <c r="AK40" s="132">
        <f t="shared" si="1"/>
        <v>2</v>
      </c>
      <c r="AL40" s="132">
        <f t="shared" si="2"/>
        <v>0</v>
      </c>
      <c r="AM40" s="133">
        <f t="shared" si="3"/>
        <v>2</v>
      </c>
      <c r="AN40" s="132" t="str">
        <f t="shared" si="6"/>
        <v>2</v>
      </c>
      <c r="AO40" s="132">
        <f t="shared" si="5"/>
        <v>1</v>
      </c>
      <c r="AP40" s="88"/>
    </row>
    <row r="41">
      <c r="A41" s="142">
        <v>37.0</v>
      </c>
      <c r="B41" s="483" t="s">
        <v>1678</v>
      </c>
      <c r="C41" s="483" t="s">
        <v>2904</v>
      </c>
      <c r="D41" s="209" t="str">
        <f>VLOOKUP(B41,USN!$1:$1088,2,False)</f>
        <v>1CR23AI038</v>
      </c>
      <c r="E41" s="484">
        <v>9.916766556E9</v>
      </c>
      <c r="F41" s="234" t="s">
        <v>3780</v>
      </c>
      <c r="G41" s="88"/>
      <c r="H41" s="210">
        <v>75.0</v>
      </c>
      <c r="I41" s="211">
        <v>87.0</v>
      </c>
      <c r="J41" s="211">
        <f>VLOOKUP(D41,'L3'!$1:$2060,2,False)</f>
        <v>77</v>
      </c>
      <c r="K41" s="211">
        <f>VLOOKUP(D41,'L4'!$1:$2059,2,False)</f>
        <v>72</v>
      </c>
      <c r="L41" s="212">
        <f>VLOOKUP(D41,'A1 RETEST 5 DEC'!$1:$2096,2,False)</f>
        <v>50</v>
      </c>
      <c r="M41" s="213">
        <f>VLOOKUP(D41,'A2 RETEST 4 DEC'!$1:$2096,2,False)</f>
        <v>50</v>
      </c>
      <c r="N41" s="213">
        <v>54.0</v>
      </c>
      <c r="O41" s="212"/>
      <c r="P41" s="214">
        <f>IFNA(VLOOKUP(D41,'S1'!$1:$1500,2,False),0)</f>
        <v>50</v>
      </c>
      <c r="Q41" s="214">
        <f>vlookup(D41,'S2'!A37:B1239,2,0)</f>
        <v>73</v>
      </c>
      <c r="R41" s="214">
        <f>ifna(vlookup(D41,'S3'!$1:$1311,2,False),0)</f>
        <v>84</v>
      </c>
      <c r="S41" s="214"/>
      <c r="T41" s="215">
        <v>13.0</v>
      </c>
      <c r="U41" s="215">
        <v>23.0</v>
      </c>
      <c r="V41" s="215">
        <v>92.0</v>
      </c>
      <c r="W41" s="215">
        <v>84.0</v>
      </c>
      <c r="X41" s="215">
        <v>76.0</v>
      </c>
      <c r="Y41" s="215"/>
      <c r="Z41" s="217"/>
      <c r="AA41" s="218">
        <v>32.0</v>
      </c>
      <c r="AB41" s="219">
        <v>88.0</v>
      </c>
      <c r="AC41" s="295">
        <v>76.0</v>
      </c>
      <c r="AD41" s="129">
        <v>100.0</v>
      </c>
      <c r="AE41" s="129">
        <v>70.0</v>
      </c>
      <c r="AF41" s="481"/>
      <c r="AG41" s="487">
        <v>70.0</v>
      </c>
      <c r="AH41" s="481"/>
      <c r="AI41" s="88"/>
      <c r="AJ41" s="88"/>
      <c r="AK41" s="132">
        <f t="shared" si="1"/>
        <v>4</v>
      </c>
      <c r="AL41" s="132">
        <f t="shared" si="2"/>
        <v>3</v>
      </c>
      <c r="AM41" s="133">
        <f t="shared" si="3"/>
        <v>3</v>
      </c>
      <c r="AN41" s="132" t="str">
        <f t="shared" si="6"/>
        <v>3.5</v>
      </c>
      <c r="AO41" s="132">
        <f t="shared" si="5"/>
        <v>3</v>
      </c>
      <c r="AP41" s="88"/>
    </row>
    <row r="42">
      <c r="A42" s="142">
        <v>38.0</v>
      </c>
      <c r="B42" s="483" t="s">
        <v>1635</v>
      </c>
      <c r="C42" s="483" t="s">
        <v>2905</v>
      </c>
      <c r="D42" s="209" t="str">
        <f>VLOOKUP(B42,USN!$1:$1088,2,False)</f>
        <v>1CR23AI039</v>
      </c>
      <c r="E42" s="484">
        <v>9.798218257E9</v>
      </c>
      <c r="F42" s="234" t="s">
        <v>3780</v>
      </c>
      <c r="G42" s="88"/>
      <c r="H42" s="210">
        <v>73.0</v>
      </c>
      <c r="I42" s="211">
        <v>81.0</v>
      </c>
      <c r="J42" s="211">
        <f>VLOOKUP(D42,'L3'!$1:$2060,2,False)</f>
        <v>67</v>
      </c>
      <c r="K42" s="211">
        <f>VLOOKUP(D42,'L4'!$1:$2059,2,False)</f>
        <v>24</v>
      </c>
      <c r="L42" s="212">
        <f>VLOOKUP(D42,'A1 RETEST 5 DEC'!$1:$2096,2,False)</f>
        <v>40</v>
      </c>
      <c r="M42" s="213">
        <f>VLOOKUP(D42,'A2 RETEST 4 DEC'!$1:$2096,2,False)</f>
        <v>0</v>
      </c>
      <c r="N42" s="213">
        <v>0.0</v>
      </c>
      <c r="O42" s="212"/>
      <c r="P42" s="214">
        <f>IFNA(VLOOKUP(D42,'S1'!$1:$1500,2,False),0)</f>
        <v>0</v>
      </c>
      <c r="Q42" s="214">
        <f>vlookup(D42,'S2'!A38:B1240,2,0)</f>
        <v>0</v>
      </c>
      <c r="R42" s="214">
        <f>ifna(vlookup(D42,'S3'!$1:$1311,2,False),0)</f>
        <v>0</v>
      </c>
      <c r="S42" s="214"/>
      <c r="T42" s="215">
        <v>17.0</v>
      </c>
      <c r="U42" s="215">
        <v>17.0</v>
      </c>
      <c r="V42" s="215">
        <v>90.0</v>
      </c>
      <c r="W42" s="215">
        <v>76.0</v>
      </c>
      <c r="X42" s="215">
        <v>76.0</v>
      </c>
      <c r="Y42" s="215"/>
      <c r="Z42" s="217"/>
      <c r="AA42" s="218">
        <v>2.0</v>
      </c>
      <c r="AB42" s="219">
        <v>72.0</v>
      </c>
      <c r="AC42" s="295">
        <v>0.0</v>
      </c>
      <c r="AD42" s="129">
        <v>1.0</v>
      </c>
      <c r="AE42" s="130">
        <v>10.0</v>
      </c>
      <c r="AF42" s="481"/>
      <c r="AG42" s="488">
        <v>0.0</v>
      </c>
      <c r="AH42" s="481"/>
      <c r="AI42" s="88"/>
      <c r="AJ42" s="88"/>
      <c r="AK42" s="132">
        <f t="shared" si="1"/>
        <v>2</v>
      </c>
      <c r="AL42" s="132">
        <f t="shared" si="2"/>
        <v>0</v>
      </c>
      <c r="AM42" s="133">
        <f t="shared" si="3"/>
        <v>3</v>
      </c>
      <c r="AN42" s="132" t="str">
        <f t="shared" si="6"/>
        <v>2</v>
      </c>
      <c r="AO42" s="132">
        <f t="shared" si="5"/>
        <v>0</v>
      </c>
      <c r="AP42" s="88"/>
    </row>
    <row r="43">
      <c r="A43" s="142">
        <v>39.0</v>
      </c>
      <c r="B43" s="483" t="s">
        <v>1662</v>
      </c>
      <c r="C43" s="483" t="s">
        <v>2906</v>
      </c>
      <c r="D43" s="209" t="str">
        <f>VLOOKUP(B43,USN!$1:$1088,2,False)</f>
        <v>1CR23AI040</v>
      </c>
      <c r="E43" s="484">
        <f>+9779811380482</f>
        <v>9779811380482</v>
      </c>
      <c r="F43" s="234" t="s">
        <v>3780</v>
      </c>
      <c r="G43" s="88"/>
      <c r="H43" s="210">
        <v>73.0</v>
      </c>
      <c r="I43" s="211">
        <v>84.0</v>
      </c>
      <c r="J43" s="211">
        <f>VLOOKUP(D43,'L3'!$1:$2060,2,False)</f>
        <v>61</v>
      </c>
      <c r="K43" s="211">
        <f>VLOOKUP(D43,'L4'!$1:$2059,2,False)</f>
        <v>44</v>
      </c>
      <c r="L43" s="212">
        <f>VLOOKUP(D43,'A1 RETEST 5 DEC'!$1:$2096,2,False)</f>
        <v>18</v>
      </c>
      <c r="M43" s="213">
        <f>VLOOKUP(D43,'A2 RETEST 4 DEC'!$1:$2096,2,False)</f>
        <v>11</v>
      </c>
      <c r="N43" s="213">
        <v>0.0</v>
      </c>
      <c r="O43" s="212"/>
      <c r="P43" s="214">
        <f>IFNA(VLOOKUP(D43,'S1'!$1:$1500,2,False),0)</f>
        <v>0</v>
      </c>
      <c r="Q43" s="214">
        <f>vlookup(D43,'S2'!A39:B1241,2,0)</f>
        <v>0</v>
      </c>
      <c r="R43" s="214">
        <f>ifna(vlookup(D43,'S3'!$1:$1311,2,False),0)</f>
        <v>0</v>
      </c>
      <c r="S43" s="214"/>
      <c r="T43" s="215">
        <v>12.0</v>
      </c>
      <c r="U43" s="215">
        <v>15.0</v>
      </c>
      <c r="V43" s="215">
        <v>88.0</v>
      </c>
      <c r="W43" s="215">
        <v>68.0</v>
      </c>
      <c r="X43" s="215">
        <v>76.0</v>
      </c>
      <c r="Y43" s="215"/>
      <c r="Z43" s="217"/>
      <c r="AA43" s="218">
        <v>64.0</v>
      </c>
      <c r="AB43" s="219">
        <v>73.0</v>
      </c>
      <c r="AC43" s="295">
        <v>0.0</v>
      </c>
      <c r="AD43" s="129">
        <v>40.0</v>
      </c>
      <c r="AE43" s="130">
        <v>10.0</v>
      </c>
      <c r="AF43" s="481"/>
      <c r="AG43" s="488">
        <v>39.0</v>
      </c>
      <c r="AH43" s="481"/>
      <c r="AI43" s="88"/>
      <c r="AJ43" s="88"/>
      <c r="AK43" s="132">
        <f t="shared" si="1"/>
        <v>2</v>
      </c>
      <c r="AL43" s="132">
        <f t="shared" si="2"/>
        <v>0</v>
      </c>
      <c r="AM43" s="133">
        <f t="shared" si="3"/>
        <v>3</v>
      </c>
      <c r="AN43" s="132" t="str">
        <f t="shared" si="6"/>
        <v>2</v>
      </c>
      <c r="AO43" s="132">
        <f t="shared" si="5"/>
        <v>0</v>
      </c>
      <c r="AP43" s="88"/>
    </row>
    <row r="44">
      <c r="A44" s="142">
        <v>40.0</v>
      </c>
      <c r="B44" s="483" t="s">
        <v>1636</v>
      </c>
      <c r="C44" s="483" t="s">
        <v>2907</v>
      </c>
      <c r="D44" s="209" t="str">
        <f>VLOOKUP(B44,USN!$1:$1088,2,False)</f>
        <v>1CR23AI041</v>
      </c>
      <c r="E44" s="484">
        <v>9.901893308E9</v>
      </c>
      <c r="F44" s="234" t="s">
        <v>3780</v>
      </c>
      <c r="G44" s="88"/>
      <c r="H44" s="243">
        <v>70.0</v>
      </c>
      <c r="I44" s="211">
        <v>70.0</v>
      </c>
      <c r="J44" s="211">
        <f>VLOOKUP(D44,'L3'!$1:$2060,2,False)</f>
        <v>70</v>
      </c>
      <c r="K44" s="211">
        <f>VLOOKUP(D44,'L4'!$1:$2059,2,False)</f>
        <v>70</v>
      </c>
      <c r="L44" s="212">
        <f>VLOOKUP(D44,'A1 RETEST 5 DEC'!$1:$2096,2,False)</f>
        <v>50</v>
      </c>
      <c r="M44" s="213">
        <f>VLOOKUP(D44,'A2 RETEST 4 DEC'!$1:$2096,2,False)</f>
        <v>50</v>
      </c>
      <c r="N44" s="213">
        <v>44.0</v>
      </c>
      <c r="O44" s="212"/>
      <c r="P44" s="214">
        <f>IFNA(VLOOKUP(D44,'S1'!$1:$1500,2,False),0)</f>
        <v>70</v>
      </c>
      <c r="Q44" s="214">
        <f>vlookup(D44,'S2'!A40:B1242,2,0)</f>
        <v>50</v>
      </c>
      <c r="R44" s="214">
        <f>ifna(vlookup(D44,'S3'!$1:$1311,2,False),0)</f>
        <v>50</v>
      </c>
      <c r="S44" s="214"/>
      <c r="T44" s="215">
        <v>11.0</v>
      </c>
      <c r="U44" s="215">
        <v>17.0</v>
      </c>
      <c r="V44" s="215">
        <v>86.0</v>
      </c>
      <c r="W44" s="215">
        <v>86.0</v>
      </c>
      <c r="X44" s="215">
        <v>72.0</v>
      </c>
      <c r="Y44" s="215"/>
      <c r="Z44" s="217"/>
      <c r="AA44" s="218">
        <v>8.0</v>
      </c>
      <c r="AB44" s="219">
        <v>45.0</v>
      </c>
      <c r="AC44" s="295">
        <v>45.0</v>
      </c>
      <c r="AD44" s="129">
        <v>60.0</v>
      </c>
      <c r="AE44" s="130">
        <v>60.0</v>
      </c>
      <c r="AF44" s="481"/>
      <c r="AG44" s="487">
        <v>30.0</v>
      </c>
      <c r="AH44" s="481"/>
      <c r="AI44" s="88"/>
      <c r="AJ44" s="88"/>
      <c r="AK44" s="132">
        <f t="shared" si="1"/>
        <v>4</v>
      </c>
      <c r="AL44" s="132">
        <f t="shared" si="2"/>
        <v>2</v>
      </c>
      <c r="AM44" s="133">
        <f t="shared" si="3"/>
        <v>3</v>
      </c>
      <c r="AN44" s="132" t="str">
        <f t="shared" si="6"/>
        <v>0</v>
      </c>
      <c r="AO44" s="132">
        <f t="shared" si="5"/>
        <v>3</v>
      </c>
      <c r="AP44" s="88"/>
    </row>
    <row r="45">
      <c r="A45" s="142">
        <v>41.0</v>
      </c>
      <c r="B45" s="483" t="s">
        <v>1661</v>
      </c>
      <c r="C45" s="483" t="s">
        <v>2908</v>
      </c>
      <c r="D45" s="209" t="str">
        <f>VLOOKUP(B45,USN!$1:$1088,2,False)</f>
        <v>1CR23AI042</v>
      </c>
      <c r="E45" s="484">
        <f>+977-9862299908</f>
        <v>-9862298931</v>
      </c>
      <c r="F45" s="234" t="s">
        <v>3780</v>
      </c>
      <c r="G45" s="88"/>
      <c r="H45" s="210">
        <v>75.0</v>
      </c>
      <c r="I45" s="211">
        <v>75.0</v>
      </c>
      <c r="J45" s="211">
        <f>VLOOKUP(D45,'L3'!$1:$2060,2,False)</f>
        <v>60</v>
      </c>
      <c r="K45" s="211">
        <f>VLOOKUP(D45,'L4'!$1:$2059,2,False)</f>
        <v>32</v>
      </c>
      <c r="L45" s="212">
        <f>VLOOKUP(D45,'A1 RETEST 5 DEC'!$1:$2096,2,False)</f>
        <v>10</v>
      </c>
      <c r="M45" s="213">
        <f>VLOOKUP(D45,'A2 RETEST 4 DEC'!$1:$2096,2,False)</f>
        <v>11</v>
      </c>
      <c r="N45" s="213">
        <v>0.0</v>
      </c>
      <c r="O45" s="212"/>
      <c r="P45" s="214">
        <f>IFNA(VLOOKUP(D45,'S1'!$1:$1500,2,False),0)</f>
        <v>82</v>
      </c>
      <c r="Q45" s="214">
        <f>vlookup(D45,'S2'!A41:B1243,2,0)</f>
        <v>0</v>
      </c>
      <c r="R45" s="214">
        <f>ifna(vlookup(D45,'S3'!$1:$1311,2,False),0)</f>
        <v>0</v>
      </c>
      <c r="S45" s="214"/>
      <c r="T45" s="215">
        <v>10.0</v>
      </c>
      <c r="U45" s="215">
        <v>19.0</v>
      </c>
      <c r="V45" s="215">
        <v>84.0</v>
      </c>
      <c r="W45" s="215">
        <v>92.0</v>
      </c>
      <c r="X45" s="215">
        <v>82.0</v>
      </c>
      <c r="Y45" s="215"/>
      <c r="Z45" s="217"/>
      <c r="AA45" s="218">
        <v>42.0</v>
      </c>
      <c r="AB45" s="219">
        <v>90.0</v>
      </c>
      <c r="AC45" s="295">
        <v>0.0</v>
      </c>
      <c r="AD45" s="129">
        <v>0.0</v>
      </c>
      <c r="AE45" s="130">
        <v>10.0</v>
      </c>
      <c r="AF45" s="481"/>
      <c r="AG45" s="493">
        <v>7.0</v>
      </c>
      <c r="AH45" s="481"/>
      <c r="AI45" s="88"/>
      <c r="AJ45" s="88"/>
      <c r="AK45" s="132">
        <f t="shared" si="1"/>
        <v>2</v>
      </c>
      <c r="AL45" s="132">
        <f t="shared" si="2"/>
        <v>0</v>
      </c>
      <c r="AM45" s="133">
        <f t="shared" si="3"/>
        <v>3</v>
      </c>
      <c r="AN45" s="132" t="str">
        <f t="shared" si="6"/>
        <v>2</v>
      </c>
      <c r="AO45" s="132">
        <f t="shared" si="5"/>
        <v>1</v>
      </c>
      <c r="AP45" s="88"/>
    </row>
    <row r="46">
      <c r="A46" s="142">
        <v>42.0</v>
      </c>
      <c r="B46" s="483" t="s">
        <v>1655</v>
      </c>
      <c r="C46" s="483" t="s">
        <v>2909</v>
      </c>
      <c r="D46" s="209" t="str">
        <f>VLOOKUP(B46,USN!$1:$1088,2,False)</f>
        <v>1CR23AI043</v>
      </c>
      <c r="E46" s="484">
        <v>9.449232975E9</v>
      </c>
      <c r="F46" s="234" t="s">
        <v>3780</v>
      </c>
      <c r="G46" s="88"/>
      <c r="H46" s="243">
        <v>70.0</v>
      </c>
      <c r="I46" s="211">
        <v>78.0</v>
      </c>
      <c r="J46" s="211">
        <f>VLOOKUP(D46,'L3'!$1:$2060,2,False)</f>
        <v>70</v>
      </c>
      <c r="K46" s="211">
        <f>VLOOKUP(D46,'L4'!$1:$2059,2,False)</f>
        <v>70</v>
      </c>
      <c r="L46" s="212">
        <f>VLOOKUP(D46,'A1 RETEST 5 DEC'!$1:$2096,2,False)</f>
        <v>50</v>
      </c>
      <c r="M46" s="213">
        <f>VLOOKUP(D46,'A2 RETEST 4 DEC'!$1:$2096,2,False)</f>
        <v>50</v>
      </c>
      <c r="N46" s="213">
        <v>50.0</v>
      </c>
      <c r="O46" s="212"/>
      <c r="P46" s="214">
        <f>IFNA(VLOOKUP(D46,'S1'!$1:$1500,2,False),0)</f>
        <v>82</v>
      </c>
      <c r="Q46" s="214">
        <f>vlookup(D46,'S2'!A42:B1244,2,0)</f>
        <v>80</v>
      </c>
      <c r="R46" s="214">
        <f>ifna(vlookup(D46,'S3'!$1:$1311,2,False),0)</f>
        <v>84</v>
      </c>
      <c r="S46" s="214"/>
      <c r="T46" s="215">
        <v>22.0</v>
      </c>
      <c r="U46" s="215">
        <v>23.0</v>
      </c>
      <c r="V46" s="215">
        <v>86.0</v>
      </c>
      <c r="W46" s="215">
        <v>86.0</v>
      </c>
      <c r="X46" s="215">
        <v>84.0</v>
      </c>
      <c r="Y46" s="215"/>
      <c r="Z46" s="217"/>
      <c r="AA46" s="218">
        <v>0.0</v>
      </c>
      <c r="AB46" s="219">
        <v>88.0</v>
      </c>
      <c r="AC46" s="295">
        <v>70.0</v>
      </c>
      <c r="AD46" s="129">
        <v>90.0</v>
      </c>
      <c r="AE46" s="130">
        <v>72.0</v>
      </c>
      <c r="AF46" s="481"/>
      <c r="AG46" s="488">
        <v>62.0</v>
      </c>
      <c r="AH46" s="481"/>
      <c r="AI46" s="88"/>
      <c r="AJ46" s="88"/>
      <c r="AK46" s="132">
        <f t="shared" si="1"/>
        <v>4</v>
      </c>
      <c r="AL46" s="132">
        <f t="shared" si="2"/>
        <v>3</v>
      </c>
      <c r="AM46" s="133">
        <f t="shared" si="3"/>
        <v>3</v>
      </c>
      <c r="AN46" s="132" t="str">
        <f t="shared" si="6"/>
        <v>3.5</v>
      </c>
      <c r="AO46" s="132">
        <f t="shared" si="5"/>
        <v>3</v>
      </c>
      <c r="AP46" s="88"/>
    </row>
    <row r="47">
      <c r="A47" s="142">
        <v>43.0</v>
      </c>
      <c r="B47" s="483" t="s">
        <v>1680</v>
      </c>
      <c r="C47" s="483" t="s">
        <v>2910</v>
      </c>
      <c r="D47" s="209" t="str">
        <f>VLOOKUP(B47,USN!$1:$1088,2,False)</f>
        <v>1CR23AI044</v>
      </c>
      <c r="E47" s="484">
        <v>8.073612487E9</v>
      </c>
      <c r="F47" s="234" t="s">
        <v>3780</v>
      </c>
      <c r="G47" s="88"/>
      <c r="H47" s="210">
        <v>72.0</v>
      </c>
      <c r="I47" s="211">
        <v>84.0</v>
      </c>
      <c r="J47" s="211">
        <f>VLOOKUP(D47,'L3'!$1:$2060,2,False)</f>
        <v>70</v>
      </c>
      <c r="K47" s="211">
        <f>VLOOKUP(D47,'L4'!$1:$2059,2,False)</f>
        <v>70</v>
      </c>
      <c r="L47" s="212">
        <f>VLOOKUP(D47,'A1 RETEST 5 DEC'!$1:$2096,2,False)</f>
        <v>50</v>
      </c>
      <c r="M47" s="213">
        <f>VLOOKUP(D47,'A2 RETEST 4 DEC'!$1:$2096,2,False)</f>
        <v>50</v>
      </c>
      <c r="N47" s="213">
        <v>14.0</v>
      </c>
      <c r="O47" s="212"/>
      <c r="P47" s="214">
        <f>IFNA(VLOOKUP(D47,'S1'!$1:$1500,2,False),0)</f>
        <v>74</v>
      </c>
      <c r="Q47" s="214">
        <f>vlookup(D47,'S2'!A43:B1245,2,0)</f>
        <v>50</v>
      </c>
      <c r="R47" s="214">
        <f>ifna(vlookup(D47,'S3'!$1:$1311,2,False),0)</f>
        <v>50</v>
      </c>
      <c r="S47" s="214"/>
      <c r="T47" s="215">
        <v>13.0</v>
      </c>
      <c r="U47" s="215">
        <v>22.0</v>
      </c>
      <c r="V47" s="215">
        <v>86.0</v>
      </c>
      <c r="W47" s="215">
        <v>64.0</v>
      </c>
      <c r="X47" s="215">
        <v>74.0</v>
      </c>
      <c r="Y47" s="215"/>
      <c r="Z47" s="217"/>
      <c r="AA47" s="218">
        <v>44.0</v>
      </c>
      <c r="AB47" s="219">
        <v>73.0</v>
      </c>
      <c r="AC47" s="295">
        <v>100.0</v>
      </c>
      <c r="AD47" s="129">
        <v>100.0</v>
      </c>
      <c r="AE47" s="130">
        <v>45.0</v>
      </c>
      <c r="AF47" s="481"/>
      <c r="AG47" s="488">
        <v>14.0</v>
      </c>
      <c r="AH47" s="481"/>
      <c r="AI47" s="88"/>
      <c r="AJ47" s="88"/>
      <c r="AK47" s="132">
        <f t="shared" si="1"/>
        <v>4</v>
      </c>
      <c r="AL47" s="132">
        <f t="shared" si="2"/>
        <v>2</v>
      </c>
      <c r="AM47" s="133">
        <f t="shared" si="3"/>
        <v>3</v>
      </c>
      <c r="AN47" s="132" t="str">
        <f t="shared" si="6"/>
        <v>3</v>
      </c>
      <c r="AO47" s="132">
        <f t="shared" si="5"/>
        <v>3</v>
      </c>
      <c r="AP47" s="88"/>
    </row>
    <row r="48">
      <c r="A48" s="142">
        <v>44.0</v>
      </c>
      <c r="B48" s="483" t="s">
        <v>1637</v>
      </c>
      <c r="C48" s="483" t="s">
        <v>2911</v>
      </c>
      <c r="D48" s="209" t="str">
        <f>VLOOKUP(B48,USN!$1:$1088,2,False)</f>
        <v>1CR23AI045</v>
      </c>
      <c r="E48" s="484">
        <v>7.795911776E9</v>
      </c>
      <c r="F48" s="234" t="s">
        <v>3780</v>
      </c>
      <c r="G48" s="88"/>
      <c r="H48" s="243">
        <v>70.0</v>
      </c>
      <c r="I48" s="211">
        <v>77.0</v>
      </c>
      <c r="J48" s="211">
        <f>VLOOKUP(D48,'L3'!$1:$2060,2,False)</f>
        <v>70</v>
      </c>
      <c r="K48" s="211">
        <f>VLOOKUP(D48,'L4'!$1:$2059,2,False)</f>
        <v>74</v>
      </c>
      <c r="L48" s="212">
        <f>VLOOKUP(D48,'A1 RETEST 5 DEC'!$1:$2096,2,False)</f>
        <v>50</v>
      </c>
      <c r="M48" s="213">
        <f>VLOOKUP(D48,'A2 RETEST 4 DEC'!$1:$2096,2,False)</f>
        <v>25</v>
      </c>
      <c r="N48" s="213">
        <v>27.0</v>
      </c>
      <c r="O48" s="212"/>
      <c r="P48" s="214">
        <f>IFNA(VLOOKUP(D48,'S1'!$1:$1500,2,False),0)</f>
        <v>76</v>
      </c>
      <c r="Q48" s="214">
        <f>vlookup(D48,'S2'!A44:B1246,2,0)</f>
        <v>67</v>
      </c>
      <c r="R48" s="214">
        <f>ifna(vlookup(D48,'S3'!$1:$1311,2,False),0)</f>
        <v>80</v>
      </c>
      <c r="S48" s="214"/>
      <c r="T48" s="215">
        <v>10.0</v>
      </c>
      <c r="U48" s="215">
        <v>16.0</v>
      </c>
      <c r="V48" s="215">
        <v>76.0</v>
      </c>
      <c r="W48" s="215">
        <v>84.0</v>
      </c>
      <c r="X48" s="215">
        <v>84.0</v>
      </c>
      <c r="Y48" s="215"/>
      <c r="Z48" s="217"/>
      <c r="AA48" s="218">
        <v>26.0</v>
      </c>
      <c r="AB48" s="219">
        <v>45.0</v>
      </c>
      <c r="AC48" s="295">
        <v>70.0</v>
      </c>
      <c r="AD48" s="129">
        <v>1.0</v>
      </c>
      <c r="AE48" s="130">
        <v>18.0</v>
      </c>
      <c r="AF48" s="481"/>
      <c r="AG48" s="487">
        <v>54.0</v>
      </c>
      <c r="AH48" s="481"/>
      <c r="AI48" s="88"/>
      <c r="AJ48" s="88"/>
      <c r="AK48" s="132">
        <f t="shared" si="1"/>
        <v>4</v>
      </c>
      <c r="AL48" s="132">
        <f t="shared" si="2"/>
        <v>1</v>
      </c>
      <c r="AM48" s="133">
        <f t="shared" si="3"/>
        <v>3</v>
      </c>
      <c r="AN48" s="132" t="str">
        <f t="shared" si="6"/>
        <v>0</v>
      </c>
      <c r="AO48" s="132">
        <f t="shared" si="5"/>
        <v>3</v>
      </c>
      <c r="AP48" s="88"/>
    </row>
    <row r="49">
      <c r="A49" s="142">
        <v>45.0</v>
      </c>
      <c r="B49" s="483" t="s">
        <v>1638</v>
      </c>
      <c r="C49" s="483" t="s">
        <v>2912</v>
      </c>
      <c r="D49" s="209" t="str">
        <f>VLOOKUP(B49,USN!$1:$1088,2,False)</f>
        <v>1CR23AI046</v>
      </c>
      <c r="E49" s="484">
        <v>7.702195775E9</v>
      </c>
      <c r="F49" s="234" t="s">
        <v>3780</v>
      </c>
      <c r="G49" s="88"/>
      <c r="H49" s="210">
        <v>83.0</v>
      </c>
      <c r="I49" s="211">
        <v>90.0</v>
      </c>
      <c r="J49" s="211">
        <f>VLOOKUP(D49,'L3'!$1:$2060,2,False)</f>
        <v>67</v>
      </c>
      <c r="K49" s="211">
        <f>VLOOKUP(D49,'L4'!$1:$2059,2,False)</f>
        <v>71</v>
      </c>
      <c r="L49" s="212">
        <f>VLOOKUP(D49,'A1 RETEST 5 DEC'!$1:$2096,2,False)</f>
        <v>31</v>
      </c>
      <c r="M49" s="213">
        <f>VLOOKUP(D49,'A2 RETEST 4 DEC'!$1:$2096,2,False)</f>
        <v>21</v>
      </c>
      <c r="N49" s="213">
        <v>31.0</v>
      </c>
      <c r="O49" s="212"/>
      <c r="P49" s="214">
        <f>IFNA(VLOOKUP(D49,'S1'!$1:$1500,2,False),0)</f>
        <v>50</v>
      </c>
      <c r="Q49" s="214">
        <f>vlookup(D49,'S2'!A45:B1247,2,0)</f>
        <v>88</v>
      </c>
      <c r="R49" s="214">
        <f>ifna(vlookup(D49,'S3'!$1:$1311,2,False),0)</f>
        <v>72</v>
      </c>
      <c r="S49" s="214"/>
      <c r="T49" s="215">
        <v>13.0</v>
      </c>
      <c r="U49" s="215">
        <v>23.0</v>
      </c>
      <c r="V49" s="215">
        <v>80.0</v>
      </c>
      <c r="W49" s="215">
        <v>70.0</v>
      </c>
      <c r="X49" s="215"/>
      <c r="Y49" s="215"/>
      <c r="Z49" s="217"/>
      <c r="AA49" s="218">
        <v>90.0</v>
      </c>
      <c r="AB49" s="219">
        <v>78.0</v>
      </c>
      <c r="AC49" s="295">
        <v>20.0</v>
      </c>
      <c r="AD49" s="129">
        <v>11.0</v>
      </c>
      <c r="AE49" s="130">
        <v>14.0</v>
      </c>
      <c r="AF49" s="481"/>
      <c r="AG49" s="487">
        <v>51.0</v>
      </c>
      <c r="AH49" s="481"/>
      <c r="AI49" s="88"/>
      <c r="AJ49" s="88"/>
      <c r="AK49" s="132">
        <f t="shared" si="1"/>
        <v>2</v>
      </c>
      <c r="AL49" s="132">
        <f t="shared" si="2"/>
        <v>0</v>
      </c>
      <c r="AM49" s="133">
        <f t="shared" si="3"/>
        <v>3</v>
      </c>
      <c r="AN49" s="132" t="str">
        <f t="shared" si="6"/>
        <v>2</v>
      </c>
      <c r="AO49" s="132">
        <f t="shared" si="5"/>
        <v>3</v>
      </c>
      <c r="AP49" s="88"/>
    </row>
    <row r="50">
      <c r="A50" s="142">
        <v>46.0</v>
      </c>
      <c r="B50" s="483" t="s">
        <v>1667</v>
      </c>
      <c r="C50" s="483" t="s">
        <v>2913</v>
      </c>
      <c r="D50" s="209" t="str">
        <f>VLOOKUP(B50,USN!$1:$1088,2,False)</f>
        <v>1CR23AI047</v>
      </c>
      <c r="E50" s="484">
        <v>9.81301985E9</v>
      </c>
      <c r="F50" s="234" t="s">
        <v>3780</v>
      </c>
      <c r="G50" s="88"/>
      <c r="H50" s="210">
        <v>74.0</v>
      </c>
      <c r="I50" s="211">
        <v>84.0</v>
      </c>
      <c r="J50" s="211">
        <f>VLOOKUP(D50,'L3'!$1:$2060,2,False)</f>
        <v>70</v>
      </c>
      <c r="K50" s="211">
        <f>VLOOKUP(D50,'L4'!$1:$2059,2,False)</f>
        <v>40</v>
      </c>
      <c r="L50" s="212">
        <f>VLOOKUP(D50,'A1 RETEST 5 DEC'!$1:$2096,2,False)</f>
        <v>7</v>
      </c>
      <c r="M50" s="213">
        <f>VLOOKUP(D50,'A2 RETEST 4 DEC'!$1:$2096,2,False)</f>
        <v>21</v>
      </c>
      <c r="N50" s="213">
        <v>0.0</v>
      </c>
      <c r="O50" s="212"/>
      <c r="P50" s="214">
        <f>IFNA(VLOOKUP(D50,'S1'!$1:$1500,2,False),0)</f>
        <v>82</v>
      </c>
      <c r="Q50" s="214">
        <f>vlookup(D50,'S2'!A46:B1248,2,0)</f>
        <v>50</v>
      </c>
      <c r="R50" s="214">
        <f>ifna(vlookup(D50,'S3'!$1:$1311,2,False),0)</f>
        <v>0</v>
      </c>
      <c r="S50" s="214"/>
      <c r="T50" s="215">
        <v>10.0</v>
      </c>
      <c r="U50" s="215">
        <v>21.0</v>
      </c>
      <c r="V50" s="215">
        <v>86.0</v>
      </c>
      <c r="W50" s="215">
        <v>88.0</v>
      </c>
      <c r="X50" s="215">
        <v>76.0</v>
      </c>
      <c r="Y50" s="215"/>
      <c r="Z50" s="217"/>
      <c r="AA50" s="218">
        <v>92.0</v>
      </c>
      <c r="AB50" s="219">
        <v>86.0</v>
      </c>
      <c r="AC50" s="295">
        <v>0.0</v>
      </c>
      <c r="AD50" s="129">
        <v>0.0</v>
      </c>
      <c r="AE50" s="130">
        <v>10.0</v>
      </c>
      <c r="AF50" s="481"/>
      <c r="AG50" s="487">
        <v>0.0</v>
      </c>
      <c r="AH50" s="481"/>
      <c r="AI50" s="88"/>
      <c r="AJ50" s="88"/>
      <c r="AK50" s="132">
        <f t="shared" si="1"/>
        <v>3</v>
      </c>
      <c r="AL50" s="132">
        <f t="shared" si="2"/>
        <v>0</v>
      </c>
      <c r="AM50" s="133">
        <f t="shared" si="3"/>
        <v>3</v>
      </c>
      <c r="AN50" s="132" t="str">
        <f t="shared" si="6"/>
        <v>2</v>
      </c>
      <c r="AO50" s="132">
        <f t="shared" si="5"/>
        <v>2</v>
      </c>
      <c r="AP50" s="88"/>
    </row>
    <row r="51">
      <c r="A51" s="142">
        <v>47.0</v>
      </c>
      <c r="B51" s="483" t="s">
        <v>1639</v>
      </c>
      <c r="C51" s="483" t="s">
        <v>2914</v>
      </c>
      <c r="D51" s="209" t="str">
        <f>VLOOKUP(B51,USN!$1:$1088,2,False)</f>
        <v>1CR23AI048</v>
      </c>
      <c r="E51" s="484">
        <v>9.182459067E9</v>
      </c>
      <c r="F51" s="234" t="s">
        <v>3780</v>
      </c>
      <c r="G51" s="88"/>
      <c r="H51" s="210">
        <v>76.0</v>
      </c>
      <c r="I51" s="211">
        <v>70.0</v>
      </c>
      <c r="J51" s="211">
        <f>VLOOKUP(D51,'L3'!$1:$2060,2,False)</f>
        <v>70</v>
      </c>
      <c r="K51" s="211">
        <f>VLOOKUP(D51,'L4'!$1:$2059,2,False)</f>
        <v>71</v>
      </c>
      <c r="L51" s="212">
        <f>VLOOKUP(D51,'A1 RETEST 5 DEC'!$1:$2096,2,False)</f>
        <v>50</v>
      </c>
      <c r="M51" s="213">
        <f>VLOOKUP(D51,'A2 RETEST 4 DEC'!$1:$2096,2,False)</f>
        <v>50</v>
      </c>
      <c r="N51" s="213">
        <v>61.0</v>
      </c>
      <c r="O51" s="212"/>
      <c r="P51" s="214">
        <f>IFNA(VLOOKUP(D51,'S1'!$1:$1500,2,False),0)</f>
        <v>81</v>
      </c>
      <c r="Q51" s="214">
        <f>vlookup(D51,'S2'!A47:B1249,2,0)</f>
        <v>50</v>
      </c>
      <c r="R51" s="214">
        <f>ifna(vlookup(D51,'S3'!$1:$1311,2,False),0)</f>
        <v>73</v>
      </c>
      <c r="S51" s="214"/>
      <c r="T51" s="215">
        <v>11.0</v>
      </c>
      <c r="U51" s="215">
        <v>21.0</v>
      </c>
      <c r="V51" s="215">
        <v>82.0</v>
      </c>
      <c r="W51" s="215">
        <v>90.0</v>
      </c>
      <c r="X51" s="215">
        <v>74.0</v>
      </c>
      <c r="Y51" s="215"/>
      <c r="Z51" s="217"/>
      <c r="AA51" s="218">
        <v>34.0</v>
      </c>
      <c r="AB51" s="219">
        <v>97.0</v>
      </c>
      <c r="AC51" s="295">
        <v>72.0</v>
      </c>
      <c r="AD51" s="129">
        <v>2.0</v>
      </c>
      <c r="AE51" s="130">
        <v>23.0</v>
      </c>
      <c r="AF51" s="481"/>
      <c r="AG51" s="493">
        <v>72.0</v>
      </c>
      <c r="AH51" s="481"/>
      <c r="AI51" s="88"/>
      <c r="AJ51" s="88"/>
      <c r="AK51" s="132">
        <f t="shared" si="1"/>
        <v>4</v>
      </c>
      <c r="AL51" s="132">
        <f t="shared" si="2"/>
        <v>3</v>
      </c>
      <c r="AM51" s="133">
        <f t="shared" si="3"/>
        <v>3</v>
      </c>
      <c r="AN51" s="132" t="str">
        <f t="shared" si="6"/>
        <v>3</v>
      </c>
      <c r="AO51" s="132">
        <f t="shared" si="5"/>
        <v>3</v>
      </c>
      <c r="AP51" s="88"/>
    </row>
    <row r="52">
      <c r="A52" s="142">
        <v>48.0</v>
      </c>
      <c r="B52" s="483" t="s">
        <v>1668</v>
      </c>
      <c r="C52" s="483" t="s">
        <v>2915</v>
      </c>
      <c r="D52" s="209" t="str">
        <f>VLOOKUP(B52,USN!$1:$1088,2,False)</f>
        <v>1CR23AI049</v>
      </c>
      <c r="E52" s="484">
        <v>7.619582253E9</v>
      </c>
      <c r="F52" s="234" t="s">
        <v>3780</v>
      </c>
      <c r="G52" s="88"/>
      <c r="H52" s="210">
        <v>82.0</v>
      </c>
      <c r="I52" s="211">
        <v>83.0</v>
      </c>
      <c r="J52" s="211">
        <f>VLOOKUP(D52,'L3'!$1:$2060,2,False)</f>
        <v>70</v>
      </c>
      <c r="K52" s="211">
        <f>VLOOKUP(D52,'L4'!$1:$2059,2,False)</f>
        <v>70</v>
      </c>
      <c r="L52" s="212">
        <f>VLOOKUP(D52,'A1 RETEST 5 DEC'!$1:$2096,2,False)</f>
        <v>15</v>
      </c>
      <c r="M52" s="213">
        <f>VLOOKUP(D52,'A2 RETEST 4 DEC'!$1:$2096,2,False)</f>
        <v>50</v>
      </c>
      <c r="N52" s="213">
        <v>53.0</v>
      </c>
      <c r="O52" s="212"/>
      <c r="P52" s="214">
        <f>IFNA(VLOOKUP(D52,'S1'!$1:$1500,2,False),0)</f>
        <v>80</v>
      </c>
      <c r="Q52" s="214">
        <f>vlookup(D52,'S2'!A48:B1250,2,0)</f>
        <v>88</v>
      </c>
      <c r="R52" s="214">
        <f>ifna(vlookup(D52,'S3'!$1:$1311,2,False),0)</f>
        <v>88</v>
      </c>
      <c r="S52" s="214"/>
      <c r="T52" s="215">
        <v>12.0</v>
      </c>
      <c r="U52" s="215">
        <v>20.0</v>
      </c>
      <c r="V52" s="215">
        <v>86.0</v>
      </c>
      <c r="W52" s="215">
        <v>84.0</v>
      </c>
      <c r="X52" s="215">
        <v>82.0</v>
      </c>
      <c r="Y52" s="215"/>
      <c r="Z52" s="217"/>
      <c r="AA52" s="218">
        <v>76.0</v>
      </c>
      <c r="AB52" s="219">
        <v>90.0</v>
      </c>
      <c r="AC52" s="295">
        <v>62.0</v>
      </c>
      <c r="AD52" s="129">
        <v>65.0</v>
      </c>
      <c r="AE52" s="130">
        <v>70.0</v>
      </c>
      <c r="AF52" s="481"/>
      <c r="AG52" s="487">
        <v>74.0</v>
      </c>
      <c r="AH52" s="481"/>
      <c r="AI52" s="88"/>
      <c r="AJ52" s="88"/>
      <c r="AK52" s="132">
        <f t="shared" si="1"/>
        <v>4</v>
      </c>
      <c r="AL52" s="132">
        <f t="shared" si="2"/>
        <v>0</v>
      </c>
      <c r="AM52" s="133">
        <f t="shared" si="3"/>
        <v>3</v>
      </c>
      <c r="AN52" s="132" t="str">
        <f t="shared" si="6"/>
        <v>3.5</v>
      </c>
      <c r="AO52" s="132">
        <f t="shared" si="5"/>
        <v>3</v>
      </c>
      <c r="AP52" s="88"/>
    </row>
    <row r="53">
      <c r="A53" s="142">
        <v>49.0</v>
      </c>
      <c r="B53" s="483" t="s">
        <v>1677</v>
      </c>
      <c r="C53" s="483" t="s">
        <v>2916</v>
      </c>
      <c r="D53" s="209" t="str">
        <f>VLOOKUP(B53,USN!$1:$1088,2,False)</f>
        <v>1CR23AI051</v>
      </c>
      <c r="E53" s="484">
        <v>9.482794025E9</v>
      </c>
      <c r="F53" s="234" t="s">
        <v>3780</v>
      </c>
      <c r="G53" s="88"/>
      <c r="H53" s="210">
        <v>71.0</v>
      </c>
      <c r="I53" s="211">
        <v>83.0</v>
      </c>
      <c r="J53" s="211">
        <f>VLOOKUP(D53,'L3'!$1:$2060,2,False)</f>
        <v>70</v>
      </c>
      <c r="K53" s="211">
        <f>VLOOKUP(D53,'L4'!$1:$2059,2,False)</f>
        <v>70</v>
      </c>
      <c r="L53" s="212">
        <f>VLOOKUP(D53,'A1 RETEST 5 DEC'!$1:$2096,2,False)</f>
        <v>26</v>
      </c>
      <c r="M53" s="213">
        <f>VLOOKUP(D53,'A2 RETEST 4 DEC'!$1:$2096,2,False)</f>
        <v>50</v>
      </c>
      <c r="N53" s="213">
        <v>55.0</v>
      </c>
      <c r="O53" s="212"/>
      <c r="P53" s="214">
        <f>IFNA(VLOOKUP(D53,'S1'!$1:$1500,2,False),0)</f>
        <v>80</v>
      </c>
      <c r="Q53" s="214">
        <f>vlookup(D53,'S2'!A49:B1251,2,0)</f>
        <v>80</v>
      </c>
      <c r="R53" s="214">
        <f>ifna(vlookup(D53,'S3'!$1:$1311,2,False),0)</f>
        <v>85</v>
      </c>
      <c r="S53" s="214"/>
      <c r="T53" s="215">
        <v>12.0</v>
      </c>
      <c r="U53" s="215">
        <v>22.0</v>
      </c>
      <c r="V53" s="215">
        <v>90.0</v>
      </c>
      <c r="W53" s="215">
        <v>80.0</v>
      </c>
      <c r="X53" s="215">
        <v>74.0</v>
      </c>
      <c r="Y53" s="215"/>
      <c r="Z53" s="217"/>
      <c r="AA53" s="218">
        <v>57.0</v>
      </c>
      <c r="AB53" s="219">
        <v>95.0</v>
      </c>
      <c r="AC53" s="295">
        <v>14.0</v>
      </c>
      <c r="AD53" s="129">
        <v>71.0</v>
      </c>
      <c r="AE53" s="130">
        <v>30.0</v>
      </c>
      <c r="AF53" s="481"/>
      <c r="AG53" s="487">
        <v>95.0</v>
      </c>
      <c r="AH53" s="481"/>
      <c r="AI53" s="88"/>
      <c r="AJ53" s="88"/>
      <c r="AK53" s="132">
        <f t="shared" si="1"/>
        <v>4</v>
      </c>
      <c r="AL53" s="132">
        <f t="shared" si="2"/>
        <v>0</v>
      </c>
      <c r="AM53" s="133">
        <f t="shared" si="3"/>
        <v>3</v>
      </c>
      <c r="AN53" s="132" t="str">
        <f t="shared" si="6"/>
        <v>3</v>
      </c>
      <c r="AO53" s="132">
        <f t="shared" si="5"/>
        <v>3</v>
      </c>
      <c r="AP53" s="88"/>
    </row>
    <row r="54">
      <c r="A54" s="142">
        <v>50.0</v>
      </c>
      <c r="B54" s="483" t="s">
        <v>1640</v>
      </c>
      <c r="C54" s="483" t="s">
        <v>2917</v>
      </c>
      <c r="D54" s="209" t="str">
        <f>VLOOKUP(B54,USN!$1:$1088,2,False)</f>
        <v>1CR23AI052</v>
      </c>
      <c r="E54" s="484">
        <v>7.89964376E9</v>
      </c>
      <c r="F54" s="234" t="s">
        <v>3780</v>
      </c>
      <c r="G54" s="88"/>
      <c r="H54" s="210">
        <v>76.0</v>
      </c>
      <c r="I54" s="211">
        <v>91.0</v>
      </c>
      <c r="J54" s="211">
        <f>VLOOKUP(D54,'L3'!$1:$2060,2,False)</f>
        <v>70</v>
      </c>
      <c r="K54" s="211">
        <f>VLOOKUP(D54,'L4'!$1:$2059,2,False)</f>
        <v>70</v>
      </c>
      <c r="L54" s="212">
        <f>VLOOKUP(D54,'A1 RETEST 5 DEC'!$1:$2096,2,False)</f>
        <v>30</v>
      </c>
      <c r="M54" s="213">
        <f>VLOOKUP(D54,'A2 RETEST 4 DEC'!$1:$2096,2,False)</f>
        <v>17</v>
      </c>
      <c r="N54" s="213">
        <v>50.0</v>
      </c>
      <c r="O54" s="212"/>
      <c r="P54" s="214">
        <f>IFNA(VLOOKUP(D54,'S1'!$1:$1500,2,False),0)</f>
        <v>81</v>
      </c>
      <c r="Q54" s="214">
        <f>vlookup(D54,'S2'!A50:B1252,2,0)</f>
        <v>50</v>
      </c>
      <c r="R54" s="214">
        <f>ifna(vlookup(D54,'S3'!$1:$1311,2,False),0)</f>
        <v>79</v>
      </c>
      <c r="S54" s="214"/>
      <c r="T54" s="215">
        <v>15.0</v>
      </c>
      <c r="U54" s="215">
        <v>18.0</v>
      </c>
      <c r="V54" s="215">
        <v>0.0</v>
      </c>
      <c r="W54" s="215">
        <v>84.0</v>
      </c>
      <c r="X54" s="215">
        <v>72.0</v>
      </c>
      <c r="Y54" s="215"/>
      <c r="Z54" s="217"/>
      <c r="AA54" s="218">
        <v>50.0</v>
      </c>
      <c r="AB54" s="219">
        <v>100.0</v>
      </c>
      <c r="AC54" s="295">
        <v>80.0</v>
      </c>
      <c r="AD54" s="129">
        <v>2.0</v>
      </c>
      <c r="AE54" s="130">
        <v>60.0</v>
      </c>
      <c r="AF54" s="481"/>
      <c r="AG54" s="487">
        <v>48.0</v>
      </c>
      <c r="AH54" s="481"/>
      <c r="AI54" s="88"/>
      <c r="AJ54" s="88"/>
      <c r="AK54" s="132">
        <f t="shared" si="1"/>
        <v>4</v>
      </c>
      <c r="AL54" s="132">
        <f t="shared" si="2"/>
        <v>0</v>
      </c>
      <c r="AM54" s="133">
        <f t="shared" si="3"/>
        <v>3</v>
      </c>
      <c r="AN54" s="132" t="str">
        <f t="shared" si="6"/>
        <v>3</v>
      </c>
      <c r="AO54" s="132">
        <f t="shared" si="5"/>
        <v>3</v>
      </c>
      <c r="AP54" s="88"/>
    </row>
    <row r="55">
      <c r="A55" s="142">
        <v>51.0</v>
      </c>
      <c r="B55" s="483" t="s">
        <v>1641</v>
      </c>
      <c r="C55" s="483" t="s">
        <v>2918</v>
      </c>
      <c r="D55" s="209" t="str">
        <f>VLOOKUP(B55,USN!$1:$1088,2,False)</f>
        <v>1CR23AI053</v>
      </c>
      <c r="E55" s="484">
        <v>9.019322854E9</v>
      </c>
      <c r="F55" s="234" t="s">
        <v>3780</v>
      </c>
      <c r="G55" s="88"/>
      <c r="H55" s="243">
        <v>70.0</v>
      </c>
      <c r="I55" s="211">
        <v>83.0</v>
      </c>
      <c r="J55" s="211">
        <f>VLOOKUP(D55,'L3'!$1:$2060,2,False)</f>
        <v>70</v>
      </c>
      <c r="K55" s="211">
        <f>VLOOKUP(D55,'L4'!$1:$2059,2,False)</f>
        <v>70</v>
      </c>
      <c r="L55" s="212">
        <f>VLOOKUP(D55,'A1 RETEST 5 DEC'!$1:$2096,2,False)</f>
        <v>50</v>
      </c>
      <c r="M55" s="213">
        <f>VLOOKUP(D55,'A2 RETEST 4 DEC'!$1:$2096,2,False)</f>
        <v>50</v>
      </c>
      <c r="N55" s="213">
        <v>50.0</v>
      </c>
      <c r="O55" s="212"/>
      <c r="P55" s="214">
        <f>IFNA(VLOOKUP(D55,'S1'!$1:$1500,2,False),0)</f>
        <v>50</v>
      </c>
      <c r="Q55" s="214">
        <f>vlookup(D55,'S2'!A51:B1253,2,0)</f>
        <v>73</v>
      </c>
      <c r="R55" s="214">
        <f>ifna(vlookup(D55,'S3'!$1:$1311,2,False),0)</f>
        <v>80</v>
      </c>
      <c r="S55" s="214"/>
      <c r="T55" s="215">
        <v>5.0</v>
      </c>
      <c r="U55" s="215" t="s">
        <v>2477</v>
      </c>
      <c r="V55" s="215">
        <v>94.0</v>
      </c>
      <c r="W55" s="215">
        <v>84.0</v>
      </c>
      <c r="X55" s="215">
        <v>70.0</v>
      </c>
      <c r="Y55" s="215"/>
      <c r="Z55" s="217"/>
      <c r="AA55" s="218">
        <v>22.0</v>
      </c>
      <c r="AB55" s="219">
        <v>90.0</v>
      </c>
      <c r="AC55" s="295">
        <v>91.0</v>
      </c>
      <c r="AD55" s="129">
        <v>100.0</v>
      </c>
      <c r="AE55" s="130">
        <v>40.0</v>
      </c>
      <c r="AF55" s="481"/>
      <c r="AG55" s="487">
        <v>83.0</v>
      </c>
      <c r="AH55" s="481"/>
      <c r="AI55" s="88"/>
      <c r="AJ55" s="88"/>
      <c r="AK55" s="132">
        <f t="shared" si="1"/>
        <v>4</v>
      </c>
      <c r="AL55" s="132">
        <f t="shared" si="2"/>
        <v>3</v>
      </c>
      <c r="AM55" s="133">
        <f t="shared" si="3"/>
        <v>3</v>
      </c>
      <c r="AN55" s="132" t="str">
        <f t="shared" si="6"/>
        <v>3</v>
      </c>
      <c r="AO55" s="132">
        <f t="shared" si="5"/>
        <v>3</v>
      </c>
      <c r="AP55" s="88"/>
    </row>
    <row r="56">
      <c r="A56" s="142">
        <v>52.0</v>
      </c>
      <c r="B56" s="483" t="s">
        <v>1642</v>
      </c>
      <c r="C56" s="483" t="s">
        <v>2919</v>
      </c>
      <c r="D56" s="209" t="str">
        <f>VLOOKUP(B56,USN!$1:$1088,2,False)</f>
        <v>1CR23AI054</v>
      </c>
      <c r="E56" s="484">
        <v>8.884694388E9</v>
      </c>
      <c r="F56" s="234" t="s">
        <v>3780</v>
      </c>
      <c r="G56" s="88"/>
      <c r="H56" s="210">
        <v>78.0</v>
      </c>
      <c r="I56" s="211">
        <v>78.0</v>
      </c>
      <c r="J56" s="211">
        <f>VLOOKUP(D56,'L3'!$1:$2060,2,False)</f>
        <v>46</v>
      </c>
      <c r="K56" s="211">
        <f>VLOOKUP(D56,'L4'!$1:$2059,2,False)</f>
        <v>42</v>
      </c>
      <c r="L56" s="212">
        <f>VLOOKUP(D56,'A1 RETEST 5 DEC'!$1:$2096,2,False)</f>
        <v>9</v>
      </c>
      <c r="M56" s="213">
        <f>VLOOKUP(D56,'A2 RETEST 4 DEC'!$1:$2096,2,False)</f>
        <v>4</v>
      </c>
      <c r="N56" s="213">
        <v>0.0</v>
      </c>
      <c r="O56" s="212"/>
      <c r="P56" s="214">
        <f>IFNA(VLOOKUP(D56,'S1'!$1:$1500,2,False),0)</f>
        <v>77</v>
      </c>
      <c r="Q56" s="214">
        <f>vlookup(D56,'S2'!A52:B1254,2,0)</f>
        <v>0</v>
      </c>
      <c r="R56" s="214">
        <f>ifna(vlookup(D56,'S3'!$1:$1311,2,False),0)</f>
        <v>0</v>
      </c>
      <c r="S56" s="214"/>
      <c r="T56" s="215">
        <v>18.0</v>
      </c>
      <c r="U56" s="215">
        <v>16.0</v>
      </c>
      <c r="V56" s="215">
        <v>0.0</v>
      </c>
      <c r="W56" s="215">
        <v>0.0</v>
      </c>
      <c r="X56" s="215">
        <v>78.0</v>
      </c>
      <c r="Y56" s="215"/>
      <c r="Z56" s="217"/>
      <c r="AA56" s="218">
        <v>42.0</v>
      </c>
      <c r="AB56" s="219">
        <v>0.0</v>
      </c>
      <c r="AC56" s="295">
        <v>0.0</v>
      </c>
      <c r="AD56" s="129">
        <v>0.0</v>
      </c>
      <c r="AE56" s="130">
        <v>10.0</v>
      </c>
      <c r="AF56" s="481"/>
      <c r="AG56" s="487">
        <v>13.0</v>
      </c>
      <c r="AH56" s="481"/>
      <c r="AI56" s="88"/>
      <c r="AJ56" s="88"/>
      <c r="AK56" s="132">
        <f t="shared" si="1"/>
        <v>2</v>
      </c>
      <c r="AL56" s="132">
        <f t="shared" si="2"/>
        <v>0</v>
      </c>
      <c r="AM56" s="133">
        <f t="shared" si="3"/>
        <v>2</v>
      </c>
      <c r="AN56" s="132" t="str">
        <f t="shared" si="6"/>
        <v>0</v>
      </c>
      <c r="AO56" s="132">
        <f t="shared" si="5"/>
        <v>1</v>
      </c>
      <c r="AP56" s="88"/>
    </row>
    <row r="57">
      <c r="A57" s="142">
        <v>53.0</v>
      </c>
      <c r="B57" s="483" t="s">
        <v>1672</v>
      </c>
      <c r="C57" s="483" t="s">
        <v>2920</v>
      </c>
      <c r="D57" s="209" t="str">
        <f>VLOOKUP(B57,USN!$1:$1088,2,False)</f>
        <v>1CR23AI055</v>
      </c>
      <c r="E57" s="484">
        <v>8.792261467E9</v>
      </c>
      <c r="F57" s="234" t="s">
        <v>3780</v>
      </c>
      <c r="G57" s="88"/>
      <c r="H57" s="210">
        <v>63.0</v>
      </c>
      <c r="I57" s="211">
        <v>69.0</v>
      </c>
      <c r="J57" s="211">
        <f>VLOOKUP(D57,'L3'!$1:$2060,2,False)</f>
        <v>43</v>
      </c>
      <c r="K57" s="211">
        <f>VLOOKUP(D57,'L4'!$1:$2059,2,False)</f>
        <v>70</v>
      </c>
      <c r="L57" s="212">
        <f>VLOOKUP(D57,'A1 RETEST 5 DEC'!$1:$2096,2,False)</f>
        <v>20</v>
      </c>
      <c r="M57" s="213">
        <f>VLOOKUP(D57,'A2 RETEST 4 DEC'!$1:$2096,2,False)</f>
        <v>13</v>
      </c>
      <c r="N57" s="213">
        <v>0.0</v>
      </c>
      <c r="O57" s="212"/>
      <c r="P57" s="214">
        <f>IFNA(VLOOKUP(D57,'S1'!$1:$1500,2,False),0)</f>
        <v>0</v>
      </c>
      <c r="Q57" s="214">
        <f>vlookup(D57,'S2'!A53:B1255,2,0)</f>
        <v>0</v>
      </c>
      <c r="R57" s="214">
        <f>ifna(vlookup(D57,'S3'!$1:$1311,2,False),0)</f>
        <v>0</v>
      </c>
      <c r="S57" s="214"/>
      <c r="T57" s="215">
        <v>15.0</v>
      </c>
      <c r="U57" s="215">
        <v>16.0</v>
      </c>
      <c r="V57" s="215">
        <v>92.0</v>
      </c>
      <c r="W57" s="215">
        <v>0.0</v>
      </c>
      <c r="X57" s="215">
        <v>72.0</v>
      </c>
      <c r="Y57" s="215"/>
      <c r="Z57" s="217"/>
      <c r="AA57" s="218">
        <v>16.0</v>
      </c>
      <c r="AB57" s="219">
        <v>45.0</v>
      </c>
      <c r="AC57" s="295">
        <v>0.0</v>
      </c>
      <c r="AD57" s="129">
        <v>0.0</v>
      </c>
      <c r="AE57" s="130">
        <v>10.0</v>
      </c>
      <c r="AF57" s="481"/>
      <c r="AG57" s="487">
        <v>0.0</v>
      </c>
      <c r="AH57" s="481"/>
      <c r="AI57" s="88"/>
      <c r="AJ57" s="88"/>
      <c r="AK57" s="132">
        <f t="shared" si="1"/>
        <v>0</v>
      </c>
      <c r="AL57" s="132">
        <f t="shared" si="2"/>
        <v>0</v>
      </c>
      <c r="AM57" s="133">
        <f t="shared" si="3"/>
        <v>2</v>
      </c>
      <c r="AN57" s="132" t="str">
        <f t="shared" si="6"/>
        <v>0</v>
      </c>
      <c r="AO57" s="132">
        <f t="shared" si="5"/>
        <v>0</v>
      </c>
      <c r="AP57" s="88"/>
    </row>
    <row r="58">
      <c r="A58" s="142">
        <v>54.0</v>
      </c>
      <c r="B58" s="483" t="s">
        <v>1658</v>
      </c>
      <c r="C58" s="483" t="s">
        <v>2921</v>
      </c>
      <c r="D58" s="209" t="str">
        <f>VLOOKUP(B58,USN!$1:$1088,2,False)</f>
        <v>1CR23AI056</v>
      </c>
      <c r="E58" s="484">
        <v>7.892592426E9</v>
      </c>
      <c r="F58" s="234" t="s">
        <v>3780</v>
      </c>
      <c r="G58" s="88"/>
      <c r="H58" s="243">
        <v>65.0</v>
      </c>
      <c r="I58" s="211">
        <v>70.0</v>
      </c>
      <c r="J58" s="211">
        <f>VLOOKUP(D58,'L3'!$1:$2060,2,False)</f>
        <v>70</v>
      </c>
      <c r="K58" s="211">
        <f>VLOOKUP(D58,'L4'!$1:$2059,2,False)</f>
        <v>70</v>
      </c>
      <c r="L58" s="212">
        <f>VLOOKUP(D58,'A1 RETEST 5 DEC'!$1:$2096,2,False)</f>
        <v>1</v>
      </c>
      <c r="M58" s="213">
        <f>VLOOKUP(D58,'A2 RETEST 4 DEC'!$1:$2096,2,False)</f>
        <v>50</v>
      </c>
      <c r="N58" s="213">
        <v>50.0</v>
      </c>
      <c r="O58" s="212"/>
      <c r="P58" s="214">
        <f>IFNA(VLOOKUP(D58,'S1'!$1:$1500,2,False),0)</f>
        <v>80</v>
      </c>
      <c r="Q58" s="214">
        <f>vlookup(D58,'S2'!A54:B1256,2,0)</f>
        <v>50</v>
      </c>
      <c r="R58" s="214">
        <f>ifna(vlookup(D58,'S3'!$1:$1311,2,False),0)</f>
        <v>67</v>
      </c>
      <c r="S58" s="214"/>
      <c r="T58" s="215">
        <v>11.0</v>
      </c>
      <c r="U58" s="215">
        <v>12.0</v>
      </c>
      <c r="V58" s="215">
        <v>88.0</v>
      </c>
      <c r="W58" s="215">
        <v>84.0</v>
      </c>
      <c r="X58" s="215">
        <v>74.0</v>
      </c>
      <c r="Y58" s="215"/>
      <c r="Z58" s="217"/>
      <c r="AA58" s="218">
        <v>50.0</v>
      </c>
      <c r="AB58" s="219">
        <v>100.0</v>
      </c>
      <c r="AC58" s="295">
        <v>92.0</v>
      </c>
      <c r="AD58" s="129">
        <v>0.0</v>
      </c>
      <c r="AE58" s="130">
        <v>35.0</v>
      </c>
      <c r="AF58" s="481"/>
      <c r="AG58" s="487">
        <v>70.0</v>
      </c>
      <c r="AH58" s="481"/>
      <c r="AI58" s="88"/>
      <c r="AJ58" s="88"/>
      <c r="AK58" s="132">
        <f t="shared" si="1"/>
        <v>4</v>
      </c>
      <c r="AL58" s="132">
        <f t="shared" si="2"/>
        <v>0</v>
      </c>
      <c r="AM58" s="133">
        <f t="shared" si="3"/>
        <v>3</v>
      </c>
      <c r="AN58" s="132" t="str">
        <f>IF(AB58&gt;=$AB$4, 
    IF(OR(AC58&gt;=$AC$4, AD58&gt;=$AD$4), 
        IF(AND(AE58&gt;=$AE$4, AF58&gt;=$AF$4, OR(#REF!&gt;=$AG$4, AH58&gt;=$AH$4)), "4", 
            IF(OR(AE58&gt;=$AE$4, AF58&gt;=$AF$4), "3.5", 
                "3")), 
        "2"), 
    "0")</f>
        <v>#REF!</v>
      </c>
      <c r="AO58" s="132">
        <f t="shared" si="5"/>
        <v>3</v>
      </c>
      <c r="AP58" s="88"/>
    </row>
    <row r="59">
      <c r="A59" s="142">
        <v>55.0</v>
      </c>
      <c r="B59" s="483" t="s">
        <v>1643</v>
      </c>
      <c r="C59" s="483" t="s">
        <v>2923</v>
      </c>
      <c r="D59" s="209" t="str">
        <f>VLOOKUP(B59,USN!$1:$1088,2,False)</f>
        <v>1CR23AI058</v>
      </c>
      <c r="E59" s="484">
        <v>7.899390739E9</v>
      </c>
      <c r="F59" s="234" t="s">
        <v>3780</v>
      </c>
      <c r="G59" s="88"/>
      <c r="H59" s="210">
        <v>73.0</v>
      </c>
      <c r="I59" s="211">
        <v>81.0</v>
      </c>
      <c r="J59" s="211">
        <f>VLOOKUP(D59,'L3'!$1:$2060,2,False)</f>
        <v>70</v>
      </c>
      <c r="K59" s="211">
        <f>VLOOKUP(D59,'L4'!$1:$2059,2,False)</f>
        <v>70</v>
      </c>
      <c r="L59" s="212">
        <f>VLOOKUP(D59,'A1 RETEST 5 DEC'!$1:$2096,2,False)</f>
        <v>16</v>
      </c>
      <c r="M59" s="213">
        <f>VLOOKUP(D59,'A2 RETEST 4 DEC'!$1:$2096,2,False)</f>
        <v>12</v>
      </c>
      <c r="N59" s="213">
        <v>50.0</v>
      </c>
      <c r="O59" s="212"/>
      <c r="P59" s="214">
        <f>IFNA(VLOOKUP(D59,'S1'!$1:$1500,2,False),0)</f>
        <v>80</v>
      </c>
      <c r="Q59" s="214">
        <f>vlookup(D59,'S2'!A56:B1258,2,0)</f>
        <v>50</v>
      </c>
      <c r="R59" s="214">
        <f>ifna(vlookup(D59,'S3'!$1:$1311,2,False),0)</f>
        <v>73</v>
      </c>
      <c r="S59" s="214"/>
      <c r="T59" s="215">
        <v>12.0</v>
      </c>
      <c r="U59" s="215">
        <v>18.0</v>
      </c>
      <c r="V59" s="215">
        <v>0.0</v>
      </c>
      <c r="W59" s="215">
        <v>84.0</v>
      </c>
      <c r="X59" s="215">
        <v>68.0</v>
      </c>
      <c r="Y59" s="215"/>
      <c r="Z59" s="217"/>
      <c r="AA59" s="218">
        <v>39.6</v>
      </c>
      <c r="AB59" s="219">
        <v>100.0</v>
      </c>
      <c r="AC59" s="295">
        <v>90.0</v>
      </c>
      <c r="AD59" s="129">
        <v>3.0</v>
      </c>
      <c r="AE59" s="130">
        <v>15.0</v>
      </c>
      <c r="AF59" s="481"/>
      <c r="AG59" s="487">
        <v>48.0</v>
      </c>
      <c r="AH59" s="481"/>
      <c r="AI59" s="88"/>
      <c r="AJ59" s="88"/>
      <c r="AK59" s="132">
        <f t="shared" si="1"/>
        <v>4</v>
      </c>
      <c r="AL59" s="132">
        <f t="shared" si="2"/>
        <v>0</v>
      </c>
      <c r="AM59" s="133">
        <f t="shared" si="3"/>
        <v>3</v>
      </c>
      <c r="AN59" s="132" t="str">
        <f t="shared" ref="AN59:AN106" si="7">IF(AB59&gt;=$AB$4, 
    IF(OR(AC59&gt;=$AC$4, AD59&gt;=$AD$4), 
        IF(AND(AE59&gt;=$AE$4, AF59&gt;=$AF$4, OR(AG60&gt;=$AG$4, AH59&gt;=$AH$4)), "4", 
            IF(OR(AE59&gt;=$AE$4, AF59&gt;=$AF$4), "3.5", 
                "3")), 
        "2"), 
    "0")</f>
        <v>3</v>
      </c>
      <c r="AO59" s="132">
        <f t="shared" si="5"/>
        <v>3</v>
      </c>
      <c r="AP59" s="88"/>
    </row>
    <row r="60">
      <c r="A60" s="142">
        <v>56.0</v>
      </c>
      <c r="B60" s="483" t="s">
        <v>1748</v>
      </c>
      <c r="C60" s="483" t="s">
        <v>2924</v>
      </c>
      <c r="D60" s="209" t="str">
        <f>VLOOKUP(B60,USN!$1:$1088,2,False)</f>
        <v>1CR23AI059</v>
      </c>
      <c r="E60" s="484">
        <v>8.951999115E9</v>
      </c>
      <c r="F60" s="484" t="s">
        <v>3780</v>
      </c>
      <c r="G60" s="88"/>
      <c r="H60" s="243">
        <v>70.0</v>
      </c>
      <c r="I60" s="211">
        <v>77.0</v>
      </c>
      <c r="J60" s="211">
        <f>VLOOKUP(D60,'L3'!$1:$2060,2,False)</f>
        <v>70</v>
      </c>
      <c r="K60" s="211">
        <f>VLOOKUP(D60,'L4'!$1:$2059,2,False)</f>
        <v>77</v>
      </c>
      <c r="L60" s="212">
        <v>50.0</v>
      </c>
      <c r="M60" s="213">
        <f>VLOOKUP(D60,'A2 RETEST 4 DEC'!$1:$2096,2,False)</f>
        <v>50</v>
      </c>
      <c r="N60" s="213">
        <v>50.0</v>
      </c>
      <c r="O60" s="212"/>
      <c r="P60" s="214">
        <f>IFNA(VLOOKUP(D60,'S1'!$1:$1500,2,False),0)</f>
        <v>75</v>
      </c>
      <c r="Q60" s="214">
        <f>vlookup(D60,'S2'!A57:B1259,2,0)</f>
        <v>52</v>
      </c>
      <c r="R60" s="214">
        <f>ifna(vlookup(D60,'S3'!$1:$1311,2,False),0)</f>
        <v>88</v>
      </c>
      <c r="S60" s="214"/>
      <c r="T60" s="215">
        <v>20.0</v>
      </c>
      <c r="U60" s="215">
        <v>24.0</v>
      </c>
      <c r="V60" s="215">
        <v>88.0</v>
      </c>
      <c r="W60" s="215">
        <v>86.0</v>
      </c>
      <c r="X60" s="215">
        <v>70.0</v>
      </c>
      <c r="Y60" s="215"/>
      <c r="Z60" s="217"/>
      <c r="AA60" s="218">
        <v>60.0</v>
      </c>
      <c r="AB60" s="219">
        <v>95.0</v>
      </c>
      <c r="AC60" s="295">
        <v>70.0</v>
      </c>
      <c r="AD60" s="129">
        <v>75.0</v>
      </c>
      <c r="AE60" s="130">
        <v>70.0</v>
      </c>
      <c r="AF60" s="481"/>
      <c r="AG60" s="482">
        <v>84.0</v>
      </c>
      <c r="AH60" s="481"/>
      <c r="AI60" s="88"/>
      <c r="AJ60" s="88"/>
      <c r="AK60" s="132">
        <f t="shared" si="1"/>
        <v>4</v>
      </c>
      <c r="AL60" s="132">
        <f t="shared" si="2"/>
        <v>3</v>
      </c>
      <c r="AM60" s="133">
        <f t="shared" si="3"/>
        <v>3</v>
      </c>
      <c r="AN60" s="132" t="str">
        <f t="shared" si="7"/>
        <v>3.5</v>
      </c>
      <c r="AO60" s="132">
        <f t="shared" si="5"/>
        <v>3</v>
      </c>
      <c r="AP60" s="88"/>
    </row>
    <row r="61">
      <c r="A61" s="142">
        <v>57.0</v>
      </c>
      <c r="B61" s="483" t="s">
        <v>1644</v>
      </c>
      <c r="C61" s="483" t="s">
        <v>3784</v>
      </c>
      <c r="D61" s="209" t="str">
        <f>VLOOKUP(B61,USN!$1:$1088,2,False)</f>
        <v>1CR23AI060</v>
      </c>
      <c r="E61" s="484">
        <v>7.619382977E9</v>
      </c>
      <c r="F61" s="234" t="s">
        <v>3780</v>
      </c>
      <c r="G61" s="88"/>
      <c r="H61" s="210">
        <v>75.0</v>
      </c>
      <c r="I61" s="211">
        <v>78.0</v>
      </c>
      <c r="J61" s="211">
        <f>VLOOKUP(D61,'L3'!$1:$2060,2,False)</f>
        <v>70</v>
      </c>
      <c r="K61" s="211">
        <f>VLOOKUP(D61,'L4'!$1:$2059,2,False)</f>
        <v>77</v>
      </c>
      <c r="L61" s="212">
        <f>VLOOKUP(D61,'A1 RETEST 5 DEC'!$1:$2096,2,False)</f>
        <v>50</v>
      </c>
      <c r="M61" s="213">
        <f>VLOOKUP(D61,'A2 RETEST 4 DEC'!$1:$2096,2,False)</f>
        <v>53</v>
      </c>
      <c r="N61" s="213">
        <v>50.0</v>
      </c>
      <c r="O61" s="212"/>
      <c r="P61" s="214">
        <f>IFNA(VLOOKUP(D61,'S1'!$1:$1500,2,False),0)</f>
        <v>83</v>
      </c>
      <c r="Q61" s="214">
        <f>vlookup(D61,'S2'!A58:B1260,2,0)</f>
        <v>50</v>
      </c>
      <c r="R61" s="214">
        <f>ifna(vlookup(D61,'S3'!$1:$1311,2,False),0)</f>
        <v>71</v>
      </c>
      <c r="S61" s="214"/>
      <c r="T61" s="215">
        <v>16.0</v>
      </c>
      <c r="U61" s="215">
        <v>21.0</v>
      </c>
      <c r="V61" s="215">
        <v>90.0</v>
      </c>
      <c r="W61" s="215">
        <v>88.0</v>
      </c>
      <c r="X61" s="215"/>
      <c r="Y61" s="215"/>
      <c r="Z61" s="217"/>
      <c r="AA61" s="218">
        <v>24.0</v>
      </c>
      <c r="AB61" s="219">
        <v>90.0</v>
      </c>
      <c r="AC61" s="295">
        <v>41.0</v>
      </c>
      <c r="AD61" s="129">
        <v>2.0</v>
      </c>
      <c r="AE61" s="130">
        <v>10.0</v>
      </c>
      <c r="AF61" s="481"/>
      <c r="AG61" s="487">
        <v>70.0</v>
      </c>
      <c r="AH61" s="481"/>
      <c r="AI61" s="88"/>
      <c r="AJ61" s="88"/>
      <c r="AK61" s="132">
        <f t="shared" si="1"/>
        <v>4</v>
      </c>
      <c r="AL61" s="132">
        <f t="shared" si="2"/>
        <v>3</v>
      </c>
      <c r="AM61" s="133">
        <f t="shared" si="3"/>
        <v>3</v>
      </c>
      <c r="AN61" s="132" t="str">
        <f t="shared" si="7"/>
        <v>2</v>
      </c>
      <c r="AO61" s="132">
        <f t="shared" si="5"/>
        <v>3</v>
      </c>
      <c r="AP61" s="88"/>
    </row>
    <row r="62">
      <c r="A62" s="142">
        <v>58.0</v>
      </c>
      <c r="B62" s="483" t="s">
        <v>1741</v>
      </c>
      <c r="C62" s="483" t="s">
        <v>3785</v>
      </c>
      <c r="D62" s="209" t="str">
        <f>VLOOKUP(B62,USN!$1:$1088,2,False)</f>
        <v>1CR23AI061</v>
      </c>
      <c r="E62" s="484">
        <v>7.349583937E9</v>
      </c>
      <c r="F62" s="484" t="s">
        <v>3780</v>
      </c>
      <c r="G62" s="88"/>
      <c r="H62" s="210">
        <v>82.0</v>
      </c>
      <c r="I62" s="211">
        <v>86.0</v>
      </c>
      <c r="J62" s="211">
        <f>VLOOKUP(D62,'L3'!$1:$2060,2,False)</f>
        <v>75</v>
      </c>
      <c r="K62" s="211">
        <f>VLOOKUP(D62,'L4'!$1:$2059,2,False)</f>
        <v>70</v>
      </c>
      <c r="L62" s="212">
        <f>VLOOKUP(D62,'A1 RETEST 5 DEC'!$1:$2096,2,False)</f>
        <v>50</v>
      </c>
      <c r="M62" s="213">
        <f>VLOOKUP(D62,'A2 RETEST 4 DEC'!$1:$2096,2,False)</f>
        <v>50</v>
      </c>
      <c r="N62" s="213">
        <v>45.0</v>
      </c>
      <c r="O62" s="212"/>
      <c r="P62" s="214">
        <f>IFNA(VLOOKUP(D62,'S1'!$1:$1500,2,False),0)</f>
        <v>84</v>
      </c>
      <c r="Q62" s="214">
        <f>vlookup(D62,'S2'!A59:B1261,2,0)</f>
        <v>52</v>
      </c>
      <c r="R62" s="214">
        <f>ifna(vlookup(D62,'S3'!$1:$1311,2,False),0)</f>
        <v>88</v>
      </c>
      <c r="S62" s="214"/>
      <c r="T62" s="215">
        <v>10.0</v>
      </c>
      <c r="U62" s="215">
        <v>23.0</v>
      </c>
      <c r="V62" s="215">
        <v>86.0</v>
      </c>
      <c r="W62" s="215">
        <v>84.0</v>
      </c>
      <c r="X62" s="215">
        <v>84.0</v>
      </c>
      <c r="Y62" s="215"/>
      <c r="Z62" s="217"/>
      <c r="AA62" s="218">
        <v>84.0</v>
      </c>
      <c r="AB62" s="219">
        <v>100.0</v>
      </c>
      <c r="AC62" s="295">
        <v>72.0</v>
      </c>
      <c r="AD62" s="129">
        <v>90.0</v>
      </c>
      <c r="AE62" s="130">
        <v>62.0</v>
      </c>
      <c r="AF62" s="481"/>
      <c r="AG62" s="487">
        <v>80.0</v>
      </c>
      <c r="AH62" s="481"/>
      <c r="AI62" s="88"/>
      <c r="AJ62" s="88"/>
      <c r="AK62" s="132">
        <f t="shared" si="1"/>
        <v>4</v>
      </c>
      <c r="AL62" s="132">
        <f t="shared" si="2"/>
        <v>2</v>
      </c>
      <c r="AM62" s="133">
        <f t="shared" si="3"/>
        <v>3</v>
      </c>
      <c r="AN62" s="132" t="str">
        <f t="shared" si="7"/>
        <v>3</v>
      </c>
      <c r="AO62" s="132">
        <f t="shared" si="5"/>
        <v>3</v>
      </c>
      <c r="AP62" s="88"/>
    </row>
    <row r="63">
      <c r="A63" s="142">
        <v>59.0</v>
      </c>
      <c r="B63" s="483" t="s">
        <v>1645</v>
      </c>
      <c r="C63" s="483" t="s">
        <v>2927</v>
      </c>
      <c r="D63" s="209" t="str">
        <f>VLOOKUP(B63,USN!$1:$1088,2,False)</f>
        <v>1CR23AI062</v>
      </c>
      <c r="E63" s="484">
        <v>8.217755124E9</v>
      </c>
      <c r="F63" s="234" t="s">
        <v>3780</v>
      </c>
      <c r="G63" s="88"/>
      <c r="H63" s="210">
        <v>71.0</v>
      </c>
      <c r="I63" s="211">
        <v>79.0</v>
      </c>
      <c r="J63" s="211">
        <f>VLOOKUP(D63,'L3'!$1:$2060,2,False)</f>
        <v>46</v>
      </c>
      <c r="K63" s="211">
        <f>VLOOKUP(D63,'L4'!$1:$2059,2,False)</f>
        <v>70</v>
      </c>
      <c r="L63" s="212">
        <f>VLOOKUP(D63,'A1 RETEST 5 DEC'!$1:$2096,2,False)</f>
        <v>50</v>
      </c>
      <c r="M63" s="213">
        <f>VLOOKUP(D63,'A2 RETEST 4 DEC'!$1:$2096,2,False)</f>
        <v>50</v>
      </c>
      <c r="N63" s="213">
        <v>6.0</v>
      </c>
      <c r="O63" s="212"/>
      <c r="P63" s="214">
        <f>IFNA(VLOOKUP(D63,'S1'!$1:$1500,2,False),0)</f>
        <v>77</v>
      </c>
      <c r="Q63" s="214">
        <f>vlookup(D63,'S2'!A60:B1262,2,0)</f>
        <v>73</v>
      </c>
      <c r="R63" s="214">
        <f>ifna(vlookup(D63,'S3'!$1:$1311,2,False),0)</f>
        <v>50</v>
      </c>
      <c r="S63" s="214"/>
      <c r="T63" s="215">
        <v>17.0</v>
      </c>
      <c r="U63" s="215">
        <v>23.0</v>
      </c>
      <c r="V63" s="215">
        <v>66.0</v>
      </c>
      <c r="W63" s="215">
        <v>84.0</v>
      </c>
      <c r="X63" s="215">
        <v>78.0</v>
      </c>
      <c r="Y63" s="215"/>
      <c r="Z63" s="217"/>
      <c r="AA63" s="218">
        <v>14.0</v>
      </c>
      <c r="AB63" s="219">
        <v>81.0</v>
      </c>
      <c r="AC63" s="295">
        <v>70.0</v>
      </c>
      <c r="AD63" s="129">
        <v>2.0</v>
      </c>
      <c r="AE63" s="130">
        <v>10.0</v>
      </c>
      <c r="AF63" s="481"/>
      <c r="AG63" s="487">
        <v>50.0</v>
      </c>
      <c r="AH63" s="481"/>
      <c r="AI63" s="88"/>
      <c r="AJ63" s="88"/>
      <c r="AK63" s="132">
        <f t="shared" si="1"/>
        <v>2</v>
      </c>
      <c r="AL63" s="132">
        <f t="shared" si="2"/>
        <v>2</v>
      </c>
      <c r="AM63" s="133">
        <f t="shared" si="3"/>
        <v>3</v>
      </c>
      <c r="AN63" s="132" t="str">
        <f t="shared" si="7"/>
        <v>3</v>
      </c>
      <c r="AO63" s="132">
        <f t="shared" si="5"/>
        <v>3</v>
      </c>
      <c r="AP63" s="88"/>
    </row>
    <row r="64">
      <c r="A64" s="142">
        <v>60.0</v>
      </c>
      <c r="B64" s="483" t="s">
        <v>1646</v>
      </c>
      <c r="C64" s="483" t="s">
        <v>2928</v>
      </c>
      <c r="D64" s="209" t="str">
        <f>VLOOKUP(B64,USN!$1:$1088,2,False)</f>
        <v>1CR23AI063</v>
      </c>
      <c r="E64" s="484">
        <v>9.972111274E9</v>
      </c>
      <c r="F64" s="234" t="s">
        <v>3780</v>
      </c>
      <c r="G64" s="88"/>
      <c r="H64" s="210">
        <v>79.0</v>
      </c>
      <c r="I64" s="211">
        <v>89.0</v>
      </c>
      <c r="J64" s="211">
        <f>VLOOKUP(D64,'L3'!$1:$2060,2,False)</f>
        <v>81</v>
      </c>
      <c r="K64" s="211">
        <f>VLOOKUP(D64,'L4'!$1:$2059,2,False)</f>
        <v>70</v>
      </c>
      <c r="L64" s="212">
        <f>VLOOKUP(D64,'A1 RETEST 5 DEC'!$1:$2096,2,False)</f>
        <v>51</v>
      </c>
      <c r="M64" s="213">
        <f>VLOOKUP(D64,'A2 RETEST 4 DEC'!$1:$2096,2,False)</f>
        <v>50</v>
      </c>
      <c r="N64" s="213">
        <v>50.0</v>
      </c>
      <c r="O64" s="212"/>
      <c r="P64" s="214">
        <f>IFNA(VLOOKUP(D64,'S1'!$1:$1500,2,False),0)</f>
        <v>83</v>
      </c>
      <c r="Q64" s="214">
        <f>vlookup(D64,'S2'!A61:B1263,2,0)</f>
        <v>38</v>
      </c>
      <c r="R64" s="214">
        <f>ifna(vlookup(D64,'S3'!$1:$1311,2,False),0)</f>
        <v>64</v>
      </c>
      <c r="S64" s="214"/>
      <c r="T64" s="215">
        <v>12.0</v>
      </c>
      <c r="U64" s="215">
        <v>21.0</v>
      </c>
      <c r="V64" s="215">
        <v>82.0</v>
      </c>
      <c r="W64" s="215">
        <v>88.0</v>
      </c>
      <c r="X64" s="215"/>
      <c r="Y64" s="215"/>
      <c r="Z64" s="217"/>
      <c r="AA64" s="218">
        <v>42.0</v>
      </c>
      <c r="AB64" s="219">
        <v>91.0</v>
      </c>
      <c r="AC64" s="295">
        <v>70.0</v>
      </c>
      <c r="AD64" s="129">
        <v>32.0</v>
      </c>
      <c r="AE64" s="130">
        <v>16.0</v>
      </c>
      <c r="AF64" s="481"/>
      <c r="AG64" s="487">
        <v>70.0</v>
      </c>
      <c r="AH64" s="481"/>
      <c r="AI64" s="88"/>
      <c r="AJ64" s="88"/>
      <c r="AK64" s="132">
        <f t="shared" si="1"/>
        <v>4</v>
      </c>
      <c r="AL64" s="132">
        <f t="shared" si="2"/>
        <v>3</v>
      </c>
      <c r="AM64" s="133">
        <f t="shared" si="3"/>
        <v>3</v>
      </c>
      <c r="AN64" s="132" t="str">
        <f t="shared" si="7"/>
        <v>3</v>
      </c>
      <c r="AO64" s="132">
        <f t="shared" si="5"/>
        <v>1</v>
      </c>
      <c r="AP64" s="88"/>
    </row>
    <row r="65">
      <c r="A65" s="142">
        <v>61.0</v>
      </c>
      <c r="B65" s="483" t="s">
        <v>1647</v>
      </c>
      <c r="C65" s="483" t="s">
        <v>3786</v>
      </c>
      <c r="D65" s="209" t="str">
        <f>VLOOKUP(B65,USN!$1:$1088,2,False)</f>
        <v>1CR23AI064</v>
      </c>
      <c r="E65" s="484">
        <v>8.618172241E9</v>
      </c>
      <c r="F65" s="234" t="s">
        <v>3780</v>
      </c>
      <c r="G65" s="88"/>
      <c r="H65" s="210">
        <v>83.0</v>
      </c>
      <c r="I65" s="211">
        <v>79.0</v>
      </c>
      <c r="J65" s="211">
        <f>VLOOKUP(D65,'L3'!$1:$2060,2,False)</f>
        <v>71</v>
      </c>
      <c r="K65" s="211">
        <f>VLOOKUP(D65,'L4'!$1:$2059,2,False)</f>
        <v>76</v>
      </c>
      <c r="L65" s="212">
        <f>VLOOKUP(D65,'A1 RETEST 5 DEC'!$1:$2096,2,False)</f>
        <v>50</v>
      </c>
      <c r="M65" s="213">
        <f>VLOOKUP(D65,'A2 RETEST 4 DEC'!$1:$2096,2,False)</f>
        <v>50</v>
      </c>
      <c r="N65" s="213">
        <v>46.0</v>
      </c>
      <c r="O65" s="212"/>
      <c r="P65" s="214">
        <f>IFNA(VLOOKUP(D65,'S1'!$1:$1500,2,False),0)</f>
        <v>75</v>
      </c>
      <c r="Q65" s="214">
        <f>vlookup(D65,'S2'!A62:B1264,2,0)</f>
        <v>50</v>
      </c>
      <c r="R65" s="214">
        <f>ifna(vlookup(D65,'S3'!$1:$1311,2,False),0)</f>
        <v>70</v>
      </c>
      <c r="S65" s="214"/>
      <c r="T65" s="215">
        <v>14.0</v>
      </c>
      <c r="U65" s="215">
        <v>20.0</v>
      </c>
      <c r="V65" s="215">
        <v>90.0</v>
      </c>
      <c r="W65" s="215">
        <v>88.0</v>
      </c>
      <c r="X65" s="215">
        <v>82.0</v>
      </c>
      <c r="Y65" s="215"/>
      <c r="Z65" s="217"/>
      <c r="AA65" s="218">
        <v>40.0</v>
      </c>
      <c r="AB65" s="219">
        <v>93.0</v>
      </c>
      <c r="AC65" s="295">
        <v>70.0</v>
      </c>
      <c r="AD65" s="129">
        <v>1.0</v>
      </c>
      <c r="AE65" s="130">
        <v>23.0</v>
      </c>
      <c r="AF65" s="481"/>
      <c r="AG65" s="482">
        <v>85.0</v>
      </c>
      <c r="AH65" s="481"/>
      <c r="AI65" s="88"/>
      <c r="AJ65" s="88"/>
      <c r="AK65" s="132">
        <f t="shared" si="1"/>
        <v>4</v>
      </c>
      <c r="AL65" s="132">
        <f t="shared" si="2"/>
        <v>2</v>
      </c>
      <c r="AM65" s="133">
        <f t="shared" si="3"/>
        <v>3</v>
      </c>
      <c r="AN65" s="132" t="str">
        <f t="shared" si="7"/>
        <v>3</v>
      </c>
      <c r="AO65" s="132">
        <f t="shared" si="5"/>
        <v>3</v>
      </c>
      <c r="AP65" s="88"/>
    </row>
    <row r="66">
      <c r="A66" s="142">
        <v>62.0</v>
      </c>
      <c r="B66" s="483" t="s">
        <v>1742</v>
      </c>
      <c r="C66" s="483" t="s">
        <v>2930</v>
      </c>
      <c r="D66" s="209" t="str">
        <f>VLOOKUP(B66,USN!$1:$1088,2,False)</f>
        <v>1CR23AI065</v>
      </c>
      <c r="E66" s="484">
        <v>9.036552554E9</v>
      </c>
      <c r="F66" s="484" t="s">
        <v>3780</v>
      </c>
      <c r="G66" s="88"/>
      <c r="H66" s="210">
        <v>71.0</v>
      </c>
      <c r="I66" s="211">
        <v>84.0</v>
      </c>
      <c r="J66" s="211">
        <f>VLOOKUP(D66,'L3'!$1:$2060,2,False)</f>
        <v>64</v>
      </c>
      <c r="K66" s="211">
        <f>VLOOKUP(D66,'L4'!$1:$2059,2,False)</f>
        <v>18</v>
      </c>
      <c r="L66" s="212">
        <f>VLOOKUP(D66,'A1 RETEST 5 DEC'!$1:$2096,2,False)</f>
        <v>20</v>
      </c>
      <c r="M66" s="213">
        <f>VLOOKUP(D66,'A2 RETEST 4 DEC'!$1:$2096,2,False)</f>
        <v>0</v>
      </c>
      <c r="N66" s="213">
        <v>0.0</v>
      </c>
      <c r="O66" s="212"/>
      <c r="P66" s="214">
        <f>IFNA(VLOOKUP(D66,'S1'!$1:$1500,2,False),0)</f>
        <v>77</v>
      </c>
      <c r="Q66" s="214">
        <f>vlookup(D66,'S2'!A63:B1265,2,0)</f>
        <v>50</v>
      </c>
      <c r="R66" s="214">
        <f>ifna(vlookup(D66,'S3'!$1:$1311,2,False),0)</f>
        <v>50</v>
      </c>
      <c r="S66" s="214"/>
      <c r="T66" s="215">
        <v>15.0</v>
      </c>
      <c r="U66" s="215" t="s">
        <v>2477</v>
      </c>
      <c r="V66" s="215">
        <v>94.0</v>
      </c>
      <c r="W66" s="215">
        <v>0.0</v>
      </c>
      <c r="X66" s="215"/>
      <c r="Y66" s="215"/>
      <c r="Z66" s="217"/>
      <c r="AA66" s="218">
        <v>98.0</v>
      </c>
      <c r="AB66" s="219">
        <v>65.0</v>
      </c>
      <c r="AC66" s="295">
        <v>0.0</v>
      </c>
      <c r="AD66" s="129">
        <v>66.0</v>
      </c>
      <c r="AE66" s="130">
        <v>10.0</v>
      </c>
      <c r="AF66" s="481"/>
      <c r="AG66" s="493">
        <v>0.0</v>
      </c>
      <c r="AH66" s="481"/>
      <c r="AI66" s="88"/>
      <c r="AJ66" s="88"/>
      <c r="AK66" s="132">
        <f t="shared" si="1"/>
        <v>2</v>
      </c>
      <c r="AL66" s="132">
        <f t="shared" si="2"/>
        <v>0</v>
      </c>
      <c r="AM66" s="133">
        <f t="shared" si="3"/>
        <v>2</v>
      </c>
      <c r="AN66" s="132" t="str">
        <f t="shared" si="7"/>
        <v>3</v>
      </c>
      <c r="AO66" s="132">
        <f t="shared" si="5"/>
        <v>3</v>
      </c>
      <c r="AP66" s="88"/>
    </row>
    <row r="67">
      <c r="A67" s="142">
        <v>63.0</v>
      </c>
      <c r="B67" s="483" t="s">
        <v>1648</v>
      </c>
      <c r="C67" s="483" t="s">
        <v>2931</v>
      </c>
      <c r="D67" s="209" t="str">
        <f>VLOOKUP(B67,USN!$1:$1088,2,False)</f>
        <v>1CR23AI066</v>
      </c>
      <c r="E67" s="484">
        <v>7.878856394E9</v>
      </c>
      <c r="F67" s="234" t="s">
        <v>3780</v>
      </c>
      <c r="G67" s="88"/>
      <c r="H67" s="210">
        <v>70.0</v>
      </c>
      <c r="I67" s="211">
        <v>79.0</v>
      </c>
      <c r="J67" s="211">
        <f>VLOOKUP(D67,'L3'!$1:$2060,2,False)</f>
        <v>70</v>
      </c>
      <c r="K67" s="211">
        <f>VLOOKUP(D67,'L4'!$1:$2059,2,False)</f>
        <v>70</v>
      </c>
      <c r="L67" s="212">
        <f>VLOOKUP(D67,'A1 RETEST 5 DEC'!$1:$2096,2,False)</f>
        <v>50</v>
      </c>
      <c r="M67" s="213">
        <f>VLOOKUP(D67,'A2 RETEST 4 DEC'!$1:$2096,2,False)</f>
        <v>40</v>
      </c>
      <c r="N67" s="213">
        <v>57.0</v>
      </c>
      <c r="O67" s="212"/>
      <c r="P67" s="214">
        <f>IFNA(VLOOKUP(D67,'S1'!$1:$1500,2,False),0)</f>
        <v>80</v>
      </c>
      <c r="Q67" s="214">
        <f>vlookup(D67,'S2'!A64:B1266,2,0)</f>
        <v>76</v>
      </c>
      <c r="R67" s="214">
        <f>ifna(vlookup(D67,'S3'!$1:$1311,2,False),0)</f>
        <v>81</v>
      </c>
      <c r="S67" s="214"/>
      <c r="T67" s="215">
        <v>19.0</v>
      </c>
      <c r="U67" s="215">
        <v>24.0</v>
      </c>
      <c r="V67" s="215">
        <v>90.0</v>
      </c>
      <c r="W67" s="215">
        <v>86.0</v>
      </c>
      <c r="X67" s="215">
        <v>86.0</v>
      </c>
      <c r="Y67" s="215"/>
      <c r="Z67" s="217"/>
      <c r="AA67" s="218">
        <v>44.0</v>
      </c>
      <c r="AB67" s="219">
        <v>96.0</v>
      </c>
      <c r="AC67" s="295">
        <v>98.0</v>
      </c>
      <c r="AD67" s="129">
        <v>80.0</v>
      </c>
      <c r="AE67" s="130">
        <v>70.0</v>
      </c>
      <c r="AF67" s="481"/>
      <c r="AG67" s="482">
        <v>88.0</v>
      </c>
      <c r="AH67" s="481"/>
      <c r="AI67" s="88"/>
      <c r="AJ67" s="88"/>
      <c r="AK67" s="132">
        <f t="shared" si="1"/>
        <v>4</v>
      </c>
      <c r="AL67" s="132">
        <f t="shared" si="2"/>
        <v>1</v>
      </c>
      <c r="AM67" s="133">
        <f t="shared" si="3"/>
        <v>3</v>
      </c>
      <c r="AN67" s="132" t="str">
        <f t="shared" si="7"/>
        <v>3.5</v>
      </c>
      <c r="AO67" s="132">
        <f t="shared" si="5"/>
        <v>3</v>
      </c>
      <c r="AP67" s="88"/>
    </row>
    <row r="68">
      <c r="A68" s="142">
        <v>64.0</v>
      </c>
      <c r="B68" s="483" t="s">
        <v>1664</v>
      </c>
      <c r="C68" s="483" t="s">
        <v>2932</v>
      </c>
      <c r="D68" s="209" t="str">
        <f>VLOOKUP(B68,USN!$1:$1088,2,False)</f>
        <v>1CR23AI067</v>
      </c>
      <c r="E68" s="484">
        <v>6.362045535E9</v>
      </c>
      <c r="F68" s="234" t="s">
        <v>3780</v>
      </c>
      <c r="G68" s="88"/>
      <c r="H68" s="210">
        <v>71.0</v>
      </c>
      <c r="I68" s="211">
        <v>70.0</v>
      </c>
      <c r="J68" s="211">
        <f>VLOOKUP(D68,'L3'!$1:$2060,2,False)</f>
        <v>38</v>
      </c>
      <c r="K68" s="211">
        <f>VLOOKUP(D68,'L4'!$1:$2059,2,False)</f>
        <v>44</v>
      </c>
      <c r="L68" s="212">
        <f>VLOOKUP(D68,'A1 RETEST 5 DEC'!$1:$2096,2,False)</f>
        <v>0</v>
      </c>
      <c r="M68" s="213">
        <f>VLOOKUP(D68,'A2 RETEST 4 DEC'!$1:$2096,2,False)</f>
        <v>0</v>
      </c>
      <c r="N68" s="213">
        <v>0.0</v>
      </c>
      <c r="O68" s="212"/>
      <c r="P68" s="214">
        <f>IFNA(VLOOKUP(D68,'S1'!$1:$1500,2,False),0)</f>
        <v>0</v>
      </c>
      <c r="Q68" s="214">
        <f>vlookup(D68,'S2'!A65:B1267,2,0)</f>
        <v>0</v>
      </c>
      <c r="R68" s="214">
        <f>ifna(vlookup(D68,'S3'!$1:$1311,2,False),0)</f>
        <v>0</v>
      </c>
      <c r="S68" s="214"/>
      <c r="T68" s="215">
        <v>17.0</v>
      </c>
      <c r="U68" s="215">
        <v>15.0</v>
      </c>
      <c r="V68" s="215">
        <v>80.0</v>
      </c>
      <c r="W68" s="215">
        <v>0.0</v>
      </c>
      <c r="X68" s="215"/>
      <c r="Y68" s="215"/>
      <c r="Z68" s="217"/>
      <c r="AA68" s="218">
        <v>14.0</v>
      </c>
      <c r="AB68" s="219">
        <v>67.0</v>
      </c>
      <c r="AC68" s="295">
        <v>0.0</v>
      </c>
      <c r="AD68" s="129">
        <v>0.0</v>
      </c>
      <c r="AE68" s="130">
        <v>10.0</v>
      </c>
      <c r="AF68" s="481"/>
      <c r="AG68" s="487">
        <v>10.0</v>
      </c>
      <c r="AH68" s="481"/>
      <c r="AI68" s="88"/>
      <c r="AJ68" s="88"/>
      <c r="AK68" s="132">
        <f t="shared" si="1"/>
        <v>2</v>
      </c>
      <c r="AL68" s="132">
        <f t="shared" si="2"/>
        <v>0</v>
      </c>
      <c r="AM68" s="133">
        <f t="shared" si="3"/>
        <v>2</v>
      </c>
      <c r="AN68" s="132" t="str">
        <f t="shared" si="7"/>
        <v>2</v>
      </c>
      <c r="AO68" s="132">
        <f t="shared" si="5"/>
        <v>0</v>
      </c>
      <c r="AP68" s="88"/>
    </row>
    <row r="69">
      <c r="A69" s="142">
        <v>65.0</v>
      </c>
      <c r="B69" s="483" t="s">
        <v>1649</v>
      </c>
      <c r="C69" s="483" t="s">
        <v>2933</v>
      </c>
      <c r="D69" s="209" t="str">
        <f>VLOOKUP(B69,USN!$1:$1088,2,False)</f>
        <v>1CR23AI068</v>
      </c>
      <c r="E69" s="484">
        <v>8.147766026E9</v>
      </c>
      <c r="F69" s="234" t="s">
        <v>3780</v>
      </c>
      <c r="G69" s="88"/>
      <c r="H69" s="210">
        <v>65.0</v>
      </c>
      <c r="I69" s="211">
        <v>72.0</v>
      </c>
      <c r="J69" s="211">
        <f>VLOOKUP(D69,'L3'!$1:$2060,2,False)</f>
        <v>70</v>
      </c>
      <c r="K69" s="211">
        <f>VLOOKUP(D69,'L4'!$1:$2059,2,False)</f>
        <v>70</v>
      </c>
      <c r="L69" s="212">
        <f>VLOOKUP(D69,'A1 RETEST 5 DEC'!$1:$2096,2,False)</f>
        <v>4</v>
      </c>
      <c r="M69" s="213">
        <f>VLOOKUP(D69,'A2 RETEST 4 DEC'!$1:$2096,2,False)</f>
        <v>27</v>
      </c>
      <c r="N69" s="213">
        <v>0.0</v>
      </c>
      <c r="O69" s="212"/>
      <c r="P69" s="214">
        <f>IFNA(VLOOKUP(D69,'S1'!$1:$1500,2,False),0)</f>
        <v>50</v>
      </c>
      <c r="Q69" s="214">
        <f>vlookup(D69,'S2'!A66:B1268,2,0)</f>
        <v>0</v>
      </c>
      <c r="R69" s="214">
        <f>ifna(vlookup(D69,'S3'!$1:$1311,2,False),0)</f>
        <v>0</v>
      </c>
      <c r="S69" s="214"/>
      <c r="T69" s="215">
        <v>17.0</v>
      </c>
      <c r="U69" s="215">
        <v>14.0</v>
      </c>
      <c r="V69" s="215">
        <v>0.0</v>
      </c>
      <c r="W69" s="215">
        <v>0.0</v>
      </c>
      <c r="X69" s="215"/>
      <c r="Y69" s="215"/>
      <c r="Z69" s="217"/>
      <c r="AA69" s="218">
        <v>24.0</v>
      </c>
      <c r="AB69" s="219">
        <v>87.0</v>
      </c>
      <c r="AC69" s="295">
        <v>0.0</v>
      </c>
      <c r="AD69" s="129">
        <v>0.0</v>
      </c>
      <c r="AE69" s="130">
        <v>10.0</v>
      </c>
      <c r="AF69" s="481"/>
      <c r="AG69" s="487">
        <v>48.0</v>
      </c>
      <c r="AH69" s="481"/>
      <c r="AI69" s="88"/>
      <c r="AJ69" s="88"/>
      <c r="AK69" s="132">
        <f t="shared" si="1"/>
        <v>4</v>
      </c>
      <c r="AL69" s="132">
        <f t="shared" si="2"/>
        <v>0</v>
      </c>
      <c r="AM69" s="133">
        <f t="shared" si="3"/>
        <v>2</v>
      </c>
      <c r="AN69" s="132" t="str">
        <f t="shared" si="7"/>
        <v>2</v>
      </c>
      <c r="AO69" s="132">
        <f t="shared" si="5"/>
        <v>1</v>
      </c>
      <c r="AP69" s="88"/>
    </row>
    <row r="70">
      <c r="A70" s="142">
        <v>66.0</v>
      </c>
      <c r="B70" s="483" t="s">
        <v>1737</v>
      </c>
      <c r="C70" s="483" t="s">
        <v>2934</v>
      </c>
      <c r="D70" s="209" t="str">
        <f>VLOOKUP(B70,USN!$1:$1088,2,False)</f>
        <v>1CR23AI069</v>
      </c>
      <c r="E70" s="484">
        <v>7.411441322E9</v>
      </c>
      <c r="F70" s="484" t="s">
        <v>3780</v>
      </c>
      <c r="G70" s="88"/>
      <c r="H70" s="210">
        <v>79.0</v>
      </c>
      <c r="I70" s="211">
        <v>86.0</v>
      </c>
      <c r="J70" s="211">
        <f>VLOOKUP(D70,'L3'!$1:$2060,2,False)</f>
        <v>70</v>
      </c>
      <c r="K70" s="211">
        <f>VLOOKUP(D70,'L4'!$1:$2059,2,False)</f>
        <v>81</v>
      </c>
      <c r="L70" s="212">
        <f>VLOOKUP(D70,'A1 RETEST 5 DEC'!$1:$2096,2,False)</f>
        <v>52</v>
      </c>
      <c r="M70" s="213">
        <f>VLOOKUP(D70,'A2 RETEST 4 DEC'!$1:$2096,2,False)</f>
        <v>50</v>
      </c>
      <c r="N70" s="213">
        <v>50.0</v>
      </c>
      <c r="O70" s="212"/>
      <c r="P70" s="214">
        <f>IFNA(VLOOKUP(D70,'S1'!$1:$1500,2,False),0)</f>
        <v>79</v>
      </c>
      <c r="Q70" s="214">
        <f>vlookup(D70,'S2'!A67:B1269,2,0)</f>
        <v>52</v>
      </c>
      <c r="R70" s="214">
        <f>ifna(vlookup(D70,'S3'!$1:$1311,2,False),0)</f>
        <v>88</v>
      </c>
      <c r="S70" s="214"/>
      <c r="T70" s="215">
        <v>19.0</v>
      </c>
      <c r="U70" s="215">
        <v>23.0</v>
      </c>
      <c r="V70" s="215">
        <v>88.0</v>
      </c>
      <c r="W70" s="215">
        <v>88.0</v>
      </c>
      <c r="X70" s="215">
        <v>72.0</v>
      </c>
      <c r="Y70" s="215"/>
      <c r="Z70" s="217"/>
      <c r="AA70" s="218">
        <v>92.0</v>
      </c>
      <c r="AB70" s="219">
        <v>92.0</v>
      </c>
      <c r="AC70" s="295">
        <v>61.0</v>
      </c>
      <c r="AD70" s="129">
        <v>60.0</v>
      </c>
      <c r="AE70" s="130">
        <v>75.0</v>
      </c>
      <c r="AF70" s="481"/>
      <c r="AG70" s="487">
        <v>83.0</v>
      </c>
      <c r="AH70" s="481"/>
      <c r="AI70" s="88"/>
      <c r="AJ70" s="88"/>
      <c r="AK70" s="132">
        <f t="shared" si="1"/>
        <v>4</v>
      </c>
      <c r="AL70" s="132">
        <f t="shared" si="2"/>
        <v>3</v>
      </c>
      <c r="AM70" s="133">
        <f t="shared" si="3"/>
        <v>3</v>
      </c>
      <c r="AN70" s="132" t="str">
        <f t="shared" si="7"/>
        <v>3.5</v>
      </c>
      <c r="AO70" s="132">
        <f t="shared" si="5"/>
        <v>3</v>
      </c>
      <c r="AP70" s="88"/>
    </row>
    <row r="71">
      <c r="A71" s="142">
        <v>67.0</v>
      </c>
      <c r="B71" s="137" t="s">
        <v>1732</v>
      </c>
      <c r="C71" s="137" t="s">
        <v>2935</v>
      </c>
      <c r="D71" s="209" t="str">
        <f>VLOOKUP(B71,USN!$1:$1088,2,False)</f>
        <v>1CR23AI070</v>
      </c>
      <c r="E71" s="484">
        <v>8.310671591E9</v>
      </c>
      <c r="F71" s="484" t="s">
        <v>3780</v>
      </c>
      <c r="G71" s="88"/>
      <c r="H71" s="210">
        <v>67.0</v>
      </c>
      <c r="I71" s="211">
        <v>65.0</v>
      </c>
      <c r="J71" s="211">
        <f>VLOOKUP(D71,'L3'!$1:$2060,2,False)</f>
        <v>51</v>
      </c>
      <c r="K71" s="211">
        <f>VLOOKUP(D71,'L4'!$1:$2059,2,False)</f>
        <v>6</v>
      </c>
      <c r="L71" s="212">
        <f>VLOOKUP(D71,'A1 RETEST 5 DEC'!$1:$2096,2,False)</f>
        <v>22</v>
      </c>
      <c r="M71" s="213">
        <f>VLOOKUP(D71,'A2 RETEST 4 DEC'!$1:$2096,2,False)</f>
        <v>0</v>
      </c>
      <c r="N71" s="213">
        <v>0.0</v>
      </c>
      <c r="O71" s="212"/>
      <c r="P71" s="214">
        <f>IFNA(VLOOKUP(D71,'S1'!$1:$1500,2,False),0)</f>
        <v>75</v>
      </c>
      <c r="Q71" s="214">
        <f>vlookup(D71,'S2'!A68:B1270,2,0)</f>
        <v>0</v>
      </c>
      <c r="R71" s="214">
        <f>ifna(vlookup(D71,'S3'!$1:$1311,2,False),0)</f>
        <v>0</v>
      </c>
      <c r="S71" s="214"/>
      <c r="T71" s="215">
        <v>15.0</v>
      </c>
      <c r="U71" s="215">
        <v>22.0</v>
      </c>
      <c r="V71" s="215">
        <v>88.0</v>
      </c>
      <c r="W71" s="215">
        <v>0.0</v>
      </c>
      <c r="X71" s="215">
        <v>78.0</v>
      </c>
      <c r="Y71" s="215"/>
      <c r="Z71" s="217"/>
      <c r="AA71" s="218">
        <v>100.0</v>
      </c>
      <c r="AB71" s="219">
        <v>83.0</v>
      </c>
      <c r="AC71" s="295">
        <v>0.0</v>
      </c>
      <c r="AD71" s="129">
        <v>26.0</v>
      </c>
      <c r="AE71" s="130">
        <v>10.0</v>
      </c>
      <c r="AF71" s="481"/>
      <c r="AG71" s="488">
        <v>15.0</v>
      </c>
      <c r="AH71" s="481"/>
      <c r="AI71" s="88"/>
      <c r="AJ71" s="88"/>
      <c r="AK71" s="132">
        <f t="shared" si="1"/>
        <v>2</v>
      </c>
      <c r="AL71" s="132">
        <f t="shared" si="2"/>
        <v>0</v>
      </c>
      <c r="AM71" s="133">
        <f t="shared" si="3"/>
        <v>2</v>
      </c>
      <c r="AN71" s="132" t="str">
        <f t="shared" si="7"/>
        <v>2</v>
      </c>
      <c r="AO71" s="132">
        <f t="shared" si="5"/>
        <v>1</v>
      </c>
      <c r="AP71" s="88"/>
    </row>
    <row r="72">
      <c r="A72" s="142">
        <v>68.0</v>
      </c>
      <c r="B72" s="137" t="s">
        <v>1726</v>
      </c>
      <c r="C72" s="137" t="s">
        <v>2936</v>
      </c>
      <c r="D72" s="209" t="str">
        <f>VLOOKUP(B72,USN!$1:$1088,2,False)</f>
        <v>1CR23AI071</v>
      </c>
      <c r="E72" s="484">
        <v>8.310869229E9</v>
      </c>
      <c r="F72" s="484" t="s">
        <v>3780</v>
      </c>
      <c r="G72" s="88"/>
      <c r="H72" s="243">
        <v>70.0</v>
      </c>
      <c r="I72" s="211">
        <v>80.0</v>
      </c>
      <c r="J72" s="211">
        <f>VLOOKUP(D72,'L3'!$1:$2060,2,False)</f>
        <v>71</v>
      </c>
      <c r="K72" s="211">
        <f>VLOOKUP(D72,'L4'!$1:$2059,2,False)</f>
        <v>70</v>
      </c>
      <c r="L72" s="212">
        <f>VLOOKUP(D72,'A1 RETEST 5 DEC'!$1:$2096,2,False)</f>
        <v>32</v>
      </c>
      <c r="M72" s="213">
        <f>VLOOKUP(D72,'A2 RETEST 4 DEC'!$1:$2096,2,False)</f>
        <v>50</v>
      </c>
      <c r="N72" s="213">
        <v>50.0</v>
      </c>
      <c r="O72" s="212"/>
      <c r="P72" s="214">
        <f>IFNA(VLOOKUP(D72,'S1'!$1:$1500,2,False),0)</f>
        <v>75</v>
      </c>
      <c r="Q72" s="214">
        <f>vlookup(D72,'S2'!A69:B1271,2,0)</f>
        <v>50</v>
      </c>
      <c r="R72" s="214">
        <f>ifna(vlookup(D72,'S3'!$1:$1311,2,False),0)</f>
        <v>74</v>
      </c>
      <c r="S72" s="214"/>
      <c r="T72" s="215">
        <v>11.0</v>
      </c>
      <c r="U72" s="215">
        <v>21.0</v>
      </c>
      <c r="V72" s="215">
        <v>90.0</v>
      </c>
      <c r="W72" s="215">
        <v>86.0</v>
      </c>
      <c r="X72" s="215">
        <v>70.0</v>
      </c>
      <c r="Y72" s="215"/>
      <c r="Z72" s="217"/>
      <c r="AA72" s="218">
        <v>26.0</v>
      </c>
      <c r="AB72" s="219">
        <v>32.0</v>
      </c>
      <c r="AC72" s="295">
        <v>0.0</v>
      </c>
      <c r="AD72" s="129">
        <v>100.0</v>
      </c>
      <c r="AE72" s="130">
        <v>21.0</v>
      </c>
      <c r="AF72" s="481"/>
      <c r="AG72" s="488">
        <v>57.0</v>
      </c>
      <c r="AH72" s="481"/>
      <c r="AI72" s="88"/>
      <c r="AJ72" s="88"/>
      <c r="AK72" s="132">
        <f t="shared" si="1"/>
        <v>4</v>
      </c>
      <c r="AL72" s="132">
        <f t="shared" si="2"/>
        <v>0</v>
      </c>
      <c r="AM72" s="133">
        <f t="shared" si="3"/>
        <v>3</v>
      </c>
      <c r="AN72" s="132" t="str">
        <f t="shared" si="7"/>
        <v>0</v>
      </c>
      <c r="AO72" s="132">
        <f t="shared" si="5"/>
        <v>3</v>
      </c>
      <c r="AP72" s="88"/>
    </row>
    <row r="73">
      <c r="A73" s="142">
        <v>69.0</v>
      </c>
      <c r="B73" s="483" t="s">
        <v>1650</v>
      </c>
      <c r="C73" s="483" t="s">
        <v>2937</v>
      </c>
      <c r="D73" s="209" t="str">
        <f>VLOOKUP(B73,USN!$1:$1088,2,False)</f>
        <v>1CR23AI072</v>
      </c>
      <c r="E73" s="484">
        <v>8.149759918E9</v>
      </c>
      <c r="F73" s="234" t="s">
        <v>3780</v>
      </c>
      <c r="G73" s="88"/>
      <c r="H73" s="210">
        <v>74.0</v>
      </c>
      <c r="I73" s="211">
        <v>87.0</v>
      </c>
      <c r="J73" s="211">
        <f>VLOOKUP(D73,'L3'!$1:$2060,2,False)</f>
        <v>77</v>
      </c>
      <c r="K73" s="211">
        <f>VLOOKUP(D73,'L4'!$1:$2059,2,False)</f>
        <v>70</v>
      </c>
      <c r="L73" s="212">
        <f>VLOOKUP(D73,'A1 RETEST 5 DEC'!$1:$2096,2,False)</f>
        <v>17</v>
      </c>
      <c r="M73" s="213">
        <f>VLOOKUP(D73,'A2 RETEST 4 DEC'!$1:$2096,2,False)</f>
        <v>50</v>
      </c>
      <c r="N73" s="213">
        <v>50.0</v>
      </c>
      <c r="O73" s="212"/>
      <c r="P73" s="214">
        <f>IFNA(VLOOKUP(D73,'S1'!$1:$1500,2,False),0)</f>
        <v>82</v>
      </c>
      <c r="Q73" s="214">
        <f>vlookup(D73,'S2'!A70:B1272,2,0)</f>
        <v>67</v>
      </c>
      <c r="R73" s="214">
        <f>ifna(vlookup(D73,'S3'!$1:$1311,2,False),0)</f>
        <v>0</v>
      </c>
      <c r="S73" s="214"/>
      <c r="T73" s="215">
        <v>14.0</v>
      </c>
      <c r="U73" s="215">
        <v>20.0</v>
      </c>
      <c r="V73" s="215">
        <v>54.0</v>
      </c>
      <c r="W73" s="215">
        <v>88.0</v>
      </c>
      <c r="X73" s="215">
        <v>84.0</v>
      </c>
      <c r="Y73" s="215"/>
      <c r="Z73" s="217"/>
      <c r="AA73" s="218">
        <v>46.0</v>
      </c>
      <c r="AB73" s="219">
        <v>93.0</v>
      </c>
      <c r="AC73" s="295">
        <v>8.0</v>
      </c>
      <c r="AD73" s="129">
        <v>1.0</v>
      </c>
      <c r="AE73" s="130">
        <v>17.0</v>
      </c>
      <c r="AF73" s="481"/>
      <c r="AG73" s="487">
        <v>89.0</v>
      </c>
      <c r="AH73" s="481"/>
      <c r="AI73" s="88"/>
      <c r="AJ73" s="88"/>
      <c r="AK73" s="132">
        <f t="shared" si="1"/>
        <v>4</v>
      </c>
      <c r="AL73" s="132">
        <f t="shared" si="2"/>
        <v>0</v>
      </c>
      <c r="AM73" s="133">
        <f t="shared" si="3"/>
        <v>3</v>
      </c>
      <c r="AN73" s="132" t="str">
        <f t="shared" si="7"/>
        <v>2</v>
      </c>
      <c r="AO73" s="132">
        <f t="shared" si="5"/>
        <v>2</v>
      </c>
      <c r="AP73" s="88"/>
    </row>
    <row r="74">
      <c r="A74" s="142">
        <v>70.0</v>
      </c>
      <c r="B74" s="483" t="s">
        <v>1751</v>
      </c>
      <c r="C74" s="483" t="s">
        <v>2938</v>
      </c>
      <c r="D74" s="209" t="str">
        <f>VLOOKUP(B74,USN!$1:$1088,2,False)</f>
        <v>1CR23AI073</v>
      </c>
      <c r="E74" s="495">
        <v>8.528027453E9</v>
      </c>
      <c r="F74" s="484" t="s">
        <v>3780</v>
      </c>
      <c r="G74" s="88"/>
      <c r="H74" s="210">
        <v>76.0</v>
      </c>
      <c r="I74" s="211">
        <v>91.0</v>
      </c>
      <c r="J74" s="211">
        <f>VLOOKUP(D74,'L3'!$1:$2060,2,False)</f>
        <v>70</v>
      </c>
      <c r="K74" s="211">
        <f>VLOOKUP(D74,'L4'!$1:$2059,2,False)</f>
        <v>70</v>
      </c>
      <c r="L74" s="212">
        <f>VLOOKUP(D74,'A1 RETEST 5 DEC'!$1:$2096,2,False)</f>
        <v>18</v>
      </c>
      <c r="M74" s="213">
        <f>VLOOKUP(D74,'A2 RETEST 4 DEC'!$1:$2096,2,False)</f>
        <v>28</v>
      </c>
      <c r="N74" s="213">
        <v>17.0</v>
      </c>
      <c r="O74" s="212"/>
      <c r="P74" s="214">
        <f>IFNA(VLOOKUP(D74,'S1'!$1:$1500,2,False),0)</f>
        <v>79</v>
      </c>
      <c r="Q74" s="214">
        <f>vlookup(D74,'S2'!A71:B1273,2,0)</f>
        <v>71</v>
      </c>
      <c r="R74" s="214">
        <f>ifna(vlookup(D74,'S3'!$1:$1311,2,False),0)</f>
        <v>89</v>
      </c>
      <c r="S74" s="214"/>
      <c r="T74" s="215">
        <v>21.0</v>
      </c>
      <c r="U74" s="215">
        <v>24.0</v>
      </c>
      <c r="V74" s="215">
        <v>92.0</v>
      </c>
      <c r="W74" s="215">
        <v>84.0</v>
      </c>
      <c r="X74" s="215">
        <v>76.0</v>
      </c>
      <c r="Y74" s="215"/>
      <c r="Z74" s="217"/>
      <c r="AA74" s="218">
        <v>72.0</v>
      </c>
      <c r="AB74" s="219">
        <v>92.0</v>
      </c>
      <c r="AC74" s="295">
        <v>3.0</v>
      </c>
      <c r="AD74" s="129">
        <v>60.0</v>
      </c>
      <c r="AE74" s="130">
        <v>28.0</v>
      </c>
      <c r="AF74" s="481"/>
      <c r="AG74" s="487">
        <v>87.0</v>
      </c>
      <c r="AH74" s="481"/>
      <c r="AI74" s="88"/>
      <c r="AJ74" s="88"/>
      <c r="AK74" s="132">
        <f t="shared" si="1"/>
        <v>4</v>
      </c>
      <c r="AL74" s="132">
        <f t="shared" si="2"/>
        <v>0</v>
      </c>
      <c r="AM74" s="133">
        <f t="shared" si="3"/>
        <v>3</v>
      </c>
      <c r="AN74" s="132" t="str">
        <f t="shared" si="7"/>
        <v>3</v>
      </c>
      <c r="AO74" s="132">
        <f t="shared" si="5"/>
        <v>3</v>
      </c>
      <c r="AP74" s="88"/>
    </row>
    <row r="75">
      <c r="A75" s="142">
        <v>71.0</v>
      </c>
      <c r="B75" s="483" t="s">
        <v>1686</v>
      </c>
      <c r="C75" s="483" t="s">
        <v>2939</v>
      </c>
      <c r="D75" s="209" t="str">
        <f>VLOOKUP(B75,USN!$1:$1088,2,False)</f>
        <v>1CR23AI074</v>
      </c>
      <c r="E75" s="484">
        <v>8.861895707E9</v>
      </c>
      <c r="F75" s="484" t="s">
        <v>3780</v>
      </c>
      <c r="G75" s="88"/>
      <c r="H75" s="210">
        <v>78.0</v>
      </c>
      <c r="I75" s="211">
        <v>86.0</v>
      </c>
      <c r="J75" s="211">
        <f>VLOOKUP(D75,'L3'!$1:$2060,2,False)</f>
        <v>87</v>
      </c>
      <c r="K75" s="211">
        <f>VLOOKUP(D75,'L4'!$1:$2059,2,False)</f>
        <v>70</v>
      </c>
      <c r="L75" s="212">
        <f>VLOOKUP(D75,'A1 RETEST 5 DEC'!$1:$2096,2,False)</f>
        <v>50</v>
      </c>
      <c r="M75" s="213">
        <f>VLOOKUP(D75,'A2 RETEST 4 DEC'!$1:$2096,2,False)</f>
        <v>32</v>
      </c>
      <c r="N75" s="213">
        <v>50.0</v>
      </c>
      <c r="O75" s="212"/>
      <c r="P75" s="214">
        <f>IFNA(VLOOKUP(D75,'S1'!$1:$1500,2,False),0)</f>
        <v>84</v>
      </c>
      <c r="Q75" s="214">
        <f>vlookup(D75,'S2'!A72:B1274,2,0)</f>
        <v>87</v>
      </c>
      <c r="R75" s="214">
        <f>ifna(vlookup(D75,'S3'!$1:$1311,2,False),0)</f>
        <v>95</v>
      </c>
      <c r="S75" s="214"/>
      <c r="T75" s="215">
        <v>17.0</v>
      </c>
      <c r="U75" s="215">
        <v>22.0</v>
      </c>
      <c r="V75" s="215">
        <v>92.0</v>
      </c>
      <c r="W75" s="215">
        <v>88.0</v>
      </c>
      <c r="X75" s="215">
        <v>70.0</v>
      </c>
      <c r="Y75" s="215"/>
      <c r="Z75" s="217"/>
      <c r="AA75" s="218">
        <v>64.0</v>
      </c>
      <c r="AB75" s="219">
        <v>100.0</v>
      </c>
      <c r="AC75" s="295">
        <v>90.0</v>
      </c>
      <c r="AD75" s="129">
        <v>75.0</v>
      </c>
      <c r="AE75" s="130">
        <v>74.0</v>
      </c>
      <c r="AF75" s="481"/>
      <c r="AG75" s="487">
        <v>81.0</v>
      </c>
      <c r="AH75" s="481"/>
      <c r="AI75" s="88"/>
      <c r="AJ75" s="88"/>
      <c r="AK75" s="132">
        <f t="shared" si="1"/>
        <v>4</v>
      </c>
      <c r="AL75" s="132">
        <f t="shared" si="2"/>
        <v>1</v>
      </c>
      <c r="AM75" s="133">
        <f t="shared" si="3"/>
        <v>3</v>
      </c>
      <c r="AN75" s="132" t="str">
        <f t="shared" si="7"/>
        <v>3.5</v>
      </c>
      <c r="AO75" s="132">
        <f t="shared" si="5"/>
        <v>3</v>
      </c>
      <c r="AP75" s="88"/>
    </row>
    <row r="76">
      <c r="A76" s="142">
        <v>72.0</v>
      </c>
      <c r="B76" s="483" t="s">
        <v>1657</v>
      </c>
      <c r="C76" s="483" t="s">
        <v>2940</v>
      </c>
      <c r="D76" s="209" t="str">
        <f>VLOOKUP(B76,USN!$1:$1088,2,False)</f>
        <v>1CR23AI075</v>
      </c>
      <c r="E76" s="484">
        <v>6.393096193E9</v>
      </c>
      <c r="F76" s="234" t="s">
        <v>3780</v>
      </c>
      <c r="G76" s="88"/>
      <c r="H76" s="210">
        <v>70.0</v>
      </c>
      <c r="I76" s="211">
        <v>88.0</v>
      </c>
      <c r="J76" s="211">
        <f>VLOOKUP(D76,'L3'!$1:$2060,2,False)</f>
        <v>59</v>
      </c>
      <c r="K76" s="211">
        <f>VLOOKUP(D76,'L4'!$1:$2059,2,False)</f>
        <v>70</v>
      </c>
      <c r="L76" s="212">
        <f>VLOOKUP(D76,'A1 RETEST 5 DEC'!$1:$2096,2,False)</f>
        <v>50</v>
      </c>
      <c r="M76" s="213">
        <f>VLOOKUP(D76,'A2 RETEST 4 DEC'!$1:$2096,2,False)</f>
        <v>50</v>
      </c>
      <c r="N76" s="213">
        <v>50.0</v>
      </c>
      <c r="O76" s="212"/>
      <c r="P76" s="214">
        <f>IFNA(VLOOKUP(D76,'S1'!$1:$1500,2,False),0)</f>
        <v>77</v>
      </c>
      <c r="Q76" s="214">
        <f>vlookup(D76,'S2'!A73:B1275,2,0)</f>
        <v>71</v>
      </c>
      <c r="R76" s="214">
        <f>ifna(vlookup(D76,'S3'!$1:$1311,2,False),0)</f>
        <v>78</v>
      </c>
      <c r="S76" s="214"/>
      <c r="T76" s="215">
        <v>11.0</v>
      </c>
      <c r="U76" s="215">
        <v>24.0</v>
      </c>
      <c r="V76" s="215">
        <v>92.0</v>
      </c>
      <c r="W76" s="215">
        <v>84.0</v>
      </c>
      <c r="X76" s="215">
        <v>72.0</v>
      </c>
      <c r="Y76" s="215"/>
      <c r="Z76" s="217"/>
      <c r="AA76" s="218">
        <v>44.0</v>
      </c>
      <c r="AB76" s="219">
        <v>96.0</v>
      </c>
      <c r="AC76" s="295">
        <v>100.0</v>
      </c>
      <c r="AD76" s="129">
        <v>0.0</v>
      </c>
      <c r="AE76" s="130">
        <v>17.0</v>
      </c>
      <c r="AF76" s="481"/>
      <c r="AG76" s="487">
        <v>73.0</v>
      </c>
      <c r="AH76" s="481"/>
      <c r="AI76" s="88"/>
      <c r="AJ76" s="88"/>
      <c r="AK76" s="132">
        <f t="shared" si="1"/>
        <v>2</v>
      </c>
      <c r="AL76" s="132">
        <f t="shared" si="2"/>
        <v>3</v>
      </c>
      <c r="AM76" s="133">
        <f t="shared" si="3"/>
        <v>3</v>
      </c>
      <c r="AN76" s="132" t="str">
        <f t="shared" si="7"/>
        <v>3</v>
      </c>
      <c r="AO76" s="132">
        <f t="shared" si="5"/>
        <v>3</v>
      </c>
      <c r="AP76" s="88"/>
    </row>
    <row r="77">
      <c r="A77" s="142">
        <v>73.0</v>
      </c>
      <c r="B77" s="483" t="s">
        <v>1746</v>
      </c>
      <c r="C77" s="483" t="s">
        <v>2941</v>
      </c>
      <c r="D77" s="209" t="str">
        <f>VLOOKUP(B77,USN!$1:$1088,2,False)</f>
        <v>1CR23AI076</v>
      </c>
      <c r="E77" s="484">
        <v>7.019867534E9</v>
      </c>
      <c r="F77" s="484" t="s">
        <v>3780</v>
      </c>
      <c r="G77" s="88"/>
      <c r="H77" s="243">
        <v>70.0</v>
      </c>
      <c r="I77" s="211">
        <v>70.0</v>
      </c>
      <c r="J77" s="211">
        <f>VLOOKUP(D77,'L3'!$1:$2060,2,False)</f>
        <v>70</v>
      </c>
      <c r="K77" s="211">
        <f>VLOOKUP(D77,'L4'!$1:$2059,2,False)</f>
        <v>70</v>
      </c>
      <c r="L77" s="212">
        <f>VLOOKUP(D77,'A1 RETEST 5 DEC'!$1:$2096,2,False)</f>
        <v>50</v>
      </c>
      <c r="M77" s="213">
        <f>VLOOKUP(D77,'A2 RETEST 4 DEC'!$1:$2096,2,False)</f>
        <v>50</v>
      </c>
      <c r="N77" s="213">
        <v>0.0</v>
      </c>
      <c r="O77" s="212"/>
      <c r="P77" s="214">
        <f>IFNA(VLOOKUP(D77,'S1'!$1:$1500,2,False),0)</f>
        <v>50</v>
      </c>
      <c r="Q77" s="214">
        <f>vlookup(D77,'S2'!A74:B1276,2,0)</f>
        <v>50</v>
      </c>
      <c r="R77" s="214">
        <f>ifna(vlookup(D77,'S3'!$1:$1311,2,False),0)</f>
        <v>50</v>
      </c>
      <c r="S77" s="214"/>
      <c r="T77" s="215">
        <v>15.0</v>
      </c>
      <c r="U77" s="215">
        <v>24.0</v>
      </c>
      <c r="V77" s="215">
        <v>0.0</v>
      </c>
      <c r="W77" s="215">
        <v>84.0</v>
      </c>
      <c r="X77" s="215"/>
      <c r="Y77" s="215"/>
      <c r="Z77" s="217"/>
      <c r="AA77" s="218">
        <v>18.0</v>
      </c>
      <c r="AB77" s="219">
        <v>73.0</v>
      </c>
      <c r="AC77" s="295">
        <v>100.0</v>
      </c>
      <c r="AD77" s="129">
        <v>26.0</v>
      </c>
      <c r="AE77" s="130">
        <v>10.0</v>
      </c>
      <c r="AF77" s="481"/>
      <c r="AG77" s="488">
        <v>25.0</v>
      </c>
      <c r="AH77" s="481"/>
      <c r="AI77" s="88"/>
      <c r="AJ77" s="88"/>
      <c r="AK77" s="132">
        <f t="shared" si="1"/>
        <v>4</v>
      </c>
      <c r="AL77" s="132">
        <f t="shared" si="2"/>
        <v>2</v>
      </c>
      <c r="AM77" s="133">
        <f t="shared" si="3"/>
        <v>3</v>
      </c>
      <c r="AN77" s="132" t="str">
        <f t="shared" si="7"/>
        <v>3</v>
      </c>
      <c r="AO77" s="132">
        <f t="shared" si="5"/>
        <v>3</v>
      </c>
      <c r="AP77" s="88"/>
    </row>
    <row r="78">
      <c r="A78" s="142">
        <v>74.0</v>
      </c>
      <c r="B78" s="483" t="s">
        <v>1687</v>
      </c>
      <c r="C78" s="483" t="s">
        <v>3787</v>
      </c>
      <c r="D78" s="209" t="str">
        <f>VLOOKUP(B78,USN!$1:$1088,2,False)</f>
        <v>1CR23AI077</v>
      </c>
      <c r="E78" s="484">
        <v>8.073916866E9</v>
      </c>
      <c r="F78" s="484" t="s">
        <v>3780</v>
      </c>
      <c r="G78" s="88"/>
      <c r="H78" s="210">
        <v>77.0</v>
      </c>
      <c r="I78" s="211">
        <v>81.0</v>
      </c>
      <c r="J78" s="211">
        <f>VLOOKUP(D78,'L3'!$1:$2060,2,False)</f>
        <v>72</v>
      </c>
      <c r="K78" s="211">
        <f>VLOOKUP(D78,'L4'!$1:$2059,2,False)</f>
        <v>70</v>
      </c>
      <c r="L78" s="212">
        <f>VLOOKUP(D78,'A1 RETEST 5 DEC'!$1:$2096,2,False)</f>
        <v>50</v>
      </c>
      <c r="M78" s="213">
        <f>VLOOKUP(D78,'A2 RETEST 4 DEC'!$1:$2096,2,False)</f>
        <v>43</v>
      </c>
      <c r="N78" s="213">
        <v>9.0</v>
      </c>
      <c r="O78" s="212"/>
      <c r="P78" s="214">
        <f>IFNA(VLOOKUP(D78,'S1'!$1:$1500,2,False),0)</f>
        <v>82</v>
      </c>
      <c r="Q78" s="214">
        <f>vlookup(D78,'S2'!A75:B1277,2,0)</f>
        <v>72</v>
      </c>
      <c r="R78" s="214">
        <f>ifna(vlookup(D78,'S3'!$1:$1311,2,False),0)</f>
        <v>83</v>
      </c>
      <c r="S78" s="214"/>
      <c r="T78" s="215">
        <v>10.0</v>
      </c>
      <c r="U78" s="215">
        <v>20.0</v>
      </c>
      <c r="V78" s="215">
        <v>88.0</v>
      </c>
      <c r="W78" s="215">
        <v>88.0</v>
      </c>
      <c r="X78" s="215">
        <v>76.0</v>
      </c>
      <c r="Y78" s="215"/>
      <c r="Z78" s="217"/>
      <c r="AA78" s="218">
        <v>0.0</v>
      </c>
      <c r="AB78" s="219">
        <v>78.0</v>
      </c>
      <c r="AC78" s="295">
        <v>78.0</v>
      </c>
      <c r="AD78" s="129">
        <v>2.0</v>
      </c>
      <c r="AE78" s="130">
        <v>40.0</v>
      </c>
      <c r="AF78" s="481"/>
      <c r="AG78" s="487">
        <v>70.0</v>
      </c>
      <c r="AH78" s="481"/>
      <c r="AI78" s="88"/>
      <c r="AJ78" s="88"/>
      <c r="AK78" s="132">
        <f t="shared" si="1"/>
        <v>4</v>
      </c>
      <c r="AL78" s="132">
        <f t="shared" si="2"/>
        <v>1</v>
      </c>
      <c r="AM78" s="133">
        <f t="shared" si="3"/>
        <v>3</v>
      </c>
      <c r="AN78" s="132" t="str">
        <f t="shared" si="7"/>
        <v>3</v>
      </c>
      <c r="AO78" s="132">
        <f t="shared" si="5"/>
        <v>3</v>
      </c>
      <c r="AP78" s="88"/>
    </row>
    <row r="79">
      <c r="A79" s="142">
        <v>75.0</v>
      </c>
      <c r="B79" s="483" t="s">
        <v>15</v>
      </c>
      <c r="C79" s="230" t="s">
        <v>3788</v>
      </c>
      <c r="D79" s="209" t="str">
        <f>VLOOKUP(B79,USN!$1:$1088,2,False)</f>
        <v>1CR23AI078</v>
      </c>
      <c r="E79" s="495">
        <v>6.303766119E9</v>
      </c>
      <c r="F79" s="484" t="s">
        <v>3780</v>
      </c>
      <c r="G79" s="88"/>
      <c r="H79" s="243">
        <v>98.0</v>
      </c>
      <c r="I79" s="211">
        <v>70.0</v>
      </c>
      <c r="J79" s="211">
        <f>VLOOKUP(D79,'L3'!$1:$2060,2,False)</f>
        <v>70</v>
      </c>
      <c r="K79" s="211">
        <f>VLOOKUP(D79,'L4'!$1:$2059,2,False)</f>
        <v>70</v>
      </c>
      <c r="L79" s="212">
        <f>VLOOKUP(D79,'A1 RETEST 5 DEC'!$1:$2096,2,False)</f>
        <v>50</v>
      </c>
      <c r="M79" s="213">
        <f>VLOOKUP(D79,'A2 RETEST 4 DEC'!$1:$2096,2,False)</f>
        <v>28</v>
      </c>
      <c r="N79" s="213">
        <v>50.0</v>
      </c>
      <c r="O79" s="212"/>
      <c r="P79" s="214">
        <f>IFNA(VLOOKUP(D79,'S1'!$1:$1500,2,False),0)</f>
        <v>81</v>
      </c>
      <c r="Q79" s="214">
        <f>vlookup(D79,'S2'!A76:B1278,2,0)</f>
        <v>53</v>
      </c>
      <c r="R79" s="214">
        <f>ifna(vlookup(D79,'S3'!$1:$1311,2,False),0)</f>
        <v>89</v>
      </c>
      <c r="S79" s="214"/>
      <c r="T79" s="215">
        <v>17.0</v>
      </c>
      <c r="U79" s="215">
        <v>21.0</v>
      </c>
      <c r="V79" s="215">
        <v>90.0</v>
      </c>
      <c r="W79" s="215">
        <v>84.0</v>
      </c>
      <c r="X79" s="215">
        <v>80.0</v>
      </c>
      <c r="Y79" s="215"/>
      <c r="Z79" s="217"/>
      <c r="AA79" s="218">
        <v>32.0</v>
      </c>
      <c r="AB79" s="219">
        <v>85.0</v>
      </c>
      <c r="AC79" s="295">
        <v>72.0</v>
      </c>
      <c r="AD79" s="129">
        <v>90.0</v>
      </c>
      <c r="AE79" s="130">
        <v>80.0</v>
      </c>
      <c r="AF79" s="481"/>
      <c r="AG79" s="487">
        <v>85.0</v>
      </c>
      <c r="AH79" s="481"/>
      <c r="AI79" s="88"/>
      <c r="AJ79" s="88"/>
      <c r="AK79" s="132">
        <f t="shared" si="1"/>
        <v>4</v>
      </c>
      <c r="AL79" s="132">
        <f t="shared" si="2"/>
        <v>1</v>
      </c>
      <c r="AM79" s="133">
        <f t="shared" si="3"/>
        <v>3</v>
      </c>
      <c r="AN79" s="132" t="str">
        <f t="shared" si="7"/>
        <v>3.5</v>
      </c>
      <c r="AO79" s="132">
        <f t="shared" si="5"/>
        <v>3</v>
      </c>
      <c r="AP79" s="88"/>
    </row>
    <row r="80">
      <c r="A80" s="142">
        <v>76.0</v>
      </c>
      <c r="B80" s="483" t="s">
        <v>1688</v>
      </c>
      <c r="C80" s="483" t="s">
        <v>2944</v>
      </c>
      <c r="D80" s="209" t="str">
        <f>VLOOKUP(B80,USN!$1:$1088,2,False)</f>
        <v>1CR23AI079</v>
      </c>
      <c r="E80" s="484">
        <v>7.099647523E9</v>
      </c>
      <c r="F80" s="484" t="s">
        <v>3780</v>
      </c>
      <c r="G80" s="88"/>
      <c r="H80" s="210">
        <v>76.0</v>
      </c>
      <c r="I80" s="211">
        <v>88.0</v>
      </c>
      <c r="J80" s="211">
        <f>VLOOKUP(D80,'L3'!$1:$2060,2,False)</f>
        <v>70</v>
      </c>
      <c r="K80" s="211">
        <f>VLOOKUP(D80,'L4'!$1:$2059,2,False)</f>
        <v>70</v>
      </c>
      <c r="L80" s="212">
        <f>VLOOKUP(D80,'A1 RETEST 5 DEC'!$1:$2096,2,False)</f>
        <v>50</v>
      </c>
      <c r="M80" s="213">
        <f>VLOOKUP(D80,'A2 RETEST 4 DEC'!$1:$2096,2,False)</f>
        <v>50</v>
      </c>
      <c r="N80" s="213">
        <v>50.0</v>
      </c>
      <c r="O80" s="212"/>
      <c r="P80" s="214">
        <f>IFNA(VLOOKUP(D80,'S1'!$1:$1500,2,False),0)</f>
        <v>79</v>
      </c>
      <c r="Q80" s="214">
        <f>vlookup(D80,'S2'!A77:B1279,2,0)</f>
        <v>71</v>
      </c>
      <c r="R80" s="214">
        <f>ifna(vlookup(D80,'S3'!$1:$1311,2,False),0)</f>
        <v>50</v>
      </c>
      <c r="S80" s="214"/>
      <c r="T80" s="215">
        <v>10.0</v>
      </c>
      <c r="U80" s="215">
        <v>23.0</v>
      </c>
      <c r="V80" s="215">
        <v>82.0</v>
      </c>
      <c r="W80" s="215">
        <v>0.0</v>
      </c>
      <c r="X80" s="215">
        <v>66.0</v>
      </c>
      <c r="Y80" s="215"/>
      <c r="Z80" s="217"/>
      <c r="AA80" s="218">
        <v>0.0</v>
      </c>
      <c r="AB80" s="219">
        <v>87.0</v>
      </c>
      <c r="AC80" s="295">
        <v>10.0</v>
      </c>
      <c r="AD80" s="129">
        <v>37.0</v>
      </c>
      <c r="AE80" s="130">
        <v>70.0</v>
      </c>
      <c r="AF80" s="481"/>
      <c r="AG80" s="488">
        <v>50.0</v>
      </c>
      <c r="AH80" s="481"/>
      <c r="AI80" s="88"/>
      <c r="AJ80" s="88"/>
      <c r="AK80" s="132">
        <f t="shared" si="1"/>
        <v>4</v>
      </c>
      <c r="AL80" s="132">
        <f t="shared" si="2"/>
        <v>3</v>
      </c>
      <c r="AM80" s="133">
        <f t="shared" si="3"/>
        <v>2</v>
      </c>
      <c r="AN80" s="132" t="str">
        <f t="shared" si="7"/>
        <v>2</v>
      </c>
      <c r="AO80" s="132">
        <f t="shared" si="5"/>
        <v>3</v>
      </c>
      <c r="AP80" s="88"/>
    </row>
    <row r="81">
      <c r="A81" s="142">
        <v>77.0</v>
      </c>
      <c r="B81" s="483" t="s">
        <v>1738</v>
      </c>
      <c r="C81" s="483" t="s">
        <v>2945</v>
      </c>
      <c r="D81" s="209" t="str">
        <f>VLOOKUP(B81,USN!$1:$1088,2,False)</f>
        <v>1CR23AI080</v>
      </c>
      <c r="E81" s="484">
        <v>8.431482518E9</v>
      </c>
      <c r="F81" s="484" t="s">
        <v>3780</v>
      </c>
      <c r="G81" s="88"/>
      <c r="H81" s="210">
        <v>84.0</v>
      </c>
      <c r="I81" s="211">
        <v>89.0</v>
      </c>
      <c r="J81" s="211">
        <f>VLOOKUP(D81,'L3'!$1:$2060,2,False)</f>
        <v>76</v>
      </c>
      <c r="K81" s="211">
        <f>VLOOKUP(D81,'L4'!$1:$2059,2,False)</f>
        <v>77</v>
      </c>
      <c r="L81" s="212">
        <f>VLOOKUP(D81,'A1 RETEST 5 DEC'!$1:$2096,2,False)</f>
        <v>66</v>
      </c>
      <c r="M81" s="213">
        <f>VLOOKUP(D81,'A2 RETEST 4 DEC'!$1:$2096,2,False)</f>
        <v>50</v>
      </c>
      <c r="N81" s="213">
        <v>50.0</v>
      </c>
      <c r="O81" s="212"/>
      <c r="P81" s="214">
        <f>IFNA(VLOOKUP(D81,'S1'!$1:$1500,2,False),0)</f>
        <v>79</v>
      </c>
      <c r="Q81" s="214">
        <f>vlookup(D81,'S2'!A78:B1280,2,0)</f>
        <v>87</v>
      </c>
      <c r="R81" s="214">
        <f>ifna(vlookup(D81,'S3'!$1:$1311,2,False),0)</f>
        <v>95</v>
      </c>
      <c r="S81" s="214"/>
      <c r="T81" s="215">
        <v>13.0</v>
      </c>
      <c r="U81" s="215">
        <v>23.0</v>
      </c>
      <c r="V81" s="215">
        <v>92.0</v>
      </c>
      <c r="W81" s="215">
        <v>84.0</v>
      </c>
      <c r="X81" s="215">
        <v>76.0</v>
      </c>
      <c r="Y81" s="215"/>
      <c r="Z81" s="217"/>
      <c r="AA81" s="218">
        <v>92.0</v>
      </c>
      <c r="AB81" s="219">
        <v>100.0</v>
      </c>
      <c r="AC81" s="295">
        <v>95.0</v>
      </c>
      <c r="AD81" s="129">
        <v>75.0</v>
      </c>
      <c r="AE81" s="130">
        <v>75.0</v>
      </c>
      <c r="AF81" s="481"/>
      <c r="AG81" s="487">
        <v>86.0</v>
      </c>
      <c r="AH81" s="481"/>
      <c r="AI81" s="88"/>
      <c r="AJ81" s="88"/>
      <c r="AK81" s="132">
        <f t="shared" si="1"/>
        <v>4</v>
      </c>
      <c r="AL81" s="132">
        <f t="shared" si="2"/>
        <v>3</v>
      </c>
      <c r="AM81" s="133">
        <f t="shared" si="3"/>
        <v>3</v>
      </c>
      <c r="AN81" s="132" t="str">
        <f t="shared" si="7"/>
        <v>3.5</v>
      </c>
      <c r="AO81" s="132">
        <f t="shared" si="5"/>
        <v>3</v>
      </c>
      <c r="AP81" s="88"/>
    </row>
    <row r="82">
      <c r="A82" s="142">
        <v>78.0</v>
      </c>
      <c r="B82" s="483" t="s">
        <v>1743</v>
      </c>
      <c r="C82" s="483" t="s">
        <v>2946</v>
      </c>
      <c r="D82" s="209" t="str">
        <f>VLOOKUP(B82,USN!$1:$1088,2,False)</f>
        <v>1CR23AI081</v>
      </c>
      <c r="E82" s="484">
        <v>9.481328175E9</v>
      </c>
      <c r="F82" s="484" t="s">
        <v>3780</v>
      </c>
      <c r="G82" s="88"/>
      <c r="H82" s="243">
        <v>70.0</v>
      </c>
      <c r="I82" s="211">
        <v>76.0</v>
      </c>
      <c r="J82" s="211">
        <f>VLOOKUP(D82,'L3'!$1:$2060,2,False)</f>
        <v>75</v>
      </c>
      <c r="K82" s="211">
        <f>VLOOKUP(D82,'L4'!$1:$2059,2,False)</f>
        <v>70</v>
      </c>
      <c r="L82" s="212">
        <f>VLOOKUP(D82,'A1 RETEST 5 DEC'!$1:$2096,2,False)</f>
        <v>50</v>
      </c>
      <c r="M82" s="213">
        <f>VLOOKUP(D82,'A2 RETEST 4 DEC'!$1:$2096,2,False)</f>
        <v>54</v>
      </c>
      <c r="N82" s="213">
        <v>52.0</v>
      </c>
      <c r="O82" s="212"/>
      <c r="P82" s="214">
        <f>IFNA(VLOOKUP(D82,'S1'!$1:$1500,2,False),0)</f>
        <v>75</v>
      </c>
      <c r="Q82" s="214">
        <f>vlookup(D82,'S2'!A79:B1281,2,0)</f>
        <v>87</v>
      </c>
      <c r="R82" s="214">
        <f>ifna(vlookup(D82,'S3'!$1:$1311,2,False),0)</f>
        <v>93</v>
      </c>
      <c r="S82" s="214"/>
      <c r="T82" s="215">
        <v>12.0</v>
      </c>
      <c r="U82" s="215">
        <v>23.0</v>
      </c>
      <c r="V82" s="215">
        <v>88.0</v>
      </c>
      <c r="W82" s="215">
        <v>82.0</v>
      </c>
      <c r="X82" s="215">
        <v>70.0</v>
      </c>
      <c r="Y82" s="215"/>
      <c r="Z82" s="217"/>
      <c r="AA82" s="218">
        <v>92.0</v>
      </c>
      <c r="AB82" s="219">
        <v>85.0</v>
      </c>
      <c r="AC82" s="295">
        <v>70.0</v>
      </c>
      <c r="AD82" s="129">
        <v>80.0</v>
      </c>
      <c r="AE82" s="130">
        <v>76.0</v>
      </c>
      <c r="AF82" s="481"/>
      <c r="AG82" s="487">
        <v>91.0</v>
      </c>
      <c r="AH82" s="481"/>
      <c r="AI82" s="88"/>
      <c r="AJ82" s="88"/>
      <c r="AK82" s="132">
        <f t="shared" si="1"/>
        <v>4</v>
      </c>
      <c r="AL82" s="132">
        <f t="shared" si="2"/>
        <v>3</v>
      </c>
      <c r="AM82" s="133">
        <f t="shared" si="3"/>
        <v>3</v>
      </c>
      <c r="AN82" s="132" t="str">
        <f t="shared" si="7"/>
        <v>3.5</v>
      </c>
      <c r="AO82" s="132">
        <f t="shared" si="5"/>
        <v>3</v>
      </c>
      <c r="AP82" s="88"/>
    </row>
    <row r="83">
      <c r="A83" s="142">
        <v>79.0</v>
      </c>
      <c r="B83" s="483" t="s">
        <v>1689</v>
      </c>
      <c r="C83" s="483" t="s">
        <v>2947</v>
      </c>
      <c r="D83" s="209" t="str">
        <f>VLOOKUP(B83,USN!$1:$1088,2,False)</f>
        <v>1CR23AI082</v>
      </c>
      <c r="E83" s="484">
        <v>8.630446901E9</v>
      </c>
      <c r="F83" s="484" t="s">
        <v>3780</v>
      </c>
      <c r="G83" s="88"/>
      <c r="H83" s="210">
        <v>72.0</v>
      </c>
      <c r="I83" s="211">
        <v>84.0</v>
      </c>
      <c r="J83" s="211">
        <f>VLOOKUP(D83,'L3'!$1:$2060,2,False)</f>
        <v>70</v>
      </c>
      <c r="K83" s="211">
        <f>VLOOKUP(D83,'L4'!$1:$2059,2,False)</f>
        <v>70</v>
      </c>
      <c r="L83" s="212">
        <f>VLOOKUP(D83,'A1 RETEST 5 DEC'!$1:$2096,2,False)</f>
        <v>50</v>
      </c>
      <c r="M83" s="213">
        <f>VLOOKUP(D83,'A2 RETEST 4 DEC'!$1:$2096,2,False)</f>
        <v>50</v>
      </c>
      <c r="N83" s="213">
        <v>50.0</v>
      </c>
      <c r="O83" s="212"/>
      <c r="P83" s="214">
        <f>IFNA(VLOOKUP(D83,'S1'!$1:$1500,2,False),0)</f>
        <v>81</v>
      </c>
      <c r="Q83" s="214">
        <f>vlookup(D83,'S2'!A80:B1282,2,0)</f>
        <v>50</v>
      </c>
      <c r="R83" s="214">
        <f>ifna(vlookup(D83,'S3'!$1:$1311,2,False),0)</f>
        <v>72</v>
      </c>
      <c r="S83" s="214"/>
      <c r="T83" s="215">
        <v>22.0</v>
      </c>
      <c r="U83" s="215">
        <v>24.0</v>
      </c>
      <c r="V83" s="215">
        <v>94.0</v>
      </c>
      <c r="W83" s="215">
        <v>90.0</v>
      </c>
      <c r="X83" s="215">
        <v>76.0</v>
      </c>
      <c r="Y83" s="215"/>
      <c r="Z83" s="217"/>
      <c r="AA83" s="218">
        <v>0.0</v>
      </c>
      <c r="AB83" s="219">
        <v>87.0</v>
      </c>
      <c r="AC83" s="295">
        <v>100.0</v>
      </c>
      <c r="AD83" s="129">
        <v>12.0</v>
      </c>
      <c r="AE83" s="129">
        <v>70.0</v>
      </c>
      <c r="AF83" s="481"/>
      <c r="AG83" s="487">
        <v>74.0</v>
      </c>
      <c r="AH83" s="481"/>
      <c r="AI83" s="88"/>
      <c r="AJ83" s="88"/>
      <c r="AK83" s="132">
        <f t="shared" si="1"/>
        <v>4</v>
      </c>
      <c r="AL83" s="132">
        <f t="shared" si="2"/>
        <v>3</v>
      </c>
      <c r="AM83" s="133">
        <f t="shared" si="3"/>
        <v>3</v>
      </c>
      <c r="AN83" s="132" t="str">
        <f t="shared" si="7"/>
        <v>3.5</v>
      </c>
      <c r="AO83" s="132">
        <f t="shared" si="5"/>
        <v>3</v>
      </c>
      <c r="AP83" s="88"/>
    </row>
    <row r="84">
      <c r="A84" s="142">
        <v>80.0</v>
      </c>
      <c r="B84" s="483" t="s">
        <v>1690</v>
      </c>
      <c r="C84" s="483" t="s">
        <v>2948</v>
      </c>
      <c r="D84" s="209" t="str">
        <f>VLOOKUP(B84,USN!$1:$1088,2,False)</f>
        <v>1CR23AI083</v>
      </c>
      <c r="E84" s="484">
        <v>9.019150233E9</v>
      </c>
      <c r="F84" s="484" t="s">
        <v>3780</v>
      </c>
      <c r="G84" s="88"/>
      <c r="H84" s="210">
        <v>88.0</v>
      </c>
      <c r="I84" s="211">
        <v>90.0</v>
      </c>
      <c r="J84" s="211">
        <f>VLOOKUP(D84,'L3'!$1:$2060,2,False)</f>
        <v>72</v>
      </c>
      <c r="K84" s="211">
        <f>VLOOKUP(D84,'L4'!$1:$2059,2,False)</f>
        <v>70</v>
      </c>
      <c r="L84" s="212">
        <f>VLOOKUP(D84,'A1 RETEST 5 DEC'!$1:$2096,2,False)</f>
        <v>55</v>
      </c>
      <c r="M84" s="213">
        <f>VLOOKUP(D84,'A2 RETEST 4 DEC'!$1:$2096,2,False)</f>
        <v>50</v>
      </c>
      <c r="N84" s="213">
        <v>51.0</v>
      </c>
      <c r="O84" s="212"/>
      <c r="P84" s="214">
        <f>IFNA(VLOOKUP(D84,'S1'!$1:$1500,2,False),0)</f>
        <v>79</v>
      </c>
      <c r="Q84" s="214">
        <f>vlookup(D84,'S2'!A81:B1283,2,0)</f>
        <v>54</v>
      </c>
      <c r="R84" s="214">
        <f>ifna(vlookup(D84,'S3'!$1:$1311,2,False),0)</f>
        <v>91</v>
      </c>
      <c r="S84" s="214"/>
      <c r="T84" s="215">
        <v>14.0</v>
      </c>
      <c r="U84" s="215">
        <v>21.0</v>
      </c>
      <c r="V84" s="215">
        <v>92.0</v>
      </c>
      <c r="W84" s="215">
        <v>86.0</v>
      </c>
      <c r="X84" s="215">
        <v>76.0</v>
      </c>
      <c r="Y84" s="215"/>
      <c r="Z84" s="217"/>
      <c r="AA84" s="218">
        <v>74.0</v>
      </c>
      <c r="AB84" s="219">
        <v>100.0</v>
      </c>
      <c r="AC84" s="295">
        <v>89.0</v>
      </c>
      <c r="AD84" s="129">
        <v>60.0</v>
      </c>
      <c r="AE84" s="130">
        <v>70.0</v>
      </c>
      <c r="AF84" s="481"/>
      <c r="AG84" s="487">
        <v>96.0</v>
      </c>
      <c r="AH84" s="481"/>
      <c r="AI84" s="88"/>
      <c r="AJ84" s="88"/>
      <c r="AK84" s="132">
        <f t="shared" si="1"/>
        <v>4</v>
      </c>
      <c r="AL84" s="132">
        <f t="shared" si="2"/>
        <v>3</v>
      </c>
      <c r="AM84" s="133">
        <f t="shared" si="3"/>
        <v>3</v>
      </c>
      <c r="AN84" s="132" t="str">
        <f t="shared" si="7"/>
        <v>3.5</v>
      </c>
      <c r="AO84" s="132">
        <f t="shared" si="5"/>
        <v>3</v>
      </c>
      <c r="AP84" s="88"/>
    </row>
    <row r="85">
      <c r="A85" s="142">
        <v>81.0</v>
      </c>
      <c r="B85" s="483" t="s">
        <v>1691</v>
      </c>
      <c r="C85" s="483" t="s">
        <v>2949</v>
      </c>
      <c r="D85" s="209" t="str">
        <f>VLOOKUP(B85,USN!$1:$1088,2,False)</f>
        <v>1CR23AI084</v>
      </c>
      <c r="E85" s="484">
        <v>8.188030181E9</v>
      </c>
      <c r="F85" s="484" t="s">
        <v>3780</v>
      </c>
      <c r="G85" s="88"/>
      <c r="H85" s="210">
        <v>73.0</v>
      </c>
      <c r="I85" s="211">
        <v>84.0</v>
      </c>
      <c r="J85" s="211">
        <f>VLOOKUP(D85,'L3'!$1:$2060,2,False)</f>
        <v>70</v>
      </c>
      <c r="K85" s="211">
        <f>VLOOKUP(D85,'L4'!$1:$2059,2,False)</f>
        <v>70</v>
      </c>
      <c r="L85" s="212">
        <f>VLOOKUP(D85,'A1 RETEST 5 DEC'!$1:$2096,2,False)</f>
        <v>50</v>
      </c>
      <c r="M85" s="213">
        <f>VLOOKUP(D85,'A2 RETEST 4 DEC'!$1:$2096,2,False)</f>
        <v>50</v>
      </c>
      <c r="N85" s="213">
        <v>50.0</v>
      </c>
      <c r="O85" s="212"/>
      <c r="P85" s="214">
        <f>IFNA(VLOOKUP(D85,'S1'!$1:$1500,2,False),0)</f>
        <v>76</v>
      </c>
      <c r="Q85" s="214">
        <f>vlookup(D85,'S2'!A82:B1284,2,0)</f>
        <v>50</v>
      </c>
      <c r="R85" s="214">
        <f>ifna(vlookup(D85,'S3'!$1:$1311,2,False),0)</f>
        <v>50</v>
      </c>
      <c r="S85" s="214"/>
      <c r="T85" s="215">
        <v>13.0</v>
      </c>
      <c r="U85" s="215">
        <v>22.0</v>
      </c>
      <c r="V85" s="215">
        <v>92.0</v>
      </c>
      <c r="W85" s="215">
        <v>86.0</v>
      </c>
      <c r="X85" s="215">
        <v>86.0</v>
      </c>
      <c r="Y85" s="215"/>
      <c r="Z85" s="217"/>
      <c r="AA85" s="218">
        <v>18.0</v>
      </c>
      <c r="AB85" s="219">
        <v>97.0</v>
      </c>
      <c r="AC85" s="295">
        <v>1.0</v>
      </c>
      <c r="AD85" s="129">
        <v>90.0</v>
      </c>
      <c r="AE85" s="130">
        <v>60.0</v>
      </c>
      <c r="AF85" s="481"/>
      <c r="AG85" s="487">
        <v>87.0</v>
      </c>
      <c r="AH85" s="481"/>
      <c r="AI85" s="88"/>
      <c r="AJ85" s="88"/>
      <c r="AK85" s="132">
        <f t="shared" si="1"/>
        <v>4</v>
      </c>
      <c r="AL85" s="132">
        <f t="shared" si="2"/>
        <v>3</v>
      </c>
      <c r="AM85" s="133">
        <f t="shared" si="3"/>
        <v>3</v>
      </c>
      <c r="AN85" s="132" t="str">
        <f t="shared" si="7"/>
        <v>3</v>
      </c>
      <c r="AO85" s="132">
        <f t="shared" si="5"/>
        <v>3</v>
      </c>
      <c r="AP85" s="88"/>
    </row>
    <row r="86">
      <c r="A86" s="142">
        <v>82.0</v>
      </c>
      <c r="B86" s="483" t="s">
        <v>1683</v>
      </c>
      <c r="C86" s="483" t="s">
        <v>2950</v>
      </c>
      <c r="D86" s="209" t="str">
        <f>VLOOKUP(B86,USN!$1:$1088,2,False)</f>
        <v>1CR23AI085</v>
      </c>
      <c r="E86" s="484">
        <v>9.84598038E9</v>
      </c>
      <c r="F86" s="234" t="s">
        <v>3780</v>
      </c>
      <c r="G86" s="88"/>
      <c r="H86" s="243">
        <v>70.0</v>
      </c>
      <c r="I86" s="211">
        <v>73.0</v>
      </c>
      <c r="J86" s="211">
        <f>VLOOKUP(D86,'L3'!$1:$2060,2,False)</f>
        <v>70</v>
      </c>
      <c r="K86" s="211">
        <f>VLOOKUP(D86,'L4'!$1:$2059,2,False)</f>
        <v>70</v>
      </c>
      <c r="L86" s="212">
        <f>VLOOKUP(D86,'A1 RETEST 5 DEC'!$1:$2096,2,False)</f>
        <v>50</v>
      </c>
      <c r="M86" s="213">
        <f>VLOOKUP(D86,'A2 RETEST 4 DEC'!$1:$2096,2,False)</f>
        <v>22</v>
      </c>
      <c r="N86" s="213">
        <v>21.0</v>
      </c>
      <c r="O86" s="212"/>
      <c r="P86" s="214">
        <f>IFNA(VLOOKUP(D86,'S1'!$1:$1500,2,False),0)</f>
        <v>70</v>
      </c>
      <c r="Q86" s="214">
        <f>vlookup(D86,'S2'!A83:B1285,2,0)</f>
        <v>73</v>
      </c>
      <c r="R86" s="214">
        <f>ifna(vlookup(D86,'S3'!$1:$1311,2,False),0)</f>
        <v>90</v>
      </c>
      <c r="S86" s="214"/>
      <c r="T86" s="215">
        <v>10.0</v>
      </c>
      <c r="U86" s="215">
        <v>24.0</v>
      </c>
      <c r="V86" s="215">
        <v>92.0</v>
      </c>
      <c r="W86" s="215">
        <v>90.0</v>
      </c>
      <c r="X86" s="215">
        <v>72.0</v>
      </c>
      <c r="Y86" s="215"/>
      <c r="Z86" s="217"/>
      <c r="AA86" s="218">
        <v>26.0</v>
      </c>
      <c r="AB86" s="219">
        <v>86.0</v>
      </c>
      <c r="AC86" s="295">
        <v>100.0</v>
      </c>
      <c r="AD86" s="129">
        <v>60.0</v>
      </c>
      <c r="AE86" s="130">
        <v>21.0</v>
      </c>
      <c r="AF86" s="481"/>
      <c r="AG86" s="487">
        <v>82.0</v>
      </c>
      <c r="AH86" s="481"/>
      <c r="AI86" s="88"/>
      <c r="AJ86" s="88"/>
      <c r="AK86" s="132">
        <f t="shared" si="1"/>
        <v>4</v>
      </c>
      <c r="AL86" s="132">
        <f t="shared" si="2"/>
        <v>1</v>
      </c>
      <c r="AM86" s="133">
        <f t="shared" si="3"/>
        <v>3</v>
      </c>
      <c r="AN86" s="132" t="str">
        <f t="shared" si="7"/>
        <v>3</v>
      </c>
      <c r="AO86" s="132">
        <f t="shared" si="5"/>
        <v>3</v>
      </c>
      <c r="AP86" s="88"/>
    </row>
    <row r="87">
      <c r="A87" s="142">
        <v>83.0</v>
      </c>
      <c r="B87" s="483" t="s">
        <v>1750</v>
      </c>
      <c r="C87" s="230" t="s">
        <v>2951</v>
      </c>
      <c r="D87" s="209" t="str">
        <f>VLOOKUP(B87,USN!$1:$1088,2,False)</f>
        <v>1CR23AI086</v>
      </c>
      <c r="E87" s="495">
        <v>9.153842219E9</v>
      </c>
      <c r="F87" s="484" t="s">
        <v>3780</v>
      </c>
      <c r="G87" s="88"/>
      <c r="H87" s="210">
        <v>77.0</v>
      </c>
      <c r="I87" s="211">
        <v>83.0</v>
      </c>
      <c r="J87" s="211">
        <f>VLOOKUP(D87,'L3'!$1:$2060,2,False)</f>
        <v>70</v>
      </c>
      <c r="K87" s="211">
        <f>VLOOKUP(D87,'L4'!$1:$2059,2,False)</f>
        <v>70</v>
      </c>
      <c r="L87" s="212">
        <f>VLOOKUP(D87,'A1 RETEST 5 DEC'!$1:$2096,2,False)</f>
        <v>29</v>
      </c>
      <c r="M87" s="213">
        <f>VLOOKUP(D87,'A2 RETEST 4 DEC'!$1:$2096,2,False)</f>
        <v>50</v>
      </c>
      <c r="N87" s="213">
        <v>0.0</v>
      </c>
      <c r="O87" s="212"/>
      <c r="P87" s="214">
        <f>IFNA(VLOOKUP(D87,'S1'!$1:$1500,2,False),0)</f>
        <v>75</v>
      </c>
      <c r="Q87" s="214">
        <f>vlookup(D87,'S2'!A84:B1286,2,0)</f>
        <v>50</v>
      </c>
      <c r="R87" s="214">
        <f>ifna(vlookup(D87,'S3'!$1:$1311,2,False),0)</f>
        <v>0</v>
      </c>
      <c r="S87" s="214"/>
      <c r="T87" s="215">
        <v>21.0</v>
      </c>
      <c r="U87" s="215">
        <v>17.0</v>
      </c>
      <c r="V87" s="215">
        <v>92.0</v>
      </c>
      <c r="W87" s="215">
        <v>86.0</v>
      </c>
      <c r="X87" s="215">
        <v>76.0</v>
      </c>
      <c r="Y87" s="215"/>
      <c r="Z87" s="217"/>
      <c r="AA87" s="218">
        <v>94.0</v>
      </c>
      <c r="AB87" s="219">
        <v>88.0</v>
      </c>
      <c r="AC87" s="295">
        <v>100.0</v>
      </c>
      <c r="AD87" s="129">
        <v>3.0</v>
      </c>
      <c r="AE87" s="130">
        <v>10.0</v>
      </c>
      <c r="AF87" s="481"/>
      <c r="AG87" s="487">
        <v>60.0</v>
      </c>
      <c r="AH87" s="481"/>
      <c r="AI87" s="88"/>
      <c r="AJ87" s="88"/>
      <c r="AK87" s="132">
        <f t="shared" si="1"/>
        <v>4</v>
      </c>
      <c r="AL87" s="132">
        <f t="shared" si="2"/>
        <v>0</v>
      </c>
      <c r="AM87" s="133">
        <f t="shared" si="3"/>
        <v>3</v>
      </c>
      <c r="AN87" s="132" t="str">
        <f t="shared" si="7"/>
        <v>3</v>
      </c>
      <c r="AO87" s="132">
        <f t="shared" si="5"/>
        <v>2</v>
      </c>
      <c r="AP87" s="88"/>
    </row>
    <row r="88">
      <c r="A88" s="142">
        <v>84.0</v>
      </c>
      <c r="B88" s="483" t="s">
        <v>1692</v>
      </c>
      <c r="C88" s="483" t="s">
        <v>2952</v>
      </c>
      <c r="D88" s="209" t="str">
        <f>VLOOKUP(B88,USN!$1:$1088,2,False)</f>
        <v>1CR23AI087</v>
      </c>
      <c r="E88" s="484">
        <v>7.719049455E9</v>
      </c>
      <c r="F88" s="484" t="s">
        <v>3780</v>
      </c>
      <c r="G88" s="88"/>
      <c r="H88" s="210">
        <v>74.0</v>
      </c>
      <c r="I88" s="211">
        <v>83.0</v>
      </c>
      <c r="J88" s="211">
        <f>VLOOKUP(D88,'L3'!$1:$2060,2,False)</f>
        <v>46</v>
      </c>
      <c r="K88" s="211">
        <f>VLOOKUP(D88,'L4'!$1:$2059,2,False)</f>
        <v>43</v>
      </c>
      <c r="L88" s="212">
        <f>VLOOKUP(D88,'A1 RETEST 5 DEC'!$1:$2096,2,False)</f>
        <v>6</v>
      </c>
      <c r="M88" s="213">
        <f>VLOOKUP(D88,'A2 RETEST 4 DEC'!$1:$2096,2,False)</f>
        <v>10</v>
      </c>
      <c r="N88" s="213">
        <v>0.0</v>
      </c>
      <c r="O88" s="212"/>
      <c r="P88" s="214">
        <f>IFNA(VLOOKUP(D88,'S1'!$1:$1500,2,False),0)</f>
        <v>76</v>
      </c>
      <c r="Q88" s="214">
        <f>vlookup(D88,'S2'!A85:B1287,2,0)</f>
        <v>54</v>
      </c>
      <c r="R88" s="214">
        <f>ifna(vlookup(D88,'S3'!$1:$1311,2,False),0)</f>
        <v>0</v>
      </c>
      <c r="S88" s="214"/>
      <c r="T88" s="215">
        <v>18.0</v>
      </c>
      <c r="U88" s="215" t="s">
        <v>2477</v>
      </c>
      <c r="V88" s="215">
        <v>92.0</v>
      </c>
      <c r="W88" s="215">
        <v>0.0</v>
      </c>
      <c r="X88" s="215"/>
      <c r="Y88" s="215"/>
      <c r="Z88" s="217"/>
      <c r="AA88" s="218">
        <v>0.0</v>
      </c>
      <c r="AB88" s="219">
        <v>13.0</v>
      </c>
      <c r="AC88" s="295">
        <v>1.0</v>
      </c>
      <c r="AD88" s="129">
        <v>2.0</v>
      </c>
      <c r="AE88" s="130">
        <v>10.0</v>
      </c>
      <c r="AF88" s="481"/>
      <c r="AG88" s="488">
        <v>0.0</v>
      </c>
      <c r="AH88" s="481"/>
      <c r="AI88" s="88"/>
      <c r="AJ88" s="88"/>
      <c r="AK88" s="132">
        <f t="shared" si="1"/>
        <v>2</v>
      </c>
      <c r="AL88" s="132">
        <f t="shared" si="2"/>
        <v>0</v>
      </c>
      <c r="AM88" s="133">
        <f t="shared" si="3"/>
        <v>2</v>
      </c>
      <c r="AN88" s="132" t="str">
        <f t="shared" si="7"/>
        <v>0</v>
      </c>
      <c r="AO88" s="132">
        <f t="shared" si="5"/>
        <v>2</v>
      </c>
      <c r="AP88" s="88"/>
    </row>
    <row r="89">
      <c r="A89" s="142">
        <v>85.0</v>
      </c>
      <c r="B89" s="483" t="s">
        <v>126</v>
      </c>
      <c r="C89" s="483" t="s">
        <v>2953</v>
      </c>
      <c r="D89" s="209" t="str">
        <f>VLOOKUP(B89,USN!$1:$1088,2,False)</f>
        <v>1CR23AI088</v>
      </c>
      <c r="E89" s="484">
        <v>9.516556789E9</v>
      </c>
      <c r="F89" s="484" t="s">
        <v>3780</v>
      </c>
      <c r="G89" s="88"/>
      <c r="H89" s="210">
        <v>78.0</v>
      </c>
      <c r="I89" s="211">
        <v>65.0</v>
      </c>
      <c r="J89" s="211">
        <f>VLOOKUP(D89,'L3'!$1:$2060,2,False)</f>
        <v>70</v>
      </c>
      <c r="K89" s="211">
        <f>VLOOKUP(D89,'L4'!$1:$2059,2,False)</f>
        <v>70</v>
      </c>
      <c r="L89" s="212">
        <f>VLOOKUP(D89,'A1 RETEST 5 DEC'!$1:$2096,2,False)</f>
        <v>62</v>
      </c>
      <c r="M89" s="213">
        <f>VLOOKUP(D89,'A2 RETEST 4 DEC'!$1:$2096,2,False)</f>
        <v>50</v>
      </c>
      <c r="N89" s="213">
        <v>30.0</v>
      </c>
      <c r="O89" s="212"/>
      <c r="P89" s="214">
        <f>IFNA(VLOOKUP(D89,'S1'!$1:$1500,2,False),0)</f>
        <v>50</v>
      </c>
      <c r="Q89" s="214">
        <f>vlookup(D89,'S2'!A86:B1288,2,0)</f>
        <v>50</v>
      </c>
      <c r="R89" s="214">
        <f>ifna(vlookup(D89,'S3'!$1:$1311,2,False),0)</f>
        <v>0</v>
      </c>
      <c r="S89" s="214"/>
      <c r="T89" s="215">
        <v>21.0</v>
      </c>
      <c r="U89" s="215">
        <v>20.0</v>
      </c>
      <c r="V89" s="215">
        <v>90.0</v>
      </c>
      <c r="W89" s="215">
        <v>86.0</v>
      </c>
      <c r="X89" s="215">
        <v>76.0</v>
      </c>
      <c r="Y89" s="215"/>
      <c r="Z89" s="217"/>
      <c r="AA89" s="218">
        <v>80.0</v>
      </c>
      <c r="AB89" s="219">
        <v>97.0</v>
      </c>
      <c r="AC89" s="295">
        <v>60.0</v>
      </c>
      <c r="AD89" s="129">
        <v>0.0</v>
      </c>
      <c r="AE89" s="130">
        <v>25.0</v>
      </c>
      <c r="AF89" s="481"/>
      <c r="AG89" s="493">
        <v>20.0</v>
      </c>
      <c r="AH89" s="481"/>
      <c r="AI89" s="88"/>
      <c r="AJ89" s="88"/>
      <c r="AK89" s="132">
        <f t="shared" si="1"/>
        <v>4</v>
      </c>
      <c r="AL89" s="132">
        <f t="shared" si="2"/>
        <v>2</v>
      </c>
      <c r="AM89" s="133">
        <f t="shared" si="3"/>
        <v>3</v>
      </c>
      <c r="AN89" s="132" t="str">
        <f t="shared" si="7"/>
        <v>3</v>
      </c>
      <c r="AO89" s="132">
        <f t="shared" si="5"/>
        <v>2</v>
      </c>
      <c r="AP89" s="88"/>
    </row>
    <row r="90">
      <c r="A90" s="142">
        <v>86.0</v>
      </c>
      <c r="B90" s="483" t="s">
        <v>1693</v>
      </c>
      <c r="C90" s="483" t="s">
        <v>2954</v>
      </c>
      <c r="D90" s="209" t="str">
        <f>VLOOKUP(B90,USN!$1:$1088,2,False)</f>
        <v>1CR23AI089</v>
      </c>
      <c r="E90" s="484">
        <v>8.763653112E9</v>
      </c>
      <c r="F90" s="484" t="s">
        <v>3780</v>
      </c>
      <c r="G90" s="88"/>
      <c r="H90" s="243">
        <v>70.0</v>
      </c>
      <c r="I90" s="211">
        <v>82.0</v>
      </c>
      <c r="J90" s="211">
        <f>VLOOKUP(D90,'L3'!$1:$2060,2,False)</f>
        <v>70</v>
      </c>
      <c r="K90" s="211">
        <f>VLOOKUP(D90,'L4'!$1:$2059,2,False)</f>
        <v>70</v>
      </c>
      <c r="L90" s="212">
        <f>VLOOKUP(D90,'A1 RETEST 5 DEC'!$1:$2096,2,False)</f>
        <v>50</v>
      </c>
      <c r="M90" s="213">
        <f>VLOOKUP(D90,'A2 RETEST 4 DEC'!$1:$2096,2,False)</f>
        <v>50</v>
      </c>
      <c r="N90" s="213">
        <v>57.0</v>
      </c>
      <c r="O90" s="212"/>
      <c r="P90" s="214">
        <f>IFNA(VLOOKUP(D90,'S1'!$1:$1500,2,False),0)</f>
        <v>50</v>
      </c>
      <c r="Q90" s="214">
        <f>vlookup(D90,'S2'!A87:B1289,2,0)</f>
        <v>50</v>
      </c>
      <c r="R90" s="214">
        <f>ifna(vlookup(D90,'S3'!$1:$1311,2,False),0)</f>
        <v>50</v>
      </c>
      <c r="S90" s="214"/>
      <c r="T90" s="215">
        <v>15.0</v>
      </c>
      <c r="U90" s="215">
        <v>21.0</v>
      </c>
      <c r="V90" s="215">
        <v>92.0</v>
      </c>
      <c r="W90" s="215">
        <v>86.0</v>
      </c>
      <c r="X90" s="215">
        <v>66.0</v>
      </c>
      <c r="Y90" s="215"/>
      <c r="Z90" s="217"/>
      <c r="AA90" s="218">
        <v>69.0</v>
      </c>
      <c r="AB90" s="219">
        <v>100.0</v>
      </c>
      <c r="AC90" s="295">
        <v>100.0</v>
      </c>
      <c r="AD90" s="129">
        <v>0.0</v>
      </c>
      <c r="AE90" s="130">
        <v>57.0</v>
      </c>
      <c r="AF90" s="481"/>
      <c r="AG90" s="488">
        <v>48.0</v>
      </c>
      <c r="AH90" s="481"/>
      <c r="AI90" s="88"/>
      <c r="AJ90" s="88"/>
      <c r="AK90" s="132">
        <f t="shared" si="1"/>
        <v>4</v>
      </c>
      <c r="AL90" s="132">
        <f t="shared" si="2"/>
        <v>3</v>
      </c>
      <c r="AM90" s="133">
        <f t="shared" si="3"/>
        <v>3</v>
      </c>
      <c r="AN90" s="132" t="str">
        <f t="shared" si="7"/>
        <v>3</v>
      </c>
      <c r="AO90" s="132">
        <f t="shared" si="5"/>
        <v>3</v>
      </c>
      <c r="AP90" s="88"/>
    </row>
    <row r="91">
      <c r="A91" s="142">
        <v>87.0</v>
      </c>
      <c r="B91" s="483" t="s">
        <v>1694</v>
      </c>
      <c r="C91" s="483" t="s">
        <v>2955</v>
      </c>
      <c r="D91" s="209" t="str">
        <f>VLOOKUP(B91,USN!$1:$1088,2,False)</f>
        <v>1CR23AI090</v>
      </c>
      <c r="E91" s="484">
        <v>7.899597816E9</v>
      </c>
      <c r="F91" s="484" t="s">
        <v>3780</v>
      </c>
      <c r="G91" s="88"/>
      <c r="H91" s="243">
        <v>70.0</v>
      </c>
      <c r="I91" s="211">
        <v>70.0</v>
      </c>
      <c r="J91" s="211">
        <f>VLOOKUP(D91,'L3'!$1:$2060,2,False)</f>
        <v>70</v>
      </c>
      <c r="K91" s="211">
        <f>VLOOKUP(D91,'L4'!$1:$2059,2,False)</f>
        <v>70</v>
      </c>
      <c r="L91" s="212">
        <f>VLOOKUP(D91,'A1 RETEST 5 DEC'!$1:$2096,2,False)</f>
        <v>50</v>
      </c>
      <c r="M91" s="213">
        <f>VLOOKUP(D91,'A2 RETEST 4 DEC'!$1:$2096,2,False)</f>
        <v>31</v>
      </c>
      <c r="N91" s="213">
        <v>0.0</v>
      </c>
      <c r="O91" s="212"/>
      <c r="P91" s="214">
        <f>IFNA(VLOOKUP(D91,'S1'!$1:$1500,2,False),0)</f>
        <v>0</v>
      </c>
      <c r="Q91" s="214">
        <f>vlookup(D91,'S2'!A88:B1290,2,0)</f>
        <v>53</v>
      </c>
      <c r="R91" s="214">
        <f>ifna(vlookup(D91,'S3'!$1:$1311,2,False),0)</f>
        <v>0</v>
      </c>
      <c r="S91" s="214"/>
      <c r="T91" s="215">
        <v>10.0</v>
      </c>
      <c r="U91" s="215">
        <v>21.0</v>
      </c>
      <c r="V91" s="215">
        <v>92.0</v>
      </c>
      <c r="W91" s="215">
        <v>84.0</v>
      </c>
      <c r="X91" s="215">
        <v>66.0</v>
      </c>
      <c r="Y91" s="215"/>
      <c r="Z91" s="217"/>
      <c r="AA91" s="218">
        <v>0.0</v>
      </c>
      <c r="AB91" s="219">
        <v>22.0</v>
      </c>
      <c r="AC91" s="295">
        <v>0.0</v>
      </c>
      <c r="AD91" s="129">
        <v>70.0</v>
      </c>
      <c r="AE91" s="130">
        <v>10.0</v>
      </c>
      <c r="AF91" s="481"/>
      <c r="AG91" s="487">
        <v>44.0</v>
      </c>
      <c r="AH91" s="481"/>
      <c r="AI91" s="88"/>
      <c r="AJ91" s="88"/>
      <c r="AK91" s="132">
        <f t="shared" si="1"/>
        <v>4</v>
      </c>
      <c r="AL91" s="132">
        <f t="shared" si="2"/>
        <v>1</v>
      </c>
      <c r="AM91" s="133">
        <f t="shared" si="3"/>
        <v>3</v>
      </c>
      <c r="AN91" s="132" t="str">
        <f t="shared" si="7"/>
        <v>0</v>
      </c>
      <c r="AO91" s="132">
        <f t="shared" si="5"/>
        <v>0</v>
      </c>
      <c r="AP91" s="88"/>
    </row>
    <row r="92">
      <c r="A92" s="142">
        <v>88.0</v>
      </c>
      <c r="B92" s="483" t="s">
        <v>1721</v>
      </c>
      <c r="C92" s="483" t="s">
        <v>2956</v>
      </c>
      <c r="D92" s="209" t="str">
        <f>VLOOKUP(B92,USN!$1:$1088,2,False)</f>
        <v>1CR23AI091</v>
      </c>
      <c r="E92" s="484">
        <v>9.980739255E9</v>
      </c>
      <c r="F92" s="484" t="s">
        <v>3780</v>
      </c>
      <c r="G92" s="88"/>
      <c r="H92" s="243">
        <v>70.0</v>
      </c>
      <c r="I92" s="211">
        <v>71.0</v>
      </c>
      <c r="J92" s="211">
        <f>VLOOKUP(D92,'L3'!$1:$2060,2,False)</f>
        <v>70</v>
      </c>
      <c r="K92" s="211">
        <f>VLOOKUP(D92,'L4'!$1:$2059,2,False)</f>
        <v>70</v>
      </c>
      <c r="L92" s="212">
        <f>VLOOKUP(D92,'A1 RETEST 5 DEC'!$1:$2096,2,False)</f>
        <v>50</v>
      </c>
      <c r="M92" s="213">
        <f>VLOOKUP(D92,'A2 RETEST 4 DEC'!$1:$2096,2,False)</f>
        <v>50</v>
      </c>
      <c r="N92" s="213">
        <v>50.0</v>
      </c>
      <c r="O92" s="212"/>
      <c r="P92" s="214">
        <f>IFNA(VLOOKUP(D92,'S1'!$1:$1500,2,False),0)</f>
        <v>50</v>
      </c>
      <c r="Q92" s="214">
        <f>vlookup(D92,'S2'!A89:B1291,2,0)</f>
        <v>50</v>
      </c>
      <c r="R92" s="214">
        <f>ifna(vlookup(D92,'S3'!$1:$1311,2,False),0)</f>
        <v>50</v>
      </c>
      <c r="S92" s="214"/>
      <c r="T92" s="215">
        <v>21.0</v>
      </c>
      <c r="U92" s="215">
        <v>23.0</v>
      </c>
      <c r="V92" s="215">
        <v>94.0</v>
      </c>
      <c r="W92" s="215">
        <v>86.0</v>
      </c>
      <c r="X92" s="215">
        <v>84.0</v>
      </c>
      <c r="Y92" s="215"/>
      <c r="Z92" s="217"/>
      <c r="AA92" s="218">
        <v>60.0</v>
      </c>
      <c r="AB92" s="219">
        <v>83.0</v>
      </c>
      <c r="AC92" s="295">
        <v>100.0</v>
      </c>
      <c r="AD92" s="129">
        <v>90.0</v>
      </c>
      <c r="AE92" s="130">
        <v>70.0</v>
      </c>
      <c r="AF92" s="481"/>
      <c r="AG92" s="493">
        <v>45.0</v>
      </c>
      <c r="AH92" s="481"/>
      <c r="AI92" s="88"/>
      <c r="AJ92" s="88"/>
      <c r="AK92" s="132">
        <f t="shared" si="1"/>
        <v>4</v>
      </c>
      <c r="AL92" s="132">
        <f t="shared" si="2"/>
        <v>3</v>
      </c>
      <c r="AM92" s="133">
        <f t="shared" si="3"/>
        <v>3</v>
      </c>
      <c r="AN92" s="132" t="str">
        <f t="shared" si="7"/>
        <v>3.5</v>
      </c>
      <c r="AO92" s="132">
        <f t="shared" si="5"/>
        <v>3</v>
      </c>
      <c r="AP92" s="88"/>
    </row>
    <row r="93">
      <c r="A93" s="142">
        <v>89.0</v>
      </c>
      <c r="B93" s="483" t="s">
        <v>1717</v>
      </c>
      <c r="C93" s="483" t="s">
        <v>2957</v>
      </c>
      <c r="D93" s="209" t="str">
        <f>VLOOKUP(B93,USN!$1:$1088,2,False)</f>
        <v>1CR23AI092</v>
      </c>
      <c r="E93" s="484">
        <v>7.624966398E9</v>
      </c>
      <c r="F93" s="484" t="s">
        <v>3780</v>
      </c>
      <c r="G93" s="88"/>
      <c r="H93" s="210">
        <v>71.0</v>
      </c>
      <c r="I93" s="211">
        <v>78.0</v>
      </c>
      <c r="J93" s="211">
        <f>VLOOKUP(D93,'L3'!$1:$2060,2,False)</f>
        <v>74</v>
      </c>
      <c r="K93" s="211">
        <f>VLOOKUP(D93,'L4'!$1:$2059,2,False)</f>
        <v>70</v>
      </c>
      <c r="L93" s="212">
        <f>VLOOKUP(D93,'A1 RETEST 5 DEC'!$1:$2096,2,False)</f>
        <v>50</v>
      </c>
      <c r="M93" s="213">
        <f>VLOOKUP(D93,'A2 RETEST 4 DEC'!$1:$2096,2,False)</f>
        <v>50</v>
      </c>
      <c r="N93" s="213">
        <v>50.0</v>
      </c>
      <c r="O93" s="212"/>
      <c r="P93" s="214">
        <f>IFNA(VLOOKUP(D93,'S1'!$1:$1500,2,False),0)</f>
        <v>50</v>
      </c>
      <c r="Q93" s="214">
        <f>vlookup(D93,'S2'!A90:B1292,2,0)</f>
        <v>67</v>
      </c>
      <c r="R93" s="214">
        <f>ifna(vlookup(D93,'S3'!$1:$1311,2,False),0)</f>
        <v>75</v>
      </c>
      <c r="S93" s="214"/>
      <c r="T93" s="215">
        <v>10.0</v>
      </c>
      <c r="U93" s="215">
        <v>23.0</v>
      </c>
      <c r="V93" s="215">
        <v>84.0</v>
      </c>
      <c r="W93" s="215">
        <v>86.0</v>
      </c>
      <c r="X93" s="215">
        <v>70.0</v>
      </c>
      <c r="Y93" s="215"/>
      <c r="Z93" s="217"/>
      <c r="AA93" s="218">
        <v>40.0</v>
      </c>
      <c r="AB93" s="219">
        <v>92.0</v>
      </c>
      <c r="AC93" s="295">
        <v>0.0</v>
      </c>
      <c r="AD93" s="129">
        <v>70.0</v>
      </c>
      <c r="AE93" s="130">
        <v>45.0</v>
      </c>
      <c r="AF93" s="481"/>
      <c r="AG93" s="487">
        <v>95.0</v>
      </c>
      <c r="AH93" s="481"/>
      <c r="AI93" s="88"/>
      <c r="AJ93" s="88"/>
      <c r="AK93" s="132">
        <f t="shared" si="1"/>
        <v>4</v>
      </c>
      <c r="AL93" s="132">
        <f t="shared" si="2"/>
        <v>3</v>
      </c>
      <c r="AM93" s="133">
        <f t="shared" si="3"/>
        <v>3</v>
      </c>
      <c r="AN93" s="132" t="str">
        <f t="shared" si="7"/>
        <v>3</v>
      </c>
      <c r="AO93" s="132">
        <f t="shared" si="5"/>
        <v>3</v>
      </c>
      <c r="AP93" s="88"/>
    </row>
    <row r="94">
      <c r="A94" s="142">
        <v>90.0</v>
      </c>
      <c r="B94" s="483" t="s">
        <v>1695</v>
      </c>
      <c r="C94" s="483" t="s">
        <v>2958</v>
      </c>
      <c r="D94" s="209" t="str">
        <f>VLOOKUP(B94,USN!$1:$1088,2,False)</f>
        <v>1CR23AI093</v>
      </c>
      <c r="E94" s="484">
        <v>8.09200254E9</v>
      </c>
      <c r="F94" s="484" t="s">
        <v>3780</v>
      </c>
      <c r="G94" s="88"/>
      <c r="H94" s="210">
        <v>85.0</v>
      </c>
      <c r="I94" s="211">
        <v>90.0</v>
      </c>
      <c r="J94" s="211">
        <f>VLOOKUP(D94,'L3'!$1:$2060,2,False)</f>
        <v>71</v>
      </c>
      <c r="K94" s="211">
        <f>VLOOKUP(D94,'L4'!$1:$2059,2,False)</f>
        <v>70</v>
      </c>
      <c r="L94" s="212">
        <f>VLOOKUP(D94,'A1 RETEST 5 DEC'!$1:$2096,2,False)</f>
        <v>50</v>
      </c>
      <c r="M94" s="213">
        <f>VLOOKUP(D94,'A2 RETEST 4 DEC'!$1:$2096,2,False)</f>
        <v>50</v>
      </c>
      <c r="N94" s="213">
        <v>59.0</v>
      </c>
      <c r="O94" s="212"/>
      <c r="P94" s="214">
        <f>IFNA(VLOOKUP(D94,'S1'!$1:$1500,2,False),0)</f>
        <v>77</v>
      </c>
      <c r="Q94" s="214">
        <f>vlookup(D94,'S2'!A91:B1293,2,0)</f>
        <v>50</v>
      </c>
      <c r="R94" s="214">
        <f>ifna(vlookup(D94,'S3'!$1:$1311,2,False),0)</f>
        <v>91</v>
      </c>
      <c r="S94" s="214"/>
      <c r="T94" s="215">
        <v>13.0</v>
      </c>
      <c r="U94" s="215" t="s">
        <v>2477</v>
      </c>
      <c r="V94" s="215">
        <v>90.0</v>
      </c>
      <c r="W94" s="215">
        <v>0.0</v>
      </c>
      <c r="X94" s="215">
        <v>74.0</v>
      </c>
      <c r="Y94" s="215"/>
      <c r="Z94" s="217"/>
      <c r="AA94" s="218">
        <v>12.0</v>
      </c>
      <c r="AB94" s="219">
        <v>99.0</v>
      </c>
      <c r="AC94" s="295">
        <v>60.0</v>
      </c>
      <c r="AD94" s="129">
        <v>0.0</v>
      </c>
      <c r="AE94" s="130">
        <v>70.0</v>
      </c>
      <c r="AF94" s="481"/>
      <c r="AG94" s="487">
        <v>70.0</v>
      </c>
      <c r="AH94" s="481"/>
      <c r="AI94" s="88"/>
      <c r="AJ94" s="88"/>
      <c r="AK94" s="132">
        <f t="shared" si="1"/>
        <v>4</v>
      </c>
      <c r="AL94" s="132">
        <f t="shared" si="2"/>
        <v>3</v>
      </c>
      <c r="AM94" s="133">
        <f t="shared" si="3"/>
        <v>2</v>
      </c>
      <c r="AN94" s="132" t="str">
        <f t="shared" si="7"/>
        <v>3.5</v>
      </c>
      <c r="AO94" s="132">
        <f t="shared" si="5"/>
        <v>3</v>
      </c>
      <c r="AP94" s="88"/>
    </row>
    <row r="95">
      <c r="A95" s="142">
        <v>91.0</v>
      </c>
      <c r="B95" s="483" t="s">
        <v>1696</v>
      </c>
      <c r="C95" s="483" t="s">
        <v>2959</v>
      </c>
      <c r="D95" s="209" t="str">
        <f>VLOOKUP(B95,USN!$1:$1088,2,False)</f>
        <v>1CR23AI094</v>
      </c>
      <c r="E95" s="484">
        <v>6.360233413E9</v>
      </c>
      <c r="F95" s="484" t="s">
        <v>3780</v>
      </c>
      <c r="G95" s="88"/>
      <c r="H95" s="210">
        <v>73.0</v>
      </c>
      <c r="I95" s="211">
        <v>76.0</v>
      </c>
      <c r="J95" s="211">
        <f>VLOOKUP(D95,'L3'!$1:$2060,2,False)</f>
        <v>70</v>
      </c>
      <c r="K95" s="211">
        <f>VLOOKUP(D95,'L4'!$1:$2059,2,False)</f>
        <v>70</v>
      </c>
      <c r="L95" s="212">
        <f>VLOOKUP(D95,'A1 RETEST 5 DEC'!$1:$2096,2,False)</f>
        <v>50</v>
      </c>
      <c r="M95" s="213">
        <f>VLOOKUP(D95,'A2 RETEST 4 DEC'!$1:$2096,2,False)</f>
        <v>50</v>
      </c>
      <c r="N95" s="213">
        <v>50.0</v>
      </c>
      <c r="O95" s="212"/>
      <c r="P95" s="214">
        <f>IFNA(VLOOKUP(D95,'S1'!$1:$1500,2,False),0)</f>
        <v>84</v>
      </c>
      <c r="Q95" s="214">
        <f>vlookup(D95,'S2'!A92:B1294,2,0)</f>
        <v>50</v>
      </c>
      <c r="R95" s="214">
        <f>ifna(vlookup(D95,'S3'!$1:$1311,2,False),0)</f>
        <v>0</v>
      </c>
      <c r="S95" s="214"/>
      <c r="T95" s="215">
        <v>12.0</v>
      </c>
      <c r="U95" s="215">
        <v>16.0</v>
      </c>
      <c r="V95" s="215">
        <v>92.0</v>
      </c>
      <c r="W95" s="215">
        <v>88.0</v>
      </c>
      <c r="X95" s="215">
        <v>78.0</v>
      </c>
      <c r="Y95" s="215"/>
      <c r="Z95" s="217"/>
      <c r="AA95" s="218">
        <v>72.0</v>
      </c>
      <c r="AB95" s="219">
        <v>100.0</v>
      </c>
      <c r="AC95" s="295">
        <v>100.0</v>
      </c>
      <c r="AD95" s="129">
        <v>100.0</v>
      </c>
      <c r="AE95" s="130">
        <v>42.0</v>
      </c>
      <c r="AF95" s="481"/>
      <c r="AG95" s="487">
        <v>81.0</v>
      </c>
      <c r="AH95" s="481"/>
      <c r="AI95" s="88"/>
      <c r="AJ95" s="88"/>
      <c r="AK95" s="132">
        <f t="shared" si="1"/>
        <v>4</v>
      </c>
      <c r="AL95" s="132">
        <f t="shared" si="2"/>
        <v>3</v>
      </c>
      <c r="AM95" s="133">
        <f t="shared" si="3"/>
        <v>3</v>
      </c>
      <c r="AN95" s="132" t="str">
        <f t="shared" si="7"/>
        <v>3</v>
      </c>
      <c r="AO95" s="132">
        <f t="shared" si="5"/>
        <v>2</v>
      </c>
      <c r="AP95" s="88"/>
    </row>
    <row r="96">
      <c r="A96" s="142">
        <v>92.0</v>
      </c>
      <c r="B96" s="483" t="s">
        <v>1697</v>
      </c>
      <c r="C96" s="483" t="s">
        <v>2960</v>
      </c>
      <c r="D96" s="209" t="str">
        <f>VLOOKUP(B96,USN!$1:$1088,2,False)</f>
        <v>1CR23AI095</v>
      </c>
      <c r="E96" s="484">
        <v>7.348872248E9</v>
      </c>
      <c r="F96" s="484" t="s">
        <v>3780</v>
      </c>
      <c r="G96" s="88"/>
      <c r="H96" s="210">
        <v>70.0</v>
      </c>
      <c r="I96" s="211">
        <v>71.0</v>
      </c>
      <c r="J96" s="211">
        <f>VLOOKUP(D96,'L3'!$1:$2060,2,False)</f>
        <v>70</v>
      </c>
      <c r="K96" s="211">
        <f>VLOOKUP(D96,'L4'!$1:$2059,2,False)</f>
        <v>70</v>
      </c>
      <c r="L96" s="212">
        <f>VLOOKUP(D96,'A1 RETEST 5 DEC'!$1:$2096,2,False)</f>
        <v>50</v>
      </c>
      <c r="M96" s="213">
        <f>VLOOKUP(D96,'A2 RETEST 4 DEC'!$1:$2096,2,False)</f>
        <v>50</v>
      </c>
      <c r="N96" s="213">
        <v>58.0</v>
      </c>
      <c r="O96" s="212"/>
      <c r="P96" s="214">
        <f>IFNA(VLOOKUP(D96,'S1'!$1:$1500,2,False),0)</f>
        <v>50</v>
      </c>
      <c r="Q96" s="214">
        <f>vlookup(D96,'S2'!A93:B1295,2,0)</f>
        <v>50</v>
      </c>
      <c r="R96" s="214">
        <f>ifna(vlookup(D96,'S3'!$1:$1311,2,False),0)</f>
        <v>50</v>
      </c>
      <c r="S96" s="214"/>
      <c r="T96" s="215">
        <v>13.0</v>
      </c>
      <c r="U96" s="215">
        <v>24.0</v>
      </c>
      <c r="V96" s="215">
        <v>88.0</v>
      </c>
      <c r="W96" s="215">
        <v>86.0</v>
      </c>
      <c r="X96" s="215">
        <v>78.0</v>
      </c>
      <c r="Y96" s="215"/>
      <c r="Z96" s="217"/>
      <c r="AA96" s="218">
        <v>0.0</v>
      </c>
      <c r="AB96" s="219">
        <v>15.0</v>
      </c>
      <c r="AC96" s="295">
        <v>100.0</v>
      </c>
      <c r="AD96" s="129">
        <v>80.0</v>
      </c>
      <c r="AE96" s="130">
        <v>55.0</v>
      </c>
      <c r="AF96" s="481"/>
      <c r="AG96" s="487">
        <v>73.0</v>
      </c>
      <c r="AH96" s="481"/>
      <c r="AI96" s="88"/>
      <c r="AJ96" s="88"/>
      <c r="AK96" s="132">
        <f t="shared" si="1"/>
        <v>4</v>
      </c>
      <c r="AL96" s="132">
        <f t="shared" si="2"/>
        <v>3</v>
      </c>
      <c r="AM96" s="133">
        <f t="shared" si="3"/>
        <v>3</v>
      </c>
      <c r="AN96" s="132" t="str">
        <f t="shared" si="7"/>
        <v>0</v>
      </c>
      <c r="AO96" s="132">
        <f t="shared" si="5"/>
        <v>3</v>
      </c>
      <c r="AP96" s="88"/>
    </row>
    <row r="97">
      <c r="A97" s="142">
        <v>93.0</v>
      </c>
      <c r="B97" s="483" t="s">
        <v>1698</v>
      </c>
      <c r="C97" s="483" t="s">
        <v>2961</v>
      </c>
      <c r="D97" s="209" t="str">
        <f>VLOOKUP(B97,USN!$1:$1088,2,False)</f>
        <v>1CR23AI096</v>
      </c>
      <c r="E97" s="484">
        <v>9.380787323E9</v>
      </c>
      <c r="F97" s="484" t="s">
        <v>3780</v>
      </c>
      <c r="G97" s="88"/>
      <c r="H97" s="210">
        <v>81.0</v>
      </c>
      <c r="I97" s="211">
        <v>90.0</v>
      </c>
      <c r="J97" s="211">
        <f>VLOOKUP(D97,'L3'!$1:$2060,2,False)</f>
        <v>48</v>
      </c>
      <c r="K97" s="211">
        <f>VLOOKUP(D97,'L4'!$1:$2059,2,False)</f>
        <v>70</v>
      </c>
      <c r="L97" s="212">
        <f>VLOOKUP(D97,'A1 RETEST 5 DEC'!$1:$2096,2,False)</f>
        <v>16</v>
      </c>
      <c r="M97" s="213">
        <f>VLOOKUP(D97,'A2 RETEST 4 DEC'!$1:$2096,2,False)</f>
        <v>19</v>
      </c>
      <c r="N97" s="213">
        <v>0.0</v>
      </c>
      <c r="O97" s="212"/>
      <c r="P97" s="214">
        <f>IFNA(VLOOKUP(D97,'S1'!$1:$1500,2,False),0)</f>
        <v>77</v>
      </c>
      <c r="Q97" s="214">
        <f>vlookup(D97,'S2'!A94:B1296,2,0)</f>
        <v>50</v>
      </c>
      <c r="R97" s="214">
        <f>ifna(vlookup(D97,'S3'!$1:$1311,2,False),0)</f>
        <v>0</v>
      </c>
      <c r="S97" s="214"/>
      <c r="T97" s="215">
        <v>10.0</v>
      </c>
      <c r="U97" s="215">
        <v>19.0</v>
      </c>
      <c r="V97" s="215">
        <v>84.0</v>
      </c>
      <c r="W97" s="215">
        <v>88.0</v>
      </c>
      <c r="X97" s="215">
        <v>78.0</v>
      </c>
      <c r="Y97" s="215"/>
      <c r="Z97" s="217"/>
      <c r="AA97" s="218">
        <v>14.0</v>
      </c>
      <c r="AB97" s="219">
        <v>67.0</v>
      </c>
      <c r="AC97" s="295">
        <v>80.0</v>
      </c>
      <c r="AD97" s="129">
        <v>1.0</v>
      </c>
      <c r="AE97" s="130">
        <v>50.0</v>
      </c>
      <c r="AF97" s="481"/>
      <c r="AG97" s="487">
        <v>42.0</v>
      </c>
      <c r="AH97" s="481"/>
      <c r="AI97" s="88"/>
      <c r="AJ97" s="88"/>
      <c r="AK97" s="132">
        <f t="shared" si="1"/>
        <v>2</v>
      </c>
      <c r="AL97" s="132">
        <f t="shared" si="2"/>
        <v>0</v>
      </c>
      <c r="AM97" s="133">
        <f t="shared" si="3"/>
        <v>3</v>
      </c>
      <c r="AN97" s="132" t="str">
        <f t="shared" si="7"/>
        <v>3</v>
      </c>
      <c r="AO97" s="132">
        <f t="shared" si="5"/>
        <v>2</v>
      </c>
      <c r="AP97" s="88"/>
    </row>
    <row r="98">
      <c r="A98" s="142">
        <v>94.0</v>
      </c>
      <c r="B98" s="483" t="s">
        <v>1744</v>
      </c>
      <c r="C98" s="483" t="s">
        <v>2962</v>
      </c>
      <c r="D98" s="209" t="str">
        <f>VLOOKUP(B98,USN!$1:$1088,2,False)</f>
        <v>1CR23AI097</v>
      </c>
      <c r="E98" s="484">
        <v>6.302647025E9</v>
      </c>
      <c r="F98" s="484" t="s">
        <v>3780</v>
      </c>
      <c r="G98" s="88"/>
      <c r="H98" s="210">
        <v>77.0</v>
      </c>
      <c r="I98" s="211">
        <v>88.0</v>
      </c>
      <c r="J98" s="211">
        <f>VLOOKUP(D98,'L3'!$1:$2060,2,False)</f>
        <v>74</v>
      </c>
      <c r="K98" s="211">
        <f>VLOOKUP(D98,'L4'!$1:$2059,2,False)</f>
        <v>70</v>
      </c>
      <c r="L98" s="212">
        <f>VLOOKUP(D98,'A1 RETEST 5 DEC'!$1:$2096,2,False)</f>
        <v>55</v>
      </c>
      <c r="M98" s="213">
        <f>VLOOKUP(D98,'A2 RETEST 4 DEC'!$1:$2096,2,False)</f>
        <v>50</v>
      </c>
      <c r="N98" s="213">
        <v>62.0</v>
      </c>
      <c r="O98" s="212"/>
      <c r="P98" s="214">
        <f>IFNA(VLOOKUP(D98,'S1'!$1:$1500,2,False),0)</f>
        <v>79</v>
      </c>
      <c r="Q98" s="214">
        <f>vlookup(D98,'S2'!A95:B1297,2,0)</f>
        <v>87</v>
      </c>
      <c r="R98" s="214">
        <f>ifna(vlookup(D98,'S3'!$1:$1311,2,False),0)</f>
        <v>94</v>
      </c>
      <c r="S98" s="214"/>
      <c r="T98" s="215">
        <v>14.0</v>
      </c>
      <c r="U98" s="215">
        <v>22.0</v>
      </c>
      <c r="V98" s="215">
        <v>90.0</v>
      </c>
      <c r="W98" s="215">
        <v>86.0</v>
      </c>
      <c r="X98" s="215">
        <v>70.0</v>
      </c>
      <c r="Y98" s="215"/>
      <c r="Z98" s="217"/>
      <c r="AA98" s="218">
        <v>96.0</v>
      </c>
      <c r="AB98" s="219">
        <v>100.0</v>
      </c>
      <c r="AC98" s="295">
        <v>93.0</v>
      </c>
      <c r="AD98" s="129">
        <v>70.0</v>
      </c>
      <c r="AE98" s="130">
        <v>70.0</v>
      </c>
      <c r="AF98" s="481"/>
      <c r="AG98" s="482">
        <v>80.0</v>
      </c>
      <c r="AH98" s="481"/>
      <c r="AI98" s="88"/>
      <c r="AJ98" s="88"/>
      <c r="AK98" s="132">
        <f t="shared" si="1"/>
        <v>4</v>
      </c>
      <c r="AL98" s="132">
        <f t="shared" si="2"/>
        <v>3</v>
      </c>
      <c r="AM98" s="133">
        <f t="shared" si="3"/>
        <v>3</v>
      </c>
      <c r="AN98" s="132" t="str">
        <f t="shared" si="7"/>
        <v>3.5</v>
      </c>
      <c r="AO98" s="132">
        <f t="shared" si="5"/>
        <v>3</v>
      </c>
      <c r="AP98" s="88"/>
    </row>
    <row r="99">
      <c r="A99" s="142">
        <v>95.0</v>
      </c>
      <c r="B99" s="483" t="s">
        <v>1674</v>
      </c>
      <c r="C99" s="496" t="s">
        <v>3789</v>
      </c>
      <c r="D99" s="209" t="str">
        <f>VLOOKUP(B99,USN!$1:$1088,2,False)</f>
        <v>1CR23AI098</v>
      </c>
      <c r="E99" s="497">
        <v>7.273818999E9</v>
      </c>
      <c r="F99" s="234" t="s">
        <v>3780</v>
      </c>
      <c r="G99" s="88"/>
      <c r="H99" s="210">
        <v>68.0</v>
      </c>
      <c r="I99" s="211">
        <v>78.0</v>
      </c>
      <c r="J99" s="211">
        <f>VLOOKUP(D99,'L3'!$1:$2060,2,False)</f>
        <v>70</v>
      </c>
      <c r="K99" s="211">
        <f>VLOOKUP(D99,'L4'!$1:$2059,2,False)</f>
        <v>48</v>
      </c>
      <c r="L99" s="212">
        <f>VLOOKUP(D99,'A1 RETEST 5 DEC'!$1:$2096,2,False)</f>
        <v>50</v>
      </c>
      <c r="M99" s="213">
        <f>VLOOKUP(D99,'A2 RETEST 4 DEC'!$1:$2096,2,False)</f>
        <v>50</v>
      </c>
      <c r="N99" s="213">
        <v>0.0</v>
      </c>
      <c r="O99" s="212"/>
      <c r="P99" s="214">
        <f>IFNA(VLOOKUP(D99,'S1'!$1:$1500,2,False),0)</f>
        <v>50</v>
      </c>
      <c r="Q99" s="214">
        <f>vlookup(D99,'S2'!A96:B1298,2,0)</f>
        <v>53</v>
      </c>
      <c r="R99" s="214">
        <f>ifna(vlookup(D99,'S3'!$1:$1311,2,False),0)</f>
        <v>50</v>
      </c>
      <c r="S99" s="214"/>
      <c r="T99" s="215">
        <v>19.0</v>
      </c>
      <c r="U99" s="215">
        <v>25.0</v>
      </c>
      <c r="V99" s="215">
        <v>94.0</v>
      </c>
      <c r="W99" s="215">
        <v>82.0</v>
      </c>
      <c r="X99" s="215">
        <v>76.0</v>
      </c>
      <c r="Y99" s="215"/>
      <c r="Z99" s="217"/>
      <c r="AA99" s="218">
        <v>50.0</v>
      </c>
      <c r="AB99" s="219">
        <v>96.0</v>
      </c>
      <c r="AC99" s="295">
        <v>20.0</v>
      </c>
      <c r="AD99" s="129">
        <v>80.0</v>
      </c>
      <c r="AE99" s="130">
        <v>10.0</v>
      </c>
      <c r="AF99" s="481"/>
      <c r="AG99" s="487">
        <v>59.0</v>
      </c>
      <c r="AH99" s="481"/>
      <c r="AI99" s="88"/>
      <c r="AJ99" s="88"/>
      <c r="AK99" s="132">
        <f t="shared" si="1"/>
        <v>3</v>
      </c>
      <c r="AL99" s="132">
        <f t="shared" si="2"/>
        <v>2</v>
      </c>
      <c r="AM99" s="133">
        <f t="shared" si="3"/>
        <v>3</v>
      </c>
      <c r="AN99" s="132" t="str">
        <f t="shared" si="7"/>
        <v>3</v>
      </c>
      <c r="AO99" s="132">
        <f t="shared" si="5"/>
        <v>3</v>
      </c>
      <c r="AP99" s="88"/>
    </row>
    <row r="100">
      <c r="A100" s="142">
        <v>96.0</v>
      </c>
      <c r="B100" s="483" t="s">
        <v>1739</v>
      </c>
      <c r="C100" s="483" t="s">
        <v>2964</v>
      </c>
      <c r="D100" s="209" t="str">
        <f>VLOOKUP(B100,USN!$1:$1088,2,False)</f>
        <v>1CR23AI099</v>
      </c>
      <c r="E100" s="484">
        <v>9.38017025E9</v>
      </c>
      <c r="F100" s="484" t="s">
        <v>3780</v>
      </c>
      <c r="G100" s="88"/>
      <c r="H100" s="210">
        <v>74.0</v>
      </c>
      <c r="I100" s="211">
        <v>89.0</v>
      </c>
      <c r="J100" s="211">
        <f>VLOOKUP(D100,'L3'!$1:$2060,2,False)</f>
        <v>70</v>
      </c>
      <c r="K100" s="211">
        <f>VLOOKUP(D100,'L4'!$1:$2059,2,False)</f>
        <v>70</v>
      </c>
      <c r="L100" s="212">
        <f>VLOOKUP(D100,'A1 RETEST 5 DEC'!$1:$2096,2,False)</f>
        <v>50</v>
      </c>
      <c r="M100" s="213">
        <f>VLOOKUP(D100,'A2 RETEST 4 DEC'!$1:$2096,2,False)</f>
        <v>50</v>
      </c>
      <c r="N100" s="213">
        <v>50.0</v>
      </c>
      <c r="O100" s="212"/>
      <c r="P100" s="214">
        <f>IFNA(VLOOKUP(D100,'S1'!$1:$1500,2,False),0)</f>
        <v>84</v>
      </c>
      <c r="Q100" s="214">
        <f>vlookup(D100,'S2'!A97:B1299,2,0)</f>
        <v>53</v>
      </c>
      <c r="R100" s="214">
        <f>ifna(vlookup(D100,'S3'!$1:$1311,2,False),0)</f>
        <v>50</v>
      </c>
      <c r="S100" s="214"/>
      <c r="T100" s="215">
        <v>11.0</v>
      </c>
      <c r="U100" s="215">
        <v>21.0</v>
      </c>
      <c r="V100" s="215">
        <v>94.0</v>
      </c>
      <c r="W100" s="215">
        <v>86.0</v>
      </c>
      <c r="X100" s="215">
        <v>80.0</v>
      </c>
      <c r="Y100" s="215"/>
      <c r="Z100" s="217"/>
      <c r="AA100" s="218">
        <v>38.0</v>
      </c>
      <c r="AB100" s="219">
        <v>67.0</v>
      </c>
      <c r="AC100" s="295">
        <v>100.0</v>
      </c>
      <c r="AD100" s="129">
        <v>100.0</v>
      </c>
      <c r="AE100" s="130">
        <v>80.0</v>
      </c>
      <c r="AF100" s="481"/>
      <c r="AG100" s="488">
        <v>64.0</v>
      </c>
      <c r="AH100" s="481"/>
      <c r="AI100" s="88"/>
      <c r="AJ100" s="88"/>
      <c r="AK100" s="132">
        <f t="shared" si="1"/>
        <v>4</v>
      </c>
      <c r="AL100" s="132">
        <f t="shared" si="2"/>
        <v>3</v>
      </c>
      <c r="AM100" s="133">
        <f t="shared" si="3"/>
        <v>3</v>
      </c>
      <c r="AN100" s="132" t="str">
        <f t="shared" si="7"/>
        <v>3.5</v>
      </c>
      <c r="AO100" s="132">
        <f t="shared" si="5"/>
        <v>3</v>
      </c>
      <c r="AP100" s="88"/>
    </row>
    <row r="101">
      <c r="A101" s="142">
        <v>97.0</v>
      </c>
      <c r="B101" s="483" t="s">
        <v>1660</v>
      </c>
      <c r="C101" s="483" t="s">
        <v>2965</v>
      </c>
      <c r="D101" s="209" t="str">
        <f>VLOOKUP(B101,USN!$1:$1088,2,False)</f>
        <v>1CR23AI100</v>
      </c>
      <c r="E101" s="484">
        <v>8.951965801E9</v>
      </c>
      <c r="F101" s="234" t="s">
        <v>3780</v>
      </c>
      <c r="G101" s="88"/>
      <c r="H101" s="210">
        <v>76.0</v>
      </c>
      <c r="I101" s="211">
        <v>81.0</v>
      </c>
      <c r="J101" s="211">
        <f>VLOOKUP(D101,'L3'!$1:$2060,2,False)</f>
        <v>70</v>
      </c>
      <c r="K101" s="211">
        <f>VLOOKUP(D101,'L4'!$1:$2059,2,False)</f>
        <v>72</v>
      </c>
      <c r="L101" s="212">
        <f>VLOOKUP(D101,'A1 RETEST 5 DEC'!$1:$2096,2,False)</f>
        <v>16</v>
      </c>
      <c r="M101" s="213">
        <f>VLOOKUP(D101,'A2 RETEST 4 DEC'!$1:$2096,2,False)</f>
        <v>26</v>
      </c>
      <c r="N101" s="213">
        <v>13.0</v>
      </c>
      <c r="O101" s="212"/>
      <c r="P101" s="214">
        <f>IFNA(VLOOKUP(D101,'S1'!$1:$1500,2,False),0)</f>
        <v>80</v>
      </c>
      <c r="Q101" s="214">
        <f>vlookup(D101,'S2'!A98:B1300,2,0)</f>
        <v>50</v>
      </c>
      <c r="R101" s="214">
        <f>ifna(vlookup(D101,'S3'!$1:$1311,2,False),0)</f>
        <v>82</v>
      </c>
      <c r="S101" s="214"/>
      <c r="T101" s="215">
        <v>12.0</v>
      </c>
      <c r="U101" s="215">
        <v>23.0</v>
      </c>
      <c r="V101" s="215">
        <v>90.0</v>
      </c>
      <c r="W101" s="215">
        <v>84.0</v>
      </c>
      <c r="X101" s="215">
        <v>76.0</v>
      </c>
      <c r="Y101" s="215"/>
      <c r="Z101" s="217"/>
      <c r="AA101" s="218">
        <v>46.0</v>
      </c>
      <c r="AB101" s="219">
        <v>87.0</v>
      </c>
      <c r="AC101" s="295">
        <v>58.0</v>
      </c>
      <c r="AD101" s="129">
        <v>100.0</v>
      </c>
      <c r="AE101" s="130">
        <v>70.0</v>
      </c>
      <c r="AF101" s="481"/>
      <c r="AG101" s="487">
        <v>73.0</v>
      </c>
      <c r="AH101" s="481"/>
      <c r="AI101" s="88"/>
      <c r="AJ101" s="88"/>
      <c r="AK101" s="132">
        <f t="shared" si="1"/>
        <v>4</v>
      </c>
      <c r="AL101" s="132">
        <f t="shared" si="2"/>
        <v>0</v>
      </c>
      <c r="AM101" s="133">
        <f t="shared" si="3"/>
        <v>3</v>
      </c>
      <c r="AN101" s="132" t="str">
        <f t="shared" si="7"/>
        <v>3.5</v>
      </c>
      <c r="AO101" s="132">
        <f t="shared" si="5"/>
        <v>3</v>
      </c>
      <c r="AP101" s="88"/>
    </row>
    <row r="102">
      <c r="A102" s="142">
        <v>98.0</v>
      </c>
      <c r="B102" s="483" t="s">
        <v>1699</v>
      </c>
      <c r="C102" s="483" t="s">
        <v>2966</v>
      </c>
      <c r="D102" s="209" t="str">
        <f>VLOOKUP(B102,USN!$1:$1088,2,False)</f>
        <v>1CR23AI101</v>
      </c>
      <c r="E102" s="484">
        <v>9.535792085E9</v>
      </c>
      <c r="F102" s="484" t="s">
        <v>3780</v>
      </c>
      <c r="G102" s="88"/>
      <c r="H102" s="243">
        <v>70.0</v>
      </c>
      <c r="I102" s="211">
        <v>86.0</v>
      </c>
      <c r="J102" s="211">
        <f>VLOOKUP(D102,'L3'!$1:$2060,2,False)</f>
        <v>70</v>
      </c>
      <c r="K102" s="211">
        <f>VLOOKUP(D102,'L4'!$1:$2059,2,False)</f>
        <v>70</v>
      </c>
      <c r="L102" s="212">
        <f>VLOOKUP(D102,'A1 RETEST 5 DEC'!$1:$2096,2,False)</f>
        <v>50</v>
      </c>
      <c r="M102" s="213">
        <f>VLOOKUP(D102,'A2 RETEST 4 DEC'!$1:$2096,2,False)</f>
        <v>23</v>
      </c>
      <c r="N102" s="213">
        <v>29.0</v>
      </c>
      <c r="O102" s="212"/>
      <c r="P102" s="214">
        <f>IFNA(VLOOKUP(D102,'S1'!$1:$1500,2,False),0)</f>
        <v>81</v>
      </c>
      <c r="Q102" s="214">
        <f>vlookup(D102,'S2'!A99:B1301,2,0)</f>
        <v>71</v>
      </c>
      <c r="R102" s="214">
        <f>ifna(vlookup(D102,'S3'!$1:$1311,2,False),0)</f>
        <v>76</v>
      </c>
      <c r="S102" s="214"/>
      <c r="T102" s="215">
        <v>17.0</v>
      </c>
      <c r="U102" s="215">
        <v>22.0</v>
      </c>
      <c r="V102" s="215">
        <v>92.0</v>
      </c>
      <c r="W102" s="215">
        <v>78.0</v>
      </c>
      <c r="X102" s="215">
        <v>74.0</v>
      </c>
      <c r="Y102" s="215"/>
      <c r="Z102" s="217"/>
      <c r="AA102" s="218">
        <v>12.0</v>
      </c>
      <c r="AB102" s="219">
        <v>98.0</v>
      </c>
      <c r="AC102" s="295">
        <v>7.0</v>
      </c>
      <c r="AD102" s="129">
        <v>62.0</v>
      </c>
      <c r="AE102" s="130">
        <v>23.0</v>
      </c>
      <c r="AF102" s="481"/>
      <c r="AG102" s="487">
        <v>73.0</v>
      </c>
      <c r="AH102" s="481"/>
      <c r="AI102" s="88"/>
      <c r="AJ102" s="88"/>
      <c r="AK102" s="132">
        <f t="shared" si="1"/>
        <v>4</v>
      </c>
      <c r="AL102" s="132">
        <f t="shared" si="2"/>
        <v>1</v>
      </c>
      <c r="AM102" s="133">
        <f t="shared" si="3"/>
        <v>3</v>
      </c>
      <c r="AN102" s="132" t="str">
        <f t="shared" si="7"/>
        <v>3</v>
      </c>
      <c r="AO102" s="132">
        <f t="shared" si="5"/>
        <v>3</v>
      </c>
      <c r="AP102" s="88"/>
    </row>
    <row r="103">
      <c r="A103" s="142">
        <v>99.0</v>
      </c>
      <c r="B103" s="483" t="s">
        <v>1745</v>
      </c>
      <c r="C103" s="483" t="s">
        <v>3790</v>
      </c>
      <c r="D103" s="209" t="str">
        <f>VLOOKUP(B103,USN!$1:$1088,2,False)</f>
        <v>1CR23AI103</v>
      </c>
      <c r="E103" s="484">
        <v>8.217560381E9</v>
      </c>
      <c r="F103" s="484" t="s">
        <v>3780</v>
      </c>
      <c r="G103" s="88"/>
      <c r="H103" s="210">
        <v>80.0</v>
      </c>
      <c r="I103" s="211">
        <v>83.0</v>
      </c>
      <c r="J103" s="211">
        <f>VLOOKUP(D103,'L3'!$1:$2060,2,False)</f>
        <v>80</v>
      </c>
      <c r="K103" s="211">
        <f>VLOOKUP(D103,'L4'!$1:$2059,2,False)</f>
        <v>70</v>
      </c>
      <c r="L103" s="212">
        <f>VLOOKUP(D103,'A1 RETEST 5 DEC'!$1:$2096,2,False)</f>
        <v>50</v>
      </c>
      <c r="M103" s="213">
        <f>VLOOKUP(D103,'A2 RETEST 4 DEC'!$1:$2096,2,False)</f>
        <v>50</v>
      </c>
      <c r="N103" s="213">
        <v>50.0</v>
      </c>
      <c r="O103" s="212"/>
      <c r="P103" s="214">
        <f>IFNA(VLOOKUP(D103,'S1'!$1:$1500,2,False),0)</f>
        <v>81</v>
      </c>
      <c r="Q103" s="214">
        <f>vlookup(D103,'S2'!A100:B1302,2,0)</f>
        <v>87</v>
      </c>
      <c r="R103" s="214">
        <f>ifna(vlookup(D103,'S3'!$1:$1311,2,False),0)</f>
        <v>94</v>
      </c>
      <c r="S103" s="214"/>
      <c r="T103" s="215">
        <v>12.0</v>
      </c>
      <c r="U103" s="215">
        <v>21.0</v>
      </c>
      <c r="V103" s="215">
        <v>92.0</v>
      </c>
      <c r="W103" s="215">
        <v>86.0</v>
      </c>
      <c r="X103" s="215">
        <v>76.0</v>
      </c>
      <c r="Y103" s="215"/>
      <c r="Z103" s="217"/>
      <c r="AA103" s="218">
        <v>60.0</v>
      </c>
      <c r="AB103" s="219">
        <v>85.0</v>
      </c>
      <c r="AC103" s="295">
        <v>80.0</v>
      </c>
      <c r="AD103" s="129">
        <v>80.0</v>
      </c>
      <c r="AE103" s="130">
        <v>76.0</v>
      </c>
      <c r="AF103" s="481"/>
      <c r="AG103" s="487">
        <v>95.0</v>
      </c>
      <c r="AH103" s="481"/>
      <c r="AI103" s="88"/>
      <c r="AJ103" s="88"/>
      <c r="AK103" s="132">
        <f t="shared" si="1"/>
        <v>4</v>
      </c>
      <c r="AL103" s="132">
        <f t="shared" si="2"/>
        <v>3</v>
      </c>
      <c r="AM103" s="133">
        <f t="shared" si="3"/>
        <v>3</v>
      </c>
      <c r="AN103" s="132" t="str">
        <f t="shared" si="7"/>
        <v>3.5</v>
      </c>
      <c r="AO103" s="132">
        <f t="shared" si="5"/>
        <v>3</v>
      </c>
      <c r="AP103" s="88"/>
    </row>
    <row r="104">
      <c r="A104" s="142">
        <v>100.0</v>
      </c>
      <c r="B104" s="483" t="s">
        <v>62</v>
      </c>
      <c r="C104" s="483" t="s">
        <v>3791</v>
      </c>
      <c r="D104" s="209" t="str">
        <f>VLOOKUP(B104,USN!$1:$1088,2,False)</f>
        <v>1CR23AI104</v>
      </c>
      <c r="E104" s="484">
        <v>6.366268327E9</v>
      </c>
      <c r="F104" s="484" t="s">
        <v>3780</v>
      </c>
      <c r="G104" s="88"/>
      <c r="H104" s="243">
        <v>70.0</v>
      </c>
      <c r="I104" s="211">
        <v>71.0</v>
      </c>
      <c r="J104" s="211">
        <f>VLOOKUP(D104,'L3'!$1:$2060,2,False)</f>
        <v>71</v>
      </c>
      <c r="K104" s="211">
        <f>VLOOKUP(D104,'L4'!$1:$2059,2,False)</f>
        <v>72</v>
      </c>
      <c r="L104" s="212">
        <f>VLOOKUP(D104,'A1 RETEST 5 DEC'!$1:$2096,2,False)</f>
        <v>50</v>
      </c>
      <c r="M104" s="213">
        <f>VLOOKUP(D104,'A2 RETEST 4 DEC'!$1:$2096,2,False)</f>
        <v>50</v>
      </c>
      <c r="N104" s="213">
        <v>50.0</v>
      </c>
      <c r="O104" s="212"/>
      <c r="P104" s="214">
        <f>IFNA(VLOOKUP(D104,'S1'!$1:$1500,2,False),0)</f>
        <v>85</v>
      </c>
      <c r="Q104" s="214">
        <f>vlookup(D104,'S2'!A101:B1303,2,0)</f>
        <v>67</v>
      </c>
      <c r="R104" s="214">
        <f>ifna(vlookup(D104,'S3'!$1:$1311,2,False),0)</f>
        <v>72</v>
      </c>
      <c r="S104" s="214"/>
      <c r="T104" s="215">
        <v>13.0</v>
      </c>
      <c r="U104" s="215">
        <v>23.0</v>
      </c>
      <c r="V104" s="215">
        <v>84.0</v>
      </c>
      <c r="W104" s="215">
        <v>84.0</v>
      </c>
      <c r="X104" s="215">
        <v>72.0</v>
      </c>
      <c r="Y104" s="215"/>
      <c r="Z104" s="217"/>
      <c r="AA104" s="218">
        <v>9.0</v>
      </c>
      <c r="AB104" s="219">
        <v>93.0</v>
      </c>
      <c r="AC104" s="295">
        <v>28.0</v>
      </c>
      <c r="AD104" s="129">
        <v>73.0</v>
      </c>
      <c r="AE104" s="130">
        <v>21.0</v>
      </c>
      <c r="AF104" s="481"/>
      <c r="AG104" s="487">
        <v>78.0</v>
      </c>
      <c r="AH104" s="481"/>
      <c r="AI104" s="88"/>
      <c r="AJ104" s="88"/>
      <c r="AK104" s="132">
        <f t="shared" si="1"/>
        <v>4</v>
      </c>
      <c r="AL104" s="132">
        <f t="shared" si="2"/>
        <v>3</v>
      </c>
      <c r="AM104" s="133">
        <f t="shared" si="3"/>
        <v>3</v>
      </c>
      <c r="AN104" s="132" t="str">
        <f t="shared" si="7"/>
        <v>3</v>
      </c>
      <c r="AO104" s="132">
        <f t="shared" si="5"/>
        <v>3</v>
      </c>
      <c r="AP104" s="88"/>
    </row>
    <row r="105">
      <c r="A105" s="142">
        <v>101.0</v>
      </c>
      <c r="B105" s="483" t="s">
        <v>1700</v>
      </c>
      <c r="C105" s="483" t="s">
        <v>2969</v>
      </c>
      <c r="D105" s="209" t="str">
        <f>VLOOKUP(B105,USN!$1:$1088,2,False)</f>
        <v>1CR23AI105</v>
      </c>
      <c r="E105" s="484">
        <v>8.660600503E9</v>
      </c>
      <c r="F105" s="484" t="s">
        <v>3780</v>
      </c>
      <c r="G105" s="88"/>
      <c r="H105" s="210">
        <v>88.0</v>
      </c>
      <c r="I105" s="211">
        <v>94.0</v>
      </c>
      <c r="J105" s="211">
        <f>VLOOKUP(D105,'L3'!$1:$2060,2,False)</f>
        <v>79</v>
      </c>
      <c r="K105" s="211">
        <f>VLOOKUP(D105,'L4'!$1:$2059,2,False)</f>
        <v>70</v>
      </c>
      <c r="L105" s="212">
        <f>VLOOKUP(D105,'A1 RETEST 5 DEC'!$1:$2096,2,False)</f>
        <v>51</v>
      </c>
      <c r="M105" s="213">
        <f>VLOOKUP(D105,'A2 RETEST 4 DEC'!$1:$2096,2,False)</f>
        <v>60</v>
      </c>
      <c r="N105" s="213">
        <v>65.0</v>
      </c>
      <c r="O105" s="212"/>
      <c r="P105" s="214">
        <f>IFNA(VLOOKUP(D105,'S1'!$1:$1500,2,False),0)</f>
        <v>80</v>
      </c>
      <c r="Q105" s="214">
        <f>vlookup(D105,'S2'!A102:B1304,2,0)</f>
        <v>54</v>
      </c>
      <c r="R105" s="214">
        <f>ifna(vlookup(D105,'S3'!$1:$1311,2,False),0)</f>
        <v>85</v>
      </c>
      <c r="S105" s="214"/>
      <c r="T105" s="215">
        <v>10.0</v>
      </c>
      <c r="U105" s="215" t="s">
        <v>2477</v>
      </c>
      <c r="V105" s="215">
        <v>94.0</v>
      </c>
      <c r="W105" s="215">
        <v>90.0</v>
      </c>
      <c r="X105" s="215">
        <v>76.0</v>
      </c>
      <c r="Y105" s="215"/>
      <c r="Z105" s="217"/>
      <c r="AA105" s="218">
        <v>80.0</v>
      </c>
      <c r="AB105" s="219">
        <v>100.0</v>
      </c>
      <c r="AC105" s="295">
        <v>90.0</v>
      </c>
      <c r="AD105" s="129">
        <v>65.0</v>
      </c>
      <c r="AE105" s="130">
        <v>70.0</v>
      </c>
      <c r="AF105" s="481"/>
      <c r="AG105" s="487">
        <v>99.0</v>
      </c>
      <c r="AH105" s="481"/>
      <c r="AI105" s="88"/>
      <c r="AJ105" s="88"/>
      <c r="AK105" s="132">
        <f t="shared" si="1"/>
        <v>4</v>
      </c>
      <c r="AL105" s="132">
        <f t="shared" si="2"/>
        <v>3</v>
      </c>
      <c r="AM105" s="133">
        <f t="shared" si="3"/>
        <v>3</v>
      </c>
      <c r="AN105" s="132" t="str">
        <f t="shared" si="7"/>
        <v>3.5</v>
      </c>
      <c r="AO105" s="132">
        <f t="shared" si="5"/>
        <v>3</v>
      </c>
      <c r="AP105" s="88"/>
    </row>
    <row r="106">
      <c r="A106" s="142">
        <v>102.0</v>
      </c>
      <c r="B106" s="483" t="s">
        <v>1701</v>
      </c>
      <c r="C106" s="483" t="s">
        <v>2970</v>
      </c>
      <c r="D106" s="209" t="str">
        <f>VLOOKUP(B106,USN!$1:$1088,2,False)</f>
        <v>1CR23AI106</v>
      </c>
      <c r="E106" s="484">
        <v>7.259450707E9</v>
      </c>
      <c r="F106" s="484" t="s">
        <v>3780</v>
      </c>
      <c r="G106" s="88"/>
      <c r="H106" s="210">
        <v>79.0</v>
      </c>
      <c r="I106" s="211">
        <v>79.0</v>
      </c>
      <c r="J106" s="211">
        <f>VLOOKUP(D106,'L3'!$1:$2060,2,False)</f>
        <v>65</v>
      </c>
      <c r="K106" s="211">
        <f>VLOOKUP(D106,'L4'!$1:$2059,2,False)</f>
        <v>70</v>
      </c>
      <c r="L106" s="212">
        <f>VLOOKUP(D106,'A1 RETEST 5 DEC'!$1:$2096,2,False)</f>
        <v>5</v>
      </c>
      <c r="M106" s="213">
        <f>VLOOKUP(D106,'A2 RETEST 4 DEC'!$1:$2096,2,False)</f>
        <v>13</v>
      </c>
      <c r="N106" s="213">
        <v>0.0</v>
      </c>
      <c r="O106" s="212"/>
      <c r="P106" s="214">
        <f>IFNA(VLOOKUP(D106,'S1'!$1:$1500,2,False),0)</f>
        <v>82</v>
      </c>
      <c r="Q106" s="214">
        <f>vlookup(D106,'S2'!A103:B1305,2,0)</f>
        <v>72</v>
      </c>
      <c r="R106" s="214">
        <f>ifna(vlookup(D106,'S3'!$1:$1311,2,False),0)</f>
        <v>0</v>
      </c>
      <c r="S106" s="214"/>
      <c r="T106" s="215">
        <v>17.0</v>
      </c>
      <c r="U106" s="215">
        <v>16.0</v>
      </c>
      <c r="V106" s="215">
        <v>88.0</v>
      </c>
      <c r="W106" s="215">
        <v>88.0</v>
      </c>
      <c r="X106" s="215">
        <v>74.0</v>
      </c>
      <c r="Y106" s="215"/>
      <c r="Z106" s="217"/>
      <c r="AA106" s="218">
        <v>4.0</v>
      </c>
      <c r="AB106" s="219">
        <v>24.0</v>
      </c>
      <c r="AC106" s="295">
        <v>0.0</v>
      </c>
      <c r="AD106" s="129">
        <v>0.0</v>
      </c>
      <c r="AE106" s="130">
        <v>10.0</v>
      </c>
      <c r="AF106" s="481"/>
      <c r="AG106" s="487">
        <v>26.0</v>
      </c>
      <c r="AH106" s="481"/>
      <c r="AI106" s="88"/>
      <c r="AJ106" s="88"/>
      <c r="AK106" s="132">
        <f t="shared" si="1"/>
        <v>2</v>
      </c>
      <c r="AL106" s="132">
        <f t="shared" si="2"/>
        <v>0</v>
      </c>
      <c r="AM106" s="133">
        <f t="shared" si="3"/>
        <v>3</v>
      </c>
      <c r="AN106" s="132" t="str">
        <f t="shared" si="7"/>
        <v>0</v>
      </c>
      <c r="AO106" s="132">
        <f t="shared" si="5"/>
        <v>2</v>
      </c>
      <c r="AP106" s="88"/>
    </row>
    <row r="107">
      <c r="A107" s="142">
        <v>103.0</v>
      </c>
      <c r="B107" s="483" t="s">
        <v>1735</v>
      </c>
      <c r="C107" s="483" t="s">
        <v>2971</v>
      </c>
      <c r="D107" s="209" t="str">
        <f>VLOOKUP(B107,USN!$1:$1088,2,False)</f>
        <v>1CR23AI107</v>
      </c>
      <c r="E107" s="484">
        <v>8.884477321E9</v>
      </c>
      <c r="F107" s="484" t="s">
        <v>3792</v>
      </c>
      <c r="G107" s="88"/>
      <c r="H107" s="210">
        <v>80.0</v>
      </c>
      <c r="I107" s="211">
        <v>90.0</v>
      </c>
      <c r="J107" s="211">
        <f>VLOOKUP(D107,'L3'!$1:$2060,2,False)</f>
        <v>80</v>
      </c>
      <c r="K107" s="211">
        <f>VLOOKUP(D107,'L4'!$1:$2059,2,False)</f>
        <v>70</v>
      </c>
      <c r="L107" s="212">
        <f>VLOOKUP(D107,'A1 RETEST 5 DEC'!$1:$2096,2,False)</f>
        <v>50</v>
      </c>
      <c r="M107" s="213">
        <f>VLOOKUP(D107,'A2 RETEST 4 DEC'!$1:$2096,2,False)</f>
        <v>34</v>
      </c>
      <c r="N107" s="213">
        <v>51.0</v>
      </c>
      <c r="O107" s="212"/>
      <c r="P107" s="214">
        <f>IFNA(VLOOKUP(D107,'S1'!$1:$1500,2,False),0)</f>
        <v>82</v>
      </c>
      <c r="Q107" s="214">
        <f>vlookup(D107,'S2'!A104:B1306,2,0)</f>
        <v>87</v>
      </c>
      <c r="R107" s="214">
        <f>ifna(vlookup(D107,'S3'!$1:$1311,2,False),0)</f>
        <v>50</v>
      </c>
      <c r="S107" s="214"/>
      <c r="T107" s="215">
        <v>14.0</v>
      </c>
      <c r="U107" s="215">
        <v>22.0</v>
      </c>
      <c r="V107" s="215">
        <v>86.0</v>
      </c>
      <c r="W107" s="215">
        <v>84.0</v>
      </c>
      <c r="X107" s="215"/>
      <c r="Y107" s="215"/>
      <c r="Z107" s="217"/>
      <c r="AA107" s="218">
        <v>86.0</v>
      </c>
      <c r="AB107" s="219">
        <v>88.0</v>
      </c>
      <c r="AC107" s="295">
        <v>90.0</v>
      </c>
      <c r="AD107" s="129">
        <v>75.0</v>
      </c>
      <c r="AE107" s="130">
        <v>70.0</v>
      </c>
      <c r="AF107" s="481"/>
      <c r="AG107" s="487">
        <v>74.0</v>
      </c>
      <c r="AH107" s="481"/>
      <c r="AI107" s="88"/>
      <c r="AJ107" s="88"/>
      <c r="AK107" s="132">
        <f t="shared" si="1"/>
        <v>4</v>
      </c>
      <c r="AL107" s="132">
        <f t="shared" si="2"/>
        <v>1</v>
      </c>
      <c r="AM107" s="133">
        <f t="shared" si="3"/>
        <v>3</v>
      </c>
      <c r="AN107" s="132" t="str">
        <f>IF(AB107&gt;=$AB$4, 
    IF(OR(AC107&gt;=$AC$4, AD107&gt;=$AD$4), 
        IF(AND(AE107&gt;=$AE$4, AF107&gt;=$AF$4, OR(#REF!&gt;=$AG$4, AH107&gt;=$AH$4)), "4", 
            IF(OR(AE107&gt;=$AE$4, AF107&gt;=$AF$4), "3.5", 
                "3")), 
        "2"), 
    "0")</f>
        <v>#REF!</v>
      </c>
      <c r="AO107" s="132">
        <f t="shared" si="5"/>
        <v>3</v>
      </c>
      <c r="AP107" s="88"/>
    </row>
    <row r="108">
      <c r="A108" s="142">
        <v>104.0</v>
      </c>
      <c r="B108" s="483" t="s">
        <v>1702</v>
      </c>
      <c r="C108" s="483" t="s">
        <v>3793</v>
      </c>
      <c r="D108" s="209" t="str">
        <f>VLOOKUP(B108,USN!$1:$1088,2,False)</f>
        <v>1CR23AI108</v>
      </c>
      <c r="E108" s="484">
        <v>8.105748589E9</v>
      </c>
      <c r="F108" s="484" t="s">
        <v>3780</v>
      </c>
      <c r="G108" s="88"/>
      <c r="H108" s="243">
        <v>70.0</v>
      </c>
      <c r="I108" s="211">
        <v>76.0</v>
      </c>
      <c r="J108" s="211">
        <f>VLOOKUP(D108,'L3'!$1:$2060,2,False)</f>
        <v>63</v>
      </c>
      <c r="K108" s="211">
        <f>VLOOKUP(D108,'L4'!$1:$2059,2,False)</f>
        <v>70</v>
      </c>
      <c r="L108" s="212">
        <f>VLOOKUP(D108,'A1 RETEST 5 DEC'!$1:$2096,2,False)</f>
        <v>7</v>
      </c>
      <c r="M108" s="213">
        <f>VLOOKUP(D108,'A2 RETEST 4 DEC'!$1:$2096,2,False)</f>
        <v>14</v>
      </c>
      <c r="N108" s="213">
        <v>50.0</v>
      </c>
      <c r="O108" s="212"/>
      <c r="P108" s="214">
        <f>IFNA(VLOOKUP(D108,'S1'!$1:$1500,2,False),0)</f>
        <v>79</v>
      </c>
      <c r="Q108" s="214">
        <f>vlookup(D108,'S2'!A105:B1307,2,0)</f>
        <v>72</v>
      </c>
      <c r="R108" s="214">
        <f>ifna(vlookup(D108,'S3'!$1:$1311,2,False),0)</f>
        <v>0</v>
      </c>
      <c r="S108" s="214"/>
      <c r="T108" s="215">
        <v>11.0</v>
      </c>
      <c r="U108" s="215">
        <v>20.0</v>
      </c>
      <c r="V108" s="215">
        <v>84.0</v>
      </c>
      <c r="W108" s="215">
        <v>90.0</v>
      </c>
      <c r="X108" s="215">
        <v>84.0</v>
      </c>
      <c r="Y108" s="215"/>
      <c r="Z108" s="217"/>
      <c r="AA108" s="218">
        <v>92.0</v>
      </c>
      <c r="AB108" s="219">
        <v>90.0</v>
      </c>
      <c r="AC108" s="295">
        <v>80.0</v>
      </c>
      <c r="AD108" s="129">
        <v>0.0</v>
      </c>
      <c r="AE108" s="130">
        <v>10.0</v>
      </c>
      <c r="AF108" s="481"/>
      <c r="AG108" s="487">
        <v>46.0</v>
      </c>
      <c r="AH108" s="481"/>
      <c r="AI108" s="88"/>
      <c r="AJ108" s="88"/>
      <c r="AK108" s="132">
        <f t="shared" si="1"/>
        <v>2</v>
      </c>
      <c r="AL108" s="132">
        <f t="shared" si="2"/>
        <v>0</v>
      </c>
      <c r="AM108" s="133">
        <f t="shared" si="3"/>
        <v>3</v>
      </c>
      <c r="AN108" s="132" t="str">
        <f t="shared" ref="AN108:AN154" si="8">IF(AB108&gt;=$AB$4, 
    IF(OR(AC108&gt;=$AC$4, AD108&gt;=$AD$4), 
        IF(AND(AE108&gt;=$AE$4, AF108&gt;=$AF$4, OR(AG108&gt;=$AG$4, AH108&gt;=$AH$4)), "4", 
            IF(OR(AE108&gt;=$AE$4, AF108&gt;=$AF$4), "3.5", 
                "3")), 
        "2"), 
    "0")</f>
        <v>3</v>
      </c>
      <c r="AO108" s="132">
        <f t="shared" si="5"/>
        <v>2</v>
      </c>
      <c r="AP108" s="88"/>
    </row>
    <row r="109">
      <c r="A109" s="142">
        <v>105.0</v>
      </c>
      <c r="B109" s="483" t="s">
        <v>1703</v>
      </c>
      <c r="C109" s="483" t="s">
        <v>2973</v>
      </c>
      <c r="D109" s="209" t="str">
        <f>VLOOKUP(B109,USN!$1:$1088,2,False)</f>
        <v>1CR23AI109</v>
      </c>
      <c r="E109" s="484">
        <v>8.095184999E9</v>
      </c>
      <c r="F109" s="484" t="s">
        <v>3780</v>
      </c>
      <c r="G109" s="88"/>
      <c r="H109" s="210">
        <v>65.0</v>
      </c>
      <c r="I109" s="211">
        <v>80.0</v>
      </c>
      <c r="J109" s="211">
        <f>VLOOKUP(D109,'L3'!$1:$2060,2,False)</f>
        <v>70</v>
      </c>
      <c r="K109" s="211">
        <f>VLOOKUP(D109,'L4'!$1:$2059,2,False)</f>
        <v>70</v>
      </c>
      <c r="L109" s="212">
        <f>VLOOKUP(D109,'A1 RETEST 5 DEC'!$1:$2096,2,False)</f>
        <v>10</v>
      </c>
      <c r="M109" s="213">
        <f>VLOOKUP(D109,'A2 RETEST 4 DEC'!$1:$2096,2,False)</f>
        <v>19</v>
      </c>
      <c r="N109" s="213">
        <v>50.0</v>
      </c>
      <c r="O109" s="212"/>
      <c r="P109" s="214">
        <f>IFNA(VLOOKUP(D109,'S1'!$1:$1500,2,False),0)</f>
        <v>50</v>
      </c>
      <c r="Q109" s="214">
        <f>vlookup(D109,'S2'!A106:B1308,2,0)</f>
        <v>50</v>
      </c>
      <c r="R109" s="214">
        <f>ifna(vlookup(D109,'S3'!$1:$1311,2,False),0)</f>
        <v>50</v>
      </c>
      <c r="S109" s="214"/>
      <c r="T109" s="215">
        <v>11.0</v>
      </c>
      <c r="U109" s="215">
        <v>16.0</v>
      </c>
      <c r="V109" s="215">
        <v>90.0</v>
      </c>
      <c r="W109" s="215">
        <v>80.0</v>
      </c>
      <c r="X109" s="215">
        <v>80.0</v>
      </c>
      <c r="Y109" s="215"/>
      <c r="Z109" s="217"/>
      <c r="AA109" s="218">
        <v>12.0</v>
      </c>
      <c r="AB109" s="219">
        <v>95.0</v>
      </c>
      <c r="AC109" s="295">
        <v>57.0</v>
      </c>
      <c r="AD109" s="129">
        <v>93.0</v>
      </c>
      <c r="AE109" s="130">
        <v>55.0</v>
      </c>
      <c r="AF109" s="481"/>
      <c r="AG109" s="487">
        <v>78.0</v>
      </c>
      <c r="AH109" s="481"/>
      <c r="AI109" s="88"/>
      <c r="AJ109" s="88"/>
      <c r="AK109" s="132">
        <f t="shared" si="1"/>
        <v>4</v>
      </c>
      <c r="AL109" s="132">
        <f t="shared" si="2"/>
        <v>0</v>
      </c>
      <c r="AM109" s="133">
        <f t="shared" si="3"/>
        <v>3</v>
      </c>
      <c r="AN109" s="132" t="str">
        <f t="shared" si="8"/>
        <v>3</v>
      </c>
      <c r="AO109" s="132">
        <f t="shared" si="5"/>
        <v>3</v>
      </c>
      <c r="AP109" s="88"/>
    </row>
    <row r="110">
      <c r="A110" s="142">
        <v>106.0</v>
      </c>
      <c r="B110" s="483" t="s">
        <v>1704</v>
      </c>
      <c r="C110" s="483" t="s">
        <v>2974</v>
      </c>
      <c r="D110" s="209" t="str">
        <f>VLOOKUP(B110,USN!$1:$1088,2,False)</f>
        <v>1CR23AI110</v>
      </c>
      <c r="E110" s="484">
        <v>9.66368128E9</v>
      </c>
      <c r="F110" s="484" t="s">
        <v>3780</v>
      </c>
      <c r="G110" s="88"/>
      <c r="H110" s="210">
        <v>78.0</v>
      </c>
      <c r="I110" s="211">
        <v>89.0</v>
      </c>
      <c r="J110" s="211">
        <f>VLOOKUP(D110,'L3'!$1:$2060,2,False)</f>
        <v>57</v>
      </c>
      <c r="K110" s="211">
        <f>VLOOKUP(D110,'L4'!$1:$2059,2,False)</f>
        <v>70</v>
      </c>
      <c r="L110" s="212">
        <f>VLOOKUP(D110,'A1 RETEST 5 DEC'!$1:$2096,2,False)</f>
        <v>14</v>
      </c>
      <c r="M110" s="213">
        <f>VLOOKUP(D110,'A2 RETEST 4 DEC'!$1:$2096,2,False)</f>
        <v>16</v>
      </c>
      <c r="N110" s="213">
        <v>50.0</v>
      </c>
      <c r="O110" s="212"/>
      <c r="P110" s="214">
        <f>IFNA(VLOOKUP(D110,'S1'!$1:$1500,2,False),0)</f>
        <v>80</v>
      </c>
      <c r="Q110" s="214">
        <f>vlookup(D110,'S2'!A107:B1309,2,0)</f>
        <v>54</v>
      </c>
      <c r="R110" s="214">
        <f>ifna(vlookup(D110,'S3'!$1:$1311,2,False),0)</f>
        <v>72</v>
      </c>
      <c r="S110" s="214"/>
      <c r="T110" s="215">
        <v>16.0</v>
      </c>
      <c r="U110" s="215">
        <v>24.0</v>
      </c>
      <c r="V110" s="215">
        <v>94.0</v>
      </c>
      <c r="W110" s="215">
        <v>86.0</v>
      </c>
      <c r="X110" s="215">
        <v>72.0</v>
      </c>
      <c r="Y110" s="215"/>
      <c r="Z110" s="217"/>
      <c r="AA110" s="218">
        <v>0.0</v>
      </c>
      <c r="AB110" s="219">
        <v>91.0</v>
      </c>
      <c r="AC110" s="295">
        <v>10.0</v>
      </c>
      <c r="AD110" s="129">
        <v>2.0</v>
      </c>
      <c r="AE110" s="130">
        <v>19.0</v>
      </c>
      <c r="AF110" s="481"/>
      <c r="AG110" s="482">
        <v>82.0</v>
      </c>
      <c r="AH110" s="481"/>
      <c r="AI110" s="88"/>
      <c r="AJ110" s="88"/>
      <c r="AK110" s="132">
        <f t="shared" si="1"/>
        <v>2</v>
      </c>
      <c r="AL110" s="132">
        <f t="shared" si="2"/>
        <v>0</v>
      </c>
      <c r="AM110" s="133">
        <f t="shared" si="3"/>
        <v>3</v>
      </c>
      <c r="AN110" s="132" t="str">
        <f t="shared" si="8"/>
        <v>2</v>
      </c>
      <c r="AO110" s="132">
        <f t="shared" si="5"/>
        <v>3</v>
      </c>
      <c r="AP110" s="88"/>
    </row>
    <row r="111">
      <c r="A111" s="142">
        <v>107.0</v>
      </c>
      <c r="B111" s="483" t="s">
        <v>1705</v>
      </c>
      <c r="C111" s="483" t="s">
        <v>2975</v>
      </c>
      <c r="D111" s="209" t="str">
        <f>VLOOKUP(B111,USN!$1:$1088,2,False)</f>
        <v>1CR23AI111</v>
      </c>
      <c r="E111" s="484">
        <v>9.065823581E9</v>
      </c>
      <c r="F111" s="484" t="s">
        <v>3780</v>
      </c>
      <c r="G111" s="88"/>
      <c r="H111" s="210">
        <v>79.0</v>
      </c>
      <c r="I111" s="211">
        <v>91.0</v>
      </c>
      <c r="J111" s="211">
        <f>VLOOKUP(D111,'L3'!$1:$2060,2,False)</f>
        <v>70</v>
      </c>
      <c r="K111" s="211">
        <f>VLOOKUP(D111,'L4'!$1:$2059,2,False)</f>
        <v>70</v>
      </c>
      <c r="L111" s="212">
        <f>VLOOKUP(D111,'A1 RETEST 5 DEC'!$1:$2096,2,False)</f>
        <v>29</v>
      </c>
      <c r="M111" s="213">
        <f>VLOOKUP(D111,'A2 RETEST 4 DEC'!$1:$2096,2,False)</f>
        <v>50</v>
      </c>
      <c r="N111" s="213">
        <v>50.0</v>
      </c>
      <c r="O111" s="212"/>
      <c r="P111" s="214">
        <f>IFNA(VLOOKUP(D111,'S1'!$1:$1500,2,False),0)</f>
        <v>82</v>
      </c>
      <c r="Q111" s="214">
        <f>vlookup(D111,'S2'!A108:B1310,2,0)</f>
        <v>71</v>
      </c>
      <c r="R111" s="214">
        <f>ifna(vlookup(D111,'S3'!$1:$1311,2,False),0)</f>
        <v>75</v>
      </c>
      <c r="S111" s="214"/>
      <c r="T111" s="215">
        <v>12.0</v>
      </c>
      <c r="U111" s="215">
        <v>20.0</v>
      </c>
      <c r="V111" s="215">
        <v>88.0</v>
      </c>
      <c r="W111" s="215">
        <v>88.0</v>
      </c>
      <c r="X111" s="215">
        <v>76.0</v>
      </c>
      <c r="Y111" s="215"/>
      <c r="Z111" s="217"/>
      <c r="AA111" s="218">
        <v>0.0</v>
      </c>
      <c r="AB111" s="219">
        <v>100.0</v>
      </c>
      <c r="AC111" s="295">
        <v>20.0</v>
      </c>
      <c r="AD111" s="129">
        <v>7.0</v>
      </c>
      <c r="AE111" s="130">
        <v>60.0</v>
      </c>
      <c r="AF111" s="481"/>
      <c r="AG111" s="487">
        <v>52.0</v>
      </c>
      <c r="AH111" s="481"/>
      <c r="AI111" s="88"/>
      <c r="AJ111" s="88"/>
      <c r="AK111" s="132">
        <f t="shared" si="1"/>
        <v>4</v>
      </c>
      <c r="AL111" s="132">
        <f t="shared" si="2"/>
        <v>0</v>
      </c>
      <c r="AM111" s="133">
        <f t="shared" si="3"/>
        <v>3</v>
      </c>
      <c r="AN111" s="132" t="str">
        <f t="shared" si="8"/>
        <v>2</v>
      </c>
      <c r="AO111" s="132">
        <f t="shared" si="5"/>
        <v>3</v>
      </c>
      <c r="AP111" s="88"/>
    </row>
    <row r="112">
      <c r="A112" s="142">
        <v>108.0</v>
      </c>
      <c r="B112" s="483" t="s">
        <v>1718</v>
      </c>
      <c r="C112" s="483" t="s">
        <v>2976</v>
      </c>
      <c r="D112" s="209" t="str">
        <f>VLOOKUP(B112,USN!$1:$1088,2,False)</f>
        <v>1CR23AI112</v>
      </c>
      <c r="E112" s="484">
        <v>9.10856152E9</v>
      </c>
      <c r="F112" s="484" t="s">
        <v>3780</v>
      </c>
      <c r="G112" s="88"/>
      <c r="H112" s="210">
        <v>75.0</v>
      </c>
      <c r="I112" s="211">
        <v>84.0</v>
      </c>
      <c r="J112" s="211">
        <f>VLOOKUP(D112,'L3'!$1:$2060,2,False)</f>
        <v>77</v>
      </c>
      <c r="K112" s="211">
        <f>VLOOKUP(D112,'L4'!$1:$2059,2,False)</f>
        <v>70</v>
      </c>
      <c r="L112" s="212">
        <f>VLOOKUP(D112,'A1 RETEST 5 DEC'!$1:$2096,2,False)</f>
        <v>50</v>
      </c>
      <c r="M112" s="213">
        <f>VLOOKUP(D112,'A2 RETEST 4 DEC'!$1:$2096,2,False)</f>
        <v>50</v>
      </c>
      <c r="N112" s="213">
        <v>53.0</v>
      </c>
      <c r="O112" s="212"/>
      <c r="P112" s="214">
        <f>IFNA(VLOOKUP(D112,'S1'!$1:$1500,2,False),0)</f>
        <v>79</v>
      </c>
      <c r="Q112" s="214">
        <f>vlookup(D112,'S2'!A109:B1311,2,0)</f>
        <v>71</v>
      </c>
      <c r="R112" s="214">
        <f>ifna(vlookup(D112,'S3'!$1:$1311,2,False),0)</f>
        <v>77</v>
      </c>
      <c r="S112" s="214"/>
      <c r="T112" s="215">
        <v>13.0</v>
      </c>
      <c r="U112" s="215">
        <v>10.0</v>
      </c>
      <c r="V112" s="215">
        <v>68.0</v>
      </c>
      <c r="W112" s="215">
        <v>84.0</v>
      </c>
      <c r="X112" s="215">
        <v>72.0</v>
      </c>
      <c r="Y112" s="215"/>
      <c r="Z112" s="217"/>
      <c r="AA112" s="218">
        <v>80.0</v>
      </c>
      <c r="AB112" s="219">
        <v>100.0</v>
      </c>
      <c r="AC112" s="295">
        <v>90.0</v>
      </c>
      <c r="AD112" s="129">
        <v>70.0</v>
      </c>
      <c r="AE112" s="130">
        <v>70.0</v>
      </c>
      <c r="AF112" s="481"/>
      <c r="AG112" s="482">
        <v>95.0</v>
      </c>
      <c r="AH112" s="481"/>
      <c r="AI112" s="88"/>
      <c r="AJ112" s="88"/>
      <c r="AK112" s="132">
        <f t="shared" si="1"/>
        <v>4</v>
      </c>
      <c r="AL112" s="132">
        <f t="shared" si="2"/>
        <v>3</v>
      </c>
      <c r="AM112" s="133">
        <f t="shared" si="3"/>
        <v>3</v>
      </c>
      <c r="AN112" s="132" t="str">
        <f t="shared" si="8"/>
        <v>3.5</v>
      </c>
      <c r="AO112" s="132">
        <f t="shared" si="5"/>
        <v>3</v>
      </c>
      <c r="AP112" s="88"/>
    </row>
    <row r="113">
      <c r="A113" s="142">
        <v>109.0</v>
      </c>
      <c r="B113" s="483" t="s">
        <v>1706</v>
      </c>
      <c r="C113" s="483" t="s">
        <v>2977</v>
      </c>
      <c r="D113" s="209" t="str">
        <f>VLOOKUP(B113,USN!$1:$1088,2,False)</f>
        <v>1CR23AI113</v>
      </c>
      <c r="E113" s="484">
        <v>7.635023448E9</v>
      </c>
      <c r="F113" s="484" t="s">
        <v>3780</v>
      </c>
      <c r="G113" s="88"/>
      <c r="H113" s="210">
        <v>77.0</v>
      </c>
      <c r="I113" s="211">
        <v>90.0</v>
      </c>
      <c r="J113" s="211">
        <f>VLOOKUP(D113,'L3'!$1:$2060,2,False)</f>
        <v>70</v>
      </c>
      <c r="K113" s="211">
        <f>VLOOKUP(D113,'L4'!$1:$2059,2,False)</f>
        <v>70</v>
      </c>
      <c r="L113" s="212">
        <f>VLOOKUP(D113,'A1 RETEST 5 DEC'!$1:$2096,2,False)</f>
        <v>50</v>
      </c>
      <c r="M113" s="213">
        <f>VLOOKUP(D113,'A2 RETEST 4 DEC'!$1:$2096,2,False)</f>
        <v>29</v>
      </c>
      <c r="N113" s="213">
        <v>50.0</v>
      </c>
      <c r="O113" s="212"/>
      <c r="P113" s="214">
        <f>IFNA(VLOOKUP(D113,'S1'!$1:$1500,2,False),0)</f>
        <v>75</v>
      </c>
      <c r="Q113" s="214">
        <f>vlookup(D113,'S2'!A110:B1312,2,0)</f>
        <v>71</v>
      </c>
      <c r="R113" s="214">
        <f>ifna(vlookup(D113,'S3'!$1:$1311,2,False),0)</f>
        <v>38</v>
      </c>
      <c r="S113" s="214"/>
      <c r="T113" s="215">
        <v>14.0</v>
      </c>
      <c r="U113" s="215">
        <v>20.0</v>
      </c>
      <c r="V113" s="215">
        <v>0.0</v>
      </c>
      <c r="W113" s="215">
        <v>86.0</v>
      </c>
      <c r="X113" s="215">
        <v>62.0</v>
      </c>
      <c r="Y113" s="215"/>
      <c r="Z113" s="217"/>
      <c r="AA113" s="218">
        <v>10.0</v>
      </c>
      <c r="AB113" s="219">
        <v>97.0</v>
      </c>
      <c r="AC113" s="295">
        <v>60.0</v>
      </c>
      <c r="AD113" s="129">
        <v>62.0</v>
      </c>
      <c r="AE113" s="130">
        <v>50.0</v>
      </c>
      <c r="AF113" s="481"/>
      <c r="AG113" s="487">
        <v>87.0</v>
      </c>
      <c r="AH113" s="481"/>
      <c r="AI113" s="88"/>
      <c r="AJ113" s="88"/>
      <c r="AK113" s="132">
        <f t="shared" si="1"/>
        <v>4</v>
      </c>
      <c r="AL113" s="132">
        <f t="shared" si="2"/>
        <v>1</v>
      </c>
      <c r="AM113" s="133">
        <f t="shared" si="3"/>
        <v>3</v>
      </c>
      <c r="AN113" s="132" t="str">
        <f t="shared" si="8"/>
        <v>3</v>
      </c>
      <c r="AO113" s="132">
        <f t="shared" si="5"/>
        <v>2</v>
      </c>
      <c r="AP113" s="88"/>
    </row>
    <row r="114">
      <c r="A114" s="142">
        <v>110.0</v>
      </c>
      <c r="B114" s="483" t="s">
        <v>1707</v>
      </c>
      <c r="C114" s="483" t="s">
        <v>2978</v>
      </c>
      <c r="D114" s="209" t="str">
        <f>VLOOKUP(B114,USN!$1:$1088,2,False)</f>
        <v>1CR23AI114</v>
      </c>
      <c r="E114" s="484">
        <v>7.411442609E9</v>
      </c>
      <c r="F114" s="484" t="s">
        <v>3780</v>
      </c>
      <c r="G114" s="88"/>
      <c r="H114" s="210">
        <v>71.0</v>
      </c>
      <c r="I114" s="211">
        <v>81.0</v>
      </c>
      <c r="J114" s="211">
        <f>VLOOKUP(D114,'L3'!$1:$2060,2,False)</f>
        <v>70</v>
      </c>
      <c r="K114" s="211">
        <f>VLOOKUP(D114,'L4'!$1:$2059,2,False)</f>
        <v>70</v>
      </c>
      <c r="L114" s="212">
        <f>VLOOKUP(D114,'A1 RETEST 5 DEC'!$1:$2096,2,False)</f>
        <v>50</v>
      </c>
      <c r="M114" s="213">
        <f>VLOOKUP(D114,'A2 RETEST 4 DEC'!$1:$2096,2,False)</f>
        <v>12</v>
      </c>
      <c r="N114" s="213">
        <v>50.0</v>
      </c>
      <c r="O114" s="212"/>
      <c r="P114" s="214">
        <f>IFNA(VLOOKUP(D114,'S1'!$1:$1500,2,False),0)</f>
        <v>82</v>
      </c>
      <c r="Q114" s="214">
        <f>vlookup(D114,'S2'!A111:B1313,2,0)</f>
        <v>72</v>
      </c>
      <c r="R114" s="214">
        <f>ifna(vlookup(D114,'S3'!$1:$1311,2,False),0)</f>
        <v>74</v>
      </c>
      <c r="S114" s="214"/>
      <c r="T114" s="215">
        <v>11.0</v>
      </c>
      <c r="U114" s="215">
        <v>22.0</v>
      </c>
      <c r="V114" s="215">
        <v>74.0</v>
      </c>
      <c r="W114" s="215">
        <v>78.0</v>
      </c>
      <c r="X114" s="215">
        <v>74.0</v>
      </c>
      <c r="Y114" s="215"/>
      <c r="Z114" s="217"/>
      <c r="AA114" s="218">
        <v>61.0</v>
      </c>
      <c r="AB114" s="219">
        <v>72.0</v>
      </c>
      <c r="AC114" s="295">
        <v>0.0</v>
      </c>
      <c r="AD114" s="129">
        <v>94.0</v>
      </c>
      <c r="AE114" s="129">
        <v>70.0</v>
      </c>
      <c r="AF114" s="481"/>
      <c r="AG114" s="295">
        <v>55.0</v>
      </c>
      <c r="AH114" s="481"/>
      <c r="AI114" s="88"/>
      <c r="AJ114" s="88"/>
      <c r="AK114" s="132">
        <f t="shared" si="1"/>
        <v>4</v>
      </c>
      <c r="AL114" s="132">
        <f t="shared" si="2"/>
        <v>1</v>
      </c>
      <c r="AM114" s="133">
        <f t="shared" si="3"/>
        <v>3</v>
      </c>
      <c r="AN114" s="132" t="str">
        <f t="shared" si="8"/>
        <v>3.5</v>
      </c>
      <c r="AO114" s="132">
        <f t="shared" si="5"/>
        <v>3</v>
      </c>
      <c r="AP114" s="88"/>
    </row>
    <row r="115">
      <c r="A115" s="142">
        <v>111.0</v>
      </c>
      <c r="B115" s="496" t="s">
        <v>1669</v>
      </c>
      <c r="C115" s="483" t="s">
        <v>3794</v>
      </c>
      <c r="D115" s="209" t="str">
        <f>VLOOKUP(B115,USN!$1:$1088,2,False)</f>
        <v>1CR23AI115</v>
      </c>
      <c r="E115" s="497">
        <v>8.147811129E9</v>
      </c>
      <c r="F115" s="234" t="s">
        <v>3780</v>
      </c>
      <c r="G115" s="88"/>
      <c r="H115" s="210">
        <v>71.0</v>
      </c>
      <c r="I115" s="211">
        <v>83.0</v>
      </c>
      <c r="J115" s="211">
        <f>VLOOKUP(D115,'L3'!$1:$2060,2,False)</f>
        <v>70</v>
      </c>
      <c r="K115" s="211">
        <f>VLOOKUP(D115,'L4'!$1:$2059,2,False)</f>
        <v>74</v>
      </c>
      <c r="L115" s="212">
        <f>VLOOKUP(D115,'A1 RETEST 5 DEC'!$1:$2096,2,False)</f>
        <v>50</v>
      </c>
      <c r="M115" s="213">
        <f>VLOOKUP(D115,'A2 RETEST 4 DEC'!$1:$2096,2,False)</f>
        <v>35</v>
      </c>
      <c r="N115" s="213">
        <v>50.0</v>
      </c>
      <c r="O115" s="212"/>
      <c r="P115" s="214">
        <f>IFNA(VLOOKUP(D115,'S1'!$1:$1500,2,False),0)</f>
        <v>75</v>
      </c>
      <c r="Q115" s="214">
        <f>vlookup(D115,'S2'!A112:B1314,2,0)</f>
        <v>53</v>
      </c>
      <c r="R115" s="214">
        <f>ifna(vlookup(D115,'S3'!$1:$1311,2,False),0)</f>
        <v>90</v>
      </c>
      <c r="S115" s="214"/>
      <c r="T115" s="215">
        <v>11.0</v>
      </c>
      <c r="U115" s="215">
        <v>25.0</v>
      </c>
      <c r="V115" s="215">
        <v>88.0</v>
      </c>
      <c r="W115" s="215">
        <v>90.0</v>
      </c>
      <c r="X115" s="215">
        <v>68.0</v>
      </c>
      <c r="Y115" s="215"/>
      <c r="Z115" s="217"/>
      <c r="AA115" s="218">
        <v>78.0</v>
      </c>
      <c r="AB115" s="219">
        <v>100.0</v>
      </c>
      <c r="AC115" s="295">
        <v>60.0</v>
      </c>
      <c r="AD115" s="129">
        <v>100.0</v>
      </c>
      <c r="AE115" s="130">
        <v>70.0</v>
      </c>
      <c r="AF115" s="481"/>
      <c r="AG115" s="482">
        <v>82.0</v>
      </c>
      <c r="AH115" s="481"/>
      <c r="AI115" s="88"/>
      <c r="AJ115" s="88"/>
      <c r="AK115" s="132">
        <f t="shared" si="1"/>
        <v>4</v>
      </c>
      <c r="AL115" s="132">
        <f t="shared" si="2"/>
        <v>1</v>
      </c>
      <c r="AM115" s="133">
        <f t="shared" si="3"/>
        <v>3</v>
      </c>
      <c r="AN115" s="132" t="str">
        <f t="shared" si="8"/>
        <v>3.5</v>
      </c>
      <c r="AO115" s="132">
        <f t="shared" si="5"/>
        <v>3</v>
      </c>
      <c r="AP115" s="88"/>
    </row>
    <row r="116">
      <c r="A116" s="142">
        <v>112.0</v>
      </c>
      <c r="B116" s="483" t="s">
        <v>1679</v>
      </c>
      <c r="C116" s="483" t="s">
        <v>2980</v>
      </c>
      <c r="D116" s="209" t="str">
        <f>VLOOKUP(B116,USN!$1:$1088,2,False)</f>
        <v>1CR23AI117</v>
      </c>
      <c r="E116" s="484">
        <v>8.431270997E9</v>
      </c>
      <c r="F116" s="234" t="s">
        <v>3780</v>
      </c>
      <c r="G116" s="88"/>
      <c r="H116" s="243">
        <v>70.0</v>
      </c>
      <c r="I116" s="211">
        <v>70.0</v>
      </c>
      <c r="J116" s="211">
        <f>VLOOKUP(D116,'L3'!$1:$2060,2,False)</f>
        <v>71</v>
      </c>
      <c r="K116" s="211">
        <f>VLOOKUP(D116,'L4'!$1:$2059,2,False)</f>
        <v>70</v>
      </c>
      <c r="L116" s="212">
        <f>VLOOKUP(D116,'A1 RETEST 5 DEC'!$1:$2096,2,False)</f>
        <v>50</v>
      </c>
      <c r="M116" s="213">
        <f>VLOOKUP(D116,'A2 RETEST 4 DEC'!$1:$2096,2,False)</f>
        <v>29</v>
      </c>
      <c r="N116" s="213">
        <v>50.0</v>
      </c>
      <c r="O116" s="212"/>
      <c r="P116" s="214">
        <f>IFNA(VLOOKUP(D116,'S1'!$1:$1500,2,False),0)</f>
        <v>70</v>
      </c>
      <c r="Q116" s="214">
        <f>vlookup(D116,'S2'!A113:B1315,2,0)</f>
        <v>73</v>
      </c>
      <c r="R116" s="214">
        <f>ifna(vlookup(D116,'S3'!$1:$1311,2,False),0)</f>
        <v>78</v>
      </c>
      <c r="S116" s="214"/>
      <c r="T116" s="215">
        <v>13.0</v>
      </c>
      <c r="U116" s="215">
        <v>15.0</v>
      </c>
      <c r="V116" s="215">
        <v>84.0</v>
      </c>
      <c r="W116" s="215">
        <v>90.0</v>
      </c>
      <c r="X116" s="215">
        <v>78.0</v>
      </c>
      <c r="Y116" s="215"/>
      <c r="Z116" s="217"/>
      <c r="AA116" s="218">
        <v>48.0</v>
      </c>
      <c r="AB116" s="219">
        <v>69.0</v>
      </c>
      <c r="AC116" s="295">
        <v>80.0</v>
      </c>
      <c r="AD116" s="129">
        <v>90.0</v>
      </c>
      <c r="AE116" s="130">
        <v>70.0</v>
      </c>
      <c r="AF116" s="481"/>
      <c r="AG116" s="295">
        <v>71.0</v>
      </c>
      <c r="AH116" s="481"/>
      <c r="AI116" s="88"/>
      <c r="AJ116" s="88"/>
      <c r="AK116" s="132">
        <f t="shared" si="1"/>
        <v>4</v>
      </c>
      <c r="AL116" s="132">
        <f t="shared" si="2"/>
        <v>1</v>
      </c>
      <c r="AM116" s="133">
        <f t="shared" si="3"/>
        <v>3</v>
      </c>
      <c r="AN116" s="132" t="str">
        <f t="shared" si="8"/>
        <v>3.5</v>
      </c>
      <c r="AO116" s="132">
        <f t="shared" si="5"/>
        <v>3</v>
      </c>
      <c r="AP116" s="88"/>
    </row>
    <row r="117">
      <c r="A117" s="142">
        <v>113.0</v>
      </c>
      <c r="B117" s="483" t="s">
        <v>1729</v>
      </c>
      <c r="C117" s="483" t="s">
        <v>2981</v>
      </c>
      <c r="D117" s="209" t="str">
        <f>VLOOKUP(B117,USN!$1:$1088,2,False)</f>
        <v>1CR23AI118</v>
      </c>
      <c r="E117" s="484">
        <v>9.305893112E9</v>
      </c>
      <c r="F117" s="484" t="s">
        <v>3780</v>
      </c>
      <c r="G117" s="88"/>
      <c r="H117" s="210">
        <v>79.0</v>
      </c>
      <c r="I117" s="211">
        <v>83.0</v>
      </c>
      <c r="J117" s="211">
        <f>VLOOKUP(D117,'L3'!$1:$2060,2,False)</f>
        <v>70</v>
      </c>
      <c r="K117" s="211">
        <f>VLOOKUP(D117,'L4'!$1:$2059,2,False)</f>
        <v>70</v>
      </c>
      <c r="L117" s="212">
        <f>VLOOKUP(D117,'A1 RETEST 5 DEC'!$1:$2096,2,False)</f>
        <v>4</v>
      </c>
      <c r="M117" s="213">
        <f>VLOOKUP(D117,'A2 RETEST 4 DEC'!$1:$2096,2,False)</f>
        <v>14</v>
      </c>
      <c r="N117" s="213">
        <v>14.0</v>
      </c>
      <c r="O117" s="212"/>
      <c r="P117" s="214">
        <f>IFNA(VLOOKUP(D117,'S1'!$1:$1500,2,False),0)</f>
        <v>82</v>
      </c>
      <c r="Q117" s="214">
        <f>vlookup(D117,'S2'!A114:B1316,2,0)</f>
        <v>54</v>
      </c>
      <c r="R117" s="214">
        <f>ifna(vlookup(D117,'S3'!$1:$1311,2,False),0)</f>
        <v>89</v>
      </c>
      <c r="S117" s="214"/>
      <c r="T117" s="215">
        <v>13.0</v>
      </c>
      <c r="U117" s="215">
        <v>22.0</v>
      </c>
      <c r="V117" s="215">
        <v>88.0</v>
      </c>
      <c r="W117" s="215">
        <v>32.0</v>
      </c>
      <c r="X117" s="215">
        <v>68.0</v>
      </c>
      <c r="Y117" s="215"/>
      <c r="Z117" s="217"/>
      <c r="AA117" s="218">
        <v>2.0</v>
      </c>
      <c r="AB117" s="219">
        <v>21.0</v>
      </c>
      <c r="AC117" s="295">
        <v>0.0</v>
      </c>
      <c r="AD117" s="129">
        <v>0.0</v>
      </c>
      <c r="AE117" s="130">
        <v>15.0</v>
      </c>
      <c r="AF117" s="481"/>
      <c r="AG117" s="295">
        <v>75.0</v>
      </c>
      <c r="AH117" s="481"/>
      <c r="AI117" s="88"/>
      <c r="AJ117" s="88"/>
      <c r="AK117" s="132">
        <f t="shared" si="1"/>
        <v>4</v>
      </c>
      <c r="AL117" s="132">
        <f t="shared" si="2"/>
        <v>0</v>
      </c>
      <c r="AM117" s="133">
        <f t="shared" si="3"/>
        <v>3</v>
      </c>
      <c r="AN117" s="132" t="str">
        <f t="shared" si="8"/>
        <v>0</v>
      </c>
      <c r="AO117" s="132">
        <f t="shared" si="5"/>
        <v>3</v>
      </c>
      <c r="AP117" s="88"/>
    </row>
    <row r="118">
      <c r="A118" s="142">
        <v>114.0</v>
      </c>
      <c r="B118" s="483" t="s">
        <v>1708</v>
      </c>
      <c r="C118" s="483" t="s">
        <v>2982</v>
      </c>
      <c r="D118" s="209" t="str">
        <f>VLOOKUP(B118,USN!$1:$1088,2,False)</f>
        <v>1CR23AI119</v>
      </c>
      <c r="E118" s="484">
        <v>9.006360448E9</v>
      </c>
      <c r="F118" s="484" t="s">
        <v>3780</v>
      </c>
      <c r="G118" s="88"/>
      <c r="H118" s="210">
        <v>85.0</v>
      </c>
      <c r="I118" s="211">
        <v>86.0</v>
      </c>
      <c r="J118" s="211">
        <f>VLOOKUP(D118,'L3'!$1:$2060,2,False)</f>
        <v>70</v>
      </c>
      <c r="K118" s="211">
        <f>VLOOKUP(D118,'L4'!$1:$2059,2,False)</f>
        <v>70</v>
      </c>
      <c r="L118" s="212">
        <f>VLOOKUP(D118,'A1 RETEST 5 DEC'!$1:$2096,2,False)</f>
        <v>75</v>
      </c>
      <c r="M118" s="213">
        <f>VLOOKUP(D118,'A2 RETEST 4 DEC'!$1:$2096,2,False)</f>
        <v>65</v>
      </c>
      <c r="N118" s="213">
        <v>66.0</v>
      </c>
      <c r="O118" s="212"/>
      <c r="P118" s="214">
        <f>IFNA(VLOOKUP(D118,'S1'!$1:$1500,2,False),0)</f>
        <v>79</v>
      </c>
      <c r="Q118" s="214">
        <f>vlookup(D118,'S2'!A115:B1317,2,0)</f>
        <v>71</v>
      </c>
      <c r="R118" s="214">
        <f>ifna(vlookup(D118,'S3'!$1:$1311,2,False),0)</f>
        <v>89</v>
      </c>
      <c r="S118" s="214"/>
      <c r="T118" s="215">
        <v>10.0</v>
      </c>
      <c r="U118" s="215">
        <v>24.0</v>
      </c>
      <c r="V118" s="215">
        <v>90.0</v>
      </c>
      <c r="W118" s="215">
        <v>78.0</v>
      </c>
      <c r="X118" s="215">
        <v>82.0</v>
      </c>
      <c r="Y118" s="215"/>
      <c r="Z118" s="217"/>
      <c r="AA118" s="218">
        <v>80.0</v>
      </c>
      <c r="AB118" s="219">
        <v>75.0</v>
      </c>
      <c r="AC118" s="295">
        <v>94.0</v>
      </c>
      <c r="AD118" s="129">
        <v>60.0</v>
      </c>
      <c r="AE118" s="130">
        <v>80.0</v>
      </c>
      <c r="AF118" s="481"/>
      <c r="AG118" s="295">
        <v>77.0</v>
      </c>
      <c r="AH118" s="481"/>
      <c r="AI118" s="88"/>
      <c r="AJ118" s="88"/>
      <c r="AK118" s="132">
        <f t="shared" si="1"/>
        <v>4</v>
      </c>
      <c r="AL118" s="132">
        <f t="shared" si="2"/>
        <v>3</v>
      </c>
      <c r="AM118" s="133">
        <f t="shared" si="3"/>
        <v>3</v>
      </c>
      <c r="AN118" s="132" t="str">
        <f t="shared" si="8"/>
        <v>3.5</v>
      </c>
      <c r="AO118" s="132">
        <f t="shared" si="5"/>
        <v>3</v>
      </c>
      <c r="AP118" s="88"/>
    </row>
    <row r="119">
      <c r="A119" s="142">
        <v>115.0</v>
      </c>
      <c r="B119" s="483" t="s">
        <v>1684</v>
      </c>
      <c r="C119" s="496" t="s">
        <v>2983</v>
      </c>
      <c r="D119" s="209" t="str">
        <f>VLOOKUP(B119,USN!$1:$1088,2,False)</f>
        <v>1CR23AI120</v>
      </c>
      <c r="E119" s="497">
        <v>7.975077809E9</v>
      </c>
      <c r="F119" s="234" t="s">
        <v>3780</v>
      </c>
      <c r="G119" s="88"/>
      <c r="H119" s="210">
        <v>75.0</v>
      </c>
      <c r="I119" s="211">
        <v>87.0</v>
      </c>
      <c r="J119" s="211">
        <f>VLOOKUP(D119,'L3'!$1:$2060,2,False)</f>
        <v>52</v>
      </c>
      <c r="K119" s="211">
        <f>VLOOKUP(D119,'L4'!$1:$2059,2,False)</f>
        <v>70</v>
      </c>
      <c r="L119" s="212">
        <f>VLOOKUP(D119,'A1 RETEST 5 DEC'!$1:$2096,2,False)</f>
        <v>11</v>
      </c>
      <c r="M119" s="213">
        <f>VLOOKUP(D119,'A2 RETEST 4 DEC'!$1:$2096,2,False)</f>
        <v>16</v>
      </c>
      <c r="N119" s="213">
        <v>24.0</v>
      </c>
      <c r="O119" s="212"/>
      <c r="P119" s="214">
        <f>IFNA(VLOOKUP(D119,'S1'!$1:$1500,2,False),0)</f>
        <v>74</v>
      </c>
      <c r="Q119" s="214">
        <f>vlookup(D119,'S2'!A116:B1318,2,0)</f>
        <v>0</v>
      </c>
      <c r="R119" s="214">
        <f>ifna(vlookup(D119,'S3'!$1:$1311,2,False),0)</f>
        <v>0</v>
      </c>
      <c r="S119" s="214"/>
      <c r="T119" s="215">
        <v>12.0</v>
      </c>
      <c r="U119" s="215">
        <v>18.0</v>
      </c>
      <c r="V119" s="215">
        <v>82.0</v>
      </c>
      <c r="W119" s="215">
        <v>0.0</v>
      </c>
      <c r="X119" s="215">
        <v>80.0</v>
      </c>
      <c r="Y119" s="215"/>
      <c r="Z119" s="217"/>
      <c r="AA119" s="218">
        <v>12.0</v>
      </c>
      <c r="AB119" s="219">
        <v>62.0</v>
      </c>
      <c r="AC119" s="295">
        <v>0.0</v>
      </c>
      <c r="AD119" s="129">
        <v>0.0</v>
      </c>
      <c r="AE119" s="130">
        <v>16.0</v>
      </c>
      <c r="AF119" s="481"/>
      <c r="AG119" s="295">
        <v>77.0</v>
      </c>
      <c r="AH119" s="481"/>
      <c r="AI119" s="88"/>
      <c r="AJ119" s="88"/>
      <c r="AK119" s="132">
        <f t="shared" si="1"/>
        <v>2</v>
      </c>
      <c r="AL119" s="132">
        <f t="shared" si="2"/>
        <v>0</v>
      </c>
      <c r="AM119" s="133">
        <f t="shared" si="3"/>
        <v>2</v>
      </c>
      <c r="AN119" s="132" t="str">
        <f t="shared" si="8"/>
        <v>2</v>
      </c>
      <c r="AO119" s="132">
        <f t="shared" si="5"/>
        <v>1</v>
      </c>
      <c r="AP119" s="88"/>
    </row>
    <row r="120">
      <c r="A120" s="142">
        <v>116.0</v>
      </c>
      <c r="B120" s="483" t="s">
        <v>1709</v>
      </c>
      <c r="C120" s="483" t="s">
        <v>2984</v>
      </c>
      <c r="D120" s="209" t="str">
        <f>VLOOKUP(B120,USN!$1:$1088,2,False)</f>
        <v>1CR23AI121</v>
      </c>
      <c r="E120" s="484">
        <v>7.877100789E9</v>
      </c>
      <c r="F120" s="484" t="s">
        <v>3780</v>
      </c>
      <c r="G120" s="88"/>
      <c r="H120" s="210">
        <v>87.0</v>
      </c>
      <c r="I120" s="211">
        <v>85.0</v>
      </c>
      <c r="J120" s="211">
        <f>VLOOKUP(D120,'L3'!$1:$2060,2,False)</f>
        <v>71</v>
      </c>
      <c r="K120" s="211">
        <f>VLOOKUP(D120,'L4'!$1:$2059,2,False)</f>
        <v>70</v>
      </c>
      <c r="L120" s="212">
        <f>VLOOKUP(D120,'A1 RETEST 5 DEC'!$1:$2096,2,False)</f>
        <v>50</v>
      </c>
      <c r="M120" s="213">
        <f>VLOOKUP(D120,'A2 RETEST 4 DEC'!$1:$2096,2,False)</f>
        <v>50</v>
      </c>
      <c r="N120" s="213">
        <v>57.0</v>
      </c>
      <c r="O120" s="212"/>
      <c r="P120" s="214">
        <f>IFNA(VLOOKUP(D120,'S1'!$1:$1500,2,False),0)</f>
        <v>85</v>
      </c>
      <c r="Q120" s="214">
        <f>vlookup(D120,'S2'!A117:B1319,2,0)</f>
        <v>71</v>
      </c>
      <c r="R120" s="214">
        <f>ifna(vlookup(D120,'S3'!$1:$1311,2,False),0)</f>
        <v>91</v>
      </c>
      <c r="S120" s="214"/>
      <c r="T120" s="215">
        <v>10.0</v>
      </c>
      <c r="U120" s="215">
        <v>23.0</v>
      </c>
      <c r="V120" s="215">
        <v>94.0</v>
      </c>
      <c r="W120" s="215">
        <v>82.0</v>
      </c>
      <c r="X120" s="215">
        <v>78.0</v>
      </c>
      <c r="Y120" s="215"/>
      <c r="Z120" s="217"/>
      <c r="AA120" s="218">
        <v>60.0</v>
      </c>
      <c r="AB120" s="219">
        <v>100.0</v>
      </c>
      <c r="AC120" s="295">
        <v>100.0</v>
      </c>
      <c r="AD120" s="129">
        <v>0.0</v>
      </c>
      <c r="AE120" s="130">
        <v>82.0</v>
      </c>
      <c r="AF120" s="481"/>
      <c r="AG120" s="295">
        <v>87.0</v>
      </c>
      <c r="AH120" s="481"/>
      <c r="AI120" s="88"/>
      <c r="AJ120" s="88"/>
      <c r="AK120" s="132">
        <f t="shared" si="1"/>
        <v>4</v>
      </c>
      <c r="AL120" s="132">
        <f t="shared" si="2"/>
        <v>3</v>
      </c>
      <c r="AM120" s="133">
        <f t="shared" si="3"/>
        <v>3</v>
      </c>
      <c r="AN120" s="132" t="str">
        <f t="shared" si="8"/>
        <v>3.5</v>
      </c>
      <c r="AO120" s="132">
        <f t="shared" si="5"/>
        <v>3</v>
      </c>
      <c r="AP120" s="88"/>
    </row>
    <row r="121">
      <c r="A121" s="142">
        <v>117.0</v>
      </c>
      <c r="B121" s="483" t="s">
        <v>1747</v>
      </c>
      <c r="C121" s="483" t="s">
        <v>2985</v>
      </c>
      <c r="D121" s="209" t="str">
        <f>VLOOKUP(B121,USN!$1:$1088,2,False)</f>
        <v>1CR23AI122</v>
      </c>
      <c r="E121" s="484">
        <v>8.95184158E9</v>
      </c>
      <c r="F121" s="484" t="s">
        <v>3780</v>
      </c>
      <c r="G121" s="88"/>
      <c r="H121" s="210">
        <v>70.0</v>
      </c>
      <c r="I121" s="211">
        <v>84.0</v>
      </c>
      <c r="J121" s="211">
        <f>VLOOKUP(D121,'L3'!$1:$2060,2,False)</f>
        <v>48</v>
      </c>
      <c r="K121" s="211">
        <f>VLOOKUP(D121,'L4'!$1:$2059,2,False)</f>
        <v>34</v>
      </c>
      <c r="L121" s="212">
        <f>VLOOKUP(D121,'A1 RETEST 5 DEC'!$1:$2096,2,False)</f>
        <v>29</v>
      </c>
      <c r="M121" s="213">
        <f>VLOOKUP(D121,'A2 RETEST 4 DEC'!$1:$2096,2,False)</f>
        <v>12</v>
      </c>
      <c r="N121" s="213">
        <v>0.0</v>
      </c>
      <c r="O121" s="212"/>
      <c r="P121" s="214">
        <f>IFNA(VLOOKUP(D121,'S1'!$1:$1500,2,False),0)</f>
        <v>79</v>
      </c>
      <c r="Q121" s="214">
        <f>vlookup(D121,'S2'!A118:B1320,2,0)</f>
        <v>54</v>
      </c>
      <c r="R121" s="214">
        <f>ifna(vlookup(D121,'S3'!$1:$1311,2,False),0)</f>
        <v>0</v>
      </c>
      <c r="S121" s="214"/>
      <c r="T121" s="215">
        <v>19.0</v>
      </c>
      <c r="U121" s="215" t="s">
        <v>2477</v>
      </c>
      <c r="V121" s="215">
        <v>0.0</v>
      </c>
      <c r="W121" s="215">
        <v>0.0</v>
      </c>
      <c r="X121" s="215"/>
      <c r="Y121" s="215"/>
      <c r="Z121" s="217"/>
      <c r="AA121" s="218">
        <v>17.0</v>
      </c>
      <c r="AB121" s="219">
        <v>17.0</v>
      </c>
      <c r="AC121" s="295">
        <v>0.0</v>
      </c>
      <c r="AD121" s="129">
        <v>0.0</v>
      </c>
      <c r="AE121" s="130">
        <v>10.0</v>
      </c>
      <c r="AF121" s="481"/>
      <c r="AG121" s="498">
        <v>0.0</v>
      </c>
      <c r="AH121" s="481"/>
      <c r="AI121" s="88"/>
      <c r="AJ121" s="88"/>
      <c r="AK121" s="132">
        <f t="shared" si="1"/>
        <v>2</v>
      </c>
      <c r="AL121" s="132">
        <f t="shared" si="2"/>
        <v>0</v>
      </c>
      <c r="AM121" s="133">
        <f t="shared" si="3"/>
        <v>2</v>
      </c>
      <c r="AN121" s="132" t="str">
        <f t="shared" si="8"/>
        <v>0</v>
      </c>
      <c r="AO121" s="132">
        <f t="shared" si="5"/>
        <v>2</v>
      </c>
      <c r="AP121" s="88"/>
    </row>
    <row r="122">
      <c r="A122" s="142">
        <v>118.0</v>
      </c>
      <c r="B122" s="483" t="s">
        <v>1727</v>
      </c>
      <c r="C122" s="483" t="s">
        <v>2986</v>
      </c>
      <c r="D122" s="209" t="str">
        <f>VLOOKUP(B122,USN!$1:$1088,2,False)</f>
        <v>1CR23AI123</v>
      </c>
      <c r="E122" s="484">
        <v>7.877805542E9</v>
      </c>
      <c r="F122" s="484" t="s">
        <v>3780</v>
      </c>
      <c r="G122" s="88"/>
      <c r="H122" s="210">
        <v>74.0</v>
      </c>
      <c r="I122" s="211">
        <v>75.0</v>
      </c>
      <c r="J122" s="211">
        <f>VLOOKUP(D122,'L3'!$1:$2060,2,False)</f>
        <v>70</v>
      </c>
      <c r="K122" s="211">
        <f>VLOOKUP(D122,'L4'!$1:$2059,2,False)</f>
        <v>70</v>
      </c>
      <c r="L122" s="212">
        <f>VLOOKUP(D122,'A1 RETEST 5 DEC'!$1:$2096,2,False)</f>
        <v>50</v>
      </c>
      <c r="M122" s="213">
        <f>VLOOKUP(D122,'A2 RETEST 4 DEC'!$1:$2096,2,False)</f>
        <v>19</v>
      </c>
      <c r="N122" s="213">
        <v>50.0</v>
      </c>
      <c r="O122" s="212"/>
      <c r="P122" s="214">
        <f>IFNA(VLOOKUP(D122,'S1'!$1:$1500,2,False),0)</f>
        <v>84</v>
      </c>
      <c r="Q122" s="214">
        <f>vlookup(D122,'S2'!A119:B1321,2,0)</f>
        <v>71</v>
      </c>
      <c r="R122" s="214">
        <f>ifna(vlookup(D122,'S3'!$1:$1311,2,False),0)</f>
        <v>85</v>
      </c>
      <c r="S122" s="214"/>
      <c r="T122" s="215">
        <v>19.0</v>
      </c>
      <c r="U122" s="215">
        <v>24.0</v>
      </c>
      <c r="V122" s="215">
        <v>92.0</v>
      </c>
      <c r="W122" s="215">
        <v>84.0</v>
      </c>
      <c r="X122" s="215">
        <v>76.0</v>
      </c>
      <c r="Y122" s="215"/>
      <c r="Z122" s="217"/>
      <c r="AA122" s="218">
        <v>60.0</v>
      </c>
      <c r="AB122" s="219">
        <v>100.0</v>
      </c>
      <c r="AC122" s="295">
        <v>60.0</v>
      </c>
      <c r="AD122" s="129">
        <v>62.0</v>
      </c>
      <c r="AE122" s="130">
        <v>71.0</v>
      </c>
      <c r="AF122" s="481"/>
      <c r="AG122" s="295">
        <v>72.0</v>
      </c>
      <c r="AH122" s="481"/>
      <c r="AI122" s="88"/>
      <c r="AJ122" s="88"/>
      <c r="AK122" s="132">
        <f t="shared" si="1"/>
        <v>4</v>
      </c>
      <c r="AL122" s="132">
        <f t="shared" si="2"/>
        <v>1</v>
      </c>
      <c r="AM122" s="133">
        <f t="shared" si="3"/>
        <v>3</v>
      </c>
      <c r="AN122" s="132" t="str">
        <f t="shared" si="8"/>
        <v>3.5</v>
      </c>
      <c r="AO122" s="132">
        <f t="shared" si="5"/>
        <v>3</v>
      </c>
      <c r="AP122" s="88"/>
    </row>
    <row r="123">
      <c r="A123" s="142">
        <v>119.0</v>
      </c>
      <c r="B123" s="483" t="s">
        <v>1722</v>
      </c>
      <c r="C123" s="483" t="s">
        <v>2987</v>
      </c>
      <c r="D123" s="209" t="str">
        <f>VLOOKUP(B123,USN!$1:$1088,2,False)</f>
        <v>1CR23AI124</v>
      </c>
      <c r="E123" s="484">
        <v>7.337758816E9</v>
      </c>
      <c r="F123" s="484" t="s">
        <v>3780</v>
      </c>
      <c r="G123" s="88"/>
      <c r="H123" s="210">
        <v>67.0</v>
      </c>
      <c r="I123" s="211">
        <v>75.0</v>
      </c>
      <c r="J123" s="211">
        <f>VLOOKUP(D123,'L3'!$1:$2060,2,False)</f>
        <v>70</v>
      </c>
      <c r="K123" s="211">
        <f>VLOOKUP(D123,'L4'!$1:$2059,2,False)</f>
        <v>70</v>
      </c>
      <c r="L123" s="212">
        <f>VLOOKUP(D123,'A1 RETEST 5 DEC'!$1:$2096,2,False)</f>
        <v>3</v>
      </c>
      <c r="M123" s="213">
        <f>VLOOKUP(D123,'A2 RETEST 4 DEC'!$1:$2096,2,False)</f>
        <v>50</v>
      </c>
      <c r="N123" s="213">
        <v>20.0</v>
      </c>
      <c r="O123" s="212"/>
      <c r="P123" s="214">
        <f>IFNA(VLOOKUP(D123,'S1'!$1:$1500,2,False),0)</f>
        <v>50</v>
      </c>
      <c r="Q123" s="214">
        <f>vlookup(D123,'S2'!A120:B1322,2,0)</f>
        <v>50</v>
      </c>
      <c r="R123" s="214">
        <f>ifna(vlookup(D123,'S3'!$1:$1311,2,False),0)</f>
        <v>50</v>
      </c>
      <c r="S123" s="214"/>
      <c r="T123" s="215">
        <v>12.0</v>
      </c>
      <c r="U123" s="215">
        <v>22.0</v>
      </c>
      <c r="V123" s="215">
        <v>94.0</v>
      </c>
      <c r="W123" s="215">
        <v>90.0</v>
      </c>
      <c r="X123" s="215">
        <v>76.0</v>
      </c>
      <c r="Y123" s="215"/>
      <c r="Z123" s="217"/>
      <c r="AA123" s="218">
        <v>2.0</v>
      </c>
      <c r="AB123" s="219">
        <v>52.0</v>
      </c>
      <c r="AC123" s="295">
        <v>0.0</v>
      </c>
      <c r="AD123" s="129">
        <v>93.0</v>
      </c>
      <c r="AE123" s="130">
        <v>45.0</v>
      </c>
      <c r="AF123" s="481"/>
      <c r="AG123" s="498">
        <v>46.0</v>
      </c>
      <c r="AH123" s="481"/>
      <c r="AI123" s="88"/>
      <c r="AJ123" s="88"/>
      <c r="AK123" s="132">
        <f t="shared" si="1"/>
        <v>4</v>
      </c>
      <c r="AL123" s="132">
        <f t="shared" si="2"/>
        <v>0</v>
      </c>
      <c r="AM123" s="133">
        <f t="shared" si="3"/>
        <v>3</v>
      </c>
      <c r="AN123" s="132" t="str">
        <f t="shared" si="8"/>
        <v>3</v>
      </c>
      <c r="AO123" s="132">
        <f t="shared" si="5"/>
        <v>3</v>
      </c>
      <c r="AP123" s="88"/>
    </row>
    <row r="124">
      <c r="A124" s="142">
        <v>120.0</v>
      </c>
      <c r="B124" s="483" t="s">
        <v>1710</v>
      </c>
      <c r="C124" s="483" t="s">
        <v>2988</v>
      </c>
      <c r="D124" s="209" t="str">
        <f>VLOOKUP(B124,USN!$1:$1088,2,False)</f>
        <v>1CR23AI126</v>
      </c>
      <c r="E124" s="484">
        <v>8.296976023E9</v>
      </c>
      <c r="F124" s="484" t="s">
        <v>3780</v>
      </c>
      <c r="G124" s="88"/>
      <c r="H124" s="243">
        <v>70.0</v>
      </c>
      <c r="I124" s="211">
        <v>85.0</v>
      </c>
      <c r="J124" s="211">
        <f>VLOOKUP(D124,'L3'!$1:$2060,2,False)</f>
        <v>70</v>
      </c>
      <c r="K124" s="211">
        <f>VLOOKUP(D124,'L4'!$1:$2059,2,False)</f>
        <v>70</v>
      </c>
      <c r="L124" s="212">
        <f>VLOOKUP(D124,'A1 RETEST 5 DEC'!$1:$2096,2,False)</f>
        <v>16</v>
      </c>
      <c r="M124" s="213">
        <f>VLOOKUP(D124,'A2 RETEST 4 DEC'!$1:$2096,2,False)</f>
        <v>50</v>
      </c>
      <c r="N124" s="213">
        <v>39.0</v>
      </c>
      <c r="O124" s="212"/>
      <c r="P124" s="214">
        <f>IFNA(VLOOKUP(D124,'S1'!$1:$1500,2,False),0)</f>
        <v>79</v>
      </c>
      <c r="Q124" s="214">
        <f>vlookup(D124,'S2'!A121:B1323,2,0)</f>
        <v>50</v>
      </c>
      <c r="R124" s="214">
        <f>ifna(vlookup(D124,'S3'!$1:$1311,2,False),0)</f>
        <v>50</v>
      </c>
      <c r="S124" s="214"/>
      <c r="T124" s="215">
        <v>18.0</v>
      </c>
      <c r="U124" s="215">
        <v>21.0</v>
      </c>
      <c r="V124" s="215">
        <v>84.0</v>
      </c>
      <c r="W124" s="215">
        <v>86.0</v>
      </c>
      <c r="X124" s="215">
        <v>86.0</v>
      </c>
      <c r="Y124" s="215"/>
      <c r="Z124" s="217"/>
      <c r="AA124" s="218">
        <v>80.0</v>
      </c>
      <c r="AB124" s="219">
        <v>72.0</v>
      </c>
      <c r="AC124" s="295">
        <v>87.0</v>
      </c>
      <c r="AD124" s="129">
        <v>80.0</v>
      </c>
      <c r="AE124" s="130">
        <v>32.0</v>
      </c>
      <c r="AF124" s="481"/>
      <c r="AG124" s="498">
        <v>48.0</v>
      </c>
      <c r="AH124" s="481"/>
      <c r="AI124" s="88"/>
      <c r="AJ124" s="88"/>
      <c r="AK124" s="132">
        <f t="shared" si="1"/>
        <v>4</v>
      </c>
      <c r="AL124" s="132">
        <f t="shared" si="2"/>
        <v>0</v>
      </c>
      <c r="AM124" s="133">
        <f t="shared" si="3"/>
        <v>3</v>
      </c>
      <c r="AN124" s="132" t="str">
        <f t="shared" si="8"/>
        <v>3</v>
      </c>
      <c r="AO124" s="132">
        <f t="shared" si="5"/>
        <v>3</v>
      </c>
      <c r="AP124" s="88"/>
    </row>
    <row r="125">
      <c r="A125" s="142">
        <v>121.0</v>
      </c>
      <c r="B125" s="483" t="s">
        <v>1723</v>
      </c>
      <c r="C125" s="483" t="s">
        <v>2989</v>
      </c>
      <c r="D125" s="209" t="str">
        <f>VLOOKUP(B125,USN!$1:$1088,2,False)</f>
        <v>1CR23AI127</v>
      </c>
      <c r="E125" s="484">
        <v>9.148803233E9</v>
      </c>
      <c r="F125" s="484" t="s">
        <v>3780</v>
      </c>
      <c r="G125" s="88"/>
      <c r="H125" s="210">
        <v>79.0</v>
      </c>
      <c r="I125" s="211">
        <v>85.0</v>
      </c>
      <c r="J125" s="211">
        <f>VLOOKUP(D125,'L3'!$1:$2060,2,False)</f>
        <v>70</v>
      </c>
      <c r="K125" s="211">
        <f>VLOOKUP(D125,'L4'!$1:$2059,2,False)</f>
        <v>70</v>
      </c>
      <c r="L125" s="212">
        <f>VLOOKUP(D125,'A1 RETEST 5 DEC'!$1:$2096,2,False)</f>
        <v>60</v>
      </c>
      <c r="M125" s="213">
        <f>VLOOKUP(D125,'A2 RETEST 4 DEC'!$1:$2096,2,False)</f>
        <v>28</v>
      </c>
      <c r="N125" s="213">
        <v>50.0</v>
      </c>
      <c r="O125" s="212"/>
      <c r="P125" s="214">
        <f>IFNA(VLOOKUP(D125,'S1'!$1:$1500,2,False),0)</f>
        <v>84</v>
      </c>
      <c r="Q125" s="214">
        <f>vlookup(D125,'S2'!A122:B1324,2,0)</f>
        <v>71</v>
      </c>
      <c r="R125" s="214">
        <f>ifna(vlookup(D125,'S3'!$1:$1311,2,False),0)</f>
        <v>84</v>
      </c>
      <c r="S125" s="214"/>
      <c r="T125" s="215">
        <v>20.0</v>
      </c>
      <c r="U125" s="215">
        <v>20.0</v>
      </c>
      <c r="V125" s="215">
        <v>92.0</v>
      </c>
      <c r="W125" s="215">
        <v>86.0</v>
      </c>
      <c r="X125" s="215">
        <v>68.0</v>
      </c>
      <c r="Y125" s="215"/>
      <c r="Z125" s="217"/>
      <c r="AA125" s="218">
        <v>30.0</v>
      </c>
      <c r="AB125" s="219">
        <v>100.0</v>
      </c>
      <c r="AC125" s="295">
        <v>0.0</v>
      </c>
      <c r="AD125" s="129">
        <v>60.0</v>
      </c>
      <c r="AE125" s="130">
        <v>70.0</v>
      </c>
      <c r="AF125" s="481"/>
      <c r="AG125" s="295">
        <v>79.0</v>
      </c>
      <c r="AH125" s="481"/>
      <c r="AI125" s="88"/>
      <c r="AJ125" s="88"/>
      <c r="AK125" s="132">
        <f t="shared" si="1"/>
        <v>4</v>
      </c>
      <c r="AL125" s="132">
        <f t="shared" si="2"/>
        <v>1</v>
      </c>
      <c r="AM125" s="133">
        <f t="shared" si="3"/>
        <v>3</v>
      </c>
      <c r="AN125" s="132" t="str">
        <f t="shared" si="8"/>
        <v>3.5</v>
      </c>
      <c r="AO125" s="132">
        <f t="shared" si="5"/>
        <v>3</v>
      </c>
      <c r="AP125" s="88"/>
    </row>
    <row r="126">
      <c r="A126" s="142">
        <v>122.0</v>
      </c>
      <c r="B126" s="483" t="s">
        <v>1711</v>
      </c>
      <c r="C126" s="483" t="s">
        <v>2990</v>
      </c>
      <c r="D126" s="209" t="str">
        <f>VLOOKUP(B126,USN!$1:$1088,2,False)</f>
        <v>1CR23AI128</v>
      </c>
      <c r="E126" s="484">
        <v>8.867004118E9</v>
      </c>
      <c r="F126" s="484" t="s">
        <v>3780</v>
      </c>
      <c r="G126" s="88"/>
      <c r="H126" s="210">
        <v>75.0</v>
      </c>
      <c r="I126" s="211">
        <v>68.0</v>
      </c>
      <c r="J126" s="211">
        <f>VLOOKUP(D126,'L3'!$1:$2060,2,False)</f>
        <v>13</v>
      </c>
      <c r="K126" s="211">
        <f>VLOOKUP(D126,'L4'!$1:$2059,2,False)</f>
        <v>6</v>
      </c>
      <c r="L126" s="212">
        <f>VLOOKUP(D126,'A1 RETEST 5 DEC'!$1:$2096,2,False)</f>
        <v>1</v>
      </c>
      <c r="M126" s="213">
        <f>VLOOKUP(D126,'A2 RETEST 4 DEC'!$1:$2096,2,False)</f>
        <v>0</v>
      </c>
      <c r="N126" s="213">
        <v>0.0</v>
      </c>
      <c r="O126" s="212"/>
      <c r="P126" s="214">
        <f>IFNA(VLOOKUP(D126,'S1'!$1:$1500,2,False),0)</f>
        <v>75</v>
      </c>
      <c r="Q126" s="214">
        <f>vlookup(D126,'S2'!A123:B1325,2,0)</f>
        <v>0</v>
      </c>
      <c r="R126" s="214">
        <f>ifna(vlookup(D126,'S3'!$1:$1311,2,False),0)</f>
        <v>0</v>
      </c>
      <c r="S126" s="214"/>
      <c r="T126" s="215">
        <v>23.0</v>
      </c>
      <c r="U126" s="215">
        <v>21.0</v>
      </c>
      <c r="V126" s="215">
        <v>0.0</v>
      </c>
      <c r="W126" s="215">
        <v>92.0</v>
      </c>
      <c r="X126" s="215"/>
      <c r="Y126" s="215"/>
      <c r="Z126" s="217"/>
      <c r="AA126" s="218">
        <v>0.0</v>
      </c>
      <c r="AB126" s="219">
        <v>75.0</v>
      </c>
      <c r="AC126" s="295">
        <v>0.0</v>
      </c>
      <c r="AD126" s="129">
        <v>0.0</v>
      </c>
      <c r="AE126" s="130">
        <v>10.0</v>
      </c>
      <c r="AF126" s="481"/>
      <c r="AG126" s="498">
        <v>0.0</v>
      </c>
      <c r="AH126" s="481"/>
      <c r="AI126" s="88"/>
      <c r="AJ126" s="88"/>
      <c r="AK126" s="132">
        <f t="shared" si="1"/>
        <v>2</v>
      </c>
      <c r="AL126" s="132">
        <f t="shared" si="2"/>
        <v>0</v>
      </c>
      <c r="AM126" s="133">
        <f t="shared" si="3"/>
        <v>3</v>
      </c>
      <c r="AN126" s="132" t="str">
        <f t="shared" si="8"/>
        <v>2</v>
      </c>
      <c r="AO126" s="132">
        <f t="shared" si="5"/>
        <v>1</v>
      </c>
      <c r="AP126" s="88"/>
    </row>
    <row r="127">
      <c r="A127" s="142">
        <v>123.0</v>
      </c>
      <c r="B127" s="483" t="s">
        <v>1712</v>
      </c>
      <c r="C127" s="483" t="s">
        <v>2991</v>
      </c>
      <c r="D127" s="209" t="str">
        <f>VLOOKUP(B127,USN!$1:$1088,2,False)</f>
        <v>1CR23AI129</v>
      </c>
      <c r="E127" s="484">
        <v>7.30697139E9</v>
      </c>
      <c r="F127" s="484" t="s">
        <v>3780</v>
      </c>
      <c r="G127" s="88"/>
      <c r="H127" s="210">
        <v>74.0</v>
      </c>
      <c r="I127" s="211">
        <v>83.0</v>
      </c>
      <c r="J127" s="211">
        <f>VLOOKUP(D127,'L3'!$1:$2060,2,False)</f>
        <v>88</v>
      </c>
      <c r="K127" s="211">
        <f>VLOOKUP(D127,'L4'!$1:$2059,2,False)</f>
        <v>70</v>
      </c>
      <c r="L127" s="212">
        <f>VLOOKUP(D127,'A1 RETEST 5 DEC'!$1:$2096,2,False)</f>
        <v>52</v>
      </c>
      <c r="M127" s="213">
        <f>VLOOKUP(D127,'A2 RETEST 4 DEC'!$1:$2096,2,False)</f>
        <v>50</v>
      </c>
      <c r="N127" s="213">
        <v>50.0</v>
      </c>
      <c r="O127" s="212"/>
      <c r="P127" s="214">
        <f>IFNA(VLOOKUP(D127,'S1'!$1:$1500,2,False),0)</f>
        <v>82</v>
      </c>
      <c r="Q127" s="214">
        <f>vlookup(D127,'S2'!A124:B1326,2,0)</f>
        <v>50</v>
      </c>
      <c r="R127" s="214">
        <f>ifna(vlookup(D127,'S3'!$1:$1311,2,False),0)</f>
        <v>87</v>
      </c>
      <c r="S127" s="214"/>
      <c r="T127" s="215">
        <v>17.0</v>
      </c>
      <c r="U127" s="215">
        <v>22.0</v>
      </c>
      <c r="V127" s="215">
        <v>86.0</v>
      </c>
      <c r="W127" s="215">
        <v>0.0</v>
      </c>
      <c r="X127" s="215">
        <v>78.0</v>
      </c>
      <c r="Y127" s="215"/>
      <c r="Z127" s="217"/>
      <c r="AA127" s="218">
        <v>100.0</v>
      </c>
      <c r="AB127" s="219">
        <v>100.0</v>
      </c>
      <c r="AC127" s="295">
        <v>0.0</v>
      </c>
      <c r="AD127" s="129">
        <v>60.0</v>
      </c>
      <c r="AE127" s="130">
        <v>70.0</v>
      </c>
      <c r="AF127" s="481"/>
      <c r="AG127" s="295">
        <v>85.0</v>
      </c>
      <c r="AH127" s="481"/>
      <c r="AI127" s="88"/>
      <c r="AJ127" s="88"/>
      <c r="AK127" s="132">
        <f t="shared" si="1"/>
        <v>4</v>
      </c>
      <c r="AL127" s="132">
        <f t="shared" si="2"/>
        <v>3</v>
      </c>
      <c r="AM127" s="133">
        <f t="shared" si="3"/>
        <v>2</v>
      </c>
      <c r="AN127" s="132" t="str">
        <f t="shared" si="8"/>
        <v>3.5</v>
      </c>
      <c r="AO127" s="132">
        <f t="shared" si="5"/>
        <v>3</v>
      </c>
      <c r="AP127" s="88"/>
    </row>
    <row r="128">
      <c r="A128" s="142">
        <v>124.0</v>
      </c>
      <c r="B128" s="483" t="s">
        <v>1733</v>
      </c>
      <c r="C128" s="483" t="s">
        <v>2992</v>
      </c>
      <c r="D128" s="209" t="str">
        <f>VLOOKUP(B128,USN!$1:$1088,2,False)</f>
        <v>1CR23AI130</v>
      </c>
      <c r="E128" s="484">
        <v>7.7606475E9</v>
      </c>
      <c r="F128" s="484" t="s">
        <v>3780</v>
      </c>
      <c r="G128" s="88"/>
      <c r="H128" s="243">
        <v>70.0</v>
      </c>
      <c r="I128" s="211">
        <v>73.0</v>
      </c>
      <c r="J128" s="211">
        <f>VLOOKUP(D128,'L3'!$1:$2060,2,False)</f>
        <v>70</v>
      </c>
      <c r="K128" s="211">
        <f>VLOOKUP(D128,'L4'!$1:$2059,2,False)</f>
        <v>70</v>
      </c>
      <c r="L128" s="212">
        <v>50.0</v>
      </c>
      <c r="M128" s="213">
        <f>VLOOKUP(D128,'A2 RETEST 4 DEC'!$1:$2096,2,False)</f>
        <v>50</v>
      </c>
      <c r="N128" s="213">
        <v>46.0</v>
      </c>
      <c r="O128" s="212"/>
      <c r="P128" s="214">
        <f>IFNA(VLOOKUP(D128,'S1'!$1:$1500,2,False),0)</f>
        <v>82</v>
      </c>
      <c r="Q128" s="214">
        <f>vlookup(D128,'S2'!A125:B1327,2,0)</f>
        <v>67</v>
      </c>
      <c r="R128" s="214">
        <f>ifna(vlookup(D128,'S3'!$1:$1311,2,False),0)</f>
        <v>72</v>
      </c>
      <c r="S128" s="214"/>
      <c r="T128" s="215">
        <v>22.0</v>
      </c>
      <c r="U128" s="215">
        <v>24.0</v>
      </c>
      <c r="V128" s="215">
        <v>94.0</v>
      </c>
      <c r="W128" s="215">
        <v>86.0</v>
      </c>
      <c r="X128" s="215">
        <v>84.0</v>
      </c>
      <c r="Y128" s="215"/>
      <c r="Z128" s="217"/>
      <c r="AA128" s="218">
        <v>36.0</v>
      </c>
      <c r="AB128" s="219">
        <v>90.0</v>
      </c>
      <c r="AC128" s="295">
        <v>100.0</v>
      </c>
      <c r="AD128" s="129">
        <v>100.0</v>
      </c>
      <c r="AE128" s="129">
        <v>70.0</v>
      </c>
      <c r="AF128" s="481"/>
      <c r="AG128" s="295">
        <v>78.0</v>
      </c>
      <c r="AH128" s="481"/>
      <c r="AI128" s="88"/>
      <c r="AJ128" s="88"/>
      <c r="AK128" s="132">
        <f t="shared" si="1"/>
        <v>4</v>
      </c>
      <c r="AL128" s="132">
        <f t="shared" si="2"/>
        <v>2</v>
      </c>
      <c r="AM128" s="133">
        <f t="shared" si="3"/>
        <v>3</v>
      </c>
      <c r="AN128" s="132" t="str">
        <f t="shared" si="8"/>
        <v>3.5</v>
      </c>
      <c r="AO128" s="132">
        <f t="shared" si="5"/>
        <v>3</v>
      </c>
      <c r="AP128" s="88"/>
    </row>
    <row r="129">
      <c r="A129" s="142">
        <v>125.0</v>
      </c>
      <c r="B129" s="483" t="s">
        <v>1719</v>
      </c>
      <c r="C129" s="483" t="s">
        <v>2993</v>
      </c>
      <c r="D129" s="209" t="str">
        <f>VLOOKUP(B129,USN!$1:$1088,2,False)</f>
        <v>1CR23AI131</v>
      </c>
      <c r="E129" s="484">
        <v>8.861822292E9</v>
      </c>
      <c r="F129" s="484" t="s">
        <v>3780</v>
      </c>
      <c r="G129" s="88"/>
      <c r="H129" s="210">
        <v>80.0</v>
      </c>
      <c r="I129" s="211">
        <v>86.0</v>
      </c>
      <c r="J129" s="211">
        <f>VLOOKUP(D129,'L3'!$1:$2060,2,False)</f>
        <v>77</v>
      </c>
      <c r="K129" s="211">
        <f>VLOOKUP(D129,'L4'!$1:$2059,2,False)</f>
        <v>70</v>
      </c>
      <c r="L129" s="212">
        <f>VLOOKUP(D129,'A1 RETEST 5 DEC'!$1:$2096,2,False)</f>
        <v>50</v>
      </c>
      <c r="M129" s="213">
        <f>VLOOKUP(D129,'A2 RETEST 4 DEC'!$1:$2096,2,False)</f>
        <v>51</v>
      </c>
      <c r="N129" s="213">
        <v>50.0</v>
      </c>
      <c r="O129" s="212"/>
      <c r="P129" s="214">
        <f>IFNA(VLOOKUP(D129,'S1'!$1:$1500,2,False),0)</f>
        <v>77</v>
      </c>
      <c r="Q129" s="214">
        <f>vlookup(D129,'S2'!A126:B1328,2,0)</f>
        <v>72</v>
      </c>
      <c r="R129" s="214">
        <f>ifna(vlookup(D129,'S3'!$1:$1311,2,False),0)</f>
        <v>84</v>
      </c>
      <c r="S129" s="214"/>
      <c r="T129" s="215">
        <v>17.0</v>
      </c>
      <c r="U129" s="215">
        <v>24.0</v>
      </c>
      <c r="V129" s="215">
        <v>90.0</v>
      </c>
      <c r="W129" s="215">
        <v>90.0</v>
      </c>
      <c r="X129" s="215">
        <v>84.0</v>
      </c>
      <c r="Y129" s="215"/>
      <c r="Z129" s="217"/>
      <c r="AA129" s="218">
        <v>60.2</v>
      </c>
      <c r="AB129" s="219">
        <v>100.0</v>
      </c>
      <c r="AC129" s="295">
        <v>36.0</v>
      </c>
      <c r="AD129" s="129">
        <v>90.0</v>
      </c>
      <c r="AE129" s="130">
        <v>70.0</v>
      </c>
      <c r="AF129" s="481"/>
      <c r="AG129" s="295">
        <v>88.0</v>
      </c>
      <c r="AH129" s="481"/>
      <c r="AI129" s="88"/>
      <c r="AJ129" s="88"/>
      <c r="AK129" s="132">
        <f t="shared" si="1"/>
        <v>4</v>
      </c>
      <c r="AL129" s="132">
        <f t="shared" si="2"/>
        <v>3</v>
      </c>
      <c r="AM129" s="133">
        <f t="shared" si="3"/>
        <v>3</v>
      </c>
      <c r="AN129" s="132" t="str">
        <f t="shared" si="8"/>
        <v>3.5</v>
      </c>
      <c r="AO129" s="132">
        <f t="shared" si="5"/>
        <v>3</v>
      </c>
      <c r="AP129" s="88"/>
    </row>
    <row r="130">
      <c r="A130" s="142">
        <v>126.0</v>
      </c>
      <c r="B130" s="483" t="s">
        <v>1713</v>
      </c>
      <c r="C130" s="483" t="s">
        <v>2994</v>
      </c>
      <c r="D130" s="209" t="str">
        <f>VLOOKUP(B130,USN!$1:$1088,2,False)</f>
        <v>1CR23AI132</v>
      </c>
      <c r="E130" s="484">
        <v>6.291912949E9</v>
      </c>
      <c r="F130" s="484" t="s">
        <v>3780</v>
      </c>
      <c r="G130" s="88"/>
      <c r="H130" s="210">
        <v>85.0</v>
      </c>
      <c r="I130" s="211">
        <v>89.0</v>
      </c>
      <c r="J130" s="211">
        <f>VLOOKUP(D130,'L3'!$1:$2060,2,False)</f>
        <v>70</v>
      </c>
      <c r="K130" s="211">
        <f>VLOOKUP(D130,'L4'!$1:$2059,2,False)</f>
        <v>70</v>
      </c>
      <c r="L130" s="212">
        <f>VLOOKUP(D130,'A1 RETEST 5 DEC'!$1:$2096,2,False)</f>
        <v>50</v>
      </c>
      <c r="M130" s="213">
        <f>VLOOKUP(D130,'A2 RETEST 4 DEC'!$1:$2096,2,False)</f>
        <v>50</v>
      </c>
      <c r="N130" s="213">
        <v>50.0</v>
      </c>
      <c r="O130" s="212"/>
      <c r="P130" s="214">
        <f>IFNA(VLOOKUP(D130,'S1'!$1:$1500,2,False),0)</f>
        <v>85</v>
      </c>
      <c r="Q130" s="214">
        <f>vlookup(D130,'S2'!A127:B1329,2,0)</f>
        <v>71</v>
      </c>
      <c r="R130" s="214">
        <f>ifna(vlookup(D130,'S3'!$1:$1311,2,False),0)</f>
        <v>50</v>
      </c>
      <c r="S130" s="214"/>
      <c r="T130" s="215">
        <v>16.0</v>
      </c>
      <c r="U130" s="215">
        <v>23.0</v>
      </c>
      <c r="V130" s="215">
        <v>92.0</v>
      </c>
      <c r="W130" s="215">
        <v>0.0</v>
      </c>
      <c r="X130" s="215">
        <v>78.0</v>
      </c>
      <c r="Y130" s="215"/>
      <c r="Z130" s="217"/>
      <c r="AA130" s="218">
        <v>80.0</v>
      </c>
      <c r="AB130" s="219">
        <v>100.0</v>
      </c>
      <c r="AC130" s="295">
        <v>87.0</v>
      </c>
      <c r="AD130" s="129">
        <v>71.0</v>
      </c>
      <c r="AE130" s="130">
        <v>60.0</v>
      </c>
      <c r="AF130" s="481"/>
      <c r="AG130" s="295">
        <v>84.0</v>
      </c>
      <c r="AH130" s="481"/>
      <c r="AI130" s="88"/>
      <c r="AJ130" s="88"/>
      <c r="AK130" s="132">
        <f t="shared" si="1"/>
        <v>4</v>
      </c>
      <c r="AL130" s="132">
        <f t="shared" si="2"/>
        <v>3</v>
      </c>
      <c r="AM130" s="133">
        <f t="shared" si="3"/>
        <v>2</v>
      </c>
      <c r="AN130" s="132" t="str">
        <f t="shared" si="8"/>
        <v>3</v>
      </c>
      <c r="AO130" s="132">
        <f t="shared" si="5"/>
        <v>3</v>
      </c>
      <c r="AP130" s="88"/>
    </row>
    <row r="131">
      <c r="A131" s="142">
        <v>127.0</v>
      </c>
      <c r="B131" s="483" t="s">
        <v>1731</v>
      </c>
      <c r="C131" s="483" t="s">
        <v>2995</v>
      </c>
      <c r="D131" s="209" t="str">
        <f>VLOOKUP(B131,USN!$1:$1088,2,False)</f>
        <v>1CR23AI133</v>
      </c>
      <c r="E131" s="484">
        <v>7.624996998E9</v>
      </c>
      <c r="F131" s="484" t="s">
        <v>3780</v>
      </c>
      <c r="G131" s="88"/>
      <c r="H131" s="210">
        <v>79.0</v>
      </c>
      <c r="I131" s="211">
        <v>88.0</v>
      </c>
      <c r="J131" s="211">
        <f>VLOOKUP(D131,'L3'!$1:$2060,2,False)</f>
        <v>86</v>
      </c>
      <c r="K131" s="211">
        <f>VLOOKUP(D131,'L4'!$1:$2059,2,False)</f>
        <v>79</v>
      </c>
      <c r="L131" s="212">
        <f>VLOOKUP(D131,'A1 RETEST 5 DEC'!$1:$2096,2,False)</f>
        <v>50</v>
      </c>
      <c r="M131" s="213">
        <f>VLOOKUP(D131,'A2 RETEST 4 DEC'!$1:$2096,2,False)</f>
        <v>50</v>
      </c>
      <c r="N131" s="213">
        <v>50.0</v>
      </c>
      <c r="O131" s="212"/>
      <c r="P131" s="214">
        <f>IFNA(VLOOKUP(D131,'S1'!$1:$1500,2,False),0)</f>
        <v>84</v>
      </c>
      <c r="Q131" s="214">
        <f>vlookup(D131,'S2'!A128:B1330,2,0)</f>
        <v>67</v>
      </c>
      <c r="R131" s="214">
        <f>ifna(vlookup(D131,'S3'!$1:$1311,2,False),0)</f>
        <v>50</v>
      </c>
      <c r="S131" s="214"/>
      <c r="T131" s="215">
        <v>14.0</v>
      </c>
      <c r="U131" s="215">
        <v>23.0</v>
      </c>
      <c r="V131" s="215">
        <v>84.0</v>
      </c>
      <c r="W131" s="215">
        <v>88.0</v>
      </c>
      <c r="X131" s="215">
        <v>74.0</v>
      </c>
      <c r="Y131" s="215"/>
      <c r="Z131" s="217"/>
      <c r="AA131" s="218">
        <v>45.0</v>
      </c>
      <c r="AB131" s="219">
        <v>66.0</v>
      </c>
      <c r="AC131" s="295">
        <v>70.0</v>
      </c>
      <c r="AD131" s="129">
        <v>2.0</v>
      </c>
      <c r="AE131" s="130">
        <v>22.0</v>
      </c>
      <c r="AF131" s="481"/>
      <c r="AG131" s="295">
        <v>96.0</v>
      </c>
      <c r="AH131" s="481"/>
      <c r="AI131" s="88"/>
      <c r="AJ131" s="88"/>
      <c r="AK131" s="132">
        <f t="shared" si="1"/>
        <v>4</v>
      </c>
      <c r="AL131" s="132">
        <f t="shared" si="2"/>
        <v>3</v>
      </c>
      <c r="AM131" s="133">
        <f t="shared" si="3"/>
        <v>3</v>
      </c>
      <c r="AN131" s="132" t="str">
        <f t="shared" si="8"/>
        <v>3</v>
      </c>
      <c r="AO131" s="132">
        <f t="shared" si="5"/>
        <v>3</v>
      </c>
      <c r="AP131" s="88"/>
    </row>
    <row r="132">
      <c r="A132" s="142">
        <v>128.0</v>
      </c>
      <c r="B132" s="483" t="s">
        <v>1714</v>
      </c>
      <c r="C132" s="483" t="s">
        <v>2997</v>
      </c>
      <c r="D132" s="209" t="str">
        <f>VLOOKUP(B132,USN!$1:$1088,2,False)</f>
        <v>1CR23AI135</v>
      </c>
      <c r="E132" s="484">
        <v>7.489135134E9</v>
      </c>
      <c r="F132" s="484" t="s">
        <v>3780</v>
      </c>
      <c r="G132" s="88"/>
      <c r="H132" s="210">
        <v>72.0</v>
      </c>
      <c r="I132" s="211">
        <v>82.0</v>
      </c>
      <c r="J132" s="211">
        <f>VLOOKUP(D132,'L3'!$1:$2060,2,False)</f>
        <v>70</v>
      </c>
      <c r="K132" s="211">
        <f>VLOOKUP(D132,'L4'!$1:$2059,2,False)</f>
        <v>70</v>
      </c>
      <c r="L132" s="212">
        <f>VLOOKUP(D132,'A1 RETEST 5 DEC'!$1:$2096,2,False)</f>
        <v>50</v>
      </c>
      <c r="M132" s="213">
        <f>VLOOKUP(D132,'A2 RETEST 4 DEC'!$1:$2096,2,False)</f>
        <v>50</v>
      </c>
      <c r="N132" s="213">
        <v>53.0</v>
      </c>
      <c r="O132" s="212"/>
      <c r="P132" s="214">
        <f>IFNA(VLOOKUP(D132,'S1'!$1:$1500,2,False),0)</f>
        <v>77</v>
      </c>
      <c r="Q132" s="214">
        <f>vlookup(D132,'S2'!A130:B1332,2,0)</f>
        <v>50</v>
      </c>
      <c r="R132" s="214">
        <f>ifna(vlookup(D132,'S3'!$1:$1311,2,False),0)</f>
        <v>50</v>
      </c>
      <c r="S132" s="214"/>
      <c r="T132" s="215">
        <v>12.0</v>
      </c>
      <c r="U132" s="215">
        <v>21.0</v>
      </c>
      <c r="V132" s="215">
        <v>92.0</v>
      </c>
      <c r="W132" s="215">
        <v>84.0</v>
      </c>
      <c r="X132" s="215">
        <v>72.0</v>
      </c>
      <c r="Y132" s="215"/>
      <c r="Z132" s="217"/>
      <c r="AA132" s="218">
        <v>48.0</v>
      </c>
      <c r="AB132" s="219">
        <v>92.0</v>
      </c>
      <c r="AC132" s="295">
        <v>0.0</v>
      </c>
      <c r="AD132" s="129">
        <v>80.0</v>
      </c>
      <c r="AE132" s="130">
        <v>70.0</v>
      </c>
      <c r="AF132" s="481"/>
      <c r="AG132" s="295">
        <v>91.0</v>
      </c>
      <c r="AH132" s="481"/>
      <c r="AI132" s="88"/>
      <c r="AJ132" s="88"/>
      <c r="AK132" s="132">
        <f t="shared" si="1"/>
        <v>4</v>
      </c>
      <c r="AL132" s="132">
        <f t="shared" si="2"/>
        <v>3</v>
      </c>
      <c r="AM132" s="133">
        <f t="shared" si="3"/>
        <v>3</v>
      </c>
      <c r="AN132" s="132" t="str">
        <f t="shared" si="8"/>
        <v>3.5</v>
      </c>
      <c r="AO132" s="132">
        <f t="shared" si="5"/>
        <v>3</v>
      </c>
      <c r="AP132" s="88"/>
    </row>
    <row r="133">
      <c r="A133" s="142">
        <v>129.0</v>
      </c>
      <c r="B133" s="483" t="s">
        <v>1715</v>
      </c>
      <c r="C133" s="483" t="s">
        <v>2998</v>
      </c>
      <c r="D133" s="209" t="str">
        <f>VLOOKUP(B133,USN!$1:$1088,2,False)</f>
        <v>1CR23AI136</v>
      </c>
      <c r="E133" s="484">
        <v>9.993301137E9</v>
      </c>
      <c r="F133" s="484" t="s">
        <v>3780</v>
      </c>
      <c r="G133" s="88"/>
      <c r="H133" s="210">
        <v>79.0</v>
      </c>
      <c r="I133" s="211">
        <v>81.0</v>
      </c>
      <c r="J133" s="211">
        <f>VLOOKUP(D133,'L3'!$1:$2060,2,False)</f>
        <v>72</v>
      </c>
      <c r="K133" s="211">
        <f>VLOOKUP(D133,'L4'!$1:$2059,2,False)</f>
        <v>71</v>
      </c>
      <c r="L133" s="212">
        <f>VLOOKUP(D133,'A1 RETEST 5 DEC'!$1:$2096,2,False)</f>
        <v>50</v>
      </c>
      <c r="M133" s="213">
        <f>VLOOKUP(D133,'A2 RETEST 4 DEC'!$1:$2096,2,False)</f>
        <v>50</v>
      </c>
      <c r="N133" s="213">
        <v>50.0</v>
      </c>
      <c r="O133" s="212"/>
      <c r="P133" s="214">
        <f>IFNA(VLOOKUP(D133,'S1'!$1:$1500,2,False),0)</f>
        <v>85</v>
      </c>
      <c r="Q133" s="214">
        <f>vlookup(D133,'S2'!A131:B1333,2,0)</f>
        <v>71</v>
      </c>
      <c r="R133" s="214">
        <f>ifna(vlookup(D133,'S3'!$1:$1311,2,False),0)</f>
        <v>87</v>
      </c>
      <c r="S133" s="214"/>
      <c r="T133" s="215">
        <v>21.0</v>
      </c>
      <c r="U133" s="215">
        <v>23.0</v>
      </c>
      <c r="V133" s="215">
        <v>92.0</v>
      </c>
      <c r="W133" s="215">
        <v>84.0</v>
      </c>
      <c r="X133" s="215">
        <v>74.0</v>
      </c>
      <c r="Y133" s="215"/>
      <c r="Z133" s="217"/>
      <c r="AA133" s="218">
        <v>62.4</v>
      </c>
      <c r="AB133" s="219">
        <v>100.0</v>
      </c>
      <c r="AC133" s="295">
        <v>72.0</v>
      </c>
      <c r="AD133" s="129">
        <v>65.0</v>
      </c>
      <c r="AE133" s="130">
        <v>70.0</v>
      </c>
      <c r="AF133" s="481"/>
      <c r="AG133" s="295">
        <v>79.0</v>
      </c>
      <c r="AH133" s="481"/>
      <c r="AI133" s="88"/>
      <c r="AJ133" s="88"/>
      <c r="AK133" s="132">
        <f t="shared" si="1"/>
        <v>4</v>
      </c>
      <c r="AL133" s="132">
        <f t="shared" si="2"/>
        <v>3</v>
      </c>
      <c r="AM133" s="133">
        <f t="shared" si="3"/>
        <v>3</v>
      </c>
      <c r="AN133" s="132" t="str">
        <f t="shared" si="8"/>
        <v>3.5</v>
      </c>
      <c r="AO133" s="132">
        <f t="shared" si="5"/>
        <v>3</v>
      </c>
      <c r="AP133" s="88"/>
    </row>
    <row r="134">
      <c r="A134" s="142">
        <v>130.0</v>
      </c>
      <c r="B134" s="483" t="s">
        <v>1728</v>
      </c>
      <c r="C134" s="483" t="s">
        <v>2999</v>
      </c>
      <c r="D134" s="209" t="str">
        <f>VLOOKUP(B134,USN!$1:$1088,2,False)</f>
        <v>1CR23AI137</v>
      </c>
      <c r="E134" s="484" t="s">
        <v>3795</v>
      </c>
      <c r="F134" s="484" t="s">
        <v>3780</v>
      </c>
      <c r="G134" s="88"/>
      <c r="H134" s="210">
        <v>72.0</v>
      </c>
      <c r="I134" s="211">
        <v>74.0</v>
      </c>
      <c r="J134" s="211">
        <f>VLOOKUP(D134,'L3'!$1:$2060,2,False)</f>
        <v>70</v>
      </c>
      <c r="K134" s="211">
        <f>VLOOKUP(D134,'L4'!$1:$2059,2,False)</f>
        <v>70</v>
      </c>
      <c r="L134" s="212">
        <f>VLOOKUP(D134,'A1 RETEST 5 DEC'!$1:$2096,2,False)</f>
        <v>50</v>
      </c>
      <c r="M134" s="213">
        <f>VLOOKUP(D134,'A2 RETEST 4 DEC'!$1:$2096,2,False)</f>
        <v>50</v>
      </c>
      <c r="N134" s="213">
        <v>51.0</v>
      </c>
      <c r="O134" s="212"/>
      <c r="P134" s="214">
        <f>IFNA(VLOOKUP(D134,'S1'!$1:$1500,2,False),0)</f>
        <v>50</v>
      </c>
      <c r="Q134" s="214">
        <f>vlookup(D134,'S2'!A132:B1334,2,0)</f>
        <v>50</v>
      </c>
      <c r="R134" s="214">
        <f>ifna(vlookup(D134,'S3'!$1:$1311,2,False),0)</f>
        <v>50</v>
      </c>
      <c r="S134" s="214"/>
      <c r="T134" s="215">
        <v>18.0</v>
      </c>
      <c r="U134" s="215">
        <v>21.0</v>
      </c>
      <c r="V134" s="215">
        <v>92.0</v>
      </c>
      <c r="W134" s="215">
        <v>90.0</v>
      </c>
      <c r="X134" s="215">
        <v>78.0</v>
      </c>
      <c r="Y134" s="215"/>
      <c r="Z134" s="217"/>
      <c r="AA134" s="218">
        <v>0.0</v>
      </c>
      <c r="AB134" s="219">
        <v>50.0</v>
      </c>
      <c r="AC134" s="295">
        <v>0.0</v>
      </c>
      <c r="AD134" s="129">
        <v>70.0</v>
      </c>
      <c r="AE134" s="129">
        <v>75.0</v>
      </c>
      <c r="AF134" s="481"/>
      <c r="AG134" s="295">
        <v>89.0</v>
      </c>
      <c r="AH134" s="481"/>
      <c r="AI134" s="88"/>
      <c r="AJ134" s="88"/>
      <c r="AK134" s="132">
        <f t="shared" si="1"/>
        <v>4</v>
      </c>
      <c r="AL134" s="132">
        <f t="shared" si="2"/>
        <v>3</v>
      </c>
      <c r="AM134" s="133">
        <f t="shared" si="3"/>
        <v>3</v>
      </c>
      <c r="AN134" s="132" t="str">
        <f t="shared" si="8"/>
        <v>3.5</v>
      </c>
      <c r="AO134" s="132">
        <f t="shared" si="5"/>
        <v>3</v>
      </c>
      <c r="AP134" s="88"/>
    </row>
    <row r="135">
      <c r="A135" s="142">
        <v>131.0</v>
      </c>
      <c r="B135" s="483" t="s">
        <v>1716</v>
      </c>
      <c r="C135" s="483" t="s">
        <v>3000</v>
      </c>
      <c r="D135" s="209" t="str">
        <f>VLOOKUP(B135,USN!$1:$1088,2,False)</f>
        <v>1CR23AI138</v>
      </c>
      <c r="E135" s="484">
        <v>7.89275622E9</v>
      </c>
      <c r="F135" s="484" t="s">
        <v>3780</v>
      </c>
      <c r="G135" s="88"/>
      <c r="H135" s="243">
        <v>70.0</v>
      </c>
      <c r="I135" s="211">
        <v>71.0</v>
      </c>
      <c r="J135" s="211">
        <f>VLOOKUP(D135,'L3'!$1:$2060,2,False)</f>
        <v>86</v>
      </c>
      <c r="K135" s="211">
        <f>VLOOKUP(D135,'L4'!$1:$2059,2,False)</f>
        <v>70</v>
      </c>
      <c r="L135" s="212">
        <f>VLOOKUP(D135,'A1 RETEST 5 DEC'!$1:$2096,2,False)</f>
        <v>25</v>
      </c>
      <c r="M135" s="213">
        <f>VLOOKUP(D135,'A2 RETEST 4 DEC'!$1:$2096,2,False)</f>
        <v>16</v>
      </c>
      <c r="N135" s="213">
        <v>50.0</v>
      </c>
      <c r="O135" s="212"/>
      <c r="P135" s="214">
        <f>IFNA(VLOOKUP(D135,'S1'!$1:$1500,2,False),0)</f>
        <v>50</v>
      </c>
      <c r="Q135" s="214">
        <f>vlookup(D135,'S2'!A133:B1335,2,0)</f>
        <v>67</v>
      </c>
      <c r="R135" s="214">
        <f>ifna(vlookup(D135,'S3'!$1:$1311,2,False),0)</f>
        <v>75</v>
      </c>
      <c r="S135" s="214"/>
      <c r="T135" s="215">
        <v>14.0</v>
      </c>
      <c r="U135" s="215">
        <v>23.0</v>
      </c>
      <c r="V135" s="215">
        <v>84.0</v>
      </c>
      <c r="W135" s="215">
        <v>88.0</v>
      </c>
      <c r="X135" s="215">
        <v>70.0</v>
      </c>
      <c r="Y135" s="215"/>
      <c r="Z135" s="217"/>
      <c r="AA135" s="218">
        <v>24.0</v>
      </c>
      <c r="AB135" s="219">
        <v>92.0</v>
      </c>
      <c r="AC135" s="295">
        <v>70.0</v>
      </c>
      <c r="AD135" s="129">
        <v>2.0</v>
      </c>
      <c r="AE135" s="130">
        <v>20.0</v>
      </c>
      <c r="AF135" s="481"/>
      <c r="AG135" s="295">
        <v>83.0</v>
      </c>
      <c r="AH135" s="481"/>
      <c r="AI135" s="88"/>
      <c r="AJ135" s="88"/>
      <c r="AK135" s="132">
        <f t="shared" si="1"/>
        <v>4</v>
      </c>
      <c r="AL135" s="132">
        <f t="shared" si="2"/>
        <v>0</v>
      </c>
      <c r="AM135" s="133">
        <f t="shared" si="3"/>
        <v>3</v>
      </c>
      <c r="AN135" s="132" t="str">
        <f t="shared" si="8"/>
        <v>3</v>
      </c>
      <c r="AO135" s="132">
        <f t="shared" si="5"/>
        <v>3</v>
      </c>
      <c r="AP135" s="88"/>
    </row>
    <row r="136">
      <c r="A136" s="142">
        <v>132.0</v>
      </c>
      <c r="B136" s="483" t="s">
        <v>1740</v>
      </c>
      <c r="C136" s="483" t="s">
        <v>3001</v>
      </c>
      <c r="D136" s="209" t="str">
        <f>VLOOKUP(B136,USN!$1:$1088,2,False)</f>
        <v>1CR23AI139</v>
      </c>
      <c r="E136" s="484">
        <v>9.353130984E9</v>
      </c>
      <c r="F136" s="484" t="s">
        <v>3780</v>
      </c>
      <c r="G136" s="88"/>
      <c r="H136" s="210">
        <v>71.0</v>
      </c>
      <c r="I136" s="211">
        <v>73.0</v>
      </c>
      <c r="J136" s="211">
        <f>VLOOKUP(D136,'L3'!$1:$2060,2,False)</f>
        <v>70</v>
      </c>
      <c r="K136" s="211">
        <f>VLOOKUP(D136,'L4'!$1:$2059,2,False)</f>
        <v>70</v>
      </c>
      <c r="L136" s="212">
        <f>VLOOKUP(D136,'A1 RETEST 5 DEC'!$1:$2096,2,False)</f>
        <v>50</v>
      </c>
      <c r="M136" s="213">
        <f>VLOOKUP(D136,'A2 RETEST 4 DEC'!$1:$2096,2,False)</f>
        <v>12</v>
      </c>
      <c r="N136" s="213">
        <v>50.0</v>
      </c>
      <c r="O136" s="212"/>
      <c r="P136" s="214">
        <f>IFNA(VLOOKUP(D136,'S1'!$1:$1500,2,False),0)</f>
        <v>75</v>
      </c>
      <c r="Q136" s="214">
        <f>vlookup(D136,'S2'!A134:B1336,2,0)</f>
        <v>87</v>
      </c>
      <c r="R136" s="214">
        <f>ifna(vlookup(D136,'S3'!$1:$1311,2,False),0)</f>
        <v>93</v>
      </c>
      <c r="S136" s="214"/>
      <c r="T136" s="215">
        <v>12.0</v>
      </c>
      <c r="U136" s="215">
        <v>16.0</v>
      </c>
      <c r="V136" s="215">
        <v>82.0</v>
      </c>
      <c r="W136" s="215">
        <v>76.0</v>
      </c>
      <c r="X136" s="215">
        <v>72.0</v>
      </c>
      <c r="Y136" s="215"/>
      <c r="Z136" s="217"/>
      <c r="AA136" s="218">
        <v>66.0</v>
      </c>
      <c r="AB136" s="219">
        <v>88.0</v>
      </c>
      <c r="AC136" s="295">
        <v>80.0</v>
      </c>
      <c r="AD136" s="324">
        <v>2.0</v>
      </c>
      <c r="AE136" s="130">
        <v>70.0</v>
      </c>
      <c r="AF136" s="481"/>
      <c r="AG136" s="295">
        <v>77.0</v>
      </c>
      <c r="AH136" s="481"/>
      <c r="AI136" s="88"/>
      <c r="AJ136" s="88"/>
      <c r="AK136" s="132">
        <f t="shared" si="1"/>
        <v>4</v>
      </c>
      <c r="AL136" s="132">
        <f t="shared" si="2"/>
        <v>1</v>
      </c>
      <c r="AM136" s="133">
        <f t="shared" si="3"/>
        <v>3</v>
      </c>
      <c r="AN136" s="132" t="str">
        <f t="shared" si="8"/>
        <v>3.5</v>
      </c>
      <c r="AO136" s="132">
        <f t="shared" si="5"/>
        <v>3</v>
      </c>
      <c r="AP136" s="88"/>
    </row>
    <row r="137">
      <c r="A137" s="142">
        <v>133.0</v>
      </c>
      <c r="B137" s="483" t="s">
        <v>1724</v>
      </c>
      <c r="C137" s="483" t="s">
        <v>3002</v>
      </c>
      <c r="D137" s="209" t="str">
        <f>VLOOKUP(B137,USN!$1:$1088,2,False)</f>
        <v>1CR23AI140</v>
      </c>
      <c r="E137" s="484">
        <v>8.660265612E9</v>
      </c>
      <c r="F137" s="484" t="s">
        <v>3780</v>
      </c>
      <c r="G137" s="88"/>
      <c r="H137" s="243">
        <v>70.0</v>
      </c>
      <c r="I137" s="211">
        <v>70.0</v>
      </c>
      <c r="J137" s="211">
        <f>VLOOKUP(D137,'L3'!$1:$2060,2,False)</f>
        <v>70</v>
      </c>
      <c r="K137" s="211">
        <f>VLOOKUP(D137,'L4'!$1:$2059,2,False)</f>
        <v>70</v>
      </c>
      <c r="L137" s="212">
        <f>VLOOKUP(D137,'A1 RETEST 5 DEC'!$1:$2096,2,False)</f>
        <v>50</v>
      </c>
      <c r="M137" s="213">
        <v>50.0</v>
      </c>
      <c r="N137" s="213">
        <v>50.0</v>
      </c>
      <c r="O137" s="212"/>
      <c r="P137" s="214">
        <f>IFNA(VLOOKUP(D137,'S1'!$1:$1500,2,False),0)</f>
        <v>50</v>
      </c>
      <c r="Q137" s="214">
        <f>vlookup(D137,'S2'!A135:B1337,2,0)</f>
        <v>50</v>
      </c>
      <c r="R137" s="214">
        <f>ifna(vlookup(D137,'S3'!$1:$1311,2,False),0)</f>
        <v>50</v>
      </c>
      <c r="S137" s="214"/>
      <c r="T137" s="215">
        <v>21.0</v>
      </c>
      <c r="U137" s="215">
        <v>21.0</v>
      </c>
      <c r="V137" s="215">
        <v>94.0</v>
      </c>
      <c r="W137" s="215">
        <v>86.0</v>
      </c>
      <c r="X137" s="215">
        <v>84.0</v>
      </c>
      <c r="Y137" s="215"/>
      <c r="Z137" s="217"/>
      <c r="AA137" s="218">
        <v>46.0</v>
      </c>
      <c r="AB137" s="219">
        <v>95.0</v>
      </c>
      <c r="AC137" s="295">
        <v>15.0</v>
      </c>
      <c r="AD137" s="324">
        <v>80.0</v>
      </c>
      <c r="AE137" s="130">
        <v>60.0</v>
      </c>
      <c r="AF137" s="481"/>
      <c r="AG137" s="498">
        <v>65.0</v>
      </c>
      <c r="AH137" s="481"/>
      <c r="AI137" s="88"/>
      <c r="AJ137" s="88"/>
      <c r="AK137" s="132">
        <f t="shared" si="1"/>
        <v>4</v>
      </c>
      <c r="AL137" s="132">
        <f t="shared" si="2"/>
        <v>3</v>
      </c>
      <c r="AM137" s="133">
        <f t="shared" si="3"/>
        <v>3</v>
      </c>
      <c r="AN137" s="132" t="str">
        <f t="shared" si="8"/>
        <v>3</v>
      </c>
      <c r="AO137" s="132">
        <f t="shared" si="5"/>
        <v>3</v>
      </c>
      <c r="AP137" s="88"/>
    </row>
    <row r="138">
      <c r="A138" s="142">
        <v>134.0</v>
      </c>
      <c r="B138" s="483" t="s">
        <v>1685</v>
      </c>
      <c r="C138" s="483" t="s">
        <v>3003</v>
      </c>
      <c r="D138" s="209" t="str">
        <f>VLOOKUP(B138,USN!$1:$1088,2,False)</f>
        <v>1CR23AI141</v>
      </c>
      <c r="E138" s="495">
        <v>9.34193707E9</v>
      </c>
      <c r="F138" s="234" t="s">
        <v>3780</v>
      </c>
      <c r="G138" s="88"/>
      <c r="H138" s="210">
        <v>71.0</v>
      </c>
      <c r="I138" s="211">
        <v>76.0</v>
      </c>
      <c r="J138" s="211">
        <f>VLOOKUP(D138,'L3'!$1:$2060,2,False)</f>
        <v>70</v>
      </c>
      <c r="K138" s="211">
        <f>VLOOKUP(D138,'L4'!$1:$2059,2,False)</f>
        <v>70</v>
      </c>
      <c r="L138" s="212">
        <f>VLOOKUP(D138,'A1 RETEST 5 DEC'!$1:$2096,2,False)</f>
        <v>50</v>
      </c>
      <c r="M138" s="213">
        <f>VLOOKUP(D138,'A2 RETEST 4 DEC'!$1:$2096,2,False)</f>
        <v>50</v>
      </c>
      <c r="N138" s="213">
        <v>19.0</v>
      </c>
      <c r="O138" s="212"/>
      <c r="P138" s="214">
        <f>IFNA(VLOOKUP(D138,'S1'!$1:$1500,2,False),0)</f>
        <v>50</v>
      </c>
      <c r="Q138" s="214">
        <f>vlookup(D138,'S2'!A136:B1338,2,0)</f>
        <v>73</v>
      </c>
      <c r="R138" s="214">
        <f>ifna(vlookup(D138,'S3'!$1:$1311,2,False),0)</f>
        <v>78</v>
      </c>
      <c r="S138" s="214"/>
      <c r="T138" s="215">
        <v>7.0</v>
      </c>
      <c r="U138" s="215">
        <v>20.0</v>
      </c>
      <c r="V138" s="215">
        <v>88.0</v>
      </c>
      <c r="W138" s="215">
        <v>82.0</v>
      </c>
      <c r="X138" s="215">
        <v>68.0</v>
      </c>
      <c r="Y138" s="215"/>
      <c r="Z138" s="217"/>
      <c r="AA138" s="218">
        <v>42.0</v>
      </c>
      <c r="AB138" s="219">
        <v>90.0</v>
      </c>
      <c r="AC138" s="295">
        <v>66.0</v>
      </c>
      <c r="AD138" s="324">
        <v>100.0</v>
      </c>
      <c r="AE138" s="130">
        <v>10.0</v>
      </c>
      <c r="AF138" s="481"/>
      <c r="AG138" s="498">
        <v>0.0</v>
      </c>
      <c r="AH138" s="481"/>
      <c r="AI138" s="88"/>
      <c r="AJ138" s="88"/>
      <c r="AK138" s="132">
        <f t="shared" si="1"/>
        <v>4</v>
      </c>
      <c r="AL138" s="132">
        <f t="shared" si="2"/>
        <v>2</v>
      </c>
      <c r="AM138" s="133">
        <f t="shared" si="3"/>
        <v>3</v>
      </c>
      <c r="AN138" s="132" t="str">
        <f t="shared" si="8"/>
        <v>3</v>
      </c>
      <c r="AO138" s="132">
        <f t="shared" si="5"/>
        <v>3</v>
      </c>
      <c r="AP138" s="88"/>
    </row>
    <row r="139">
      <c r="A139" s="142">
        <v>135.0</v>
      </c>
      <c r="B139" s="137" t="s">
        <v>1725</v>
      </c>
      <c r="C139" s="137" t="s">
        <v>3004</v>
      </c>
      <c r="D139" s="209" t="str">
        <f>VLOOKUP(B139,USN!$1:$1088,2,False)</f>
        <v>1CR23AI142</v>
      </c>
      <c r="E139" s="138">
        <v>9.113582304E9</v>
      </c>
      <c r="F139" s="138" t="s">
        <v>3780</v>
      </c>
      <c r="G139" s="88"/>
      <c r="H139" s="210">
        <v>74.0</v>
      </c>
      <c r="I139" s="211">
        <v>79.0</v>
      </c>
      <c r="J139" s="211">
        <f>VLOOKUP(D139,'L3'!$1:$2060,2,False)</f>
        <v>70</v>
      </c>
      <c r="K139" s="211">
        <f>VLOOKUP(D139,'L4'!$1:$2059,2,False)</f>
        <v>70</v>
      </c>
      <c r="L139" s="212">
        <f>VLOOKUP(D139,'A1 RETEST 5 DEC'!$1:$2096,2,False)</f>
        <v>50</v>
      </c>
      <c r="M139" s="213">
        <f>VLOOKUP(D139,'A2 RETEST 4 DEC'!$1:$2096,2,False)</f>
        <v>6</v>
      </c>
      <c r="N139" s="213">
        <v>50.0</v>
      </c>
      <c r="O139" s="212"/>
      <c r="P139" s="214">
        <f>IFNA(VLOOKUP(D139,'S1'!$1:$1500,2,False),0)</f>
        <v>85</v>
      </c>
      <c r="Q139" s="214">
        <f>vlookup(D139,'S2'!A137:B1339,2,0)</f>
        <v>71</v>
      </c>
      <c r="R139" s="214">
        <f>ifna(vlookup(D139,'S3'!$1:$1311,2,False),0)</f>
        <v>38</v>
      </c>
      <c r="S139" s="214"/>
      <c r="T139" s="215">
        <v>19.0</v>
      </c>
      <c r="U139" s="215">
        <v>24.0</v>
      </c>
      <c r="V139" s="215">
        <v>94.0</v>
      </c>
      <c r="W139" s="215">
        <v>84.0</v>
      </c>
      <c r="X139" s="215">
        <v>68.0</v>
      </c>
      <c r="Y139" s="215"/>
      <c r="Z139" s="217"/>
      <c r="AA139" s="218">
        <v>36.0</v>
      </c>
      <c r="AB139" s="219">
        <v>100.0</v>
      </c>
      <c r="AC139" s="295">
        <v>13.0</v>
      </c>
      <c r="AD139" s="324">
        <v>60.0</v>
      </c>
      <c r="AE139" s="130">
        <v>55.0</v>
      </c>
      <c r="AF139" s="481"/>
      <c r="AG139" s="295">
        <v>90.0</v>
      </c>
      <c r="AH139" s="481"/>
      <c r="AI139" s="88"/>
      <c r="AJ139" s="88"/>
      <c r="AK139" s="132">
        <f t="shared" si="1"/>
        <v>4</v>
      </c>
      <c r="AL139" s="132">
        <f t="shared" si="2"/>
        <v>1</v>
      </c>
      <c r="AM139" s="133">
        <f t="shared" si="3"/>
        <v>3</v>
      </c>
      <c r="AN139" s="132" t="str">
        <f t="shared" si="8"/>
        <v>3</v>
      </c>
      <c r="AO139" s="132">
        <f t="shared" si="5"/>
        <v>2</v>
      </c>
      <c r="AP139" s="88"/>
    </row>
    <row r="140">
      <c r="A140" s="142">
        <v>136.0</v>
      </c>
      <c r="B140" s="137" t="s">
        <v>1730</v>
      </c>
      <c r="C140" s="137" t="s">
        <v>3005</v>
      </c>
      <c r="D140" s="499" t="str">
        <f>VLOOKUP(B140,USN!$1:$1088,2,False)</f>
        <v>1CR23AI143</v>
      </c>
      <c r="E140" s="138">
        <v>8.867157957E9</v>
      </c>
      <c r="F140" s="138" t="s">
        <v>3780</v>
      </c>
      <c r="G140" s="88"/>
      <c r="H140" s="210">
        <v>89.0</v>
      </c>
      <c r="I140" s="211">
        <v>97.0</v>
      </c>
      <c r="J140" s="211">
        <f>VLOOKUP(D140,'L3'!$1:$2060,2,False)</f>
        <v>83</v>
      </c>
      <c r="K140" s="211">
        <f>VLOOKUP(D140,'L4'!$1:$2059,2,False)</f>
        <v>70</v>
      </c>
      <c r="L140" s="212">
        <f>VLOOKUP(D140,'A1 RETEST 5 DEC'!$1:$2096,2,False)</f>
        <v>50</v>
      </c>
      <c r="M140" s="213">
        <f>VLOOKUP(D140,'A2 RETEST 4 DEC'!$1:$2096,2,False)</f>
        <v>39</v>
      </c>
      <c r="N140" s="213">
        <v>50.0</v>
      </c>
      <c r="O140" s="212"/>
      <c r="P140" s="214">
        <f>IFNA(VLOOKUP(D140,'S1'!$1:$1500,2,False),0)</f>
        <v>82</v>
      </c>
      <c r="Q140" s="214">
        <f>vlookup(D140,'S2'!A138:B1340,2,0)</f>
        <v>54</v>
      </c>
      <c r="R140" s="214">
        <f>ifna(vlookup(D140,'S3'!$1:$1311,2,False),0)</f>
        <v>88</v>
      </c>
      <c r="S140" s="214"/>
      <c r="T140" s="215">
        <v>12.0</v>
      </c>
      <c r="U140" s="215">
        <v>18.0</v>
      </c>
      <c r="V140" s="215">
        <v>74.0</v>
      </c>
      <c r="W140" s="215">
        <v>90.0</v>
      </c>
      <c r="X140" s="215">
        <v>74.0</v>
      </c>
      <c r="Y140" s="215"/>
      <c r="Z140" s="217"/>
      <c r="AA140" s="218">
        <v>44.0</v>
      </c>
      <c r="AB140" s="219">
        <v>75.0</v>
      </c>
      <c r="AC140" s="295">
        <v>60.0</v>
      </c>
      <c r="AD140" s="324">
        <v>62.0</v>
      </c>
      <c r="AE140" s="130">
        <v>70.0</v>
      </c>
      <c r="AF140" s="481"/>
      <c r="AG140" s="295">
        <v>84.0</v>
      </c>
      <c r="AH140" s="481"/>
      <c r="AI140" s="88"/>
      <c r="AJ140" s="88"/>
      <c r="AK140" s="132">
        <f t="shared" si="1"/>
        <v>4</v>
      </c>
      <c r="AL140" s="132">
        <f t="shared" si="2"/>
        <v>1</v>
      </c>
      <c r="AM140" s="133">
        <f t="shared" si="3"/>
        <v>3</v>
      </c>
      <c r="AN140" s="132" t="str">
        <f t="shared" si="8"/>
        <v>3.5</v>
      </c>
      <c r="AO140" s="132">
        <f t="shared" si="5"/>
        <v>3</v>
      </c>
      <c r="AP140" s="88"/>
    </row>
    <row r="141">
      <c r="A141" s="142">
        <v>137.0</v>
      </c>
      <c r="B141" s="25" t="s">
        <v>43</v>
      </c>
      <c r="C141" s="500" t="s">
        <v>3627</v>
      </c>
      <c r="D141" s="499" t="s">
        <v>1191</v>
      </c>
      <c r="E141" s="501">
        <v>7.795189781E9</v>
      </c>
      <c r="F141" s="138" t="s">
        <v>3780</v>
      </c>
      <c r="G141" s="118"/>
      <c r="H141" s="117">
        <v>70.0</v>
      </c>
      <c r="I141" s="117">
        <v>70.0</v>
      </c>
      <c r="J141" s="211">
        <f>VLOOKUP(D141,'L3'!$1:$2060,2,False)</f>
        <v>70</v>
      </c>
      <c r="K141" s="211">
        <f>VLOOKUP(D141,'L4'!$1:$2059,2,False)</f>
        <v>70</v>
      </c>
      <c r="L141" s="212">
        <f>VLOOKUP(D141,'A1 RETEST 5 DEC'!$1:$2096,2,False)</f>
        <v>21</v>
      </c>
      <c r="M141" s="213">
        <f>VLOOKUP(D141,'A2 RETEST 4 DEC'!$1:$2096,2,False)</f>
        <v>36</v>
      </c>
      <c r="N141" s="213">
        <v>50.0</v>
      </c>
      <c r="O141" s="324"/>
      <c r="P141" s="214">
        <f>IFNA(VLOOKUP(D141,'S1'!$1:$1500,2,False),0)</f>
        <v>50</v>
      </c>
      <c r="Q141" s="214">
        <f>vlookup(D141,'S2'!A139:B1341,2,0)</f>
        <v>73</v>
      </c>
      <c r="R141" s="214">
        <f>ifna(vlookup(D141,'S3'!$1:$1311,2,False),0)</f>
        <v>81</v>
      </c>
      <c r="S141" s="123"/>
      <c r="T141" s="502"/>
      <c r="U141" s="324"/>
      <c r="V141" s="324">
        <v>92.0</v>
      </c>
      <c r="W141" s="324">
        <v>82.0</v>
      </c>
      <c r="X141" s="324">
        <v>72.0</v>
      </c>
      <c r="Y141" s="324"/>
      <c r="Z141" s="299"/>
      <c r="AA141" s="503"/>
      <c r="AB141" s="324">
        <v>100.0</v>
      </c>
      <c r="AC141" s="324">
        <v>100.0</v>
      </c>
      <c r="AD141" s="324">
        <v>60.0</v>
      </c>
      <c r="AE141" s="130">
        <v>31.0</v>
      </c>
      <c r="AF141" s="299"/>
      <c r="AG141" s="324">
        <v>70.0</v>
      </c>
      <c r="AH141" s="299"/>
      <c r="AI141" s="88"/>
      <c r="AJ141" s="88"/>
      <c r="AK141" s="132">
        <f t="shared" si="1"/>
        <v>4</v>
      </c>
      <c r="AL141" s="132">
        <f t="shared" si="2"/>
        <v>0</v>
      </c>
      <c r="AM141" s="133">
        <f t="shared" si="3"/>
        <v>0</v>
      </c>
      <c r="AN141" s="132" t="str">
        <f t="shared" si="8"/>
        <v>3</v>
      </c>
      <c r="AO141" s="132">
        <f t="shared" si="5"/>
        <v>3</v>
      </c>
      <c r="AP141" s="88"/>
    </row>
    <row r="142">
      <c r="A142" s="142">
        <v>138.0</v>
      </c>
      <c r="B142" s="25" t="s">
        <v>33</v>
      </c>
      <c r="C142" s="500" t="s">
        <v>3628</v>
      </c>
      <c r="D142" s="499" t="s">
        <v>1188</v>
      </c>
      <c r="E142" s="450">
        <v>7.01986259E9</v>
      </c>
      <c r="F142" s="138" t="s">
        <v>3780</v>
      </c>
      <c r="G142" s="118"/>
      <c r="H142" s="117">
        <f>IFNA(VLOOKUP(B142,'L1 '!$1:$1000,2,False),0)</f>
        <v>72</v>
      </c>
      <c r="I142" s="117">
        <v>70.0</v>
      </c>
      <c r="J142" s="211">
        <f>VLOOKUP(D142,'L3'!$1:$2060,2,False)</f>
        <v>70</v>
      </c>
      <c r="K142" s="211">
        <f>VLOOKUP(D142,'L4'!$1:$2059,2,False)</f>
        <v>70</v>
      </c>
      <c r="L142" s="212">
        <f>VLOOKUP(D142,'A1 RETEST 5 DEC'!$1:$2096,2,False)</f>
        <v>0</v>
      </c>
      <c r="M142" s="213">
        <f>VLOOKUP(D142,'A2 RETEST 4 DEC'!$1:$2096,2,False)</f>
        <v>5</v>
      </c>
      <c r="N142" s="213">
        <v>50.0</v>
      </c>
      <c r="O142" s="324"/>
      <c r="P142" s="214">
        <f>IFNA(VLOOKUP(D142,'S1'!$1:$1500,2,False),0)</f>
        <v>50</v>
      </c>
      <c r="Q142" s="214">
        <f>vlookup(D142,'S2'!A140:B1342,2,0)</f>
        <v>50</v>
      </c>
      <c r="R142" s="214">
        <f>ifna(vlookup(D142,'S3'!$1:$1311,2,False),0)</f>
        <v>87</v>
      </c>
      <c r="S142" s="123"/>
      <c r="T142" s="502"/>
      <c r="U142" s="324"/>
      <c r="V142" s="324">
        <v>94.0</v>
      </c>
      <c r="W142" s="324">
        <v>90.0</v>
      </c>
      <c r="X142" s="324">
        <v>68.0</v>
      </c>
      <c r="Y142" s="324"/>
      <c r="Z142" s="299"/>
      <c r="AA142" s="503"/>
      <c r="AB142" s="324">
        <v>0.0</v>
      </c>
      <c r="AC142" s="324">
        <v>0.0</v>
      </c>
      <c r="AD142" s="324">
        <v>60.0</v>
      </c>
      <c r="AE142" s="130">
        <v>35.0</v>
      </c>
      <c r="AF142" s="299"/>
      <c r="AG142" s="324">
        <v>70.0</v>
      </c>
      <c r="AH142" s="299"/>
      <c r="AI142" s="88"/>
      <c r="AJ142" s="88"/>
      <c r="AK142" s="132">
        <f t="shared" si="1"/>
        <v>4</v>
      </c>
      <c r="AL142" s="132">
        <f t="shared" si="2"/>
        <v>0</v>
      </c>
      <c r="AM142" s="133">
        <f t="shared" si="3"/>
        <v>0</v>
      </c>
      <c r="AN142" s="132" t="str">
        <f t="shared" si="8"/>
        <v>0</v>
      </c>
      <c r="AO142" s="132">
        <f t="shared" si="5"/>
        <v>3</v>
      </c>
      <c r="AP142" s="88"/>
    </row>
    <row r="143">
      <c r="A143" s="142">
        <v>139.0</v>
      </c>
      <c r="B143" s="25" t="s">
        <v>35</v>
      </c>
      <c r="C143" s="500" t="s">
        <v>3629</v>
      </c>
      <c r="D143" s="499" t="s">
        <v>1192</v>
      </c>
      <c r="E143" s="450">
        <v>8.105808706E9</v>
      </c>
      <c r="F143" s="138" t="s">
        <v>3780</v>
      </c>
      <c r="G143" s="118"/>
      <c r="H143" s="117">
        <v>70.0</v>
      </c>
      <c r="I143" s="117">
        <v>70.0</v>
      </c>
      <c r="J143" s="211">
        <f>VLOOKUP(D143,'L3'!$1:$2060,2,False)</f>
        <v>73</v>
      </c>
      <c r="K143" s="211">
        <f>VLOOKUP(D143,'L4'!$1:$2059,2,False)</f>
        <v>70</v>
      </c>
      <c r="L143" s="212">
        <f>VLOOKUP(D143,'A1 RETEST 5 DEC'!$1:$2096,2,False)</f>
        <v>26</v>
      </c>
      <c r="M143" s="213">
        <f>VLOOKUP(D143,'A2 RETEST 4 DEC'!$1:$2096,2,False)</f>
        <v>18</v>
      </c>
      <c r="N143" s="213">
        <v>0.0</v>
      </c>
      <c r="O143" s="324"/>
      <c r="P143" s="214">
        <f>IFNA(VLOOKUP(D143,'S1'!$1:$1500,2,False),0)</f>
        <v>50</v>
      </c>
      <c r="Q143" s="214">
        <f>vlookup(D143,'S2'!A141:B1343,2,0)</f>
        <v>50</v>
      </c>
      <c r="R143" s="214">
        <f>ifna(vlookup(D143,'S3'!$1:$1311,2,False),0)</f>
        <v>90</v>
      </c>
      <c r="S143" s="123"/>
      <c r="T143" s="502"/>
      <c r="U143" s="324"/>
      <c r="V143" s="324">
        <v>94.0</v>
      </c>
      <c r="W143" s="324">
        <v>82.0</v>
      </c>
      <c r="X143" s="324">
        <v>68.0</v>
      </c>
      <c r="Y143" s="324"/>
      <c r="Z143" s="299"/>
      <c r="AA143" s="503"/>
      <c r="AB143" s="324">
        <v>63.0</v>
      </c>
      <c r="AC143" s="324">
        <v>63.0</v>
      </c>
      <c r="AD143" s="324">
        <v>0.0</v>
      </c>
      <c r="AE143" s="130">
        <v>10.0</v>
      </c>
      <c r="AF143" s="299"/>
      <c r="AG143" s="324">
        <v>70.0</v>
      </c>
      <c r="AH143" s="299"/>
      <c r="AI143" s="88"/>
      <c r="AJ143" s="88"/>
      <c r="AK143" s="132">
        <f t="shared" si="1"/>
        <v>4</v>
      </c>
      <c r="AL143" s="132">
        <f t="shared" si="2"/>
        <v>0</v>
      </c>
      <c r="AM143" s="133">
        <f t="shared" si="3"/>
        <v>0</v>
      </c>
      <c r="AN143" s="132" t="str">
        <f t="shared" si="8"/>
        <v>3</v>
      </c>
      <c r="AO143" s="132">
        <f t="shared" si="5"/>
        <v>3</v>
      </c>
      <c r="AP143" s="88"/>
    </row>
    <row r="144">
      <c r="A144" s="142">
        <v>140.0</v>
      </c>
      <c r="B144" s="25" t="s">
        <v>3630</v>
      </c>
      <c r="C144" s="500" t="s">
        <v>3631</v>
      </c>
      <c r="D144" s="499" t="s">
        <v>1185</v>
      </c>
      <c r="E144" s="450">
        <v>9.482570891E9</v>
      </c>
      <c r="F144" s="138" t="s">
        <v>3780</v>
      </c>
      <c r="G144" s="118"/>
      <c r="H144" s="117">
        <f>IFNA(VLOOKUP(B144,'L1 '!$1:$1000,2,False),0)</f>
        <v>0</v>
      </c>
      <c r="I144" s="117">
        <f>IFNA(VLOOKUP(B144,'L2'!$1:$1000,2,False),0)</f>
        <v>0</v>
      </c>
      <c r="J144" s="211">
        <f>VLOOKUP(D144,'L3'!$1:$2060,2,False)</f>
        <v>71</v>
      </c>
      <c r="K144" s="211">
        <f>VLOOKUP(D144,'L4'!$1:$2059,2,False)</f>
        <v>43</v>
      </c>
      <c r="L144" s="212">
        <f>VLOOKUP(D144,'A1 RETEST 5 DEC'!$1:$2096,2,False)</f>
        <v>0</v>
      </c>
      <c r="M144" s="213">
        <f>VLOOKUP(D144,'A2 RETEST 4 DEC'!$1:$2096,2,False)</f>
        <v>-3</v>
      </c>
      <c r="N144" s="213">
        <v>0.0</v>
      </c>
      <c r="O144" s="324"/>
      <c r="P144" s="214">
        <f>IFNA(VLOOKUP(D144,'S1'!$1:$1500,2,False),0)</f>
        <v>0</v>
      </c>
      <c r="Q144" s="214">
        <f>vlookup(D144,'S2'!A142:B1344,2,0)</f>
        <v>88</v>
      </c>
      <c r="R144" s="214">
        <f>ifna(vlookup(D144,'S3'!$1:$1311,2,False),0)</f>
        <v>0</v>
      </c>
      <c r="S144" s="123"/>
      <c r="T144" s="502"/>
      <c r="U144" s="324"/>
      <c r="V144" s="324">
        <v>84.0</v>
      </c>
      <c r="W144" s="324">
        <v>86.0</v>
      </c>
      <c r="X144" s="324">
        <v>0.0</v>
      </c>
      <c r="Y144" s="324"/>
      <c r="Z144" s="299"/>
      <c r="AA144" s="503"/>
      <c r="AB144" s="324">
        <v>0.0</v>
      </c>
      <c r="AC144" s="324">
        <v>0.0</v>
      </c>
      <c r="AD144" s="324">
        <v>1.0</v>
      </c>
      <c r="AE144" s="130">
        <v>10.0</v>
      </c>
      <c r="AF144" s="299"/>
      <c r="AG144" s="324">
        <v>39.0</v>
      </c>
      <c r="AH144" s="299"/>
      <c r="AI144" s="88"/>
      <c r="AJ144" s="88"/>
      <c r="AK144" s="132">
        <f t="shared" si="1"/>
        <v>0</v>
      </c>
      <c r="AL144" s="132">
        <f t="shared" si="2"/>
        <v>0</v>
      </c>
      <c r="AM144" s="133">
        <f t="shared" si="3"/>
        <v>0</v>
      </c>
      <c r="AN144" s="132" t="str">
        <f t="shared" si="8"/>
        <v>0</v>
      </c>
      <c r="AO144" s="132">
        <f t="shared" si="5"/>
        <v>0</v>
      </c>
      <c r="AP144" s="88"/>
    </row>
    <row r="145">
      <c r="A145" s="142">
        <v>141.0</v>
      </c>
      <c r="B145" s="25" t="s">
        <v>42</v>
      </c>
      <c r="C145" s="500" t="s">
        <v>3632</v>
      </c>
      <c r="D145" s="499" t="s">
        <v>1189</v>
      </c>
      <c r="E145" s="450">
        <v>7.975924322E9</v>
      </c>
      <c r="F145" s="138" t="s">
        <v>3780</v>
      </c>
      <c r="G145" s="118"/>
      <c r="H145" s="117">
        <f>IFNA(VLOOKUP(B145,'L1 '!$1:$1000,2,False),0)</f>
        <v>65</v>
      </c>
      <c r="I145" s="117">
        <f>IFNA(VLOOKUP(B145,'L2'!$1:$1000,2,False),0)</f>
        <v>68</v>
      </c>
      <c r="J145" s="211">
        <f>VLOOKUP(D145,'L3'!$1:$2060,2,False)</f>
        <v>70</v>
      </c>
      <c r="K145" s="211">
        <f>VLOOKUP(D145,'L4'!$1:$2059,2,False)</f>
        <v>52</v>
      </c>
      <c r="L145" s="212">
        <f>VLOOKUP(D145,'A1 RETEST 5 DEC'!$1:$2096,2,False)</f>
        <v>50</v>
      </c>
      <c r="M145" s="213">
        <f>VLOOKUP(D145,'A2 RETEST 4 DEC'!$1:$2096,2,False)</f>
        <v>14</v>
      </c>
      <c r="N145" s="213">
        <v>9.0</v>
      </c>
      <c r="O145" s="324"/>
      <c r="P145" s="214">
        <f>IFNA(VLOOKUP(D145,'S1'!$1:$1500,2,False),0)</f>
        <v>50</v>
      </c>
      <c r="Q145" s="214">
        <f>vlookup(D145,'S2'!A143:B1345,2,0)</f>
        <v>73</v>
      </c>
      <c r="R145" s="214">
        <f>ifna(vlookup(D145,'S3'!$1:$1311,2,False),0)</f>
        <v>84</v>
      </c>
      <c r="S145" s="123"/>
      <c r="T145" s="504"/>
      <c r="U145" s="324"/>
      <c r="V145" s="324">
        <v>92.0</v>
      </c>
      <c r="W145" s="324">
        <v>88.0</v>
      </c>
      <c r="X145" s="324">
        <v>76.0</v>
      </c>
      <c r="Y145" s="324"/>
      <c r="Z145" s="299"/>
      <c r="AA145" s="503"/>
      <c r="AB145" s="324">
        <v>70.0</v>
      </c>
      <c r="AC145" s="324">
        <v>70.0</v>
      </c>
      <c r="AD145" s="324">
        <v>90.0</v>
      </c>
      <c r="AE145" s="130">
        <v>20.0</v>
      </c>
      <c r="AF145" s="299"/>
      <c r="AG145" s="498">
        <v>50.0</v>
      </c>
      <c r="AH145" s="299"/>
      <c r="AI145" s="88"/>
      <c r="AJ145" s="88"/>
      <c r="AK145" s="132">
        <f t="shared" si="1"/>
        <v>3</v>
      </c>
      <c r="AL145" s="132">
        <f t="shared" si="2"/>
        <v>1</v>
      </c>
      <c r="AM145" s="133">
        <f t="shared" si="3"/>
        <v>0</v>
      </c>
      <c r="AN145" s="132" t="str">
        <f t="shared" si="8"/>
        <v>3</v>
      </c>
      <c r="AO145" s="132">
        <f t="shared" si="5"/>
        <v>3</v>
      </c>
      <c r="AP145" s="88"/>
    </row>
    <row r="146">
      <c r="A146" s="142">
        <v>142.0</v>
      </c>
      <c r="B146" s="505" t="s">
        <v>30</v>
      </c>
      <c r="C146" s="506" t="s">
        <v>3633</v>
      </c>
      <c r="D146" s="24" t="s">
        <v>1195</v>
      </c>
      <c r="E146" s="450">
        <v>9.019953896E9</v>
      </c>
      <c r="F146" s="138" t="s">
        <v>3780</v>
      </c>
      <c r="G146" s="118"/>
      <c r="H146" s="117">
        <f>IFNA(VLOOKUP(B146,'L1 '!$1:$1000,2,False),0)</f>
        <v>72</v>
      </c>
      <c r="I146" s="117">
        <v>70.0</v>
      </c>
      <c r="J146" s="211">
        <f>VLOOKUP(D146,'L3'!$1:$2060,2,False)</f>
        <v>74</v>
      </c>
      <c r="K146" s="211">
        <f>VLOOKUP(D146,'L4'!$1:$2059,2,False)</f>
        <v>70</v>
      </c>
      <c r="L146" s="212">
        <f>VLOOKUP(D146,'A1 RETEST 5 DEC'!$1:$2096,2,False)</f>
        <v>17</v>
      </c>
      <c r="M146" s="213">
        <f>VLOOKUP(D146,'A2 RETEST 4 DEC'!$1:$2096,2,False)</f>
        <v>10</v>
      </c>
      <c r="N146" s="213">
        <v>0.0</v>
      </c>
      <c r="O146" s="324"/>
      <c r="P146" s="214">
        <f>IFNA(VLOOKUP(D146,'S1'!$1:$1500,2,False),0)</f>
        <v>50</v>
      </c>
      <c r="Q146" s="214">
        <f>vlookup(D146,'S2'!A144:B1346,2,0)</f>
        <v>50</v>
      </c>
      <c r="R146" s="214">
        <f>ifna(vlookup(D146,'S3'!$1:$1311,2,False),0)</f>
        <v>0</v>
      </c>
      <c r="S146" s="123"/>
      <c r="T146" s="502"/>
      <c r="U146" s="324"/>
      <c r="V146" s="324">
        <v>94.0</v>
      </c>
      <c r="W146" s="324">
        <v>86.0</v>
      </c>
      <c r="X146" s="324">
        <v>82.0</v>
      </c>
      <c r="Y146" s="324"/>
      <c r="Z146" s="299"/>
      <c r="AA146" s="503"/>
      <c r="AB146" s="324">
        <v>100.0</v>
      </c>
      <c r="AC146" s="324">
        <v>100.0</v>
      </c>
      <c r="AD146" s="324">
        <v>42.0</v>
      </c>
      <c r="AE146" s="130">
        <v>10.0</v>
      </c>
      <c r="AF146" s="299"/>
      <c r="AG146" s="498">
        <v>0.0</v>
      </c>
      <c r="AH146" s="299"/>
      <c r="AI146" s="88"/>
      <c r="AJ146" s="88"/>
      <c r="AK146" s="132">
        <f t="shared" si="1"/>
        <v>4</v>
      </c>
      <c r="AL146" s="132">
        <f t="shared" si="2"/>
        <v>0</v>
      </c>
      <c r="AM146" s="133">
        <f t="shared" si="3"/>
        <v>0</v>
      </c>
      <c r="AN146" s="132" t="str">
        <f t="shared" si="8"/>
        <v>3</v>
      </c>
      <c r="AO146" s="132">
        <f t="shared" si="5"/>
        <v>2</v>
      </c>
      <c r="AP146" s="88"/>
    </row>
    <row r="147">
      <c r="A147" s="507">
        <v>143.0</v>
      </c>
      <c r="B147" s="180" t="s">
        <v>29</v>
      </c>
      <c r="C147" s="508" t="s">
        <v>3796</v>
      </c>
      <c r="D147" s="499" t="s">
        <v>1183</v>
      </c>
      <c r="E147" s="450">
        <v>8.019820608E9</v>
      </c>
      <c r="F147" s="138" t="s">
        <v>3780</v>
      </c>
      <c r="G147" s="118"/>
      <c r="H147" s="117">
        <f>IFNA(VLOOKUP(B147,'L1 '!$1:$1000,2,False),0)</f>
        <v>72</v>
      </c>
      <c r="I147" s="117">
        <v>70.0</v>
      </c>
      <c r="J147" s="211">
        <f>VLOOKUP(D147,'L3'!$1:$2060,2,False)</f>
        <v>80</v>
      </c>
      <c r="K147" s="211">
        <f>VLOOKUP(D147,'L4'!$1:$2059,2,False)</f>
        <v>74</v>
      </c>
      <c r="L147" s="212">
        <f>VLOOKUP(D147,'A1 RETEST 5 DEC'!$1:$2096,2,False)</f>
        <v>4</v>
      </c>
      <c r="M147" s="213">
        <f>VLOOKUP(D147,'A2 RETEST 4 DEC'!$1:$2096,2,False)</f>
        <v>21</v>
      </c>
      <c r="N147" s="213">
        <v>50.0</v>
      </c>
      <c r="O147" s="324"/>
      <c r="P147" s="214">
        <f>IFNA(VLOOKUP(D147,'S1'!$1:$1500,2,False),0)</f>
        <v>50</v>
      </c>
      <c r="Q147" s="214">
        <f>vlookup(D147,'S2'!A145:B1347,2,0)</f>
        <v>52</v>
      </c>
      <c r="R147" s="214">
        <f>ifna(vlookup(D147,'S3'!$1:$1311,2,False),0)</f>
        <v>84</v>
      </c>
      <c r="S147" s="123"/>
      <c r="T147" s="502"/>
      <c r="U147" s="324"/>
      <c r="V147" s="324">
        <v>86.0</v>
      </c>
      <c r="W147" s="324">
        <v>88.0</v>
      </c>
      <c r="X147" s="324">
        <v>62.0</v>
      </c>
      <c r="Y147" s="324"/>
      <c r="Z147" s="299"/>
      <c r="AA147" s="503"/>
      <c r="AB147" s="324">
        <v>100.0</v>
      </c>
      <c r="AC147" s="324">
        <v>100.0</v>
      </c>
      <c r="AD147" s="324">
        <v>100.0</v>
      </c>
      <c r="AE147" s="130">
        <v>25.0</v>
      </c>
      <c r="AF147" s="299"/>
      <c r="AG147" s="324">
        <v>46.0</v>
      </c>
      <c r="AH147" s="299"/>
      <c r="AI147" s="88"/>
      <c r="AJ147" s="88"/>
      <c r="AK147" s="132">
        <f t="shared" si="1"/>
        <v>4</v>
      </c>
      <c r="AL147" s="132">
        <f t="shared" si="2"/>
        <v>0</v>
      </c>
      <c r="AM147" s="133">
        <f t="shared" si="3"/>
        <v>0</v>
      </c>
      <c r="AN147" s="132" t="str">
        <f t="shared" si="8"/>
        <v>3</v>
      </c>
      <c r="AO147" s="132">
        <f t="shared" si="5"/>
        <v>3</v>
      </c>
      <c r="AP147" s="88"/>
    </row>
    <row r="148">
      <c r="A148" s="142">
        <v>144.0</v>
      </c>
      <c r="B148" s="509" t="s">
        <v>86</v>
      </c>
      <c r="C148" s="500" t="s">
        <v>3636</v>
      </c>
      <c r="D148" s="499" t="s">
        <v>1186</v>
      </c>
      <c r="E148" s="450">
        <v>7.483672781E9</v>
      </c>
      <c r="F148" s="138" t="s">
        <v>3780</v>
      </c>
      <c r="G148" s="118"/>
      <c r="H148" s="117">
        <v>70.0</v>
      </c>
      <c r="I148" s="117">
        <v>70.0</v>
      </c>
      <c r="J148" s="211">
        <f>VLOOKUP(D148,'L3'!$1:$2060,2,False)</f>
        <v>70</v>
      </c>
      <c r="K148" s="211">
        <f>VLOOKUP(D148,'L4'!$1:$2059,2,False)</f>
        <v>70</v>
      </c>
      <c r="L148" s="212">
        <f>VLOOKUP(D148,'A1 RETEST 5 DEC'!$1:$2096,2,False)</f>
        <v>11</v>
      </c>
      <c r="M148" s="213">
        <f>VLOOKUP(D148,'A2 RETEST 4 DEC'!$1:$2096,2,False)</f>
        <v>50</v>
      </c>
      <c r="N148" s="212">
        <v>50.0</v>
      </c>
      <c r="O148" s="324"/>
      <c r="P148" s="214">
        <f>IFNA(VLOOKUP(D148,'S1'!$1:$1500,2,False),0)</f>
        <v>50</v>
      </c>
      <c r="Q148" s="214">
        <f>vlookup(D148,'S2'!A146:B1348,2,0)</f>
        <v>52</v>
      </c>
      <c r="R148" s="214">
        <f>ifna(vlookup(D148,'S3'!$1:$1311,2,False),0)</f>
        <v>76</v>
      </c>
      <c r="S148" s="123"/>
      <c r="T148" s="502"/>
      <c r="U148" s="324"/>
      <c r="V148" s="324">
        <v>90.0</v>
      </c>
      <c r="W148" s="324">
        <v>88.0</v>
      </c>
      <c r="X148" s="324">
        <v>82.0</v>
      </c>
      <c r="Y148" s="324"/>
      <c r="Z148" s="299"/>
      <c r="AA148" s="503"/>
      <c r="AB148" s="324">
        <v>70.0</v>
      </c>
      <c r="AC148" s="324">
        <v>70.0</v>
      </c>
      <c r="AD148" s="324">
        <v>60.0</v>
      </c>
      <c r="AE148" s="130">
        <v>19.0</v>
      </c>
      <c r="AF148" s="299"/>
      <c r="AG148" s="498">
        <v>59.0</v>
      </c>
      <c r="AH148" s="299"/>
      <c r="AI148" s="88"/>
      <c r="AJ148" s="88"/>
      <c r="AK148" s="132">
        <f t="shared" si="1"/>
        <v>4</v>
      </c>
      <c r="AL148" s="132">
        <f t="shared" si="2"/>
        <v>0</v>
      </c>
      <c r="AM148" s="133">
        <f t="shared" si="3"/>
        <v>0</v>
      </c>
      <c r="AN148" s="132" t="str">
        <f t="shared" si="8"/>
        <v>3</v>
      </c>
      <c r="AO148" s="132">
        <f t="shared" si="5"/>
        <v>3</v>
      </c>
      <c r="AP148" s="88"/>
    </row>
    <row r="149">
      <c r="A149" s="142">
        <v>145.0</v>
      </c>
      <c r="B149" s="25" t="s">
        <v>3637</v>
      </c>
      <c r="C149" s="500" t="s">
        <v>3797</v>
      </c>
      <c r="D149" s="499" t="s">
        <v>1193</v>
      </c>
      <c r="E149" s="450">
        <v>8.722328813E9</v>
      </c>
      <c r="F149" s="138" t="s">
        <v>3780</v>
      </c>
      <c r="G149" s="118"/>
      <c r="H149" s="117">
        <v>70.0</v>
      </c>
      <c r="I149" s="117">
        <v>70.0</v>
      </c>
      <c r="J149" s="211">
        <f>VLOOKUP(D149,'L3'!$1:$2060,2,False)</f>
        <v>70</v>
      </c>
      <c r="K149" s="211">
        <f>VLOOKUP(D149,'L4'!$1:$2059,2,False)</f>
        <v>76</v>
      </c>
      <c r="L149" s="212">
        <f>VLOOKUP(D149,'A1 RETEST 5 DEC'!$1:$2096,2,False)</f>
        <v>50</v>
      </c>
      <c r="M149" s="213">
        <f>VLOOKUP(D149,'A2 RETEST 4 DEC'!$1:$2096,2,False)</f>
        <v>21</v>
      </c>
      <c r="N149" s="213">
        <v>50.0</v>
      </c>
      <c r="O149" s="324"/>
      <c r="P149" s="214">
        <f>IFNA(VLOOKUP(D149,'S1'!$1:$1500,2,False),0)</f>
        <v>50</v>
      </c>
      <c r="Q149" s="214">
        <f>vlookup(D149,'S2'!A147:B1349,2,0)</f>
        <v>67</v>
      </c>
      <c r="R149" s="214">
        <f>ifna(vlookup(D149,'S3'!$1:$1311,2,False),0)</f>
        <v>80</v>
      </c>
      <c r="S149" s="123"/>
      <c r="T149" s="502"/>
      <c r="U149" s="324"/>
      <c r="V149" s="324">
        <v>82.0</v>
      </c>
      <c r="W149" s="324">
        <v>86.0</v>
      </c>
      <c r="X149" s="324">
        <v>74.0</v>
      </c>
      <c r="Y149" s="324"/>
      <c r="Z149" s="299"/>
      <c r="AA149" s="503"/>
      <c r="AB149" s="324">
        <v>100.0</v>
      </c>
      <c r="AC149" s="324">
        <v>100.0</v>
      </c>
      <c r="AD149" s="324">
        <v>0.0</v>
      </c>
      <c r="AE149" s="130">
        <v>33.0</v>
      </c>
      <c r="AF149" s="299"/>
      <c r="AG149" s="324">
        <v>74.0</v>
      </c>
      <c r="AH149" s="299"/>
      <c r="AI149" s="88"/>
      <c r="AJ149" s="88"/>
      <c r="AK149" s="132">
        <f t="shared" si="1"/>
        <v>4</v>
      </c>
      <c r="AL149" s="132">
        <f t="shared" si="2"/>
        <v>1</v>
      </c>
      <c r="AM149" s="133">
        <f t="shared" si="3"/>
        <v>0</v>
      </c>
      <c r="AN149" s="132" t="str">
        <f t="shared" si="8"/>
        <v>3</v>
      </c>
      <c r="AO149" s="132">
        <f t="shared" si="5"/>
        <v>3</v>
      </c>
      <c r="AP149" s="88"/>
    </row>
    <row r="150">
      <c r="A150" s="142">
        <v>146.0</v>
      </c>
      <c r="B150" s="25" t="s">
        <v>36</v>
      </c>
      <c r="C150" s="500" t="s">
        <v>3639</v>
      </c>
      <c r="D150" s="499" t="s">
        <v>1187</v>
      </c>
      <c r="E150" s="450">
        <v>9.986750267E9</v>
      </c>
      <c r="F150" s="138" t="s">
        <v>3780</v>
      </c>
      <c r="G150" s="118"/>
      <c r="H150" s="117">
        <v>70.0</v>
      </c>
      <c r="I150" s="117">
        <v>70.0</v>
      </c>
      <c r="J150" s="211">
        <f>VLOOKUP(D150,'L3'!$1:$2060,2,False)</f>
        <v>70</v>
      </c>
      <c r="K150" s="211">
        <f>VLOOKUP(D150,'L4'!$1:$2059,2,False)</f>
        <v>70</v>
      </c>
      <c r="L150" s="212">
        <f>VLOOKUP(D150,'A1 RETEST 5 DEC'!$1:$2096,2,False)</f>
        <v>9</v>
      </c>
      <c r="M150" s="213">
        <f>VLOOKUP(D150,'A2 RETEST 4 DEC'!$1:$2096,2,False)</f>
        <v>35</v>
      </c>
      <c r="N150" s="213">
        <v>23.0</v>
      </c>
      <c r="O150" s="324"/>
      <c r="P150" s="214">
        <f>IFNA(VLOOKUP(D150,'S1'!$1:$1500,2,False),0)</f>
        <v>50</v>
      </c>
      <c r="Q150" s="214">
        <f>vlookup(D150,'S2'!A148:B1350,2,0)</f>
        <v>52</v>
      </c>
      <c r="R150" s="214">
        <f>ifna(vlookup(D150,'S3'!$1:$1311,2,False),0)</f>
        <v>79</v>
      </c>
      <c r="S150" s="123"/>
      <c r="T150" s="502"/>
      <c r="U150" s="324"/>
      <c r="V150" s="324">
        <v>92.0</v>
      </c>
      <c r="W150" s="324">
        <v>84.0</v>
      </c>
      <c r="X150" s="324">
        <v>72.0</v>
      </c>
      <c r="Y150" s="324"/>
      <c r="Z150" s="299"/>
      <c r="AA150" s="503"/>
      <c r="AB150" s="324">
        <v>13.0</v>
      </c>
      <c r="AC150" s="324">
        <v>13.0</v>
      </c>
      <c r="AD150" s="324">
        <v>90.0</v>
      </c>
      <c r="AE150" s="130">
        <v>30.0</v>
      </c>
      <c r="AF150" s="299"/>
      <c r="AG150" s="498">
        <v>56.0</v>
      </c>
      <c r="AH150" s="299"/>
      <c r="AI150" s="88"/>
      <c r="AJ150" s="88"/>
      <c r="AK150" s="132">
        <f t="shared" si="1"/>
        <v>4</v>
      </c>
      <c r="AL150" s="132">
        <f t="shared" si="2"/>
        <v>0</v>
      </c>
      <c r="AM150" s="133">
        <f t="shared" si="3"/>
        <v>0</v>
      </c>
      <c r="AN150" s="132" t="str">
        <f t="shared" si="8"/>
        <v>0</v>
      </c>
      <c r="AO150" s="132">
        <f t="shared" si="5"/>
        <v>3</v>
      </c>
      <c r="AP150" s="88"/>
    </row>
    <row r="151">
      <c r="A151" s="142">
        <v>147.0</v>
      </c>
      <c r="B151" s="509" t="s">
        <v>49</v>
      </c>
      <c r="C151" s="500" t="s">
        <v>3641</v>
      </c>
      <c r="D151" s="499" t="s">
        <v>1184</v>
      </c>
      <c r="E151" s="450">
        <v>8.050419383E9</v>
      </c>
      <c r="F151" s="138" t="s">
        <v>3780</v>
      </c>
      <c r="G151" s="118"/>
      <c r="H151" s="117">
        <v>70.0</v>
      </c>
      <c r="I151" s="117">
        <v>70.0</v>
      </c>
      <c r="J151" s="211">
        <f>VLOOKUP(D151,'L3'!$1:$2060,2,False)</f>
        <v>83</v>
      </c>
      <c r="K151" s="211">
        <f>VLOOKUP(D151,'L4'!$1:$2059,2,False)</f>
        <v>70</v>
      </c>
      <c r="L151" s="212">
        <f>VLOOKUP(D151,'A1 RETEST 5 DEC'!$1:$2096,2,False)</f>
        <v>13</v>
      </c>
      <c r="M151" s="213">
        <f>VLOOKUP(D151,'A2 RETEST 4 DEC'!$1:$2096,2,False)</f>
        <v>16</v>
      </c>
      <c r="N151" s="212" t="e">
        <v>#N/A</v>
      </c>
      <c r="O151" s="324"/>
      <c r="P151" s="214">
        <f>IFNA(VLOOKUP(D151,'S1'!$1:$1500,2,False),0)</f>
        <v>50</v>
      </c>
      <c r="Q151" s="214">
        <f>vlookup(D151,'S2'!A149:B1351,2,0)</f>
        <v>52</v>
      </c>
      <c r="R151" s="214">
        <f>ifna(vlookup(D151,'S3'!$1:$1311,2,False),0)</f>
        <v>81</v>
      </c>
      <c r="S151" s="123"/>
      <c r="T151" s="502"/>
      <c r="U151" s="324"/>
      <c r="V151" s="324">
        <v>92.0</v>
      </c>
      <c r="W151" s="324">
        <v>86.0</v>
      </c>
      <c r="X151" s="324">
        <v>66.0</v>
      </c>
      <c r="Y151" s="324"/>
      <c r="Z151" s="299"/>
      <c r="AA151" s="503"/>
      <c r="AB151" s="324">
        <v>22.0</v>
      </c>
      <c r="AC151" s="324">
        <v>22.0</v>
      </c>
      <c r="AD151" s="105">
        <v>60.0</v>
      </c>
      <c r="AE151" s="130">
        <v>90.0</v>
      </c>
      <c r="AF151" s="299"/>
      <c r="AG151" s="324">
        <v>43.0</v>
      </c>
      <c r="AH151" s="299"/>
      <c r="AI151" s="88"/>
      <c r="AJ151" s="88"/>
      <c r="AK151" s="132">
        <f t="shared" si="1"/>
        <v>4</v>
      </c>
      <c r="AL151" s="132">
        <f t="shared" si="2"/>
        <v>0</v>
      </c>
      <c r="AM151" s="133">
        <f t="shared" si="3"/>
        <v>0</v>
      </c>
      <c r="AN151" s="132" t="str">
        <f t="shared" si="8"/>
        <v>0</v>
      </c>
      <c r="AO151" s="132">
        <f t="shared" si="5"/>
        <v>3</v>
      </c>
      <c r="AP151" s="88"/>
    </row>
    <row r="152">
      <c r="A152" s="142">
        <v>148.0</v>
      </c>
      <c r="B152" s="509" t="s">
        <v>98</v>
      </c>
      <c r="C152" s="500" t="s">
        <v>3643</v>
      </c>
      <c r="D152" s="499" t="s">
        <v>1190</v>
      </c>
      <c r="E152" s="450">
        <v>6.362240223E9</v>
      </c>
      <c r="F152" s="138" t="s">
        <v>3780</v>
      </c>
      <c r="G152" s="118"/>
      <c r="H152" s="117">
        <v>70.0</v>
      </c>
      <c r="I152" s="117">
        <v>70.0</v>
      </c>
      <c r="J152" s="211">
        <f>VLOOKUP(D152,'L3'!$1:$2060,2,False)</f>
        <v>72</v>
      </c>
      <c r="K152" s="211">
        <f>VLOOKUP(D152,'L4'!$1:$2059,2,False)</f>
        <v>70</v>
      </c>
      <c r="L152" s="212">
        <f>VLOOKUP(D152,'A1 RETEST 5 DEC'!$1:$2096,2,False)</f>
        <v>17</v>
      </c>
      <c r="M152" s="213">
        <f>VLOOKUP(D152,'A2 RETEST 4 DEC'!$1:$2096,2,False)</f>
        <v>18</v>
      </c>
      <c r="N152" s="212">
        <v>50.0</v>
      </c>
      <c r="O152" s="324"/>
      <c r="P152" s="214">
        <f>IFNA(VLOOKUP(D152,'S1'!$1:$1500,2,False),0)</f>
        <v>0</v>
      </c>
      <c r="Q152" s="214">
        <f>vlookup(D152,'S2'!A150:B1352,2,0)</f>
        <v>50</v>
      </c>
      <c r="R152" s="214">
        <f>ifna(vlookup(D152,'S3'!$1:$1311,2,False),0)</f>
        <v>86</v>
      </c>
      <c r="S152" s="123"/>
      <c r="T152" s="502"/>
      <c r="U152" s="324"/>
      <c r="V152" s="324">
        <v>94.0</v>
      </c>
      <c r="W152" s="324">
        <v>88.0</v>
      </c>
      <c r="X152" s="324">
        <v>68.0</v>
      </c>
      <c r="Y152" s="324"/>
      <c r="Z152" s="299"/>
      <c r="AA152" s="503"/>
      <c r="AB152" s="324">
        <v>70.0</v>
      </c>
      <c r="AC152" s="324">
        <v>70.0</v>
      </c>
      <c r="AD152" s="105">
        <v>60.0</v>
      </c>
      <c r="AE152" s="130">
        <v>45.0</v>
      </c>
      <c r="AF152" s="299"/>
      <c r="AG152" s="324">
        <v>77.0</v>
      </c>
      <c r="AH152" s="299"/>
      <c r="AI152" s="88"/>
      <c r="AJ152" s="88"/>
      <c r="AK152" s="132">
        <f t="shared" si="1"/>
        <v>4</v>
      </c>
      <c r="AL152" s="132">
        <f t="shared" si="2"/>
        <v>0</v>
      </c>
      <c r="AM152" s="133">
        <f t="shared" si="3"/>
        <v>0</v>
      </c>
      <c r="AN152" s="132" t="str">
        <f t="shared" si="8"/>
        <v>3</v>
      </c>
      <c r="AO152" s="132">
        <f t="shared" si="5"/>
        <v>0</v>
      </c>
      <c r="AP152" s="88"/>
    </row>
    <row r="153">
      <c r="A153" s="142">
        <v>149.0</v>
      </c>
      <c r="B153" s="25" t="s">
        <v>38</v>
      </c>
      <c r="C153" s="500" t="s">
        <v>3644</v>
      </c>
      <c r="D153" s="499" t="s">
        <v>1194</v>
      </c>
      <c r="E153" s="505">
        <v>9.541618792E9</v>
      </c>
      <c r="F153" s="117" t="s">
        <v>3780</v>
      </c>
      <c r="G153" s="118"/>
      <c r="H153" s="117">
        <v>70.0</v>
      </c>
      <c r="I153" s="117">
        <v>70.0</v>
      </c>
      <c r="J153" s="211">
        <f>VLOOKUP(D153,'L3'!$1:$2060,2,False)</f>
        <v>70</v>
      </c>
      <c r="K153" s="211">
        <f>VLOOKUP(D153,'L4'!$1:$2059,2,False)</f>
        <v>70</v>
      </c>
      <c r="L153" s="212">
        <f>VLOOKUP(D153,'A1 RETEST 5 DEC'!$1:$2096,2,False)</f>
        <v>25</v>
      </c>
      <c r="M153" s="213">
        <f>VLOOKUP(D153,'A2 RETEST 4 DEC'!$1:$2096,2,False)</f>
        <v>18</v>
      </c>
      <c r="N153" s="213">
        <v>50.0</v>
      </c>
      <c r="O153" s="324"/>
      <c r="P153" s="214">
        <f>IFNA(VLOOKUP(D153,'S1'!$1:$1500,2,False),0)</f>
        <v>50</v>
      </c>
      <c r="Q153" s="214">
        <f>vlookup(D153,'S2'!A151:B1353,2,0)</f>
        <v>73</v>
      </c>
      <c r="R153" s="214">
        <f>ifna(vlookup(D153,'S3'!$1:$1311,2,False),0)</f>
        <v>85</v>
      </c>
      <c r="S153" s="123"/>
      <c r="T153" s="502"/>
      <c r="U153" s="324"/>
      <c r="V153" s="324">
        <v>92.0</v>
      </c>
      <c r="W153" s="324">
        <v>86.0</v>
      </c>
      <c r="X153" s="324">
        <v>68.0</v>
      </c>
      <c r="Y153" s="324"/>
      <c r="Z153" s="299"/>
      <c r="AA153" s="503"/>
      <c r="AB153" s="324">
        <v>14.0</v>
      </c>
      <c r="AC153" s="324">
        <v>14.0</v>
      </c>
      <c r="AD153" s="105">
        <v>85.0</v>
      </c>
      <c r="AE153" s="130">
        <v>39.0</v>
      </c>
      <c r="AF153" s="299"/>
      <c r="AG153" s="498">
        <v>46.0</v>
      </c>
      <c r="AH153" s="299"/>
      <c r="AI153" s="88"/>
      <c r="AJ153" s="88"/>
      <c r="AK153" s="132">
        <f t="shared" si="1"/>
        <v>4</v>
      </c>
      <c r="AL153" s="132">
        <f t="shared" si="2"/>
        <v>0</v>
      </c>
      <c r="AM153" s="133">
        <f t="shared" si="3"/>
        <v>0</v>
      </c>
      <c r="AN153" s="132" t="str">
        <f t="shared" si="8"/>
        <v>0</v>
      </c>
      <c r="AO153" s="132">
        <f t="shared" si="5"/>
        <v>3</v>
      </c>
      <c r="AP153" s="88"/>
    </row>
    <row r="154">
      <c r="A154" s="142">
        <v>150.0</v>
      </c>
      <c r="B154" s="143" t="s">
        <v>3798</v>
      </c>
      <c r="C154" s="510" t="s">
        <v>3799</v>
      </c>
      <c r="D154" s="499" t="s">
        <v>1182</v>
      </c>
      <c r="E154" s="143"/>
      <c r="F154" s="143" t="s">
        <v>3780</v>
      </c>
      <c r="G154" s="511" t="s">
        <v>3800</v>
      </c>
      <c r="H154" s="117">
        <v>70.0</v>
      </c>
      <c r="I154" s="117">
        <v>70.0</v>
      </c>
      <c r="J154" s="211">
        <f>VLOOKUP(D154,'L3'!$1:$2060,2,False)</f>
        <v>26</v>
      </c>
      <c r="K154" s="211">
        <f>VLOOKUP(D154,'L4'!$1:$2059,2,False)</f>
        <v>70</v>
      </c>
      <c r="L154" s="212">
        <f>VLOOKUP(D154,'A1 RETEST 5 DEC'!$1:$2096,2,False)</f>
        <v>0</v>
      </c>
      <c r="M154" s="213">
        <f>VLOOKUP(D154,'A2 RETEST 4 DEC'!$1:$2096,2,False)</f>
        <v>7</v>
      </c>
      <c r="N154" s="212" t="e">
        <v>#N/A</v>
      </c>
      <c r="O154" s="324"/>
      <c r="P154" s="214">
        <f>IFNA(VLOOKUP(D154,'S1'!$1:$1500,2,False),0)</f>
        <v>0</v>
      </c>
      <c r="Q154" s="214">
        <f>vlookup(D154,'S2'!A152:B1354,2,0)</f>
        <v>72</v>
      </c>
      <c r="R154" s="214">
        <f>ifna(vlookup(D154,'S3'!$1:$1311,2,False),0)</f>
        <v>0</v>
      </c>
      <c r="S154" s="123"/>
      <c r="T154" s="502">
        <v>15.0</v>
      </c>
      <c r="U154" s="324">
        <v>15.0</v>
      </c>
      <c r="V154" s="324">
        <v>0.0</v>
      </c>
      <c r="W154" s="324">
        <v>88.0</v>
      </c>
      <c r="X154" s="324">
        <v>80.0</v>
      </c>
      <c r="Y154" s="324"/>
      <c r="Z154" s="299"/>
      <c r="AA154" s="503"/>
      <c r="AB154" s="324">
        <v>0.0</v>
      </c>
      <c r="AC154" s="324">
        <v>0.0</v>
      </c>
      <c r="AD154" s="105">
        <v>0.0</v>
      </c>
      <c r="AE154" s="130">
        <v>10.0</v>
      </c>
      <c r="AF154" s="299"/>
      <c r="AG154" s="324">
        <v>38.0</v>
      </c>
      <c r="AH154" s="299"/>
      <c r="AI154" s="88"/>
      <c r="AJ154" s="88"/>
      <c r="AK154" s="132">
        <f t="shared" si="1"/>
        <v>2</v>
      </c>
      <c r="AL154" s="132">
        <f t="shared" si="2"/>
        <v>0</v>
      </c>
      <c r="AM154" s="133">
        <f t="shared" si="3"/>
        <v>3</v>
      </c>
      <c r="AN154" s="132" t="str">
        <f t="shared" si="8"/>
        <v>0</v>
      </c>
      <c r="AO154" s="132">
        <f t="shared" si="5"/>
        <v>0</v>
      </c>
      <c r="AP154" s="88"/>
    </row>
    <row r="155">
      <c r="A155" s="321"/>
      <c r="G155" s="118"/>
      <c r="H155" s="117"/>
      <c r="I155" s="117"/>
      <c r="J155" s="117"/>
      <c r="K155" s="117"/>
      <c r="L155" s="212"/>
      <c r="M155" s="324"/>
      <c r="N155" s="324"/>
      <c r="O155" s="324"/>
      <c r="P155" s="214"/>
      <c r="Q155" s="214"/>
      <c r="R155" s="324"/>
      <c r="S155" s="324"/>
      <c r="T155" s="502"/>
      <c r="U155" s="324"/>
      <c r="V155" s="324"/>
      <c r="W155" s="324"/>
      <c r="X155" s="324"/>
      <c r="Y155" s="324"/>
      <c r="Z155" s="299"/>
      <c r="AA155" s="503"/>
      <c r="AB155" s="324"/>
      <c r="AC155" s="324"/>
      <c r="AE155" s="324"/>
      <c r="AF155" s="299"/>
      <c r="AG155" s="324"/>
      <c r="AH155" s="299"/>
      <c r="AI155" s="88"/>
      <c r="AJ155" s="88"/>
      <c r="AK155" s="131"/>
      <c r="AL155" s="131"/>
      <c r="AM155" s="131"/>
      <c r="AN155" s="131"/>
      <c r="AO155" s="131"/>
      <c r="AP155" s="88"/>
    </row>
    <row r="156">
      <c r="A156" s="261"/>
      <c r="B156" s="172"/>
      <c r="C156" s="172"/>
      <c r="D156" s="173"/>
      <c r="E156" s="155"/>
      <c r="F156" s="155"/>
      <c r="G156" s="88"/>
      <c r="H156" s="155"/>
      <c r="I156" s="155"/>
      <c r="J156" s="155"/>
      <c r="K156" s="155"/>
      <c r="L156" s="105"/>
      <c r="M156" s="105"/>
      <c r="N156" s="105"/>
      <c r="O156" s="105"/>
      <c r="P156" s="105"/>
      <c r="Q156" s="105"/>
      <c r="R156" s="105"/>
      <c r="S156" s="105"/>
      <c r="T156" s="512"/>
      <c r="U156" s="105"/>
      <c r="V156" s="105"/>
      <c r="W156" s="105"/>
      <c r="X156" s="105"/>
      <c r="Y156" s="105"/>
      <c r="Z156" s="158"/>
      <c r="AA156" s="256"/>
      <c r="AB156" s="105"/>
      <c r="AC156" s="105"/>
      <c r="AE156" s="105"/>
      <c r="AF156" s="158"/>
      <c r="AG156" s="105"/>
      <c r="AH156" s="158"/>
      <c r="AI156" s="88"/>
      <c r="AJ156" s="88"/>
      <c r="AK156" s="131"/>
      <c r="AL156" s="131"/>
      <c r="AM156" s="131"/>
      <c r="AN156" s="131"/>
      <c r="AO156" s="131"/>
      <c r="AP156" s="88"/>
    </row>
    <row r="157">
      <c r="A157" s="261"/>
      <c r="E157" s="155"/>
      <c r="F157" s="155"/>
      <c r="G157" s="88"/>
      <c r="H157" s="155"/>
      <c r="I157" s="155"/>
      <c r="J157" s="155"/>
      <c r="K157" s="155"/>
      <c r="L157" s="105"/>
      <c r="M157" s="105"/>
      <c r="N157" s="105"/>
      <c r="O157" s="105"/>
      <c r="P157" s="105"/>
      <c r="Q157" s="105"/>
      <c r="R157" s="105"/>
      <c r="S157" s="105"/>
      <c r="T157" s="512"/>
      <c r="U157" s="105"/>
      <c r="V157" s="105"/>
      <c r="W157" s="105"/>
      <c r="X157" s="105"/>
      <c r="Y157" s="105"/>
      <c r="Z157" s="158"/>
      <c r="AA157" s="105"/>
      <c r="AB157" s="105"/>
      <c r="AC157" s="105"/>
      <c r="AE157" s="105"/>
      <c r="AF157" s="158"/>
      <c r="AG157" s="105"/>
      <c r="AH157" s="158"/>
      <c r="AI157" s="88"/>
      <c r="AJ157" s="88"/>
      <c r="AK157" s="131"/>
      <c r="AL157" s="131"/>
      <c r="AM157" s="131"/>
      <c r="AN157" s="131"/>
      <c r="AO157" s="131"/>
      <c r="AP157" s="88"/>
    </row>
    <row r="158">
      <c r="A158" s="261"/>
      <c r="E158" s="155"/>
      <c r="F158" s="155"/>
      <c r="G158" s="88"/>
      <c r="H158" s="155"/>
      <c r="I158" s="155"/>
      <c r="J158" s="155"/>
      <c r="K158" s="155"/>
      <c r="L158" s="105"/>
      <c r="M158" s="105"/>
      <c r="N158" s="105"/>
      <c r="O158" s="105"/>
      <c r="P158" s="105"/>
      <c r="Q158" s="105"/>
      <c r="R158" s="105"/>
      <c r="S158" s="105"/>
      <c r="T158" s="512"/>
      <c r="U158" s="105"/>
      <c r="V158" s="105"/>
      <c r="W158" s="105"/>
      <c r="X158" s="105"/>
      <c r="Y158" s="105"/>
      <c r="Z158" s="158"/>
      <c r="AA158" s="105"/>
      <c r="AB158" s="105"/>
      <c r="AC158" s="105"/>
      <c r="AE158" s="105"/>
      <c r="AF158" s="158"/>
      <c r="AG158" s="105"/>
      <c r="AH158" s="158"/>
      <c r="AI158" s="88"/>
      <c r="AJ158" s="88"/>
      <c r="AK158" s="131"/>
      <c r="AL158" s="131"/>
      <c r="AM158" s="131"/>
      <c r="AN158" s="131"/>
      <c r="AO158" s="131"/>
      <c r="AP158" s="88"/>
    </row>
    <row r="159">
      <c r="A159" s="261"/>
      <c r="E159" s="155"/>
      <c r="F159" s="155"/>
      <c r="G159" s="88"/>
      <c r="H159" s="155"/>
      <c r="I159" s="155"/>
      <c r="J159" s="155"/>
      <c r="K159" s="15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58"/>
      <c r="AA159" s="105"/>
      <c r="AB159" s="105"/>
      <c r="AC159" s="105"/>
      <c r="AD159" s="105"/>
      <c r="AE159" s="105"/>
      <c r="AF159" s="158"/>
      <c r="AG159" s="105"/>
      <c r="AH159" s="158"/>
      <c r="AI159" s="88"/>
      <c r="AJ159" s="88"/>
      <c r="AK159" s="131"/>
      <c r="AL159" s="131"/>
      <c r="AM159" s="131"/>
      <c r="AN159" s="131"/>
      <c r="AO159" s="131"/>
      <c r="AP159" s="88"/>
    </row>
    <row r="160">
      <c r="A160" s="261"/>
      <c r="E160" s="155"/>
      <c r="F160" s="155"/>
      <c r="G160" s="88"/>
      <c r="H160" s="155"/>
      <c r="I160" s="155"/>
      <c r="J160" s="155"/>
      <c r="K160" s="15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58"/>
      <c r="AA160" s="105"/>
      <c r="AB160" s="105"/>
      <c r="AC160" s="105"/>
      <c r="AD160" s="105"/>
      <c r="AE160" s="105"/>
      <c r="AF160" s="158"/>
      <c r="AG160" s="105"/>
      <c r="AH160" s="158"/>
      <c r="AI160" s="88"/>
      <c r="AJ160" s="88"/>
      <c r="AK160" s="131"/>
      <c r="AL160" s="131"/>
      <c r="AM160" s="131"/>
      <c r="AN160" s="131"/>
      <c r="AO160" s="131"/>
      <c r="AP160" s="88"/>
    </row>
    <row r="161">
      <c r="A161" s="261"/>
      <c r="E161" s="155"/>
      <c r="F161" s="155"/>
      <c r="G161" s="88"/>
      <c r="H161" s="155"/>
      <c r="I161" s="155"/>
      <c r="J161" s="155"/>
      <c r="K161" s="15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58"/>
      <c r="AA161" s="105"/>
      <c r="AB161" s="105"/>
      <c r="AC161" s="105"/>
      <c r="AD161" s="105"/>
      <c r="AE161" s="105"/>
      <c r="AF161" s="158"/>
      <c r="AG161" s="105"/>
      <c r="AH161" s="158"/>
      <c r="AI161" s="88"/>
      <c r="AJ161" s="88"/>
      <c r="AK161" s="131"/>
      <c r="AL161" s="131"/>
      <c r="AM161" s="131"/>
      <c r="AN161" s="131"/>
      <c r="AO161" s="131"/>
      <c r="AP161" s="88"/>
    </row>
    <row r="162">
      <c r="A162" s="261"/>
      <c r="E162" s="155"/>
      <c r="F162" s="155"/>
      <c r="G162" s="88"/>
      <c r="H162" s="155"/>
      <c r="I162" s="155"/>
      <c r="J162" s="155"/>
      <c r="K162" s="15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58"/>
      <c r="AA162" s="105"/>
      <c r="AB162" s="105"/>
      <c r="AC162" s="105"/>
      <c r="AD162" s="105"/>
      <c r="AE162" s="105"/>
      <c r="AF162" s="158"/>
      <c r="AG162" s="105"/>
      <c r="AH162" s="158"/>
      <c r="AI162" s="88"/>
      <c r="AJ162" s="88"/>
      <c r="AK162" s="131"/>
      <c r="AL162" s="131"/>
      <c r="AM162" s="131"/>
      <c r="AN162" s="131"/>
      <c r="AO162" s="131"/>
      <c r="AP162" s="88"/>
    </row>
    <row r="163">
      <c r="A163" s="261"/>
      <c r="E163" s="155"/>
      <c r="F163" s="155"/>
      <c r="G163" s="88"/>
      <c r="H163" s="155"/>
      <c r="I163" s="155"/>
      <c r="J163" s="155"/>
      <c r="K163" s="15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58"/>
      <c r="AA163" s="105"/>
      <c r="AB163" s="105"/>
      <c r="AC163" s="105"/>
      <c r="AD163" s="105"/>
      <c r="AE163" s="105"/>
      <c r="AF163" s="158"/>
      <c r="AG163" s="105"/>
      <c r="AH163" s="158"/>
      <c r="AI163" s="88"/>
      <c r="AJ163" s="88"/>
      <c r="AK163" s="131"/>
      <c r="AL163" s="131"/>
      <c r="AM163" s="131"/>
      <c r="AN163" s="131"/>
      <c r="AO163" s="131"/>
      <c r="AP163" s="88"/>
    </row>
    <row r="164">
      <c r="A164" s="261"/>
      <c r="E164" s="155"/>
      <c r="F164" s="155"/>
      <c r="G164" s="88"/>
      <c r="H164" s="155"/>
      <c r="I164" s="155"/>
      <c r="J164" s="155"/>
      <c r="K164" s="15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58"/>
      <c r="AA164" s="105"/>
      <c r="AB164" s="105"/>
      <c r="AC164" s="105"/>
      <c r="AD164" s="105"/>
      <c r="AE164" s="105"/>
      <c r="AF164" s="158"/>
      <c r="AG164" s="105"/>
      <c r="AH164" s="158"/>
      <c r="AI164" s="88"/>
      <c r="AJ164" s="88"/>
      <c r="AK164" s="131"/>
      <c r="AL164" s="131"/>
      <c r="AM164" s="131"/>
      <c r="AN164" s="131"/>
      <c r="AO164" s="131"/>
      <c r="AP164" s="88"/>
    </row>
    <row r="165">
      <c r="A165" s="261"/>
      <c r="E165" s="155"/>
      <c r="F165" s="155"/>
      <c r="G165" s="88"/>
      <c r="H165" s="155"/>
      <c r="I165" s="155"/>
      <c r="J165" s="155"/>
      <c r="K165" s="15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58"/>
      <c r="AA165" s="105"/>
      <c r="AB165" s="105"/>
      <c r="AC165" s="105"/>
      <c r="AD165" s="105"/>
      <c r="AE165" s="105"/>
      <c r="AF165" s="158"/>
      <c r="AG165" s="105"/>
      <c r="AH165" s="158"/>
      <c r="AI165" s="88"/>
      <c r="AJ165" s="88"/>
      <c r="AK165" s="131"/>
      <c r="AL165" s="131"/>
      <c r="AM165" s="131"/>
      <c r="AN165" s="131"/>
      <c r="AO165" s="131"/>
      <c r="AP165" s="88"/>
    </row>
    <row r="166">
      <c r="A166" s="261"/>
      <c r="E166" s="155"/>
      <c r="F166" s="155"/>
      <c r="G166" s="88"/>
      <c r="H166" s="155"/>
      <c r="I166" s="155"/>
      <c r="J166" s="155"/>
      <c r="K166" s="15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58"/>
      <c r="AA166" s="105"/>
      <c r="AB166" s="105"/>
      <c r="AC166" s="105"/>
      <c r="AD166" s="105"/>
      <c r="AE166" s="105"/>
      <c r="AF166" s="158"/>
      <c r="AG166" s="105"/>
      <c r="AH166" s="158"/>
      <c r="AI166" s="88"/>
      <c r="AJ166" s="88"/>
      <c r="AK166" s="131"/>
      <c r="AL166" s="131"/>
      <c r="AM166" s="131"/>
      <c r="AN166" s="131"/>
      <c r="AO166" s="131"/>
      <c r="AP166" s="88"/>
    </row>
    <row r="167">
      <c r="A167" s="261"/>
      <c r="E167" s="155"/>
      <c r="F167" s="155"/>
      <c r="G167" s="88"/>
      <c r="H167" s="155"/>
      <c r="I167" s="155"/>
      <c r="J167" s="155"/>
      <c r="K167" s="15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58"/>
      <c r="AA167" s="105"/>
      <c r="AB167" s="105"/>
      <c r="AC167" s="105"/>
      <c r="AE167" s="105"/>
      <c r="AF167" s="158"/>
      <c r="AG167" s="105"/>
      <c r="AH167" s="158"/>
      <c r="AI167" s="88"/>
      <c r="AJ167" s="88"/>
      <c r="AK167" s="131"/>
      <c r="AL167" s="131"/>
      <c r="AM167" s="131"/>
      <c r="AN167" s="131"/>
      <c r="AO167" s="131"/>
      <c r="AP167" s="88"/>
    </row>
    <row r="168">
      <c r="A168" s="261"/>
      <c r="E168" s="155"/>
      <c r="F168" s="155"/>
      <c r="G168" s="88"/>
      <c r="H168" s="155"/>
      <c r="I168" s="155"/>
      <c r="J168" s="155"/>
      <c r="K168" s="15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58"/>
      <c r="AA168" s="105"/>
      <c r="AB168" s="105"/>
      <c r="AC168" s="105"/>
      <c r="AD168" s="105"/>
      <c r="AE168" s="105"/>
      <c r="AF168" s="158"/>
      <c r="AG168" s="105"/>
      <c r="AH168" s="158"/>
      <c r="AI168" s="88"/>
      <c r="AJ168" s="88"/>
      <c r="AK168" s="131"/>
      <c r="AL168" s="131"/>
      <c r="AM168" s="131"/>
      <c r="AN168" s="131"/>
      <c r="AO168" s="131"/>
      <c r="AP168" s="88"/>
    </row>
    <row r="169">
      <c r="A169" s="261"/>
      <c r="B169" s="172"/>
      <c r="C169" s="172"/>
      <c r="D169" s="173"/>
      <c r="E169" s="155"/>
      <c r="F169" s="155"/>
      <c r="G169" s="88"/>
      <c r="H169" s="155"/>
      <c r="I169" s="155"/>
      <c r="J169" s="155"/>
      <c r="K169" s="15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58"/>
      <c r="AA169" s="105"/>
      <c r="AB169" s="105"/>
      <c r="AC169" s="105"/>
      <c r="AD169" s="105"/>
      <c r="AE169" s="105"/>
      <c r="AF169" s="158"/>
      <c r="AG169" s="105"/>
      <c r="AH169" s="158"/>
      <c r="AI169" s="88"/>
      <c r="AJ169" s="88"/>
      <c r="AK169" s="131"/>
      <c r="AL169" s="131"/>
      <c r="AM169" s="131"/>
      <c r="AN169" s="131"/>
      <c r="AO169" s="131"/>
      <c r="AP169" s="88"/>
    </row>
    <row r="170">
      <c r="A170" s="261"/>
      <c r="B170" s="172"/>
      <c r="C170" s="172"/>
      <c r="D170" s="173"/>
      <c r="E170" s="155"/>
      <c r="F170" s="155"/>
      <c r="G170" s="88"/>
      <c r="H170" s="155"/>
      <c r="I170" s="155"/>
      <c r="J170" s="155"/>
      <c r="K170" s="15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58"/>
      <c r="AA170" s="105"/>
      <c r="AB170" s="105"/>
      <c r="AC170" s="105"/>
      <c r="AD170" s="105"/>
      <c r="AE170" s="105"/>
      <c r="AF170" s="158"/>
      <c r="AG170" s="105"/>
      <c r="AH170" s="158"/>
      <c r="AI170" s="88"/>
      <c r="AJ170" s="88"/>
      <c r="AK170" s="131"/>
      <c r="AL170" s="131"/>
      <c r="AM170" s="131"/>
      <c r="AN170" s="131"/>
      <c r="AO170" s="131"/>
      <c r="AP170" s="88"/>
    </row>
    <row r="171">
      <c r="A171" s="261"/>
      <c r="B171" s="172"/>
      <c r="C171" s="172"/>
      <c r="D171" s="173"/>
      <c r="E171" s="155"/>
      <c r="F171" s="155"/>
      <c r="G171" s="88"/>
      <c r="H171" s="155"/>
      <c r="I171" s="155"/>
      <c r="J171" s="155"/>
      <c r="K171" s="15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58"/>
      <c r="AA171" s="105"/>
      <c r="AB171" s="105"/>
      <c r="AC171" s="105"/>
      <c r="AD171" s="105"/>
      <c r="AE171" s="105"/>
      <c r="AF171" s="158"/>
      <c r="AG171" s="105"/>
      <c r="AH171" s="158"/>
      <c r="AI171" s="88"/>
      <c r="AJ171" s="88"/>
      <c r="AK171" s="131"/>
      <c r="AL171" s="131"/>
      <c r="AM171" s="131"/>
      <c r="AN171" s="131"/>
      <c r="AO171" s="131"/>
      <c r="AP171" s="88"/>
    </row>
    <row r="172">
      <c r="A172" s="261"/>
      <c r="B172" s="172"/>
      <c r="C172" s="172"/>
      <c r="D172" s="173"/>
      <c r="E172" s="155"/>
      <c r="F172" s="155"/>
      <c r="G172" s="88"/>
      <c r="H172" s="155"/>
      <c r="I172" s="155"/>
      <c r="J172" s="155"/>
      <c r="K172" s="15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58"/>
      <c r="AA172" s="105"/>
      <c r="AB172" s="105"/>
      <c r="AC172" s="105"/>
      <c r="AD172" s="105"/>
      <c r="AE172" s="105"/>
      <c r="AF172" s="158"/>
      <c r="AG172" s="105"/>
      <c r="AH172" s="158"/>
      <c r="AI172" s="88"/>
      <c r="AJ172" s="88"/>
      <c r="AK172" s="131"/>
      <c r="AL172" s="131"/>
      <c r="AM172" s="131"/>
      <c r="AN172" s="131"/>
      <c r="AO172" s="131"/>
      <c r="AP172" s="88"/>
    </row>
    <row r="173">
      <c r="A173" s="261"/>
      <c r="B173" s="172"/>
      <c r="C173" s="172"/>
      <c r="D173" s="173"/>
      <c r="E173" s="155"/>
      <c r="F173" s="155"/>
      <c r="G173" s="88"/>
      <c r="H173" s="155"/>
      <c r="I173" s="155"/>
      <c r="J173" s="155"/>
      <c r="K173" s="15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58"/>
      <c r="AA173" s="105"/>
      <c r="AB173" s="105"/>
      <c r="AC173" s="105"/>
      <c r="AD173" s="105"/>
      <c r="AE173" s="105"/>
      <c r="AF173" s="158"/>
      <c r="AG173" s="105"/>
      <c r="AH173" s="158"/>
      <c r="AI173" s="88"/>
      <c r="AJ173" s="88"/>
      <c r="AK173" s="131"/>
      <c r="AL173" s="131"/>
      <c r="AM173" s="131"/>
      <c r="AN173" s="131"/>
      <c r="AO173" s="131"/>
      <c r="AP173" s="88"/>
    </row>
    <row r="174">
      <c r="A174" s="261"/>
      <c r="B174" s="172"/>
      <c r="C174" s="172"/>
      <c r="D174" s="173"/>
      <c r="E174" s="155"/>
      <c r="F174" s="155"/>
      <c r="G174" s="88"/>
      <c r="H174" s="155"/>
      <c r="I174" s="155"/>
      <c r="J174" s="155"/>
      <c r="K174" s="15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58"/>
      <c r="AA174" s="105"/>
      <c r="AB174" s="105"/>
      <c r="AC174" s="105"/>
      <c r="AD174" s="105"/>
      <c r="AE174" s="105"/>
      <c r="AF174" s="158"/>
      <c r="AG174" s="105"/>
      <c r="AH174" s="158"/>
      <c r="AI174" s="88"/>
      <c r="AJ174" s="88"/>
      <c r="AK174" s="131"/>
      <c r="AL174" s="131"/>
      <c r="AM174" s="131"/>
      <c r="AN174" s="131"/>
      <c r="AO174" s="131"/>
      <c r="AP174" s="88"/>
    </row>
    <row r="175">
      <c r="A175" s="261"/>
      <c r="B175" s="172"/>
      <c r="C175" s="172"/>
      <c r="D175" s="173"/>
      <c r="E175" s="155"/>
      <c r="F175" s="155"/>
      <c r="G175" s="88"/>
      <c r="H175" s="155"/>
      <c r="I175" s="155"/>
      <c r="J175" s="155"/>
      <c r="K175" s="15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58"/>
      <c r="AA175" s="105"/>
      <c r="AB175" s="105"/>
      <c r="AC175" s="105"/>
      <c r="AD175" s="105"/>
      <c r="AE175" s="105"/>
      <c r="AF175" s="158"/>
      <c r="AG175" s="105"/>
      <c r="AH175" s="158"/>
      <c r="AI175" s="88"/>
      <c r="AJ175" s="88"/>
      <c r="AK175" s="131"/>
      <c r="AL175" s="131"/>
      <c r="AM175" s="131"/>
      <c r="AN175" s="131"/>
      <c r="AO175" s="131"/>
      <c r="AP175" s="88"/>
    </row>
    <row r="176">
      <c r="A176" s="261"/>
      <c r="B176" s="172"/>
      <c r="C176" s="172"/>
      <c r="D176" s="173"/>
      <c r="E176" s="155"/>
      <c r="F176" s="155"/>
      <c r="G176" s="88"/>
      <c r="H176" s="155"/>
      <c r="I176" s="155"/>
      <c r="J176" s="155"/>
      <c r="K176" s="15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58"/>
      <c r="AA176" s="105"/>
      <c r="AB176" s="105"/>
      <c r="AC176" s="105"/>
      <c r="AD176" s="105"/>
      <c r="AE176" s="105"/>
      <c r="AF176" s="158"/>
      <c r="AG176" s="105"/>
      <c r="AH176" s="158"/>
      <c r="AI176" s="88"/>
      <c r="AJ176" s="88"/>
      <c r="AK176" s="131"/>
      <c r="AL176" s="131"/>
      <c r="AM176" s="131"/>
      <c r="AN176" s="131"/>
      <c r="AO176" s="131"/>
      <c r="AP176" s="88"/>
    </row>
    <row r="177">
      <c r="A177" s="261"/>
      <c r="B177" s="172"/>
      <c r="C177" s="172"/>
      <c r="D177" s="173"/>
      <c r="E177" s="155"/>
      <c r="F177" s="155"/>
      <c r="G177" s="88"/>
      <c r="H177" s="155"/>
      <c r="I177" s="155"/>
      <c r="J177" s="155"/>
      <c r="K177" s="15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58"/>
      <c r="AA177" s="105"/>
      <c r="AB177" s="105"/>
      <c r="AC177" s="105"/>
      <c r="AD177" s="105"/>
      <c r="AE177" s="105"/>
      <c r="AF177" s="158"/>
      <c r="AG177" s="105"/>
      <c r="AH177" s="158"/>
      <c r="AI177" s="88"/>
      <c r="AJ177" s="88"/>
      <c r="AK177" s="131"/>
      <c r="AL177" s="131"/>
      <c r="AM177" s="131"/>
      <c r="AN177" s="131"/>
      <c r="AO177" s="131"/>
      <c r="AP177" s="88"/>
    </row>
    <row r="178">
      <c r="A178" s="261"/>
      <c r="B178" s="172"/>
      <c r="C178" s="172"/>
      <c r="D178" s="173"/>
      <c r="E178" s="155"/>
      <c r="F178" s="155"/>
      <c r="G178" s="88"/>
      <c r="H178" s="155"/>
      <c r="I178" s="155"/>
      <c r="J178" s="155"/>
      <c r="K178" s="15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58"/>
      <c r="AA178" s="105"/>
      <c r="AB178" s="105"/>
      <c r="AC178" s="105"/>
      <c r="AD178" s="105"/>
      <c r="AE178" s="105"/>
      <c r="AF178" s="158"/>
      <c r="AG178" s="105"/>
      <c r="AH178" s="158"/>
      <c r="AI178" s="88"/>
      <c r="AJ178" s="88"/>
      <c r="AK178" s="131"/>
      <c r="AL178" s="131"/>
      <c r="AM178" s="131"/>
      <c r="AN178" s="131"/>
      <c r="AO178" s="131"/>
      <c r="AP178" s="88"/>
    </row>
    <row r="179">
      <c r="A179" s="261"/>
      <c r="B179" s="172"/>
      <c r="C179" s="172"/>
      <c r="D179" s="173"/>
      <c r="E179" s="155"/>
      <c r="F179" s="155"/>
      <c r="G179" s="88"/>
      <c r="H179" s="155"/>
      <c r="I179" s="155"/>
      <c r="J179" s="155"/>
      <c r="K179" s="15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58"/>
      <c r="AA179" s="105"/>
      <c r="AB179" s="105"/>
      <c r="AC179" s="105"/>
      <c r="AD179" s="105"/>
      <c r="AE179" s="105"/>
      <c r="AF179" s="158"/>
      <c r="AG179" s="105"/>
      <c r="AH179" s="158"/>
      <c r="AI179" s="88"/>
      <c r="AJ179" s="88"/>
      <c r="AK179" s="131"/>
      <c r="AL179" s="131"/>
      <c r="AM179" s="131"/>
      <c r="AN179" s="131"/>
      <c r="AO179" s="131"/>
      <c r="AP179" s="88"/>
    </row>
    <row r="180">
      <c r="A180" s="261"/>
      <c r="B180" s="172"/>
      <c r="C180" s="172"/>
      <c r="D180" s="173"/>
      <c r="E180" s="155"/>
      <c r="F180" s="155"/>
      <c r="G180" s="88"/>
      <c r="H180" s="155"/>
      <c r="I180" s="155"/>
      <c r="J180" s="155"/>
      <c r="K180" s="15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58"/>
      <c r="AA180" s="105"/>
      <c r="AB180" s="105"/>
      <c r="AC180" s="105"/>
      <c r="AD180" s="105"/>
      <c r="AE180" s="105"/>
      <c r="AF180" s="158"/>
      <c r="AG180" s="105"/>
      <c r="AH180" s="158"/>
      <c r="AI180" s="88"/>
      <c r="AJ180" s="88"/>
      <c r="AK180" s="131"/>
      <c r="AL180" s="131"/>
      <c r="AM180" s="131"/>
      <c r="AN180" s="131"/>
      <c r="AO180" s="131"/>
      <c r="AP180" s="88"/>
    </row>
    <row r="181">
      <c r="A181" s="261"/>
      <c r="B181" s="172"/>
      <c r="C181" s="172"/>
      <c r="D181" s="173"/>
      <c r="E181" s="155"/>
      <c r="F181" s="155"/>
      <c r="G181" s="88"/>
      <c r="H181" s="155"/>
      <c r="I181" s="155"/>
      <c r="J181" s="155"/>
      <c r="K181" s="15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58"/>
      <c r="AA181" s="105"/>
      <c r="AB181" s="105"/>
      <c r="AC181" s="105"/>
      <c r="AD181" s="105"/>
      <c r="AE181" s="105"/>
      <c r="AF181" s="158"/>
      <c r="AG181" s="105"/>
      <c r="AH181" s="158"/>
      <c r="AI181" s="88"/>
      <c r="AJ181" s="88"/>
      <c r="AK181" s="131"/>
      <c r="AL181" s="131"/>
      <c r="AM181" s="131"/>
      <c r="AN181" s="131"/>
      <c r="AO181" s="131"/>
      <c r="AP181" s="88"/>
    </row>
    <row r="182">
      <c r="A182" s="261"/>
      <c r="B182" s="172"/>
      <c r="C182" s="172"/>
      <c r="D182" s="173"/>
      <c r="E182" s="155"/>
      <c r="F182" s="155"/>
      <c r="G182" s="88"/>
      <c r="H182" s="155"/>
      <c r="I182" s="155"/>
      <c r="J182" s="155"/>
      <c r="K182" s="15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58"/>
      <c r="AA182" s="105"/>
      <c r="AB182" s="105"/>
      <c r="AC182" s="105"/>
      <c r="AD182" s="105"/>
      <c r="AE182" s="105"/>
      <c r="AF182" s="158"/>
      <c r="AG182" s="105"/>
      <c r="AH182" s="158"/>
      <c r="AI182" s="88"/>
      <c r="AJ182" s="88"/>
      <c r="AK182" s="131"/>
      <c r="AL182" s="131"/>
      <c r="AM182" s="131"/>
      <c r="AN182" s="131"/>
      <c r="AO182" s="131"/>
      <c r="AP182" s="88"/>
    </row>
    <row r="183">
      <c r="A183" s="155"/>
      <c r="B183" s="173"/>
      <c r="C183" s="174"/>
      <c r="D183" s="173"/>
      <c r="E183" s="155"/>
      <c r="F183" s="155"/>
      <c r="G183" s="88"/>
      <c r="H183" s="155"/>
      <c r="I183" s="155"/>
      <c r="J183" s="155"/>
      <c r="K183" s="15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58"/>
      <c r="AA183" s="105"/>
      <c r="AB183" s="105"/>
      <c r="AC183" s="105"/>
      <c r="AD183" s="105"/>
      <c r="AE183" s="105"/>
      <c r="AF183" s="158"/>
      <c r="AG183" s="105"/>
      <c r="AH183" s="158"/>
      <c r="AI183" s="88"/>
      <c r="AJ183" s="88"/>
      <c r="AK183" s="131"/>
      <c r="AL183" s="131"/>
      <c r="AM183" s="131"/>
      <c r="AN183" s="131"/>
      <c r="AO183" s="131"/>
      <c r="AP183" s="88"/>
    </row>
    <row r="184">
      <c r="A184" s="155"/>
      <c r="B184" s="173"/>
      <c r="C184" s="174"/>
      <c r="D184" s="173"/>
      <c r="E184" s="155"/>
      <c r="F184" s="155"/>
      <c r="G184" s="88"/>
      <c r="H184" s="155"/>
      <c r="I184" s="155"/>
      <c r="J184" s="155"/>
      <c r="K184" s="15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58"/>
      <c r="AA184" s="105"/>
      <c r="AB184" s="105"/>
      <c r="AC184" s="105"/>
      <c r="AD184" s="105"/>
      <c r="AE184" s="105"/>
      <c r="AF184" s="158"/>
      <c r="AG184" s="105"/>
      <c r="AH184" s="158"/>
      <c r="AI184" s="88"/>
      <c r="AJ184" s="88"/>
      <c r="AK184" s="131"/>
      <c r="AL184" s="131"/>
      <c r="AM184" s="131"/>
      <c r="AN184" s="131"/>
      <c r="AO184" s="131"/>
      <c r="AP184" s="88"/>
    </row>
    <row r="185">
      <c r="A185" s="155"/>
      <c r="B185" s="173"/>
      <c r="C185" s="174"/>
      <c r="D185" s="173"/>
      <c r="E185" s="155"/>
      <c r="F185" s="155"/>
      <c r="G185" s="88"/>
      <c r="H185" s="155"/>
      <c r="I185" s="155"/>
      <c r="J185" s="155"/>
      <c r="K185" s="15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58"/>
      <c r="AA185" s="105"/>
      <c r="AB185" s="105"/>
      <c r="AC185" s="105"/>
      <c r="AD185" s="105"/>
      <c r="AE185" s="105"/>
      <c r="AF185" s="158"/>
      <c r="AG185" s="105"/>
      <c r="AH185" s="158"/>
      <c r="AI185" s="88"/>
      <c r="AJ185" s="88"/>
      <c r="AK185" s="131"/>
      <c r="AL185" s="131"/>
      <c r="AM185" s="131"/>
      <c r="AN185" s="131"/>
      <c r="AO185" s="131"/>
      <c r="AP185" s="88"/>
    </row>
    <row r="186">
      <c r="A186" s="155"/>
      <c r="B186" s="173"/>
      <c r="C186" s="174"/>
      <c r="D186" s="173"/>
      <c r="E186" s="155"/>
      <c r="F186" s="155"/>
      <c r="G186" s="88"/>
      <c r="H186" s="155"/>
      <c r="I186" s="155"/>
      <c r="J186" s="155"/>
      <c r="K186" s="15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58"/>
      <c r="AA186" s="105"/>
      <c r="AB186" s="105"/>
      <c r="AC186" s="105"/>
      <c r="AD186" s="105"/>
      <c r="AE186" s="105"/>
      <c r="AF186" s="158"/>
      <c r="AG186" s="105"/>
      <c r="AH186" s="158"/>
      <c r="AI186" s="88"/>
      <c r="AJ186" s="88"/>
      <c r="AK186" s="131"/>
      <c r="AL186" s="131"/>
      <c r="AM186" s="131"/>
      <c r="AN186" s="131"/>
      <c r="AO186" s="131"/>
      <c r="AP186" s="88"/>
    </row>
    <row r="187">
      <c r="A187" s="155"/>
      <c r="B187" s="173"/>
      <c r="C187" s="174"/>
      <c r="D187" s="173"/>
      <c r="E187" s="155"/>
      <c r="F187" s="155"/>
      <c r="G187" s="88"/>
      <c r="H187" s="155"/>
      <c r="I187" s="155"/>
      <c r="J187" s="155"/>
      <c r="K187" s="15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58"/>
      <c r="AA187" s="105"/>
      <c r="AB187" s="105"/>
      <c r="AC187" s="105"/>
      <c r="AD187" s="105"/>
      <c r="AE187" s="105"/>
      <c r="AF187" s="158"/>
      <c r="AG187" s="105"/>
      <c r="AH187" s="158"/>
      <c r="AI187" s="88"/>
      <c r="AJ187" s="88"/>
      <c r="AK187" s="131"/>
      <c r="AL187" s="131"/>
      <c r="AM187" s="131"/>
      <c r="AN187" s="131"/>
      <c r="AO187" s="131"/>
      <c r="AP187" s="88"/>
    </row>
    <row r="188">
      <c r="A188" s="155"/>
      <c r="B188" s="173"/>
      <c r="C188" s="174"/>
      <c r="D188" s="173"/>
      <c r="E188" s="155"/>
      <c r="F188" s="155"/>
      <c r="G188" s="88"/>
      <c r="H188" s="155"/>
      <c r="I188" s="155"/>
      <c r="J188" s="155"/>
      <c r="K188" s="15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58"/>
      <c r="AA188" s="105"/>
      <c r="AB188" s="105"/>
      <c r="AC188" s="105"/>
      <c r="AD188" s="105"/>
      <c r="AE188" s="105"/>
      <c r="AF188" s="158"/>
      <c r="AG188" s="105"/>
      <c r="AH188" s="158"/>
      <c r="AI188" s="88"/>
      <c r="AJ188" s="88"/>
      <c r="AK188" s="131"/>
      <c r="AL188" s="131"/>
      <c r="AM188" s="131"/>
      <c r="AN188" s="131"/>
      <c r="AO188" s="131"/>
      <c r="AP188" s="88"/>
    </row>
    <row r="189">
      <c r="A189" s="155"/>
      <c r="B189" s="173"/>
      <c r="C189" s="174"/>
      <c r="D189" s="173"/>
      <c r="E189" s="155"/>
      <c r="F189" s="155"/>
      <c r="G189" s="88"/>
      <c r="H189" s="155"/>
      <c r="I189" s="155"/>
      <c r="J189" s="155"/>
      <c r="K189" s="15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58"/>
      <c r="AA189" s="105"/>
      <c r="AB189" s="105"/>
      <c r="AC189" s="105"/>
      <c r="AD189" s="105"/>
      <c r="AE189" s="105"/>
      <c r="AF189" s="158"/>
      <c r="AG189" s="105"/>
      <c r="AH189" s="158"/>
      <c r="AI189" s="88"/>
      <c r="AJ189" s="88"/>
      <c r="AK189" s="131"/>
      <c r="AL189" s="131"/>
      <c r="AM189" s="131"/>
      <c r="AN189" s="131"/>
      <c r="AO189" s="131"/>
      <c r="AP189" s="88"/>
    </row>
    <row r="190">
      <c r="A190" s="155"/>
      <c r="B190" s="173"/>
      <c r="C190" s="174"/>
      <c r="D190" s="173"/>
      <c r="E190" s="155"/>
      <c r="F190" s="155"/>
      <c r="G190" s="88"/>
      <c r="H190" s="155"/>
      <c r="I190" s="155"/>
      <c r="J190" s="155"/>
      <c r="K190" s="15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58"/>
      <c r="AA190" s="105"/>
      <c r="AB190" s="105"/>
      <c r="AC190" s="105"/>
      <c r="AD190" s="105"/>
      <c r="AE190" s="105"/>
      <c r="AF190" s="158"/>
      <c r="AG190" s="105"/>
      <c r="AH190" s="158"/>
      <c r="AI190" s="88"/>
      <c r="AJ190" s="88"/>
      <c r="AK190" s="131"/>
      <c r="AL190" s="131"/>
      <c r="AM190" s="131"/>
      <c r="AN190" s="131"/>
      <c r="AO190" s="131"/>
      <c r="AP190" s="88"/>
    </row>
    <row r="191">
      <c r="A191" s="155"/>
      <c r="B191" s="173"/>
      <c r="C191" s="174"/>
      <c r="D191" s="173"/>
      <c r="E191" s="155"/>
      <c r="F191" s="155"/>
      <c r="G191" s="88"/>
      <c r="H191" s="155"/>
      <c r="I191" s="155"/>
      <c r="J191" s="155"/>
      <c r="K191" s="15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58"/>
      <c r="AA191" s="105"/>
      <c r="AB191" s="105"/>
      <c r="AC191" s="105"/>
      <c r="AD191" s="105"/>
      <c r="AE191" s="105"/>
      <c r="AF191" s="158"/>
      <c r="AG191" s="105"/>
      <c r="AH191" s="158"/>
      <c r="AI191" s="88"/>
      <c r="AJ191" s="88"/>
      <c r="AK191" s="131"/>
      <c r="AL191" s="131"/>
      <c r="AM191" s="131"/>
      <c r="AN191" s="131"/>
      <c r="AO191" s="131"/>
      <c r="AP191" s="88"/>
    </row>
    <row r="192">
      <c r="A192" s="155"/>
      <c r="B192" s="173"/>
      <c r="C192" s="174"/>
      <c r="D192" s="173"/>
      <c r="E192" s="155"/>
      <c r="F192" s="155"/>
      <c r="G192" s="88"/>
      <c r="H192" s="155"/>
      <c r="I192" s="155"/>
      <c r="J192" s="155"/>
      <c r="K192" s="15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58"/>
      <c r="AA192" s="105"/>
      <c r="AB192" s="105"/>
      <c r="AC192" s="105"/>
      <c r="AD192" s="105"/>
      <c r="AE192" s="105"/>
      <c r="AF192" s="158"/>
      <c r="AG192" s="105"/>
      <c r="AH192" s="158"/>
      <c r="AI192" s="88"/>
      <c r="AJ192" s="88"/>
      <c r="AK192" s="131"/>
      <c r="AL192" s="131"/>
      <c r="AM192" s="131"/>
      <c r="AN192" s="131"/>
      <c r="AO192" s="131"/>
      <c r="AP192" s="88"/>
    </row>
    <row r="193">
      <c r="A193" s="155"/>
      <c r="B193" s="173"/>
      <c r="C193" s="174"/>
      <c r="D193" s="173"/>
      <c r="E193" s="155"/>
      <c r="F193" s="155"/>
      <c r="G193" s="88"/>
      <c r="H193" s="155"/>
      <c r="I193" s="155"/>
      <c r="J193" s="155"/>
      <c r="K193" s="15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58"/>
      <c r="AA193" s="105"/>
      <c r="AB193" s="105"/>
      <c r="AC193" s="105"/>
      <c r="AD193" s="105"/>
      <c r="AE193" s="105"/>
      <c r="AF193" s="158"/>
      <c r="AG193" s="105"/>
      <c r="AH193" s="158"/>
      <c r="AI193" s="88"/>
      <c r="AJ193" s="88"/>
      <c r="AK193" s="131"/>
      <c r="AL193" s="131"/>
      <c r="AM193" s="131"/>
      <c r="AN193" s="131"/>
      <c r="AO193" s="131"/>
      <c r="AP193" s="88"/>
    </row>
    <row r="194">
      <c r="A194" s="155"/>
      <c r="B194" s="173"/>
      <c r="C194" s="174"/>
      <c r="D194" s="173"/>
      <c r="E194" s="155"/>
      <c r="F194" s="155"/>
      <c r="G194" s="88"/>
      <c r="H194" s="155"/>
      <c r="I194" s="155"/>
      <c r="J194" s="155"/>
      <c r="K194" s="15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58"/>
      <c r="AA194" s="105"/>
      <c r="AB194" s="105"/>
      <c r="AC194" s="105"/>
      <c r="AD194" s="105"/>
      <c r="AE194" s="105"/>
      <c r="AF194" s="158"/>
      <c r="AG194" s="105"/>
      <c r="AH194" s="158"/>
      <c r="AI194" s="88"/>
      <c r="AJ194" s="88"/>
      <c r="AK194" s="131"/>
      <c r="AL194" s="131"/>
      <c r="AM194" s="131"/>
      <c r="AN194" s="131"/>
      <c r="AO194" s="131"/>
      <c r="AP194" s="88"/>
    </row>
    <row r="195">
      <c r="A195" s="155"/>
      <c r="B195" s="173"/>
      <c r="C195" s="174"/>
      <c r="D195" s="173"/>
      <c r="E195" s="155"/>
      <c r="F195" s="155"/>
      <c r="G195" s="88"/>
      <c r="H195" s="155"/>
      <c r="I195" s="155"/>
      <c r="J195" s="155"/>
      <c r="K195" s="15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58"/>
      <c r="AA195" s="105"/>
      <c r="AB195" s="105"/>
      <c r="AC195" s="105"/>
      <c r="AD195" s="105"/>
      <c r="AE195" s="105"/>
      <c r="AF195" s="158"/>
      <c r="AG195" s="105"/>
      <c r="AH195" s="158"/>
      <c r="AI195" s="88"/>
      <c r="AJ195" s="88"/>
      <c r="AK195" s="131"/>
      <c r="AL195" s="131"/>
      <c r="AM195" s="131"/>
      <c r="AN195" s="131"/>
      <c r="AO195" s="131"/>
      <c r="AP195" s="88"/>
    </row>
    <row r="196">
      <c r="A196" s="155"/>
      <c r="B196" s="173"/>
      <c r="C196" s="174"/>
      <c r="D196" s="173"/>
      <c r="E196" s="155"/>
      <c r="F196" s="155"/>
      <c r="G196" s="88"/>
      <c r="H196" s="155"/>
      <c r="I196" s="155"/>
      <c r="J196" s="155"/>
      <c r="K196" s="15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58"/>
      <c r="AA196" s="105"/>
      <c r="AB196" s="105"/>
      <c r="AC196" s="105"/>
      <c r="AD196" s="105"/>
      <c r="AE196" s="105"/>
      <c r="AF196" s="158"/>
      <c r="AG196" s="105"/>
      <c r="AH196" s="158"/>
      <c r="AI196" s="88"/>
      <c r="AJ196" s="88"/>
      <c r="AK196" s="131"/>
      <c r="AL196" s="131"/>
      <c r="AM196" s="131"/>
      <c r="AN196" s="131"/>
      <c r="AO196" s="131"/>
      <c r="AP196" s="88"/>
    </row>
    <row r="197">
      <c r="A197" s="155"/>
      <c r="B197" s="173"/>
      <c r="C197" s="174"/>
      <c r="D197" s="173"/>
      <c r="E197" s="155"/>
      <c r="F197" s="155"/>
      <c r="G197" s="88"/>
      <c r="H197" s="155"/>
      <c r="I197" s="155"/>
      <c r="J197" s="155"/>
      <c r="K197" s="15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58"/>
      <c r="AA197" s="105"/>
      <c r="AB197" s="105"/>
      <c r="AC197" s="105"/>
      <c r="AD197" s="105"/>
      <c r="AE197" s="105"/>
      <c r="AF197" s="158"/>
      <c r="AG197" s="105"/>
      <c r="AH197" s="158"/>
      <c r="AI197" s="88"/>
      <c r="AJ197" s="88"/>
      <c r="AK197" s="131"/>
      <c r="AL197" s="131"/>
      <c r="AM197" s="131"/>
      <c r="AN197" s="131"/>
      <c r="AO197" s="131"/>
      <c r="AP197" s="88"/>
    </row>
    <row r="198">
      <c r="A198" s="155"/>
      <c r="B198" s="173"/>
      <c r="C198" s="174"/>
      <c r="D198" s="173"/>
      <c r="E198" s="155"/>
      <c r="F198" s="155"/>
      <c r="G198" s="88"/>
      <c r="H198" s="155"/>
      <c r="I198" s="155"/>
      <c r="J198" s="155"/>
      <c r="K198" s="15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58"/>
      <c r="AA198" s="105"/>
      <c r="AB198" s="105"/>
      <c r="AC198" s="105"/>
      <c r="AD198" s="105"/>
      <c r="AE198" s="105"/>
      <c r="AF198" s="158"/>
      <c r="AG198" s="105"/>
      <c r="AH198" s="158"/>
      <c r="AI198" s="88"/>
      <c r="AJ198" s="88"/>
      <c r="AK198" s="131"/>
      <c r="AL198" s="131"/>
      <c r="AM198" s="131"/>
      <c r="AN198" s="131"/>
      <c r="AO198" s="131"/>
      <c r="AP198" s="88"/>
    </row>
    <row r="199">
      <c r="A199" s="155"/>
      <c r="B199" s="173"/>
      <c r="C199" s="174"/>
      <c r="D199" s="173"/>
      <c r="E199" s="155"/>
      <c r="F199" s="155"/>
      <c r="G199" s="88"/>
      <c r="H199" s="155"/>
      <c r="I199" s="155"/>
      <c r="J199" s="155"/>
      <c r="K199" s="15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58"/>
      <c r="AA199" s="105"/>
      <c r="AB199" s="105"/>
      <c r="AC199" s="105"/>
      <c r="AD199" s="105"/>
      <c r="AE199" s="105"/>
      <c r="AF199" s="158"/>
      <c r="AG199" s="105"/>
      <c r="AH199" s="158"/>
      <c r="AI199" s="88"/>
      <c r="AJ199" s="88"/>
      <c r="AK199" s="131"/>
      <c r="AL199" s="131"/>
      <c r="AM199" s="131"/>
      <c r="AN199" s="131"/>
      <c r="AO199" s="131"/>
      <c r="AP199" s="88"/>
    </row>
    <row r="200">
      <c r="A200" s="155"/>
      <c r="B200" s="173"/>
      <c r="C200" s="174"/>
      <c r="D200" s="173"/>
      <c r="E200" s="155"/>
      <c r="F200" s="155"/>
      <c r="G200" s="88"/>
      <c r="H200" s="155"/>
      <c r="I200" s="155"/>
      <c r="J200" s="155"/>
      <c r="K200" s="15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58"/>
      <c r="AA200" s="105"/>
      <c r="AB200" s="105"/>
      <c r="AC200" s="105"/>
      <c r="AD200" s="105"/>
      <c r="AE200" s="105"/>
      <c r="AF200" s="158"/>
      <c r="AG200" s="105"/>
      <c r="AH200" s="158"/>
      <c r="AI200" s="88"/>
      <c r="AJ200" s="88"/>
      <c r="AK200" s="131"/>
      <c r="AL200" s="131"/>
      <c r="AM200" s="131"/>
      <c r="AN200" s="131"/>
      <c r="AO200" s="131"/>
      <c r="AP200" s="88"/>
    </row>
    <row r="201">
      <c r="A201" s="155"/>
      <c r="B201" s="173"/>
      <c r="C201" s="174"/>
      <c r="D201" s="173"/>
      <c r="E201" s="155"/>
      <c r="F201" s="155"/>
      <c r="G201" s="88"/>
      <c r="H201" s="155"/>
      <c r="I201" s="155"/>
      <c r="J201" s="155"/>
      <c r="K201" s="15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58"/>
      <c r="AA201" s="105"/>
      <c r="AB201" s="105"/>
      <c r="AC201" s="105"/>
      <c r="AD201" s="105"/>
      <c r="AE201" s="105"/>
      <c r="AF201" s="158"/>
      <c r="AG201" s="105"/>
      <c r="AH201" s="158"/>
      <c r="AI201" s="88"/>
      <c r="AJ201" s="88"/>
      <c r="AK201" s="131"/>
      <c r="AL201" s="131"/>
      <c r="AM201" s="131"/>
      <c r="AN201" s="131"/>
      <c r="AO201" s="131"/>
      <c r="AP201" s="88"/>
    </row>
    <row r="202">
      <c r="A202" s="155"/>
      <c r="B202" s="173"/>
      <c r="C202" s="174"/>
      <c r="D202" s="173"/>
      <c r="E202" s="155"/>
      <c r="F202" s="155"/>
      <c r="G202" s="88"/>
      <c r="H202" s="155"/>
      <c r="I202" s="155"/>
      <c r="J202" s="155"/>
      <c r="K202" s="15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58"/>
      <c r="AA202" s="105"/>
      <c r="AB202" s="105"/>
      <c r="AC202" s="105"/>
      <c r="AD202" s="105"/>
      <c r="AE202" s="105"/>
      <c r="AF202" s="158"/>
      <c r="AG202" s="105"/>
      <c r="AH202" s="158"/>
      <c r="AI202" s="88"/>
      <c r="AJ202" s="88"/>
      <c r="AK202" s="131"/>
      <c r="AL202" s="131"/>
      <c r="AM202" s="131"/>
      <c r="AN202" s="131"/>
      <c r="AO202" s="131"/>
      <c r="AP202" s="88"/>
    </row>
    <row r="203">
      <c r="A203" s="155"/>
      <c r="B203" s="173"/>
      <c r="C203" s="174"/>
      <c r="D203" s="173"/>
      <c r="E203" s="155"/>
      <c r="F203" s="155"/>
      <c r="G203" s="88"/>
      <c r="H203" s="155"/>
      <c r="I203" s="155"/>
      <c r="J203" s="155"/>
      <c r="K203" s="15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58"/>
      <c r="AA203" s="105"/>
      <c r="AB203" s="105"/>
      <c r="AC203" s="105"/>
      <c r="AD203" s="105"/>
      <c r="AE203" s="105"/>
      <c r="AF203" s="158"/>
      <c r="AG203" s="105"/>
      <c r="AH203" s="158"/>
      <c r="AI203" s="88"/>
      <c r="AJ203" s="88"/>
      <c r="AK203" s="131"/>
      <c r="AL203" s="131"/>
      <c r="AM203" s="131"/>
      <c r="AN203" s="131"/>
      <c r="AO203" s="131"/>
      <c r="AP203" s="88"/>
    </row>
    <row r="204">
      <c r="A204" s="155"/>
      <c r="B204" s="173"/>
      <c r="C204" s="174"/>
      <c r="D204" s="173"/>
      <c r="E204" s="155"/>
      <c r="F204" s="155"/>
      <c r="G204" s="88"/>
      <c r="H204" s="155"/>
      <c r="I204" s="155"/>
      <c r="J204" s="155"/>
      <c r="K204" s="15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58"/>
      <c r="AA204" s="105"/>
      <c r="AB204" s="105"/>
      <c r="AC204" s="105"/>
      <c r="AD204" s="105"/>
      <c r="AE204" s="105"/>
      <c r="AF204" s="158"/>
      <c r="AG204" s="105"/>
      <c r="AH204" s="158"/>
      <c r="AI204" s="88"/>
      <c r="AJ204" s="88"/>
      <c r="AK204" s="131"/>
      <c r="AL204" s="131"/>
      <c r="AM204" s="131"/>
      <c r="AN204" s="131"/>
      <c r="AO204" s="131"/>
      <c r="AP204" s="88"/>
    </row>
    <row r="205">
      <c r="A205" s="155"/>
      <c r="B205" s="173"/>
      <c r="C205" s="174"/>
      <c r="D205" s="173"/>
      <c r="E205" s="155"/>
      <c r="F205" s="155"/>
      <c r="G205" s="88"/>
      <c r="H205" s="155"/>
      <c r="I205" s="155"/>
      <c r="J205" s="155"/>
      <c r="K205" s="15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58"/>
      <c r="AA205" s="105"/>
      <c r="AB205" s="105"/>
      <c r="AC205" s="105"/>
      <c r="AD205" s="105"/>
      <c r="AE205" s="105"/>
      <c r="AF205" s="158"/>
      <c r="AG205" s="105"/>
      <c r="AH205" s="158"/>
      <c r="AI205" s="88"/>
      <c r="AJ205" s="88"/>
      <c r="AK205" s="131"/>
      <c r="AL205" s="131"/>
      <c r="AM205" s="131"/>
      <c r="AN205" s="131"/>
      <c r="AO205" s="131"/>
      <c r="AP205" s="88"/>
    </row>
    <row r="206">
      <c r="A206" s="155"/>
      <c r="B206" s="173"/>
      <c r="C206" s="174"/>
      <c r="D206" s="173"/>
      <c r="E206" s="155"/>
      <c r="F206" s="155"/>
      <c r="G206" s="88"/>
      <c r="H206" s="155"/>
      <c r="I206" s="155"/>
      <c r="J206" s="155"/>
      <c r="K206" s="15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58"/>
      <c r="AA206" s="105"/>
      <c r="AB206" s="105"/>
      <c r="AC206" s="105"/>
      <c r="AD206" s="105"/>
      <c r="AE206" s="105"/>
      <c r="AF206" s="158"/>
      <c r="AG206" s="105"/>
      <c r="AH206" s="158"/>
      <c r="AI206" s="88"/>
      <c r="AJ206" s="88"/>
      <c r="AK206" s="131"/>
      <c r="AL206" s="131"/>
      <c r="AM206" s="131"/>
      <c r="AN206" s="131"/>
      <c r="AO206" s="131"/>
      <c r="AP206" s="88"/>
    </row>
    <row r="207">
      <c r="A207" s="155"/>
      <c r="B207" s="173"/>
      <c r="C207" s="174"/>
      <c r="D207" s="173"/>
      <c r="E207" s="155"/>
      <c r="F207" s="155"/>
      <c r="G207" s="88"/>
      <c r="H207" s="155"/>
      <c r="I207" s="155"/>
      <c r="J207" s="155"/>
      <c r="K207" s="15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58"/>
      <c r="AA207" s="105"/>
      <c r="AB207" s="105"/>
      <c r="AC207" s="105"/>
      <c r="AD207" s="105"/>
      <c r="AE207" s="105"/>
      <c r="AF207" s="158"/>
      <c r="AG207" s="105"/>
      <c r="AH207" s="158"/>
      <c r="AI207" s="88"/>
      <c r="AJ207" s="88"/>
      <c r="AK207" s="131"/>
      <c r="AL207" s="131"/>
      <c r="AM207" s="131"/>
      <c r="AN207" s="131"/>
      <c r="AO207" s="131"/>
      <c r="AP207" s="88"/>
    </row>
    <row r="208">
      <c r="A208" s="155"/>
      <c r="B208" s="173"/>
      <c r="C208" s="174"/>
      <c r="D208" s="173"/>
      <c r="E208" s="155"/>
      <c r="F208" s="155"/>
      <c r="G208" s="88"/>
      <c r="H208" s="155"/>
      <c r="I208" s="155"/>
      <c r="J208" s="155"/>
      <c r="K208" s="15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58"/>
      <c r="AA208" s="105"/>
      <c r="AB208" s="105"/>
      <c r="AC208" s="105"/>
      <c r="AD208" s="105"/>
      <c r="AE208" s="105"/>
      <c r="AF208" s="158"/>
      <c r="AG208" s="105"/>
      <c r="AH208" s="158"/>
      <c r="AI208" s="88"/>
      <c r="AJ208" s="88"/>
      <c r="AK208" s="131"/>
      <c r="AL208" s="131"/>
      <c r="AM208" s="131"/>
      <c r="AN208" s="131"/>
      <c r="AO208" s="131"/>
      <c r="AP208" s="88"/>
    </row>
    <row r="209">
      <c r="A209" s="155"/>
      <c r="B209" s="173"/>
      <c r="C209" s="174"/>
      <c r="D209" s="173"/>
      <c r="E209" s="155"/>
      <c r="F209" s="155"/>
      <c r="G209" s="88"/>
      <c r="H209" s="155"/>
      <c r="I209" s="155"/>
      <c r="J209" s="155"/>
      <c r="K209" s="15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58"/>
      <c r="AA209" s="105"/>
      <c r="AB209" s="105"/>
      <c r="AC209" s="105"/>
      <c r="AD209" s="105"/>
      <c r="AE209" s="105"/>
      <c r="AF209" s="158"/>
      <c r="AG209" s="105"/>
      <c r="AH209" s="158"/>
      <c r="AI209" s="88"/>
      <c r="AJ209" s="88"/>
      <c r="AK209" s="131"/>
      <c r="AL209" s="131"/>
      <c r="AM209" s="131"/>
      <c r="AN209" s="131"/>
      <c r="AO209" s="131"/>
      <c r="AP209" s="88"/>
    </row>
    <row r="210">
      <c r="A210" s="155"/>
      <c r="B210" s="173"/>
      <c r="C210" s="174"/>
      <c r="D210" s="173"/>
      <c r="E210" s="155"/>
      <c r="F210" s="155"/>
      <c r="G210" s="88"/>
      <c r="H210" s="155"/>
      <c r="I210" s="155"/>
      <c r="J210" s="155"/>
      <c r="K210" s="15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58"/>
      <c r="AA210" s="105"/>
      <c r="AB210" s="105"/>
      <c r="AC210" s="105"/>
      <c r="AD210" s="105"/>
      <c r="AE210" s="105"/>
      <c r="AF210" s="158"/>
      <c r="AG210" s="105"/>
      <c r="AH210" s="158"/>
      <c r="AI210" s="88"/>
      <c r="AJ210" s="88"/>
      <c r="AK210" s="131"/>
      <c r="AL210" s="131"/>
      <c r="AM210" s="131"/>
      <c r="AN210" s="131"/>
      <c r="AO210" s="131"/>
      <c r="AP210" s="88"/>
    </row>
    <row r="211">
      <c r="A211" s="155"/>
      <c r="B211" s="173"/>
      <c r="C211" s="174"/>
      <c r="D211" s="173"/>
      <c r="E211" s="155"/>
      <c r="F211" s="155"/>
      <c r="G211" s="88"/>
      <c r="H211" s="155"/>
      <c r="I211" s="155"/>
      <c r="J211" s="155"/>
      <c r="K211" s="15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58"/>
      <c r="AA211" s="105"/>
      <c r="AB211" s="105"/>
      <c r="AC211" s="105"/>
      <c r="AD211" s="105"/>
      <c r="AE211" s="105"/>
      <c r="AF211" s="158"/>
      <c r="AG211" s="105"/>
      <c r="AH211" s="158"/>
      <c r="AI211" s="88"/>
      <c r="AJ211" s="88"/>
      <c r="AK211" s="131"/>
      <c r="AL211" s="131"/>
      <c r="AM211" s="131"/>
      <c r="AN211" s="131"/>
      <c r="AO211" s="131"/>
      <c r="AP211" s="88"/>
    </row>
    <row r="212">
      <c r="A212" s="155"/>
      <c r="B212" s="173"/>
      <c r="C212" s="174"/>
      <c r="D212" s="173"/>
      <c r="E212" s="155"/>
      <c r="F212" s="155"/>
      <c r="G212" s="88"/>
      <c r="H212" s="155"/>
      <c r="I212" s="155"/>
      <c r="J212" s="155"/>
      <c r="K212" s="15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58"/>
      <c r="AA212" s="105"/>
      <c r="AB212" s="105"/>
      <c r="AC212" s="105"/>
      <c r="AD212" s="105"/>
      <c r="AE212" s="105"/>
      <c r="AF212" s="158"/>
      <c r="AG212" s="105"/>
      <c r="AH212" s="158"/>
      <c r="AI212" s="88"/>
      <c r="AJ212" s="88"/>
      <c r="AK212" s="131"/>
      <c r="AL212" s="131"/>
      <c r="AM212" s="131"/>
      <c r="AN212" s="131"/>
      <c r="AO212" s="131"/>
      <c r="AP212" s="88"/>
    </row>
    <row r="213">
      <c r="A213" s="155"/>
      <c r="B213" s="173"/>
      <c r="C213" s="174"/>
      <c r="D213" s="173"/>
      <c r="E213" s="155"/>
      <c r="F213" s="155"/>
      <c r="G213" s="88"/>
      <c r="H213" s="155"/>
      <c r="I213" s="155"/>
      <c r="J213" s="155"/>
      <c r="K213" s="15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58"/>
      <c r="AA213" s="105"/>
      <c r="AB213" s="105"/>
      <c r="AC213" s="105"/>
      <c r="AD213" s="105"/>
      <c r="AE213" s="105"/>
      <c r="AF213" s="158"/>
      <c r="AG213" s="105"/>
      <c r="AH213" s="158"/>
      <c r="AI213" s="88"/>
      <c r="AJ213" s="88"/>
      <c r="AK213" s="131"/>
      <c r="AL213" s="131"/>
      <c r="AM213" s="131"/>
      <c r="AN213" s="131"/>
      <c r="AO213" s="131"/>
      <c r="AP213" s="88"/>
    </row>
    <row r="214">
      <c r="A214" s="155"/>
      <c r="B214" s="173"/>
      <c r="C214" s="174"/>
      <c r="D214" s="173"/>
      <c r="E214" s="155"/>
      <c r="F214" s="155"/>
      <c r="G214" s="88"/>
      <c r="H214" s="155"/>
      <c r="I214" s="155"/>
      <c r="J214" s="155"/>
      <c r="K214" s="15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58"/>
      <c r="AA214" s="105"/>
      <c r="AB214" s="105"/>
      <c r="AC214" s="105"/>
      <c r="AD214" s="105"/>
      <c r="AE214" s="105"/>
      <c r="AF214" s="158"/>
      <c r="AG214" s="105"/>
      <c r="AH214" s="158"/>
      <c r="AI214" s="88"/>
      <c r="AJ214" s="88"/>
      <c r="AK214" s="131"/>
      <c r="AL214" s="131"/>
      <c r="AM214" s="131"/>
      <c r="AN214" s="131"/>
      <c r="AO214" s="131"/>
      <c r="AP214" s="88"/>
    </row>
    <row r="215">
      <c r="A215" s="155"/>
      <c r="B215" s="173"/>
      <c r="C215" s="174"/>
      <c r="D215" s="173"/>
      <c r="E215" s="155"/>
      <c r="F215" s="155"/>
      <c r="G215" s="88"/>
      <c r="H215" s="155"/>
      <c r="I215" s="155"/>
      <c r="J215" s="155"/>
      <c r="K215" s="15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58"/>
      <c r="AA215" s="105"/>
      <c r="AB215" s="105"/>
      <c r="AC215" s="105"/>
      <c r="AD215" s="105"/>
      <c r="AE215" s="105"/>
      <c r="AF215" s="158"/>
      <c r="AG215" s="105"/>
      <c r="AH215" s="158"/>
      <c r="AI215" s="88"/>
      <c r="AJ215" s="88"/>
      <c r="AK215" s="131"/>
      <c r="AL215" s="131"/>
      <c r="AM215" s="131"/>
      <c r="AN215" s="131"/>
      <c r="AO215" s="131"/>
      <c r="AP215" s="88"/>
    </row>
    <row r="216">
      <c r="A216" s="155"/>
      <c r="B216" s="173"/>
      <c r="C216" s="174"/>
      <c r="D216" s="173"/>
      <c r="E216" s="155"/>
      <c r="F216" s="155"/>
      <c r="G216" s="88"/>
      <c r="H216" s="155"/>
      <c r="I216" s="155"/>
      <c r="J216" s="155"/>
      <c r="K216" s="15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58"/>
      <c r="AA216" s="105"/>
      <c r="AB216" s="105"/>
      <c r="AC216" s="105"/>
      <c r="AD216" s="105"/>
      <c r="AE216" s="105"/>
      <c r="AF216" s="158"/>
      <c r="AG216" s="105"/>
      <c r="AH216" s="158"/>
      <c r="AI216" s="88"/>
      <c r="AJ216" s="88"/>
      <c r="AK216" s="131"/>
      <c r="AL216" s="131"/>
      <c r="AM216" s="131"/>
      <c r="AN216" s="131"/>
      <c r="AO216" s="131"/>
      <c r="AP216" s="88"/>
    </row>
    <row r="217">
      <c r="A217" s="155"/>
      <c r="B217" s="173"/>
      <c r="C217" s="174"/>
      <c r="D217" s="173"/>
      <c r="E217" s="155"/>
      <c r="F217" s="155"/>
      <c r="G217" s="88"/>
      <c r="H217" s="155"/>
      <c r="I217" s="155"/>
      <c r="J217" s="155"/>
      <c r="K217" s="15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58"/>
      <c r="AA217" s="105"/>
      <c r="AB217" s="105"/>
      <c r="AC217" s="105"/>
      <c r="AD217" s="105"/>
      <c r="AE217" s="105"/>
      <c r="AF217" s="158"/>
      <c r="AG217" s="105"/>
      <c r="AH217" s="158"/>
      <c r="AI217" s="88"/>
      <c r="AJ217" s="88"/>
      <c r="AK217" s="131"/>
      <c r="AL217" s="131"/>
      <c r="AM217" s="131"/>
      <c r="AN217" s="131"/>
      <c r="AO217" s="131"/>
      <c r="AP217" s="88"/>
    </row>
    <row r="218">
      <c r="A218" s="155"/>
      <c r="B218" s="173"/>
      <c r="C218" s="174"/>
      <c r="D218" s="173"/>
      <c r="E218" s="155"/>
      <c r="F218" s="155"/>
      <c r="G218" s="88"/>
      <c r="H218" s="155"/>
      <c r="I218" s="155"/>
      <c r="J218" s="155"/>
      <c r="K218" s="15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58"/>
      <c r="AA218" s="105"/>
      <c r="AB218" s="105"/>
      <c r="AC218" s="105"/>
      <c r="AD218" s="105"/>
      <c r="AE218" s="105"/>
      <c r="AF218" s="158"/>
      <c r="AG218" s="105"/>
      <c r="AH218" s="158"/>
      <c r="AI218" s="88"/>
      <c r="AJ218" s="88"/>
      <c r="AK218" s="131"/>
      <c r="AL218" s="131"/>
      <c r="AM218" s="131"/>
      <c r="AN218" s="131"/>
      <c r="AO218" s="131"/>
      <c r="AP218" s="88"/>
    </row>
    <row r="219">
      <c r="A219" s="155"/>
      <c r="B219" s="173"/>
      <c r="C219" s="174"/>
      <c r="D219" s="173"/>
      <c r="E219" s="155"/>
      <c r="F219" s="155"/>
      <c r="G219" s="88"/>
      <c r="H219" s="155"/>
      <c r="I219" s="155"/>
      <c r="J219" s="155"/>
      <c r="K219" s="15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58"/>
      <c r="AA219" s="105"/>
      <c r="AB219" s="105"/>
      <c r="AC219" s="105"/>
      <c r="AD219" s="105"/>
      <c r="AE219" s="105"/>
      <c r="AF219" s="158"/>
      <c r="AG219" s="105"/>
      <c r="AH219" s="158"/>
      <c r="AI219" s="88"/>
      <c r="AJ219" s="88"/>
      <c r="AK219" s="131"/>
      <c r="AL219" s="131"/>
      <c r="AM219" s="131"/>
      <c r="AN219" s="131"/>
      <c r="AO219" s="131"/>
      <c r="AP219" s="88"/>
    </row>
    <row r="220">
      <c r="A220" s="155"/>
      <c r="B220" s="173"/>
      <c r="C220" s="174"/>
      <c r="D220" s="173"/>
      <c r="E220" s="155"/>
      <c r="F220" s="155"/>
      <c r="G220" s="88"/>
      <c r="H220" s="155"/>
      <c r="I220" s="155"/>
      <c r="J220" s="155"/>
      <c r="K220" s="15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58"/>
      <c r="AA220" s="105"/>
      <c r="AB220" s="105"/>
      <c r="AC220" s="105"/>
      <c r="AD220" s="105"/>
      <c r="AE220" s="105"/>
      <c r="AF220" s="158"/>
      <c r="AG220" s="105"/>
      <c r="AH220" s="158"/>
      <c r="AI220" s="88"/>
      <c r="AJ220" s="88"/>
      <c r="AK220" s="131"/>
      <c r="AL220" s="131"/>
      <c r="AM220" s="131"/>
      <c r="AN220" s="131"/>
      <c r="AO220" s="131"/>
      <c r="AP220" s="88"/>
    </row>
    <row r="221">
      <c r="A221" s="155"/>
      <c r="B221" s="173"/>
      <c r="C221" s="174"/>
      <c r="D221" s="173"/>
      <c r="E221" s="155"/>
      <c r="F221" s="155"/>
      <c r="G221" s="88"/>
      <c r="H221" s="155"/>
      <c r="I221" s="155"/>
      <c r="J221" s="155"/>
      <c r="K221" s="15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58"/>
      <c r="AA221" s="105"/>
      <c r="AB221" s="105"/>
      <c r="AC221" s="105"/>
      <c r="AD221" s="105"/>
      <c r="AE221" s="105"/>
      <c r="AF221" s="158"/>
      <c r="AG221" s="105"/>
      <c r="AH221" s="158"/>
      <c r="AI221" s="88"/>
      <c r="AJ221" s="88"/>
      <c r="AK221" s="131"/>
      <c r="AL221" s="131"/>
      <c r="AM221" s="131"/>
      <c r="AN221" s="131"/>
      <c r="AO221" s="131"/>
      <c r="AP221" s="88"/>
    </row>
    <row r="222">
      <c r="A222" s="155"/>
      <c r="B222" s="173"/>
      <c r="C222" s="174"/>
      <c r="D222" s="173"/>
      <c r="E222" s="155"/>
      <c r="F222" s="155"/>
      <c r="G222" s="88"/>
      <c r="H222" s="155"/>
      <c r="I222" s="155"/>
      <c r="J222" s="155"/>
      <c r="K222" s="15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58"/>
      <c r="AA222" s="105"/>
      <c r="AB222" s="105"/>
      <c r="AC222" s="105"/>
      <c r="AD222" s="105"/>
      <c r="AE222" s="105"/>
      <c r="AF222" s="158"/>
      <c r="AG222" s="105"/>
      <c r="AH222" s="158"/>
      <c r="AI222" s="88"/>
      <c r="AJ222" s="88"/>
      <c r="AK222" s="131"/>
      <c r="AL222" s="131"/>
      <c r="AM222" s="131"/>
      <c r="AN222" s="131"/>
      <c r="AO222" s="131"/>
      <c r="AP222" s="88"/>
    </row>
    <row r="223">
      <c r="A223" s="155"/>
      <c r="B223" s="173"/>
      <c r="C223" s="174"/>
      <c r="D223" s="173"/>
      <c r="E223" s="155"/>
      <c r="F223" s="155"/>
      <c r="G223" s="88"/>
      <c r="H223" s="155"/>
      <c r="I223" s="155"/>
      <c r="J223" s="155"/>
      <c r="K223" s="15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58"/>
      <c r="AA223" s="105"/>
      <c r="AB223" s="105"/>
      <c r="AC223" s="105"/>
      <c r="AD223" s="105"/>
      <c r="AE223" s="105"/>
      <c r="AF223" s="158"/>
      <c r="AG223" s="105"/>
      <c r="AH223" s="158"/>
      <c r="AI223" s="88"/>
      <c r="AJ223" s="88"/>
      <c r="AK223" s="131"/>
      <c r="AL223" s="131"/>
      <c r="AM223" s="131"/>
      <c r="AN223" s="131"/>
      <c r="AO223" s="131"/>
      <c r="AP223" s="88"/>
    </row>
    <row r="224">
      <c r="A224" s="155"/>
      <c r="B224" s="173"/>
      <c r="C224" s="174"/>
      <c r="D224" s="173"/>
      <c r="E224" s="155"/>
      <c r="F224" s="155"/>
      <c r="G224" s="88"/>
      <c r="H224" s="155"/>
      <c r="I224" s="155"/>
      <c r="J224" s="155"/>
      <c r="K224" s="15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58"/>
      <c r="AA224" s="105"/>
      <c r="AB224" s="105"/>
      <c r="AC224" s="105"/>
      <c r="AD224" s="105"/>
      <c r="AE224" s="105"/>
      <c r="AF224" s="158"/>
      <c r="AG224" s="105"/>
      <c r="AH224" s="158"/>
      <c r="AI224" s="88"/>
      <c r="AJ224" s="88"/>
      <c r="AK224" s="131"/>
      <c r="AL224" s="131"/>
      <c r="AM224" s="131"/>
      <c r="AN224" s="131"/>
      <c r="AO224" s="131"/>
      <c r="AP224" s="88"/>
    </row>
    <row r="225">
      <c r="A225" s="155"/>
      <c r="B225" s="173"/>
      <c r="C225" s="174"/>
      <c r="D225" s="173"/>
      <c r="E225" s="155"/>
      <c r="F225" s="155"/>
      <c r="G225" s="88"/>
      <c r="H225" s="155"/>
      <c r="I225" s="155"/>
      <c r="J225" s="155"/>
      <c r="K225" s="15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58"/>
      <c r="AA225" s="105"/>
      <c r="AB225" s="105"/>
      <c r="AC225" s="105"/>
      <c r="AD225" s="105"/>
      <c r="AE225" s="105"/>
      <c r="AF225" s="158"/>
      <c r="AG225" s="105"/>
      <c r="AH225" s="158"/>
      <c r="AI225" s="88"/>
      <c r="AJ225" s="88"/>
      <c r="AK225" s="131"/>
      <c r="AL225" s="131"/>
      <c r="AM225" s="131"/>
      <c r="AN225" s="131"/>
      <c r="AO225" s="131"/>
      <c r="AP225" s="88"/>
    </row>
    <row r="226">
      <c r="A226" s="155"/>
      <c r="B226" s="173"/>
      <c r="C226" s="174"/>
      <c r="D226" s="173"/>
      <c r="E226" s="155"/>
      <c r="F226" s="155"/>
      <c r="G226" s="88"/>
      <c r="H226" s="155"/>
      <c r="I226" s="155"/>
      <c r="J226" s="155"/>
      <c r="K226" s="15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58"/>
      <c r="AA226" s="105"/>
      <c r="AB226" s="105"/>
      <c r="AC226" s="105"/>
      <c r="AD226" s="105"/>
      <c r="AE226" s="105"/>
      <c r="AF226" s="158"/>
      <c r="AG226" s="105"/>
      <c r="AH226" s="158"/>
      <c r="AI226" s="88"/>
      <c r="AJ226" s="88"/>
      <c r="AK226" s="131"/>
      <c r="AL226" s="131"/>
      <c r="AM226" s="131"/>
      <c r="AN226" s="131"/>
      <c r="AO226" s="131"/>
      <c r="AP226" s="88"/>
    </row>
    <row r="227">
      <c r="A227" s="155"/>
      <c r="B227" s="173"/>
      <c r="C227" s="174"/>
      <c r="D227" s="173"/>
      <c r="E227" s="155"/>
      <c r="F227" s="155"/>
      <c r="G227" s="88"/>
      <c r="H227" s="155"/>
      <c r="I227" s="155"/>
      <c r="J227" s="155"/>
      <c r="K227" s="15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58"/>
      <c r="AA227" s="105"/>
      <c r="AB227" s="105"/>
      <c r="AC227" s="105"/>
      <c r="AD227" s="105"/>
      <c r="AE227" s="105"/>
      <c r="AF227" s="158"/>
      <c r="AG227" s="105"/>
      <c r="AH227" s="158"/>
      <c r="AI227" s="88"/>
      <c r="AJ227" s="88"/>
      <c r="AK227" s="131"/>
      <c r="AL227" s="131"/>
      <c r="AM227" s="131"/>
      <c r="AN227" s="131"/>
      <c r="AO227" s="131"/>
      <c r="AP227" s="88"/>
    </row>
    <row r="228">
      <c r="A228" s="155"/>
      <c r="B228" s="173"/>
      <c r="C228" s="174"/>
      <c r="D228" s="173"/>
      <c r="E228" s="155"/>
      <c r="F228" s="155"/>
      <c r="G228" s="88"/>
      <c r="H228" s="155"/>
      <c r="I228" s="155"/>
      <c r="J228" s="155"/>
      <c r="K228" s="15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58"/>
      <c r="AA228" s="105"/>
      <c r="AB228" s="105"/>
      <c r="AC228" s="105"/>
      <c r="AD228" s="105"/>
      <c r="AE228" s="105"/>
      <c r="AF228" s="158"/>
      <c r="AG228" s="105"/>
      <c r="AH228" s="158"/>
      <c r="AI228" s="88"/>
      <c r="AJ228" s="88"/>
      <c r="AK228" s="131"/>
      <c r="AL228" s="131"/>
      <c r="AM228" s="131"/>
      <c r="AN228" s="131"/>
      <c r="AO228" s="131"/>
      <c r="AP228" s="88"/>
    </row>
    <row r="229">
      <c r="A229" s="155"/>
      <c r="B229" s="173"/>
      <c r="C229" s="174"/>
      <c r="D229" s="173"/>
      <c r="E229" s="155"/>
      <c r="F229" s="155"/>
      <c r="G229" s="88"/>
      <c r="H229" s="155"/>
      <c r="I229" s="155"/>
      <c r="J229" s="155"/>
      <c r="K229" s="15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58"/>
      <c r="AA229" s="105"/>
      <c r="AB229" s="105"/>
      <c r="AC229" s="105"/>
      <c r="AD229" s="105"/>
      <c r="AE229" s="105"/>
      <c r="AF229" s="158"/>
      <c r="AG229" s="105"/>
      <c r="AH229" s="158"/>
      <c r="AI229" s="88"/>
      <c r="AJ229" s="88"/>
      <c r="AK229" s="131"/>
      <c r="AL229" s="131"/>
      <c r="AM229" s="131"/>
      <c r="AN229" s="131"/>
      <c r="AO229" s="131"/>
      <c r="AP229" s="88"/>
    </row>
    <row r="230">
      <c r="A230" s="155"/>
      <c r="B230" s="173"/>
      <c r="C230" s="174"/>
      <c r="D230" s="173"/>
      <c r="E230" s="155"/>
      <c r="F230" s="155"/>
      <c r="G230" s="88"/>
      <c r="H230" s="155"/>
      <c r="I230" s="155"/>
      <c r="J230" s="155"/>
      <c r="K230" s="15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58"/>
      <c r="AA230" s="105"/>
      <c r="AB230" s="105"/>
      <c r="AC230" s="105"/>
      <c r="AD230" s="105"/>
      <c r="AE230" s="105"/>
      <c r="AF230" s="158"/>
      <c r="AG230" s="105"/>
      <c r="AH230" s="158"/>
      <c r="AI230" s="88"/>
      <c r="AJ230" s="88"/>
      <c r="AK230" s="131"/>
      <c r="AL230" s="131"/>
      <c r="AM230" s="131"/>
      <c r="AN230" s="131"/>
      <c r="AO230" s="131"/>
      <c r="AP230" s="88"/>
    </row>
    <row r="231">
      <c r="A231" s="155"/>
      <c r="B231" s="173"/>
      <c r="C231" s="174"/>
      <c r="D231" s="173"/>
      <c r="E231" s="155"/>
      <c r="F231" s="155"/>
      <c r="G231" s="88"/>
      <c r="H231" s="155"/>
      <c r="I231" s="155"/>
      <c r="J231" s="155"/>
      <c r="K231" s="15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58"/>
      <c r="AA231" s="105"/>
      <c r="AB231" s="105"/>
      <c r="AC231" s="105"/>
      <c r="AD231" s="105"/>
      <c r="AE231" s="105"/>
      <c r="AF231" s="158"/>
      <c r="AG231" s="105"/>
      <c r="AH231" s="158"/>
      <c r="AI231" s="88"/>
      <c r="AJ231" s="88"/>
      <c r="AK231" s="131"/>
      <c r="AL231" s="131"/>
      <c r="AM231" s="131"/>
      <c r="AN231" s="131"/>
      <c r="AO231" s="131"/>
      <c r="AP231" s="88"/>
    </row>
    <row r="232">
      <c r="A232" s="155"/>
      <c r="B232" s="173"/>
      <c r="C232" s="174"/>
      <c r="D232" s="173"/>
      <c r="E232" s="155"/>
      <c r="F232" s="155"/>
      <c r="G232" s="88"/>
      <c r="H232" s="155"/>
      <c r="I232" s="155"/>
      <c r="J232" s="155"/>
      <c r="K232" s="15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58"/>
      <c r="AA232" s="105"/>
      <c r="AB232" s="105"/>
      <c r="AC232" s="105"/>
      <c r="AD232" s="105"/>
      <c r="AE232" s="105"/>
      <c r="AF232" s="158"/>
      <c r="AG232" s="105"/>
      <c r="AH232" s="158"/>
      <c r="AI232" s="88"/>
      <c r="AJ232" s="88"/>
      <c r="AK232" s="131"/>
      <c r="AL232" s="131"/>
      <c r="AM232" s="131"/>
      <c r="AN232" s="131"/>
      <c r="AO232" s="131"/>
      <c r="AP232" s="88"/>
    </row>
    <row r="233">
      <c r="A233" s="155"/>
      <c r="B233" s="173"/>
      <c r="C233" s="174"/>
      <c r="D233" s="173"/>
      <c r="E233" s="155"/>
      <c r="F233" s="155"/>
      <c r="G233" s="88"/>
      <c r="H233" s="155"/>
      <c r="I233" s="155"/>
      <c r="J233" s="155"/>
      <c r="K233" s="15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58"/>
      <c r="AA233" s="105"/>
      <c r="AB233" s="105"/>
      <c r="AC233" s="105"/>
      <c r="AD233" s="105"/>
      <c r="AE233" s="105"/>
      <c r="AF233" s="158"/>
      <c r="AG233" s="105"/>
      <c r="AH233" s="158"/>
      <c r="AI233" s="88"/>
      <c r="AJ233" s="88"/>
      <c r="AK233" s="131"/>
      <c r="AL233" s="131"/>
      <c r="AM233" s="131"/>
      <c r="AN233" s="131"/>
      <c r="AO233" s="131"/>
      <c r="AP233" s="88"/>
    </row>
    <row r="234">
      <c r="A234" s="155"/>
      <c r="B234" s="173"/>
      <c r="C234" s="174"/>
      <c r="D234" s="173"/>
      <c r="E234" s="155"/>
      <c r="F234" s="155"/>
      <c r="G234" s="88"/>
      <c r="H234" s="155"/>
      <c r="I234" s="155"/>
      <c r="J234" s="155"/>
      <c r="K234" s="15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58"/>
      <c r="AA234" s="105"/>
      <c r="AB234" s="105"/>
      <c r="AC234" s="105"/>
      <c r="AD234" s="105"/>
      <c r="AE234" s="105"/>
      <c r="AF234" s="158"/>
      <c r="AG234" s="105"/>
      <c r="AH234" s="158"/>
      <c r="AI234" s="88"/>
      <c r="AJ234" s="88"/>
      <c r="AK234" s="131"/>
      <c r="AL234" s="131"/>
      <c r="AM234" s="131"/>
      <c r="AN234" s="131"/>
      <c r="AO234" s="131"/>
      <c r="AP234" s="88"/>
    </row>
    <row r="235">
      <c r="A235" s="155"/>
      <c r="B235" s="173"/>
      <c r="C235" s="174"/>
      <c r="D235" s="173"/>
      <c r="E235" s="155"/>
      <c r="F235" s="155"/>
      <c r="G235" s="88"/>
      <c r="H235" s="155"/>
      <c r="I235" s="155"/>
      <c r="J235" s="155"/>
      <c r="K235" s="15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58"/>
      <c r="AA235" s="105"/>
      <c r="AB235" s="105"/>
      <c r="AC235" s="105"/>
      <c r="AD235" s="105"/>
      <c r="AE235" s="105"/>
      <c r="AF235" s="158"/>
      <c r="AG235" s="105"/>
      <c r="AH235" s="158"/>
      <c r="AI235" s="88"/>
      <c r="AJ235" s="88"/>
      <c r="AK235" s="131"/>
      <c r="AL235" s="131"/>
      <c r="AM235" s="131"/>
      <c r="AN235" s="131"/>
      <c r="AO235" s="131"/>
      <c r="AP235" s="88"/>
    </row>
    <row r="236">
      <c r="A236" s="155"/>
      <c r="B236" s="173"/>
      <c r="C236" s="174"/>
      <c r="D236" s="173"/>
      <c r="E236" s="155"/>
      <c r="F236" s="155"/>
      <c r="G236" s="88"/>
      <c r="H236" s="155"/>
      <c r="I236" s="155"/>
      <c r="J236" s="155"/>
      <c r="K236" s="15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58"/>
      <c r="AA236" s="105"/>
      <c r="AB236" s="105"/>
      <c r="AC236" s="105"/>
      <c r="AD236" s="105"/>
      <c r="AE236" s="105"/>
      <c r="AF236" s="158"/>
      <c r="AG236" s="105"/>
      <c r="AH236" s="158"/>
      <c r="AI236" s="88"/>
      <c r="AJ236" s="88"/>
      <c r="AK236" s="131"/>
      <c r="AL236" s="131"/>
      <c r="AM236" s="131"/>
      <c r="AN236" s="131"/>
      <c r="AO236" s="131"/>
      <c r="AP236" s="88"/>
    </row>
    <row r="237">
      <c r="A237" s="155"/>
      <c r="B237" s="173"/>
      <c r="C237" s="174"/>
      <c r="D237" s="173"/>
      <c r="E237" s="155"/>
      <c r="F237" s="155"/>
      <c r="G237" s="88"/>
      <c r="H237" s="155"/>
      <c r="I237" s="155"/>
      <c r="J237" s="155"/>
      <c r="K237" s="15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58"/>
      <c r="AA237" s="105"/>
      <c r="AB237" s="105"/>
      <c r="AC237" s="105"/>
      <c r="AD237" s="105"/>
      <c r="AE237" s="105"/>
      <c r="AF237" s="158"/>
      <c r="AG237" s="105"/>
      <c r="AH237" s="158"/>
      <c r="AI237" s="88"/>
      <c r="AJ237" s="88"/>
      <c r="AK237" s="131"/>
      <c r="AL237" s="131"/>
      <c r="AM237" s="131"/>
      <c r="AN237" s="131"/>
      <c r="AO237" s="131"/>
      <c r="AP237" s="88"/>
    </row>
    <row r="238">
      <c r="A238" s="155"/>
      <c r="B238" s="173"/>
      <c r="C238" s="174"/>
      <c r="D238" s="173"/>
      <c r="E238" s="155"/>
      <c r="F238" s="155"/>
      <c r="G238" s="88"/>
      <c r="H238" s="155"/>
      <c r="I238" s="155"/>
      <c r="J238" s="155"/>
      <c r="K238" s="15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58"/>
      <c r="AA238" s="105"/>
      <c r="AB238" s="105"/>
      <c r="AC238" s="105"/>
      <c r="AD238" s="105"/>
      <c r="AE238" s="105"/>
      <c r="AF238" s="158"/>
      <c r="AG238" s="105"/>
      <c r="AH238" s="158"/>
      <c r="AI238" s="88"/>
      <c r="AJ238" s="88"/>
      <c r="AK238" s="131"/>
      <c r="AL238" s="131"/>
      <c r="AM238" s="131"/>
      <c r="AN238" s="131"/>
      <c r="AO238" s="131"/>
      <c r="AP238" s="88"/>
    </row>
    <row r="239">
      <c r="A239" s="155"/>
      <c r="B239" s="173"/>
      <c r="C239" s="174"/>
      <c r="D239" s="173"/>
      <c r="E239" s="155"/>
      <c r="F239" s="155"/>
      <c r="G239" s="88"/>
      <c r="H239" s="155"/>
      <c r="I239" s="155"/>
      <c r="J239" s="155"/>
      <c r="K239" s="15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58"/>
      <c r="AA239" s="105"/>
      <c r="AB239" s="105"/>
      <c r="AC239" s="105"/>
      <c r="AD239" s="105"/>
      <c r="AE239" s="105"/>
      <c r="AF239" s="158"/>
      <c r="AG239" s="105"/>
      <c r="AH239" s="158"/>
      <c r="AI239" s="88"/>
      <c r="AJ239" s="88"/>
      <c r="AK239" s="131"/>
      <c r="AL239" s="131"/>
      <c r="AM239" s="131"/>
      <c r="AN239" s="131"/>
      <c r="AO239" s="131"/>
      <c r="AP239" s="88"/>
    </row>
    <row r="240">
      <c r="A240" s="155"/>
      <c r="B240" s="173"/>
      <c r="C240" s="174"/>
      <c r="D240" s="173"/>
      <c r="E240" s="155"/>
      <c r="F240" s="155"/>
      <c r="G240" s="88"/>
      <c r="H240" s="155"/>
      <c r="I240" s="155"/>
      <c r="J240" s="155"/>
      <c r="K240" s="15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58"/>
      <c r="AA240" s="105"/>
      <c r="AB240" s="105"/>
      <c r="AC240" s="105"/>
      <c r="AD240" s="105"/>
      <c r="AE240" s="105"/>
      <c r="AF240" s="158"/>
      <c r="AG240" s="105"/>
      <c r="AH240" s="158"/>
      <c r="AI240" s="88"/>
      <c r="AJ240" s="88"/>
      <c r="AK240" s="131"/>
      <c r="AL240" s="131"/>
      <c r="AM240" s="131"/>
      <c r="AN240" s="131"/>
      <c r="AO240" s="131"/>
      <c r="AP240" s="88"/>
    </row>
    <row r="241">
      <c r="A241" s="155"/>
      <c r="B241" s="173"/>
      <c r="C241" s="174"/>
      <c r="D241" s="173"/>
      <c r="E241" s="155"/>
      <c r="F241" s="155"/>
      <c r="G241" s="88"/>
      <c r="H241" s="155"/>
      <c r="I241" s="155"/>
      <c r="J241" s="155"/>
      <c r="K241" s="15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58"/>
      <c r="AA241" s="105"/>
      <c r="AB241" s="105"/>
      <c r="AC241" s="105"/>
      <c r="AD241" s="105"/>
      <c r="AE241" s="105"/>
      <c r="AF241" s="158"/>
      <c r="AG241" s="105"/>
      <c r="AH241" s="158"/>
      <c r="AI241" s="88"/>
      <c r="AJ241" s="88"/>
      <c r="AK241" s="131"/>
      <c r="AL241" s="131"/>
      <c r="AM241" s="131"/>
      <c r="AN241" s="131"/>
      <c r="AO241" s="131"/>
      <c r="AP241" s="88"/>
    </row>
    <row r="242">
      <c r="A242" s="155"/>
      <c r="B242" s="173"/>
      <c r="C242" s="174"/>
      <c r="D242" s="173"/>
      <c r="E242" s="155"/>
      <c r="F242" s="155"/>
      <c r="G242" s="88"/>
      <c r="H242" s="155"/>
      <c r="I242" s="155"/>
      <c r="J242" s="155"/>
      <c r="K242" s="15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58"/>
      <c r="AA242" s="105"/>
      <c r="AB242" s="105"/>
      <c r="AC242" s="105"/>
      <c r="AD242" s="105"/>
      <c r="AE242" s="105"/>
      <c r="AF242" s="158"/>
      <c r="AG242" s="105"/>
      <c r="AH242" s="158"/>
      <c r="AI242" s="88"/>
      <c r="AJ242" s="88"/>
      <c r="AK242" s="131"/>
      <c r="AL242" s="131"/>
      <c r="AM242" s="131"/>
      <c r="AN242" s="131"/>
      <c r="AO242" s="131"/>
      <c r="AP242" s="88"/>
    </row>
    <row r="243">
      <c r="A243" s="155"/>
      <c r="B243" s="173"/>
      <c r="C243" s="174"/>
      <c r="D243" s="173"/>
      <c r="E243" s="155"/>
      <c r="F243" s="155"/>
      <c r="G243" s="88"/>
      <c r="H243" s="155"/>
      <c r="I243" s="155"/>
      <c r="J243" s="155"/>
      <c r="K243" s="15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58"/>
      <c r="AA243" s="105"/>
      <c r="AB243" s="105"/>
      <c r="AC243" s="105"/>
      <c r="AD243" s="105"/>
      <c r="AE243" s="105"/>
      <c r="AF243" s="158"/>
      <c r="AG243" s="105"/>
      <c r="AH243" s="158"/>
      <c r="AI243" s="88"/>
      <c r="AJ243" s="88"/>
      <c r="AK243" s="131"/>
      <c r="AL243" s="131"/>
      <c r="AM243" s="131"/>
      <c r="AN243" s="131"/>
      <c r="AO243" s="131"/>
      <c r="AP243" s="88"/>
    </row>
    <row r="244">
      <c r="A244" s="155"/>
      <c r="B244" s="173"/>
      <c r="C244" s="174"/>
      <c r="D244" s="173"/>
      <c r="E244" s="155"/>
      <c r="F244" s="155"/>
      <c r="G244" s="88"/>
      <c r="H244" s="155"/>
      <c r="I244" s="155"/>
      <c r="J244" s="155"/>
      <c r="K244" s="15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58"/>
      <c r="AA244" s="105"/>
      <c r="AB244" s="105"/>
      <c r="AC244" s="105"/>
      <c r="AD244" s="105"/>
      <c r="AE244" s="105"/>
      <c r="AF244" s="158"/>
      <c r="AG244" s="105"/>
      <c r="AH244" s="158"/>
      <c r="AI244" s="88"/>
      <c r="AJ244" s="88"/>
      <c r="AK244" s="131"/>
      <c r="AL244" s="131"/>
      <c r="AM244" s="131"/>
      <c r="AN244" s="131"/>
      <c r="AO244" s="131"/>
      <c r="AP244" s="88"/>
    </row>
    <row r="245">
      <c r="A245" s="155"/>
      <c r="B245" s="173"/>
      <c r="C245" s="174"/>
      <c r="D245" s="173"/>
      <c r="E245" s="155"/>
      <c r="F245" s="155"/>
      <c r="G245" s="88"/>
      <c r="H245" s="155"/>
      <c r="I245" s="155"/>
      <c r="J245" s="155"/>
      <c r="K245" s="15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58"/>
      <c r="AA245" s="105"/>
      <c r="AB245" s="105"/>
      <c r="AC245" s="105"/>
      <c r="AD245" s="105"/>
      <c r="AE245" s="105"/>
      <c r="AF245" s="158"/>
      <c r="AG245" s="105"/>
      <c r="AH245" s="158"/>
      <c r="AI245" s="88"/>
      <c r="AJ245" s="88"/>
      <c r="AK245" s="131"/>
      <c r="AL245" s="131"/>
      <c r="AM245" s="131"/>
      <c r="AN245" s="131"/>
      <c r="AO245" s="131"/>
      <c r="AP245" s="88"/>
    </row>
    <row r="246">
      <c r="A246" s="155"/>
      <c r="B246" s="173"/>
      <c r="C246" s="174"/>
      <c r="D246" s="173"/>
      <c r="E246" s="155"/>
      <c r="F246" s="155"/>
      <c r="G246" s="88"/>
      <c r="H246" s="155"/>
      <c r="I246" s="155"/>
      <c r="J246" s="155"/>
      <c r="K246" s="15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58"/>
      <c r="AA246" s="105"/>
      <c r="AB246" s="105"/>
      <c r="AC246" s="105"/>
      <c r="AD246" s="105"/>
      <c r="AE246" s="105"/>
      <c r="AF246" s="158"/>
      <c r="AG246" s="105"/>
      <c r="AH246" s="158"/>
      <c r="AI246" s="88"/>
      <c r="AJ246" s="88"/>
      <c r="AK246" s="131"/>
      <c r="AL246" s="131"/>
      <c r="AM246" s="131"/>
      <c r="AN246" s="131"/>
      <c r="AO246" s="131"/>
      <c r="AP246" s="88"/>
    </row>
    <row r="247">
      <c r="A247" s="155"/>
      <c r="B247" s="173"/>
      <c r="C247" s="174"/>
      <c r="D247" s="173"/>
      <c r="E247" s="155"/>
      <c r="F247" s="155"/>
      <c r="G247" s="88"/>
      <c r="H247" s="155"/>
      <c r="I247" s="155"/>
      <c r="J247" s="155"/>
      <c r="K247" s="15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58"/>
      <c r="AA247" s="105"/>
      <c r="AB247" s="105"/>
      <c r="AC247" s="105"/>
      <c r="AD247" s="105"/>
      <c r="AE247" s="105"/>
      <c r="AF247" s="158"/>
      <c r="AG247" s="105"/>
      <c r="AH247" s="158"/>
      <c r="AI247" s="88"/>
      <c r="AJ247" s="88"/>
      <c r="AK247" s="131"/>
      <c r="AL247" s="131"/>
      <c r="AM247" s="131"/>
      <c r="AN247" s="131"/>
      <c r="AO247" s="131"/>
      <c r="AP247" s="88"/>
    </row>
    <row r="248">
      <c r="A248" s="155"/>
      <c r="B248" s="173"/>
      <c r="C248" s="174"/>
      <c r="D248" s="173"/>
      <c r="E248" s="155"/>
      <c r="F248" s="155"/>
      <c r="G248" s="88"/>
      <c r="H248" s="155"/>
      <c r="I248" s="155"/>
      <c r="J248" s="155"/>
      <c r="K248" s="15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58"/>
      <c r="AA248" s="105"/>
      <c r="AB248" s="105"/>
      <c r="AC248" s="105"/>
      <c r="AD248" s="105"/>
      <c r="AE248" s="105"/>
      <c r="AF248" s="158"/>
      <c r="AG248" s="105"/>
      <c r="AH248" s="158"/>
      <c r="AI248" s="88"/>
      <c r="AJ248" s="88"/>
      <c r="AK248" s="131"/>
      <c r="AL248" s="131"/>
      <c r="AM248" s="131"/>
      <c r="AN248" s="131"/>
      <c r="AO248" s="131"/>
      <c r="AP248" s="88"/>
    </row>
    <row r="249">
      <c r="A249" s="155"/>
      <c r="B249" s="173"/>
      <c r="C249" s="174"/>
      <c r="D249" s="173"/>
      <c r="E249" s="155"/>
      <c r="F249" s="155"/>
      <c r="G249" s="88"/>
      <c r="H249" s="155"/>
      <c r="I249" s="155"/>
      <c r="J249" s="155"/>
      <c r="K249" s="15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58"/>
      <c r="AA249" s="105"/>
      <c r="AB249" s="105"/>
      <c r="AC249" s="105"/>
      <c r="AD249" s="105"/>
      <c r="AE249" s="105"/>
      <c r="AF249" s="158"/>
      <c r="AG249" s="105"/>
      <c r="AH249" s="158"/>
      <c r="AI249" s="88"/>
      <c r="AJ249" s="88"/>
      <c r="AK249" s="131"/>
      <c r="AL249" s="131"/>
      <c r="AM249" s="131"/>
      <c r="AN249" s="131"/>
      <c r="AO249" s="131"/>
      <c r="AP249" s="88"/>
    </row>
    <row r="250">
      <c r="A250" s="155"/>
      <c r="B250" s="173"/>
      <c r="C250" s="174"/>
      <c r="D250" s="173"/>
      <c r="E250" s="155"/>
      <c r="F250" s="155"/>
      <c r="G250" s="88"/>
      <c r="H250" s="155"/>
      <c r="I250" s="155"/>
      <c r="J250" s="155"/>
      <c r="K250" s="15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58"/>
      <c r="AA250" s="105"/>
      <c r="AB250" s="105"/>
      <c r="AC250" s="105"/>
      <c r="AD250" s="105"/>
      <c r="AE250" s="105"/>
      <c r="AF250" s="158"/>
      <c r="AG250" s="105"/>
      <c r="AH250" s="158"/>
      <c r="AI250" s="88"/>
      <c r="AJ250" s="88"/>
      <c r="AK250" s="131"/>
      <c r="AL250" s="131"/>
      <c r="AM250" s="131"/>
      <c r="AN250" s="131"/>
      <c r="AO250" s="131"/>
      <c r="AP250" s="88"/>
    </row>
    <row r="251">
      <c r="A251" s="155"/>
      <c r="B251" s="173"/>
      <c r="C251" s="174"/>
      <c r="D251" s="173"/>
      <c r="E251" s="155"/>
      <c r="F251" s="155"/>
      <c r="G251" s="88"/>
      <c r="H251" s="155"/>
      <c r="I251" s="155"/>
      <c r="J251" s="155"/>
      <c r="K251" s="15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58"/>
      <c r="AA251" s="105"/>
      <c r="AB251" s="105"/>
      <c r="AC251" s="105"/>
      <c r="AD251" s="105"/>
      <c r="AE251" s="105"/>
      <c r="AF251" s="158"/>
      <c r="AG251" s="105"/>
      <c r="AH251" s="158"/>
      <c r="AI251" s="88"/>
      <c r="AJ251" s="88"/>
      <c r="AK251" s="131"/>
      <c r="AL251" s="131"/>
      <c r="AM251" s="131"/>
      <c r="AN251" s="131"/>
      <c r="AO251" s="131"/>
      <c r="AP251" s="88"/>
    </row>
    <row r="252">
      <c r="A252" s="155"/>
      <c r="B252" s="173"/>
      <c r="C252" s="174"/>
      <c r="D252" s="173"/>
      <c r="E252" s="155"/>
      <c r="F252" s="155"/>
      <c r="G252" s="88"/>
      <c r="H252" s="155"/>
      <c r="I252" s="155"/>
      <c r="J252" s="155"/>
      <c r="K252" s="15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58"/>
      <c r="AA252" s="105"/>
      <c r="AB252" s="105"/>
      <c r="AC252" s="105"/>
      <c r="AD252" s="105"/>
      <c r="AE252" s="105"/>
      <c r="AF252" s="158"/>
      <c r="AG252" s="105"/>
      <c r="AH252" s="158"/>
      <c r="AI252" s="88"/>
      <c r="AJ252" s="88"/>
      <c r="AK252" s="131"/>
      <c r="AL252" s="131"/>
      <c r="AM252" s="131"/>
      <c r="AN252" s="131"/>
      <c r="AO252" s="131"/>
      <c r="AP252" s="88"/>
    </row>
    <row r="253">
      <c r="A253" s="155"/>
      <c r="B253" s="173"/>
      <c r="C253" s="174"/>
      <c r="D253" s="173"/>
      <c r="E253" s="155"/>
      <c r="F253" s="155"/>
      <c r="G253" s="88"/>
      <c r="H253" s="155"/>
      <c r="I253" s="155"/>
      <c r="J253" s="155"/>
      <c r="K253" s="15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58"/>
      <c r="AA253" s="105"/>
      <c r="AB253" s="105"/>
      <c r="AC253" s="105"/>
      <c r="AD253" s="105"/>
      <c r="AE253" s="105"/>
      <c r="AF253" s="158"/>
      <c r="AG253" s="105"/>
      <c r="AH253" s="158"/>
      <c r="AI253" s="88"/>
      <c r="AJ253" s="88"/>
      <c r="AK253" s="131"/>
      <c r="AL253" s="131"/>
      <c r="AM253" s="131"/>
      <c r="AN253" s="131"/>
      <c r="AO253" s="131"/>
      <c r="AP253" s="88"/>
    </row>
    <row r="254">
      <c r="A254" s="155"/>
      <c r="B254" s="173"/>
      <c r="C254" s="174"/>
      <c r="D254" s="173"/>
      <c r="E254" s="155"/>
      <c r="F254" s="155"/>
      <c r="G254" s="88"/>
      <c r="H254" s="155"/>
      <c r="I254" s="155"/>
      <c r="J254" s="155"/>
      <c r="K254" s="15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58"/>
      <c r="AA254" s="105"/>
      <c r="AB254" s="105"/>
      <c r="AC254" s="105"/>
      <c r="AD254" s="105"/>
      <c r="AE254" s="105"/>
      <c r="AF254" s="158"/>
      <c r="AG254" s="105"/>
      <c r="AH254" s="158"/>
      <c r="AI254" s="88"/>
      <c r="AJ254" s="88"/>
      <c r="AK254" s="131"/>
      <c r="AL254" s="131"/>
      <c r="AM254" s="131"/>
      <c r="AN254" s="131"/>
      <c r="AO254" s="131"/>
      <c r="AP254" s="88"/>
    </row>
    <row r="255">
      <c r="A255" s="155"/>
      <c r="B255" s="173"/>
      <c r="C255" s="174"/>
      <c r="D255" s="173"/>
      <c r="E255" s="155"/>
      <c r="F255" s="155"/>
      <c r="G255" s="88"/>
      <c r="H255" s="155"/>
      <c r="I255" s="155"/>
      <c r="J255" s="155"/>
      <c r="K255" s="15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58"/>
      <c r="AA255" s="105"/>
      <c r="AB255" s="105"/>
      <c r="AC255" s="105"/>
      <c r="AD255" s="105"/>
      <c r="AE255" s="105"/>
      <c r="AF255" s="158"/>
      <c r="AG255" s="105"/>
      <c r="AH255" s="158"/>
      <c r="AI255" s="88"/>
      <c r="AJ255" s="88"/>
      <c r="AK255" s="131"/>
      <c r="AL255" s="131"/>
      <c r="AM255" s="131"/>
      <c r="AN255" s="131"/>
      <c r="AO255" s="131"/>
      <c r="AP255" s="88"/>
    </row>
    <row r="256">
      <c r="A256" s="155"/>
      <c r="B256" s="173"/>
      <c r="C256" s="174"/>
      <c r="D256" s="173"/>
      <c r="E256" s="155"/>
      <c r="F256" s="155"/>
      <c r="G256" s="88"/>
      <c r="H256" s="155"/>
      <c r="I256" s="155"/>
      <c r="J256" s="155"/>
      <c r="K256" s="15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58"/>
      <c r="AA256" s="105"/>
      <c r="AB256" s="105"/>
      <c r="AC256" s="105"/>
      <c r="AD256" s="105"/>
      <c r="AE256" s="105"/>
      <c r="AF256" s="158"/>
      <c r="AG256" s="105"/>
      <c r="AH256" s="158"/>
      <c r="AI256" s="88"/>
      <c r="AJ256" s="88"/>
      <c r="AK256" s="131"/>
      <c r="AL256" s="131"/>
      <c r="AM256" s="131"/>
      <c r="AN256" s="131"/>
      <c r="AO256" s="131"/>
      <c r="AP256" s="88"/>
    </row>
    <row r="257">
      <c r="A257" s="155"/>
      <c r="B257" s="173"/>
      <c r="C257" s="174"/>
      <c r="D257" s="173"/>
      <c r="E257" s="155"/>
      <c r="F257" s="155"/>
      <c r="G257" s="88"/>
      <c r="H257" s="155"/>
      <c r="I257" s="155"/>
      <c r="J257" s="155"/>
      <c r="K257" s="15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58"/>
      <c r="AA257" s="105"/>
      <c r="AB257" s="105"/>
      <c r="AC257" s="105"/>
      <c r="AD257" s="105"/>
      <c r="AE257" s="105"/>
      <c r="AF257" s="158"/>
      <c r="AG257" s="105"/>
      <c r="AH257" s="158"/>
      <c r="AI257" s="88"/>
      <c r="AJ257" s="88"/>
      <c r="AK257" s="131"/>
      <c r="AL257" s="131"/>
      <c r="AM257" s="131"/>
      <c r="AN257" s="131"/>
      <c r="AO257" s="131"/>
      <c r="AP257" s="88"/>
    </row>
    <row r="258">
      <c r="A258" s="155"/>
      <c r="B258" s="173"/>
      <c r="C258" s="174"/>
      <c r="D258" s="173"/>
      <c r="E258" s="155"/>
      <c r="F258" s="155"/>
      <c r="G258" s="88"/>
      <c r="H258" s="155"/>
      <c r="I258" s="155"/>
      <c r="J258" s="155"/>
      <c r="K258" s="15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58"/>
      <c r="AA258" s="105"/>
      <c r="AB258" s="105"/>
      <c r="AC258" s="105"/>
      <c r="AD258" s="105"/>
      <c r="AE258" s="105"/>
      <c r="AF258" s="158"/>
      <c r="AG258" s="105"/>
      <c r="AH258" s="158"/>
      <c r="AI258" s="88"/>
      <c r="AJ258" s="88"/>
      <c r="AK258" s="131"/>
      <c r="AL258" s="131"/>
      <c r="AM258" s="131"/>
      <c r="AN258" s="131"/>
      <c r="AO258" s="131"/>
      <c r="AP258" s="88"/>
    </row>
    <row r="259">
      <c r="A259" s="155"/>
      <c r="B259" s="173"/>
      <c r="C259" s="174"/>
      <c r="D259" s="173"/>
      <c r="E259" s="155"/>
      <c r="F259" s="155"/>
      <c r="G259" s="88"/>
      <c r="H259" s="155"/>
      <c r="I259" s="155"/>
      <c r="J259" s="155"/>
      <c r="K259" s="15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58"/>
      <c r="AA259" s="105"/>
      <c r="AB259" s="105"/>
      <c r="AC259" s="105"/>
      <c r="AD259" s="105"/>
      <c r="AE259" s="105"/>
      <c r="AF259" s="158"/>
      <c r="AG259" s="105"/>
      <c r="AH259" s="158"/>
      <c r="AI259" s="88"/>
      <c r="AJ259" s="88"/>
      <c r="AK259" s="131"/>
      <c r="AL259" s="131"/>
      <c r="AM259" s="131"/>
      <c r="AN259" s="131"/>
      <c r="AO259" s="131"/>
      <c r="AP259" s="88"/>
    </row>
    <row r="260">
      <c r="A260" s="155"/>
      <c r="B260" s="173"/>
      <c r="C260" s="174"/>
      <c r="D260" s="173"/>
      <c r="E260" s="155"/>
      <c r="F260" s="155"/>
      <c r="G260" s="88"/>
      <c r="H260" s="155"/>
      <c r="I260" s="155"/>
      <c r="J260" s="155"/>
      <c r="K260" s="15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58"/>
      <c r="AA260" s="105"/>
      <c r="AB260" s="105"/>
      <c r="AC260" s="105"/>
      <c r="AD260" s="105"/>
      <c r="AE260" s="105"/>
      <c r="AF260" s="158"/>
      <c r="AG260" s="105"/>
      <c r="AH260" s="158"/>
      <c r="AI260" s="88"/>
      <c r="AJ260" s="88"/>
      <c r="AK260" s="131"/>
      <c r="AL260" s="131"/>
      <c r="AM260" s="131"/>
      <c r="AN260" s="131"/>
      <c r="AO260" s="131"/>
      <c r="AP260" s="88"/>
    </row>
    <row r="261">
      <c r="A261" s="155"/>
      <c r="B261" s="173"/>
      <c r="C261" s="174"/>
      <c r="D261" s="173"/>
      <c r="E261" s="155"/>
      <c r="F261" s="155"/>
      <c r="G261" s="88"/>
      <c r="H261" s="155"/>
      <c r="I261" s="155"/>
      <c r="J261" s="155"/>
      <c r="K261" s="15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58"/>
      <c r="AA261" s="105"/>
      <c r="AB261" s="105"/>
      <c r="AC261" s="105"/>
      <c r="AD261" s="105"/>
      <c r="AE261" s="105"/>
      <c r="AF261" s="158"/>
      <c r="AG261" s="105"/>
      <c r="AH261" s="158"/>
      <c r="AI261" s="88"/>
      <c r="AJ261" s="88"/>
      <c r="AK261" s="131"/>
      <c r="AL261" s="131"/>
      <c r="AM261" s="131"/>
      <c r="AN261" s="131"/>
      <c r="AO261" s="131"/>
      <c r="AP261" s="88"/>
    </row>
    <row r="262">
      <c r="A262" s="155"/>
      <c r="B262" s="173"/>
      <c r="C262" s="174"/>
      <c r="D262" s="173"/>
      <c r="E262" s="155"/>
      <c r="F262" s="155"/>
      <c r="G262" s="88"/>
      <c r="H262" s="155"/>
      <c r="I262" s="155"/>
      <c r="J262" s="155"/>
      <c r="K262" s="15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58"/>
      <c r="AA262" s="105"/>
      <c r="AB262" s="105"/>
      <c r="AC262" s="105"/>
      <c r="AD262" s="105"/>
      <c r="AE262" s="105"/>
      <c r="AF262" s="158"/>
      <c r="AG262" s="105"/>
      <c r="AH262" s="158"/>
      <c r="AI262" s="88"/>
      <c r="AJ262" s="88"/>
      <c r="AK262" s="131"/>
      <c r="AL262" s="131"/>
      <c r="AM262" s="131"/>
      <c r="AN262" s="131"/>
      <c r="AO262" s="131"/>
      <c r="AP262" s="88"/>
    </row>
    <row r="263">
      <c r="A263" s="155"/>
      <c r="B263" s="173"/>
      <c r="C263" s="174"/>
      <c r="D263" s="173"/>
      <c r="E263" s="155"/>
      <c r="F263" s="155"/>
      <c r="G263" s="88"/>
      <c r="H263" s="155"/>
      <c r="I263" s="155"/>
      <c r="J263" s="155"/>
      <c r="K263" s="15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58"/>
      <c r="AA263" s="105"/>
      <c r="AB263" s="105"/>
      <c r="AC263" s="105"/>
      <c r="AD263" s="105"/>
      <c r="AE263" s="105"/>
      <c r="AF263" s="158"/>
      <c r="AG263" s="105"/>
      <c r="AH263" s="158"/>
      <c r="AI263" s="88"/>
      <c r="AJ263" s="88"/>
      <c r="AK263" s="131"/>
      <c r="AL263" s="131"/>
      <c r="AM263" s="131"/>
      <c r="AN263" s="131"/>
      <c r="AO263" s="131"/>
      <c r="AP263" s="88"/>
    </row>
    <row r="264">
      <c r="A264" s="155"/>
      <c r="B264" s="173"/>
      <c r="C264" s="174"/>
      <c r="D264" s="173"/>
      <c r="E264" s="155"/>
      <c r="F264" s="155"/>
      <c r="G264" s="88"/>
      <c r="H264" s="155"/>
      <c r="I264" s="155"/>
      <c r="J264" s="155"/>
      <c r="K264" s="15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58"/>
      <c r="AA264" s="105"/>
      <c r="AB264" s="105"/>
      <c r="AC264" s="105"/>
      <c r="AD264" s="105"/>
      <c r="AE264" s="105"/>
      <c r="AF264" s="158"/>
      <c r="AG264" s="105"/>
      <c r="AH264" s="158"/>
      <c r="AI264" s="88"/>
      <c r="AJ264" s="88"/>
      <c r="AK264" s="131"/>
      <c r="AL264" s="131"/>
      <c r="AM264" s="131"/>
      <c r="AN264" s="131"/>
      <c r="AO264" s="131"/>
      <c r="AP264" s="88"/>
    </row>
    <row r="265">
      <c r="A265" s="155"/>
      <c r="B265" s="173"/>
      <c r="C265" s="174"/>
      <c r="D265" s="173"/>
      <c r="E265" s="155"/>
      <c r="F265" s="155"/>
      <c r="G265" s="88"/>
      <c r="H265" s="155"/>
      <c r="I265" s="155"/>
      <c r="J265" s="155"/>
      <c r="K265" s="15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58"/>
      <c r="AA265" s="105"/>
      <c r="AB265" s="105"/>
      <c r="AC265" s="105"/>
      <c r="AD265" s="105"/>
      <c r="AE265" s="105"/>
      <c r="AF265" s="158"/>
      <c r="AG265" s="105"/>
      <c r="AH265" s="158"/>
      <c r="AI265" s="88"/>
      <c r="AJ265" s="88"/>
      <c r="AK265" s="131"/>
      <c r="AL265" s="131"/>
      <c r="AM265" s="131"/>
      <c r="AN265" s="131"/>
      <c r="AO265" s="131"/>
      <c r="AP265" s="88"/>
    </row>
    <row r="266">
      <c r="A266" s="155"/>
      <c r="B266" s="173"/>
      <c r="C266" s="174"/>
      <c r="D266" s="173"/>
      <c r="E266" s="155"/>
      <c r="F266" s="155"/>
      <c r="G266" s="88"/>
      <c r="H266" s="155"/>
      <c r="I266" s="155"/>
      <c r="J266" s="155"/>
      <c r="K266" s="15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58"/>
      <c r="AA266" s="105"/>
      <c r="AB266" s="105"/>
      <c r="AC266" s="105"/>
      <c r="AD266" s="105"/>
      <c r="AE266" s="105"/>
      <c r="AF266" s="158"/>
      <c r="AG266" s="105"/>
      <c r="AH266" s="158"/>
      <c r="AI266" s="88"/>
      <c r="AJ266" s="88"/>
      <c r="AK266" s="131"/>
      <c r="AL266" s="131"/>
      <c r="AM266" s="131"/>
      <c r="AN266" s="131"/>
      <c r="AO266" s="131"/>
      <c r="AP266" s="88"/>
    </row>
    <row r="267">
      <c r="A267" s="155"/>
      <c r="B267" s="173"/>
      <c r="C267" s="174"/>
      <c r="D267" s="173"/>
      <c r="E267" s="155"/>
      <c r="F267" s="155"/>
      <c r="G267" s="88"/>
      <c r="H267" s="155"/>
      <c r="I267" s="155"/>
      <c r="J267" s="155"/>
      <c r="K267" s="15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58"/>
      <c r="AA267" s="105"/>
      <c r="AB267" s="105"/>
      <c r="AC267" s="105"/>
      <c r="AD267" s="105"/>
      <c r="AE267" s="105"/>
      <c r="AF267" s="158"/>
      <c r="AG267" s="105"/>
      <c r="AH267" s="158"/>
      <c r="AI267" s="88"/>
      <c r="AJ267" s="88"/>
      <c r="AK267" s="131"/>
      <c r="AL267" s="131"/>
      <c r="AM267" s="131"/>
      <c r="AN267" s="131"/>
      <c r="AO267" s="131"/>
      <c r="AP267" s="88"/>
    </row>
    <row r="268">
      <c r="A268" s="155"/>
      <c r="B268" s="173"/>
      <c r="C268" s="174"/>
      <c r="D268" s="173"/>
      <c r="E268" s="155"/>
      <c r="F268" s="155"/>
      <c r="G268" s="88"/>
      <c r="H268" s="155"/>
      <c r="I268" s="155"/>
      <c r="J268" s="155"/>
      <c r="K268" s="15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58"/>
      <c r="AA268" s="105"/>
      <c r="AB268" s="105"/>
      <c r="AC268" s="105"/>
      <c r="AD268" s="105"/>
      <c r="AE268" s="105"/>
      <c r="AF268" s="158"/>
      <c r="AG268" s="105"/>
      <c r="AH268" s="158"/>
      <c r="AI268" s="88"/>
      <c r="AJ268" s="88"/>
      <c r="AK268" s="131"/>
      <c r="AL268" s="131"/>
      <c r="AM268" s="131"/>
      <c r="AN268" s="131"/>
      <c r="AO268" s="131"/>
      <c r="AP268" s="88"/>
    </row>
    <row r="269">
      <c r="A269" s="155"/>
      <c r="B269" s="173"/>
      <c r="C269" s="174"/>
      <c r="D269" s="173"/>
      <c r="E269" s="155"/>
      <c r="F269" s="155"/>
      <c r="G269" s="88"/>
      <c r="H269" s="155"/>
      <c r="I269" s="155"/>
      <c r="J269" s="155"/>
      <c r="K269" s="15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58"/>
      <c r="AA269" s="105"/>
      <c r="AB269" s="105"/>
      <c r="AC269" s="105"/>
      <c r="AD269" s="105"/>
      <c r="AE269" s="105"/>
      <c r="AF269" s="158"/>
      <c r="AG269" s="105"/>
      <c r="AH269" s="158"/>
      <c r="AI269" s="88"/>
      <c r="AJ269" s="88"/>
      <c r="AK269" s="131"/>
      <c r="AL269" s="131"/>
      <c r="AM269" s="131"/>
      <c r="AN269" s="131"/>
      <c r="AO269" s="131"/>
      <c r="AP269" s="88"/>
    </row>
    <row r="270">
      <c r="A270" s="155"/>
      <c r="B270" s="173"/>
      <c r="C270" s="174"/>
      <c r="D270" s="173"/>
      <c r="E270" s="155"/>
      <c r="F270" s="155"/>
      <c r="G270" s="88"/>
      <c r="H270" s="155"/>
      <c r="I270" s="155"/>
      <c r="J270" s="155"/>
      <c r="K270" s="15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58"/>
      <c r="AA270" s="105"/>
      <c r="AB270" s="105"/>
      <c r="AC270" s="105"/>
      <c r="AD270" s="105"/>
      <c r="AE270" s="105"/>
      <c r="AF270" s="158"/>
      <c r="AG270" s="105"/>
      <c r="AH270" s="158"/>
      <c r="AI270" s="88"/>
      <c r="AJ270" s="88"/>
      <c r="AK270" s="131"/>
      <c r="AL270" s="131"/>
      <c r="AM270" s="131"/>
      <c r="AN270" s="131"/>
      <c r="AO270" s="131"/>
      <c r="AP270" s="88"/>
    </row>
    <row r="271">
      <c r="A271" s="155"/>
      <c r="B271" s="173"/>
      <c r="C271" s="174"/>
      <c r="D271" s="173"/>
      <c r="E271" s="155"/>
      <c r="F271" s="155"/>
      <c r="G271" s="88"/>
      <c r="H271" s="155"/>
      <c r="I271" s="155"/>
      <c r="J271" s="155"/>
      <c r="K271" s="15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58"/>
      <c r="AA271" s="105"/>
      <c r="AB271" s="105"/>
      <c r="AC271" s="105"/>
      <c r="AD271" s="105"/>
      <c r="AE271" s="105"/>
      <c r="AF271" s="158"/>
      <c r="AG271" s="105"/>
      <c r="AH271" s="158"/>
      <c r="AI271" s="88"/>
      <c r="AJ271" s="88"/>
      <c r="AK271" s="131"/>
      <c r="AL271" s="131"/>
      <c r="AM271" s="131"/>
      <c r="AN271" s="131"/>
      <c r="AO271" s="131"/>
      <c r="AP271" s="88"/>
    </row>
    <row r="272">
      <c r="A272" s="155"/>
      <c r="B272" s="173"/>
      <c r="C272" s="174"/>
      <c r="D272" s="173"/>
      <c r="E272" s="155"/>
      <c r="F272" s="155"/>
      <c r="G272" s="88"/>
      <c r="H272" s="155"/>
      <c r="I272" s="155"/>
      <c r="J272" s="155"/>
      <c r="K272" s="15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58"/>
      <c r="AA272" s="105"/>
      <c r="AB272" s="105"/>
      <c r="AC272" s="105"/>
      <c r="AD272" s="105"/>
      <c r="AE272" s="105"/>
      <c r="AF272" s="158"/>
      <c r="AG272" s="105"/>
      <c r="AH272" s="158"/>
      <c r="AI272" s="88"/>
      <c r="AJ272" s="88"/>
      <c r="AK272" s="131"/>
      <c r="AL272" s="131"/>
      <c r="AM272" s="131"/>
      <c r="AN272" s="131"/>
      <c r="AO272" s="131"/>
      <c r="AP272" s="88"/>
    </row>
    <row r="273">
      <c r="A273" s="155"/>
      <c r="B273" s="173"/>
      <c r="C273" s="174"/>
      <c r="D273" s="173"/>
      <c r="E273" s="155"/>
      <c r="F273" s="155"/>
      <c r="G273" s="88"/>
      <c r="H273" s="155"/>
      <c r="I273" s="155"/>
      <c r="J273" s="155"/>
      <c r="K273" s="15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58"/>
      <c r="AA273" s="105"/>
      <c r="AB273" s="105"/>
      <c r="AC273" s="105"/>
      <c r="AD273" s="105"/>
      <c r="AE273" s="105"/>
      <c r="AF273" s="158"/>
      <c r="AG273" s="105"/>
      <c r="AH273" s="158"/>
      <c r="AI273" s="88"/>
      <c r="AJ273" s="88"/>
      <c r="AK273" s="131"/>
      <c r="AL273" s="131"/>
      <c r="AM273" s="131"/>
      <c r="AN273" s="131"/>
      <c r="AO273" s="131"/>
      <c r="AP273" s="88"/>
    </row>
    <row r="274">
      <c r="A274" s="155"/>
      <c r="B274" s="173"/>
      <c r="C274" s="174"/>
      <c r="D274" s="173"/>
      <c r="E274" s="155"/>
      <c r="F274" s="155"/>
      <c r="G274" s="88"/>
      <c r="H274" s="155"/>
      <c r="I274" s="155"/>
      <c r="J274" s="155"/>
      <c r="K274" s="15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58"/>
      <c r="AA274" s="105"/>
      <c r="AB274" s="105"/>
      <c r="AC274" s="105"/>
      <c r="AD274" s="105"/>
      <c r="AE274" s="105"/>
      <c r="AF274" s="158"/>
      <c r="AG274" s="105"/>
      <c r="AH274" s="158"/>
      <c r="AI274" s="88"/>
      <c r="AJ274" s="88"/>
      <c r="AK274" s="131"/>
      <c r="AL274" s="131"/>
      <c r="AM274" s="131"/>
      <c r="AN274" s="131"/>
      <c r="AO274" s="131"/>
      <c r="AP274" s="88"/>
    </row>
    <row r="275">
      <c r="A275" s="155"/>
      <c r="B275" s="173"/>
      <c r="C275" s="174"/>
      <c r="D275" s="173"/>
      <c r="E275" s="155"/>
      <c r="F275" s="155"/>
      <c r="G275" s="88"/>
      <c r="H275" s="155"/>
      <c r="I275" s="155"/>
      <c r="J275" s="155"/>
      <c r="K275" s="15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58"/>
      <c r="AA275" s="105"/>
      <c r="AB275" s="105"/>
      <c r="AC275" s="105"/>
      <c r="AD275" s="105"/>
      <c r="AE275" s="105"/>
      <c r="AF275" s="158"/>
      <c r="AG275" s="105"/>
      <c r="AH275" s="158"/>
      <c r="AI275" s="88"/>
      <c r="AJ275" s="88"/>
      <c r="AK275" s="131"/>
      <c r="AL275" s="131"/>
      <c r="AM275" s="131"/>
      <c r="AN275" s="131"/>
      <c r="AO275" s="131"/>
      <c r="AP275" s="88"/>
    </row>
    <row r="276">
      <c r="A276" s="155"/>
      <c r="B276" s="173"/>
      <c r="C276" s="174"/>
      <c r="D276" s="173"/>
      <c r="E276" s="155"/>
      <c r="F276" s="155"/>
      <c r="G276" s="88"/>
      <c r="H276" s="155"/>
      <c r="I276" s="155"/>
      <c r="J276" s="155"/>
      <c r="K276" s="15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58"/>
      <c r="AA276" s="105"/>
      <c r="AB276" s="105"/>
      <c r="AC276" s="105"/>
      <c r="AD276" s="105"/>
      <c r="AE276" s="105"/>
      <c r="AF276" s="158"/>
      <c r="AG276" s="105"/>
      <c r="AH276" s="158"/>
      <c r="AI276" s="88"/>
      <c r="AJ276" s="88"/>
      <c r="AK276" s="131"/>
      <c r="AL276" s="131"/>
      <c r="AM276" s="131"/>
      <c r="AN276" s="131"/>
      <c r="AO276" s="131"/>
      <c r="AP276" s="88"/>
    </row>
    <row r="277">
      <c r="A277" s="155"/>
      <c r="B277" s="173"/>
      <c r="C277" s="174"/>
      <c r="D277" s="173"/>
      <c r="E277" s="155"/>
      <c r="F277" s="155"/>
      <c r="G277" s="88"/>
      <c r="H277" s="155"/>
      <c r="I277" s="155"/>
      <c r="J277" s="155"/>
      <c r="K277" s="15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58"/>
      <c r="AA277" s="105"/>
      <c r="AB277" s="105"/>
      <c r="AC277" s="105"/>
      <c r="AD277" s="105"/>
      <c r="AE277" s="105"/>
      <c r="AF277" s="158"/>
      <c r="AG277" s="105"/>
      <c r="AH277" s="158"/>
      <c r="AI277" s="88"/>
      <c r="AJ277" s="88"/>
      <c r="AK277" s="131"/>
      <c r="AL277" s="131"/>
      <c r="AM277" s="131"/>
      <c r="AN277" s="131"/>
      <c r="AO277" s="131"/>
      <c r="AP277" s="88"/>
    </row>
    <row r="278">
      <c r="A278" s="155"/>
      <c r="B278" s="173"/>
      <c r="C278" s="174"/>
      <c r="D278" s="173"/>
      <c r="E278" s="155"/>
      <c r="F278" s="155"/>
      <c r="G278" s="88"/>
      <c r="H278" s="155"/>
      <c r="I278" s="155"/>
      <c r="J278" s="155"/>
      <c r="K278" s="15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58"/>
      <c r="AA278" s="105"/>
      <c r="AB278" s="105"/>
      <c r="AC278" s="105"/>
      <c r="AD278" s="105"/>
      <c r="AE278" s="105"/>
      <c r="AF278" s="158"/>
      <c r="AG278" s="105"/>
      <c r="AH278" s="158"/>
      <c r="AI278" s="88"/>
      <c r="AJ278" s="88"/>
      <c r="AK278" s="131"/>
      <c r="AL278" s="131"/>
      <c r="AM278" s="131"/>
      <c r="AN278" s="131"/>
      <c r="AO278" s="131"/>
      <c r="AP278" s="88"/>
    </row>
    <row r="279">
      <c r="A279" s="155"/>
      <c r="B279" s="173"/>
      <c r="C279" s="174"/>
      <c r="D279" s="173"/>
      <c r="E279" s="155"/>
      <c r="F279" s="155"/>
      <c r="G279" s="88"/>
      <c r="H279" s="155"/>
      <c r="I279" s="155"/>
      <c r="J279" s="155"/>
      <c r="K279" s="15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58"/>
      <c r="AA279" s="105"/>
      <c r="AB279" s="105"/>
      <c r="AC279" s="105"/>
      <c r="AD279" s="105"/>
      <c r="AE279" s="105"/>
      <c r="AF279" s="158"/>
      <c r="AG279" s="105"/>
      <c r="AH279" s="158"/>
      <c r="AI279" s="88"/>
      <c r="AJ279" s="88"/>
      <c r="AK279" s="131"/>
      <c r="AL279" s="131"/>
      <c r="AM279" s="131"/>
      <c r="AN279" s="131"/>
      <c r="AO279" s="131"/>
      <c r="AP279" s="88"/>
    </row>
    <row r="280">
      <c r="A280" s="155"/>
      <c r="B280" s="173"/>
      <c r="C280" s="174"/>
      <c r="D280" s="173"/>
      <c r="E280" s="155"/>
      <c r="F280" s="155"/>
      <c r="G280" s="88"/>
      <c r="H280" s="155"/>
      <c r="I280" s="155"/>
      <c r="J280" s="155"/>
      <c r="K280" s="15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58"/>
      <c r="AA280" s="105"/>
      <c r="AB280" s="105"/>
      <c r="AC280" s="105"/>
      <c r="AD280" s="105"/>
      <c r="AE280" s="105"/>
      <c r="AF280" s="158"/>
      <c r="AG280" s="105"/>
      <c r="AH280" s="158"/>
      <c r="AI280" s="88"/>
      <c r="AJ280" s="88"/>
      <c r="AK280" s="131"/>
      <c r="AL280" s="131"/>
      <c r="AM280" s="131"/>
      <c r="AN280" s="131"/>
      <c r="AO280" s="131"/>
      <c r="AP280" s="88"/>
    </row>
    <row r="281">
      <c r="A281" s="155"/>
      <c r="B281" s="173"/>
      <c r="C281" s="174"/>
      <c r="D281" s="173"/>
      <c r="E281" s="155"/>
      <c r="F281" s="155"/>
      <c r="G281" s="88"/>
      <c r="H281" s="155"/>
      <c r="I281" s="155"/>
      <c r="J281" s="155"/>
      <c r="K281" s="15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58"/>
      <c r="AA281" s="105"/>
      <c r="AB281" s="105"/>
      <c r="AC281" s="105"/>
      <c r="AD281" s="105"/>
      <c r="AE281" s="105"/>
      <c r="AF281" s="158"/>
      <c r="AG281" s="105"/>
      <c r="AH281" s="158"/>
      <c r="AI281" s="88"/>
      <c r="AJ281" s="88"/>
      <c r="AK281" s="131"/>
      <c r="AL281" s="131"/>
      <c r="AM281" s="131"/>
      <c r="AN281" s="131"/>
      <c r="AO281" s="131"/>
      <c r="AP281" s="88"/>
    </row>
    <row r="282">
      <c r="A282" s="155"/>
      <c r="B282" s="173"/>
      <c r="C282" s="174"/>
      <c r="D282" s="173"/>
      <c r="E282" s="155"/>
      <c r="F282" s="155"/>
      <c r="G282" s="88"/>
      <c r="H282" s="155"/>
      <c r="I282" s="155"/>
      <c r="J282" s="155"/>
      <c r="K282" s="15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58"/>
      <c r="AA282" s="105"/>
      <c r="AB282" s="105"/>
      <c r="AC282" s="105"/>
      <c r="AD282" s="105"/>
      <c r="AE282" s="105"/>
      <c r="AF282" s="158"/>
      <c r="AG282" s="105"/>
      <c r="AH282" s="158"/>
      <c r="AI282" s="88"/>
      <c r="AJ282" s="88"/>
      <c r="AK282" s="131"/>
      <c r="AL282" s="131"/>
      <c r="AM282" s="131"/>
      <c r="AN282" s="131"/>
      <c r="AO282" s="131"/>
      <c r="AP282" s="88"/>
    </row>
    <row r="283">
      <c r="A283" s="155"/>
      <c r="B283" s="173"/>
      <c r="C283" s="174"/>
      <c r="D283" s="173"/>
      <c r="E283" s="155"/>
      <c r="F283" s="155"/>
      <c r="G283" s="88"/>
      <c r="H283" s="155"/>
      <c r="I283" s="155"/>
      <c r="J283" s="155"/>
      <c r="K283" s="15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58"/>
      <c r="AA283" s="105"/>
      <c r="AB283" s="105"/>
      <c r="AC283" s="105"/>
      <c r="AD283" s="105"/>
      <c r="AE283" s="105"/>
      <c r="AF283" s="158"/>
      <c r="AG283" s="105"/>
      <c r="AH283" s="158"/>
      <c r="AI283" s="88"/>
      <c r="AJ283" s="88"/>
      <c r="AK283" s="131"/>
      <c r="AL283" s="131"/>
      <c r="AM283" s="131"/>
      <c r="AN283" s="131"/>
      <c r="AO283" s="131"/>
      <c r="AP283" s="88"/>
    </row>
    <row r="284">
      <c r="A284" s="155"/>
      <c r="B284" s="173"/>
      <c r="C284" s="174"/>
      <c r="D284" s="173"/>
      <c r="E284" s="155"/>
      <c r="F284" s="155"/>
      <c r="G284" s="88"/>
      <c r="H284" s="155"/>
      <c r="I284" s="155"/>
      <c r="J284" s="155"/>
      <c r="K284" s="15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58"/>
      <c r="AA284" s="105"/>
      <c r="AB284" s="105"/>
      <c r="AC284" s="105"/>
      <c r="AD284" s="105"/>
      <c r="AE284" s="105"/>
      <c r="AF284" s="158"/>
      <c r="AG284" s="105"/>
      <c r="AH284" s="158"/>
      <c r="AI284" s="88"/>
      <c r="AJ284" s="88"/>
      <c r="AK284" s="131"/>
      <c r="AL284" s="131"/>
      <c r="AM284" s="131"/>
      <c r="AN284" s="131"/>
      <c r="AO284" s="131"/>
      <c r="AP284" s="88"/>
    </row>
    <row r="285">
      <c r="A285" s="155"/>
      <c r="B285" s="173"/>
      <c r="C285" s="174"/>
      <c r="D285" s="173"/>
      <c r="E285" s="155"/>
      <c r="F285" s="155"/>
      <c r="G285" s="88"/>
      <c r="H285" s="155"/>
      <c r="I285" s="155"/>
      <c r="J285" s="155"/>
      <c r="K285" s="15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58"/>
      <c r="AA285" s="105"/>
      <c r="AB285" s="105"/>
      <c r="AC285" s="105"/>
      <c r="AD285" s="105"/>
      <c r="AE285" s="105"/>
      <c r="AF285" s="158"/>
      <c r="AG285" s="105"/>
      <c r="AH285" s="158"/>
      <c r="AI285" s="88"/>
      <c r="AJ285" s="88"/>
      <c r="AK285" s="131"/>
      <c r="AL285" s="131"/>
      <c r="AM285" s="131"/>
      <c r="AN285" s="131"/>
      <c r="AO285" s="131"/>
      <c r="AP285" s="88"/>
    </row>
    <row r="286">
      <c r="A286" s="155"/>
      <c r="B286" s="173"/>
      <c r="C286" s="174"/>
      <c r="D286" s="173"/>
      <c r="E286" s="155"/>
      <c r="F286" s="155"/>
      <c r="G286" s="88"/>
      <c r="H286" s="155"/>
      <c r="I286" s="155"/>
      <c r="J286" s="155"/>
      <c r="K286" s="15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58"/>
      <c r="AA286" s="105"/>
      <c r="AB286" s="105"/>
      <c r="AC286" s="105"/>
      <c r="AD286" s="105"/>
      <c r="AE286" s="105"/>
      <c r="AF286" s="158"/>
      <c r="AG286" s="105"/>
      <c r="AH286" s="158"/>
      <c r="AI286" s="88"/>
      <c r="AJ286" s="88"/>
      <c r="AK286" s="131"/>
      <c r="AL286" s="131"/>
      <c r="AM286" s="131"/>
      <c r="AN286" s="131"/>
      <c r="AO286" s="131"/>
      <c r="AP286" s="88"/>
    </row>
    <row r="287">
      <c r="A287" s="155"/>
      <c r="B287" s="173"/>
      <c r="C287" s="174"/>
      <c r="D287" s="173"/>
      <c r="E287" s="155"/>
      <c r="F287" s="155"/>
      <c r="G287" s="88"/>
      <c r="H287" s="155"/>
      <c r="I287" s="155"/>
      <c r="J287" s="155"/>
      <c r="K287" s="15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58"/>
      <c r="AA287" s="105"/>
      <c r="AB287" s="105"/>
      <c r="AC287" s="105"/>
      <c r="AD287" s="105"/>
      <c r="AE287" s="105"/>
      <c r="AF287" s="158"/>
      <c r="AG287" s="105"/>
      <c r="AH287" s="158"/>
      <c r="AI287" s="88"/>
      <c r="AJ287" s="88"/>
      <c r="AK287" s="131"/>
      <c r="AL287" s="131"/>
      <c r="AM287" s="131"/>
      <c r="AN287" s="131"/>
      <c r="AO287" s="131"/>
      <c r="AP287" s="88"/>
    </row>
    <row r="288">
      <c r="A288" s="155"/>
      <c r="B288" s="173"/>
      <c r="C288" s="174"/>
      <c r="D288" s="173"/>
      <c r="E288" s="155"/>
      <c r="F288" s="155"/>
      <c r="G288" s="88"/>
      <c r="H288" s="155"/>
      <c r="I288" s="155"/>
      <c r="J288" s="155"/>
      <c r="K288" s="15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58"/>
      <c r="AA288" s="105"/>
      <c r="AB288" s="105"/>
      <c r="AC288" s="105"/>
      <c r="AD288" s="105"/>
      <c r="AE288" s="105"/>
      <c r="AF288" s="158"/>
      <c r="AG288" s="105"/>
      <c r="AH288" s="158"/>
      <c r="AI288" s="88"/>
      <c r="AJ288" s="88"/>
      <c r="AK288" s="131"/>
      <c r="AL288" s="131"/>
      <c r="AM288" s="131"/>
      <c r="AN288" s="131"/>
      <c r="AO288" s="131"/>
      <c r="AP288" s="88"/>
    </row>
    <row r="289">
      <c r="A289" s="155"/>
      <c r="B289" s="173"/>
      <c r="C289" s="174"/>
      <c r="D289" s="173"/>
      <c r="E289" s="155"/>
      <c r="F289" s="155"/>
      <c r="G289" s="88"/>
      <c r="H289" s="155"/>
      <c r="I289" s="155"/>
      <c r="J289" s="155"/>
      <c r="K289" s="15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58"/>
      <c r="AA289" s="105"/>
      <c r="AB289" s="105"/>
      <c r="AC289" s="105"/>
      <c r="AD289" s="105"/>
      <c r="AE289" s="105"/>
      <c r="AF289" s="158"/>
      <c r="AG289" s="105"/>
      <c r="AH289" s="158"/>
      <c r="AI289" s="88"/>
      <c r="AJ289" s="88"/>
      <c r="AK289" s="131"/>
      <c r="AL289" s="131"/>
      <c r="AM289" s="131"/>
      <c r="AN289" s="131"/>
      <c r="AO289" s="131"/>
      <c r="AP289" s="88"/>
    </row>
    <row r="290">
      <c r="A290" s="155"/>
      <c r="B290" s="173"/>
      <c r="C290" s="174"/>
      <c r="D290" s="173"/>
      <c r="E290" s="155"/>
      <c r="F290" s="155"/>
      <c r="G290" s="88"/>
      <c r="H290" s="155"/>
      <c r="I290" s="155"/>
      <c r="J290" s="155"/>
      <c r="K290" s="15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58"/>
      <c r="AA290" s="105"/>
      <c r="AB290" s="105"/>
      <c r="AC290" s="105"/>
      <c r="AD290" s="105"/>
      <c r="AE290" s="105"/>
      <c r="AF290" s="158"/>
      <c r="AG290" s="105"/>
      <c r="AH290" s="158"/>
      <c r="AI290" s="88"/>
      <c r="AJ290" s="88"/>
      <c r="AK290" s="131"/>
      <c r="AL290" s="131"/>
      <c r="AM290" s="131"/>
      <c r="AN290" s="131"/>
      <c r="AO290" s="131"/>
      <c r="AP290" s="88"/>
    </row>
    <row r="291">
      <c r="A291" s="155"/>
      <c r="B291" s="173"/>
      <c r="C291" s="174"/>
      <c r="D291" s="173"/>
      <c r="E291" s="155"/>
      <c r="F291" s="155"/>
      <c r="G291" s="88"/>
      <c r="H291" s="155"/>
      <c r="I291" s="155"/>
      <c r="J291" s="155"/>
      <c r="K291" s="15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58"/>
      <c r="AA291" s="105"/>
      <c r="AB291" s="105"/>
      <c r="AC291" s="105"/>
      <c r="AD291" s="105"/>
      <c r="AE291" s="105"/>
      <c r="AF291" s="158"/>
      <c r="AG291" s="105"/>
      <c r="AH291" s="158"/>
      <c r="AI291" s="88"/>
      <c r="AJ291" s="88"/>
      <c r="AK291" s="131"/>
      <c r="AL291" s="131"/>
      <c r="AM291" s="131"/>
      <c r="AN291" s="131"/>
      <c r="AO291" s="131"/>
      <c r="AP291" s="88"/>
    </row>
    <row r="292">
      <c r="A292" s="155"/>
      <c r="B292" s="173"/>
      <c r="C292" s="174"/>
      <c r="D292" s="173"/>
      <c r="E292" s="155"/>
      <c r="F292" s="155"/>
      <c r="G292" s="88"/>
      <c r="H292" s="155"/>
      <c r="I292" s="155"/>
      <c r="J292" s="155"/>
      <c r="K292" s="15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58"/>
      <c r="AA292" s="105"/>
      <c r="AB292" s="105"/>
      <c r="AC292" s="105"/>
      <c r="AD292" s="105"/>
      <c r="AE292" s="105"/>
      <c r="AF292" s="158"/>
      <c r="AG292" s="105"/>
      <c r="AH292" s="158"/>
      <c r="AI292" s="88"/>
      <c r="AJ292" s="88"/>
      <c r="AK292" s="131"/>
      <c r="AL292" s="131"/>
      <c r="AM292" s="131"/>
      <c r="AN292" s="131"/>
      <c r="AO292" s="131"/>
      <c r="AP292" s="88"/>
    </row>
    <row r="293">
      <c r="A293" s="155"/>
      <c r="B293" s="173"/>
      <c r="C293" s="174"/>
      <c r="D293" s="173"/>
      <c r="E293" s="155"/>
      <c r="F293" s="155"/>
      <c r="G293" s="88"/>
      <c r="H293" s="155"/>
      <c r="I293" s="155"/>
      <c r="J293" s="155"/>
      <c r="K293" s="15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58"/>
      <c r="AA293" s="105"/>
      <c r="AB293" s="105"/>
      <c r="AC293" s="105"/>
      <c r="AD293" s="105"/>
      <c r="AE293" s="105"/>
      <c r="AF293" s="158"/>
      <c r="AG293" s="105"/>
      <c r="AH293" s="158"/>
      <c r="AI293" s="88"/>
      <c r="AJ293" s="88"/>
      <c r="AK293" s="131"/>
      <c r="AL293" s="131"/>
      <c r="AM293" s="131"/>
      <c r="AN293" s="131"/>
      <c r="AO293" s="131"/>
      <c r="AP293" s="88"/>
    </row>
    <row r="294">
      <c r="A294" s="155"/>
      <c r="B294" s="173"/>
      <c r="C294" s="174"/>
      <c r="D294" s="173"/>
      <c r="E294" s="155"/>
      <c r="F294" s="155"/>
      <c r="G294" s="88"/>
      <c r="H294" s="155"/>
      <c r="I294" s="155"/>
      <c r="J294" s="155"/>
      <c r="K294" s="15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58"/>
      <c r="AA294" s="105"/>
      <c r="AB294" s="105"/>
      <c r="AC294" s="105"/>
      <c r="AD294" s="105"/>
      <c r="AE294" s="105"/>
      <c r="AF294" s="158"/>
      <c r="AG294" s="105"/>
      <c r="AH294" s="158"/>
      <c r="AI294" s="88"/>
      <c r="AJ294" s="88"/>
      <c r="AK294" s="131"/>
      <c r="AL294" s="131"/>
      <c r="AM294" s="131"/>
      <c r="AN294" s="131"/>
      <c r="AO294" s="131"/>
      <c r="AP294" s="88"/>
    </row>
    <row r="295">
      <c r="A295" s="155"/>
      <c r="B295" s="173"/>
      <c r="C295" s="174"/>
      <c r="D295" s="173"/>
      <c r="E295" s="155"/>
      <c r="F295" s="155"/>
      <c r="G295" s="88"/>
      <c r="H295" s="155"/>
      <c r="I295" s="155"/>
      <c r="J295" s="155"/>
      <c r="K295" s="15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58"/>
      <c r="AA295" s="105"/>
      <c r="AB295" s="105"/>
      <c r="AC295" s="105"/>
      <c r="AD295" s="105"/>
      <c r="AE295" s="105"/>
      <c r="AF295" s="158"/>
      <c r="AG295" s="105"/>
      <c r="AH295" s="158"/>
      <c r="AI295" s="88"/>
      <c r="AJ295" s="88"/>
      <c r="AK295" s="131"/>
      <c r="AL295" s="131"/>
      <c r="AM295" s="131"/>
      <c r="AN295" s="131"/>
      <c r="AO295" s="131"/>
      <c r="AP295" s="88"/>
    </row>
    <row r="296">
      <c r="A296" s="155"/>
      <c r="B296" s="173"/>
      <c r="C296" s="174"/>
      <c r="D296" s="173"/>
      <c r="E296" s="155"/>
      <c r="F296" s="155"/>
      <c r="G296" s="88"/>
      <c r="H296" s="155"/>
      <c r="I296" s="155"/>
      <c r="J296" s="155"/>
      <c r="K296" s="15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58"/>
      <c r="AA296" s="105"/>
      <c r="AB296" s="105"/>
      <c r="AC296" s="105"/>
      <c r="AD296" s="105"/>
      <c r="AE296" s="105"/>
      <c r="AF296" s="158"/>
      <c r="AG296" s="105"/>
      <c r="AH296" s="158"/>
      <c r="AI296" s="88"/>
      <c r="AJ296" s="88"/>
      <c r="AK296" s="131"/>
      <c r="AL296" s="131"/>
      <c r="AM296" s="131"/>
      <c r="AN296" s="131"/>
      <c r="AO296" s="131"/>
      <c r="AP296" s="88"/>
    </row>
    <row r="297">
      <c r="A297" s="155"/>
      <c r="B297" s="173"/>
      <c r="C297" s="174"/>
      <c r="D297" s="173"/>
      <c r="E297" s="155"/>
      <c r="F297" s="155"/>
      <c r="G297" s="88"/>
      <c r="H297" s="155"/>
      <c r="I297" s="155"/>
      <c r="J297" s="155"/>
      <c r="K297" s="15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58"/>
      <c r="AA297" s="105"/>
      <c r="AB297" s="105"/>
      <c r="AC297" s="105"/>
      <c r="AD297" s="105"/>
      <c r="AE297" s="105"/>
      <c r="AF297" s="158"/>
      <c r="AG297" s="105"/>
      <c r="AH297" s="158"/>
      <c r="AI297" s="88"/>
      <c r="AJ297" s="88"/>
      <c r="AK297" s="131"/>
      <c r="AL297" s="131"/>
      <c r="AM297" s="131"/>
      <c r="AN297" s="131"/>
      <c r="AO297" s="131"/>
      <c r="AP297" s="88"/>
    </row>
    <row r="298">
      <c r="A298" s="155"/>
      <c r="B298" s="173"/>
      <c r="C298" s="174"/>
      <c r="D298" s="173"/>
      <c r="E298" s="155"/>
      <c r="F298" s="155"/>
      <c r="G298" s="88"/>
      <c r="H298" s="155"/>
      <c r="I298" s="155"/>
      <c r="J298" s="155"/>
      <c r="K298" s="15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58"/>
      <c r="AA298" s="105"/>
      <c r="AB298" s="105"/>
      <c r="AC298" s="105"/>
      <c r="AD298" s="105"/>
      <c r="AE298" s="105"/>
      <c r="AF298" s="158"/>
      <c r="AG298" s="105"/>
      <c r="AH298" s="158"/>
      <c r="AI298" s="88"/>
      <c r="AJ298" s="88"/>
      <c r="AK298" s="131"/>
      <c r="AL298" s="131"/>
      <c r="AM298" s="131"/>
      <c r="AN298" s="131"/>
      <c r="AO298" s="131"/>
      <c r="AP298" s="88"/>
    </row>
    <row r="299">
      <c r="A299" s="155"/>
      <c r="B299" s="173"/>
      <c r="C299" s="174"/>
      <c r="D299" s="173"/>
      <c r="E299" s="155"/>
      <c r="F299" s="155"/>
      <c r="G299" s="88"/>
      <c r="H299" s="155"/>
      <c r="I299" s="155"/>
      <c r="J299" s="155"/>
      <c r="K299" s="15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58"/>
      <c r="AA299" s="105"/>
      <c r="AB299" s="105"/>
      <c r="AC299" s="105"/>
      <c r="AD299" s="105"/>
      <c r="AE299" s="105"/>
      <c r="AF299" s="158"/>
      <c r="AG299" s="105"/>
      <c r="AH299" s="158"/>
      <c r="AI299" s="88"/>
      <c r="AJ299" s="88"/>
      <c r="AK299" s="131"/>
      <c r="AL299" s="131"/>
      <c r="AM299" s="131"/>
      <c r="AN299" s="131"/>
      <c r="AO299" s="131"/>
      <c r="AP299" s="88"/>
    </row>
    <row r="300">
      <c r="A300" s="155"/>
      <c r="B300" s="173"/>
      <c r="C300" s="174"/>
      <c r="D300" s="173"/>
      <c r="E300" s="155"/>
      <c r="F300" s="155"/>
      <c r="G300" s="88"/>
      <c r="H300" s="155"/>
      <c r="I300" s="155"/>
      <c r="J300" s="155"/>
      <c r="K300" s="15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58"/>
      <c r="AA300" s="105"/>
      <c r="AB300" s="105"/>
      <c r="AC300" s="105"/>
      <c r="AD300" s="105"/>
      <c r="AE300" s="105"/>
      <c r="AF300" s="158"/>
      <c r="AG300" s="105"/>
      <c r="AH300" s="158"/>
      <c r="AI300" s="88"/>
      <c r="AJ300" s="88"/>
      <c r="AK300" s="131"/>
      <c r="AL300" s="131"/>
      <c r="AM300" s="131"/>
      <c r="AN300" s="131"/>
      <c r="AO300" s="131"/>
      <c r="AP300" s="88"/>
    </row>
    <row r="301">
      <c r="A301" s="155"/>
      <c r="B301" s="173"/>
      <c r="C301" s="174"/>
      <c r="D301" s="173"/>
      <c r="E301" s="155"/>
      <c r="F301" s="155"/>
      <c r="G301" s="88"/>
      <c r="H301" s="155"/>
      <c r="I301" s="155"/>
      <c r="J301" s="155"/>
      <c r="K301" s="15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58"/>
      <c r="AA301" s="105"/>
      <c r="AB301" s="105"/>
      <c r="AC301" s="105"/>
      <c r="AD301" s="105"/>
      <c r="AE301" s="105"/>
      <c r="AF301" s="158"/>
      <c r="AG301" s="105"/>
      <c r="AH301" s="158"/>
      <c r="AI301" s="88"/>
      <c r="AJ301" s="88"/>
      <c r="AK301" s="131"/>
      <c r="AL301" s="131"/>
      <c r="AM301" s="131"/>
      <c r="AN301" s="131"/>
      <c r="AO301" s="131"/>
      <c r="AP301" s="88"/>
    </row>
    <row r="302">
      <c r="A302" s="155"/>
      <c r="B302" s="173"/>
      <c r="C302" s="174"/>
      <c r="D302" s="173"/>
      <c r="E302" s="155"/>
      <c r="F302" s="155"/>
      <c r="G302" s="88"/>
      <c r="H302" s="155"/>
      <c r="I302" s="155"/>
      <c r="J302" s="155"/>
      <c r="K302" s="15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58"/>
      <c r="AA302" s="105"/>
      <c r="AB302" s="105"/>
      <c r="AC302" s="105"/>
      <c r="AD302" s="105"/>
      <c r="AE302" s="105"/>
      <c r="AF302" s="158"/>
      <c r="AG302" s="105"/>
      <c r="AH302" s="158"/>
      <c r="AI302" s="88"/>
      <c r="AJ302" s="88"/>
      <c r="AK302" s="131"/>
      <c r="AL302" s="131"/>
      <c r="AM302" s="131"/>
      <c r="AN302" s="131"/>
      <c r="AO302" s="131"/>
      <c r="AP302" s="88"/>
    </row>
    <row r="303">
      <c r="A303" s="155"/>
      <c r="B303" s="173"/>
      <c r="C303" s="174"/>
      <c r="D303" s="173"/>
      <c r="E303" s="155"/>
      <c r="F303" s="155"/>
      <c r="G303" s="88"/>
      <c r="H303" s="155"/>
      <c r="I303" s="155"/>
      <c r="J303" s="155"/>
      <c r="K303" s="15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58"/>
      <c r="AA303" s="105"/>
      <c r="AB303" s="105"/>
      <c r="AC303" s="105"/>
      <c r="AD303" s="105"/>
      <c r="AE303" s="105"/>
      <c r="AF303" s="158"/>
      <c r="AG303" s="105"/>
      <c r="AH303" s="158"/>
      <c r="AI303" s="88"/>
      <c r="AJ303" s="88"/>
      <c r="AK303" s="131"/>
      <c r="AL303" s="131"/>
      <c r="AM303" s="131"/>
      <c r="AN303" s="131"/>
      <c r="AO303" s="131"/>
      <c r="AP303" s="88"/>
    </row>
    <row r="304">
      <c r="A304" s="155"/>
      <c r="B304" s="173"/>
      <c r="C304" s="174"/>
      <c r="D304" s="173"/>
      <c r="E304" s="155"/>
      <c r="F304" s="155"/>
      <c r="G304" s="88"/>
      <c r="H304" s="155"/>
      <c r="I304" s="155"/>
      <c r="J304" s="155"/>
      <c r="K304" s="15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58"/>
      <c r="AA304" s="105"/>
      <c r="AB304" s="105"/>
      <c r="AC304" s="105"/>
      <c r="AD304" s="105"/>
      <c r="AE304" s="105"/>
      <c r="AF304" s="158"/>
      <c r="AG304" s="105"/>
      <c r="AH304" s="158"/>
      <c r="AI304" s="88"/>
      <c r="AJ304" s="88"/>
      <c r="AK304" s="131"/>
      <c r="AL304" s="131"/>
      <c r="AM304" s="131"/>
      <c r="AN304" s="131"/>
      <c r="AO304" s="131"/>
      <c r="AP304" s="88"/>
    </row>
    <row r="305">
      <c r="A305" s="155"/>
      <c r="B305" s="173"/>
      <c r="C305" s="174"/>
      <c r="D305" s="173"/>
      <c r="E305" s="155"/>
      <c r="F305" s="155"/>
      <c r="G305" s="88"/>
      <c r="H305" s="155"/>
      <c r="I305" s="155"/>
      <c r="J305" s="155"/>
      <c r="K305" s="15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58"/>
      <c r="AA305" s="105"/>
      <c r="AB305" s="105"/>
      <c r="AC305" s="105"/>
      <c r="AD305" s="105"/>
      <c r="AE305" s="105"/>
      <c r="AF305" s="158"/>
      <c r="AG305" s="105"/>
      <c r="AH305" s="158"/>
      <c r="AI305" s="88"/>
      <c r="AJ305" s="88"/>
      <c r="AK305" s="131"/>
      <c r="AL305" s="131"/>
      <c r="AM305" s="131"/>
      <c r="AN305" s="131"/>
      <c r="AO305" s="131"/>
      <c r="AP305" s="88"/>
    </row>
    <row r="306">
      <c r="A306" s="155"/>
      <c r="B306" s="173"/>
      <c r="C306" s="174"/>
      <c r="D306" s="173"/>
      <c r="E306" s="155"/>
      <c r="F306" s="155"/>
      <c r="G306" s="88"/>
      <c r="H306" s="155"/>
      <c r="I306" s="155"/>
      <c r="J306" s="155"/>
      <c r="K306" s="15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58"/>
      <c r="AA306" s="105"/>
      <c r="AB306" s="105"/>
      <c r="AC306" s="105"/>
      <c r="AD306" s="105"/>
      <c r="AE306" s="105"/>
      <c r="AF306" s="158"/>
      <c r="AG306" s="105"/>
      <c r="AH306" s="158"/>
      <c r="AI306" s="88"/>
      <c r="AJ306" s="88"/>
      <c r="AK306" s="131"/>
      <c r="AL306" s="131"/>
      <c r="AM306" s="131"/>
      <c r="AN306" s="131"/>
      <c r="AO306" s="131"/>
      <c r="AP306" s="88"/>
    </row>
    <row r="307">
      <c r="A307" s="155"/>
      <c r="B307" s="173"/>
      <c r="C307" s="174"/>
      <c r="D307" s="173"/>
      <c r="E307" s="155"/>
      <c r="F307" s="155"/>
      <c r="G307" s="88"/>
      <c r="H307" s="155"/>
      <c r="I307" s="155"/>
      <c r="J307" s="155"/>
      <c r="K307" s="15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58"/>
      <c r="AA307" s="105"/>
      <c r="AB307" s="105"/>
      <c r="AC307" s="105"/>
      <c r="AD307" s="105"/>
      <c r="AE307" s="105"/>
      <c r="AF307" s="158"/>
      <c r="AG307" s="105"/>
      <c r="AH307" s="158"/>
      <c r="AI307" s="88"/>
      <c r="AJ307" s="88"/>
      <c r="AK307" s="131"/>
      <c r="AL307" s="131"/>
      <c r="AM307" s="131"/>
      <c r="AN307" s="131"/>
      <c r="AO307" s="131"/>
      <c r="AP307" s="88"/>
    </row>
    <row r="308">
      <c r="A308" s="155"/>
      <c r="B308" s="173"/>
      <c r="C308" s="174"/>
      <c r="D308" s="173"/>
      <c r="E308" s="155"/>
      <c r="F308" s="155"/>
      <c r="G308" s="88"/>
      <c r="H308" s="155"/>
      <c r="I308" s="155"/>
      <c r="J308" s="155"/>
      <c r="K308" s="15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58"/>
      <c r="AA308" s="105"/>
      <c r="AB308" s="105"/>
      <c r="AC308" s="105"/>
      <c r="AD308" s="105"/>
      <c r="AE308" s="105"/>
      <c r="AF308" s="158"/>
      <c r="AG308" s="105"/>
      <c r="AH308" s="158"/>
      <c r="AI308" s="88"/>
      <c r="AJ308" s="88"/>
      <c r="AK308" s="131"/>
      <c r="AL308" s="131"/>
      <c r="AM308" s="131"/>
      <c r="AN308" s="131"/>
      <c r="AO308" s="131"/>
      <c r="AP308" s="88"/>
    </row>
    <row r="309">
      <c r="A309" s="155"/>
      <c r="B309" s="173"/>
      <c r="C309" s="174"/>
      <c r="D309" s="173"/>
      <c r="E309" s="155"/>
      <c r="F309" s="155"/>
      <c r="G309" s="88"/>
      <c r="H309" s="155"/>
      <c r="I309" s="155"/>
      <c r="J309" s="155"/>
      <c r="K309" s="15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58"/>
      <c r="AA309" s="105"/>
      <c r="AB309" s="105"/>
      <c r="AC309" s="105"/>
      <c r="AD309" s="105"/>
      <c r="AE309" s="105"/>
      <c r="AF309" s="158"/>
      <c r="AG309" s="105"/>
      <c r="AH309" s="158"/>
      <c r="AI309" s="88"/>
      <c r="AJ309" s="88"/>
      <c r="AK309" s="131"/>
      <c r="AL309" s="131"/>
      <c r="AM309" s="131"/>
      <c r="AN309" s="131"/>
      <c r="AO309" s="131"/>
      <c r="AP309" s="88"/>
    </row>
    <row r="310">
      <c r="A310" s="155"/>
      <c r="B310" s="173"/>
      <c r="C310" s="174"/>
      <c r="D310" s="173"/>
      <c r="E310" s="155"/>
      <c r="F310" s="155"/>
      <c r="G310" s="88"/>
      <c r="H310" s="155"/>
      <c r="I310" s="155"/>
      <c r="J310" s="155"/>
      <c r="K310" s="15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58"/>
      <c r="AA310" s="105"/>
      <c r="AB310" s="105"/>
      <c r="AC310" s="105"/>
      <c r="AD310" s="105"/>
      <c r="AE310" s="105"/>
      <c r="AF310" s="158"/>
      <c r="AG310" s="105"/>
      <c r="AH310" s="158"/>
      <c r="AI310" s="88"/>
      <c r="AJ310" s="88"/>
      <c r="AK310" s="131"/>
      <c r="AL310" s="131"/>
      <c r="AM310" s="131"/>
      <c r="AN310" s="131"/>
      <c r="AO310" s="131"/>
      <c r="AP310" s="88"/>
    </row>
    <row r="311">
      <c r="A311" s="155"/>
      <c r="B311" s="173"/>
      <c r="C311" s="174"/>
      <c r="D311" s="173"/>
      <c r="E311" s="155"/>
      <c r="F311" s="155"/>
      <c r="G311" s="88"/>
      <c r="H311" s="155"/>
      <c r="I311" s="155"/>
      <c r="J311" s="155"/>
      <c r="K311" s="15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58"/>
      <c r="AA311" s="105"/>
      <c r="AB311" s="105"/>
      <c r="AC311" s="105"/>
      <c r="AD311" s="105"/>
      <c r="AE311" s="105"/>
      <c r="AF311" s="158"/>
      <c r="AG311" s="105"/>
      <c r="AH311" s="158"/>
      <c r="AI311" s="88"/>
      <c r="AJ311" s="88"/>
      <c r="AK311" s="131"/>
      <c r="AL311" s="131"/>
      <c r="AM311" s="131"/>
      <c r="AN311" s="131"/>
      <c r="AO311" s="131"/>
      <c r="AP311" s="88"/>
    </row>
    <row r="312">
      <c r="A312" s="155"/>
      <c r="B312" s="173"/>
      <c r="C312" s="174"/>
      <c r="D312" s="173"/>
      <c r="E312" s="155"/>
      <c r="F312" s="155"/>
      <c r="G312" s="88"/>
      <c r="H312" s="155"/>
      <c r="I312" s="155"/>
      <c r="J312" s="155"/>
      <c r="K312" s="15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58"/>
      <c r="AA312" s="105"/>
      <c r="AB312" s="105"/>
      <c r="AC312" s="105"/>
      <c r="AD312" s="105"/>
      <c r="AE312" s="105"/>
      <c r="AF312" s="158"/>
      <c r="AG312" s="105"/>
      <c r="AH312" s="158"/>
      <c r="AI312" s="88"/>
      <c r="AJ312" s="88"/>
      <c r="AK312" s="131"/>
      <c r="AL312" s="131"/>
      <c r="AM312" s="131"/>
      <c r="AN312" s="131"/>
      <c r="AO312" s="131"/>
      <c r="AP312" s="88"/>
    </row>
    <row r="313">
      <c r="A313" s="155"/>
      <c r="B313" s="173"/>
      <c r="C313" s="174"/>
      <c r="D313" s="173"/>
      <c r="E313" s="155"/>
      <c r="F313" s="155"/>
      <c r="G313" s="88"/>
      <c r="H313" s="155"/>
      <c r="I313" s="155"/>
      <c r="J313" s="155"/>
      <c r="K313" s="15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58"/>
      <c r="AA313" s="105"/>
      <c r="AB313" s="105"/>
      <c r="AC313" s="105"/>
      <c r="AD313" s="105"/>
      <c r="AE313" s="105"/>
      <c r="AF313" s="158"/>
      <c r="AG313" s="105"/>
      <c r="AH313" s="158"/>
      <c r="AI313" s="88"/>
      <c r="AJ313" s="88"/>
      <c r="AK313" s="131"/>
      <c r="AL313" s="131"/>
      <c r="AM313" s="131"/>
      <c r="AN313" s="131"/>
      <c r="AO313" s="131"/>
      <c r="AP313" s="88"/>
    </row>
    <row r="314">
      <c r="A314" s="155"/>
      <c r="B314" s="173"/>
      <c r="C314" s="174"/>
      <c r="D314" s="173"/>
      <c r="E314" s="155"/>
      <c r="F314" s="155"/>
      <c r="G314" s="88"/>
      <c r="H314" s="155"/>
      <c r="I314" s="155"/>
      <c r="J314" s="155"/>
      <c r="K314" s="15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58"/>
      <c r="AA314" s="105"/>
      <c r="AB314" s="105"/>
      <c r="AC314" s="105"/>
      <c r="AD314" s="105"/>
      <c r="AE314" s="105"/>
      <c r="AF314" s="158"/>
      <c r="AG314" s="105"/>
      <c r="AH314" s="158"/>
      <c r="AI314" s="88"/>
      <c r="AJ314" s="88"/>
      <c r="AK314" s="131"/>
      <c r="AL314" s="131"/>
      <c r="AM314" s="131"/>
      <c r="AN314" s="131"/>
      <c r="AO314" s="131"/>
      <c r="AP314" s="88"/>
    </row>
    <row r="315">
      <c r="A315" s="155"/>
      <c r="B315" s="173"/>
      <c r="C315" s="174"/>
      <c r="D315" s="173"/>
      <c r="E315" s="155"/>
      <c r="F315" s="155"/>
      <c r="G315" s="88"/>
      <c r="H315" s="155"/>
      <c r="I315" s="155"/>
      <c r="J315" s="155"/>
      <c r="K315" s="15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58"/>
      <c r="AA315" s="105"/>
      <c r="AB315" s="105"/>
      <c r="AC315" s="105"/>
      <c r="AD315" s="105"/>
      <c r="AE315" s="105"/>
      <c r="AF315" s="158"/>
      <c r="AG315" s="105"/>
      <c r="AH315" s="158"/>
      <c r="AI315" s="88"/>
      <c r="AJ315" s="88"/>
      <c r="AK315" s="131"/>
      <c r="AL315" s="131"/>
      <c r="AM315" s="131"/>
      <c r="AN315" s="131"/>
      <c r="AO315" s="131"/>
      <c r="AP315" s="88"/>
    </row>
    <row r="316">
      <c r="A316" s="155"/>
      <c r="B316" s="173"/>
      <c r="C316" s="174"/>
      <c r="D316" s="173"/>
      <c r="E316" s="155"/>
      <c r="F316" s="155"/>
      <c r="G316" s="88"/>
      <c r="H316" s="155"/>
      <c r="I316" s="155"/>
      <c r="J316" s="155"/>
      <c r="K316" s="15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58"/>
      <c r="AA316" s="105"/>
      <c r="AB316" s="105"/>
      <c r="AC316" s="105"/>
      <c r="AD316" s="105"/>
      <c r="AE316" s="105"/>
      <c r="AF316" s="158"/>
      <c r="AG316" s="105"/>
      <c r="AH316" s="158"/>
      <c r="AI316" s="88"/>
      <c r="AJ316" s="88"/>
      <c r="AK316" s="131"/>
      <c r="AL316" s="131"/>
      <c r="AM316" s="131"/>
      <c r="AN316" s="131"/>
      <c r="AO316" s="131"/>
      <c r="AP316" s="88"/>
    </row>
    <row r="317">
      <c r="A317" s="155"/>
      <c r="B317" s="173"/>
      <c r="C317" s="174"/>
      <c r="D317" s="173"/>
      <c r="E317" s="155"/>
      <c r="F317" s="155"/>
      <c r="G317" s="88"/>
      <c r="H317" s="155"/>
      <c r="I317" s="155"/>
      <c r="J317" s="155"/>
      <c r="K317" s="15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58"/>
      <c r="AA317" s="105"/>
      <c r="AB317" s="105"/>
      <c r="AC317" s="105"/>
      <c r="AD317" s="105"/>
      <c r="AE317" s="105"/>
      <c r="AF317" s="158"/>
      <c r="AG317" s="105"/>
      <c r="AH317" s="158"/>
      <c r="AI317" s="88"/>
      <c r="AJ317" s="88"/>
      <c r="AK317" s="131"/>
      <c r="AL317" s="131"/>
      <c r="AM317" s="131"/>
      <c r="AN317" s="131"/>
      <c r="AO317" s="131"/>
      <c r="AP317" s="88"/>
    </row>
    <row r="318">
      <c r="A318" s="155"/>
      <c r="B318" s="173"/>
      <c r="C318" s="174"/>
      <c r="D318" s="173"/>
      <c r="E318" s="155"/>
      <c r="F318" s="155"/>
      <c r="G318" s="88"/>
      <c r="H318" s="155"/>
      <c r="I318" s="155"/>
      <c r="J318" s="155"/>
      <c r="K318" s="15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58"/>
      <c r="AA318" s="105"/>
      <c r="AB318" s="105"/>
      <c r="AC318" s="105"/>
      <c r="AD318" s="105"/>
      <c r="AE318" s="105"/>
      <c r="AF318" s="158"/>
      <c r="AG318" s="105"/>
      <c r="AH318" s="158"/>
      <c r="AI318" s="88"/>
      <c r="AJ318" s="88"/>
      <c r="AK318" s="131"/>
      <c r="AL318" s="131"/>
      <c r="AM318" s="131"/>
      <c r="AN318" s="131"/>
      <c r="AO318" s="131"/>
      <c r="AP318" s="88"/>
    </row>
    <row r="319">
      <c r="A319" s="155"/>
      <c r="B319" s="173"/>
      <c r="C319" s="174"/>
      <c r="D319" s="173"/>
      <c r="E319" s="155"/>
      <c r="F319" s="155"/>
      <c r="G319" s="88"/>
      <c r="H319" s="155"/>
      <c r="I319" s="155"/>
      <c r="J319" s="155"/>
      <c r="K319" s="15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58"/>
      <c r="AA319" s="105"/>
      <c r="AB319" s="105"/>
      <c r="AC319" s="105"/>
      <c r="AD319" s="105"/>
      <c r="AE319" s="105"/>
      <c r="AF319" s="158"/>
      <c r="AG319" s="105"/>
      <c r="AH319" s="158"/>
      <c r="AI319" s="88"/>
      <c r="AJ319" s="88"/>
      <c r="AK319" s="131"/>
      <c r="AL319" s="131"/>
      <c r="AM319" s="131"/>
      <c r="AN319" s="131"/>
      <c r="AO319" s="131"/>
      <c r="AP319" s="88"/>
    </row>
    <row r="320">
      <c r="A320" s="155"/>
      <c r="B320" s="173"/>
      <c r="C320" s="174"/>
      <c r="D320" s="173"/>
      <c r="E320" s="155"/>
      <c r="F320" s="155"/>
      <c r="G320" s="88"/>
      <c r="H320" s="155"/>
      <c r="I320" s="155"/>
      <c r="J320" s="155"/>
      <c r="K320" s="15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58"/>
      <c r="AA320" s="105"/>
      <c r="AB320" s="105"/>
      <c r="AC320" s="105"/>
      <c r="AD320" s="105"/>
      <c r="AE320" s="105"/>
      <c r="AF320" s="158"/>
      <c r="AG320" s="105"/>
      <c r="AH320" s="158"/>
      <c r="AI320" s="88"/>
      <c r="AJ320" s="88"/>
      <c r="AK320" s="131"/>
      <c r="AL320" s="131"/>
      <c r="AM320" s="131"/>
      <c r="AN320" s="131"/>
      <c r="AO320" s="131"/>
      <c r="AP320" s="88"/>
    </row>
    <row r="321">
      <c r="A321" s="155"/>
      <c r="B321" s="173"/>
      <c r="C321" s="174"/>
      <c r="D321" s="173"/>
      <c r="E321" s="155"/>
      <c r="F321" s="155"/>
      <c r="G321" s="88"/>
      <c r="H321" s="155"/>
      <c r="I321" s="155"/>
      <c r="J321" s="155"/>
      <c r="K321" s="15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58"/>
      <c r="AA321" s="105"/>
      <c r="AB321" s="105"/>
      <c r="AC321" s="105"/>
      <c r="AD321" s="105"/>
      <c r="AE321" s="105"/>
      <c r="AF321" s="158"/>
      <c r="AG321" s="105"/>
      <c r="AH321" s="158"/>
      <c r="AI321" s="88"/>
      <c r="AJ321" s="88"/>
      <c r="AK321" s="131"/>
      <c r="AL321" s="131"/>
      <c r="AM321" s="131"/>
      <c r="AN321" s="131"/>
      <c r="AO321" s="131"/>
      <c r="AP321" s="88"/>
    </row>
    <row r="322">
      <c r="A322" s="155"/>
      <c r="B322" s="173"/>
      <c r="C322" s="174"/>
      <c r="D322" s="173"/>
      <c r="E322" s="155"/>
      <c r="F322" s="155"/>
      <c r="G322" s="88"/>
      <c r="H322" s="155"/>
      <c r="I322" s="155"/>
      <c r="J322" s="155"/>
      <c r="K322" s="15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58"/>
      <c r="AA322" s="105"/>
      <c r="AB322" s="105"/>
      <c r="AC322" s="105"/>
      <c r="AD322" s="105"/>
      <c r="AE322" s="105"/>
      <c r="AF322" s="158"/>
      <c r="AG322" s="105"/>
      <c r="AH322" s="158"/>
      <c r="AI322" s="88"/>
      <c r="AJ322" s="88"/>
      <c r="AK322" s="131"/>
      <c r="AL322" s="131"/>
      <c r="AM322" s="131"/>
      <c r="AN322" s="131"/>
      <c r="AO322" s="131"/>
      <c r="AP322" s="88"/>
    </row>
    <row r="323">
      <c r="A323" s="155"/>
      <c r="B323" s="173"/>
      <c r="C323" s="174"/>
      <c r="D323" s="173"/>
      <c r="E323" s="155"/>
      <c r="F323" s="155"/>
      <c r="G323" s="88"/>
      <c r="H323" s="155"/>
      <c r="I323" s="155"/>
      <c r="J323" s="155"/>
      <c r="K323" s="15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58"/>
      <c r="AA323" s="105"/>
      <c r="AB323" s="105"/>
      <c r="AC323" s="105"/>
      <c r="AD323" s="105"/>
      <c r="AE323" s="105"/>
      <c r="AF323" s="158"/>
      <c r="AG323" s="105"/>
      <c r="AH323" s="158"/>
      <c r="AI323" s="88"/>
      <c r="AJ323" s="88"/>
      <c r="AK323" s="131"/>
      <c r="AL323" s="131"/>
      <c r="AM323" s="131"/>
      <c r="AN323" s="131"/>
      <c r="AO323" s="131"/>
      <c r="AP323" s="88"/>
    </row>
    <row r="324">
      <c r="A324" s="155"/>
      <c r="B324" s="173"/>
      <c r="C324" s="174"/>
      <c r="D324" s="173"/>
      <c r="E324" s="155"/>
      <c r="F324" s="155"/>
      <c r="G324" s="88"/>
      <c r="H324" s="155"/>
      <c r="I324" s="155"/>
      <c r="J324" s="155"/>
      <c r="K324" s="15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58"/>
      <c r="AA324" s="105"/>
      <c r="AB324" s="105"/>
      <c r="AC324" s="105"/>
      <c r="AD324" s="105"/>
      <c r="AE324" s="105"/>
      <c r="AF324" s="158"/>
      <c r="AG324" s="105"/>
      <c r="AH324" s="158"/>
      <c r="AI324" s="88"/>
      <c r="AJ324" s="88"/>
      <c r="AK324" s="131"/>
      <c r="AL324" s="131"/>
      <c r="AM324" s="131"/>
      <c r="AN324" s="131"/>
      <c r="AO324" s="131"/>
      <c r="AP324" s="88"/>
    </row>
    <row r="325">
      <c r="A325" s="155"/>
      <c r="B325" s="173"/>
      <c r="C325" s="174"/>
      <c r="D325" s="173"/>
      <c r="E325" s="155"/>
      <c r="F325" s="155"/>
      <c r="G325" s="88"/>
      <c r="H325" s="155"/>
      <c r="I325" s="155"/>
      <c r="J325" s="155"/>
      <c r="K325" s="15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58"/>
      <c r="AA325" s="105"/>
      <c r="AB325" s="105"/>
      <c r="AC325" s="105"/>
      <c r="AD325" s="105"/>
      <c r="AE325" s="105"/>
      <c r="AF325" s="158"/>
      <c r="AG325" s="105"/>
      <c r="AH325" s="158"/>
      <c r="AI325" s="88"/>
      <c r="AJ325" s="88"/>
      <c r="AK325" s="131"/>
      <c r="AL325" s="131"/>
      <c r="AM325" s="131"/>
      <c r="AN325" s="131"/>
      <c r="AO325" s="131"/>
      <c r="AP325" s="88"/>
    </row>
    <row r="326">
      <c r="A326" s="155"/>
      <c r="B326" s="173"/>
      <c r="C326" s="174"/>
      <c r="D326" s="173"/>
      <c r="E326" s="155"/>
      <c r="F326" s="155"/>
      <c r="G326" s="88"/>
      <c r="H326" s="155"/>
      <c r="I326" s="155"/>
      <c r="J326" s="155"/>
      <c r="K326" s="15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58"/>
      <c r="AA326" s="105"/>
      <c r="AB326" s="105"/>
      <c r="AC326" s="105"/>
      <c r="AD326" s="105"/>
      <c r="AE326" s="105"/>
      <c r="AF326" s="158"/>
      <c r="AG326" s="105"/>
      <c r="AH326" s="158"/>
      <c r="AI326" s="88"/>
      <c r="AJ326" s="88"/>
      <c r="AK326" s="131"/>
      <c r="AL326" s="131"/>
      <c r="AM326" s="131"/>
      <c r="AN326" s="131"/>
      <c r="AO326" s="131"/>
      <c r="AP326" s="88"/>
    </row>
    <row r="327">
      <c r="A327" s="155"/>
      <c r="B327" s="173"/>
      <c r="C327" s="174"/>
      <c r="D327" s="173"/>
      <c r="E327" s="155"/>
      <c r="F327" s="155"/>
      <c r="G327" s="88"/>
      <c r="H327" s="155"/>
      <c r="I327" s="155"/>
      <c r="J327" s="155"/>
      <c r="K327" s="15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58"/>
      <c r="AA327" s="105"/>
      <c r="AB327" s="105"/>
      <c r="AC327" s="105"/>
      <c r="AD327" s="105"/>
      <c r="AE327" s="105"/>
      <c r="AF327" s="158"/>
      <c r="AG327" s="105"/>
      <c r="AH327" s="158"/>
      <c r="AI327" s="88"/>
      <c r="AJ327" s="88"/>
      <c r="AK327" s="131"/>
      <c r="AL327" s="131"/>
      <c r="AM327" s="131"/>
      <c r="AN327" s="131"/>
      <c r="AO327" s="131"/>
      <c r="AP327" s="88"/>
    </row>
    <row r="328">
      <c r="A328" s="155"/>
      <c r="B328" s="173"/>
      <c r="C328" s="174"/>
      <c r="D328" s="173"/>
      <c r="E328" s="155"/>
      <c r="F328" s="155"/>
      <c r="G328" s="88"/>
      <c r="H328" s="155"/>
      <c r="I328" s="155"/>
      <c r="J328" s="155"/>
      <c r="K328" s="15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58"/>
      <c r="AA328" s="105"/>
      <c r="AB328" s="105"/>
      <c r="AC328" s="105"/>
      <c r="AD328" s="105"/>
      <c r="AE328" s="105"/>
      <c r="AF328" s="158"/>
      <c r="AG328" s="105"/>
      <c r="AH328" s="158"/>
      <c r="AI328" s="88"/>
      <c r="AJ328" s="88"/>
      <c r="AK328" s="131"/>
      <c r="AL328" s="131"/>
      <c r="AM328" s="131"/>
      <c r="AN328" s="131"/>
      <c r="AO328" s="131"/>
      <c r="AP328" s="88"/>
    </row>
    <row r="329">
      <c r="A329" s="155"/>
      <c r="B329" s="173"/>
      <c r="C329" s="174"/>
      <c r="D329" s="173"/>
      <c r="E329" s="155"/>
      <c r="F329" s="155"/>
      <c r="G329" s="88"/>
      <c r="H329" s="155"/>
      <c r="I329" s="155"/>
      <c r="J329" s="155"/>
      <c r="K329" s="15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58"/>
      <c r="AA329" s="105"/>
      <c r="AB329" s="105"/>
      <c r="AC329" s="105"/>
      <c r="AD329" s="105"/>
      <c r="AE329" s="105"/>
      <c r="AF329" s="158"/>
      <c r="AG329" s="105"/>
      <c r="AH329" s="158"/>
      <c r="AI329" s="88"/>
      <c r="AJ329" s="88"/>
      <c r="AK329" s="131"/>
      <c r="AL329" s="131"/>
      <c r="AM329" s="131"/>
      <c r="AN329" s="131"/>
      <c r="AO329" s="131"/>
      <c r="AP329" s="88"/>
    </row>
    <row r="330">
      <c r="A330" s="155"/>
      <c r="B330" s="173"/>
      <c r="C330" s="174"/>
      <c r="D330" s="173"/>
      <c r="E330" s="155"/>
      <c r="F330" s="155"/>
      <c r="G330" s="88"/>
      <c r="H330" s="155"/>
      <c r="I330" s="155"/>
      <c r="J330" s="155"/>
      <c r="K330" s="15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58"/>
      <c r="AA330" s="105"/>
      <c r="AB330" s="105"/>
      <c r="AC330" s="105"/>
      <c r="AD330" s="105"/>
      <c r="AE330" s="105"/>
      <c r="AF330" s="158"/>
      <c r="AG330" s="105"/>
      <c r="AH330" s="158"/>
      <c r="AI330" s="88"/>
      <c r="AJ330" s="88"/>
      <c r="AK330" s="131"/>
      <c r="AL330" s="131"/>
      <c r="AM330" s="131"/>
      <c r="AN330" s="131"/>
      <c r="AO330" s="131"/>
      <c r="AP330" s="88"/>
    </row>
    <row r="331">
      <c r="A331" s="155"/>
      <c r="B331" s="173"/>
      <c r="C331" s="174"/>
      <c r="D331" s="173"/>
      <c r="E331" s="155"/>
      <c r="F331" s="155"/>
      <c r="G331" s="88"/>
      <c r="H331" s="155"/>
      <c r="I331" s="155"/>
      <c r="J331" s="155"/>
      <c r="K331" s="15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58"/>
      <c r="AA331" s="105"/>
      <c r="AB331" s="105"/>
      <c r="AC331" s="105"/>
      <c r="AD331" s="105"/>
      <c r="AE331" s="105"/>
      <c r="AF331" s="158"/>
      <c r="AG331" s="105"/>
      <c r="AH331" s="158"/>
      <c r="AI331" s="88"/>
      <c r="AJ331" s="88"/>
      <c r="AK331" s="131"/>
      <c r="AL331" s="131"/>
      <c r="AM331" s="131"/>
      <c r="AN331" s="131"/>
      <c r="AO331" s="131"/>
      <c r="AP331" s="88"/>
    </row>
    <row r="332">
      <c r="A332" s="155"/>
      <c r="B332" s="173"/>
      <c r="C332" s="174"/>
      <c r="D332" s="173"/>
      <c r="E332" s="155"/>
      <c r="F332" s="155"/>
      <c r="G332" s="88"/>
      <c r="H332" s="155"/>
      <c r="I332" s="155"/>
      <c r="J332" s="155"/>
      <c r="K332" s="15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58"/>
      <c r="AA332" s="105"/>
      <c r="AB332" s="105"/>
      <c r="AC332" s="105"/>
      <c r="AD332" s="105"/>
      <c r="AE332" s="105"/>
      <c r="AF332" s="158"/>
      <c r="AG332" s="105"/>
      <c r="AH332" s="158"/>
      <c r="AI332" s="88"/>
      <c r="AJ332" s="88"/>
      <c r="AK332" s="131"/>
      <c r="AL332" s="131"/>
      <c r="AM332" s="131"/>
      <c r="AN332" s="131"/>
      <c r="AO332" s="131"/>
      <c r="AP332" s="88"/>
    </row>
    <row r="333">
      <c r="A333" s="155"/>
      <c r="B333" s="173"/>
      <c r="C333" s="174"/>
      <c r="D333" s="173"/>
      <c r="E333" s="155"/>
      <c r="F333" s="155"/>
      <c r="G333" s="88"/>
      <c r="H333" s="155"/>
      <c r="I333" s="155"/>
      <c r="J333" s="155"/>
      <c r="K333" s="15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58"/>
      <c r="AA333" s="105"/>
      <c r="AB333" s="105"/>
      <c r="AC333" s="105"/>
      <c r="AD333" s="105"/>
      <c r="AE333" s="105"/>
      <c r="AF333" s="158"/>
      <c r="AG333" s="105"/>
      <c r="AH333" s="158"/>
      <c r="AI333" s="88"/>
      <c r="AJ333" s="88"/>
      <c r="AK333" s="131"/>
      <c r="AL333" s="131"/>
      <c r="AM333" s="131"/>
      <c r="AN333" s="131"/>
      <c r="AO333" s="131"/>
      <c r="AP333" s="88"/>
    </row>
    <row r="334">
      <c r="A334" s="155"/>
      <c r="B334" s="173"/>
      <c r="C334" s="174"/>
      <c r="D334" s="173"/>
      <c r="E334" s="155"/>
      <c r="F334" s="155"/>
      <c r="G334" s="88"/>
      <c r="H334" s="155"/>
      <c r="I334" s="155"/>
      <c r="J334" s="155"/>
      <c r="K334" s="15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58"/>
      <c r="AA334" s="105"/>
      <c r="AB334" s="105"/>
      <c r="AC334" s="105"/>
      <c r="AD334" s="105"/>
      <c r="AE334" s="105"/>
      <c r="AF334" s="158"/>
      <c r="AG334" s="105"/>
      <c r="AH334" s="158"/>
      <c r="AI334" s="88"/>
      <c r="AJ334" s="88"/>
      <c r="AK334" s="131"/>
      <c r="AL334" s="131"/>
      <c r="AM334" s="131"/>
      <c r="AN334" s="131"/>
      <c r="AO334" s="131"/>
      <c r="AP334" s="88"/>
    </row>
    <row r="335">
      <c r="A335" s="155"/>
      <c r="B335" s="173"/>
      <c r="C335" s="174"/>
      <c r="D335" s="173"/>
      <c r="E335" s="155"/>
      <c r="F335" s="155"/>
      <c r="G335" s="88"/>
      <c r="H335" s="155"/>
      <c r="I335" s="155"/>
      <c r="J335" s="155"/>
      <c r="K335" s="15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58"/>
      <c r="AA335" s="105"/>
      <c r="AB335" s="105"/>
      <c r="AC335" s="105"/>
      <c r="AD335" s="105"/>
      <c r="AE335" s="105"/>
      <c r="AF335" s="158"/>
      <c r="AG335" s="105"/>
      <c r="AH335" s="158"/>
      <c r="AI335" s="88"/>
      <c r="AJ335" s="88"/>
      <c r="AK335" s="131"/>
      <c r="AL335" s="131"/>
      <c r="AM335" s="131"/>
      <c r="AN335" s="131"/>
      <c r="AO335" s="131"/>
      <c r="AP335" s="88"/>
    </row>
    <row r="336">
      <c r="A336" s="155"/>
      <c r="B336" s="173"/>
      <c r="C336" s="174"/>
      <c r="D336" s="173"/>
      <c r="E336" s="155"/>
      <c r="F336" s="155"/>
      <c r="G336" s="88"/>
      <c r="H336" s="155"/>
      <c r="I336" s="155"/>
      <c r="J336" s="155"/>
      <c r="K336" s="15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58"/>
      <c r="AA336" s="105"/>
      <c r="AB336" s="105"/>
      <c r="AC336" s="105"/>
      <c r="AD336" s="105"/>
      <c r="AE336" s="105"/>
      <c r="AF336" s="158"/>
      <c r="AG336" s="105"/>
      <c r="AH336" s="158"/>
      <c r="AI336" s="88"/>
      <c r="AJ336" s="88"/>
      <c r="AK336" s="131"/>
      <c r="AL336" s="131"/>
      <c r="AM336" s="131"/>
      <c r="AN336" s="131"/>
      <c r="AO336" s="131"/>
      <c r="AP336" s="88"/>
    </row>
    <row r="337">
      <c r="A337" s="155"/>
      <c r="B337" s="173"/>
      <c r="C337" s="174"/>
      <c r="D337" s="173"/>
      <c r="E337" s="155"/>
      <c r="F337" s="155"/>
      <c r="G337" s="88"/>
      <c r="H337" s="155"/>
      <c r="I337" s="155"/>
      <c r="J337" s="155"/>
      <c r="K337" s="15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58"/>
      <c r="AA337" s="105"/>
      <c r="AB337" s="105"/>
      <c r="AC337" s="105"/>
      <c r="AD337" s="105"/>
      <c r="AE337" s="105"/>
      <c r="AF337" s="158"/>
      <c r="AG337" s="105"/>
      <c r="AH337" s="158"/>
      <c r="AI337" s="88"/>
      <c r="AJ337" s="88"/>
      <c r="AK337" s="131"/>
      <c r="AL337" s="131"/>
      <c r="AM337" s="131"/>
      <c r="AN337" s="131"/>
      <c r="AO337" s="131"/>
      <c r="AP337" s="88"/>
    </row>
    <row r="338">
      <c r="A338" s="155"/>
      <c r="B338" s="173"/>
      <c r="C338" s="174"/>
      <c r="D338" s="173"/>
      <c r="E338" s="155"/>
      <c r="F338" s="155"/>
      <c r="G338" s="88"/>
      <c r="H338" s="155"/>
      <c r="I338" s="155"/>
      <c r="J338" s="155"/>
      <c r="K338" s="15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58"/>
      <c r="AA338" s="105"/>
      <c r="AB338" s="105"/>
      <c r="AC338" s="105"/>
      <c r="AD338" s="105"/>
      <c r="AE338" s="105"/>
      <c r="AF338" s="158"/>
      <c r="AG338" s="105"/>
      <c r="AH338" s="158"/>
      <c r="AI338" s="88"/>
      <c r="AJ338" s="88"/>
      <c r="AK338" s="131"/>
      <c r="AL338" s="131"/>
      <c r="AM338" s="131"/>
      <c r="AN338" s="131"/>
      <c r="AO338" s="131"/>
      <c r="AP338" s="88"/>
    </row>
    <row r="339">
      <c r="A339" s="155"/>
      <c r="B339" s="173"/>
      <c r="C339" s="174"/>
      <c r="D339" s="173"/>
      <c r="E339" s="155"/>
      <c r="F339" s="155"/>
      <c r="G339" s="88"/>
      <c r="H339" s="155"/>
      <c r="I339" s="155"/>
      <c r="J339" s="155"/>
      <c r="K339" s="15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58"/>
      <c r="AA339" s="105"/>
      <c r="AB339" s="105"/>
      <c r="AC339" s="105"/>
      <c r="AD339" s="105"/>
      <c r="AE339" s="105"/>
      <c r="AF339" s="158"/>
      <c r="AG339" s="105"/>
      <c r="AH339" s="158"/>
      <c r="AI339" s="88"/>
      <c r="AJ339" s="88"/>
      <c r="AK339" s="131"/>
      <c r="AL339" s="131"/>
      <c r="AM339" s="131"/>
      <c r="AN339" s="131"/>
      <c r="AO339" s="131"/>
      <c r="AP339" s="88"/>
    </row>
    <row r="340">
      <c r="A340" s="155"/>
      <c r="B340" s="173"/>
      <c r="C340" s="174"/>
      <c r="D340" s="173"/>
      <c r="E340" s="155"/>
      <c r="F340" s="155"/>
      <c r="G340" s="88"/>
      <c r="H340" s="155"/>
      <c r="I340" s="155"/>
      <c r="J340" s="155"/>
      <c r="K340" s="15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58"/>
      <c r="AA340" s="105"/>
      <c r="AB340" s="105"/>
      <c r="AC340" s="105"/>
      <c r="AD340" s="105"/>
      <c r="AE340" s="105"/>
      <c r="AF340" s="158"/>
      <c r="AG340" s="105"/>
      <c r="AH340" s="158"/>
      <c r="AI340" s="88"/>
      <c r="AJ340" s="88"/>
      <c r="AK340" s="131"/>
      <c r="AL340" s="131"/>
      <c r="AM340" s="131"/>
      <c r="AN340" s="131"/>
      <c r="AO340" s="131"/>
      <c r="AP340" s="88"/>
    </row>
    <row r="341">
      <c r="A341" s="155"/>
      <c r="B341" s="173"/>
      <c r="C341" s="174"/>
      <c r="D341" s="173"/>
      <c r="E341" s="155"/>
      <c r="F341" s="155"/>
      <c r="G341" s="88"/>
      <c r="H341" s="155"/>
      <c r="I341" s="155"/>
      <c r="J341" s="155"/>
      <c r="K341" s="15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58"/>
      <c r="AA341" s="105"/>
      <c r="AB341" s="105"/>
      <c r="AC341" s="105"/>
      <c r="AD341" s="105"/>
      <c r="AE341" s="105"/>
      <c r="AF341" s="158"/>
      <c r="AG341" s="105"/>
      <c r="AH341" s="158"/>
      <c r="AI341" s="88"/>
      <c r="AJ341" s="88"/>
      <c r="AK341" s="131"/>
      <c r="AL341" s="131"/>
      <c r="AM341" s="131"/>
      <c r="AN341" s="131"/>
      <c r="AO341" s="131"/>
      <c r="AP341" s="88"/>
    </row>
    <row r="342">
      <c r="A342" s="155"/>
      <c r="B342" s="173"/>
      <c r="C342" s="174"/>
      <c r="D342" s="173"/>
      <c r="E342" s="155"/>
      <c r="F342" s="155"/>
      <c r="G342" s="88"/>
      <c r="H342" s="155"/>
      <c r="I342" s="155"/>
      <c r="J342" s="155"/>
      <c r="K342" s="15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58"/>
      <c r="AA342" s="105"/>
      <c r="AB342" s="105"/>
      <c r="AC342" s="105"/>
      <c r="AD342" s="105"/>
      <c r="AE342" s="105"/>
      <c r="AF342" s="158"/>
      <c r="AG342" s="105"/>
      <c r="AH342" s="158"/>
      <c r="AI342" s="88"/>
      <c r="AJ342" s="88"/>
      <c r="AK342" s="131"/>
      <c r="AL342" s="131"/>
      <c r="AM342" s="131"/>
      <c r="AN342" s="131"/>
      <c r="AO342" s="131"/>
      <c r="AP342" s="88"/>
    </row>
    <row r="343">
      <c r="A343" s="155"/>
      <c r="B343" s="173"/>
      <c r="C343" s="174"/>
      <c r="D343" s="173"/>
      <c r="E343" s="155"/>
      <c r="F343" s="155"/>
      <c r="G343" s="88"/>
      <c r="H343" s="155"/>
      <c r="I343" s="155"/>
      <c r="J343" s="155"/>
      <c r="K343" s="15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58"/>
      <c r="AA343" s="105"/>
      <c r="AB343" s="105"/>
      <c r="AC343" s="105"/>
      <c r="AD343" s="105"/>
      <c r="AE343" s="105"/>
      <c r="AF343" s="158"/>
      <c r="AG343" s="105"/>
      <c r="AH343" s="158"/>
      <c r="AI343" s="88"/>
      <c r="AJ343" s="88"/>
      <c r="AK343" s="131"/>
      <c r="AL343" s="131"/>
      <c r="AM343" s="131"/>
      <c r="AN343" s="131"/>
      <c r="AO343" s="131"/>
      <c r="AP343" s="88"/>
    </row>
    <row r="344">
      <c r="A344" s="155"/>
      <c r="B344" s="173"/>
      <c r="C344" s="174"/>
      <c r="D344" s="173"/>
      <c r="E344" s="155"/>
      <c r="F344" s="155"/>
      <c r="G344" s="88"/>
      <c r="H344" s="155"/>
      <c r="I344" s="155"/>
      <c r="J344" s="155"/>
      <c r="K344" s="15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58"/>
      <c r="AA344" s="105"/>
      <c r="AB344" s="105"/>
      <c r="AC344" s="105"/>
      <c r="AD344" s="105"/>
      <c r="AE344" s="105"/>
      <c r="AF344" s="158"/>
      <c r="AG344" s="105"/>
      <c r="AH344" s="158"/>
      <c r="AI344" s="88"/>
      <c r="AJ344" s="88"/>
      <c r="AK344" s="131"/>
      <c r="AL344" s="131"/>
      <c r="AM344" s="131"/>
      <c r="AN344" s="131"/>
      <c r="AO344" s="131"/>
      <c r="AP344" s="88"/>
    </row>
    <row r="345">
      <c r="A345" s="155"/>
      <c r="B345" s="173"/>
      <c r="C345" s="174"/>
      <c r="D345" s="173"/>
      <c r="E345" s="155"/>
      <c r="F345" s="155"/>
      <c r="G345" s="88"/>
      <c r="H345" s="155"/>
      <c r="I345" s="155"/>
      <c r="J345" s="155"/>
      <c r="K345" s="15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58"/>
      <c r="AA345" s="105"/>
      <c r="AB345" s="105"/>
      <c r="AC345" s="105"/>
      <c r="AD345" s="105"/>
      <c r="AE345" s="105"/>
      <c r="AF345" s="158"/>
      <c r="AG345" s="105"/>
      <c r="AH345" s="158"/>
      <c r="AI345" s="88"/>
      <c r="AJ345" s="88"/>
      <c r="AK345" s="131"/>
      <c r="AL345" s="131"/>
      <c r="AM345" s="131"/>
      <c r="AN345" s="131"/>
      <c r="AO345" s="131"/>
      <c r="AP345" s="88"/>
    </row>
    <row r="346">
      <c r="A346" s="155"/>
      <c r="B346" s="173"/>
      <c r="C346" s="174"/>
      <c r="D346" s="173"/>
      <c r="E346" s="155"/>
      <c r="F346" s="155"/>
      <c r="G346" s="88"/>
      <c r="H346" s="155"/>
      <c r="I346" s="155"/>
      <c r="J346" s="155"/>
      <c r="K346" s="15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58"/>
      <c r="AA346" s="105"/>
      <c r="AB346" s="105"/>
      <c r="AC346" s="105"/>
      <c r="AD346" s="105"/>
      <c r="AE346" s="105"/>
      <c r="AF346" s="158"/>
      <c r="AG346" s="105"/>
      <c r="AH346" s="158"/>
      <c r="AI346" s="88"/>
      <c r="AJ346" s="88"/>
      <c r="AK346" s="131"/>
      <c r="AL346" s="131"/>
      <c r="AM346" s="131"/>
      <c r="AN346" s="131"/>
      <c r="AO346" s="131"/>
      <c r="AP346" s="88"/>
    </row>
    <row r="347">
      <c r="A347" s="155"/>
      <c r="B347" s="173"/>
      <c r="C347" s="174"/>
      <c r="D347" s="173"/>
      <c r="E347" s="155"/>
      <c r="F347" s="155"/>
      <c r="G347" s="88"/>
      <c r="H347" s="155"/>
      <c r="I347" s="155"/>
      <c r="J347" s="155"/>
      <c r="K347" s="15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58"/>
      <c r="AA347" s="105"/>
      <c r="AB347" s="105"/>
      <c r="AC347" s="105"/>
      <c r="AD347" s="105"/>
      <c r="AE347" s="105"/>
      <c r="AF347" s="158"/>
      <c r="AG347" s="105"/>
      <c r="AH347" s="158"/>
      <c r="AI347" s="88"/>
      <c r="AJ347" s="88"/>
      <c r="AK347" s="131"/>
      <c r="AL347" s="131"/>
      <c r="AM347" s="131"/>
      <c r="AN347" s="131"/>
      <c r="AO347" s="131"/>
      <c r="AP347" s="88"/>
    </row>
    <row r="348">
      <c r="A348" s="155"/>
      <c r="B348" s="173"/>
      <c r="C348" s="174"/>
      <c r="D348" s="173"/>
      <c r="E348" s="155"/>
      <c r="F348" s="155"/>
      <c r="G348" s="88"/>
      <c r="H348" s="155"/>
      <c r="I348" s="155"/>
      <c r="J348" s="155"/>
      <c r="K348" s="15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58"/>
      <c r="AA348" s="105"/>
      <c r="AB348" s="105"/>
      <c r="AC348" s="105"/>
      <c r="AD348" s="105"/>
      <c r="AE348" s="105"/>
      <c r="AF348" s="158"/>
      <c r="AG348" s="105"/>
      <c r="AH348" s="158"/>
      <c r="AI348" s="88"/>
      <c r="AJ348" s="88"/>
      <c r="AK348" s="131"/>
      <c r="AL348" s="131"/>
      <c r="AM348" s="131"/>
      <c r="AN348" s="131"/>
      <c r="AO348" s="131"/>
      <c r="AP348" s="88"/>
    </row>
    <row r="349">
      <c r="A349" s="155"/>
      <c r="B349" s="173"/>
      <c r="C349" s="174"/>
      <c r="D349" s="173"/>
      <c r="E349" s="155"/>
      <c r="F349" s="155"/>
      <c r="G349" s="88"/>
      <c r="H349" s="155"/>
      <c r="I349" s="155"/>
      <c r="J349" s="155"/>
      <c r="K349" s="15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58"/>
      <c r="AA349" s="105"/>
      <c r="AB349" s="105"/>
      <c r="AC349" s="105"/>
      <c r="AD349" s="105"/>
      <c r="AE349" s="105"/>
      <c r="AF349" s="158"/>
      <c r="AG349" s="105"/>
      <c r="AH349" s="158"/>
      <c r="AI349" s="88"/>
      <c r="AJ349" s="88"/>
      <c r="AK349" s="131"/>
      <c r="AL349" s="131"/>
      <c r="AM349" s="131"/>
      <c r="AN349" s="131"/>
      <c r="AO349" s="131"/>
      <c r="AP349" s="88"/>
    </row>
    <row r="350">
      <c r="A350" s="155"/>
      <c r="B350" s="173"/>
      <c r="C350" s="174"/>
      <c r="D350" s="173"/>
      <c r="E350" s="155"/>
      <c r="F350" s="155"/>
      <c r="G350" s="88"/>
      <c r="H350" s="155"/>
      <c r="I350" s="155"/>
      <c r="J350" s="155"/>
      <c r="K350" s="15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58"/>
      <c r="AA350" s="105"/>
      <c r="AB350" s="105"/>
      <c r="AC350" s="105"/>
      <c r="AD350" s="105"/>
      <c r="AE350" s="105"/>
      <c r="AF350" s="158"/>
      <c r="AG350" s="105"/>
      <c r="AH350" s="158"/>
      <c r="AI350" s="88"/>
      <c r="AJ350" s="88"/>
      <c r="AK350" s="131"/>
      <c r="AL350" s="131"/>
      <c r="AM350" s="131"/>
      <c r="AN350" s="131"/>
      <c r="AO350" s="131"/>
      <c r="AP350" s="88"/>
    </row>
    <row r="351">
      <c r="A351" s="155"/>
      <c r="B351" s="173"/>
      <c r="C351" s="174"/>
      <c r="D351" s="173"/>
      <c r="E351" s="155"/>
      <c r="F351" s="155"/>
      <c r="G351" s="88"/>
      <c r="H351" s="155"/>
      <c r="I351" s="155"/>
      <c r="J351" s="155"/>
      <c r="K351" s="15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58"/>
      <c r="AA351" s="105"/>
      <c r="AB351" s="105"/>
      <c r="AC351" s="105"/>
      <c r="AD351" s="105"/>
      <c r="AE351" s="105"/>
      <c r="AF351" s="158"/>
      <c r="AG351" s="105"/>
      <c r="AH351" s="158"/>
      <c r="AI351" s="88"/>
      <c r="AJ351" s="88"/>
      <c r="AK351" s="131"/>
      <c r="AL351" s="131"/>
      <c r="AM351" s="131"/>
      <c r="AN351" s="131"/>
      <c r="AO351" s="131"/>
      <c r="AP351" s="88"/>
    </row>
    <row r="352">
      <c r="A352" s="155"/>
      <c r="B352" s="173"/>
      <c r="C352" s="174"/>
      <c r="D352" s="173"/>
      <c r="E352" s="155"/>
      <c r="F352" s="155"/>
      <c r="G352" s="88"/>
      <c r="H352" s="155"/>
      <c r="I352" s="155"/>
      <c r="J352" s="155"/>
      <c r="K352" s="15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58"/>
      <c r="AA352" s="105"/>
      <c r="AB352" s="105"/>
      <c r="AC352" s="105"/>
      <c r="AD352" s="105"/>
      <c r="AE352" s="105"/>
      <c r="AF352" s="158"/>
      <c r="AG352" s="105"/>
      <c r="AH352" s="158"/>
      <c r="AI352" s="88"/>
      <c r="AJ352" s="88"/>
      <c r="AK352" s="131"/>
      <c r="AL352" s="131"/>
      <c r="AM352" s="131"/>
      <c r="AN352" s="131"/>
      <c r="AO352" s="131"/>
      <c r="AP352" s="88"/>
    </row>
    <row r="353">
      <c r="A353" s="155"/>
      <c r="B353" s="173"/>
      <c r="C353" s="174"/>
      <c r="D353" s="173"/>
      <c r="E353" s="155"/>
      <c r="F353" s="155"/>
      <c r="G353" s="88"/>
      <c r="H353" s="155"/>
      <c r="I353" s="155"/>
      <c r="J353" s="155"/>
      <c r="K353" s="15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58"/>
      <c r="AA353" s="105"/>
      <c r="AB353" s="105"/>
      <c r="AC353" s="105"/>
      <c r="AD353" s="105"/>
      <c r="AE353" s="105"/>
      <c r="AF353" s="158"/>
      <c r="AG353" s="105"/>
      <c r="AH353" s="158"/>
      <c r="AI353" s="88"/>
      <c r="AJ353" s="88"/>
      <c r="AK353" s="131"/>
      <c r="AL353" s="131"/>
      <c r="AM353" s="131"/>
      <c r="AN353" s="131"/>
      <c r="AO353" s="131"/>
      <c r="AP353" s="88"/>
    </row>
    <row r="354">
      <c r="A354" s="155"/>
      <c r="B354" s="173"/>
      <c r="C354" s="174"/>
      <c r="D354" s="173"/>
      <c r="E354" s="155"/>
      <c r="F354" s="155"/>
      <c r="G354" s="88"/>
      <c r="H354" s="155"/>
      <c r="I354" s="155"/>
      <c r="J354" s="155"/>
      <c r="K354" s="15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58"/>
      <c r="AA354" s="105"/>
      <c r="AB354" s="105"/>
      <c r="AC354" s="105"/>
      <c r="AD354" s="105"/>
      <c r="AE354" s="105"/>
      <c r="AF354" s="158"/>
      <c r="AG354" s="105"/>
      <c r="AH354" s="158"/>
      <c r="AI354" s="88"/>
      <c r="AJ354" s="88"/>
      <c r="AK354" s="131"/>
      <c r="AL354" s="131"/>
      <c r="AM354" s="131"/>
      <c r="AN354" s="131"/>
      <c r="AO354" s="131"/>
      <c r="AP354" s="88"/>
    </row>
    <row r="355">
      <c r="A355" s="155"/>
      <c r="B355" s="173"/>
      <c r="C355" s="174"/>
      <c r="D355" s="173"/>
      <c r="E355" s="155"/>
      <c r="F355" s="155"/>
      <c r="G355" s="88"/>
      <c r="H355" s="155"/>
      <c r="I355" s="155"/>
      <c r="J355" s="155"/>
      <c r="K355" s="15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58"/>
      <c r="AA355" s="105"/>
      <c r="AB355" s="105"/>
      <c r="AC355" s="105"/>
      <c r="AD355" s="105"/>
      <c r="AE355" s="105"/>
      <c r="AF355" s="158"/>
      <c r="AG355" s="105"/>
      <c r="AH355" s="158"/>
      <c r="AI355" s="88"/>
      <c r="AJ355" s="88"/>
      <c r="AK355" s="131"/>
      <c r="AL355" s="131"/>
      <c r="AM355" s="131"/>
      <c r="AN355" s="131"/>
      <c r="AO355" s="131"/>
      <c r="AP355" s="88"/>
    </row>
    <row r="356">
      <c r="A356" s="155"/>
      <c r="B356" s="173"/>
      <c r="C356" s="174"/>
      <c r="D356" s="173"/>
      <c r="E356" s="155"/>
      <c r="F356" s="155"/>
      <c r="G356" s="88"/>
      <c r="H356" s="155"/>
      <c r="I356" s="155"/>
      <c r="J356" s="155"/>
      <c r="K356" s="15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58"/>
      <c r="AA356" s="105"/>
      <c r="AB356" s="105"/>
      <c r="AC356" s="105"/>
      <c r="AD356" s="105"/>
      <c r="AE356" s="105"/>
      <c r="AF356" s="158"/>
      <c r="AG356" s="105"/>
      <c r="AH356" s="158"/>
      <c r="AI356" s="88"/>
      <c r="AJ356" s="88"/>
      <c r="AK356" s="131"/>
      <c r="AL356" s="131"/>
      <c r="AM356" s="131"/>
      <c r="AN356" s="131"/>
      <c r="AO356" s="131"/>
      <c r="AP356" s="88"/>
    </row>
    <row r="357">
      <c r="A357" s="155"/>
      <c r="B357" s="173"/>
      <c r="C357" s="174"/>
      <c r="D357" s="173"/>
      <c r="E357" s="155"/>
      <c r="F357" s="155"/>
      <c r="G357" s="88"/>
      <c r="H357" s="155"/>
      <c r="I357" s="155"/>
      <c r="J357" s="155"/>
      <c r="K357" s="15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58"/>
      <c r="AA357" s="105"/>
      <c r="AB357" s="105"/>
      <c r="AC357" s="105"/>
      <c r="AD357" s="105"/>
      <c r="AE357" s="105"/>
      <c r="AF357" s="158"/>
      <c r="AG357" s="105"/>
      <c r="AH357" s="158"/>
      <c r="AI357" s="88"/>
      <c r="AJ357" s="88"/>
      <c r="AK357" s="131"/>
      <c r="AL357" s="131"/>
      <c r="AM357" s="131"/>
      <c r="AN357" s="131"/>
      <c r="AO357" s="131"/>
      <c r="AP357" s="88"/>
    </row>
    <row r="358">
      <c r="A358" s="155"/>
      <c r="B358" s="173"/>
      <c r="C358" s="174"/>
      <c r="D358" s="173"/>
      <c r="E358" s="155"/>
      <c r="F358" s="155"/>
      <c r="G358" s="88"/>
      <c r="H358" s="155"/>
      <c r="I358" s="155"/>
      <c r="J358" s="155"/>
      <c r="K358" s="15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58"/>
      <c r="AA358" s="105"/>
      <c r="AB358" s="105"/>
      <c r="AC358" s="105"/>
      <c r="AD358" s="105"/>
      <c r="AE358" s="105"/>
      <c r="AF358" s="158"/>
      <c r="AG358" s="105"/>
      <c r="AH358" s="158"/>
      <c r="AI358" s="88"/>
      <c r="AJ358" s="88"/>
      <c r="AK358" s="131"/>
      <c r="AL358" s="131"/>
      <c r="AM358" s="131"/>
      <c r="AN358" s="131"/>
      <c r="AO358" s="131"/>
      <c r="AP358" s="88"/>
    </row>
    <row r="359">
      <c r="A359" s="155"/>
      <c r="B359" s="173"/>
      <c r="C359" s="174"/>
      <c r="D359" s="173"/>
      <c r="E359" s="155"/>
      <c r="F359" s="155"/>
      <c r="G359" s="88"/>
      <c r="H359" s="155"/>
      <c r="I359" s="155"/>
      <c r="J359" s="155"/>
      <c r="K359" s="15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58"/>
      <c r="AA359" s="105"/>
      <c r="AB359" s="105"/>
      <c r="AC359" s="105"/>
      <c r="AD359" s="105"/>
      <c r="AE359" s="105"/>
      <c r="AF359" s="158"/>
      <c r="AG359" s="105"/>
      <c r="AH359" s="158"/>
      <c r="AI359" s="88"/>
      <c r="AJ359" s="88"/>
      <c r="AK359" s="131"/>
      <c r="AL359" s="131"/>
      <c r="AM359" s="131"/>
      <c r="AN359" s="131"/>
      <c r="AO359" s="131"/>
      <c r="AP359" s="88"/>
    </row>
    <row r="360">
      <c r="A360" s="155"/>
      <c r="B360" s="173"/>
      <c r="C360" s="174"/>
      <c r="D360" s="173"/>
      <c r="E360" s="155"/>
      <c r="F360" s="155"/>
      <c r="G360" s="88"/>
      <c r="H360" s="155"/>
      <c r="I360" s="155"/>
      <c r="J360" s="155"/>
      <c r="K360" s="15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58"/>
      <c r="AA360" s="105"/>
      <c r="AB360" s="105"/>
      <c r="AC360" s="105"/>
      <c r="AD360" s="105"/>
      <c r="AE360" s="105"/>
      <c r="AF360" s="158"/>
      <c r="AG360" s="105"/>
      <c r="AH360" s="158"/>
      <c r="AI360" s="88"/>
      <c r="AJ360" s="88"/>
      <c r="AK360" s="131"/>
      <c r="AL360" s="131"/>
      <c r="AM360" s="131"/>
      <c r="AN360" s="131"/>
      <c r="AO360" s="131"/>
      <c r="AP360" s="88"/>
    </row>
    <row r="361">
      <c r="A361" s="155"/>
      <c r="B361" s="173"/>
      <c r="C361" s="174"/>
      <c r="D361" s="173"/>
      <c r="E361" s="155"/>
      <c r="F361" s="155"/>
      <c r="G361" s="88"/>
      <c r="H361" s="155"/>
      <c r="I361" s="155"/>
      <c r="J361" s="155"/>
      <c r="K361" s="15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58"/>
      <c r="AA361" s="105"/>
      <c r="AB361" s="105"/>
      <c r="AC361" s="105"/>
      <c r="AD361" s="105"/>
      <c r="AE361" s="105"/>
      <c r="AF361" s="158"/>
      <c r="AG361" s="105"/>
      <c r="AH361" s="158"/>
      <c r="AI361" s="88"/>
      <c r="AJ361" s="88"/>
      <c r="AK361" s="131"/>
      <c r="AL361" s="131"/>
      <c r="AM361" s="131"/>
      <c r="AN361" s="131"/>
      <c r="AO361" s="131"/>
      <c r="AP361" s="88"/>
    </row>
    <row r="362">
      <c r="A362" s="155"/>
      <c r="B362" s="173"/>
      <c r="C362" s="174"/>
      <c r="D362" s="173"/>
      <c r="E362" s="155"/>
      <c r="F362" s="155"/>
      <c r="G362" s="88"/>
      <c r="H362" s="155"/>
      <c r="I362" s="155"/>
      <c r="J362" s="155"/>
      <c r="K362" s="15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58"/>
      <c r="AA362" s="105"/>
      <c r="AB362" s="105"/>
      <c r="AC362" s="105"/>
      <c r="AD362" s="105"/>
      <c r="AE362" s="105"/>
      <c r="AF362" s="158"/>
      <c r="AG362" s="105"/>
      <c r="AH362" s="158"/>
      <c r="AI362" s="88"/>
      <c r="AJ362" s="88"/>
      <c r="AK362" s="131"/>
      <c r="AL362" s="131"/>
      <c r="AM362" s="131"/>
      <c r="AN362" s="131"/>
      <c r="AO362" s="131"/>
      <c r="AP362" s="88"/>
    </row>
    <row r="363">
      <c r="A363" s="155"/>
      <c r="B363" s="173"/>
      <c r="C363" s="174"/>
      <c r="D363" s="173"/>
      <c r="E363" s="155"/>
      <c r="F363" s="155"/>
      <c r="G363" s="88"/>
      <c r="H363" s="155"/>
      <c r="I363" s="155"/>
      <c r="J363" s="155"/>
      <c r="K363" s="15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58"/>
      <c r="AA363" s="105"/>
      <c r="AB363" s="105"/>
      <c r="AC363" s="105"/>
      <c r="AD363" s="105"/>
      <c r="AE363" s="105"/>
      <c r="AF363" s="158"/>
      <c r="AG363" s="105"/>
      <c r="AH363" s="158"/>
      <c r="AI363" s="88"/>
      <c r="AJ363" s="88"/>
      <c r="AK363" s="131"/>
      <c r="AL363" s="131"/>
      <c r="AM363" s="131"/>
      <c r="AN363" s="131"/>
      <c r="AO363" s="131"/>
      <c r="AP363" s="88"/>
    </row>
    <row r="364">
      <c r="A364" s="155"/>
      <c r="B364" s="173"/>
      <c r="C364" s="174"/>
      <c r="D364" s="173"/>
      <c r="E364" s="155"/>
      <c r="F364" s="155"/>
      <c r="G364" s="88"/>
      <c r="H364" s="155"/>
      <c r="I364" s="155"/>
      <c r="J364" s="155"/>
      <c r="K364" s="15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58"/>
      <c r="AA364" s="105"/>
      <c r="AB364" s="105"/>
      <c r="AC364" s="105"/>
      <c r="AD364" s="105"/>
      <c r="AE364" s="105"/>
      <c r="AF364" s="158"/>
      <c r="AG364" s="105"/>
      <c r="AH364" s="158"/>
      <c r="AI364" s="88"/>
      <c r="AJ364" s="88"/>
      <c r="AK364" s="131"/>
      <c r="AL364" s="131"/>
      <c r="AM364" s="131"/>
      <c r="AN364" s="131"/>
      <c r="AO364" s="131"/>
      <c r="AP364" s="88"/>
    </row>
    <row r="365">
      <c r="A365" s="155"/>
      <c r="B365" s="173"/>
      <c r="C365" s="174"/>
      <c r="D365" s="173"/>
      <c r="E365" s="155"/>
      <c r="F365" s="155"/>
      <c r="G365" s="88"/>
      <c r="H365" s="155"/>
      <c r="I365" s="155"/>
      <c r="J365" s="155"/>
      <c r="K365" s="15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58"/>
      <c r="AA365" s="105"/>
      <c r="AB365" s="105"/>
      <c r="AC365" s="105"/>
      <c r="AD365" s="105"/>
      <c r="AE365" s="105"/>
      <c r="AF365" s="158"/>
      <c r="AG365" s="105"/>
      <c r="AH365" s="158"/>
      <c r="AI365" s="88"/>
      <c r="AJ365" s="88"/>
      <c r="AK365" s="131"/>
      <c r="AL365" s="131"/>
      <c r="AM365" s="131"/>
      <c r="AN365" s="131"/>
      <c r="AO365" s="131"/>
      <c r="AP365" s="88"/>
    </row>
    <row r="366">
      <c r="A366" s="155"/>
      <c r="B366" s="173"/>
      <c r="C366" s="174"/>
      <c r="D366" s="173"/>
      <c r="E366" s="155"/>
      <c r="F366" s="155"/>
      <c r="G366" s="88"/>
      <c r="H366" s="155"/>
      <c r="I366" s="155"/>
      <c r="J366" s="155"/>
      <c r="K366" s="15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58"/>
      <c r="AA366" s="105"/>
      <c r="AB366" s="105"/>
      <c r="AC366" s="105"/>
      <c r="AD366" s="105"/>
      <c r="AE366" s="105"/>
      <c r="AF366" s="158"/>
      <c r="AG366" s="105"/>
      <c r="AH366" s="158"/>
      <c r="AI366" s="88"/>
      <c r="AJ366" s="88"/>
      <c r="AK366" s="131"/>
      <c r="AL366" s="131"/>
      <c r="AM366" s="131"/>
      <c r="AN366" s="131"/>
      <c r="AO366" s="131"/>
      <c r="AP366" s="88"/>
    </row>
    <row r="367">
      <c r="A367" s="155"/>
      <c r="B367" s="173"/>
      <c r="C367" s="174"/>
      <c r="D367" s="173"/>
      <c r="E367" s="155"/>
      <c r="F367" s="155"/>
      <c r="G367" s="88"/>
      <c r="H367" s="155"/>
      <c r="I367" s="155"/>
      <c r="J367" s="155"/>
      <c r="K367" s="15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58"/>
      <c r="AA367" s="105"/>
      <c r="AB367" s="105"/>
      <c r="AC367" s="105"/>
      <c r="AD367" s="105"/>
      <c r="AE367" s="105"/>
      <c r="AF367" s="158"/>
      <c r="AG367" s="105"/>
      <c r="AH367" s="158"/>
      <c r="AI367" s="88"/>
      <c r="AJ367" s="88"/>
      <c r="AK367" s="131"/>
      <c r="AL367" s="131"/>
      <c r="AM367" s="131"/>
      <c r="AN367" s="131"/>
      <c r="AO367" s="131"/>
      <c r="AP367" s="88"/>
    </row>
    <row r="368">
      <c r="A368" s="155"/>
      <c r="B368" s="173"/>
      <c r="C368" s="174"/>
      <c r="D368" s="173"/>
      <c r="E368" s="155"/>
      <c r="F368" s="155"/>
      <c r="G368" s="88"/>
      <c r="H368" s="155"/>
      <c r="I368" s="155"/>
      <c r="J368" s="155"/>
      <c r="K368" s="15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58"/>
      <c r="AA368" s="105"/>
      <c r="AB368" s="105"/>
      <c r="AC368" s="105"/>
      <c r="AD368" s="105"/>
      <c r="AE368" s="105"/>
      <c r="AF368" s="158"/>
      <c r="AG368" s="105"/>
      <c r="AH368" s="158"/>
      <c r="AI368" s="88"/>
      <c r="AJ368" s="88"/>
      <c r="AK368" s="131"/>
      <c r="AL368" s="131"/>
      <c r="AM368" s="131"/>
      <c r="AN368" s="131"/>
      <c r="AO368" s="131"/>
      <c r="AP368" s="88"/>
    </row>
    <row r="369">
      <c r="A369" s="155"/>
      <c r="B369" s="173"/>
      <c r="C369" s="174"/>
      <c r="D369" s="173"/>
      <c r="E369" s="155"/>
      <c r="F369" s="155"/>
      <c r="G369" s="88"/>
      <c r="H369" s="155"/>
      <c r="I369" s="155"/>
      <c r="J369" s="155"/>
      <c r="K369" s="15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58"/>
      <c r="AA369" s="105"/>
      <c r="AB369" s="105"/>
      <c r="AC369" s="105"/>
      <c r="AD369" s="105"/>
      <c r="AE369" s="105"/>
      <c r="AF369" s="158"/>
      <c r="AG369" s="105"/>
      <c r="AH369" s="158"/>
      <c r="AI369" s="88"/>
      <c r="AJ369" s="88"/>
      <c r="AK369" s="131"/>
      <c r="AL369" s="131"/>
      <c r="AM369" s="131"/>
      <c r="AN369" s="131"/>
      <c r="AO369" s="131"/>
      <c r="AP369" s="88"/>
    </row>
    <row r="370">
      <c r="A370" s="155"/>
      <c r="B370" s="173"/>
      <c r="C370" s="174"/>
      <c r="D370" s="173"/>
      <c r="E370" s="155"/>
      <c r="F370" s="155"/>
      <c r="G370" s="88"/>
      <c r="H370" s="155"/>
      <c r="I370" s="155"/>
      <c r="J370" s="155"/>
      <c r="K370" s="15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58"/>
      <c r="AA370" s="105"/>
      <c r="AB370" s="105"/>
      <c r="AC370" s="105"/>
      <c r="AD370" s="105"/>
      <c r="AE370" s="105"/>
      <c r="AF370" s="158"/>
      <c r="AG370" s="105"/>
      <c r="AH370" s="158"/>
      <c r="AI370" s="88"/>
      <c r="AJ370" s="88"/>
      <c r="AK370" s="131"/>
      <c r="AL370" s="131"/>
      <c r="AM370" s="131"/>
      <c r="AN370" s="131"/>
      <c r="AO370" s="131"/>
      <c r="AP370" s="88"/>
    </row>
    <row r="371">
      <c r="A371" s="155"/>
      <c r="B371" s="173"/>
      <c r="C371" s="174"/>
      <c r="D371" s="173"/>
      <c r="E371" s="155"/>
      <c r="F371" s="155"/>
      <c r="G371" s="88"/>
      <c r="H371" s="155"/>
      <c r="I371" s="155"/>
      <c r="J371" s="155"/>
      <c r="K371" s="15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58"/>
      <c r="AA371" s="105"/>
      <c r="AB371" s="105"/>
      <c r="AC371" s="105"/>
      <c r="AD371" s="105"/>
      <c r="AE371" s="105"/>
      <c r="AF371" s="158"/>
      <c r="AG371" s="105"/>
      <c r="AH371" s="158"/>
      <c r="AI371" s="88"/>
      <c r="AJ371" s="88"/>
      <c r="AK371" s="131"/>
      <c r="AL371" s="131"/>
      <c r="AM371" s="131"/>
      <c r="AN371" s="131"/>
      <c r="AO371" s="131"/>
      <c r="AP371" s="88"/>
    </row>
    <row r="372">
      <c r="A372" s="155"/>
      <c r="B372" s="173"/>
      <c r="C372" s="174"/>
      <c r="D372" s="173"/>
      <c r="E372" s="155"/>
      <c r="F372" s="155"/>
      <c r="G372" s="88"/>
      <c r="H372" s="155"/>
      <c r="I372" s="155"/>
      <c r="J372" s="155"/>
      <c r="K372" s="15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58"/>
      <c r="AA372" s="105"/>
      <c r="AB372" s="105"/>
      <c r="AC372" s="105"/>
      <c r="AD372" s="105"/>
      <c r="AE372" s="105"/>
      <c r="AF372" s="158"/>
      <c r="AG372" s="105"/>
      <c r="AH372" s="158"/>
      <c r="AI372" s="88"/>
      <c r="AJ372" s="88"/>
      <c r="AK372" s="131"/>
      <c r="AL372" s="131"/>
      <c r="AM372" s="131"/>
      <c r="AN372" s="131"/>
      <c r="AO372" s="131"/>
      <c r="AP372" s="88"/>
    </row>
    <row r="373">
      <c r="A373" s="155"/>
      <c r="B373" s="173"/>
      <c r="C373" s="174"/>
      <c r="D373" s="173"/>
      <c r="E373" s="155"/>
      <c r="F373" s="155"/>
      <c r="G373" s="88"/>
      <c r="H373" s="155"/>
      <c r="I373" s="155"/>
      <c r="J373" s="155"/>
      <c r="K373" s="15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58"/>
      <c r="AA373" s="105"/>
      <c r="AB373" s="105"/>
      <c r="AC373" s="105"/>
      <c r="AD373" s="105"/>
      <c r="AE373" s="105"/>
      <c r="AF373" s="158"/>
      <c r="AG373" s="105"/>
      <c r="AH373" s="158"/>
      <c r="AI373" s="88"/>
      <c r="AJ373" s="88"/>
      <c r="AK373" s="131"/>
      <c r="AL373" s="131"/>
      <c r="AM373" s="131"/>
      <c r="AN373" s="131"/>
      <c r="AO373" s="131"/>
      <c r="AP373" s="88"/>
    </row>
    <row r="374">
      <c r="A374" s="155"/>
      <c r="B374" s="173"/>
      <c r="C374" s="174"/>
      <c r="D374" s="173"/>
      <c r="E374" s="155"/>
      <c r="F374" s="155"/>
      <c r="G374" s="88"/>
      <c r="H374" s="155"/>
      <c r="I374" s="155"/>
      <c r="J374" s="155"/>
      <c r="K374" s="15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58"/>
      <c r="AA374" s="105"/>
      <c r="AB374" s="105"/>
      <c r="AC374" s="105"/>
      <c r="AD374" s="105"/>
      <c r="AE374" s="105"/>
      <c r="AF374" s="158"/>
      <c r="AG374" s="105"/>
      <c r="AH374" s="158"/>
      <c r="AI374" s="88"/>
      <c r="AJ374" s="88"/>
      <c r="AK374" s="131"/>
      <c r="AL374" s="131"/>
      <c r="AM374" s="131"/>
      <c r="AN374" s="131"/>
      <c r="AO374" s="131"/>
      <c r="AP374" s="88"/>
    </row>
    <row r="375">
      <c r="A375" s="155"/>
      <c r="B375" s="173"/>
      <c r="C375" s="174"/>
      <c r="D375" s="173"/>
      <c r="E375" s="155"/>
      <c r="F375" s="155"/>
      <c r="G375" s="88"/>
      <c r="H375" s="155"/>
      <c r="I375" s="155"/>
      <c r="J375" s="155"/>
      <c r="K375" s="15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58"/>
      <c r="AA375" s="105"/>
      <c r="AB375" s="105"/>
      <c r="AC375" s="105"/>
      <c r="AD375" s="105"/>
      <c r="AE375" s="105"/>
      <c r="AF375" s="158"/>
      <c r="AG375" s="105"/>
      <c r="AH375" s="158"/>
      <c r="AI375" s="88"/>
      <c r="AJ375" s="88"/>
      <c r="AK375" s="131"/>
      <c r="AL375" s="131"/>
      <c r="AM375" s="131"/>
      <c r="AN375" s="131"/>
      <c r="AO375" s="131"/>
      <c r="AP375" s="88"/>
    </row>
    <row r="376">
      <c r="A376" s="155"/>
      <c r="B376" s="173"/>
      <c r="C376" s="174"/>
      <c r="D376" s="173"/>
      <c r="E376" s="155"/>
      <c r="F376" s="155"/>
      <c r="G376" s="88"/>
      <c r="H376" s="155"/>
      <c r="I376" s="155"/>
      <c r="J376" s="155"/>
      <c r="K376" s="15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58"/>
      <c r="AA376" s="105"/>
      <c r="AB376" s="105"/>
      <c r="AC376" s="105"/>
      <c r="AD376" s="105"/>
      <c r="AE376" s="105"/>
      <c r="AF376" s="158"/>
      <c r="AG376" s="105"/>
      <c r="AH376" s="158"/>
      <c r="AI376" s="88"/>
      <c r="AJ376" s="88"/>
      <c r="AK376" s="131"/>
      <c r="AL376" s="131"/>
      <c r="AM376" s="131"/>
      <c r="AN376" s="131"/>
      <c r="AO376" s="131"/>
      <c r="AP376" s="88"/>
    </row>
    <row r="377">
      <c r="A377" s="155"/>
      <c r="B377" s="173"/>
      <c r="C377" s="174"/>
      <c r="D377" s="173"/>
      <c r="E377" s="155"/>
      <c r="F377" s="155"/>
      <c r="G377" s="88"/>
      <c r="H377" s="155"/>
      <c r="I377" s="155"/>
      <c r="J377" s="155"/>
      <c r="K377" s="15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58"/>
      <c r="AA377" s="105"/>
      <c r="AB377" s="105"/>
      <c r="AC377" s="105"/>
      <c r="AD377" s="105"/>
      <c r="AE377" s="105"/>
      <c r="AF377" s="158"/>
      <c r="AG377" s="105"/>
      <c r="AH377" s="158"/>
      <c r="AI377" s="88"/>
      <c r="AJ377" s="88"/>
      <c r="AK377" s="131"/>
      <c r="AL377" s="131"/>
      <c r="AM377" s="131"/>
      <c r="AN377" s="131"/>
      <c r="AO377" s="131"/>
      <c r="AP377" s="88"/>
    </row>
    <row r="378">
      <c r="A378" s="155"/>
      <c r="B378" s="173"/>
      <c r="C378" s="174"/>
      <c r="D378" s="173"/>
      <c r="E378" s="155"/>
      <c r="F378" s="155"/>
      <c r="G378" s="88"/>
      <c r="H378" s="155"/>
      <c r="I378" s="155"/>
      <c r="J378" s="155"/>
      <c r="K378" s="15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58"/>
      <c r="AA378" s="105"/>
      <c r="AB378" s="105"/>
      <c r="AC378" s="105"/>
      <c r="AD378" s="105"/>
      <c r="AE378" s="105"/>
      <c r="AF378" s="158"/>
      <c r="AG378" s="105"/>
      <c r="AH378" s="158"/>
      <c r="AI378" s="88"/>
      <c r="AJ378" s="88"/>
      <c r="AK378" s="131"/>
      <c r="AL378" s="131"/>
      <c r="AM378" s="131"/>
      <c r="AN378" s="131"/>
      <c r="AO378" s="131"/>
      <c r="AP378" s="88"/>
    </row>
    <row r="379">
      <c r="A379" s="155"/>
      <c r="B379" s="173"/>
      <c r="C379" s="174"/>
      <c r="D379" s="173"/>
      <c r="E379" s="155"/>
      <c r="F379" s="155"/>
      <c r="G379" s="88"/>
      <c r="H379" s="155"/>
      <c r="I379" s="155"/>
      <c r="J379" s="155"/>
      <c r="K379" s="15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58"/>
      <c r="AA379" s="105"/>
      <c r="AB379" s="105"/>
      <c r="AC379" s="105"/>
      <c r="AD379" s="105"/>
      <c r="AE379" s="105"/>
      <c r="AF379" s="158"/>
      <c r="AG379" s="105"/>
      <c r="AH379" s="158"/>
      <c r="AI379" s="88"/>
      <c r="AJ379" s="88"/>
      <c r="AK379" s="131"/>
      <c r="AL379" s="131"/>
      <c r="AM379" s="131"/>
      <c r="AN379" s="131"/>
      <c r="AO379" s="131"/>
      <c r="AP379" s="88"/>
    </row>
    <row r="380">
      <c r="A380" s="155"/>
      <c r="B380" s="173"/>
      <c r="C380" s="174"/>
      <c r="D380" s="173"/>
      <c r="E380" s="155"/>
      <c r="F380" s="155"/>
      <c r="G380" s="88"/>
      <c r="H380" s="155"/>
      <c r="I380" s="155"/>
      <c r="J380" s="155"/>
      <c r="K380" s="15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58"/>
      <c r="AA380" s="105"/>
      <c r="AB380" s="105"/>
      <c r="AC380" s="105"/>
      <c r="AD380" s="105"/>
      <c r="AE380" s="105"/>
      <c r="AF380" s="158"/>
      <c r="AG380" s="105"/>
      <c r="AH380" s="158"/>
      <c r="AI380" s="88"/>
      <c r="AJ380" s="88"/>
      <c r="AK380" s="131"/>
      <c r="AL380" s="131"/>
      <c r="AM380" s="131"/>
      <c r="AN380" s="131"/>
      <c r="AO380" s="131"/>
      <c r="AP380" s="88"/>
    </row>
    <row r="381">
      <c r="A381" s="155"/>
      <c r="B381" s="173"/>
      <c r="C381" s="174"/>
      <c r="D381" s="173"/>
      <c r="E381" s="155"/>
      <c r="F381" s="155"/>
      <c r="G381" s="88"/>
      <c r="H381" s="155"/>
      <c r="I381" s="155"/>
      <c r="J381" s="155"/>
      <c r="K381" s="15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58"/>
      <c r="AA381" s="105"/>
      <c r="AB381" s="105"/>
      <c r="AC381" s="105"/>
      <c r="AD381" s="105"/>
      <c r="AE381" s="105"/>
      <c r="AF381" s="158"/>
      <c r="AG381" s="105"/>
      <c r="AH381" s="158"/>
      <c r="AI381" s="88"/>
      <c r="AJ381" s="88"/>
      <c r="AK381" s="131"/>
      <c r="AL381" s="131"/>
      <c r="AM381" s="131"/>
      <c r="AN381" s="131"/>
      <c r="AO381" s="131"/>
      <c r="AP381" s="88"/>
    </row>
    <row r="382">
      <c r="A382" s="155"/>
      <c r="B382" s="173"/>
      <c r="C382" s="174"/>
      <c r="D382" s="173"/>
      <c r="E382" s="155"/>
      <c r="F382" s="155"/>
      <c r="G382" s="88"/>
      <c r="H382" s="155"/>
      <c r="I382" s="155"/>
      <c r="J382" s="155"/>
      <c r="K382" s="15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58"/>
      <c r="AA382" s="105"/>
      <c r="AB382" s="105"/>
      <c r="AC382" s="105"/>
      <c r="AD382" s="105"/>
      <c r="AE382" s="105"/>
      <c r="AF382" s="158"/>
      <c r="AG382" s="105"/>
      <c r="AH382" s="158"/>
      <c r="AI382" s="88"/>
      <c r="AJ382" s="88"/>
      <c r="AK382" s="131"/>
      <c r="AL382" s="131"/>
      <c r="AM382" s="131"/>
      <c r="AN382" s="131"/>
      <c r="AO382" s="131"/>
      <c r="AP382" s="88"/>
    </row>
    <row r="383">
      <c r="A383" s="155"/>
      <c r="B383" s="173"/>
      <c r="C383" s="174"/>
      <c r="D383" s="173"/>
      <c r="E383" s="155"/>
      <c r="F383" s="155"/>
      <c r="G383" s="88"/>
      <c r="H383" s="155"/>
      <c r="I383" s="155"/>
      <c r="J383" s="155"/>
      <c r="K383" s="15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58"/>
      <c r="AA383" s="105"/>
      <c r="AB383" s="105"/>
      <c r="AC383" s="105"/>
      <c r="AD383" s="105"/>
      <c r="AE383" s="105"/>
      <c r="AF383" s="158"/>
      <c r="AG383" s="105"/>
      <c r="AH383" s="158"/>
      <c r="AI383" s="88"/>
      <c r="AJ383" s="88"/>
      <c r="AK383" s="131"/>
      <c r="AL383" s="131"/>
      <c r="AM383" s="131"/>
      <c r="AN383" s="131"/>
      <c r="AO383" s="131"/>
      <c r="AP383" s="88"/>
    </row>
    <row r="384">
      <c r="A384" s="155"/>
      <c r="B384" s="173"/>
      <c r="C384" s="174"/>
      <c r="D384" s="173"/>
      <c r="E384" s="155"/>
      <c r="F384" s="155"/>
      <c r="G384" s="88"/>
      <c r="H384" s="155"/>
      <c r="I384" s="155"/>
      <c r="J384" s="155"/>
      <c r="K384" s="15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58"/>
      <c r="AA384" s="105"/>
      <c r="AB384" s="105"/>
      <c r="AC384" s="105"/>
      <c r="AD384" s="105"/>
      <c r="AE384" s="105"/>
      <c r="AF384" s="158"/>
      <c r="AG384" s="105"/>
      <c r="AH384" s="158"/>
      <c r="AI384" s="88"/>
      <c r="AJ384" s="88"/>
      <c r="AK384" s="131"/>
      <c r="AL384" s="131"/>
      <c r="AM384" s="131"/>
      <c r="AN384" s="131"/>
      <c r="AO384" s="131"/>
      <c r="AP384" s="88"/>
    </row>
    <row r="385">
      <c r="A385" s="155"/>
      <c r="B385" s="173"/>
      <c r="C385" s="174"/>
      <c r="D385" s="173"/>
      <c r="E385" s="155"/>
      <c r="F385" s="155"/>
      <c r="G385" s="88"/>
      <c r="H385" s="155"/>
      <c r="I385" s="155"/>
      <c r="J385" s="155"/>
      <c r="K385" s="15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58"/>
      <c r="AA385" s="105"/>
      <c r="AB385" s="105"/>
      <c r="AC385" s="105"/>
      <c r="AD385" s="105"/>
      <c r="AE385" s="105"/>
      <c r="AF385" s="158"/>
      <c r="AG385" s="105"/>
      <c r="AH385" s="158"/>
      <c r="AI385" s="88"/>
      <c r="AJ385" s="88"/>
      <c r="AK385" s="131"/>
      <c r="AL385" s="131"/>
      <c r="AM385" s="131"/>
      <c r="AN385" s="131"/>
      <c r="AO385" s="131"/>
      <c r="AP385" s="88"/>
    </row>
    <row r="386">
      <c r="A386" s="155"/>
      <c r="B386" s="173"/>
      <c r="C386" s="174"/>
      <c r="D386" s="173"/>
      <c r="E386" s="155"/>
      <c r="F386" s="155"/>
      <c r="G386" s="88"/>
      <c r="H386" s="155"/>
      <c r="I386" s="155"/>
      <c r="J386" s="155"/>
      <c r="K386" s="15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58"/>
      <c r="AA386" s="105"/>
      <c r="AB386" s="105"/>
      <c r="AC386" s="105"/>
      <c r="AD386" s="105"/>
      <c r="AE386" s="105"/>
      <c r="AF386" s="158"/>
      <c r="AG386" s="105"/>
      <c r="AH386" s="158"/>
      <c r="AI386" s="88"/>
      <c r="AJ386" s="88"/>
      <c r="AK386" s="131"/>
      <c r="AL386" s="131"/>
      <c r="AM386" s="131"/>
      <c r="AN386" s="131"/>
      <c r="AO386" s="131"/>
      <c r="AP386" s="88"/>
    </row>
    <row r="387">
      <c r="A387" s="155"/>
      <c r="B387" s="173"/>
      <c r="C387" s="174"/>
      <c r="D387" s="173"/>
      <c r="E387" s="155"/>
      <c r="F387" s="155"/>
      <c r="G387" s="88"/>
      <c r="H387" s="155"/>
      <c r="I387" s="155"/>
      <c r="J387" s="155"/>
      <c r="K387" s="15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58"/>
      <c r="AA387" s="105"/>
      <c r="AB387" s="105"/>
      <c r="AC387" s="105"/>
      <c r="AD387" s="105"/>
      <c r="AE387" s="105"/>
      <c r="AF387" s="158"/>
      <c r="AG387" s="105"/>
      <c r="AH387" s="158"/>
      <c r="AI387" s="88"/>
      <c r="AJ387" s="88"/>
      <c r="AK387" s="131"/>
      <c r="AL387" s="131"/>
      <c r="AM387" s="131"/>
      <c r="AN387" s="131"/>
      <c r="AO387" s="131"/>
      <c r="AP387" s="88"/>
    </row>
    <row r="388">
      <c r="A388" s="155"/>
      <c r="B388" s="173"/>
      <c r="C388" s="174"/>
      <c r="D388" s="173"/>
      <c r="E388" s="155"/>
      <c r="F388" s="155"/>
      <c r="G388" s="88"/>
      <c r="H388" s="155"/>
      <c r="I388" s="155"/>
      <c r="J388" s="155"/>
      <c r="K388" s="15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58"/>
      <c r="AA388" s="105"/>
      <c r="AB388" s="105"/>
      <c r="AC388" s="105"/>
      <c r="AD388" s="105"/>
      <c r="AE388" s="105"/>
      <c r="AF388" s="158"/>
      <c r="AG388" s="105"/>
      <c r="AH388" s="158"/>
      <c r="AI388" s="88"/>
      <c r="AJ388" s="88"/>
      <c r="AK388" s="131"/>
      <c r="AL388" s="131"/>
      <c r="AM388" s="131"/>
      <c r="AN388" s="131"/>
      <c r="AO388" s="131"/>
      <c r="AP388" s="88"/>
    </row>
    <row r="389">
      <c r="A389" s="155"/>
      <c r="B389" s="173"/>
      <c r="C389" s="174"/>
      <c r="D389" s="173"/>
      <c r="E389" s="155"/>
      <c r="F389" s="155"/>
      <c r="G389" s="88"/>
      <c r="H389" s="155"/>
      <c r="I389" s="155"/>
      <c r="J389" s="155"/>
      <c r="K389" s="15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58"/>
      <c r="AA389" s="105"/>
      <c r="AB389" s="105"/>
      <c r="AC389" s="105"/>
      <c r="AD389" s="105"/>
      <c r="AE389" s="105"/>
      <c r="AF389" s="158"/>
      <c r="AG389" s="105"/>
      <c r="AH389" s="158"/>
      <c r="AI389" s="88"/>
      <c r="AJ389" s="88"/>
      <c r="AK389" s="131"/>
      <c r="AL389" s="131"/>
      <c r="AM389" s="131"/>
      <c r="AN389" s="131"/>
      <c r="AO389" s="131"/>
      <c r="AP389" s="88"/>
    </row>
    <row r="390">
      <c r="A390" s="155"/>
      <c r="B390" s="173"/>
      <c r="C390" s="174"/>
      <c r="D390" s="173"/>
      <c r="E390" s="155"/>
      <c r="F390" s="155"/>
      <c r="G390" s="88"/>
      <c r="H390" s="155"/>
      <c r="I390" s="155"/>
      <c r="J390" s="155"/>
      <c r="K390" s="15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58"/>
      <c r="AA390" s="105"/>
      <c r="AB390" s="105"/>
      <c r="AC390" s="105"/>
      <c r="AD390" s="105"/>
      <c r="AE390" s="105"/>
      <c r="AF390" s="158"/>
      <c r="AG390" s="105"/>
      <c r="AH390" s="158"/>
      <c r="AI390" s="88"/>
      <c r="AJ390" s="88"/>
      <c r="AK390" s="131"/>
      <c r="AL390" s="131"/>
      <c r="AM390" s="131"/>
      <c r="AN390" s="131"/>
      <c r="AO390" s="131"/>
      <c r="AP390" s="88"/>
    </row>
    <row r="391">
      <c r="A391" s="155"/>
      <c r="B391" s="173"/>
      <c r="C391" s="174"/>
      <c r="D391" s="173"/>
      <c r="E391" s="155"/>
      <c r="F391" s="155"/>
      <c r="G391" s="88"/>
      <c r="H391" s="155"/>
      <c r="I391" s="155"/>
      <c r="J391" s="155"/>
      <c r="K391" s="15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58"/>
      <c r="AA391" s="105"/>
      <c r="AB391" s="105"/>
      <c r="AC391" s="105"/>
      <c r="AD391" s="105"/>
      <c r="AE391" s="105"/>
      <c r="AF391" s="158"/>
      <c r="AG391" s="105"/>
      <c r="AH391" s="158"/>
      <c r="AI391" s="88"/>
      <c r="AJ391" s="88"/>
      <c r="AK391" s="131"/>
      <c r="AL391" s="131"/>
      <c r="AM391" s="131"/>
      <c r="AN391" s="131"/>
      <c r="AO391" s="131"/>
      <c r="AP391" s="88"/>
    </row>
    <row r="392">
      <c r="A392" s="155"/>
      <c r="B392" s="173"/>
      <c r="C392" s="174"/>
      <c r="D392" s="173"/>
      <c r="E392" s="155"/>
      <c r="F392" s="155"/>
      <c r="G392" s="88"/>
      <c r="H392" s="155"/>
      <c r="I392" s="155"/>
      <c r="J392" s="155"/>
      <c r="K392" s="15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58"/>
      <c r="AA392" s="105"/>
      <c r="AB392" s="105"/>
      <c r="AC392" s="105"/>
      <c r="AD392" s="105"/>
      <c r="AE392" s="105"/>
      <c r="AF392" s="158"/>
      <c r="AG392" s="105"/>
      <c r="AH392" s="158"/>
      <c r="AI392" s="88"/>
      <c r="AJ392" s="88"/>
      <c r="AK392" s="131"/>
      <c r="AL392" s="131"/>
      <c r="AM392" s="131"/>
      <c r="AN392" s="131"/>
      <c r="AO392" s="131"/>
      <c r="AP392" s="88"/>
    </row>
    <row r="393">
      <c r="A393" s="155"/>
      <c r="B393" s="173"/>
      <c r="C393" s="174"/>
      <c r="D393" s="173"/>
      <c r="E393" s="155"/>
      <c r="F393" s="155"/>
      <c r="G393" s="88"/>
      <c r="H393" s="155"/>
      <c r="I393" s="155"/>
      <c r="J393" s="155"/>
      <c r="K393" s="15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58"/>
      <c r="AA393" s="105"/>
      <c r="AB393" s="105"/>
      <c r="AC393" s="105"/>
      <c r="AD393" s="105"/>
      <c r="AE393" s="105"/>
      <c r="AF393" s="158"/>
      <c r="AG393" s="105"/>
      <c r="AH393" s="158"/>
      <c r="AI393" s="88"/>
      <c r="AJ393" s="88"/>
      <c r="AK393" s="131"/>
      <c r="AL393" s="131"/>
      <c r="AM393" s="131"/>
      <c r="AN393" s="131"/>
      <c r="AO393" s="131"/>
      <c r="AP393" s="88"/>
    </row>
    <row r="394">
      <c r="A394" s="155"/>
      <c r="B394" s="173"/>
      <c r="C394" s="174"/>
      <c r="D394" s="173"/>
      <c r="E394" s="155"/>
      <c r="F394" s="155"/>
      <c r="G394" s="88"/>
      <c r="H394" s="155"/>
      <c r="I394" s="155"/>
      <c r="J394" s="155"/>
      <c r="K394" s="15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58"/>
      <c r="AA394" s="105"/>
      <c r="AB394" s="105"/>
      <c r="AC394" s="105"/>
      <c r="AD394" s="105"/>
      <c r="AE394" s="105"/>
      <c r="AF394" s="158"/>
      <c r="AG394" s="105"/>
      <c r="AH394" s="158"/>
      <c r="AI394" s="88"/>
      <c r="AJ394" s="88"/>
      <c r="AK394" s="131"/>
      <c r="AL394" s="131"/>
      <c r="AM394" s="131"/>
      <c r="AN394" s="131"/>
      <c r="AO394" s="131"/>
      <c r="AP394" s="88"/>
    </row>
    <row r="395">
      <c r="A395" s="155"/>
      <c r="B395" s="173"/>
      <c r="C395" s="174"/>
      <c r="D395" s="173"/>
      <c r="E395" s="155"/>
      <c r="F395" s="155"/>
      <c r="G395" s="88"/>
      <c r="H395" s="155"/>
      <c r="I395" s="155"/>
      <c r="J395" s="155"/>
      <c r="K395" s="15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58"/>
      <c r="AA395" s="105"/>
      <c r="AB395" s="105"/>
      <c r="AC395" s="105"/>
      <c r="AD395" s="105"/>
      <c r="AE395" s="105"/>
      <c r="AF395" s="158"/>
      <c r="AG395" s="105"/>
      <c r="AH395" s="158"/>
      <c r="AI395" s="88"/>
      <c r="AJ395" s="88"/>
      <c r="AK395" s="131"/>
      <c r="AL395" s="131"/>
      <c r="AM395" s="131"/>
      <c r="AN395" s="131"/>
      <c r="AO395" s="131"/>
      <c r="AP395" s="88"/>
    </row>
    <row r="396">
      <c r="A396" s="155"/>
      <c r="B396" s="173"/>
      <c r="C396" s="174"/>
      <c r="D396" s="173"/>
      <c r="E396" s="155"/>
      <c r="F396" s="155"/>
      <c r="G396" s="88"/>
      <c r="H396" s="155"/>
      <c r="I396" s="155"/>
      <c r="J396" s="155"/>
      <c r="K396" s="15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58"/>
      <c r="AA396" s="105"/>
      <c r="AB396" s="105"/>
      <c r="AC396" s="105"/>
      <c r="AD396" s="105"/>
      <c r="AE396" s="105"/>
      <c r="AF396" s="158"/>
      <c r="AG396" s="105"/>
      <c r="AH396" s="158"/>
      <c r="AI396" s="88"/>
      <c r="AJ396" s="88"/>
      <c r="AK396" s="131"/>
      <c r="AL396" s="131"/>
      <c r="AM396" s="131"/>
      <c r="AN396" s="131"/>
      <c r="AO396" s="131"/>
      <c r="AP396" s="88"/>
    </row>
    <row r="397">
      <c r="A397" s="155"/>
      <c r="B397" s="173"/>
      <c r="C397" s="174"/>
      <c r="D397" s="173"/>
      <c r="E397" s="155"/>
      <c r="F397" s="155"/>
      <c r="G397" s="88"/>
      <c r="H397" s="155"/>
      <c r="I397" s="155"/>
      <c r="J397" s="155"/>
      <c r="K397" s="15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58"/>
      <c r="AA397" s="105"/>
      <c r="AB397" s="105"/>
      <c r="AC397" s="105"/>
      <c r="AD397" s="105"/>
      <c r="AE397" s="105"/>
      <c r="AF397" s="158"/>
      <c r="AG397" s="105"/>
      <c r="AH397" s="158"/>
      <c r="AI397" s="88"/>
      <c r="AJ397" s="88"/>
      <c r="AK397" s="131"/>
      <c r="AL397" s="131"/>
      <c r="AM397" s="131"/>
      <c r="AN397" s="131"/>
      <c r="AO397" s="131"/>
      <c r="AP397" s="88"/>
    </row>
    <row r="398">
      <c r="A398" s="155"/>
      <c r="B398" s="173"/>
      <c r="C398" s="174"/>
      <c r="D398" s="173"/>
      <c r="E398" s="155"/>
      <c r="F398" s="155"/>
      <c r="G398" s="88"/>
      <c r="H398" s="155"/>
      <c r="I398" s="155"/>
      <c r="J398" s="155"/>
      <c r="K398" s="15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58"/>
      <c r="AA398" s="105"/>
      <c r="AB398" s="105"/>
      <c r="AC398" s="105"/>
      <c r="AD398" s="105"/>
      <c r="AE398" s="105"/>
      <c r="AF398" s="158"/>
      <c r="AG398" s="105"/>
      <c r="AH398" s="158"/>
      <c r="AI398" s="88"/>
      <c r="AJ398" s="88"/>
      <c r="AK398" s="131"/>
      <c r="AL398" s="131"/>
      <c r="AM398" s="131"/>
      <c r="AN398" s="131"/>
      <c r="AO398" s="131"/>
      <c r="AP398" s="88"/>
    </row>
    <row r="399">
      <c r="A399" s="155"/>
      <c r="B399" s="173"/>
      <c r="C399" s="174"/>
      <c r="D399" s="173"/>
      <c r="E399" s="155"/>
      <c r="F399" s="155"/>
      <c r="G399" s="88"/>
      <c r="H399" s="155"/>
      <c r="I399" s="155"/>
      <c r="J399" s="155"/>
      <c r="K399" s="15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58"/>
      <c r="AA399" s="105"/>
      <c r="AB399" s="105"/>
      <c r="AC399" s="105"/>
      <c r="AD399" s="105"/>
      <c r="AE399" s="105"/>
      <c r="AF399" s="158"/>
      <c r="AG399" s="105"/>
      <c r="AH399" s="158"/>
      <c r="AI399" s="88"/>
      <c r="AJ399" s="88"/>
      <c r="AK399" s="131"/>
      <c r="AL399" s="131"/>
      <c r="AM399" s="131"/>
      <c r="AN399" s="131"/>
      <c r="AO399" s="131"/>
      <c r="AP399" s="88"/>
    </row>
    <row r="400">
      <c r="A400" s="155"/>
      <c r="B400" s="173"/>
      <c r="C400" s="174"/>
      <c r="D400" s="173"/>
      <c r="E400" s="155"/>
      <c r="F400" s="155"/>
      <c r="G400" s="88"/>
      <c r="H400" s="155"/>
      <c r="I400" s="155"/>
      <c r="J400" s="155"/>
      <c r="K400" s="15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58"/>
      <c r="AA400" s="105"/>
      <c r="AB400" s="105"/>
      <c r="AC400" s="105"/>
      <c r="AD400" s="105"/>
      <c r="AE400" s="105"/>
      <c r="AF400" s="158"/>
      <c r="AG400" s="105"/>
      <c r="AH400" s="158"/>
      <c r="AI400" s="88"/>
      <c r="AJ400" s="88"/>
      <c r="AK400" s="131"/>
      <c r="AL400" s="131"/>
      <c r="AM400" s="131"/>
      <c r="AN400" s="131"/>
      <c r="AO400" s="131"/>
      <c r="AP400" s="88"/>
    </row>
    <row r="401">
      <c r="A401" s="155"/>
      <c r="B401" s="173"/>
      <c r="C401" s="174"/>
      <c r="D401" s="173"/>
      <c r="E401" s="155"/>
      <c r="F401" s="155"/>
      <c r="G401" s="88"/>
      <c r="H401" s="155"/>
      <c r="I401" s="155"/>
      <c r="J401" s="155"/>
      <c r="K401" s="15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58"/>
      <c r="AA401" s="105"/>
      <c r="AB401" s="105"/>
      <c r="AC401" s="105"/>
      <c r="AD401" s="105"/>
      <c r="AE401" s="105"/>
      <c r="AF401" s="158"/>
      <c r="AG401" s="105"/>
      <c r="AH401" s="158"/>
      <c r="AI401" s="88"/>
      <c r="AJ401" s="88"/>
      <c r="AK401" s="131"/>
      <c r="AL401" s="131"/>
      <c r="AM401" s="131"/>
      <c r="AN401" s="131"/>
      <c r="AO401" s="131"/>
      <c r="AP401" s="88"/>
    </row>
    <row r="402">
      <c r="A402" s="155"/>
      <c r="B402" s="173"/>
      <c r="C402" s="174"/>
      <c r="D402" s="173"/>
      <c r="E402" s="155"/>
      <c r="F402" s="155"/>
      <c r="G402" s="88"/>
      <c r="H402" s="155"/>
      <c r="I402" s="155"/>
      <c r="J402" s="155"/>
      <c r="K402" s="15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58"/>
      <c r="AA402" s="105"/>
      <c r="AB402" s="105"/>
      <c r="AC402" s="105"/>
      <c r="AD402" s="105"/>
      <c r="AE402" s="105"/>
      <c r="AF402" s="158"/>
      <c r="AG402" s="105"/>
      <c r="AH402" s="158"/>
      <c r="AI402" s="88"/>
      <c r="AJ402" s="88"/>
      <c r="AK402" s="131"/>
      <c r="AL402" s="131"/>
      <c r="AM402" s="131"/>
      <c r="AN402" s="131"/>
      <c r="AO402" s="131"/>
      <c r="AP402" s="88"/>
    </row>
    <row r="403">
      <c r="A403" s="155"/>
      <c r="B403" s="173"/>
      <c r="C403" s="174"/>
      <c r="D403" s="173"/>
      <c r="E403" s="155"/>
      <c r="F403" s="155"/>
      <c r="G403" s="88"/>
      <c r="H403" s="155"/>
      <c r="I403" s="155"/>
      <c r="J403" s="155"/>
      <c r="K403" s="15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58"/>
      <c r="AA403" s="105"/>
      <c r="AB403" s="105"/>
      <c r="AC403" s="105"/>
      <c r="AD403" s="105"/>
      <c r="AE403" s="105"/>
      <c r="AF403" s="158"/>
      <c r="AG403" s="105"/>
      <c r="AH403" s="158"/>
      <c r="AI403" s="88"/>
      <c r="AJ403" s="88"/>
      <c r="AK403" s="131"/>
      <c r="AL403" s="131"/>
      <c r="AM403" s="131"/>
      <c r="AN403" s="131"/>
      <c r="AO403" s="131"/>
      <c r="AP403" s="88"/>
    </row>
    <row r="404">
      <c r="A404" s="155"/>
      <c r="B404" s="173"/>
      <c r="C404" s="174"/>
      <c r="D404" s="173"/>
      <c r="E404" s="155"/>
      <c r="F404" s="155"/>
      <c r="G404" s="88"/>
      <c r="H404" s="155"/>
      <c r="I404" s="155"/>
      <c r="J404" s="155"/>
      <c r="K404" s="15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58"/>
      <c r="AA404" s="105"/>
      <c r="AB404" s="105"/>
      <c r="AC404" s="105"/>
      <c r="AD404" s="105"/>
      <c r="AE404" s="105"/>
      <c r="AF404" s="158"/>
      <c r="AG404" s="105"/>
      <c r="AH404" s="158"/>
      <c r="AI404" s="88"/>
      <c r="AJ404" s="88"/>
      <c r="AK404" s="131"/>
      <c r="AL404" s="131"/>
      <c r="AM404" s="131"/>
      <c r="AN404" s="131"/>
      <c r="AO404" s="131"/>
      <c r="AP404" s="88"/>
    </row>
    <row r="405">
      <c r="A405" s="155"/>
      <c r="B405" s="173"/>
      <c r="C405" s="174"/>
      <c r="D405" s="173"/>
      <c r="E405" s="155"/>
      <c r="F405" s="155"/>
      <c r="G405" s="88"/>
      <c r="H405" s="155"/>
      <c r="I405" s="155"/>
      <c r="J405" s="155"/>
      <c r="K405" s="15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58"/>
      <c r="AA405" s="105"/>
      <c r="AB405" s="105"/>
      <c r="AC405" s="105"/>
      <c r="AD405" s="105"/>
      <c r="AE405" s="105"/>
      <c r="AF405" s="158"/>
      <c r="AG405" s="105"/>
      <c r="AH405" s="158"/>
      <c r="AI405" s="88"/>
      <c r="AJ405" s="88"/>
      <c r="AK405" s="131"/>
      <c r="AL405" s="131"/>
      <c r="AM405" s="131"/>
      <c r="AN405" s="131"/>
      <c r="AO405" s="131"/>
      <c r="AP405" s="88"/>
    </row>
    <row r="406">
      <c r="A406" s="155"/>
      <c r="B406" s="173"/>
      <c r="C406" s="174"/>
      <c r="D406" s="173"/>
      <c r="E406" s="155"/>
      <c r="F406" s="155"/>
      <c r="G406" s="88"/>
      <c r="H406" s="155"/>
      <c r="I406" s="155"/>
      <c r="J406" s="155"/>
      <c r="K406" s="15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58"/>
      <c r="AA406" s="105"/>
      <c r="AB406" s="105"/>
      <c r="AC406" s="105"/>
      <c r="AD406" s="105"/>
      <c r="AE406" s="105"/>
      <c r="AF406" s="158"/>
      <c r="AG406" s="105"/>
      <c r="AH406" s="158"/>
      <c r="AI406" s="88"/>
      <c r="AJ406" s="88"/>
      <c r="AK406" s="131"/>
      <c r="AL406" s="131"/>
      <c r="AM406" s="131"/>
      <c r="AN406" s="131"/>
      <c r="AO406" s="131"/>
      <c r="AP406" s="88"/>
    </row>
    <row r="407">
      <c r="A407" s="155"/>
      <c r="B407" s="173"/>
      <c r="C407" s="174"/>
      <c r="D407" s="173"/>
      <c r="E407" s="155"/>
      <c r="F407" s="155"/>
      <c r="G407" s="88"/>
      <c r="H407" s="155"/>
      <c r="I407" s="155"/>
      <c r="J407" s="155"/>
      <c r="K407" s="15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58"/>
      <c r="AA407" s="105"/>
      <c r="AB407" s="105"/>
      <c r="AC407" s="105"/>
      <c r="AD407" s="105"/>
      <c r="AE407" s="105"/>
      <c r="AF407" s="158"/>
      <c r="AG407" s="105"/>
      <c r="AH407" s="158"/>
      <c r="AI407" s="88"/>
      <c r="AJ407" s="88"/>
      <c r="AK407" s="131"/>
      <c r="AL407" s="131"/>
      <c r="AM407" s="131"/>
      <c r="AN407" s="131"/>
      <c r="AO407" s="131"/>
      <c r="AP407" s="88"/>
    </row>
    <row r="408">
      <c r="A408" s="155"/>
      <c r="B408" s="173"/>
      <c r="C408" s="174"/>
      <c r="D408" s="173"/>
      <c r="E408" s="155"/>
      <c r="F408" s="155"/>
      <c r="G408" s="88"/>
      <c r="H408" s="155"/>
      <c r="I408" s="155"/>
      <c r="J408" s="155"/>
      <c r="K408" s="15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58"/>
      <c r="AA408" s="105"/>
      <c r="AB408" s="105"/>
      <c r="AC408" s="105"/>
      <c r="AD408" s="105"/>
      <c r="AE408" s="105"/>
      <c r="AF408" s="158"/>
      <c r="AG408" s="105"/>
      <c r="AH408" s="158"/>
      <c r="AI408" s="88"/>
      <c r="AJ408" s="88"/>
      <c r="AK408" s="131"/>
      <c r="AL408" s="131"/>
      <c r="AM408" s="131"/>
      <c r="AN408" s="131"/>
      <c r="AO408" s="131"/>
      <c r="AP408" s="88"/>
    </row>
    <row r="409">
      <c r="A409" s="155"/>
      <c r="B409" s="173"/>
      <c r="C409" s="174"/>
      <c r="D409" s="173"/>
      <c r="E409" s="155"/>
      <c r="F409" s="155"/>
      <c r="G409" s="88"/>
      <c r="H409" s="155"/>
      <c r="I409" s="155"/>
      <c r="J409" s="155"/>
      <c r="K409" s="15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58"/>
      <c r="AA409" s="105"/>
      <c r="AB409" s="105"/>
      <c r="AC409" s="105"/>
      <c r="AD409" s="105"/>
      <c r="AE409" s="105"/>
      <c r="AF409" s="158"/>
      <c r="AG409" s="105"/>
      <c r="AH409" s="158"/>
      <c r="AI409" s="88"/>
      <c r="AJ409" s="88"/>
      <c r="AK409" s="131"/>
      <c r="AL409" s="131"/>
      <c r="AM409" s="131"/>
      <c r="AN409" s="131"/>
      <c r="AO409" s="131"/>
      <c r="AP409" s="88"/>
    </row>
    <row r="410">
      <c r="A410" s="155"/>
      <c r="B410" s="173"/>
      <c r="C410" s="174"/>
      <c r="D410" s="173"/>
      <c r="E410" s="155"/>
      <c r="F410" s="155"/>
      <c r="G410" s="88"/>
      <c r="H410" s="155"/>
      <c r="I410" s="155"/>
      <c r="J410" s="155"/>
      <c r="K410" s="15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58"/>
      <c r="AA410" s="105"/>
      <c r="AB410" s="105"/>
      <c r="AC410" s="105"/>
      <c r="AD410" s="105"/>
      <c r="AE410" s="105"/>
      <c r="AF410" s="158"/>
      <c r="AG410" s="105"/>
      <c r="AH410" s="158"/>
      <c r="AI410" s="88"/>
      <c r="AJ410" s="88"/>
      <c r="AK410" s="131"/>
      <c r="AL410" s="131"/>
      <c r="AM410" s="131"/>
      <c r="AN410" s="131"/>
      <c r="AO410" s="131"/>
      <c r="AP410" s="88"/>
    </row>
    <row r="411">
      <c r="A411" s="155"/>
      <c r="B411" s="173"/>
      <c r="C411" s="174"/>
      <c r="D411" s="173"/>
      <c r="E411" s="155"/>
      <c r="F411" s="155"/>
      <c r="G411" s="88"/>
      <c r="H411" s="155"/>
      <c r="I411" s="155"/>
      <c r="J411" s="155"/>
      <c r="K411" s="15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58"/>
      <c r="AA411" s="105"/>
      <c r="AB411" s="105"/>
      <c r="AC411" s="105"/>
      <c r="AD411" s="105"/>
      <c r="AE411" s="105"/>
      <c r="AF411" s="158"/>
      <c r="AG411" s="105"/>
      <c r="AH411" s="158"/>
      <c r="AI411" s="88"/>
      <c r="AJ411" s="88"/>
      <c r="AK411" s="131"/>
      <c r="AL411" s="131"/>
      <c r="AM411" s="131"/>
      <c r="AN411" s="131"/>
      <c r="AO411" s="131"/>
      <c r="AP411" s="88"/>
    </row>
    <row r="412">
      <c r="A412" s="155"/>
      <c r="B412" s="173"/>
      <c r="C412" s="174"/>
      <c r="D412" s="173"/>
      <c r="E412" s="155"/>
      <c r="F412" s="155"/>
      <c r="G412" s="88"/>
      <c r="H412" s="155"/>
      <c r="I412" s="155"/>
      <c r="J412" s="155"/>
      <c r="K412" s="15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58"/>
      <c r="AA412" s="105"/>
      <c r="AB412" s="105"/>
      <c r="AC412" s="105"/>
      <c r="AD412" s="105"/>
      <c r="AE412" s="105"/>
      <c r="AF412" s="158"/>
      <c r="AG412" s="105"/>
      <c r="AH412" s="158"/>
      <c r="AI412" s="88"/>
      <c r="AJ412" s="88"/>
      <c r="AK412" s="131"/>
      <c r="AL412" s="131"/>
      <c r="AM412" s="131"/>
      <c r="AN412" s="131"/>
      <c r="AO412" s="131"/>
      <c r="AP412" s="88"/>
    </row>
    <row r="413">
      <c r="A413" s="155"/>
      <c r="B413" s="173"/>
      <c r="C413" s="174"/>
      <c r="D413" s="173"/>
      <c r="E413" s="155"/>
      <c r="F413" s="155"/>
      <c r="G413" s="88"/>
      <c r="H413" s="155"/>
      <c r="I413" s="155"/>
      <c r="J413" s="155"/>
      <c r="K413" s="15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58"/>
      <c r="AA413" s="105"/>
      <c r="AB413" s="105"/>
      <c r="AC413" s="105"/>
      <c r="AD413" s="105"/>
      <c r="AE413" s="105"/>
      <c r="AF413" s="158"/>
      <c r="AG413" s="105"/>
      <c r="AH413" s="158"/>
      <c r="AI413" s="88"/>
      <c r="AJ413" s="88"/>
      <c r="AK413" s="131"/>
      <c r="AL413" s="131"/>
      <c r="AM413" s="131"/>
      <c r="AN413" s="131"/>
      <c r="AO413" s="131"/>
      <c r="AP413" s="88"/>
    </row>
    <row r="414">
      <c r="A414" s="155"/>
      <c r="B414" s="173"/>
      <c r="C414" s="174"/>
      <c r="D414" s="173"/>
      <c r="E414" s="155"/>
      <c r="F414" s="155"/>
      <c r="G414" s="88"/>
      <c r="H414" s="155"/>
      <c r="I414" s="155"/>
      <c r="J414" s="155"/>
      <c r="K414" s="15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58"/>
      <c r="AA414" s="105"/>
      <c r="AB414" s="105"/>
      <c r="AC414" s="105"/>
      <c r="AD414" s="105"/>
      <c r="AE414" s="105"/>
      <c r="AF414" s="158"/>
      <c r="AG414" s="105"/>
      <c r="AH414" s="158"/>
      <c r="AI414" s="88"/>
      <c r="AJ414" s="88"/>
      <c r="AK414" s="131"/>
      <c r="AL414" s="131"/>
      <c r="AM414" s="131"/>
      <c r="AN414" s="131"/>
      <c r="AO414" s="131"/>
      <c r="AP414" s="88"/>
    </row>
    <row r="415">
      <c r="A415" s="155"/>
      <c r="B415" s="173"/>
      <c r="C415" s="174"/>
      <c r="D415" s="173"/>
      <c r="E415" s="155"/>
      <c r="F415" s="155"/>
      <c r="G415" s="88"/>
      <c r="H415" s="155"/>
      <c r="I415" s="155"/>
      <c r="J415" s="155"/>
      <c r="K415" s="15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58"/>
      <c r="AA415" s="105"/>
      <c r="AB415" s="105"/>
      <c r="AC415" s="105"/>
      <c r="AD415" s="105"/>
      <c r="AE415" s="105"/>
      <c r="AF415" s="158"/>
      <c r="AG415" s="105"/>
      <c r="AH415" s="158"/>
      <c r="AI415" s="88"/>
      <c r="AJ415" s="88"/>
      <c r="AK415" s="131"/>
      <c r="AL415" s="131"/>
      <c r="AM415" s="131"/>
      <c r="AN415" s="131"/>
      <c r="AO415" s="131"/>
      <c r="AP415" s="88"/>
    </row>
    <row r="416">
      <c r="A416" s="155"/>
      <c r="B416" s="173"/>
      <c r="C416" s="174"/>
      <c r="D416" s="173"/>
      <c r="E416" s="155"/>
      <c r="F416" s="155"/>
      <c r="G416" s="88"/>
      <c r="H416" s="155"/>
      <c r="I416" s="155"/>
      <c r="J416" s="155"/>
      <c r="K416" s="15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58"/>
      <c r="AA416" s="105"/>
      <c r="AB416" s="105"/>
      <c r="AC416" s="105"/>
      <c r="AD416" s="105"/>
      <c r="AE416" s="105"/>
      <c r="AF416" s="158"/>
      <c r="AG416" s="105"/>
      <c r="AH416" s="158"/>
      <c r="AI416" s="88"/>
      <c r="AJ416" s="88"/>
      <c r="AK416" s="131"/>
      <c r="AL416" s="131"/>
      <c r="AM416" s="131"/>
      <c r="AN416" s="131"/>
      <c r="AO416" s="131"/>
      <c r="AP416" s="88"/>
    </row>
    <row r="417">
      <c r="A417" s="155"/>
      <c r="B417" s="173"/>
      <c r="C417" s="174"/>
      <c r="D417" s="173"/>
      <c r="E417" s="155"/>
      <c r="F417" s="155"/>
      <c r="G417" s="88"/>
      <c r="H417" s="155"/>
      <c r="I417" s="155"/>
      <c r="J417" s="155"/>
      <c r="K417" s="15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58"/>
      <c r="AA417" s="105"/>
      <c r="AB417" s="105"/>
      <c r="AC417" s="105"/>
      <c r="AD417" s="105"/>
      <c r="AE417" s="105"/>
      <c r="AF417" s="158"/>
      <c r="AG417" s="105"/>
      <c r="AH417" s="158"/>
      <c r="AI417" s="88"/>
      <c r="AJ417" s="88"/>
      <c r="AK417" s="131"/>
      <c r="AL417" s="131"/>
      <c r="AM417" s="131"/>
      <c r="AN417" s="131"/>
      <c r="AO417" s="131"/>
      <c r="AP417" s="88"/>
    </row>
    <row r="418">
      <c r="A418" s="155"/>
      <c r="B418" s="173"/>
      <c r="C418" s="174"/>
      <c r="D418" s="173"/>
      <c r="E418" s="155"/>
      <c r="F418" s="155"/>
      <c r="G418" s="88"/>
      <c r="H418" s="155"/>
      <c r="I418" s="155"/>
      <c r="J418" s="155"/>
      <c r="K418" s="15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58"/>
      <c r="AA418" s="105"/>
      <c r="AB418" s="105"/>
      <c r="AC418" s="105"/>
      <c r="AD418" s="105"/>
      <c r="AE418" s="105"/>
      <c r="AF418" s="158"/>
      <c r="AG418" s="105"/>
      <c r="AH418" s="158"/>
      <c r="AI418" s="88"/>
      <c r="AJ418" s="88"/>
      <c r="AK418" s="131"/>
      <c r="AL418" s="131"/>
      <c r="AM418" s="131"/>
      <c r="AN418" s="131"/>
      <c r="AO418" s="131"/>
      <c r="AP418" s="88"/>
    </row>
    <row r="419">
      <c r="A419" s="155"/>
      <c r="B419" s="173"/>
      <c r="C419" s="174"/>
      <c r="D419" s="173"/>
      <c r="E419" s="155"/>
      <c r="F419" s="155"/>
      <c r="G419" s="88"/>
      <c r="H419" s="155"/>
      <c r="I419" s="155"/>
      <c r="J419" s="155"/>
      <c r="K419" s="15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58"/>
      <c r="AA419" s="105"/>
      <c r="AB419" s="105"/>
      <c r="AC419" s="105"/>
      <c r="AD419" s="105"/>
      <c r="AE419" s="105"/>
      <c r="AF419" s="158"/>
      <c r="AG419" s="105"/>
      <c r="AH419" s="158"/>
      <c r="AI419" s="88"/>
      <c r="AJ419" s="88"/>
      <c r="AK419" s="131"/>
      <c r="AL419" s="131"/>
      <c r="AM419" s="131"/>
      <c r="AN419" s="131"/>
      <c r="AO419" s="131"/>
      <c r="AP419" s="88"/>
    </row>
    <row r="420">
      <c r="A420" s="155"/>
      <c r="B420" s="173"/>
      <c r="C420" s="174"/>
      <c r="D420" s="173"/>
      <c r="E420" s="155"/>
      <c r="F420" s="155"/>
      <c r="G420" s="88"/>
      <c r="H420" s="155"/>
      <c r="I420" s="155"/>
      <c r="J420" s="155"/>
      <c r="K420" s="15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58"/>
      <c r="AA420" s="105"/>
      <c r="AB420" s="105"/>
      <c r="AC420" s="105"/>
      <c r="AD420" s="105"/>
      <c r="AE420" s="105"/>
      <c r="AF420" s="158"/>
      <c r="AG420" s="105"/>
      <c r="AH420" s="158"/>
      <c r="AI420" s="88"/>
      <c r="AJ420" s="88"/>
      <c r="AK420" s="131"/>
      <c r="AL420" s="131"/>
      <c r="AM420" s="131"/>
      <c r="AN420" s="131"/>
      <c r="AO420" s="131"/>
      <c r="AP420" s="88"/>
    </row>
    <row r="421">
      <c r="A421" s="155"/>
      <c r="B421" s="173"/>
      <c r="C421" s="174"/>
      <c r="D421" s="173"/>
      <c r="E421" s="155"/>
      <c r="F421" s="155"/>
      <c r="G421" s="88"/>
      <c r="H421" s="155"/>
      <c r="I421" s="155"/>
      <c r="J421" s="155"/>
      <c r="K421" s="15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58"/>
      <c r="AA421" s="105"/>
      <c r="AB421" s="105"/>
      <c r="AC421" s="105"/>
      <c r="AD421" s="105"/>
      <c r="AE421" s="105"/>
      <c r="AF421" s="158"/>
      <c r="AG421" s="105"/>
      <c r="AH421" s="158"/>
      <c r="AI421" s="88"/>
      <c r="AJ421" s="88"/>
      <c r="AK421" s="131"/>
      <c r="AL421" s="131"/>
      <c r="AM421" s="131"/>
      <c r="AN421" s="131"/>
      <c r="AO421" s="131"/>
      <c r="AP421" s="88"/>
    </row>
    <row r="422">
      <c r="A422" s="155"/>
      <c r="B422" s="173"/>
      <c r="C422" s="174"/>
      <c r="D422" s="173"/>
      <c r="E422" s="155"/>
      <c r="F422" s="155"/>
      <c r="G422" s="88"/>
      <c r="H422" s="155"/>
      <c r="I422" s="155"/>
      <c r="J422" s="155"/>
      <c r="K422" s="15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58"/>
      <c r="AA422" s="105"/>
      <c r="AB422" s="105"/>
      <c r="AC422" s="105"/>
      <c r="AD422" s="105"/>
      <c r="AE422" s="105"/>
      <c r="AF422" s="158"/>
      <c r="AG422" s="105"/>
      <c r="AH422" s="158"/>
      <c r="AI422" s="88"/>
      <c r="AJ422" s="88"/>
      <c r="AK422" s="131"/>
      <c r="AL422" s="131"/>
      <c r="AM422" s="131"/>
      <c r="AN422" s="131"/>
      <c r="AO422" s="131"/>
      <c r="AP422" s="88"/>
    </row>
    <row r="423">
      <c r="A423" s="155"/>
      <c r="B423" s="173"/>
      <c r="C423" s="174"/>
      <c r="D423" s="173"/>
      <c r="E423" s="155"/>
      <c r="F423" s="155"/>
      <c r="G423" s="88"/>
      <c r="H423" s="155"/>
      <c r="I423" s="155"/>
      <c r="J423" s="155"/>
      <c r="K423" s="15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58"/>
      <c r="AA423" s="105"/>
      <c r="AB423" s="105"/>
      <c r="AC423" s="105"/>
      <c r="AD423" s="105"/>
      <c r="AE423" s="105"/>
      <c r="AF423" s="158"/>
      <c r="AG423" s="105"/>
      <c r="AH423" s="158"/>
      <c r="AI423" s="88"/>
      <c r="AJ423" s="88"/>
      <c r="AK423" s="131"/>
      <c r="AL423" s="131"/>
      <c r="AM423" s="131"/>
      <c r="AN423" s="131"/>
      <c r="AO423" s="131"/>
      <c r="AP423" s="88"/>
    </row>
    <row r="424">
      <c r="A424" s="155"/>
      <c r="B424" s="173"/>
      <c r="C424" s="174"/>
      <c r="D424" s="173"/>
      <c r="E424" s="155"/>
      <c r="F424" s="155"/>
      <c r="G424" s="88"/>
      <c r="H424" s="155"/>
      <c r="I424" s="155"/>
      <c r="J424" s="155"/>
      <c r="K424" s="15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58"/>
      <c r="AA424" s="105"/>
      <c r="AB424" s="105"/>
      <c r="AC424" s="105"/>
      <c r="AD424" s="105"/>
      <c r="AE424" s="105"/>
      <c r="AF424" s="158"/>
      <c r="AG424" s="105"/>
      <c r="AH424" s="158"/>
      <c r="AI424" s="88"/>
      <c r="AJ424" s="88"/>
      <c r="AK424" s="131"/>
      <c r="AL424" s="131"/>
      <c r="AM424" s="131"/>
      <c r="AN424" s="131"/>
      <c r="AO424" s="131"/>
      <c r="AP424" s="88"/>
    </row>
    <row r="425">
      <c r="A425" s="155"/>
      <c r="B425" s="173"/>
      <c r="C425" s="174"/>
      <c r="D425" s="173"/>
      <c r="E425" s="155"/>
      <c r="F425" s="155"/>
      <c r="G425" s="88"/>
      <c r="H425" s="155"/>
      <c r="I425" s="155"/>
      <c r="J425" s="155"/>
      <c r="K425" s="15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58"/>
      <c r="AA425" s="105"/>
      <c r="AB425" s="105"/>
      <c r="AC425" s="105"/>
      <c r="AD425" s="105"/>
      <c r="AE425" s="105"/>
      <c r="AF425" s="158"/>
      <c r="AG425" s="105"/>
      <c r="AH425" s="158"/>
      <c r="AI425" s="88"/>
      <c r="AJ425" s="88"/>
      <c r="AK425" s="131"/>
      <c r="AL425" s="131"/>
      <c r="AM425" s="131"/>
      <c r="AN425" s="131"/>
      <c r="AO425" s="131"/>
      <c r="AP425" s="88"/>
    </row>
    <row r="426">
      <c r="A426" s="155"/>
      <c r="B426" s="173"/>
      <c r="C426" s="174"/>
      <c r="D426" s="173"/>
      <c r="E426" s="155"/>
      <c r="F426" s="155"/>
      <c r="G426" s="88"/>
      <c r="H426" s="155"/>
      <c r="I426" s="155"/>
      <c r="J426" s="155"/>
      <c r="K426" s="15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58"/>
      <c r="AA426" s="105"/>
      <c r="AB426" s="105"/>
      <c r="AC426" s="105"/>
      <c r="AD426" s="105"/>
      <c r="AE426" s="105"/>
      <c r="AF426" s="158"/>
      <c r="AG426" s="105"/>
      <c r="AH426" s="158"/>
      <c r="AI426" s="88"/>
      <c r="AJ426" s="88"/>
      <c r="AK426" s="131"/>
      <c r="AL426" s="131"/>
      <c r="AM426" s="131"/>
      <c r="AN426" s="131"/>
      <c r="AO426" s="131"/>
      <c r="AP426" s="88"/>
    </row>
    <row r="427">
      <c r="A427" s="155"/>
      <c r="B427" s="173"/>
      <c r="C427" s="174"/>
      <c r="D427" s="173"/>
      <c r="E427" s="155"/>
      <c r="F427" s="155"/>
      <c r="G427" s="88"/>
      <c r="H427" s="155"/>
      <c r="I427" s="155"/>
      <c r="J427" s="155"/>
      <c r="K427" s="15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58"/>
      <c r="AA427" s="105"/>
      <c r="AB427" s="105"/>
      <c r="AC427" s="105"/>
      <c r="AD427" s="105"/>
      <c r="AE427" s="105"/>
      <c r="AF427" s="158"/>
      <c r="AG427" s="105"/>
      <c r="AH427" s="158"/>
      <c r="AI427" s="88"/>
      <c r="AJ427" s="88"/>
      <c r="AK427" s="131"/>
      <c r="AL427" s="131"/>
      <c r="AM427" s="131"/>
      <c r="AN427" s="131"/>
      <c r="AO427" s="131"/>
      <c r="AP427" s="88"/>
    </row>
    <row r="428">
      <c r="A428" s="155"/>
      <c r="B428" s="173"/>
      <c r="C428" s="174"/>
      <c r="D428" s="173"/>
      <c r="E428" s="155"/>
      <c r="F428" s="155"/>
      <c r="G428" s="88"/>
      <c r="H428" s="155"/>
      <c r="I428" s="155"/>
      <c r="J428" s="155"/>
      <c r="K428" s="15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58"/>
      <c r="AA428" s="105"/>
      <c r="AB428" s="105"/>
      <c r="AC428" s="105"/>
      <c r="AD428" s="105"/>
      <c r="AE428" s="105"/>
      <c r="AF428" s="158"/>
      <c r="AG428" s="105"/>
      <c r="AH428" s="158"/>
      <c r="AI428" s="88"/>
      <c r="AJ428" s="88"/>
      <c r="AK428" s="131"/>
      <c r="AL428" s="131"/>
      <c r="AM428" s="131"/>
      <c r="AN428" s="131"/>
      <c r="AO428" s="131"/>
      <c r="AP428" s="88"/>
    </row>
    <row r="429">
      <c r="A429" s="155"/>
      <c r="B429" s="173"/>
      <c r="C429" s="174"/>
      <c r="D429" s="173"/>
      <c r="E429" s="155"/>
      <c r="F429" s="155"/>
      <c r="G429" s="88"/>
      <c r="H429" s="155"/>
      <c r="I429" s="155"/>
      <c r="J429" s="155"/>
      <c r="K429" s="15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58"/>
      <c r="AA429" s="105"/>
      <c r="AB429" s="105"/>
      <c r="AC429" s="105"/>
      <c r="AD429" s="105"/>
      <c r="AE429" s="105"/>
      <c r="AF429" s="158"/>
      <c r="AG429" s="105"/>
      <c r="AH429" s="158"/>
      <c r="AI429" s="88"/>
      <c r="AJ429" s="88"/>
      <c r="AK429" s="131"/>
      <c r="AL429" s="131"/>
      <c r="AM429" s="131"/>
      <c r="AN429" s="131"/>
      <c r="AO429" s="131"/>
      <c r="AP429" s="88"/>
    </row>
    <row r="430">
      <c r="A430" s="155"/>
      <c r="B430" s="173"/>
      <c r="C430" s="174"/>
      <c r="D430" s="173"/>
      <c r="E430" s="155"/>
      <c r="F430" s="155"/>
      <c r="G430" s="88"/>
      <c r="H430" s="155"/>
      <c r="I430" s="155"/>
      <c r="J430" s="155"/>
      <c r="K430" s="15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58"/>
      <c r="AA430" s="105"/>
      <c r="AB430" s="105"/>
      <c r="AC430" s="105"/>
      <c r="AD430" s="105"/>
      <c r="AE430" s="105"/>
      <c r="AF430" s="158"/>
      <c r="AG430" s="105"/>
      <c r="AH430" s="158"/>
      <c r="AI430" s="88"/>
      <c r="AJ430" s="88"/>
      <c r="AK430" s="131"/>
      <c r="AL430" s="131"/>
      <c r="AM430" s="131"/>
      <c r="AN430" s="131"/>
      <c r="AO430" s="131"/>
      <c r="AP430" s="88"/>
    </row>
    <row r="431">
      <c r="A431" s="155"/>
      <c r="B431" s="173"/>
      <c r="C431" s="174"/>
      <c r="D431" s="173"/>
      <c r="E431" s="155"/>
      <c r="F431" s="155"/>
      <c r="G431" s="88"/>
      <c r="H431" s="155"/>
      <c r="I431" s="155"/>
      <c r="J431" s="155"/>
      <c r="K431" s="15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58"/>
      <c r="AA431" s="105"/>
      <c r="AB431" s="105"/>
      <c r="AC431" s="105"/>
      <c r="AD431" s="105"/>
      <c r="AE431" s="105"/>
      <c r="AF431" s="158"/>
      <c r="AG431" s="105"/>
      <c r="AH431" s="158"/>
      <c r="AI431" s="88"/>
      <c r="AJ431" s="88"/>
      <c r="AK431" s="131"/>
      <c r="AL431" s="131"/>
      <c r="AM431" s="131"/>
      <c r="AN431" s="131"/>
      <c r="AO431" s="131"/>
      <c r="AP431" s="88"/>
    </row>
    <row r="432">
      <c r="A432" s="155"/>
      <c r="B432" s="173"/>
      <c r="C432" s="174"/>
      <c r="D432" s="173"/>
      <c r="E432" s="155"/>
      <c r="F432" s="155"/>
      <c r="G432" s="88"/>
      <c r="H432" s="155"/>
      <c r="I432" s="155"/>
      <c r="J432" s="155"/>
      <c r="K432" s="15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58"/>
      <c r="AA432" s="105"/>
      <c r="AB432" s="105"/>
      <c r="AC432" s="105"/>
      <c r="AD432" s="105"/>
      <c r="AE432" s="105"/>
      <c r="AF432" s="158"/>
      <c r="AG432" s="105"/>
      <c r="AH432" s="158"/>
      <c r="AI432" s="88"/>
      <c r="AJ432" s="88"/>
      <c r="AK432" s="131"/>
      <c r="AL432" s="131"/>
      <c r="AM432" s="131"/>
      <c r="AN432" s="131"/>
      <c r="AO432" s="131"/>
      <c r="AP432" s="88"/>
    </row>
    <row r="433">
      <c r="A433" s="155"/>
      <c r="B433" s="173"/>
      <c r="C433" s="174"/>
      <c r="D433" s="173"/>
      <c r="E433" s="155"/>
      <c r="F433" s="155"/>
      <c r="G433" s="88"/>
      <c r="H433" s="155"/>
      <c r="I433" s="155"/>
      <c r="J433" s="155"/>
      <c r="K433" s="15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58"/>
      <c r="AA433" s="105"/>
      <c r="AB433" s="105"/>
      <c r="AC433" s="105"/>
      <c r="AD433" s="105"/>
      <c r="AE433" s="105"/>
      <c r="AF433" s="158"/>
      <c r="AG433" s="105"/>
      <c r="AH433" s="158"/>
      <c r="AI433" s="88"/>
      <c r="AJ433" s="88"/>
      <c r="AK433" s="131"/>
      <c r="AL433" s="131"/>
      <c r="AM433" s="131"/>
      <c r="AN433" s="131"/>
      <c r="AO433" s="131"/>
      <c r="AP433" s="88"/>
    </row>
    <row r="434">
      <c r="A434" s="155"/>
      <c r="B434" s="173"/>
      <c r="C434" s="174"/>
      <c r="D434" s="173"/>
      <c r="E434" s="155"/>
      <c r="F434" s="155"/>
      <c r="G434" s="88"/>
      <c r="H434" s="155"/>
      <c r="I434" s="155"/>
      <c r="J434" s="155"/>
      <c r="K434" s="15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58"/>
      <c r="AA434" s="105"/>
      <c r="AB434" s="105"/>
      <c r="AC434" s="105"/>
      <c r="AD434" s="105"/>
      <c r="AE434" s="105"/>
      <c r="AF434" s="158"/>
      <c r="AG434" s="105"/>
      <c r="AH434" s="158"/>
      <c r="AI434" s="88"/>
      <c r="AJ434" s="88"/>
      <c r="AK434" s="131"/>
      <c r="AL434" s="131"/>
      <c r="AM434" s="131"/>
      <c r="AN434" s="131"/>
      <c r="AO434" s="131"/>
      <c r="AP434" s="88"/>
    </row>
    <row r="435">
      <c r="A435" s="155"/>
      <c r="B435" s="173"/>
      <c r="C435" s="174"/>
      <c r="D435" s="173"/>
      <c r="E435" s="155"/>
      <c r="F435" s="155"/>
      <c r="G435" s="88"/>
      <c r="H435" s="155"/>
      <c r="I435" s="155"/>
      <c r="J435" s="155"/>
      <c r="K435" s="15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58"/>
      <c r="AA435" s="105"/>
      <c r="AB435" s="105"/>
      <c r="AC435" s="105"/>
      <c r="AD435" s="105"/>
      <c r="AE435" s="105"/>
      <c r="AF435" s="158"/>
      <c r="AG435" s="105"/>
      <c r="AH435" s="158"/>
      <c r="AI435" s="88"/>
      <c r="AJ435" s="88"/>
      <c r="AK435" s="131"/>
      <c r="AL435" s="131"/>
      <c r="AM435" s="131"/>
      <c r="AN435" s="131"/>
      <c r="AO435" s="131"/>
      <c r="AP435" s="88"/>
    </row>
    <row r="436">
      <c r="A436" s="155"/>
      <c r="B436" s="173"/>
      <c r="C436" s="174"/>
      <c r="D436" s="173"/>
      <c r="E436" s="155"/>
      <c r="F436" s="155"/>
      <c r="G436" s="88"/>
      <c r="H436" s="155"/>
      <c r="I436" s="155"/>
      <c r="J436" s="155"/>
      <c r="K436" s="15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58"/>
      <c r="AA436" s="105"/>
      <c r="AB436" s="105"/>
      <c r="AC436" s="105"/>
      <c r="AD436" s="105"/>
      <c r="AE436" s="105"/>
      <c r="AF436" s="158"/>
      <c r="AG436" s="105"/>
      <c r="AH436" s="158"/>
      <c r="AI436" s="88"/>
      <c r="AJ436" s="88"/>
      <c r="AK436" s="131"/>
      <c r="AL436" s="131"/>
      <c r="AM436" s="131"/>
      <c r="AN436" s="131"/>
      <c r="AO436" s="131"/>
      <c r="AP436" s="88"/>
    </row>
    <row r="437">
      <c r="A437" s="155"/>
      <c r="B437" s="173"/>
      <c r="C437" s="174"/>
      <c r="D437" s="173"/>
      <c r="E437" s="155"/>
      <c r="F437" s="155"/>
      <c r="G437" s="88"/>
      <c r="H437" s="155"/>
      <c r="I437" s="155"/>
      <c r="J437" s="155"/>
      <c r="K437" s="15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58"/>
      <c r="AA437" s="105"/>
      <c r="AB437" s="105"/>
      <c r="AC437" s="105"/>
      <c r="AD437" s="105"/>
      <c r="AE437" s="105"/>
      <c r="AF437" s="158"/>
      <c r="AG437" s="105"/>
      <c r="AH437" s="158"/>
      <c r="AI437" s="88"/>
      <c r="AJ437" s="88"/>
      <c r="AK437" s="131"/>
      <c r="AL437" s="131"/>
      <c r="AM437" s="131"/>
      <c r="AN437" s="131"/>
      <c r="AO437" s="131"/>
      <c r="AP437" s="88"/>
    </row>
    <row r="438">
      <c r="A438" s="155"/>
      <c r="B438" s="173"/>
      <c r="C438" s="174"/>
      <c r="D438" s="173"/>
      <c r="E438" s="155"/>
      <c r="F438" s="155"/>
      <c r="G438" s="88"/>
      <c r="H438" s="155"/>
      <c r="I438" s="155"/>
      <c r="J438" s="155"/>
      <c r="K438" s="15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58"/>
      <c r="AA438" s="105"/>
      <c r="AB438" s="105"/>
      <c r="AC438" s="105"/>
      <c r="AD438" s="105"/>
      <c r="AE438" s="105"/>
      <c r="AF438" s="158"/>
      <c r="AG438" s="105"/>
      <c r="AH438" s="158"/>
      <c r="AI438" s="88"/>
      <c r="AJ438" s="88"/>
      <c r="AK438" s="131"/>
      <c r="AL438" s="131"/>
      <c r="AM438" s="131"/>
      <c r="AN438" s="131"/>
      <c r="AO438" s="131"/>
      <c r="AP438" s="88"/>
    </row>
    <row r="439">
      <c r="A439" s="155"/>
      <c r="B439" s="173"/>
      <c r="C439" s="174"/>
      <c r="D439" s="173"/>
      <c r="E439" s="155"/>
      <c r="F439" s="155"/>
      <c r="G439" s="88"/>
      <c r="H439" s="155"/>
      <c r="I439" s="155"/>
      <c r="J439" s="155"/>
      <c r="K439" s="15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58"/>
      <c r="AA439" s="105"/>
      <c r="AB439" s="105"/>
      <c r="AC439" s="105"/>
      <c r="AD439" s="105"/>
      <c r="AE439" s="105"/>
      <c r="AF439" s="158"/>
      <c r="AG439" s="105"/>
      <c r="AH439" s="158"/>
      <c r="AI439" s="88"/>
      <c r="AJ439" s="88"/>
      <c r="AK439" s="131"/>
      <c r="AL439" s="131"/>
      <c r="AM439" s="131"/>
      <c r="AN439" s="131"/>
      <c r="AO439" s="131"/>
      <c r="AP439" s="88"/>
    </row>
    <row r="440">
      <c r="A440" s="155"/>
      <c r="B440" s="173"/>
      <c r="C440" s="174"/>
      <c r="D440" s="173"/>
      <c r="E440" s="155"/>
      <c r="F440" s="155"/>
      <c r="G440" s="88"/>
      <c r="H440" s="155"/>
      <c r="I440" s="155"/>
      <c r="J440" s="155"/>
      <c r="K440" s="15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58"/>
      <c r="AA440" s="105"/>
      <c r="AB440" s="105"/>
      <c r="AC440" s="105"/>
      <c r="AD440" s="105"/>
      <c r="AE440" s="105"/>
      <c r="AF440" s="158"/>
      <c r="AG440" s="105"/>
      <c r="AH440" s="158"/>
      <c r="AI440" s="88"/>
      <c r="AJ440" s="88"/>
      <c r="AK440" s="131"/>
      <c r="AL440" s="131"/>
      <c r="AM440" s="131"/>
      <c r="AN440" s="131"/>
      <c r="AO440" s="131"/>
      <c r="AP440" s="88"/>
    </row>
    <row r="441">
      <c r="A441" s="155"/>
      <c r="B441" s="173"/>
      <c r="C441" s="174"/>
      <c r="D441" s="173"/>
      <c r="E441" s="155"/>
      <c r="F441" s="155"/>
      <c r="G441" s="88"/>
      <c r="H441" s="155"/>
      <c r="I441" s="155"/>
      <c r="J441" s="155"/>
      <c r="K441" s="15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58"/>
      <c r="AA441" s="105"/>
      <c r="AB441" s="105"/>
      <c r="AC441" s="105"/>
      <c r="AD441" s="105"/>
      <c r="AE441" s="105"/>
      <c r="AF441" s="158"/>
      <c r="AG441" s="105"/>
      <c r="AH441" s="158"/>
      <c r="AI441" s="88"/>
      <c r="AJ441" s="88"/>
      <c r="AK441" s="131"/>
      <c r="AL441" s="131"/>
      <c r="AM441" s="131"/>
      <c r="AN441" s="131"/>
      <c r="AO441" s="131"/>
      <c r="AP441" s="88"/>
    </row>
    <row r="442">
      <c r="A442" s="155"/>
      <c r="B442" s="173"/>
      <c r="C442" s="174"/>
      <c r="D442" s="173"/>
      <c r="E442" s="155"/>
      <c r="F442" s="155"/>
      <c r="G442" s="88"/>
      <c r="H442" s="155"/>
      <c r="I442" s="155"/>
      <c r="J442" s="155"/>
      <c r="K442" s="15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58"/>
      <c r="AA442" s="105"/>
      <c r="AB442" s="105"/>
      <c r="AC442" s="105"/>
      <c r="AD442" s="105"/>
      <c r="AE442" s="105"/>
      <c r="AF442" s="158"/>
      <c r="AG442" s="105"/>
      <c r="AH442" s="158"/>
      <c r="AI442" s="88"/>
      <c r="AJ442" s="88"/>
      <c r="AK442" s="131"/>
      <c r="AL442" s="131"/>
      <c r="AM442" s="131"/>
      <c r="AN442" s="131"/>
      <c r="AO442" s="131"/>
      <c r="AP442" s="88"/>
    </row>
    <row r="443">
      <c r="A443" s="155"/>
      <c r="B443" s="173"/>
      <c r="C443" s="174"/>
      <c r="D443" s="173"/>
      <c r="E443" s="155"/>
      <c r="F443" s="155"/>
      <c r="G443" s="88"/>
      <c r="H443" s="155"/>
      <c r="I443" s="155"/>
      <c r="J443" s="155"/>
      <c r="K443" s="15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58"/>
      <c r="AA443" s="105"/>
      <c r="AB443" s="105"/>
      <c r="AC443" s="105"/>
      <c r="AD443" s="105"/>
      <c r="AE443" s="105"/>
      <c r="AF443" s="158"/>
      <c r="AG443" s="105"/>
      <c r="AH443" s="158"/>
      <c r="AI443" s="88"/>
      <c r="AJ443" s="88"/>
      <c r="AK443" s="131"/>
      <c r="AL443" s="131"/>
      <c r="AM443" s="131"/>
      <c r="AN443" s="131"/>
      <c r="AO443" s="131"/>
      <c r="AP443" s="88"/>
    </row>
    <row r="444">
      <c r="A444" s="155"/>
      <c r="B444" s="173"/>
      <c r="C444" s="174"/>
      <c r="D444" s="173"/>
      <c r="E444" s="155"/>
      <c r="F444" s="155"/>
      <c r="G444" s="88"/>
      <c r="H444" s="155"/>
      <c r="I444" s="155"/>
      <c r="J444" s="155"/>
      <c r="K444" s="15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58"/>
      <c r="AA444" s="105"/>
      <c r="AB444" s="105"/>
      <c r="AC444" s="105"/>
      <c r="AD444" s="105"/>
      <c r="AE444" s="105"/>
      <c r="AF444" s="158"/>
      <c r="AG444" s="105"/>
      <c r="AH444" s="158"/>
      <c r="AI444" s="88"/>
      <c r="AJ444" s="88"/>
      <c r="AK444" s="131"/>
      <c r="AL444" s="131"/>
      <c r="AM444" s="131"/>
      <c r="AN444" s="131"/>
      <c r="AO444" s="131"/>
      <c r="AP444" s="88"/>
    </row>
    <row r="445">
      <c r="A445" s="155"/>
      <c r="B445" s="173"/>
      <c r="C445" s="174"/>
      <c r="D445" s="173"/>
      <c r="E445" s="155"/>
      <c r="F445" s="155"/>
      <c r="G445" s="88"/>
      <c r="H445" s="155"/>
      <c r="I445" s="155"/>
      <c r="J445" s="155"/>
      <c r="K445" s="15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58"/>
      <c r="AA445" s="105"/>
      <c r="AB445" s="105"/>
      <c r="AC445" s="105"/>
      <c r="AD445" s="105"/>
      <c r="AE445" s="105"/>
      <c r="AF445" s="158"/>
      <c r="AG445" s="105"/>
      <c r="AH445" s="158"/>
      <c r="AI445" s="88"/>
      <c r="AJ445" s="88"/>
      <c r="AK445" s="131"/>
      <c r="AL445" s="131"/>
      <c r="AM445" s="131"/>
      <c r="AN445" s="131"/>
      <c r="AO445" s="131"/>
      <c r="AP445" s="88"/>
    </row>
    <row r="446">
      <c r="A446" s="155"/>
      <c r="B446" s="173"/>
      <c r="C446" s="174"/>
      <c r="D446" s="173"/>
      <c r="E446" s="155"/>
      <c r="F446" s="155"/>
      <c r="G446" s="88"/>
      <c r="H446" s="155"/>
      <c r="I446" s="155"/>
      <c r="J446" s="155"/>
      <c r="K446" s="15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58"/>
      <c r="AA446" s="105"/>
      <c r="AB446" s="105"/>
      <c r="AC446" s="105"/>
      <c r="AD446" s="105"/>
      <c r="AE446" s="105"/>
      <c r="AF446" s="158"/>
      <c r="AG446" s="105"/>
      <c r="AH446" s="158"/>
      <c r="AI446" s="88"/>
      <c r="AJ446" s="88"/>
      <c r="AK446" s="131"/>
      <c r="AL446" s="131"/>
      <c r="AM446" s="131"/>
      <c r="AN446" s="131"/>
      <c r="AO446" s="131"/>
      <c r="AP446" s="88"/>
    </row>
    <row r="447">
      <c r="A447" s="155"/>
      <c r="B447" s="173"/>
      <c r="C447" s="174"/>
      <c r="D447" s="173"/>
      <c r="E447" s="155"/>
      <c r="F447" s="155"/>
      <c r="G447" s="88"/>
      <c r="H447" s="155"/>
      <c r="I447" s="155"/>
      <c r="J447" s="155"/>
      <c r="K447" s="15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58"/>
      <c r="AA447" s="105"/>
      <c r="AB447" s="105"/>
      <c r="AC447" s="105"/>
      <c r="AD447" s="105"/>
      <c r="AE447" s="105"/>
      <c r="AF447" s="158"/>
      <c r="AG447" s="105"/>
      <c r="AH447" s="158"/>
      <c r="AI447" s="88"/>
      <c r="AJ447" s="88"/>
      <c r="AK447" s="131"/>
      <c r="AL447" s="131"/>
      <c r="AM447" s="131"/>
      <c r="AN447" s="131"/>
      <c r="AO447" s="131"/>
      <c r="AP447" s="88"/>
    </row>
    <row r="448">
      <c r="A448" s="155"/>
      <c r="B448" s="173"/>
      <c r="C448" s="174"/>
      <c r="D448" s="173"/>
      <c r="E448" s="155"/>
      <c r="F448" s="155"/>
      <c r="G448" s="88"/>
      <c r="H448" s="155"/>
      <c r="I448" s="155"/>
      <c r="J448" s="155"/>
      <c r="K448" s="15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58"/>
      <c r="AA448" s="105"/>
      <c r="AB448" s="105"/>
      <c r="AC448" s="105"/>
      <c r="AD448" s="105"/>
      <c r="AE448" s="105"/>
      <c r="AF448" s="158"/>
      <c r="AG448" s="105"/>
      <c r="AH448" s="158"/>
      <c r="AI448" s="88"/>
      <c r="AJ448" s="88"/>
      <c r="AK448" s="131"/>
      <c r="AL448" s="131"/>
      <c r="AM448" s="131"/>
      <c r="AN448" s="131"/>
      <c r="AO448" s="131"/>
      <c r="AP448" s="88"/>
    </row>
    <row r="449">
      <c r="A449" s="155"/>
      <c r="B449" s="173"/>
      <c r="C449" s="174"/>
      <c r="D449" s="173"/>
      <c r="E449" s="155"/>
      <c r="F449" s="155"/>
      <c r="G449" s="88"/>
      <c r="H449" s="155"/>
      <c r="I449" s="155"/>
      <c r="J449" s="155"/>
      <c r="K449" s="15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58"/>
      <c r="AA449" s="105"/>
      <c r="AB449" s="105"/>
      <c r="AC449" s="105"/>
      <c r="AD449" s="105"/>
      <c r="AE449" s="105"/>
      <c r="AF449" s="158"/>
      <c r="AG449" s="105"/>
      <c r="AH449" s="158"/>
      <c r="AI449" s="88"/>
      <c r="AJ449" s="88"/>
      <c r="AK449" s="131"/>
      <c r="AL449" s="131"/>
      <c r="AM449" s="131"/>
      <c r="AN449" s="131"/>
      <c r="AO449" s="131"/>
      <c r="AP449" s="88"/>
    </row>
    <row r="450">
      <c r="A450" s="155"/>
      <c r="B450" s="173"/>
      <c r="C450" s="174"/>
      <c r="D450" s="173"/>
      <c r="E450" s="155"/>
      <c r="F450" s="155"/>
      <c r="G450" s="88"/>
      <c r="H450" s="155"/>
      <c r="I450" s="155"/>
      <c r="J450" s="155"/>
      <c r="K450" s="15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58"/>
      <c r="AA450" s="105"/>
      <c r="AB450" s="105"/>
      <c r="AC450" s="105"/>
      <c r="AD450" s="105"/>
      <c r="AE450" s="105"/>
      <c r="AF450" s="158"/>
      <c r="AG450" s="105"/>
      <c r="AH450" s="158"/>
      <c r="AI450" s="88"/>
      <c r="AJ450" s="88"/>
      <c r="AK450" s="131"/>
      <c r="AL450" s="131"/>
      <c r="AM450" s="131"/>
      <c r="AN450" s="131"/>
      <c r="AO450" s="131"/>
      <c r="AP450" s="88"/>
    </row>
    <row r="451">
      <c r="A451" s="155"/>
      <c r="B451" s="173"/>
      <c r="C451" s="174"/>
      <c r="D451" s="173"/>
      <c r="E451" s="155"/>
      <c r="F451" s="155"/>
      <c r="G451" s="88"/>
      <c r="H451" s="155"/>
      <c r="I451" s="155"/>
      <c r="J451" s="155"/>
      <c r="K451" s="15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58"/>
      <c r="AA451" s="105"/>
      <c r="AB451" s="105"/>
      <c r="AC451" s="105"/>
      <c r="AD451" s="105"/>
      <c r="AE451" s="105"/>
      <c r="AF451" s="158"/>
      <c r="AG451" s="105"/>
      <c r="AH451" s="158"/>
      <c r="AI451" s="88"/>
      <c r="AJ451" s="88"/>
      <c r="AK451" s="131"/>
      <c r="AL451" s="131"/>
      <c r="AM451" s="131"/>
      <c r="AN451" s="131"/>
      <c r="AO451" s="131"/>
      <c r="AP451" s="88"/>
    </row>
    <row r="452">
      <c r="A452" s="155"/>
      <c r="B452" s="173"/>
      <c r="C452" s="174"/>
      <c r="D452" s="173"/>
      <c r="E452" s="155"/>
      <c r="F452" s="155"/>
      <c r="G452" s="88"/>
      <c r="H452" s="155"/>
      <c r="I452" s="155"/>
      <c r="J452" s="155"/>
      <c r="K452" s="15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58"/>
      <c r="AA452" s="105"/>
      <c r="AB452" s="105"/>
      <c r="AC452" s="105"/>
      <c r="AD452" s="105"/>
      <c r="AE452" s="105"/>
      <c r="AF452" s="158"/>
      <c r="AG452" s="105"/>
      <c r="AH452" s="158"/>
      <c r="AI452" s="88"/>
      <c r="AJ452" s="88"/>
      <c r="AK452" s="131"/>
      <c r="AL452" s="131"/>
      <c r="AM452" s="131"/>
      <c r="AN452" s="131"/>
      <c r="AO452" s="131"/>
      <c r="AP452" s="88"/>
    </row>
    <row r="453">
      <c r="A453" s="155"/>
      <c r="B453" s="173"/>
      <c r="C453" s="174"/>
      <c r="D453" s="173"/>
      <c r="E453" s="155"/>
      <c r="F453" s="155"/>
      <c r="G453" s="88"/>
      <c r="H453" s="155"/>
      <c r="I453" s="155"/>
      <c r="J453" s="155"/>
      <c r="K453" s="15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58"/>
      <c r="AA453" s="105"/>
      <c r="AB453" s="105"/>
      <c r="AC453" s="105"/>
      <c r="AD453" s="105"/>
      <c r="AE453" s="105"/>
      <c r="AF453" s="158"/>
      <c r="AG453" s="105"/>
      <c r="AH453" s="158"/>
      <c r="AI453" s="88"/>
      <c r="AJ453" s="88"/>
      <c r="AK453" s="131"/>
      <c r="AL453" s="131"/>
      <c r="AM453" s="131"/>
      <c r="AN453" s="131"/>
      <c r="AO453" s="131"/>
      <c r="AP453" s="88"/>
    </row>
    <row r="454">
      <c r="A454" s="155"/>
      <c r="B454" s="173"/>
      <c r="C454" s="174"/>
      <c r="D454" s="173"/>
      <c r="E454" s="155"/>
      <c r="F454" s="155"/>
      <c r="G454" s="88"/>
      <c r="H454" s="155"/>
      <c r="I454" s="155"/>
      <c r="J454" s="155"/>
      <c r="K454" s="15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58"/>
      <c r="AA454" s="105"/>
      <c r="AB454" s="105"/>
      <c r="AC454" s="105"/>
      <c r="AD454" s="105"/>
      <c r="AE454" s="105"/>
      <c r="AF454" s="158"/>
      <c r="AG454" s="105"/>
      <c r="AH454" s="158"/>
      <c r="AI454" s="88"/>
      <c r="AJ454" s="88"/>
      <c r="AK454" s="131"/>
      <c r="AL454" s="131"/>
      <c r="AM454" s="131"/>
      <c r="AN454" s="131"/>
      <c r="AO454" s="131"/>
      <c r="AP454" s="88"/>
    </row>
    <row r="455">
      <c r="A455" s="155"/>
      <c r="B455" s="173"/>
      <c r="C455" s="174"/>
      <c r="D455" s="173"/>
      <c r="E455" s="155"/>
      <c r="F455" s="155"/>
      <c r="G455" s="88"/>
      <c r="H455" s="155"/>
      <c r="I455" s="155"/>
      <c r="J455" s="155"/>
      <c r="K455" s="15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58"/>
      <c r="AA455" s="105"/>
      <c r="AB455" s="105"/>
      <c r="AC455" s="105"/>
      <c r="AD455" s="105"/>
      <c r="AE455" s="105"/>
      <c r="AF455" s="158"/>
      <c r="AG455" s="105"/>
      <c r="AH455" s="158"/>
      <c r="AI455" s="88"/>
      <c r="AJ455" s="88"/>
      <c r="AK455" s="131"/>
      <c r="AL455" s="131"/>
      <c r="AM455" s="131"/>
      <c r="AN455" s="131"/>
      <c r="AO455" s="131"/>
      <c r="AP455" s="88"/>
    </row>
    <row r="456">
      <c r="A456" s="155"/>
      <c r="B456" s="173"/>
      <c r="C456" s="174"/>
      <c r="D456" s="173"/>
      <c r="E456" s="155"/>
      <c r="F456" s="155"/>
      <c r="G456" s="88"/>
      <c r="H456" s="155"/>
      <c r="I456" s="155"/>
      <c r="J456" s="155"/>
      <c r="K456" s="15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58"/>
      <c r="AA456" s="105"/>
      <c r="AB456" s="105"/>
      <c r="AC456" s="105"/>
      <c r="AD456" s="105"/>
      <c r="AE456" s="105"/>
      <c r="AF456" s="158"/>
      <c r="AG456" s="105"/>
      <c r="AH456" s="158"/>
      <c r="AI456" s="88"/>
      <c r="AJ456" s="88"/>
      <c r="AK456" s="131"/>
      <c r="AL456" s="131"/>
      <c r="AM456" s="131"/>
      <c r="AN456" s="131"/>
      <c r="AO456" s="131"/>
      <c r="AP456" s="88"/>
    </row>
    <row r="457">
      <c r="A457" s="155"/>
      <c r="B457" s="173"/>
      <c r="C457" s="174"/>
      <c r="D457" s="173"/>
      <c r="E457" s="155"/>
      <c r="F457" s="155"/>
      <c r="G457" s="88"/>
      <c r="H457" s="155"/>
      <c r="I457" s="155"/>
      <c r="J457" s="155"/>
      <c r="K457" s="15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58"/>
      <c r="AA457" s="105"/>
      <c r="AB457" s="105"/>
      <c r="AC457" s="105"/>
      <c r="AD457" s="105"/>
      <c r="AE457" s="105"/>
      <c r="AF457" s="158"/>
      <c r="AG457" s="105"/>
      <c r="AH457" s="158"/>
      <c r="AI457" s="88"/>
      <c r="AJ457" s="88"/>
      <c r="AK457" s="131"/>
      <c r="AL457" s="131"/>
      <c r="AM457" s="131"/>
      <c r="AN457" s="131"/>
      <c r="AO457" s="131"/>
      <c r="AP457" s="88"/>
    </row>
    <row r="458">
      <c r="A458" s="155"/>
      <c r="B458" s="173"/>
      <c r="C458" s="174"/>
      <c r="D458" s="173"/>
      <c r="E458" s="155"/>
      <c r="F458" s="155"/>
      <c r="G458" s="88"/>
      <c r="H458" s="155"/>
      <c r="I458" s="155"/>
      <c r="J458" s="155"/>
      <c r="K458" s="15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58"/>
      <c r="AA458" s="105"/>
      <c r="AB458" s="105"/>
      <c r="AC458" s="105"/>
      <c r="AD458" s="105"/>
      <c r="AE458" s="105"/>
      <c r="AF458" s="158"/>
      <c r="AG458" s="105"/>
      <c r="AH458" s="158"/>
      <c r="AI458" s="88"/>
      <c r="AJ458" s="88"/>
      <c r="AK458" s="131"/>
      <c r="AL458" s="131"/>
      <c r="AM458" s="131"/>
      <c r="AN458" s="131"/>
      <c r="AO458" s="131"/>
      <c r="AP458" s="88"/>
    </row>
    <row r="459">
      <c r="A459" s="155"/>
      <c r="B459" s="173"/>
      <c r="C459" s="174"/>
      <c r="D459" s="173"/>
      <c r="E459" s="155"/>
      <c r="F459" s="155"/>
      <c r="G459" s="88"/>
      <c r="H459" s="155"/>
      <c r="I459" s="155"/>
      <c r="J459" s="155"/>
      <c r="K459" s="15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58"/>
      <c r="AA459" s="105"/>
      <c r="AB459" s="105"/>
      <c r="AC459" s="105"/>
      <c r="AD459" s="105"/>
      <c r="AE459" s="105"/>
      <c r="AF459" s="158"/>
      <c r="AG459" s="105"/>
      <c r="AH459" s="158"/>
      <c r="AI459" s="88"/>
      <c r="AJ459" s="88"/>
      <c r="AK459" s="131"/>
      <c r="AL459" s="131"/>
      <c r="AM459" s="131"/>
      <c r="AN459" s="131"/>
      <c r="AO459" s="131"/>
      <c r="AP459" s="88"/>
    </row>
    <row r="460">
      <c r="A460" s="155"/>
      <c r="B460" s="173"/>
      <c r="C460" s="174"/>
      <c r="D460" s="173"/>
      <c r="E460" s="155"/>
      <c r="F460" s="155"/>
      <c r="G460" s="88"/>
      <c r="H460" s="155"/>
      <c r="I460" s="155"/>
      <c r="J460" s="155"/>
      <c r="K460" s="15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58"/>
      <c r="AA460" s="105"/>
      <c r="AB460" s="105"/>
      <c r="AC460" s="105"/>
      <c r="AD460" s="105"/>
      <c r="AE460" s="105"/>
      <c r="AF460" s="158"/>
      <c r="AG460" s="105"/>
      <c r="AH460" s="158"/>
      <c r="AI460" s="88"/>
      <c r="AJ460" s="88"/>
      <c r="AK460" s="131"/>
      <c r="AL460" s="131"/>
      <c r="AM460" s="131"/>
      <c r="AN460" s="131"/>
      <c r="AO460" s="131"/>
      <c r="AP460" s="88"/>
    </row>
    <row r="461">
      <c r="A461" s="155"/>
      <c r="B461" s="173"/>
      <c r="C461" s="174"/>
      <c r="D461" s="173"/>
      <c r="E461" s="155"/>
      <c r="F461" s="155"/>
      <c r="G461" s="88"/>
      <c r="H461" s="155"/>
      <c r="I461" s="155"/>
      <c r="J461" s="155"/>
      <c r="K461" s="15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58"/>
      <c r="AA461" s="105"/>
      <c r="AB461" s="105"/>
      <c r="AC461" s="105"/>
      <c r="AD461" s="105"/>
      <c r="AE461" s="105"/>
      <c r="AF461" s="158"/>
      <c r="AG461" s="105"/>
      <c r="AH461" s="158"/>
      <c r="AI461" s="88"/>
      <c r="AJ461" s="88"/>
      <c r="AK461" s="131"/>
      <c r="AL461" s="131"/>
      <c r="AM461" s="131"/>
      <c r="AN461" s="131"/>
      <c r="AO461" s="131"/>
      <c r="AP461" s="88"/>
    </row>
    <row r="462">
      <c r="A462" s="155"/>
      <c r="B462" s="173"/>
      <c r="C462" s="174"/>
      <c r="D462" s="173"/>
      <c r="E462" s="155"/>
      <c r="F462" s="155"/>
      <c r="G462" s="88"/>
      <c r="H462" s="155"/>
      <c r="I462" s="155"/>
      <c r="J462" s="155"/>
      <c r="K462" s="15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58"/>
      <c r="AA462" s="105"/>
      <c r="AB462" s="105"/>
      <c r="AC462" s="105"/>
      <c r="AD462" s="105"/>
      <c r="AE462" s="105"/>
      <c r="AF462" s="158"/>
      <c r="AG462" s="105"/>
      <c r="AH462" s="158"/>
      <c r="AI462" s="88"/>
      <c r="AJ462" s="88"/>
      <c r="AK462" s="131"/>
      <c r="AL462" s="131"/>
      <c r="AM462" s="131"/>
      <c r="AN462" s="131"/>
      <c r="AO462" s="131"/>
      <c r="AP462" s="88"/>
    </row>
    <row r="463">
      <c r="A463" s="155"/>
      <c r="B463" s="173"/>
      <c r="C463" s="174"/>
      <c r="D463" s="173"/>
      <c r="E463" s="155"/>
      <c r="F463" s="155"/>
      <c r="G463" s="88"/>
      <c r="H463" s="155"/>
      <c r="I463" s="155"/>
      <c r="J463" s="155"/>
      <c r="K463" s="15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58"/>
      <c r="AA463" s="105"/>
      <c r="AB463" s="105"/>
      <c r="AC463" s="105"/>
      <c r="AD463" s="105"/>
      <c r="AE463" s="105"/>
      <c r="AF463" s="158"/>
      <c r="AG463" s="105"/>
      <c r="AH463" s="158"/>
      <c r="AI463" s="88"/>
      <c r="AJ463" s="88"/>
      <c r="AK463" s="131"/>
      <c r="AL463" s="131"/>
      <c r="AM463" s="131"/>
      <c r="AN463" s="131"/>
      <c r="AO463" s="131"/>
      <c r="AP463" s="88"/>
    </row>
    <row r="464">
      <c r="A464" s="155"/>
      <c r="B464" s="173"/>
      <c r="C464" s="174"/>
      <c r="D464" s="173"/>
      <c r="E464" s="155"/>
      <c r="F464" s="155"/>
      <c r="G464" s="88"/>
      <c r="H464" s="155"/>
      <c r="I464" s="155"/>
      <c r="J464" s="155"/>
      <c r="K464" s="15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58"/>
      <c r="AA464" s="105"/>
      <c r="AB464" s="105"/>
      <c r="AC464" s="105"/>
      <c r="AD464" s="105"/>
      <c r="AE464" s="105"/>
      <c r="AF464" s="158"/>
      <c r="AG464" s="105"/>
      <c r="AH464" s="158"/>
      <c r="AI464" s="88"/>
      <c r="AJ464" s="88"/>
      <c r="AK464" s="131"/>
      <c r="AL464" s="131"/>
      <c r="AM464" s="131"/>
      <c r="AN464" s="131"/>
      <c r="AO464" s="131"/>
      <c r="AP464" s="88"/>
    </row>
    <row r="465">
      <c r="A465" s="155"/>
      <c r="B465" s="173"/>
      <c r="C465" s="174"/>
      <c r="D465" s="173"/>
      <c r="E465" s="155"/>
      <c r="F465" s="155"/>
      <c r="G465" s="88"/>
      <c r="H465" s="155"/>
      <c r="I465" s="155"/>
      <c r="J465" s="155"/>
      <c r="K465" s="15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58"/>
      <c r="AA465" s="105"/>
      <c r="AB465" s="105"/>
      <c r="AC465" s="105"/>
      <c r="AD465" s="105"/>
      <c r="AE465" s="105"/>
      <c r="AF465" s="158"/>
      <c r="AG465" s="105"/>
      <c r="AH465" s="158"/>
      <c r="AI465" s="88"/>
      <c r="AJ465" s="88"/>
      <c r="AK465" s="131"/>
      <c r="AL465" s="131"/>
      <c r="AM465" s="131"/>
      <c r="AN465" s="131"/>
      <c r="AO465" s="131"/>
      <c r="AP465" s="88"/>
    </row>
    <row r="466">
      <c r="A466" s="155"/>
      <c r="B466" s="173"/>
      <c r="C466" s="174"/>
      <c r="D466" s="173"/>
      <c r="E466" s="155"/>
      <c r="F466" s="155"/>
      <c r="G466" s="88"/>
      <c r="H466" s="155"/>
      <c r="I466" s="155"/>
      <c r="J466" s="155"/>
      <c r="K466" s="15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58"/>
      <c r="AA466" s="105"/>
      <c r="AB466" s="105"/>
      <c r="AC466" s="105"/>
      <c r="AD466" s="105"/>
      <c r="AE466" s="105"/>
      <c r="AF466" s="158"/>
      <c r="AG466" s="105"/>
      <c r="AH466" s="158"/>
      <c r="AI466" s="88"/>
      <c r="AJ466" s="88"/>
      <c r="AK466" s="131"/>
      <c r="AL466" s="131"/>
      <c r="AM466" s="131"/>
      <c r="AN466" s="131"/>
      <c r="AO466" s="131"/>
      <c r="AP466" s="88"/>
    </row>
    <row r="467">
      <c r="A467" s="155"/>
      <c r="B467" s="173"/>
      <c r="C467" s="174"/>
      <c r="D467" s="173"/>
      <c r="E467" s="155"/>
      <c r="F467" s="155"/>
      <c r="G467" s="88"/>
      <c r="H467" s="155"/>
      <c r="I467" s="155"/>
      <c r="J467" s="155"/>
      <c r="K467" s="15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58"/>
      <c r="AA467" s="105"/>
      <c r="AB467" s="105"/>
      <c r="AC467" s="105"/>
      <c r="AD467" s="105"/>
      <c r="AE467" s="105"/>
      <c r="AF467" s="158"/>
      <c r="AG467" s="105"/>
      <c r="AH467" s="158"/>
      <c r="AI467" s="88"/>
      <c r="AJ467" s="88"/>
      <c r="AK467" s="131"/>
      <c r="AL467" s="131"/>
      <c r="AM467" s="131"/>
      <c r="AN467" s="131"/>
      <c r="AO467" s="131"/>
      <c r="AP467" s="88"/>
    </row>
    <row r="468">
      <c r="A468" s="155"/>
      <c r="B468" s="173"/>
      <c r="C468" s="174"/>
      <c r="D468" s="173"/>
      <c r="E468" s="155"/>
      <c r="F468" s="155"/>
      <c r="G468" s="88"/>
      <c r="H468" s="155"/>
      <c r="I468" s="155"/>
      <c r="J468" s="155"/>
      <c r="K468" s="15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58"/>
      <c r="AA468" s="105"/>
      <c r="AB468" s="105"/>
      <c r="AC468" s="105"/>
      <c r="AD468" s="105"/>
      <c r="AE468" s="105"/>
      <c r="AF468" s="158"/>
      <c r="AG468" s="105"/>
      <c r="AH468" s="158"/>
      <c r="AI468" s="88"/>
      <c r="AJ468" s="88"/>
      <c r="AK468" s="131"/>
      <c r="AL468" s="131"/>
      <c r="AM468" s="131"/>
      <c r="AN468" s="131"/>
      <c r="AO468" s="131"/>
      <c r="AP468" s="88"/>
    </row>
    <row r="469">
      <c r="A469" s="155"/>
      <c r="B469" s="173"/>
      <c r="C469" s="174"/>
      <c r="D469" s="173"/>
      <c r="E469" s="155"/>
      <c r="F469" s="155"/>
      <c r="G469" s="88"/>
      <c r="H469" s="155"/>
      <c r="I469" s="155"/>
      <c r="J469" s="155"/>
      <c r="K469" s="15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58"/>
      <c r="AA469" s="105"/>
      <c r="AB469" s="105"/>
      <c r="AC469" s="105"/>
      <c r="AD469" s="105"/>
      <c r="AE469" s="105"/>
      <c r="AF469" s="158"/>
      <c r="AG469" s="105"/>
      <c r="AH469" s="158"/>
      <c r="AI469" s="88"/>
      <c r="AJ469" s="88"/>
      <c r="AK469" s="131"/>
      <c r="AL469" s="131"/>
      <c r="AM469" s="131"/>
      <c r="AN469" s="131"/>
      <c r="AO469" s="131"/>
      <c r="AP469" s="88"/>
    </row>
    <row r="470">
      <c r="A470" s="155"/>
      <c r="B470" s="173"/>
      <c r="C470" s="174"/>
      <c r="D470" s="173"/>
      <c r="E470" s="155"/>
      <c r="F470" s="155"/>
      <c r="G470" s="88"/>
      <c r="H470" s="155"/>
      <c r="I470" s="155"/>
      <c r="J470" s="155"/>
      <c r="K470" s="15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58"/>
      <c r="AA470" s="105"/>
      <c r="AB470" s="105"/>
      <c r="AC470" s="105"/>
      <c r="AD470" s="105"/>
      <c r="AE470" s="105"/>
      <c r="AF470" s="158"/>
      <c r="AG470" s="105"/>
      <c r="AH470" s="158"/>
      <c r="AI470" s="88"/>
      <c r="AJ470" s="88"/>
      <c r="AK470" s="131"/>
      <c r="AL470" s="131"/>
      <c r="AM470" s="131"/>
      <c r="AN470" s="131"/>
      <c r="AO470" s="131"/>
      <c r="AP470" s="88"/>
    </row>
    <row r="471">
      <c r="A471" s="155"/>
      <c r="B471" s="173"/>
      <c r="C471" s="174"/>
      <c r="D471" s="173"/>
      <c r="E471" s="155"/>
      <c r="F471" s="155"/>
      <c r="G471" s="88"/>
      <c r="H471" s="155"/>
      <c r="I471" s="155"/>
      <c r="J471" s="155"/>
      <c r="K471" s="15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58"/>
      <c r="AA471" s="105"/>
      <c r="AB471" s="105"/>
      <c r="AC471" s="105"/>
      <c r="AD471" s="105"/>
      <c r="AE471" s="105"/>
      <c r="AF471" s="158"/>
      <c r="AG471" s="105"/>
      <c r="AH471" s="158"/>
      <c r="AI471" s="88"/>
      <c r="AJ471" s="88"/>
      <c r="AK471" s="131"/>
      <c r="AL471" s="131"/>
      <c r="AM471" s="131"/>
      <c r="AN471" s="131"/>
      <c r="AO471" s="131"/>
      <c r="AP471" s="88"/>
    </row>
    <row r="472">
      <c r="A472" s="155"/>
      <c r="B472" s="173"/>
      <c r="C472" s="174"/>
      <c r="D472" s="173"/>
      <c r="E472" s="155"/>
      <c r="F472" s="155"/>
      <c r="G472" s="88"/>
      <c r="H472" s="155"/>
      <c r="I472" s="155"/>
      <c r="J472" s="155"/>
      <c r="K472" s="15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58"/>
      <c r="AA472" s="105"/>
      <c r="AB472" s="105"/>
      <c r="AC472" s="105"/>
      <c r="AD472" s="105"/>
      <c r="AE472" s="105"/>
      <c r="AF472" s="158"/>
      <c r="AG472" s="105"/>
      <c r="AH472" s="158"/>
      <c r="AI472" s="88"/>
      <c r="AJ472" s="88"/>
      <c r="AK472" s="131"/>
      <c r="AL472" s="131"/>
      <c r="AM472" s="131"/>
      <c r="AN472" s="131"/>
      <c r="AO472" s="131"/>
      <c r="AP472" s="88"/>
    </row>
    <row r="473">
      <c r="A473" s="155"/>
      <c r="B473" s="173"/>
      <c r="C473" s="174"/>
      <c r="D473" s="173"/>
      <c r="E473" s="155"/>
      <c r="F473" s="155"/>
      <c r="G473" s="88"/>
      <c r="H473" s="155"/>
      <c r="I473" s="155"/>
      <c r="J473" s="155"/>
      <c r="K473" s="15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58"/>
      <c r="AA473" s="105"/>
      <c r="AB473" s="105"/>
      <c r="AC473" s="105"/>
      <c r="AD473" s="105"/>
      <c r="AE473" s="105"/>
      <c r="AF473" s="158"/>
      <c r="AG473" s="105"/>
      <c r="AH473" s="158"/>
      <c r="AI473" s="88"/>
      <c r="AJ473" s="88"/>
      <c r="AK473" s="131"/>
      <c r="AL473" s="131"/>
      <c r="AM473" s="131"/>
      <c r="AN473" s="131"/>
      <c r="AO473" s="131"/>
      <c r="AP473" s="88"/>
    </row>
    <row r="474">
      <c r="A474" s="155"/>
      <c r="B474" s="173"/>
      <c r="C474" s="174"/>
      <c r="D474" s="173"/>
      <c r="E474" s="155"/>
      <c r="F474" s="155"/>
      <c r="G474" s="88"/>
      <c r="H474" s="155"/>
      <c r="I474" s="155"/>
      <c r="J474" s="155"/>
      <c r="K474" s="15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58"/>
      <c r="AA474" s="105"/>
      <c r="AB474" s="105"/>
      <c r="AC474" s="105"/>
      <c r="AD474" s="105"/>
      <c r="AE474" s="105"/>
      <c r="AF474" s="158"/>
      <c r="AG474" s="105"/>
      <c r="AH474" s="158"/>
      <c r="AI474" s="88"/>
      <c r="AJ474" s="88"/>
      <c r="AK474" s="131"/>
      <c r="AL474" s="131"/>
      <c r="AM474" s="131"/>
      <c r="AN474" s="131"/>
      <c r="AO474" s="131"/>
      <c r="AP474" s="88"/>
    </row>
    <row r="475">
      <c r="A475" s="155"/>
      <c r="B475" s="173"/>
      <c r="C475" s="174"/>
      <c r="D475" s="173"/>
      <c r="E475" s="155"/>
      <c r="F475" s="155"/>
      <c r="G475" s="88"/>
      <c r="H475" s="155"/>
      <c r="I475" s="155"/>
      <c r="J475" s="155"/>
      <c r="K475" s="15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58"/>
      <c r="AA475" s="105"/>
      <c r="AB475" s="105"/>
      <c r="AC475" s="105"/>
      <c r="AD475" s="105"/>
      <c r="AE475" s="105"/>
      <c r="AF475" s="158"/>
      <c r="AG475" s="105"/>
      <c r="AH475" s="158"/>
      <c r="AI475" s="88"/>
      <c r="AJ475" s="88"/>
      <c r="AK475" s="131"/>
      <c r="AL475" s="131"/>
      <c r="AM475" s="131"/>
      <c r="AN475" s="131"/>
      <c r="AO475" s="131"/>
      <c r="AP475" s="88"/>
    </row>
    <row r="476">
      <c r="A476" s="155"/>
      <c r="B476" s="173"/>
      <c r="C476" s="174"/>
      <c r="D476" s="173"/>
      <c r="E476" s="155"/>
      <c r="F476" s="155"/>
      <c r="G476" s="88"/>
      <c r="H476" s="155"/>
      <c r="I476" s="155"/>
      <c r="J476" s="155"/>
      <c r="K476" s="15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58"/>
      <c r="AA476" s="105"/>
      <c r="AB476" s="105"/>
      <c r="AC476" s="105"/>
      <c r="AD476" s="105"/>
      <c r="AE476" s="105"/>
      <c r="AF476" s="158"/>
      <c r="AG476" s="105"/>
      <c r="AH476" s="158"/>
      <c r="AI476" s="88"/>
      <c r="AJ476" s="88"/>
      <c r="AK476" s="131"/>
      <c r="AL476" s="131"/>
      <c r="AM476" s="131"/>
      <c r="AN476" s="131"/>
      <c r="AO476" s="131"/>
      <c r="AP476" s="88"/>
    </row>
    <row r="477">
      <c r="A477" s="155"/>
      <c r="B477" s="173"/>
      <c r="C477" s="174"/>
      <c r="D477" s="173"/>
      <c r="E477" s="155"/>
      <c r="F477" s="155"/>
      <c r="G477" s="88"/>
      <c r="H477" s="155"/>
      <c r="I477" s="155"/>
      <c r="J477" s="155"/>
      <c r="K477" s="15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58"/>
      <c r="AA477" s="105"/>
      <c r="AB477" s="105"/>
      <c r="AC477" s="105"/>
      <c r="AD477" s="105"/>
      <c r="AE477" s="105"/>
      <c r="AF477" s="158"/>
      <c r="AG477" s="105"/>
      <c r="AH477" s="158"/>
      <c r="AI477" s="88"/>
      <c r="AJ477" s="88"/>
      <c r="AK477" s="131"/>
      <c r="AL477" s="131"/>
      <c r="AM477" s="131"/>
      <c r="AN477" s="131"/>
      <c r="AO477" s="131"/>
      <c r="AP477" s="88"/>
    </row>
    <row r="478">
      <c r="A478" s="155"/>
      <c r="B478" s="173"/>
      <c r="C478" s="174"/>
      <c r="D478" s="173"/>
      <c r="E478" s="155"/>
      <c r="F478" s="155"/>
      <c r="G478" s="88"/>
      <c r="H478" s="155"/>
      <c r="I478" s="155"/>
      <c r="J478" s="155"/>
      <c r="K478" s="15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58"/>
      <c r="AA478" s="105"/>
      <c r="AB478" s="105"/>
      <c r="AC478" s="105"/>
      <c r="AD478" s="105"/>
      <c r="AE478" s="105"/>
      <c r="AF478" s="158"/>
      <c r="AG478" s="105"/>
      <c r="AH478" s="158"/>
      <c r="AI478" s="88"/>
      <c r="AJ478" s="88"/>
      <c r="AK478" s="131"/>
      <c r="AL478" s="131"/>
      <c r="AM478" s="131"/>
      <c r="AN478" s="131"/>
      <c r="AO478" s="131"/>
      <c r="AP478" s="88"/>
    </row>
    <row r="479">
      <c r="A479" s="155"/>
      <c r="B479" s="173"/>
      <c r="C479" s="174"/>
      <c r="D479" s="173"/>
      <c r="E479" s="155"/>
      <c r="F479" s="155"/>
      <c r="G479" s="88"/>
      <c r="H479" s="155"/>
      <c r="I479" s="155"/>
      <c r="J479" s="155"/>
      <c r="K479" s="15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58"/>
      <c r="AA479" s="105"/>
      <c r="AB479" s="105"/>
      <c r="AC479" s="105"/>
      <c r="AD479" s="105"/>
      <c r="AE479" s="105"/>
      <c r="AF479" s="158"/>
      <c r="AG479" s="105"/>
      <c r="AH479" s="158"/>
      <c r="AI479" s="88"/>
      <c r="AJ479" s="88"/>
      <c r="AK479" s="131"/>
      <c r="AL479" s="131"/>
      <c r="AM479" s="131"/>
      <c r="AN479" s="131"/>
      <c r="AO479" s="131"/>
      <c r="AP479" s="88"/>
    </row>
    <row r="480">
      <c r="A480" s="155"/>
      <c r="B480" s="173"/>
      <c r="C480" s="174"/>
      <c r="D480" s="173"/>
      <c r="E480" s="155"/>
      <c r="F480" s="155"/>
      <c r="G480" s="88"/>
      <c r="H480" s="155"/>
      <c r="I480" s="155"/>
      <c r="J480" s="155"/>
      <c r="K480" s="15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58"/>
      <c r="AA480" s="105"/>
      <c r="AB480" s="105"/>
      <c r="AC480" s="105"/>
      <c r="AD480" s="105"/>
      <c r="AE480" s="105"/>
      <c r="AF480" s="158"/>
      <c r="AG480" s="105"/>
      <c r="AH480" s="158"/>
      <c r="AI480" s="88"/>
      <c r="AJ480" s="88"/>
      <c r="AK480" s="131"/>
      <c r="AL480" s="131"/>
      <c r="AM480" s="131"/>
      <c r="AN480" s="131"/>
      <c r="AO480" s="131"/>
      <c r="AP480" s="88"/>
    </row>
    <row r="481">
      <c r="A481" s="155"/>
      <c r="B481" s="173"/>
      <c r="C481" s="174"/>
      <c r="D481" s="173"/>
      <c r="E481" s="155"/>
      <c r="F481" s="155"/>
      <c r="G481" s="88"/>
      <c r="H481" s="155"/>
      <c r="I481" s="155"/>
      <c r="J481" s="155"/>
      <c r="K481" s="15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58"/>
      <c r="AA481" s="105"/>
      <c r="AB481" s="105"/>
      <c r="AC481" s="105"/>
      <c r="AD481" s="105"/>
      <c r="AE481" s="105"/>
      <c r="AF481" s="158"/>
      <c r="AG481" s="105"/>
      <c r="AH481" s="158"/>
      <c r="AI481" s="88"/>
      <c r="AJ481" s="88"/>
      <c r="AK481" s="131"/>
      <c r="AL481" s="131"/>
      <c r="AM481" s="131"/>
      <c r="AN481" s="131"/>
      <c r="AO481" s="131"/>
      <c r="AP481" s="88"/>
    </row>
    <row r="482">
      <c r="A482" s="155"/>
      <c r="B482" s="173"/>
      <c r="C482" s="174"/>
      <c r="D482" s="173"/>
      <c r="E482" s="155"/>
      <c r="F482" s="155"/>
      <c r="G482" s="88"/>
      <c r="H482" s="155"/>
      <c r="I482" s="155"/>
      <c r="J482" s="155"/>
      <c r="K482" s="15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58"/>
      <c r="AA482" s="105"/>
      <c r="AB482" s="105"/>
      <c r="AC482" s="105"/>
      <c r="AD482" s="105"/>
      <c r="AE482" s="105"/>
      <c r="AF482" s="158"/>
      <c r="AG482" s="105"/>
      <c r="AH482" s="158"/>
      <c r="AI482" s="88"/>
      <c r="AJ482" s="88"/>
      <c r="AK482" s="131"/>
      <c r="AL482" s="131"/>
      <c r="AM482" s="131"/>
      <c r="AN482" s="131"/>
      <c r="AO482" s="131"/>
      <c r="AP482" s="88"/>
    </row>
    <row r="483">
      <c r="A483" s="155"/>
      <c r="B483" s="173"/>
      <c r="C483" s="174"/>
      <c r="D483" s="173"/>
      <c r="E483" s="155"/>
      <c r="F483" s="155"/>
      <c r="G483" s="88"/>
      <c r="H483" s="155"/>
      <c r="I483" s="155"/>
      <c r="J483" s="155"/>
      <c r="K483" s="15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58"/>
      <c r="AA483" s="105"/>
      <c r="AB483" s="105"/>
      <c r="AC483" s="105"/>
      <c r="AD483" s="105"/>
      <c r="AE483" s="105"/>
      <c r="AF483" s="158"/>
      <c r="AG483" s="105"/>
      <c r="AH483" s="158"/>
      <c r="AI483" s="88"/>
      <c r="AJ483" s="88"/>
      <c r="AK483" s="131"/>
      <c r="AL483" s="131"/>
      <c r="AM483" s="131"/>
      <c r="AN483" s="131"/>
      <c r="AO483" s="131"/>
      <c r="AP483" s="88"/>
    </row>
    <row r="484">
      <c r="A484" s="155"/>
      <c r="B484" s="173"/>
      <c r="C484" s="174"/>
      <c r="D484" s="173"/>
      <c r="E484" s="155"/>
      <c r="F484" s="155"/>
      <c r="G484" s="88"/>
      <c r="H484" s="155"/>
      <c r="I484" s="155"/>
      <c r="J484" s="155"/>
      <c r="K484" s="15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58"/>
      <c r="AA484" s="105"/>
      <c r="AB484" s="105"/>
      <c r="AC484" s="105"/>
      <c r="AD484" s="105"/>
      <c r="AE484" s="105"/>
      <c r="AF484" s="158"/>
      <c r="AG484" s="105"/>
      <c r="AH484" s="158"/>
      <c r="AI484" s="88"/>
      <c r="AJ484" s="88"/>
      <c r="AK484" s="131"/>
      <c r="AL484" s="131"/>
      <c r="AM484" s="131"/>
      <c r="AN484" s="131"/>
      <c r="AO484" s="131"/>
      <c r="AP484" s="88"/>
    </row>
    <row r="485">
      <c r="A485" s="155"/>
      <c r="B485" s="173"/>
      <c r="C485" s="174"/>
      <c r="D485" s="173"/>
      <c r="E485" s="155"/>
      <c r="F485" s="155"/>
      <c r="G485" s="88"/>
      <c r="H485" s="155"/>
      <c r="I485" s="155"/>
      <c r="J485" s="155"/>
      <c r="K485" s="15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58"/>
      <c r="AA485" s="105"/>
      <c r="AB485" s="105"/>
      <c r="AC485" s="105"/>
      <c r="AD485" s="105"/>
      <c r="AE485" s="105"/>
      <c r="AF485" s="158"/>
      <c r="AG485" s="105"/>
      <c r="AH485" s="158"/>
      <c r="AI485" s="88"/>
      <c r="AJ485" s="88"/>
      <c r="AK485" s="131"/>
      <c r="AL485" s="131"/>
      <c r="AM485" s="131"/>
      <c r="AN485" s="131"/>
      <c r="AO485" s="131"/>
      <c r="AP485" s="88"/>
    </row>
    <row r="486">
      <c r="A486" s="155"/>
      <c r="B486" s="173"/>
      <c r="C486" s="174"/>
      <c r="D486" s="173"/>
      <c r="E486" s="155"/>
      <c r="F486" s="155"/>
      <c r="G486" s="88"/>
      <c r="H486" s="155"/>
      <c r="I486" s="155"/>
      <c r="J486" s="155"/>
      <c r="K486" s="15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58"/>
      <c r="AA486" s="105"/>
      <c r="AB486" s="105"/>
      <c r="AC486" s="105"/>
      <c r="AD486" s="105"/>
      <c r="AE486" s="105"/>
      <c r="AF486" s="158"/>
      <c r="AG486" s="105"/>
      <c r="AH486" s="158"/>
      <c r="AI486" s="88"/>
      <c r="AJ486" s="88"/>
      <c r="AK486" s="131"/>
      <c r="AL486" s="131"/>
      <c r="AM486" s="131"/>
      <c r="AN486" s="131"/>
      <c r="AO486" s="131"/>
      <c r="AP486" s="88"/>
    </row>
    <row r="487">
      <c r="A487" s="155"/>
      <c r="B487" s="173"/>
      <c r="C487" s="174"/>
      <c r="D487" s="173"/>
      <c r="E487" s="155"/>
      <c r="F487" s="155"/>
      <c r="G487" s="88"/>
      <c r="H487" s="155"/>
      <c r="I487" s="155"/>
      <c r="J487" s="155"/>
      <c r="K487" s="15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58"/>
      <c r="AA487" s="105"/>
      <c r="AB487" s="105"/>
      <c r="AC487" s="105"/>
      <c r="AD487" s="105"/>
      <c r="AE487" s="105"/>
      <c r="AF487" s="158"/>
      <c r="AG487" s="105"/>
      <c r="AH487" s="158"/>
      <c r="AI487" s="88"/>
      <c r="AJ487" s="88"/>
      <c r="AK487" s="131"/>
      <c r="AL487" s="131"/>
      <c r="AM487" s="131"/>
      <c r="AN487" s="131"/>
      <c r="AO487" s="131"/>
      <c r="AP487" s="88"/>
    </row>
    <row r="488">
      <c r="A488" s="155"/>
      <c r="B488" s="173"/>
      <c r="C488" s="174"/>
      <c r="D488" s="173"/>
      <c r="E488" s="155"/>
      <c r="F488" s="155"/>
      <c r="G488" s="88"/>
      <c r="H488" s="155"/>
      <c r="I488" s="155"/>
      <c r="J488" s="155"/>
      <c r="K488" s="15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58"/>
      <c r="AA488" s="105"/>
      <c r="AB488" s="105"/>
      <c r="AC488" s="105"/>
      <c r="AD488" s="105"/>
      <c r="AE488" s="105"/>
      <c r="AF488" s="158"/>
      <c r="AG488" s="105"/>
      <c r="AH488" s="158"/>
      <c r="AI488" s="88"/>
      <c r="AJ488" s="88"/>
      <c r="AK488" s="131"/>
      <c r="AL488" s="131"/>
      <c r="AM488" s="131"/>
      <c r="AN488" s="131"/>
      <c r="AO488" s="131"/>
      <c r="AP488" s="88"/>
    </row>
    <row r="489">
      <c r="A489" s="155"/>
      <c r="B489" s="173"/>
      <c r="C489" s="174"/>
      <c r="D489" s="173"/>
      <c r="E489" s="155"/>
      <c r="F489" s="155"/>
      <c r="G489" s="88"/>
      <c r="H489" s="155"/>
      <c r="I489" s="155"/>
      <c r="J489" s="155"/>
      <c r="K489" s="15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58"/>
      <c r="AA489" s="105"/>
      <c r="AB489" s="105"/>
      <c r="AC489" s="105"/>
      <c r="AD489" s="105"/>
      <c r="AE489" s="105"/>
      <c r="AF489" s="158"/>
      <c r="AG489" s="105"/>
      <c r="AH489" s="158"/>
      <c r="AI489" s="88"/>
      <c r="AJ489" s="88"/>
      <c r="AK489" s="131"/>
      <c r="AL489" s="131"/>
      <c r="AM489" s="131"/>
      <c r="AN489" s="131"/>
      <c r="AO489" s="131"/>
      <c r="AP489" s="88"/>
    </row>
    <row r="490">
      <c r="A490" s="155"/>
      <c r="B490" s="173"/>
      <c r="C490" s="174"/>
      <c r="D490" s="173"/>
      <c r="E490" s="155"/>
      <c r="F490" s="155"/>
      <c r="G490" s="88"/>
      <c r="H490" s="155"/>
      <c r="I490" s="155"/>
      <c r="J490" s="155"/>
      <c r="K490" s="15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58"/>
      <c r="AA490" s="105"/>
      <c r="AB490" s="105"/>
      <c r="AC490" s="105"/>
      <c r="AD490" s="105"/>
      <c r="AE490" s="105"/>
      <c r="AF490" s="158"/>
      <c r="AG490" s="105"/>
      <c r="AH490" s="158"/>
      <c r="AI490" s="88"/>
      <c r="AJ490" s="88"/>
      <c r="AK490" s="131"/>
      <c r="AL490" s="131"/>
      <c r="AM490" s="131"/>
      <c r="AN490" s="131"/>
      <c r="AO490" s="131"/>
      <c r="AP490" s="88"/>
    </row>
    <row r="491">
      <c r="A491" s="155"/>
      <c r="B491" s="173"/>
      <c r="C491" s="174"/>
      <c r="D491" s="173"/>
      <c r="E491" s="155"/>
      <c r="F491" s="155"/>
      <c r="G491" s="88"/>
      <c r="H491" s="155"/>
      <c r="I491" s="155"/>
      <c r="J491" s="155"/>
      <c r="K491" s="15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58"/>
      <c r="AA491" s="105"/>
      <c r="AB491" s="105"/>
      <c r="AC491" s="105"/>
      <c r="AD491" s="105"/>
      <c r="AE491" s="105"/>
      <c r="AF491" s="158"/>
      <c r="AG491" s="105"/>
      <c r="AH491" s="158"/>
      <c r="AI491" s="88"/>
      <c r="AJ491" s="88"/>
      <c r="AK491" s="131"/>
      <c r="AL491" s="131"/>
      <c r="AM491" s="131"/>
      <c r="AN491" s="131"/>
      <c r="AO491" s="131"/>
      <c r="AP491" s="88"/>
    </row>
    <row r="492">
      <c r="A492" s="155"/>
      <c r="B492" s="173"/>
      <c r="C492" s="174"/>
      <c r="D492" s="173"/>
      <c r="E492" s="155"/>
      <c r="F492" s="155"/>
      <c r="G492" s="88"/>
      <c r="H492" s="155"/>
      <c r="I492" s="155"/>
      <c r="J492" s="155"/>
      <c r="K492" s="15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58"/>
      <c r="AA492" s="105"/>
      <c r="AB492" s="105"/>
      <c r="AC492" s="105"/>
      <c r="AD492" s="105"/>
      <c r="AE492" s="105"/>
      <c r="AF492" s="158"/>
      <c r="AG492" s="105"/>
      <c r="AH492" s="158"/>
      <c r="AI492" s="88"/>
      <c r="AJ492" s="88"/>
      <c r="AK492" s="131"/>
      <c r="AL492" s="131"/>
      <c r="AM492" s="131"/>
      <c r="AN492" s="131"/>
      <c r="AO492" s="131"/>
      <c r="AP492" s="88"/>
    </row>
    <row r="493">
      <c r="A493" s="155"/>
      <c r="B493" s="173"/>
      <c r="C493" s="174"/>
      <c r="D493" s="173"/>
      <c r="E493" s="155"/>
      <c r="F493" s="155"/>
      <c r="G493" s="88"/>
      <c r="H493" s="155"/>
      <c r="I493" s="155"/>
      <c r="J493" s="155"/>
      <c r="K493" s="15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58"/>
      <c r="AA493" s="105"/>
      <c r="AB493" s="105"/>
      <c r="AC493" s="105"/>
      <c r="AD493" s="105"/>
      <c r="AE493" s="105"/>
      <c r="AF493" s="158"/>
      <c r="AG493" s="105"/>
      <c r="AH493" s="158"/>
      <c r="AI493" s="88"/>
      <c r="AJ493" s="88"/>
      <c r="AK493" s="131"/>
      <c r="AL493" s="131"/>
      <c r="AM493" s="131"/>
      <c r="AN493" s="131"/>
      <c r="AO493" s="131"/>
      <c r="AP493" s="88"/>
    </row>
    <row r="494">
      <c r="A494" s="155"/>
      <c r="B494" s="173"/>
      <c r="C494" s="174"/>
      <c r="D494" s="173"/>
      <c r="E494" s="155"/>
      <c r="F494" s="155"/>
      <c r="G494" s="88"/>
      <c r="H494" s="155"/>
      <c r="I494" s="155"/>
      <c r="J494" s="155"/>
      <c r="K494" s="15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58"/>
      <c r="AA494" s="105"/>
      <c r="AB494" s="105"/>
      <c r="AC494" s="105"/>
      <c r="AD494" s="105"/>
      <c r="AE494" s="105"/>
      <c r="AF494" s="158"/>
      <c r="AG494" s="105"/>
      <c r="AH494" s="158"/>
      <c r="AI494" s="88"/>
      <c r="AJ494" s="88"/>
      <c r="AK494" s="131"/>
      <c r="AL494" s="131"/>
      <c r="AM494" s="131"/>
      <c r="AN494" s="131"/>
      <c r="AO494" s="131"/>
      <c r="AP494" s="88"/>
    </row>
    <row r="495">
      <c r="A495" s="155"/>
      <c r="B495" s="173"/>
      <c r="C495" s="174"/>
      <c r="D495" s="173"/>
      <c r="E495" s="155"/>
      <c r="F495" s="155"/>
      <c r="G495" s="88"/>
      <c r="H495" s="155"/>
      <c r="I495" s="155"/>
      <c r="J495" s="155"/>
      <c r="K495" s="15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58"/>
      <c r="AA495" s="105"/>
      <c r="AB495" s="105"/>
      <c r="AC495" s="105"/>
      <c r="AD495" s="105"/>
      <c r="AE495" s="105"/>
      <c r="AF495" s="158"/>
      <c r="AG495" s="105"/>
      <c r="AH495" s="158"/>
      <c r="AI495" s="88"/>
      <c r="AJ495" s="88"/>
      <c r="AK495" s="131"/>
      <c r="AL495" s="131"/>
      <c r="AM495" s="131"/>
      <c r="AN495" s="131"/>
      <c r="AO495" s="131"/>
      <c r="AP495" s="88"/>
    </row>
    <row r="496">
      <c r="A496" s="155"/>
      <c r="B496" s="173"/>
      <c r="C496" s="174"/>
      <c r="D496" s="173"/>
      <c r="E496" s="155"/>
      <c r="F496" s="155"/>
      <c r="G496" s="88"/>
      <c r="H496" s="155"/>
      <c r="I496" s="155"/>
      <c r="J496" s="155"/>
      <c r="K496" s="15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58"/>
      <c r="AA496" s="105"/>
      <c r="AB496" s="105"/>
      <c r="AC496" s="105"/>
      <c r="AD496" s="105"/>
      <c r="AE496" s="105"/>
      <c r="AF496" s="158"/>
      <c r="AG496" s="105"/>
      <c r="AH496" s="158"/>
      <c r="AI496" s="88"/>
      <c r="AJ496" s="88"/>
      <c r="AK496" s="131"/>
      <c r="AL496" s="131"/>
      <c r="AM496" s="131"/>
      <c r="AN496" s="131"/>
      <c r="AO496" s="131"/>
      <c r="AP496" s="88"/>
    </row>
    <row r="497">
      <c r="A497" s="155"/>
      <c r="B497" s="173"/>
      <c r="C497" s="174"/>
      <c r="D497" s="173"/>
      <c r="E497" s="155"/>
      <c r="F497" s="155"/>
      <c r="G497" s="88"/>
      <c r="H497" s="155"/>
      <c r="I497" s="155"/>
      <c r="J497" s="155"/>
      <c r="K497" s="15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58"/>
      <c r="AA497" s="105"/>
      <c r="AB497" s="105"/>
      <c r="AC497" s="105"/>
      <c r="AD497" s="105"/>
      <c r="AE497" s="105"/>
      <c r="AF497" s="158"/>
      <c r="AG497" s="105"/>
      <c r="AH497" s="158"/>
      <c r="AI497" s="88"/>
      <c r="AJ497" s="88"/>
      <c r="AK497" s="131"/>
      <c r="AL497" s="131"/>
      <c r="AM497" s="131"/>
      <c r="AN497" s="131"/>
      <c r="AO497" s="131"/>
      <c r="AP497" s="88"/>
    </row>
    <row r="498">
      <c r="A498" s="155"/>
      <c r="B498" s="173"/>
      <c r="C498" s="174"/>
      <c r="D498" s="173"/>
      <c r="E498" s="155"/>
      <c r="F498" s="155"/>
      <c r="G498" s="88"/>
      <c r="H498" s="155"/>
      <c r="I498" s="155"/>
      <c r="J498" s="155"/>
      <c r="K498" s="15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58"/>
      <c r="AA498" s="105"/>
      <c r="AB498" s="105"/>
      <c r="AC498" s="105"/>
      <c r="AD498" s="105"/>
      <c r="AE498" s="105"/>
      <c r="AF498" s="158"/>
      <c r="AG498" s="105"/>
      <c r="AH498" s="158"/>
      <c r="AI498" s="88"/>
      <c r="AJ498" s="88"/>
      <c r="AK498" s="131"/>
      <c r="AL498" s="131"/>
      <c r="AM498" s="131"/>
      <c r="AN498" s="131"/>
      <c r="AO498" s="131"/>
      <c r="AP498" s="88"/>
    </row>
    <row r="499">
      <c r="A499" s="155"/>
      <c r="B499" s="173"/>
      <c r="C499" s="174"/>
      <c r="D499" s="173"/>
      <c r="E499" s="155"/>
      <c r="F499" s="155"/>
      <c r="G499" s="88"/>
      <c r="H499" s="155"/>
      <c r="I499" s="155"/>
      <c r="J499" s="155"/>
      <c r="K499" s="15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58"/>
      <c r="AA499" s="105"/>
      <c r="AB499" s="105"/>
      <c r="AC499" s="105"/>
      <c r="AD499" s="105"/>
      <c r="AE499" s="105"/>
      <c r="AF499" s="158"/>
      <c r="AG499" s="105"/>
      <c r="AH499" s="158"/>
      <c r="AI499" s="88"/>
      <c r="AJ499" s="88"/>
      <c r="AK499" s="131"/>
      <c r="AL499" s="131"/>
      <c r="AM499" s="131"/>
      <c r="AN499" s="131"/>
      <c r="AO499" s="131"/>
      <c r="AP499" s="88"/>
    </row>
    <row r="500">
      <c r="A500" s="155"/>
      <c r="B500" s="173"/>
      <c r="C500" s="174"/>
      <c r="D500" s="173"/>
      <c r="E500" s="155"/>
      <c r="F500" s="155"/>
      <c r="G500" s="88"/>
      <c r="H500" s="155"/>
      <c r="I500" s="155"/>
      <c r="J500" s="155"/>
      <c r="K500" s="15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58"/>
      <c r="AA500" s="105"/>
      <c r="AB500" s="105"/>
      <c r="AC500" s="105"/>
      <c r="AD500" s="105"/>
      <c r="AE500" s="105"/>
      <c r="AF500" s="158"/>
      <c r="AG500" s="105"/>
      <c r="AH500" s="158"/>
      <c r="AI500" s="88"/>
      <c r="AJ500" s="88"/>
      <c r="AK500" s="131"/>
      <c r="AL500" s="131"/>
      <c r="AM500" s="131"/>
      <c r="AN500" s="131"/>
      <c r="AO500" s="131"/>
      <c r="AP500" s="88"/>
    </row>
    <row r="501">
      <c r="A501" s="155"/>
      <c r="B501" s="173"/>
      <c r="C501" s="174"/>
      <c r="D501" s="173"/>
      <c r="E501" s="155"/>
      <c r="F501" s="155"/>
      <c r="G501" s="88"/>
      <c r="H501" s="155"/>
      <c r="I501" s="155"/>
      <c r="J501" s="155"/>
      <c r="K501" s="15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58"/>
      <c r="AA501" s="105"/>
      <c r="AB501" s="105"/>
      <c r="AC501" s="105"/>
      <c r="AD501" s="105"/>
      <c r="AE501" s="105"/>
      <c r="AF501" s="158"/>
      <c r="AG501" s="105"/>
      <c r="AH501" s="158"/>
      <c r="AI501" s="88"/>
      <c r="AJ501" s="88"/>
      <c r="AK501" s="131"/>
      <c r="AL501" s="131"/>
      <c r="AM501" s="131"/>
      <c r="AN501" s="131"/>
      <c r="AO501" s="131"/>
      <c r="AP501" s="88"/>
    </row>
    <row r="502">
      <c r="A502" s="155"/>
      <c r="B502" s="173"/>
      <c r="C502" s="174"/>
      <c r="D502" s="173"/>
      <c r="E502" s="155"/>
      <c r="F502" s="155"/>
      <c r="G502" s="88"/>
      <c r="H502" s="155"/>
      <c r="I502" s="155"/>
      <c r="J502" s="155"/>
      <c r="K502" s="15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58"/>
      <c r="AA502" s="105"/>
      <c r="AB502" s="105"/>
      <c r="AC502" s="105"/>
      <c r="AD502" s="105"/>
      <c r="AE502" s="105"/>
      <c r="AF502" s="158"/>
      <c r="AG502" s="105"/>
      <c r="AH502" s="158"/>
      <c r="AI502" s="88"/>
      <c r="AJ502" s="88"/>
      <c r="AK502" s="131"/>
      <c r="AL502" s="131"/>
      <c r="AM502" s="131"/>
      <c r="AN502" s="131"/>
      <c r="AO502" s="131"/>
      <c r="AP502" s="88"/>
    </row>
    <row r="503">
      <c r="A503" s="155"/>
      <c r="B503" s="173"/>
      <c r="C503" s="174"/>
      <c r="D503" s="173"/>
      <c r="E503" s="155"/>
      <c r="F503" s="155"/>
      <c r="G503" s="88"/>
      <c r="H503" s="155"/>
      <c r="I503" s="155"/>
      <c r="J503" s="155"/>
      <c r="K503" s="15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58"/>
      <c r="AA503" s="105"/>
      <c r="AB503" s="105"/>
      <c r="AC503" s="105"/>
      <c r="AD503" s="105"/>
      <c r="AE503" s="105"/>
      <c r="AF503" s="158"/>
      <c r="AG503" s="105"/>
      <c r="AH503" s="158"/>
      <c r="AI503" s="88"/>
      <c r="AJ503" s="88"/>
      <c r="AK503" s="131"/>
      <c r="AL503" s="131"/>
      <c r="AM503" s="131"/>
      <c r="AN503" s="131"/>
      <c r="AO503" s="131"/>
      <c r="AP503" s="88"/>
    </row>
    <row r="504">
      <c r="A504" s="155"/>
      <c r="B504" s="173"/>
      <c r="C504" s="174"/>
      <c r="D504" s="173"/>
      <c r="E504" s="155"/>
      <c r="F504" s="155"/>
      <c r="G504" s="88"/>
      <c r="H504" s="155"/>
      <c r="I504" s="155"/>
      <c r="J504" s="155"/>
      <c r="K504" s="15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58"/>
      <c r="AA504" s="105"/>
      <c r="AB504" s="105"/>
      <c r="AC504" s="105"/>
      <c r="AD504" s="105"/>
      <c r="AE504" s="105"/>
      <c r="AF504" s="158"/>
      <c r="AG504" s="105"/>
      <c r="AH504" s="158"/>
      <c r="AI504" s="88"/>
      <c r="AJ504" s="88"/>
      <c r="AK504" s="131"/>
      <c r="AL504" s="131"/>
      <c r="AM504" s="131"/>
      <c r="AN504" s="131"/>
      <c r="AO504" s="131"/>
      <c r="AP504" s="88"/>
    </row>
    <row r="505">
      <c r="A505" s="155"/>
      <c r="B505" s="173"/>
      <c r="C505" s="174"/>
      <c r="D505" s="173"/>
      <c r="E505" s="155"/>
      <c r="F505" s="155"/>
      <c r="G505" s="88"/>
      <c r="H505" s="155"/>
      <c r="I505" s="155"/>
      <c r="J505" s="155"/>
      <c r="K505" s="15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58"/>
      <c r="AA505" s="105"/>
      <c r="AB505" s="105"/>
      <c r="AC505" s="105"/>
      <c r="AD505" s="105"/>
      <c r="AE505" s="105"/>
      <c r="AF505" s="158"/>
      <c r="AG505" s="105"/>
      <c r="AH505" s="158"/>
      <c r="AI505" s="88"/>
      <c r="AJ505" s="88"/>
      <c r="AK505" s="131"/>
      <c r="AL505" s="131"/>
      <c r="AM505" s="131"/>
      <c r="AN505" s="131"/>
      <c r="AO505" s="131"/>
      <c r="AP505" s="88"/>
    </row>
    <row r="506">
      <c r="A506" s="155"/>
      <c r="B506" s="173"/>
      <c r="C506" s="174"/>
      <c r="D506" s="173"/>
      <c r="E506" s="155"/>
      <c r="F506" s="155"/>
      <c r="G506" s="88"/>
      <c r="H506" s="155"/>
      <c r="I506" s="155"/>
      <c r="J506" s="155"/>
      <c r="K506" s="15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58"/>
      <c r="AA506" s="105"/>
      <c r="AB506" s="105"/>
      <c r="AC506" s="105"/>
      <c r="AD506" s="105"/>
      <c r="AE506" s="105"/>
      <c r="AF506" s="158"/>
      <c r="AG506" s="105"/>
      <c r="AH506" s="158"/>
      <c r="AI506" s="88"/>
      <c r="AJ506" s="88"/>
      <c r="AK506" s="131"/>
      <c r="AL506" s="131"/>
      <c r="AM506" s="131"/>
      <c r="AN506" s="131"/>
      <c r="AO506" s="131"/>
      <c r="AP506" s="88"/>
    </row>
    <row r="507">
      <c r="A507" s="155"/>
      <c r="B507" s="173"/>
      <c r="C507" s="174"/>
      <c r="D507" s="173"/>
      <c r="E507" s="155"/>
      <c r="F507" s="155"/>
      <c r="G507" s="88"/>
      <c r="H507" s="155"/>
      <c r="I507" s="155"/>
      <c r="J507" s="155"/>
      <c r="K507" s="15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58"/>
      <c r="AA507" s="105"/>
      <c r="AB507" s="105"/>
      <c r="AC507" s="105"/>
      <c r="AD507" s="105"/>
      <c r="AE507" s="105"/>
      <c r="AF507" s="158"/>
      <c r="AG507" s="105"/>
      <c r="AH507" s="158"/>
      <c r="AI507" s="88"/>
      <c r="AJ507" s="88"/>
      <c r="AK507" s="131"/>
      <c r="AL507" s="131"/>
      <c r="AM507" s="131"/>
      <c r="AN507" s="131"/>
      <c r="AO507" s="131"/>
      <c r="AP507" s="88"/>
    </row>
    <row r="508">
      <c r="A508" s="155"/>
      <c r="B508" s="173"/>
      <c r="C508" s="174"/>
      <c r="D508" s="173"/>
      <c r="E508" s="155"/>
      <c r="F508" s="155"/>
      <c r="G508" s="88"/>
      <c r="H508" s="155"/>
      <c r="I508" s="155"/>
      <c r="J508" s="155"/>
      <c r="K508" s="15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58"/>
      <c r="AA508" s="105"/>
      <c r="AB508" s="105"/>
      <c r="AC508" s="105"/>
      <c r="AD508" s="105"/>
      <c r="AE508" s="105"/>
      <c r="AF508" s="158"/>
      <c r="AG508" s="105"/>
      <c r="AH508" s="158"/>
      <c r="AI508" s="88"/>
      <c r="AJ508" s="88"/>
      <c r="AK508" s="131"/>
      <c r="AL508" s="131"/>
      <c r="AM508" s="131"/>
      <c r="AN508" s="131"/>
      <c r="AO508" s="131"/>
      <c r="AP508" s="88"/>
    </row>
    <row r="509">
      <c r="A509" s="155"/>
      <c r="B509" s="173"/>
      <c r="C509" s="174"/>
      <c r="D509" s="173"/>
      <c r="E509" s="155"/>
      <c r="F509" s="155"/>
      <c r="G509" s="88"/>
      <c r="H509" s="155"/>
      <c r="I509" s="155"/>
      <c r="J509" s="155"/>
      <c r="K509" s="15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58"/>
      <c r="AA509" s="105"/>
      <c r="AB509" s="105"/>
      <c r="AC509" s="105"/>
      <c r="AD509" s="105"/>
      <c r="AE509" s="105"/>
      <c r="AF509" s="158"/>
      <c r="AG509" s="105"/>
      <c r="AH509" s="158"/>
      <c r="AI509" s="88"/>
      <c r="AJ509" s="88"/>
      <c r="AK509" s="131"/>
      <c r="AL509" s="131"/>
      <c r="AM509" s="131"/>
      <c r="AN509" s="131"/>
      <c r="AO509" s="131"/>
      <c r="AP509" s="88"/>
    </row>
    <row r="510">
      <c r="A510" s="155"/>
      <c r="B510" s="173"/>
      <c r="C510" s="174"/>
      <c r="D510" s="173"/>
      <c r="E510" s="155"/>
      <c r="F510" s="155"/>
      <c r="G510" s="88"/>
      <c r="H510" s="155"/>
      <c r="I510" s="155"/>
      <c r="J510" s="155"/>
      <c r="K510" s="15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58"/>
      <c r="AA510" s="105"/>
      <c r="AB510" s="105"/>
      <c r="AC510" s="105"/>
      <c r="AD510" s="105"/>
      <c r="AE510" s="105"/>
      <c r="AF510" s="158"/>
      <c r="AG510" s="105"/>
      <c r="AH510" s="158"/>
      <c r="AI510" s="88"/>
      <c r="AJ510" s="88"/>
      <c r="AK510" s="131"/>
      <c r="AL510" s="131"/>
      <c r="AM510" s="131"/>
      <c r="AN510" s="131"/>
      <c r="AO510" s="131"/>
      <c r="AP510" s="88"/>
    </row>
    <row r="511">
      <c r="A511" s="155"/>
      <c r="B511" s="173"/>
      <c r="C511" s="174"/>
      <c r="D511" s="173"/>
      <c r="E511" s="155"/>
      <c r="F511" s="155"/>
      <c r="G511" s="88"/>
      <c r="H511" s="155"/>
      <c r="I511" s="155"/>
      <c r="J511" s="155"/>
      <c r="K511" s="15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58"/>
      <c r="AA511" s="105"/>
      <c r="AB511" s="105"/>
      <c r="AC511" s="105"/>
      <c r="AD511" s="105"/>
      <c r="AE511" s="105"/>
      <c r="AF511" s="158"/>
      <c r="AG511" s="105"/>
      <c r="AH511" s="158"/>
      <c r="AI511" s="88"/>
      <c r="AJ511" s="88"/>
      <c r="AK511" s="131"/>
      <c r="AL511" s="131"/>
      <c r="AM511" s="131"/>
      <c r="AN511" s="131"/>
      <c r="AO511" s="131"/>
      <c r="AP511" s="88"/>
    </row>
    <row r="512">
      <c r="A512" s="155"/>
      <c r="B512" s="173"/>
      <c r="C512" s="174"/>
      <c r="D512" s="173"/>
      <c r="E512" s="155"/>
      <c r="F512" s="155"/>
      <c r="G512" s="88"/>
      <c r="H512" s="155"/>
      <c r="I512" s="155"/>
      <c r="J512" s="155"/>
      <c r="K512" s="15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58"/>
      <c r="AA512" s="105"/>
      <c r="AB512" s="105"/>
      <c r="AC512" s="105"/>
      <c r="AD512" s="105"/>
      <c r="AE512" s="105"/>
      <c r="AF512" s="158"/>
      <c r="AG512" s="105"/>
      <c r="AH512" s="158"/>
      <c r="AI512" s="88"/>
      <c r="AJ512" s="88"/>
      <c r="AK512" s="131"/>
      <c r="AL512" s="131"/>
      <c r="AM512" s="131"/>
      <c r="AN512" s="131"/>
      <c r="AO512" s="131"/>
      <c r="AP512" s="88"/>
    </row>
    <row r="513">
      <c r="A513" s="155"/>
      <c r="B513" s="173"/>
      <c r="C513" s="174"/>
      <c r="D513" s="173"/>
      <c r="E513" s="155"/>
      <c r="F513" s="155"/>
      <c r="G513" s="88"/>
      <c r="H513" s="155"/>
      <c r="I513" s="155"/>
      <c r="J513" s="155"/>
      <c r="K513" s="15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58"/>
      <c r="AA513" s="105"/>
      <c r="AB513" s="105"/>
      <c r="AC513" s="105"/>
      <c r="AD513" s="105"/>
      <c r="AE513" s="105"/>
      <c r="AF513" s="158"/>
      <c r="AG513" s="105"/>
      <c r="AH513" s="158"/>
      <c r="AI513" s="88"/>
      <c r="AJ513" s="88"/>
      <c r="AK513" s="131"/>
      <c r="AL513" s="131"/>
      <c r="AM513" s="131"/>
      <c r="AN513" s="131"/>
      <c r="AO513" s="131"/>
      <c r="AP513" s="88"/>
    </row>
    <row r="514">
      <c r="A514" s="155"/>
      <c r="B514" s="173"/>
      <c r="C514" s="174"/>
      <c r="D514" s="173"/>
      <c r="E514" s="155"/>
      <c r="F514" s="155"/>
      <c r="G514" s="88"/>
      <c r="H514" s="155"/>
      <c r="I514" s="155"/>
      <c r="J514" s="155"/>
      <c r="K514" s="15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58"/>
      <c r="AA514" s="105"/>
      <c r="AB514" s="105"/>
      <c r="AC514" s="105"/>
      <c r="AD514" s="105"/>
      <c r="AE514" s="105"/>
      <c r="AF514" s="158"/>
      <c r="AG514" s="105"/>
      <c r="AH514" s="158"/>
      <c r="AI514" s="88"/>
      <c r="AJ514" s="88"/>
      <c r="AK514" s="131"/>
      <c r="AL514" s="131"/>
      <c r="AM514" s="131"/>
      <c r="AN514" s="131"/>
      <c r="AO514" s="131"/>
      <c r="AP514" s="88"/>
    </row>
    <row r="515">
      <c r="A515" s="155"/>
      <c r="B515" s="173"/>
      <c r="C515" s="174"/>
      <c r="D515" s="173"/>
      <c r="E515" s="155"/>
      <c r="F515" s="155"/>
      <c r="G515" s="88"/>
      <c r="H515" s="155"/>
      <c r="I515" s="155"/>
      <c r="J515" s="155"/>
      <c r="K515" s="15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58"/>
      <c r="AA515" s="105"/>
      <c r="AB515" s="105"/>
      <c r="AC515" s="105"/>
      <c r="AD515" s="105"/>
      <c r="AE515" s="105"/>
      <c r="AF515" s="158"/>
      <c r="AG515" s="105"/>
      <c r="AH515" s="158"/>
      <c r="AI515" s="88"/>
      <c r="AJ515" s="88"/>
      <c r="AK515" s="131"/>
      <c r="AL515" s="131"/>
      <c r="AM515" s="131"/>
      <c r="AN515" s="131"/>
      <c r="AO515" s="131"/>
      <c r="AP515" s="88"/>
    </row>
    <row r="516">
      <c r="A516" s="155"/>
      <c r="B516" s="173"/>
      <c r="C516" s="174"/>
      <c r="D516" s="173"/>
      <c r="E516" s="155"/>
      <c r="F516" s="155"/>
      <c r="G516" s="88"/>
      <c r="H516" s="155"/>
      <c r="I516" s="155"/>
      <c r="J516" s="155"/>
      <c r="K516" s="15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58"/>
      <c r="AA516" s="105"/>
      <c r="AB516" s="105"/>
      <c r="AC516" s="105"/>
      <c r="AD516" s="105"/>
      <c r="AE516" s="105"/>
      <c r="AF516" s="158"/>
      <c r="AG516" s="105"/>
      <c r="AH516" s="158"/>
      <c r="AI516" s="88"/>
      <c r="AJ516" s="88"/>
      <c r="AK516" s="131"/>
      <c r="AL516" s="131"/>
      <c r="AM516" s="131"/>
      <c r="AN516" s="131"/>
      <c r="AO516" s="131"/>
      <c r="AP516" s="88"/>
    </row>
    <row r="517">
      <c r="A517" s="155"/>
      <c r="B517" s="173"/>
      <c r="C517" s="174"/>
      <c r="D517" s="173"/>
      <c r="E517" s="155"/>
      <c r="F517" s="155"/>
      <c r="G517" s="88"/>
      <c r="H517" s="155"/>
      <c r="I517" s="155"/>
      <c r="J517" s="155"/>
      <c r="K517" s="15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58"/>
      <c r="AA517" s="105"/>
      <c r="AB517" s="105"/>
      <c r="AC517" s="105"/>
      <c r="AD517" s="105"/>
      <c r="AE517" s="105"/>
      <c r="AF517" s="158"/>
      <c r="AG517" s="105"/>
      <c r="AH517" s="158"/>
      <c r="AI517" s="88"/>
      <c r="AJ517" s="88"/>
      <c r="AK517" s="131"/>
      <c r="AL517" s="131"/>
      <c r="AM517" s="131"/>
      <c r="AN517" s="131"/>
      <c r="AO517" s="131"/>
      <c r="AP517" s="88"/>
    </row>
    <row r="518">
      <c r="A518" s="155"/>
      <c r="B518" s="173"/>
      <c r="C518" s="174"/>
      <c r="D518" s="173"/>
      <c r="E518" s="155"/>
      <c r="F518" s="155"/>
      <c r="G518" s="88"/>
      <c r="H518" s="155"/>
      <c r="I518" s="155"/>
      <c r="J518" s="155"/>
      <c r="K518" s="15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58"/>
      <c r="AA518" s="105"/>
      <c r="AB518" s="105"/>
      <c r="AC518" s="105"/>
      <c r="AD518" s="105"/>
      <c r="AE518" s="105"/>
      <c r="AF518" s="158"/>
      <c r="AG518" s="105"/>
      <c r="AH518" s="158"/>
      <c r="AI518" s="88"/>
      <c r="AJ518" s="88"/>
      <c r="AK518" s="131"/>
      <c r="AL518" s="131"/>
      <c r="AM518" s="131"/>
      <c r="AN518" s="131"/>
      <c r="AO518" s="131"/>
      <c r="AP518" s="88"/>
    </row>
    <row r="519">
      <c r="A519" s="155"/>
      <c r="B519" s="173"/>
      <c r="C519" s="174"/>
      <c r="D519" s="173"/>
      <c r="E519" s="155"/>
      <c r="F519" s="155"/>
      <c r="G519" s="88"/>
      <c r="H519" s="155"/>
      <c r="I519" s="155"/>
      <c r="J519" s="155"/>
      <c r="K519" s="15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58"/>
      <c r="AA519" s="105"/>
      <c r="AB519" s="105"/>
      <c r="AC519" s="105"/>
      <c r="AD519" s="105"/>
      <c r="AE519" s="105"/>
      <c r="AF519" s="158"/>
      <c r="AG519" s="105"/>
      <c r="AH519" s="158"/>
      <c r="AI519" s="88"/>
      <c r="AJ519" s="88"/>
      <c r="AK519" s="131"/>
      <c r="AL519" s="131"/>
      <c r="AM519" s="131"/>
      <c r="AN519" s="131"/>
      <c r="AO519" s="131"/>
      <c r="AP519" s="88"/>
    </row>
    <row r="520">
      <c r="A520" s="155"/>
      <c r="B520" s="173"/>
      <c r="C520" s="174"/>
      <c r="D520" s="173"/>
      <c r="E520" s="155"/>
      <c r="F520" s="155"/>
      <c r="G520" s="88"/>
      <c r="H520" s="155"/>
      <c r="I520" s="155"/>
      <c r="J520" s="155"/>
      <c r="K520" s="15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58"/>
      <c r="AA520" s="105"/>
      <c r="AB520" s="105"/>
      <c r="AC520" s="105"/>
      <c r="AD520" s="105"/>
      <c r="AE520" s="105"/>
      <c r="AF520" s="158"/>
      <c r="AG520" s="105"/>
      <c r="AH520" s="158"/>
      <c r="AI520" s="88"/>
      <c r="AJ520" s="88"/>
      <c r="AK520" s="131"/>
      <c r="AL520" s="131"/>
      <c r="AM520" s="131"/>
      <c r="AN520" s="131"/>
      <c r="AO520" s="131"/>
      <c r="AP520" s="88"/>
    </row>
    <row r="521">
      <c r="A521" s="155"/>
      <c r="B521" s="173"/>
      <c r="C521" s="174"/>
      <c r="D521" s="173"/>
      <c r="E521" s="155"/>
      <c r="F521" s="155"/>
      <c r="G521" s="88"/>
      <c r="H521" s="155"/>
      <c r="I521" s="155"/>
      <c r="J521" s="155"/>
      <c r="K521" s="15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58"/>
      <c r="AA521" s="105"/>
      <c r="AB521" s="105"/>
      <c r="AC521" s="105"/>
      <c r="AD521" s="105"/>
      <c r="AE521" s="105"/>
      <c r="AF521" s="158"/>
      <c r="AG521" s="105"/>
      <c r="AH521" s="158"/>
      <c r="AI521" s="88"/>
      <c r="AJ521" s="88"/>
      <c r="AK521" s="131"/>
      <c r="AL521" s="131"/>
      <c r="AM521" s="131"/>
      <c r="AN521" s="131"/>
      <c r="AO521" s="131"/>
      <c r="AP521" s="88"/>
    </row>
    <row r="522">
      <c r="A522" s="155"/>
      <c r="B522" s="173"/>
      <c r="C522" s="174"/>
      <c r="D522" s="173"/>
      <c r="E522" s="155"/>
      <c r="F522" s="155"/>
      <c r="G522" s="88"/>
      <c r="H522" s="155"/>
      <c r="I522" s="155"/>
      <c r="J522" s="155"/>
      <c r="K522" s="15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58"/>
      <c r="AA522" s="105"/>
      <c r="AB522" s="105"/>
      <c r="AC522" s="105"/>
      <c r="AD522" s="105"/>
      <c r="AE522" s="105"/>
      <c r="AF522" s="158"/>
      <c r="AG522" s="105"/>
      <c r="AH522" s="158"/>
      <c r="AI522" s="88"/>
      <c r="AJ522" s="88"/>
      <c r="AK522" s="131"/>
      <c r="AL522" s="131"/>
      <c r="AM522" s="131"/>
      <c r="AN522" s="131"/>
      <c r="AO522" s="131"/>
      <c r="AP522" s="88"/>
    </row>
    <row r="523">
      <c r="A523" s="155"/>
      <c r="B523" s="173"/>
      <c r="C523" s="174"/>
      <c r="D523" s="173"/>
      <c r="E523" s="155"/>
      <c r="F523" s="155"/>
      <c r="G523" s="88"/>
      <c r="H523" s="155"/>
      <c r="I523" s="155"/>
      <c r="J523" s="155"/>
      <c r="K523" s="15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58"/>
      <c r="AA523" s="105"/>
      <c r="AB523" s="105"/>
      <c r="AC523" s="105"/>
      <c r="AD523" s="105"/>
      <c r="AE523" s="105"/>
      <c r="AF523" s="158"/>
      <c r="AG523" s="105"/>
      <c r="AH523" s="158"/>
      <c r="AI523" s="88"/>
      <c r="AJ523" s="88"/>
      <c r="AK523" s="131"/>
      <c r="AL523" s="131"/>
      <c r="AM523" s="131"/>
      <c r="AN523" s="131"/>
      <c r="AO523" s="131"/>
      <c r="AP523" s="88"/>
    </row>
    <row r="524">
      <c r="A524" s="155"/>
      <c r="B524" s="173"/>
      <c r="C524" s="174"/>
      <c r="D524" s="173"/>
      <c r="E524" s="155"/>
      <c r="F524" s="155"/>
      <c r="G524" s="88"/>
      <c r="H524" s="155"/>
      <c r="I524" s="155"/>
      <c r="J524" s="155"/>
      <c r="K524" s="15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58"/>
      <c r="AA524" s="105"/>
      <c r="AB524" s="105"/>
      <c r="AC524" s="105"/>
      <c r="AD524" s="105"/>
      <c r="AE524" s="105"/>
      <c r="AF524" s="158"/>
      <c r="AG524" s="105"/>
      <c r="AH524" s="158"/>
      <c r="AI524" s="88"/>
      <c r="AJ524" s="88"/>
      <c r="AK524" s="131"/>
      <c r="AL524" s="131"/>
      <c r="AM524" s="131"/>
      <c r="AN524" s="131"/>
      <c r="AO524" s="131"/>
      <c r="AP524" s="88"/>
    </row>
    <row r="525">
      <c r="A525" s="155"/>
      <c r="B525" s="173"/>
      <c r="C525" s="174"/>
      <c r="D525" s="173"/>
      <c r="E525" s="155"/>
      <c r="F525" s="155"/>
      <c r="G525" s="88"/>
      <c r="H525" s="155"/>
      <c r="I525" s="155"/>
      <c r="J525" s="155"/>
      <c r="K525" s="15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58"/>
      <c r="AA525" s="105"/>
      <c r="AB525" s="105"/>
      <c r="AC525" s="105"/>
      <c r="AD525" s="105"/>
      <c r="AE525" s="105"/>
      <c r="AF525" s="158"/>
      <c r="AG525" s="105"/>
      <c r="AH525" s="158"/>
      <c r="AI525" s="88"/>
      <c r="AJ525" s="88"/>
      <c r="AK525" s="131"/>
      <c r="AL525" s="131"/>
      <c r="AM525" s="131"/>
      <c r="AN525" s="131"/>
      <c r="AO525" s="131"/>
      <c r="AP525" s="88"/>
    </row>
    <row r="526">
      <c r="A526" s="155"/>
      <c r="B526" s="173"/>
      <c r="C526" s="174"/>
      <c r="D526" s="173"/>
      <c r="E526" s="155"/>
      <c r="F526" s="155"/>
      <c r="G526" s="88"/>
      <c r="H526" s="155"/>
      <c r="I526" s="155"/>
      <c r="J526" s="155"/>
      <c r="K526" s="15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58"/>
      <c r="AA526" s="105"/>
      <c r="AB526" s="105"/>
      <c r="AC526" s="105"/>
      <c r="AD526" s="105"/>
      <c r="AE526" s="105"/>
      <c r="AF526" s="158"/>
      <c r="AG526" s="105"/>
      <c r="AH526" s="158"/>
      <c r="AI526" s="88"/>
      <c r="AJ526" s="88"/>
      <c r="AK526" s="131"/>
      <c r="AL526" s="131"/>
      <c r="AM526" s="131"/>
      <c r="AN526" s="131"/>
      <c r="AO526" s="131"/>
      <c r="AP526" s="88"/>
    </row>
    <row r="527">
      <c r="A527" s="155"/>
      <c r="B527" s="173"/>
      <c r="C527" s="174"/>
      <c r="D527" s="173"/>
      <c r="E527" s="155"/>
      <c r="F527" s="155"/>
      <c r="G527" s="88"/>
      <c r="H527" s="155"/>
      <c r="I527" s="155"/>
      <c r="J527" s="155"/>
      <c r="K527" s="15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58"/>
      <c r="AA527" s="105"/>
      <c r="AB527" s="105"/>
      <c r="AC527" s="105"/>
      <c r="AD527" s="105"/>
      <c r="AE527" s="105"/>
      <c r="AF527" s="158"/>
      <c r="AG527" s="105"/>
      <c r="AH527" s="158"/>
      <c r="AI527" s="88"/>
      <c r="AJ527" s="88"/>
      <c r="AK527" s="131"/>
      <c r="AL527" s="131"/>
      <c r="AM527" s="131"/>
      <c r="AN527" s="131"/>
      <c r="AO527" s="131"/>
      <c r="AP527" s="88"/>
    </row>
    <row r="528">
      <c r="A528" s="155"/>
      <c r="B528" s="173"/>
      <c r="C528" s="174"/>
      <c r="D528" s="173"/>
      <c r="E528" s="155"/>
      <c r="F528" s="155"/>
      <c r="G528" s="88"/>
      <c r="H528" s="155"/>
      <c r="I528" s="155"/>
      <c r="J528" s="155"/>
      <c r="K528" s="15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58"/>
      <c r="AA528" s="105"/>
      <c r="AB528" s="105"/>
      <c r="AC528" s="105"/>
      <c r="AD528" s="105"/>
      <c r="AE528" s="105"/>
      <c r="AF528" s="158"/>
      <c r="AG528" s="105"/>
      <c r="AH528" s="158"/>
      <c r="AI528" s="88"/>
      <c r="AJ528" s="88"/>
      <c r="AK528" s="131"/>
      <c r="AL528" s="131"/>
      <c r="AM528" s="131"/>
      <c r="AN528" s="131"/>
      <c r="AO528" s="131"/>
      <c r="AP528" s="88"/>
    </row>
    <row r="529">
      <c r="A529" s="155"/>
      <c r="B529" s="173"/>
      <c r="C529" s="174"/>
      <c r="D529" s="173"/>
      <c r="E529" s="155"/>
      <c r="F529" s="155"/>
      <c r="G529" s="88"/>
      <c r="H529" s="155"/>
      <c r="I529" s="155"/>
      <c r="J529" s="155"/>
      <c r="K529" s="15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58"/>
      <c r="AA529" s="105"/>
      <c r="AB529" s="105"/>
      <c r="AC529" s="105"/>
      <c r="AD529" s="105"/>
      <c r="AE529" s="105"/>
      <c r="AF529" s="158"/>
      <c r="AG529" s="105"/>
      <c r="AH529" s="158"/>
      <c r="AI529" s="88"/>
      <c r="AJ529" s="88"/>
      <c r="AK529" s="131"/>
      <c r="AL529" s="131"/>
      <c r="AM529" s="131"/>
      <c r="AN529" s="131"/>
      <c r="AO529" s="131"/>
      <c r="AP529" s="88"/>
    </row>
    <row r="530">
      <c r="A530" s="155"/>
      <c r="B530" s="173"/>
      <c r="C530" s="174"/>
      <c r="D530" s="173"/>
      <c r="E530" s="155"/>
      <c r="F530" s="155"/>
      <c r="G530" s="88"/>
      <c r="H530" s="155"/>
      <c r="I530" s="155"/>
      <c r="J530" s="155"/>
      <c r="K530" s="15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58"/>
      <c r="AA530" s="105"/>
      <c r="AB530" s="105"/>
      <c r="AC530" s="105"/>
      <c r="AD530" s="105"/>
      <c r="AE530" s="105"/>
      <c r="AF530" s="158"/>
      <c r="AG530" s="105"/>
      <c r="AH530" s="158"/>
      <c r="AI530" s="88"/>
      <c r="AJ530" s="88"/>
      <c r="AK530" s="131"/>
      <c r="AL530" s="131"/>
      <c r="AM530" s="131"/>
      <c r="AN530" s="131"/>
      <c r="AO530" s="131"/>
      <c r="AP530" s="88"/>
    </row>
    <row r="531">
      <c r="A531" s="155"/>
      <c r="B531" s="173"/>
      <c r="C531" s="174"/>
      <c r="D531" s="173"/>
      <c r="E531" s="155"/>
      <c r="F531" s="155"/>
      <c r="G531" s="88"/>
      <c r="H531" s="155"/>
      <c r="I531" s="155"/>
      <c r="J531" s="155"/>
      <c r="K531" s="15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58"/>
      <c r="AA531" s="105"/>
      <c r="AB531" s="105"/>
      <c r="AC531" s="105"/>
      <c r="AD531" s="105"/>
      <c r="AE531" s="105"/>
      <c r="AF531" s="158"/>
      <c r="AG531" s="105"/>
      <c r="AH531" s="158"/>
      <c r="AI531" s="88"/>
      <c r="AJ531" s="88"/>
      <c r="AK531" s="131"/>
      <c r="AL531" s="131"/>
      <c r="AM531" s="131"/>
      <c r="AN531" s="131"/>
      <c r="AO531" s="131"/>
      <c r="AP531" s="88"/>
    </row>
    <row r="532">
      <c r="A532" s="155"/>
      <c r="B532" s="173"/>
      <c r="C532" s="174"/>
      <c r="D532" s="173"/>
      <c r="E532" s="155"/>
      <c r="F532" s="155"/>
      <c r="G532" s="88"/>
      <c r="H532" s="155"/>
      <c r="I532" s="155"/>
      <c r="J532" s="155"/>
      <c r="K532" s="15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58"/>
      <c r="AA532" s="105"/>
      <c r="AB532" s="105"/>
      <c r="AC532" s="105"/>
      <c r="AD532" s="105"/>
      <c r="AE532" s="105"/>
      <c r="AF532" s="158"/>
      <c r="AG532" s="105"/>
      <c r="AH532" s="158"/>
      <c r="AI532" s="88"/>
      <c r="AJ532" s="88"/>
      <c r="AK532" s="131"/>
      <c r="AL532" s="131"/>
      <c r="AM532" s="131"/>
      <c r="AN532" s="131"/>
      <c r="AO532" s="131"/>
      <c r="AP532" s="88"/>
    </row>
    <row r="533">
      <c r="A533" s="155"/>
      <c r="B533" s="173"/>
      <c r="C533" s="174"/>
      <c r="D533" s="173"/>
      <c r="E533" s="155"/>
      <c r="F533" s="155"/>
      <c r="G533" s="88"/>
      <c r="H533" s="155"/>
      <c r="I533" s="155"/>
      <c r="J533" s="155"/>
      <c r="K533" s="15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58"/>
      <c r="AA533" s="105"/>
      <c r="AB533" s="105"/>
      <c r="AC533" s="105"/>
      <c r="AD533" s="105"/>
      <c r="AE533" s="105"/>
      <c r="AF533" s="158"/>
      <c r="AG533" s="105"/>
      <c r="AH533" s="158"/>
      <c r="AI533" s="88"/>
      <c r="AJ533" s="88"/>
      <c r="AK533" s="131"/>
      <c r="AL533" s="131"/>
      <c r="AM533" s="131"/>
      <c r="AN533" s="131"/>
      <c r="AO533" s="131"/>
      <c r="AP533" s="88"/>
    </row>
    <row r="534">
      <c r="A534" s="155"/>
      <c r="B534" s="173"/>
      <c r="C534" s="174"/>
      <c r="D534" s="173"/>
      <c r="E534" s="155"/>
      <c r="F534" s="155"/>
      <c r="G534" s="88"/>
      <c r="H534" s="155"/>
      <c r="I534" s="155"/>
      <c r="J534" s="155"/>
      <c r="K534" s="15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58"/>
      <c r="AA534" s="105"/>
      <c r="AB534" s="105"/>
      <c r="AC534" s="105"/>
      <c r="AD534" s="105"/>
      <c r="AE534" s="105"/>
      <c r="AF534" s="158"/>
      <c r="AG534" s="105"/>
      <c r="AH534" s="158"/>
      <c r="AI534" s="88"/>
      <c r="AJ534" s="88"/>
      <c r="AK534" s="131"/>
      <c r="AL534" s="131"/>
      <c r="AM534" s="131"/>
      <c r="AN534" s="131"/>
      <c r="AO534" s="131"/>
      <c r="AP534" s="88"/>
    </row>
    <row r="535">
      <c r="A535" s="155"/>
      <c r="B535" s="173"/>
      <c r="C535" s="174"/>
      <c r="D535" s="173"/>
      <c r="E535" s="155"/>
      <c r="F535" s="155"/>
      <c r="G535" s="88"/>
      <c r="H535" s="155"/>
      <c r="I535" s="155"/>
      <c r="J535" s="155"/>
      <c r="K535" s="15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58"/>
      <c r="AA535" s="105"/>
      <c r="AB535" s="105"/>
      <c r="AC535" s="105"/>
      <c r="AD535" s="105"/>
      <c r="AE535" s="105"/>
      <c r="AF535" s="158"/>
      <c r="AG535" s="105"/>
      <c r="AH535" s="158"/>
      <c r="AI535" s="88"/>
      <c r="AJ535" s="88"/>
      <c r="AK535" s="131"/>
      <c r="AL535" s="131"/>
      <c r="AM535" s="131"/>
      <c r="AN535" s="131"/>
      <c r="AO535" s="131"/>
      <c r="AP535" s="88"/>
    </row>
    <row r="536">
      <c r="A536" s="155"/>
      <c r="B536" s="173"/>
      <c r="C536" s="174"/>
      <c r="D536" s="173"/>
      <c r="E536" s="155"/>
      <c r="F536" s="155"/>
      <c r="G536" s="88"/>
      <c r="H536" s="155"/>
      <c r="I536" s="155"/>
      <c r="J536" s="155"/>
      <c r="K536" s="15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58"/>
      <c r="AA536" s="105"/>
      <c r="AB536" s="105"/>
      <c r="AC536" s="105"/>
      <c r="AD536" s="105"/>
      <c r="AE536" s="105"/>
      <c r="AF536" s="158"/>
      <c r="AG536" s="105"/>
      <c r="AH536" s="158"/>
      <c r="AI536" s="88"/>
      <c r="AJ536" s="88"/>
      <c r="AK536" s="131"/>
      <c r="AL536" s="131"/>
      <c r="AM536" s="131"/>
      <c r="AN536" s="131"/>
      <c r="AO536" s="131"/>
      <c r="AP536" s="88"/>
    </row>
    <row r="537">
      <c r="A537" s="155"/>
      <c r="B537" s="173"/>
      <c r="C537" s="174"/>
      <c r="D537" s="173"/>
      <c r="E537" s="155"/>
      <c r="F537" s="155"/>
      <c r="G537" s="88"/>
      <c r="H537" s="155"/>
      <c r="I537" s="155"/>
      <c r="J537" s="155"/>
      <c r="K537" s="15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58"/>
      <c r="AA537" s="105"/>
      <c r="AB537" s="105"/>
      <c r="AC537" s="105"/>
      <c r="AD537" s="105"/>
      <c r="AE537" s="105"/>
      <c r="AF537" s="158"/>
      <c r="AG537" s="105"/>
      <c r="AH537" s="158"/>
      <c r="AI537" s="88"/>
      <c r="AJ537" s="88"/>
      <c r="AK537" s="131"/>
      <c r="AL537" s="131"/>
      <c r="AM537" s="131"/>
      <c r="AN537" s="131"/>
      <c r="AO537" s="131"/>
      <c r="AP537" s="88"/>
    </row>
    <row r="538">
      <c r="A538" s="155"/>
      <c r="B538" s="173"/>
      <c r="C538" s="174"/>
      <c r="D538" s="173"/>
      <c r="E538" s="155"/>
      <c r="F538" s="155"/>
      <c r="G538" s="88"/>
      <c r="H538" s="155"/>
      <c r="I538" s="155"/>
      <c r="J538" s="155"/>
      <c r="K538" s="15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58"/>
      <c r="AA538" s="105"/>
      <c r="AB538" s="105"/>
      <c r="AC538" s="105"/>
      <c r="AD538" s="105"/>
      <c r="AE538" s="105"/>
      <c r="AF538" s="158"/>
      <c r="AG538" s="105"/>
      <c r="AH538" s="158"/>
      <c r="AI538" s="88"/>
      <c r="AJ538" s="88"/>
      <c r="AK538" s="131"/>
      <c r="AL538" s="131"/>
      <c r="AM538" s="131"/>
      <c r="AN538" s="131"/>
      <c r="AO538" s="131"/>
      <c r="AP538" s="88"/>
    </row>
    <row r="539">
      <c r="A539" s="155"/>
      <c r="B539" s="173"/>
      <c r="C539" s="174"/>
      <c r="D539" s="173"/>
      <c r="E539" s="155"/>
      <c r="F539" s="155"/>
      <c r="G539" s="88"/>
      <c r="H539" s="155"/>
      <c r="I539" s="155"/>
      <c r="J539" s="155"/>
      <c r="K539" s="15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58"/>
      <c r="AA539" s="105"/>
      <c r="AB539" s="105"/>
      <c r="AC539" s="105"/>
      <c r="AD539" s="105"/>
      <c r="AE539" s="105"/>
      <c r="AF539" s="158"/>
      <c r="AG539" s="105"/>
      <c r="AH539" s="158"/>
      <c r="AI539" s="88"/>
      <c r="AJ539" s="88"/>
      <c r="AK539" s="131"/>
      <c r="AL539" s="131"/>
      <c r="AM539" s="131"/>
      <c r="AN539" s="131"/>
      <c r="AO539" s="131"/>
      <c r="AP539" s="88"/>
    </row>
    <row r="540">
      <c r="A540" s="155"/>
      <c r="B540" s="173"/>
      <c r="C540" s="174"/>
      <c r="D540" s="173"/>
      <c r="E540" s="155"/>
      <c r="F540" s="155"/>
      <c r="G540" s="88"/>
      <c r="H540" s="155"/>
      <c r="I540" s="155"/>
      <c r="J540" s="155"/>
      <c r="K540" s="15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58"/>
      <c r="AA540" s="105"/>
      <c r="AB540" s="105"/>
      <c r="AC540" s="105"/>
      <c r="AD540" s="105"/>
      <c r="AE540" s="105"/>
      <c r="AF540" s="158"/>
      <c r="AG540" s="105"/>
      <c r="AH540" s="158"/>
      <c r="AI540" s="88"/>
      <c r="AJ540" s="88"/>
      <c r="AK540" s="131"/>
      <c r="AL540" s="131"/>
      <c r="AM540" s="131"/>
      <c r="AN540" s="131"/>
      <c r="AO540" s="131"/>
      <c r="AP540" s="88"/>
    </row>
    <row r="541">
      <c r="A541" s="155"/>
      <c r="B541" s="173"/>
      <c r="C541" s="174"/>
      <c r="D541" s="173"/>
      <c r="E541" s="155"/>
      <c r="F541" s="155"/>
      <c r="G541" s="88"/>
      <c r="H541" s="155"/>
      <c r="I541" s="155"/>
      <c r="J541" s="155"/>
      <c r="K541" s="15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58"/>
      <c r="AA541" s="105"/>
      <c r="AB541" s="105"/>
      <c r="AC541" s="105"/>
      <c r="AD541" s="105"/>
      <c r="AE541" s="105"/>
      <c r="AF541" s="158"/>
      <c r="AG541" s="105"/>
      <c r="AH541" s="158"/>
      <c r="AI541" s="88"/>
      <c r="AJ541" s="88"/>
      <c r="AK541" s="131"/>
      <c r="AL541" s="131"/>
      <c r="AM541" s="131"/>
      <c r="AN541" s="131"/>
      <c r="AO541" s="131"/>
      <c r="AP541" s="88"/>
    </row>
    <row r="542">
      <c r="A542" s="155"/>
      <c r="B542" s="173"/>
      <c r="C542" s="174"/>
      <c r="D542" s="173"/>
      <c r="E542" s="155"/>
      <c r="F542" s="155"/>
      <c r="G542" s="88"/>
      <c r="H542" s="155"/>
      <c r="I542" s="155"/>
      <c r="J542" s="155"/>
      <c r="K542" s="15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58"/>
      <c r="AA542" s="105"/>
      <c r="AB542" s="105"/>
      <c r="AC542" s="105"/>
      <c r="AD542" s="105"/>
      <c r="AE542" s="105"/>
      <c r="AF542" s="158"/>
      <c r="AG542" s="105"/>
      <c r="AH542" s="158"/>
      <c r="AI542" s="88"/>
      <c r="AJ542" s="88"/>
      <c r="AK542" s="131"/>
      <c r="AL542" s="131"/>
      <c r="AM542" s="131"/>
      <c r="AN542" s="131"/>
      <c r="AO542" s="131"/>
      <c r="AP542" s="88"/>
    </row>
    <row r="543">
      <c r="A543" s="155"/>
      <c r="B543" s="173"/>
      <c r="C543" s="174"/>
      <c r="D543" s="173"/>
      <c r="E543" s="155"/>
      <c r="F543" s="155"/>
      <c r="G543" s="88"/>
      <c r="H543" s="155"/>
      <c r="I543" s="155"/>
      <c r="J543" s="155"/>
      <c r="K543" s="15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58"/>
      <c r="AA543" s="105"/>
      <c r="AB543" s="105"/>
      <c r="AC543" s="105"/>
      <c r="AD543" s="105"/>
      <c r="AE543" s="105"/>
      <c r="AF543" s="158"/>
      <c r="AG543" s="105"/>
      <c r="AH543" s="158"/>
      <c r="AI543" s="88"/>
      <c r="AJ543" s="88"/>
      <c r="AK543" s="131"/>
      <c r="AL543" s="131"/>
      <c r="AM543" s="131"/>
      <c r="AN543" s="131"/>
      <c r="AO543" s="131"/>
      <c r="AP543" s="88"/>
    </row>
    <row r="544">
      <c r="A544" s="155"/>
      <c r="B544" s="173"/>
      <c r="C544" s="174"/>
      <c r="D544" s="173"/>
      <c r="E544" s="155"/>
      <c r="F544" s="155"/>
      <c r="G544" s="88"/>
      <c r="H544" s="155"/>
      <c r="I544" s="155"/>
      <c r="J544" s="155"/>
      <c r="K544" s="15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58"/>
      <c r="AA544" s="105"/>
      <c r="AB544" s="105"/>
      <c r="AC544" s="105"/>
      <c r="AD544" s="105"/>
      <c r="AE544" s="105"/>
      <c r="AF544" s="158"/>
      <c r="AG544" s="105"/>
      <c r="AH544" s="158"/>
      <c r="AI544" s="88"/>
      <c r="AJ544" s="88"/>
      <c r="AK544" s="131"/>
      <c r="AL544" s="131"/>
      <c r="AM544" s="131"/>
      <c r="AN544" s="131"/>
      <c r="AO544" s="131"/>
      <c r="AP544" s="88"/>
    </row>
    <row r="545">
      <c r="A545" s="155"/>
      <c r="B545" s="173"/>
      <c r="C545" s="174"/>
      <c r="D545" s="173"/>
      <c r="E545" s="155"/>
      <c r="F545" s="155"/>
      <c r="G545" s="88"/>
      <c r="H545" s="155"/>
      <c r="I545" s="155"/>
      <c r="J545" s="155"/>
      <c r="K545" s="15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58"/>
      <c r="AA545" s="105"/>
      <c r="AB545" s="105"/>
      <c r="AC545" s="105"/>
      <c r="AD545" s="105"/>
      <c r="AE545" s="105"/>
      <c r="AF545" s="158"/>
      <c r="AG545" s="105"/>
      <c r="AH545" s="158"/>
      <c r="AI545" s="88"/>
      <c r="AJ545" s="88"/>
      <c r="AK545" s="131"/>
      <c r="AL545" s="131"/>
      <c r="AM545" s="131"/>
      <c r="AN545" s="131"/>
      <c r="AO545" s="131"/>
      <c r="AP545" s="88"/>
    </row>
    <row r="546">
      <c r="A546" s="155"/>
      <c r="B546" s="173"/>
      <c r="C546" s="174"/>
      <c r="D546" s="173"/>
      <c r="E546" s="155"/>
      <c r="F546" s="155"/>
      <c r="G546" s="88"/>
      <c r="H546" s="155"/>
      <c r="I546" s="155"/>
      <c r="J546" s="155"/>
      <c r="K546" s="15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58"/>
      <c r="AA546" s="105"/>
      <c r="AB546" s="105"/>
      <c r="AC546" s="105"/>
      <c r="AD546" s="105"/>
      <c r="AE546" s="105"/>
      <c r="AF546" s="158"/>
      <c r="AG546" s="105"/>
      <c r="AH546" s="158"/>
      <c r="AI546" s="88"/>
      <c r="AJ546" s="88"/>
      <c r="AK546" s="131"/>
      <c r="AL546" s="131"/>
      <c r="AM546" s="131"/>
      <c r="AN546" s="131"/>
      <c r="AO546" s="131"/>
      <c r="AP546" s="88"/>
    </row>
    <row r="547">
      <c r="A547" s="155"/>
      <c r="B547" s="173"/>
      <c r="C547" s="174"/>
      <c r="D547" s="173"/>
      <c r="E547" s="155"/>
      <c r="F547" s="155"/>
      <c r="G547" s="88"/>
      <c r="H547" s="155"/>
      <c r="I547" s="155"/>
      <c r="J547" s="155"/>
      <c r="K547" s="15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58"/>
      <c r="AA547" s="105"/>
      <c r="AB547" s="105"/>
      <c r="AC547" s="105"/>
      <c r="AD547" s="105"/>
      <c r="AE547" s="105"/>
      <c r="AF547" s="158"/>
      <c r="AG547" s="105"/>
      <c r="AH547" s="158"/>
      <c r="AI547" s="88"/>
      <c r="AJ547" s="88"/>
      <c r="AK547" s="131"/>
      <c r="AL547" s="131"/>
      <c r="AM547" s="131"/>
      <c r="AN547" s="131"/>
      <c r="AO547" s="131"/>
      <c r="AP547" s="88"/>
    </row>
    <row r="548">
      <c r="A548" s="155"/>
      <c r="B548" s="173"/>
      <c r="C548" s="174"/>
      <c r="D548" s="173"/>
      <c r="E548" s="155"/>
      <c r="F548" s="155"/>
      <c r="G548" s="88"/>
      <c r="H548" s="155"/>
      <c r="I548" s="155"/>
      <c r="J548" s="155"/>
      <c r="K548" s="15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58"/>
      <c r="AA548" s="105"/>
      <c r="AB548" s="105"/>
      <c r="AC548" s="105"/>
      <c r="AD548" s="105"/>
      <c r="AE548" s="105"/>
      <c r="AF548" s="158"/>
      <c r="AG548" s="105"/>
      <c r="AH548" s="158"/>
      <c r="AI548" s="88"/>
      <c r="AJ548" s="88"/>
      <c r="AK548" s="131"/>
      <c r="AL548" s="131"/>
      <c r="AM548" s="131"/>
      <c r="AN548" s="131"/>
      <c r="AO548" s="131"/>
      <c r="AP548" s="88"/>
    </row>
    <row r="549">
      <c r="A549" s="155"/>
      <c r="B549" s="173"/>
      <c r="C549" s="174"/>
      <c r="D549" s="173"/>
      <c r="E549" s="155"/>
      <c r="F549" s="155"/>
      <c r="G549" s="88"/>
      <c r="H549" s="155"/>
      <c r="I549" s="155"/>
      <c r="J549" s="155"/>
      <c r="K549" s="15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58"/>
      <c r="AA549" s="105"/>
      <c r="AB549" s="105"/>
      <c r="AC549" s="105"/>
      <c r="AD549" s="105"/>
      <c r="AE549" s="105"/>
      <c r="AF549" s="158"/>
      <c r="AG549" s="105"/>
      <c r="AH549" s="158"/>
      <c r="AI549" s="88"/>
      <c r="AJ549" s="88"/>
      <c r="AK549" s="131"/>
      <c r="AL549" s="131"/>
      <c r="AM549" s="131"/>
      <c r="AN549" s="131"/>
      <c r="AO549" s="131"/>
      <c r="AP549" s="88"/>
    </row>
    <row r="550">
      <c r="A550" s="155"/>
      <c r="B550" s="173"/>
      <c r="C550" s="174"/>
      <c r="D550" s="173"/>
      <c r="E550" s="155"/>
      <c r="F550" s="155"/>
      <c r="G550" s="88"/>
      <c r="H550" s="155"/>
      <c r="I550" s="155"/>
      <c r="J550" s="155"/>
      <c r="K550" s="15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58"/>
      <c r="AA550" s="105"/>
      <c r="AB550" s="105"/>
      <c r="AC550" s="105"/>
      <c r="AD550" s="105"/>
      <c r="AE550" s="105"/>
      <c r="AF550" s="158"/>
      <c r="AG550" s="105"/>
      <c r="AH550" s="158"/>
      <c r="AI550" s="88"/>
      <c r="AJ550" s="88"/>
      <c r="AK550" s="131"/>
      <c r="AL550" s="131"/>
      <c r="AM550" s="131"/>
      <c r="AN550" s="131"/>
      <c r="AO550" s="131"/>
      <c r="AP550" s="88"/>
    </row>
    <row r="551">
      <c r="A551" s="155"/>
      <c r="B551" s="173"/>
      <c r="C551" s="174"/>
      <c r="D551" s="173"/>
      <c r="E551" s="155"/>
      <c r="F551" s="155"/>
      <c r="G551" s="88"/>
      <c r="H551" s="155"/>
      <c r="I551" s="155"/>
      <c r="J551" s="155"/>
      <c r="K551" s="15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58"/>
      <c r="AA551" s="105"/>
      <c r="AB551" s="105"/>
      <c r="AC551" s="105"/>
      <c r="AD551" s="105"/>
      <c r="AE551" s="105"/>
      <c r="AF551" s="158"/>
      <c r="AG551" s="105"/>
      <c r="AH551" s="158"/>
      <c r="AI551" s="88"/>
      <c r="AJ551" s="88"/>
      <c r="AK551" s="131"/>
      <c r="AL551" s="131"/>
      <c r="AM551" s="131"/>
      <c r="AN551" s="131"/>
      <c r="AO551" s="131"/>
      <c r="AP551" s="88"/>
    </row>
    <row r="552">
      <c r="A552" s="155"/>
      <c r="B552" s="173"/>
      <c r="C552" s="174"/>
      <c r="D552" s="173"/>
      <c r="E552" s="155"/>
      <c r="F552" s="155"/>
      <c r="G552" s="88"/>
      <c r="H552" s="155"/>
      <c r="I552" s="155"/>
      <c r="J552" s="155"/>
      <c r="K552" s="15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58"/>
      <c r="AA552" s="105"/>
      <c r="AB552" s="105"/>
      <c r="AC552" s="105"/>
      <c r="AD552" s="105"/>
      <c r="AE552" s="105"/>
      <c r="AF552" s="158"/>
      <c r="AG552" s="105"/>
      <c r="AH552" s="158"/>
      <c r="AI552" s="88"/>
      <c r="AJ552" s="88"/>
      <c r="AK552" s="131"/>
      <c r="AL552" s="131"/>
      <c r="AM552" s="131"/>
      <c r="AN552" s="131"/>
      <c r="AO552" s="131"/>
      <c r="AP552" s="88"/>
    </row>
    <row r="553">
      <c r="A553" s="155"/>
      <c r="B553" s="173"/>
      <c r="C553" s="174"/>
      <c r="D553" s="173"/>
      <c r="E553" s="155"/>
      <c r="F553" s="155"/>
      <c r="G553" s="88"/>
      <c r="H553" s="155"/>
      <c r="I553" s="155"/>
      <c r="J553" s="155"/>
      <c r="K553" s="15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58"/>
      <c r="AA553" s="105"/>
      <c r="AB553" s="105"/>
      <c r="AC553" s="105"/>
      <c r="AD553" s="105"/>
      <c r="AE553" s="105"/>
      <c r="AF553" s="158"/>
      <c r="AG553" s="105"/>
      <c r="AH553" s="158"/>
      <c r="AI553" s="88"/>
      <c r="AJ553" s="88"/>
      <c r="AK553" s="131"/>
      <c r="AL553" s="131"/>
      <c r="AM553" s="131"/>
      <c r="AN553" s="131"/>
      <c r="AO553" s="131"/>
      <c r="AP553" s="88"/>
    </row>
    <row r="554">
      <c r="A554" s="155"/>
      <c r="B554" s="173"/>
      <c r="C554" s="174"/>
      <c r="D554" s="173"/>
      <c r="E554" s="155"/>
      <c r="F554" s="155"/>
      <c r="G554" s="88"/>
      <c r="H554" s="155"/>
      <c r="I554" s="155"/>
      <c r="J554" s="155"/>
      <c r="K554" s="15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58"/>
      <c r="AA554" s="105"/>
      <c r="AB554" s="105"/>
      <c r="AC554" s="105"/>
      <c r="AD554" s="105"/>
      <c r="AE554" s="105"/>
      <c r="AF554" s="158"/>
      <c r="AG554" s="105"/>
      <c r="AH554" s="158"/>
      <c r="AI554" s="88"/>
      <c r="AJ554" s="88"/>
      <c r="AK554" s="131"/>
      <c r="AL554" s="131"/>
      <c r="AM554" s="131"/>
      <c r="AN554" s="131"/>
      <c r="AO554" s="131"/>
      <c r="AP554" s="88"/>
    </row>
    <row r="555">
      <c r="A555" s="155"/>
      <c r="B555" s="173"/>
      <c r="C555" s="174"/>
      <c r="D555" s="173"/>
      <c r="E555" s="155"/>
      <c r="F555" s="155"/>
      <c r="G555" s="88"/>
      <c r="H555" s="155"/>
      <c r="I555" s="155"/>
      <c r="J555" s="155"/>
      <c r="K555" s="15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58"/>
      <c r="AA555" s="105"/>
      <c r="AB555" s="105"/>
      <c r="AC555" s="105"/>
      <c r="AD555" s="105"/>
      <c r="AE555" s="105"/>
      <c r="AF555" s="158"/>
      <c r="AG555" s="105"/>
      <c r="AH555" s="158"/>
      <c r="AI555" s="88"/>
      <c r="AJ555" s="88"/>
      <c r="AK555" s="131"/>
      <c r="AL555" s="131"/>
      <c r="AM555" s="131"/>
      <c r="AN555" s="131"/>
      <c r="AO555" s="131"/>
      <c r="AP555" s="88"/>
    </row>
    <row r="556">
      <c r="A556" s="155"/>
      <c r="B556" s="173"/>
      <c r="C556" s="174"/>
      <c r="D556" s="173"/>
      <c r="E556" s="155"/>
      <c r="F556" s="155"/>
      <c r="G556" s="88"/>
      <c r="H556" s="155"/>
      <c r="I556" s="155"/>
      <c r="J556" s="155"/>
      <c r="K556" s="15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58"/>
      <c r="AA556" s="105"/>
      <c r="AB556" s="105"/>
      <c r="AC556" s="105"/>
      <c r="AD556" s="105"/>
      <c r="AE556" s="105"/>
      <c r="AF556" s="158"/>
      <c r="AG556" s="105"/>
      <c r="AH556" s="158"/>
      <c r="AI556" s="88"/>
      <c r="AJ556" s="88"/>
      <c r="AK556" s="131"/>
      <c r="AL556" s="131"/>
      <c r="AM556" s="131"/>
      <c r="AN556" s="131"/>
      <c r="AO556" s="131"/>
      <c r="AP556" s="88"/>
    </row>
    <row r="557">
      <c r="A557" s="155"/>
      <c r="B557" s="173"/>
      <c r="C557" s="174"/>
      <c r="D557" s="173"/>
      <c r="E557" s="155"/>
      <c r="F557" s="155"/>
      <c r="G557" s="88"/>
      <c r="H557" s="155"/>
      <c r="I557" s="155"/>
      <c r="J557" s="155"/>
      <c r="K557" s="15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58"/>
      <c r="AA557" s="105"/>
      <c r="AB557" s="105"/>
      <c r="AC557" s="105"/>
      <c r="AD557" s="105"/>
      <c r="AE557" s="105"/>
      <c r="AF557" s="158"/>
      <c r="AG557" s="105"/>
      <c r="AH557" s="158"/>
      <c r="AI557" s="88"/>
      <c r="AJ557" s="88"/>
      <c r="AK557" s="131"/>
      <c r="AL557" s="131"/>
      <c r="AM557" s="131"/>
      <c r="AN557" s="131"/>
      <c r="AO557" s="131"/>
      <c r="AP557" s="88"/>
    </row>
    <row r="558">
      <c r="A558" s="155"/>
      <c r="B558" s="173"/>
      <c r="C558" s="174"/>
      <c r="D558" s="173"/>
      <c r="E558" s="155"/>
      <c r="F558" s="155"/>
      <c r="G558" s="88"/>
      <c r="H558" s="155"/>
      <c r="I558" s="155"/>
      <c r="J558" s="155"/>
      <c r="K558" s="15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58"/>
      <c r="AA558" s="105"/>
      <c r="AB558" s="105"/>
      <c r="AC558" s="105"/>
      <c r="AD558" s="105"/>
      <c r="AE558" s="105"/>
      <c r="AF558" s="158"/>
      <c r="AG558" s="105"/>
      <c r="AH558" s="158"/>
      <c r="AI558" s="88"/>
      <c r="AJ558" s="88"/>
      <c r="AK558" s="131"/>
      <c r="AL558" s="131"/>
      <c r="AM558" s="131"/>
      <c r="AN558" s="131"/>
      <c r="AO558" s="131"/>
      <c r="AP558" s="88"/>
    </row>
    <row r="559">
      <c r="A559" s="155"/>
      <c r="B559" s="173"/>
      <c r="C559" s="174"/>
      <c r="D559" s="173"/>
      <c r="E559" s="155"/>
      <c r="F559" s="155"/>
      <c r="G559" s="88"/>
      <c r="H559" s="155"/>
      <c r="I559" s="155"/>
      <c r="J559" s="155"/>
      <c r="K559" s="15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58"/>
      <c r="AA559" s="105"/>
      <c r="AB559" s="105"/>
      <c r="AC559" s="105"/>
      <c r="AD559" s="105"/>
      <c r="AE559" s="105"/>
      <c r="AF559" s="158"/>
      <c r="AG559" s="105"/>
      <c r="AH559" s="158"/>
      <c r="AI559" s="88"/>
      <c r="AJ559" s="88"/>
      <c r="AK559" s="131"/>
      <c r="AL559" s="131"/>
      <c r="AM559" s="131"/>
      <c r="AN559" s="131"/>
      <c r="AO559" s="131"/>
      <c r="AP559" s="88"/>
    </row>
    <row r="560">
      <c r="A560" s="155"/>
      <c r="B560" s="173"/>
      <c r="C560" s="174"/>
      <c r="D560" s="173"/>
      <c r="E560" s="155"/>
      <c r="F560" s="155"/>
      <c r="G560" s="88"/>
      <c r="H560" s="155"/>
      <c r="I560" s="155"/>
      <c r="J560" s="155"/>
      <c r="K560" s="15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58"/>
      <c r="AA560" s="105"/>
      <c r="AB560" s="105"/>
      <c r="AC560" s="105"/>
      <c r="AD560" s="105"/>
      <c r="AE560" s="105"/>
      <c r="AF560" s="158"/>
      <c r="AG560" s="105"/>
      <c r="AH560" s="158"/>
      <c r="AI560" s="88"/>
      <c r="AJ560" s="88"/>
      <c r="AK560" s="131"/>
      <c r="AL560" s="131"/>
      <c r="AM560" s="131"/>
      <c r="AN560" s="131"/>
      <c r="AO560" s="131"/>
      <c r="AP560" s="88"/>
    </row>
    <row r="561">
      <c r="A561" s="155"/>
      <c r="B561" s="173"/>
      <c r="C561" s="174"/>
      <c r="D561" s="173"/>
      <c r="E561" s="155"/>
      <c r="F561" s="155"/>
      <c r="G561" s="88"/>
      <c r="H561" s="155"/>
      <c r="I561" s="155"/>
      <c r="J561" s="155"/>
      <c r="K561" s="15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58"/>
      <c r="AA561" s="105"/>
      <c r="AB561" s="105"/>
      <c r="AC561" s="105"/>
      <c r="AD561" s="105"/>
      <c r="AE561" s="105"/>
      <c r="AF561" s="158"/>
      <c r="AG561" s="105"/>
      <c r="AH561" s="158"/>
      <c r="AI561" s="88"/>
      <c r="AJ561" s="88"/>
      <c r="AK561" s="131"/>
      <c r="AL561" s="131"/>
      <c r="AM561" s="131"/>
      <c r="AN561" s="131"/>
      <c r="AO561" s="131"/>
      <c r="AP561" s="88"/>
    </row>
    <row r="562">
      <c r="A562" s="155"/>
      <c r="B562" s="173"/>
      <c r="C562" s="174"/>
      <c r="D562" s="173"/>
      <c r="E562" s="155"/>
      <c r="F562" s="155"/>
      <c r="G562" s="88"/>
      <c r="H562" s="155"/>
      <c r="I562" s="155"/>
      <c r="J562" s="155"/>
      <c r="K562" s="15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58"/>
      <c r="AA562" s="105"/>
      <c r="AB562" s="105"/>
      <c r="AC562" s="105"/>
      <c r="AD562" s="105"/>
      <c r="AE562" s="105"/>
      <c r="AF562" s="158"/>
      <c r="AG562" s="105"/>
      <c r="AH562" s="158"/>
      <c r="AI562" s="88"/>
      <c r="AJ562" s="88"/>
      <c r="AK562" s="131"/>
      <c r="AL562" s="131"/>
      <c r="AM562" s="131"/>
      <c r="AN562" s="131"/>
      <c r="AO562" s="131"/>
      <c r="AP562" s="88"/>
    </row>
    <row r="563">
      <c r="A563" s="155"/>
      <c r="B563" s="173"/>
      <c r="C563" s="174"/>
      <c r="D563" s="173"/>
      <c r="E563" s="155"/>
      <c r="F563" s="155"/>
      <c r="G563" s="88"/>
      <c r="H563" s="155"/>
      <c r="I563" s="155"/>
      <c r="J563" s="155"/>
      <c r="K563" s="15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58"/>
      <c r="AA563" s="105"/>
      <c r="AB563" s="105"/>
      <c r="AC563" s="105"/>
      <c r="AD563" s="105"/>
      <c r="AE563" s="105"/>
      <c r="AF563" s="158"/>
      <c r="AG563" s="105"/>
      <c r="AH563" s="158"/>
      <c r="AI563" s="88"/>
      <c r="AJ563" s="88"/>
      <c r="AK563" s="131"/>
      <c r="AL563" s="131"/>
      <c r="AM563" s="131"/>
      <c r="AN563" s="131"/>
      <c r="AO563" s="131"/>
      <c r="AP563" s="88"/>
    </row>
    <row r="564">
      <c r="A564" s="155"/>
      <c r="B564" s="173"/>
      <c r="C564" s="174"/>
      <c r="D564" s="173"/>
      <c r="E564" s="155"/>
      <c r="F564" s="155"/>
      <c r="G564" s="88"/>
      <c r="H564" s="155"/>
      <c r="I564" s="155"/>
      <c r="J564" s="155"/>
      <c r="K564" s="15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58"/>
      <c r="AA564" s="105"/>
      <c r="AB564" s="105"/>
      <c r="AC564" s="105"/>
      <c r="AD564" s="105"/>
      <c r="AE564" s="105"/>
      <c r="AF564" s="158"/>
      <c r="AG564" s="105"/>
      <c r="AH564" s="158"/>
      <c r="AI564" s="88"/>
      <c r="AJ564" s="88"/>
      <c r="AK564" s="131"/>
      <c r="AL564" s="131"/>
      <c r="AM564" s="131"/>
      <c r="AN564" s="131"/>
      <c r="AO564" s="131"/>
      <c r="AP564" s="88"/>
    </row>
    <row r="565">
      <c r="A565" s="155"/>
      <c r="B565" s="173"/>
      <c r="C565" s="174"/>
      <c r="D565" s="173"/>
      <c r="E565" s="155"/>
      <c r="F565" s="155"/>
      <c r="G565" s="88"/>
      <c r="H565" s="155"/>
      <c r="I565" s="155"/>
      <c r="J565" s="155"/>
      <c r="K565" s="15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58"/>
      <c r="AA565" s="105"/>
      <c r="AB565" s="105"/>
      <c r="AC565" s="105"/>
      <c r="AD565" s="105"/>
      <c r="AE565" s="105"/>
      <c r="AF565" s="158"/>
      <c r="AG565" s="105"/>
      <c r="AH565" s="158"/>
      <c r="AI565" s="88"/>
      <c r="AJ565" s="88"/>
      <c r="AK565" s="131"/>
      <c r="AL565" s="131"/>
      <c r="AM565" s="131"/>
      <c r="AN565" s="131"/>
      <c r="AO565" s="131"/>
      <c r="AP565" s="88"/>
    </row>
    <row r="566">
      <c r="A566" s="155"/>
      <c r="B566" s="173"/>
      <c r="C566" s="174"/>
      <c r="D566" s="173"/>
      <c r="E566" s="155"/>
      <c r="F566" s="155"/>
      <c r="G566" s="88"/>
      <c r="H566" s="155"/>
      <c r="I566" s="155"/>
      <c r="J566" s="155"/>
      <c r="K566" s="15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58"/>
      <c r="AA566" s="105"/>
      <c r="AB566" s="105"/>
      <c r="AC566" s="105"/>
      <c r="AD566" s="105"/>
      <c r="AE566" s="105"/>
      <c r="AF566" s="158"/>
      <c r="AG566" s="105"/>
      <c r="AH566" s="158"/>
      <c r="AI566" s="88"/>
      <c r="AJ566" s="88"/>
      <c r="AK566" s="131"/>
      <c r="AL566" s="131"/>
      <c r="AM566" s="131"/>
      <c r="AN566" s="131"/>
      <c r="AO566" s="131"/>
      <c r="AP566" s="88"/>
    </row>
    <row r="567">
      <c r="A567" s="155"/>
      <c r="B567" s="173"/>
      <c r="C567" s="174"/>
      <c r="D567" s="173"/>
      <c r="E567" s="155"/>
      <c r="F567" s="155"/>
      <c r="G567" s="88"/>
      <c r="H567" s="155"/>
      <c r="I567" s="155"/>
      <c r="J567" s="155"/>
      <c r="K567" s="15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58"/>
      <c r="AA567" s="105"/>
      <c r="AB567" s="105"/>
      <c r="AC567" s="105"/>
      <c r="AD567" s="105"/>
      <c r="AE567" s="105"/>
      <c r="AF567" s="158"/>
      <c r="AG567" s="105"/>
      <c r="AH567" s="158"/>
      <c r="AI567" s="88"/>
      <c r="AJ567" s="88"/>
      <c r="AK567" s="131"/>
      <c r="AL567" s="131"/>
      <c r="AM567" s="131"/>
      <c r="AN567" s="131"/>
      <c r="AO567" s="131"/>
      <c r="AP567" s="88"/>
    </row>
    <row r="568">
      <c r="A568" s="155"/>
      <c r="B568" s="173"/>
      <c r="C568" s="174"/>
      <c r="D568" s="173"/>
      <c r="E568" s="155"/>
      <c r="F568" s="155"/>
      <c r="G568" s="88"/>
      <c r="H568" s="155"/>
      <c r="I568" s="155"/>
      <c r="J568" s="155"/>
      <c r="K568" s="15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58"/>
      <c r="AA568" s="105"/>
      <c r="AB568" s="105"/>
      <c r="AC568" s="105"/>
      <c r="AD568" s="105"/>
      <c r="AE568" s="105"/>
      <c r="AF568" s="158"/>
      <c r="AG568" s="105"/>
      <c r="AH568" s="158"/>
      <c r="AI568" s="88"/>
      <c r="AJ568" s="88"/>
      <c r="AK568" s="131"/>
      <c r="AL568" s="131"/>
      <c r="AM568" s="131"/>
      <c r="AN568" s="131"/>
      <c r="AO568" s="131"/>
      <c r="AP568" s="88"/>
    </row>
    <row r="569">
      <c r="A569" s="155"/>
      <c r="B569" s="173"/>
      <c r="C569" s="174"/>
      <c r="D569" s="173"/>
      <c r="E569" s="155"/>
      <c r="F569" s="155"/>
      <c r="G569" s="88"/>
      <c r="H569" s="155"/>
      <c r="I569" s="155"/>
      <c r="J569" s="155"/>
      <c r="K569" s="15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58"/>
      <c r="AA569" s="105"/>
      <c r="AB569" s="105"/>
      <c r="AC569" s="105"/>
      <c r="AD569" s="105"/>
      <c r="AE569" s="105"/>
      <c r="AF569" s="158"/>
      <c r="AG569" s="105"/>
      <c r="AH569" s="158"/>
      <c r="AI569" s="88"/>
      <c r="AJ569" s="88"/>
      <c r="AK569" s="131"/>
      <c r="AL569" s="131"/>
      <c r="AM569" s="131"/>
      <c r="AN569" s="131"/>
      <c r="AO569" s="131"/>
      <c r="AP569" s="88"/>
    </row>
    <row r="570">
      <c r="A570" s="155"/>
      <c r="B570" s="173"/>
      <c r="C570" s="174"/>
      <c r="D570" s="173"/>
      <c r="E570" s="155"/>
      <c r="F570" s="155"/>
      <c r="G570" s="88"/>
      <c r="H570" s="155"/>
      <c r="I570" s="155"/>
      <c r="J570" s="155"/>
      <c r="K570" s="15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58"/>
      <c r="AA570" s="105"/>
      <c r="AB570" s="105"/>
      <c r="AC570" s="105"/>
      <c r="AD570" s="105"/>
      <c r="AE570" s="105"/>
      <c r="AF570" s="158"/>
      <c r="AG570" s="105"/>
      <c r="AH570" s="158"/>
      <c r="AI570" s="88"/>
      <c r="AJ570" s="88"/>
      <c r="AK570" s="131"/>
      <c r="AL570" s="131"/>
      <c r="AM570" s="131"/>
      <c r="AN570" s="131"/>
      <c r="AO570" s="131"/>
      <c r="AP570" s="88"/>
    </row>
    <row r="571">
      <c r="A571" s="155"/>
      <c r="B571" s="173"/>
      <c r="C571" s="174"/>
      <c r="D571" s="173"/>
      <c r="E571" s="155"/>
      <c r="F571" s="155"/>
      <c r="G571" s="88"/>
      <c r="H571" s="155"/>
      <c r="I571" s="155"/>
      <c r="J571" s="155"/>
      <c r="K571" s="15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58"/>
      <c r="AA571" s="105"/>
      <c r="AB571" s="105"/>
      <c r="AC571" s="105"/>
      <c r="AD571" s="105"/>
      <c r="AE571" s="105"/>
      <c r="AF571" s="158"/>
      <c r="AG571" s="105"/>
      <c r="AH571" s="158"/>
      <c r="AI571" s="88"/>
      <c r="AJ571" s="88"/>
      <c r="AK571" s="131"/>
      <c r="AL571" s="131"/>
      <c r="AM571" s="131"/>
      <c r="AN571" s="131"/>
      <c r="AO571" s="131"/>
      <c r="AP571" s="88"/>
    </row>
    <row r="572">
      <c r="A572" s="155"/>
      <c r="B572" s="173"/>
      <c r="C572" s="174"/>
      <c r="D572" s="173"/>
      <c r="E572" s="155"/>
      <c r="F572" s="155"/>
      <c r="G572" s="88"/>
      <c r="H572" s="155"/>
      <c r="I572" s="155"/>
      <c r="J572" s="155"/>
      <c r="K572" s="15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58"/>
      <c r="AA572" s="105"/>
      <c r="AB572" s="105"/>
      <c r="AC572" s="105"/>
      <c r="AD572" s="105"/>
      <c r="AE572" s="105"/>
      <c r="AF572" s="158"/>
      <c r="AG572" s="105"/>
      <c r="AH572" s="158"/>
      <c r="AI572" s="88"/>
      <c r="AJ572" s="88"/>
      <c r="AK572" s="131"/>
      <c r="AL572" s="131"/>
      <c r="AM572" s="131"/>
      <c r="AN572" s="131"/>
      <c r="AO572" s="131"/>
      <c r="AP572" s="88"/>
    </row>
    <row r="573">
      <c r="A573" s="155"/>
      <c r="B573" s="173"/>
      <c r="C573" s="174"/>
      <c r="D573" s="173"/>
      <c r="E573" s="155"/>
      <c r="F573" s="155"/>
      <c r="G573" s="88"/>
      <c r="H573" s="155"/>
      <c r="I573" s="155"/>
      <c r="J573" s="155"/>
      <c r="K573" s="15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58"/>
      <c r="AA573" s="105"/>
      <c r="AB573" s="105"/>
      <c r="AC573" s="105"/>
      <c r="AD573" s="105"/>
      <c r="AE573" s="105"/>
      <c r="AF573" s="158"/>
      <c r="AG573" s="105"/>
      <c r="AH573" s="158"/>
      <c r="AI573" s="88"/>
      <c r="AJ573" s="88"/>
      <c r="AK573" s="131"/>
      <c r="AL573" s="131"/>
      <c r="AM573" s="131"/>
      <c r="AN573" s="131"/>
      <c r="AO573" s="131"/>
      <c r="AP573" s="88"/>
    </row>
    <row r="574">
      <c r="A574" s="155"/>
      <c r="B574" s="173"/>
      <c r="C574" s="174"/>
      <c r="D574" s="173"/>
      <c r="E574" s="155"/>
      <c r="F574" s="155"/>
      <c r="G574" s="88"/>
      <c r="H574" s="155"/>
      <c r="I574" s="155"/>
      <c r="J574" s="155"/>
      <c r="K574" s="15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58"/>
      <c r="AA574" s="105"/>
      <c r="AB574" s="105"/>
      <c r="AC574" s="105"/>
      <c r="AD574" s="105"/>
      <c r="AE574" s="105"/>
      <c r="AF574" s="158"/>
      <c r="AG574" s="105"/>
      <c r="AH574" s="158"/>
      <c r="AI574" s="88"/>
      <c r="AJ574" s="88"/>
      <c r="AK574" s="131"/>
      <c r="AL574" s="131"/>
      <c r="AM574" s="131"/>
      <c r="AN574" s="131"/>
      <c r="AO574" s="131"/>
      <c r="AP574" s="88"/>
    </row>
    <row r="575">
      <c r="A575" s="155"/>
      <c r="B575" s="173"/>
      <c r="C575" s="174"/>
      <c r="D575" s="173"/>
      <c r="E575" s="155"/>
      <c r="F575" s="155"/>
      <c r="G575" s="88"/>
      <c r="H575" s="155"/>
      <c r="I575" s="155"/>
      <c r="J575" s="155"/>
      <c r="K575" s="15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58"/>
      <c r="AA575" s="105"/>
      <c r="AB575" s="105"/>
      <c r="AC575" s="105"/>
      <c r="AD575" s="105"/>
      <c r="AE575" s="105"/>
      <c r="AF575" s="158"/>
      <c r="AG575" s="105"/>
      <c r="AH575" s="158"/>
      <c r="AI575" s="88"/>
      <c r="AJ575" s="88"/>
      <c r="AK575" s="131"/>
      <c r="AL575" s="131"/>
      <c r="AM575" s="131"/>
      <c r="AN575" s="131"/>
      <c r="AO575" s="131"/>
      <c r="AP575" s="88"/>
    </row>
    <row r="576">
      <c r="A576" s="155"/>
      <c r="B576" s="173"/>
      <c r="C576" s="174"/>
      <c r="D576" s="173"/>
      <c r="E576" s="155"/>
      <c r="F576" s="155"/>
      <c r="G576" s="88"/>
      <c r="H576" s="155"/>
      <c r="I576" s="155"/>
      <c r="J576" s="155"/>
      <c r="K576" s="15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58"/>
      <c r="AA576" s="105"/>
      <c r="AB576" s="105"/>
      <c r="AC576" s="105"/>
      <c r="AD576" s="105"/>
      <c r="AE576" s="105"/>
      <c r="AF576" s="158"/>
      <c r="AG576" s="105"/>
      <c r="AH576" s="158"/>
      <c r="AI576" s="88"/>
      <c r="AJ576" s="88"/>
      <c r="AK576" s="131"/>
      <c r="AL576" s="131"/>
      <c r="AM576" s="131"/>
      <c r="AN576" s="131"/>
      <c r="AO576" s="131"/>
      <c r="AP576" s="88"/>
    </row>
    <row r="577">
      <c r="A577" s="155"/>
      <c r="B577" s="173"/>
      <c r="C577" s="174"/>
      <c r="D577" s="173"/>
      <c r="E577" s="155"/>
      <c r="F577" s="155"/>
      <c r="G577" s="88"/>
      <c r="H577" s="155"/>
      <c r="I577" s="155"/>
      <c r="J577" s="155"/>
      <c r="K577" s="15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58"/>
      <c r="AA577" s="105"/>
      <c r="AB577" s="105"/>
      <c r="AC577" s="105"/>
      <c r="AD577" s="105"/>
      <c r="AE577" s="105"/>
      <c r="AF577" s="158"/>
      <c r="AG577" s="105"/>
      <c r="AH577" s="158"/>
      <c r="AI577" s="88"/>
      <c r="AJ577" s="88"/>
      <c r="AK577" s="131"/>
      <c r="AL577" s="131"/>
      <c r="AM577" s="131"/>
      <c r="AN577" s="131"/>
      <c r="AO577" s="131"/>
      <c r="AP577" s="88"/>
    </row>
    <row r="578">
      <c r="A578" s="155"/>
      <c r="B578" s="173"/>
      <c r="C578" s="174"/>
      <c r="D578" s="173"/>
      <c r="E578" s="155"/>
      <c r="F578" s="155"/>
      <c r="G578" s="88"/>
      <c r="H578" s="155"/>
      <c r="I578" s="155"/>
      <c r="J578" s="155"/>
      <c r="K578" s="15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58"/>
      <c r="AA578" s="105"/>
      <c r="AB578" s="105"/>
      <c r="AC578" s="105"/>
      <c r="AD578" s="105"/>
      <c r="AE578" s="105"/>
      <c r="AF578" s="158"/>
      <c r="AG578" s="105"/>
      <c r="AH578" s="158"/>
      <c r="AI578" s="88"/>
      <c r="AJ578" s="88"/>
      <c r="AK578" s="131"/>
      <c r="AL578" s="131"/>
      <c r="AM578" s="131"/>
      <c r="AN578" s="131"/>
      <c r="AO578" s="131"/>
      <c r="AP578" s="88"/>
    </row>
    <row r="579">
      <c r="A579" s="155"/>
      <c r="B579" s="173"/>
      <c r="C579" s="174"/>
      <c r="D579" s="173"/>
      <c r="E579" s="155"/>
      <c r="F579" s="155"/>
      <c r="G579" s="88"/>
      <c r="H579" s="155"/>
      <c r="I579" s="155"/>
      <c r="J579" s="155"/>
      <c r="K579" s="15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58"/>
      <c r="AA579" s="105"/>
      <c r="AB579" s="105"/>
      <c r="AC579" s="105"/>
      <c r="AD579" s="105"/>
      <c r="AE579" s="105"/>
      <c r="AF579" s="158"/>
      <c r="AG579" s="105"/>
      <c r="AH579" s="158"/>
      <c r="AI579" s="88"/>
      <c r="AJ579" s="88"/>
      <c r="AK579" s="131"/>
      <c r="AL579" s="131"/>
      <c r="AM579" s="131"/>
      <c r="AN579" s="131"/>
      <c r="AO579" s="131"/>
      <c r="AP579" s="88"/>
    </row>
    <row r="580">
      <c r="A580" s="155"/>
      <c r="B580" s="173"/>
      <c r="C580" s="174"/>
      <c r="D580" s="173"/>
      <c r="E580" s="155"/>
      <c r="F580" s="155"/>
      <c r="G580" s="88"/>
      <c r="H580" s="155"/>
      <c r="I580" s="155"/>
      <c r="J580" s="155"/>
      <c r="K580" s="15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58"/>
      <c r="AA580" s="105"/>
      <c r="AB580" s="105"/>
      <c r="AC580" s="105"/>
      <c r="AD580" s="105"/>
      <c r="AE580" s="105"/>
      <c r="AF580" s="158"/>
      <c r="AG580" s="105"/>
      <c r="AH580" s="158"/>
      <c r="AI580" s="88"/>
      <c r="AJ580" s="88"/>
      <c r="AK580" s="131"/>
      <c r="AL580" s="131"/>
      <c r="AM580" s="131"/>
      <c r="AN580" s="131"/>
      <c r="AO580" s="131"/>
      <c r="AP580" s="88"/>
    </row>
    <row r="581">
      <c r="A581" s="155"/>
      <c r="B581" s="173"/>
      <c r="C581" s="174"/>
      <c r="D581" s="173"/>
      <c r="E581" s="155"/>
      <c r="F581" s="155"/>
      <c r="G581" s="88"/>
      <c r="H581" s="155"/>
      <c r="I581" s="155"/>
      <c r="J581" s="155"/>
      <c r="K581" s="15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58"/>
      <c r="AA581" s="105"/>
      <c r="AB581" s="105"/>
      <c r="AC581" s="105"/>
      <c r="AD581" s="105"/>
      <c r="AE581" s="105"/>
      <c r="AF581" s="158"/>
      <c r="AG581" s="105"/>
      <c r="AH581" s="158"/>
      <c r="AI581" s="88"/>
      <c r="AJ581" s="88"/>
      <c r="AK581" s="131"/>
      <c r="AL581" s="131"/>
      <c r="AM581" s="131"/>
      <c r="AN581" s="131"/>
      <c r="AO581" s="131"/>
      <c r="AP581" s="88"/>
    </row>
    <row r="582">
      <c r="A582" s="155"/>
      <c r="B582" s="173"/>
      <c r="C582" s="174"/>
      <c r="D582" s="173"/>
      <c r="E582" s="155"/>
      <c r="F582" s="155"/>
      <c r="G582" s="88"/>
      <c r="H582" s="155"/>
      <c r="I582" s="155"/>
      <c r="J582" s="155"/>
      <c r="K582" s="15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58"/>
      <c r="AA582" s="105"/>
      <c r="AB582" s="105"/>
      <c r="AC582" s="105"/>
      <c r="AD582" s="105"/>
      <c r="AE582" s="105"/>
      <c r="AF582" s="158"/>
      <c r="AG582" s="105"/>
      <c r="AH582" s="158"/>
      <c r="AI582" s="88"/>
      <c r="AJ582" s="88"/>
      <c r="AK582" s="131"/>
      <c r="AL582" s="131"/>
      <c r="AM582" s="131"/>
      <c r="AN582" s="131"/>
      <c r="AO582" s="131"/>
      <c r="AP582" s="88"/>
    </row>
    <row r="583">
      <c r="A583" s="155"/>
      <c r="B583" s="173"/>
      <c r="C583" s="174"/>
      <c r="D583" s="173"/>
      <c r="E583" s="155"/>
      <c r="F583" s="155"/>
      <c r="G583" s="88"/>
      <c r="H583" s="155"/>
      <c r="I583" s="155"/>
      <c r="J583" s="155"/>
      <c r="K583" s="15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58"/>
      <c r="AA583" s="105"/>
      <c r="AB583" s="105"/>
      <c r="AC583" s="105"/>
      <c r="AD583" s="105"/>
      <c r="AE583" s="105"/>
      <c r="AF583" s="158"/>
      <c r="AG583" s="105"/>
      <c r="AH583" s="158"/>
      <c r="AI583" s="88"/>
      <c r="AJ583" s="88"/>
      <c r="AK583" s="131"/>
      <c r="AL583" s="131"/>
      <c r="AM583" s="131"/>
      <c r="AN583" s="131"/>
      <c r="AO583" s="131"/>
      <c r="AP583" s="88"/>
    </row>
    <row r="584">
      <c r="A584" s="155"/>
      <c r="B584" s="173"/>
      <c r="C584" s="174"/>
      <c r="D584" s="173"/>
      <c r="E584" s="155"/>
      <c r="F584" s="155"/>
      <c r="G584" s="88"/>
      <c r="H584" s="155"/>
      <c r="I584" s="155"/>
      <c r="J584" s="155"/>
      <c r="K584" s="15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58"/>
      <c r="AA584" s="105"/>
      <c r="AB584" s="105"/>
      <c r="AC584" s="105"/>
      <c r="AD584" s="105"/>
      <c r="AE584" s="105"/>
      <c r="AF584" s="158"/>
      <c r="AG584" s="105"/>
      <c r="AH584" s="158"/>
      <c r="AI584" s="88"/>
      <c r="AJ584" s="88"/>
      <c r="AK584" s="131"/>
      <c r="AL584" s="131"/>
      <c r="AM584" s="131"/>
      <c r="AN584" s="131"/>
      <c r="AO584" s="131"/>
      <c r="AP584" s="88"/>
    </row>
    <row r="585">
      <c r="A585" s="155"/>
      <c r="B585" s="173"/>
      <c r="C585" s="174"/>
      <c r="D585" s="173"/>
      <c r="E585" s="155"/>
      <c r="F585" s="155"/>
      <c r="G585" s="88"/>
      <c r="H585" s="155"/>
      <c r="I585" s="155"/>
      <c r="J585" s="155"/>
      <c r="K585" s="15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58"/>
      <c r="AA585" s="105"/>
      <c r="AB585" s="105"/>
      <c r="AC585" s="105"/>
      <c r="AD585" s="105"/>
      <c r="AE585" s="105"/>
      <c r="AF585" s="158"/>
      <c r="AG585" s="105"/>
      <c r="AH585" s="158"/>
      <c r="AI585" s="88"/>
      <c r="AJ585" s="88"/>
      <c r="AK585" s="131"/>
      <c r="AL585" s="131"/>
      <c r="AM585" s="131"/>
      <c r="AN585" s="131"/>
      <c r="AO585" s="131"/>
      <c r="AP585" s="88"/>
    </row>
    <row r="586">
      <c r="A586" s="155"/>
      <c r="B586" s="173"/>
      <c r="C586" s="174"/>
      <c r="D586" s="173"/>
      <c r="E586" s="155"/>
      <c r="F586" s="155"/>
      <c r="G586" s="88"/>
      <c r="H586" s="155"/>
      <c r="I586" s="155"/>
      <c r="J586" s="155"/>
      <c r="K586" s="15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58"/>
      <c r="AA586" s="105"/>
      <c r="AB586" s="105"/>
      <c r="AC586" s="105"/>
      <c r="AD586" s="105"/>
      <c r="AE586" s="105"/>
      <c r="AF586" s="158"/>
      <c r="AG586" s="105"/>
      <c r="AH586" s="158"/>
      <c r="AI586" s="88"/>
      <c r="AJ586" s="88"/>
      <c r="AK586" s="131"/>
      <c r="AL586" s="131"/>
      <c r="AM586" s="131"/>
      <c r="AN586" s="131"/>
      <c r="AO586" s="131"/>
      <c r="AP586" s="88"/>
    </row>
    <row r="587">
      <c r="A587" s="155"/>
      <c r="B587" s="173"/>
      <c r="C587" s="174"/>
      <c r="D587" s="173"/>
      <c r="E587" s="155"/>
      <c r="F587" s="155"/>
      <c r="G587" s="88"/>
      <c r="H587" s="155"/>
      <c r="I587" s="155"/>
      <c r="J587" s="155"/>
      <c r="K587" s="15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58"/>
      <c r="AA587" s="105"/>
      <c r="AB587" s="105"/>
      <c r="AC587" s="105"/>
      <c r="AD587" s="105"/>
      <c r="AE587" s="105"/>
      <c r="AF587" s="158"/>
      <c r="AG587" s="105"/>
      <c r="AH587" s="158"/>
      <c r="AI587" s="88"/>
      <c r="AJ587" s="88"/>
      <c r="AK587" s="131"/>
      <c r="AL587" s="131"/>
      <c r="AM587" s="131"/>
      <c r="AN587" s="131"/>
      <c r="AO587" s="131"/>
      <c r="AP587" s="88"/>
    </row>
    <row r="588">
      <c r="A588" s="155"/>
      <c r="B588" s="173"/>
      <c r="C588" s="174"/>
      <c r="D588" s="173"/>
      <c r="E588" s="155"/>
      <c r="F588" s="155"/>
      <c r="G588" s="88"/>
      <c r="H588" s="155"/>
      <c r="I588" s="155"/>
      <c r="J588" s="155"/>
      <c r="K588" s="15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58"/>
      <c r="AA588" s="105"/>
      <c r="AB588" s="105"/>
      <c r="AC588" s="105"/>
      <c r="AD588" s="105"/>
      <c r="AE588" s="105"/>
      <c r="AF588" s="158"/>
      <c r="AG588" s="105"/>
      <c r="AH588" s="158"/>
      <c r="AI588" s="88"/>
      <c r="AJ588" s="88"/>
      <c r="AK588" s="131"/>
      <c r="AL588" s="131"/>
      <c r="AM588" s="131"/>
      <c r="AN588" s="131"/>
      <c r="AO588" s="131"/>
      <c r="AP588" s="88"/>
    </row>
    <row r="589">
      <c r="A589" s="155"/>
      <c r="B589" s="173"/>
      <c r="C589" s="174"/>
      <c r="D589" s="173"/>
      <c r="E589" s="155"/>
      <c r="F589" s="155"/>
      <c r="G589" s="88"/>
      <c r="H589" s="155"/>
      <c r="I589" s="155"/>
      <c r="J589" s="155"/>
      <c r="K589" s="15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58"/>
      <c r="AA589" s="105"/>
      <c r="AB589" s="105"/>
      <c r="AC589" s="105"/>
      <c r="AD589" s="105"/>
      <c r="AE589" s="105"/>
      <c r="AF589" s="158"/>
      <c r="AG589" s="105"/>
      <c r="AH589" s="158"/>
      <c r="AI589" s="88"/>
      <c r="AJ589" s="88"/>
      <c r="AK589" s="131"/>
      <c r="AL589" s="131"/>
      <c r="AM589" s="131"/>
      <c r="AN589" s="131"/>
      <c r="AO589" s="131"/>
      <c r="AP589" s="88"/>
    </row>
    <row r="590">
      <c r="A590" s="155"/>
      <c r="B590" s="173"/>
      <c r="C590" s="174"/>
      <c r="D590" s="173"/>
      <c r="E590" s="155"/>
      <c r="F590" s="155"/>
      <c r="G590" s="88"/>
      <c r="H590" s="155"/>
      <c r="I590" s="155"/>
      <c r="J590" s="155"/>
      <c r="K590" s="15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58"/>
      <c r="AA590" s="105"/>
      <c r="AB590" s="105"/>
      <c r="AC590" s="105"/>
      <c r="AD590" s="105"/>
      <c r="AE590" s="105"/>
      <c r="AF590" s="158"/>
      <c r="AG590" s="105"/>
      <c r="AH590" s="158"/>
      <c r="AI590" s="88"/>
      <c r="AJ590" s="88"/>
      <c r="AK590" s="131"/>
      <c r="AL590" s="131"/>
      <c r="AM590" s="131"/>
      <c r="AN590" s="131"/>
      <c r="AO590" s="131"/>
      <c r="AP590" s="88"/>
    </row>
    <row r="591">
      <c r="A591" s="155"/>
      <c r="B591" s="173"/>
      <c r="C591" s="174"/>
      <c r="D591" s="173"/>
      <c r="E591" s="155"/>
      <c r="F591" s="155"/>
      <c r="G591" s="88"/>
      <c r="H591" s="155"/>
      <c r="I591" s="155"/>
      <c r="J591" s="155"/>
      <c r="K591" s="15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58"/>
      <c r="AA591" s="105"/>
      <c r="AB591" s="105"/>
      <c r="AC591" s="105"/>
      <c r="AD591" s="105"/>
      <c r="AE591" s="105"/>
      <c r="AF591" s="158"/>
      <c r="AG591" s="105"/>
      <c r="AH591" s="158"/>
      <c r="AI591" s="88"/>
      <c r="AJ591" s="88"/>
      <c r="AK591" s="131"/>
      <c r="AL591" s="131"/>
      <c r="AM591" s="131"/>
      <c r="AN591" s="131"/>
      <c r="AO591" s="131"/>
      <c r="AP591" s="88"/>
    </row>
    <row r="592">
      <c r="A592" s="155"/>
      <c r="B592" s="173"/>
      <c r="C592" s="174"/>
      <c r="D592" s="173"/>
      <c r="E592" s="155"/>
      <c r="F592" s="155"/>
      <c r="G592" s="88"/>
      <c r="H592" s="155"/>
      <c r="I592" s="155"/>
      <c r="J592" s="155"/>
      <c r="K592" s="15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58"/>
      <c r="AA592" s="105"/>
      <c r="AB592" s="105"/>
      <c r="AC592" s="105"/>
      <c r="AD592" s="105"/>
      <c r="AE592" s="105"/>
      <c r="AF592" s="158"/>
      <c r="AG592" s="105"/>
      <c r="AH592" s="158"/>
      <c r="AI592" s="88"/>
      <c r="AJ592" s="88"/>
      <c r="AK592" s="131"/>
      <c r="AL592" s="131"/>
      <c r="AM592" s="131"/>
      <c r="AN592" s="131"/>
      <c r="AO592" s="131"/>
      <c r="AP592" s="88"/>
    </row>
    <row r="593">
      <c r="A593" s="155"/>
      <c r="B593" s="173"/>
      <c r="C593" s="174"/>
      <c r="D593" s="173"/>
      <c r="E593" s="155"/>
      <c r="F593" s="155"/>
      <c r="G593" s="88"/>
      <c r="H593" s="155"/>
      <c r="I593" s="155"/>
      <c r="J593" s="155"/>
      <c r="K593" s="15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58"/>
      <c r="AA593" s="105"/>
      <c r="AB593" s="105"/>
      <c r="AC593" s="105"/>
      <c r="AD593" s="105"/>
      <c r="AE593" s="105"/>
      <c r="AF593" s="158"/>
      <c r="AG593" s="105"/>
      <c r="AH593" s="158"/>
      <c r="AI593" s="88"/>
      <c r="AJ593" s="88"/>
      <c r="AK593" s="131"/>
      <c r="AL593" s="131"/>
      <c r="AM593" s="131"/>
      <c r="AN593" s="131"/>
      <c r="AO593" s="131"/>
      <c r="AP593" s="88"/>
    </row>
    <row r="594">
      <c r="A594" s="155"/>
      <c r="B594" s="173"/>
      <c r="C594" s="174"/>
      <c r="D594" s="173"/>
      <c r="E594" s="155"/>
      <c r="F594" s="155"/>
      <c r="G594" s="88"/>
      <c r="H594" s="155"/>
      <c r="I594" s="155"/>
      <c r="J594" s="155"/>
      <c r="K594" s="15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58"/>
      <c r="AA594" s="105"/>
      <c r="AB594" s="105"/>
      <c r="AC594" s="105"/>
      <c r="AD594" s="105"/>
      <c r="AE594" s="105"/>
      <c r="AF594" s="158"/>
      <c r="AG594" s="105"/>
      <c r="AH594" s="158"/>
      <c r="AI594" s="88"/>
      <c r="AJ594" s="88"/>
      <c r="AK594" s="131"/>
      <c r="AL594" s="131"/>
      <c r="AM594" s="131"/>
      <c r="AN594" s="131"/>
      <c r="AO594" s="131"/>
      <c r="AP594" s="88"/>
    </row>
    <row r="595">
      <c r="A595" s="155"/>
      <c r="B595" s="173"/>
      <c r="C595" s="174"/>
      <c r="D595" s="173"/>
      <c r="E595" s="155"/>
      <c r="F595" s="155"/>
      <c r="G595" s="88"/>
      <c r="H595" s="155"/>
      <c r="I595" s="155"/>
      <c r="J595" s="155"/>
      <c r="K595" s="15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58"/>
      <c r="AA595" s="105"/>
      <c r="AB595" s="105"/>
      <c r="AC595" s="105"/>
      <c r="AD595" s="105"/>
      <c r="AE595" s="105"/>
      <c r="AF595" s="158"/>
      <c r="AG595" s="105"/>
      <c r="AH595" s="158"/>
      <c r="AI595" s="88"/>
      <c r="AJ595" s="88"/>
      <c r="AK595" s="131"/>
      <c r="AL595" s="131"/>
      <c r="AM595" s="131"/>
      <c r="AN595" s="131"/>
      <c r="AO595" s="131"/>
      <c r="AP595" s="88"/>
    </row>
    <row r="596">
      <c r="A596" s="155"/>
      <c r="B596" s="173"/>
      <c r="C596" s="174"/>
      <c r="D596" s="173"/>
      <c r="E596" s="155"/>
      <c r="F596" s="155"/>
      <c r="G596" s="88"/>
      <c r="H596" s="155"/>
      <c r="I596" s="155"/>
      <c r="J596" s="155"/>
      <c r="K596" s="15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58"/>
      <c r="AA596" s="105"/>
      <c r="AB596" s="105"/>
      <c r="AC596" s="105"/>
      <c r="AD596" s="105"/>
      <c r="AE596" s="105"/>
      <c r="AF596" s="158"/>
      <c r="AG596" s="105"/>
      <c r="AH596" s="158"/>
      <c r="AI596" s="88"/>
      <c r="AJ596" s="88"/>
      <c r="AK596" s="131"/>
      <c r="AL596" s="131"/>
      <c r="AM596" s="131"/>
      <c r="AN596" s="131"/>
      <c r="AO596" s="131"/>
      <c r="AP596" s="88"/>
    </row>
    <row r="597">
      <c r="A597" s="155"/>
      <c r="B597" s="173"/>
      <c r="C597" s="174"/>
      <c r="D597" s="173"/>
      <c r="E597" s="155"/>
      <c r="F597" s="155"/>
      <c r="G597" s="88"/>
      <c r="H597" s="155"/>
      <c r="I597" s="155"/>
      <c r="J597" s="155"/>
      <c r="K597" s="15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58"/>
      <c r="AA597" s="105"/>
      <c r="AB597" s="105"/>
      <c r="AC597" s="105"/>
      <c r="AD597" s="105"/>
      <c r="AE597" s="105"/>
      <c r="AF597" s="158"/>
      <c r="AG597" s="105"/>
      <c r="AH597" s="158"/>
      <c r="AI597" s="88"/>
      <c r="AJ597" s="88"/>
      <c r="AK597" s="131"/>
      <c r="AL597" s="131"/>
      <c r="AM597" s="131"/>
      <c r="AN597" s="131"/>
      <c r="AO597" s="131"/>
      <c r="AP597" s="88"/>
    </row>
    <row r="598">
      <c r="A598" s="155"/>
      <c r="B598" s="173"/>
      <c r="C598" s="174"/>
      <c r="D598" s="173"/>
      <c r="E598" s="155"/>
      <c r="F598" s="155"/>
      <c r="G598" s="88"/>
      <c r="H598" s="155"/>
      <c r="I598" s="155"/>
      <c r="J598" s="155"/>
      <c r="K598" s="15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58"/>
      <c r="AA598" s="105"/>
      <c r="AB598" s="105"/>
      <c r="AC598" s="105"/>
      <c r="AD598" s="105"/>
      <c r="AE598" s="105"/>
      <c r="AF598" s="158"/>
      <c r="AG598" s="105"/>
      <c r="AH598" s="158"/>
      <c r="AI598" s="88"/>
      <c r="AJ598" s="88"/>
      <c r="AK598" s="131"/>
      <c r="AL598" s="131"/>
      <c r="AM598" s="131"/>
      <c r="AN598" s="131"/>
      <c r="AO598" s="131"/>
      <c r="AP598" s="88"/>
    </row>
    <row r="599">
      <c r="A599" s="155"/>
      <c r="B599" s="173"/>
      <c r="C599" s="174"/>
      <c r="D599" s="173"/>
      <c r="E599" s="155"/>
      <c r="F599" s="155"/>
      <c r="G599" s="88"/>
      <c r="H599" s="155"/>
      <c r="I599" s="155"/>
      <c r="J599" s="155"/>
      <c r="K599" s="15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58"/>
      <c r="AA599" s="105"/>
      <c r="AB599" s="105"/>
      <c r="AC599" s="105"/>
      <c r="AD599" s="105"/>
      <c r="AE599" s="105"/>
      <c r="AF599" s="158"/>
      <c r="AG599" s="105"/>
      <c r="AH599" s="158"/>
      <c r="AI599" s="88"/>
      <c r="AJ599" s="88"/>
      <c r="AK599" s="131"/>
      <c r="AL599" s="131"/>
      <c r="AM599" s="131"/>
      <c r="AN599" s="131"/>
      <c r="AO599" s="131"/>
      <c r="AP599" s="88"/>
    </row>
    <row r="600">
      <c r="A600" s="155"/>
      <c r="B600" s="173"/>
      <c r="C600" s="174"/>
      <c r="D600" s="173"/>
      <c r="E600" s="155"/>
      <c r="F600" s="155"/>
      <c r="G600" s="88"/>
      <c r="H600" s="155"/>
      <c r="I600" s="155"/>
      <c r="J600" s="155"/>
      <c r="K600" s="15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58"/>
      <c r="AA600" s="105"/>
      <c r="AB600" s="105"/>
      <c r="AC600" s="105"/>
      <c r="AD600" s="105"/>
      <c r="AE600" s="105"/>
      <c r="AF600" s="158"/>
      <c r="AG600" s="105"/>
      <c r="AH600" s="158"/>
      <c r="AI600" s="88"/>
      <c r="AJ600" s="88"/>
      <c r="AK600" s="131"/>
      <c r="AL600" s="131"/>
      <c r="AM600" s="131"/>
      <c r="AN600" s="131"/>
      <c r="AO600" s="131"/>
      <c r="AP600" s="88"/>
    </row>
    <row r="601">
      <c r="A601" s="155"/>
      <c r="B601" s="173"/>
      <c r="C601" s="174"/>
      <c r="D601" s="173"/>
      <c r="E601" s="155"/>
      <c r="F601" s="155"/>
      <c r="G601" s="88"/>
      <c r="H601" s="155"/>
      <c r="I601" s="155"/>
      <c r="J601" s="155"/>
      <c r="K601" s="15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58"/>
      <c r="AA601" s="105"/>
      <c r="AB601" s="105"/>
      <c r="AC601" s="105"/>
      <c r="AD601" s="105"/>
      <c r="AE601" s="105"/>
      <c r="AF601" s="158"/>
      <c r="AG601" s="105"/>
      <c r="AH601" s="158"/>
      <c r="AI601" s="88"/>
      <c r="AJ601" s="88"/>
      <c r="AK601" s="131"/>
      <c r="AL601" s="131"/>
      <c r="AM601" s="131"/>
      <c r="AN601" s="131"/>
      <c r="AO601" s="131"/>
      <c r="AP601" s="88"/>
    </row>
    <row r="602">
      <c r="A602" s="155"/>
      <c r="B602" s="173"/>
      <c r="C602" s="174"/>
      <c r="D602" s="173"/>
      <c r="E602" s="155"/>
      <c r="F602" s="155"/>
      <c r="G602" s="88"/>
      <c r="H602" s="155"/>
      <c r="I602" s="155"/>
      <c r="J602" s="155"/>
      <c r="K602" s="15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58"/>
      <c r="AA602" s="105"/>
      <c r="AB602" s="105"/>
      <c r="AC602" s="105"/>
      <c r="AD602" s="105"/>
      <c r="AE602" s="105"/>
      <c r="AF602" s="158"/>
      <c r="AG602" s="105"/>
      <c r="AH602" s="158"/>
      <c r="AI602" s="88"/>
      <c r="AJ602" s="88"/>
      <c r="AK602" s="131"/>
      <c r="AL602" s="131"/>
      <c r="AM602" s="131"/>
      <c r="AN602" s="131"/>
      <c r="AO602" s="131"/>
      <c r="AP602" s="88"/>
    </row>
    <row r="603">
      <c r="A603" s="155"/>
      <c r="B603" s="173"/>
      <c r="C603" s="174"/>
      <c r="D603" s="173"/>
      <c r="E603" s="155"/>
      <c r="F603" s="155"/>
      <c r="G603" s="88"/>
      <c r="H603" s="155"/>
      <c r="I603" s="155"/>
      <c r="J603" s="155"/>
      <c r="K603" s="15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58"/>
      <c r="AA603" s="105"/>
      <c r="AB603" s="105"/>
      <c r="AC603" s="105"/>
      <c r="AD603" s="105"/>
      <c r="AE603" s="105"/>
      <c r="AF603" s="158"/>
      <c r="AG603" s="105"/>
      <c r="AH603" s="158"/>
      <c r="AI603" s="88"/>
      <c r="AJ603" s="88"/>
      <c r="AK603" s="131"/>
      <c r="AL603" s="131"/>
      <c r="AM603" s="131"/>
      <c r="AN603" s="131"/>
      <c r="AO603" s="131"/>
      <c r="AP603" s="88"/>
    </row>
    <row r="604">
      <c r="A604" s="155"/>
      <c r="B604" s="173"/>
      <c r="C604" s="174"/>
      <c r="D604" s="173"/>
      <c r="E604" s="155"/>
      <c r="F604" s="155"/>
      <c r="G604" s="88"/>
      <c r="H604" s="155"/>
      <c r="I604" s="155"/>
      <c r="J604" s="155"/>
      <c r="K604" s="15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58"/>
      <c r="AA604" s="105"/>
      <c r="AB604" s="105"/>
      <c r="AC604" s="105"/>
      <c r="AD604" s="105"/>
      <c r="AE604" s="105"/>
      <c r="AF604" s="158"/>
      <c r="AG604" s="105"/>
      <c r="AH604" s="158"/>
      <c r="AI604" s="88"/>
      <c r="AJ604" s="88"/>
      <c r="AK604" s="131"/>
      <c r="AL604" s="131"/>
      <c r="AM604" s="131"/>
      <c r="AN604" s="131"/>
      <c r="AO604" s="131"/>
      <c r="AP604" s="88"/>
    </row>
    <row r="605">
      <c r="A605" s="155"/>
      <c r="B605" s="173"/>
      <c r="C605" s="174"/>
      <c r="D605" s="173"/>
      <c r="E605" s="155"/>
      <c r="F605" s="155"/>
      <c r="G605" s="88"/>
      <c r="H605" s="155"/>
      <c r="I605" s="155"/>
      <c r="J605" s="155"/>
      <c r="K605" s="15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58"/>
      <c r="AA605" s="105"/>
      <c r="AB605" s="105"/>
      <c r="AC605" s="105"/>
      <c r="AD605" s="105"/>
      <c r="AE605" s="105"/>
      <c r="AF605" s="158"/>
      <c r="AG605" s="105"/>
      <c r="AH605" s="158"/>
      <c r="AI605" s="88"/>
      <c r="AJ605" s="88"/>
      <c r="AK605" s="131"/>
      <c r="AL605" s="131"/>
      <c r="AM605" s="131"/>
      <c r="AN605" s="131"/>
      <c r="AO605" s="131"/>
      <c r="AP605" s="88"/>
    </row>
    <row r="606">
      <c r="A606" s="155"/>
      <c r="B606" s="173"/>
      <c r="C606" s="174"/>
      <c r="D606" s="173"/>
      <c r="E606" s="155"/>
      <c r="F606" s="155"/>
      <c r="G606" s="88"/>
      <c r="H606" s="155"/>
      <c r="I606" s="155"/>
      <c r="J606" s="155"/>
      <c r="K606" s="15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58"/>
      <c r="AA606" s="105"/>
      <c r="AB606" s="105"/>
      <c r="AC606" s="105"/>
      <c r="AD606" s="105"/>
      <c r="AE606" s="105"/>
      <c r="AF606" s="158"/>
      <c r="AG606" s="105"/>
      <c r="AH606" s="158"/>
      <c r="AI606" s="88"/>
      <c r="AJ606" s="88"/>
      <c r="AK606" s="131"/>
      <c r="AL606" s="131"/>
      <c r="AM606" s="131"/>
      <c r="AN606" s="131"/>
      <c r="AO606" s="131"/>
      <c r="AP606" s="88"/>
    </row>
    <row r="607">
      <c r="A607" s="155"/>
      <c r="B607" s="173"/>
      <c r="C607" s="174"/>
      <c r="D607" s="173"/>
      <c r="E607" s="155"/>
      <c r="F607" s="155"/>
      <c r="G607" s="88"/>
      <c r="H607" s="155"/>
      <c r="I607" s="155"/>
      <c r="J607" s="155"/>
      <c r="K607" s="15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58"/>
      <c r="AA607" s="105"/>
      <c r="AB607" s="105"/>
      <c r="AC607" s="105"/>
      <c r="AD607" s="105"/>
      <c r="AE607" s="105"/>
      <c r="AF607" s="158"/>
      <c r="AG607" s="105"/>
      <c r="AH607" s="158"/>
      <c r="AI607" s="88"/>
      <c r="AJ607" s="88"/>
      <c r="AK607" s="131"/>
      <c r="AL607" s="131"/>
      <c r="AM607" s="131"/>
      <c r="AN607" s="131"/>
      <c r="AO607" s="131"/>
      <c r="AP607" s="88"/>
    </row>
    <row r="608">
      <c r="A608" s="155"/>
      <c r="B608" s="173"/>
      <c r="C608" s="174"/>
      <c r="D608" s="173"/>
      <c r="E608" s="155"/>
      <c r="F608" s="155"/>
      <c r="G608" s="88"/>
      <c r="H608" s="155"/>
      <c r="I608" s="155"/>
      <c r="J608" s="155"/>
      <c r="K608" s="15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58"/>
      <c r="AA608" s="105"/>
      <c r="AB608" s="105"/>
      <c r="AC608" s="105"/>
      <c r="AD608" s="105"/>
      <c r="AE608" s="105"/>
      <c r="AF608" s="158"/>
      <c r="AG608" s="105"/>
      <c r="AH608" s="158"/>
      <c r="AI608" s="88"/>
      <c r="AJ608" s="88"/>
      <c r="AK608" s="131"/>
      <c r="AL608" s="131"/>
      <c r="AM608" s="131"/>
      <c r="AN608" s="131"/>
      <c r="AO608" s="131"/>
      <c r="AP608" s="88"/>
    </row>
    <row r="609">
      <c r="A609" s="155"/>
      <c r="B609" s="173"/>
      <c r="C609" s="174"/>
      <c r="D609" s="173"/>
      <c r="E609" s="155"/>
      <c r="F609" s="155"/>
      <c r="G609" s="88"/>
      <c r="H609" s="155"/>
      <c r="I609" s="155"/>
      <c r="J609" s="155"/>
      <c r="K609" s="15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58"/>
      <c r="AA609" s="105"/>
      <c r="AB609" s="105"/>
      <c r="AC609" s="105"/>
      <c r="AD609" s="105"/>
      <c r="AE609" s="105"/>
      <c r="AF609" s="158"/>
      <c r="AG609" s="105"/>
      <c r="AH609" s="158"/>
      <c r="AI609" s="88"/>
      <c r="AJ609" s="88"/>
      <c r="AK609" s="131"/>
      <c r="AL609" s="131"/>
      <c r="AM609" s="131"/>
      <c r="AN609" s="131"/>
      <c r="AO609" s="131"/>
      <c r="AP609" s="88"/>
    </row>
    <row r="610">
      <c r="A610" s="155"/>
      <c r="B610" s="173"/>
      <c r="C610" s="174"/>
      <c r="D610" s="173"/>
      <c r="E610" s="155"/>
      <c r="F610" s="155"/>
      <c r="G610" s="88"/>
      <c r="H610" s="155"/>
      <c r="I610" s="155"/>
      <c r="J610" s="155"/>
      <c r="K610" s="15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58"/>
      <c r="AA610" s="105"/>
      <c r="AB610" s="105"/>
      <c r="AC610" s="105"/>
      <c r="AD610" s="105"/>
      <c r="AE610" s="105"/>
      <c r="AF610" s="158"/>
      <c r="AG610" s="105"/>
      <c r="AH610" s="158"/>
      <c r="AI610" s="88"/>
      <c r="AJ610" s="88"/>
      <c r="AK610" s="131"/>
      <c r="AL610" s="131"/>
      <c r="AM610" s="131"/>
      <c r="AN610" s="131"/>
      <c r="AO610" s="131"/>
      <c r="AP610" s="88"/>
    </row>
    <row r="611">
      <c r="A611" s="155"/>
      <c r="B611" s="173"/>
      <c r="C611" s="174"/>
      <c r="D611" s="173"/>
      <c r="E611" s="155"/>
      <c r="F611" s="155"/>
      <c r="G611" s="88"/>
      <c r="H611" s="155"/>
      <c r="I611" s="155"/>
      <c r="J611" s="155"/>
      <c r="K611" s="15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58"/>
      <c r="AA611" s="105"/>
      <c r="AB611" s="105"/>
      <c r="AC611" s="105"/>
      <c r="AD611" s="105"/>
      <c r="AE611" s="105"/>
      <c r="AF611" s="158"/>
      <c r="AG611" s="105"/>
      <c r="AH611" s="158"/>
      <c r="AI611" s="88"/>
      <c r="AJ611" s="88"/>
      <c r="AK611" s="131"/>
      <c r="AL611" s="131"/>
      <c r="AM611" s="131"/>
      <c r="AN611" s="131"/>
      <c r="AO611" s="131"/>
      <c r="AP611" s="88"/>
    </row>
    <row r="612">
      <c r="A612" s="155"/>
      <c r="B612" s="173"/>
      <c r="C612" s="174"/>
      <c r="D612" s="173"/>
      <c r="E612" s="155"/>
      <c r="F612" s="155"/>
      <c r="G612" s="88"/>
      <c r="H612" s="155"/>
      <c r="I612" s="155"/>
      <c r="J612" s="155"/>
      <c r="K612" s="15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58"/>
      <c r="AA612" s="105"/>
      <c r="AB612" s="105"/>
      <c r="AC612" s="105"/>
      <c r="AD612" s="105"/>
      <c r="AE612" s="105"/>
      <c r="AF612" s="158"/>
      <c r="AG612" s="105"/>
      <c r="AH612" s="158"/>
      <c r="AI612" s="88"/>
      <c r="AJ612" s="88"/>
      <c r="AK612" s="131"/>
      <c r="AL612" s="131"/>
      <c r="AM612" s="131"/>
      <c r="AN612" s="131"/>
      <c r="AO612" s="131"/>
      <c r="AP612" s="88"/>
    </row>
    <row r="613">
      <c r="A613" s="155"/>
      <c r="B613" s="173"/>
      <c r="C613" s="174"/>
      <c r="D613" s="173"/>
      <c r="E613" s="155"/>
      <c r="F613" s="155"/>
      <c r="G613" s="88"/>
      <c r="H613" s="155"/>
      <c r="I613" s="155"/>
      <c r="J613" s="155"/>
      <c r="K613" s="15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58"/>
      <c r="AA613" s="105"/>
      <c r="AB613" s="105"/>
      <c r="AC613" s="105"/>
      <c r="AD613" s="105"/>
      <c r="AE613" s="105"/>
      <c r="AF613" s="158"/>
      <c r="AG613" s="105"/>
      <c r="AH613" s="158"/>
      <c r="AI613" s="88"/>
      <c r="AJ613" s="88"/>
      <c r="AK613" s="131"/>
      <c r="AL613" s="131"/>
      <c r="AM613" s="131"/>
      <c r="AN613" s="131"/>
      <c r="AO613" s="131"/>
      <c r="AP613" s="88"/>
    </row>
    <row r="614">
      <c r="A614" s="155"/>
      <c r="B614" s="173"/>
      <c r="C614" s="174"/>
      <c r="D614" s="173"/>
      <c r="E614" s="155"/>
      <c r="F614" s="155"/>
      <c r="G614" s="88"/>
      <c r="H614" s="155"/>
      <c r="I614" s="155"/>
      <c r="J614" s="155"/>
      <c r="K614" s="15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58"/>
      <c r="AA614" s="105"/>
      <c r="AB614" s="105"/>
      <c r="AC614" s="105"/>
      <c r="AD614" s="105"/>
      <c r="AE614" s="105"/>
      <c r="AF614" s="158"/>
      <c r="AG614" s="105"/>
      <c r="AH614" s="158"/>
      <c r="AI614" s="88"/>
      <c r="AJ614" s="88"/>
      <c r="AK614" s="131"/>
      <c r="AL614" s="131"/>
      <c r="AM614" s="131"/>
      <c r="AN614" s="131"/>
      <c r="AO614" s="131"/>
      <c r="AP614" s="88"/>
    </row>
    <row r="615">
      <c r="A615" s="155"/>
      <c r="B615" s="173"/>
      <c r="C615" s="174"/>
      <c r="D615" s="173"/>
      <c r="E615" s="155"/>
      <c r="F615" s="155"/>
      <c r="G615" s="88"/>
      <c r="H615" s="155"/>
      <c r="I615" s="155"/>
      <c r="J615" s="155"/>
      <c r="K615" s="15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58"/>
      <c r="AA615" s="105"/>
      <c r="AB615" s="105"/>
      <c r="AC615" s="105"/>
      <c r="AD615" s="105"/>
      <c r="AE615" s="105"/>
      <c r="AF615" s="158"/>
      <c r="AG615" s="105"/>
      <c r="AH615" s="158"/>
      <c r="AI615" s="88"/>
      <c r="AJ615" s="88"/>
      <c r="AK615" s="131"/>
      <c r="AL615" s="131"/>
      <c r="AM615" s="131"/>
      <c r="AN615" s="131"/>
      <c r="AO615" s="131"/>
      <c r="AP615" s="88"/>
    </row>
    <row r="616">
      <c r="A616" s="155"/>
      <c r="B616" s="173"/>
      <c r="C616" s="174"/>
      <c r="D616" s="173"/>
      <c r="E616" s="155"/>
      <c r="F616" s="155"/>
      <c r="G616" s="88"/>
      <c r="H616" s="155"/>
      <c r="I616" s="155"/>
      <c r="J616" s="155"/>
      <c r="K616" s="15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58"/>
      <c r="AA616" s="105"/>
      <c r="AB616" s="105"/>
      <c r="AC616" s="105"/>
      <c r="AD616" s="105"/>
      <c r="AE616" s="105"/>
      <c r="AF616" s="158"/>
      <c r="AG616" s="105"/>
      <c r="AH616" s="158"/>
      <c r="AI616" s="88"/>
      <c r="AJ616" s="88"/>
      <c r="AK616" s="131"/>
      <c r="AL616" s="131"/>
      <c r="AM616" s="131"/>
      <c r="AN616" s="131"/>
      <c r="AO616" s="131"/>
      <c r="AP616" s="88"/>
    </row>
    <row r="617">
      <c r="A617" s="155"/>
      <c r="B617" s="173"/>
      <c r="C617" s="174"/>
      <c r="D617" s="173"/>
      <c r="E617" s="155"/>
      <c r="F617" s="155"/>
      <c r="G617" s="88"/>
      <c r="H617" s="155"/>
      <c r="I617" s="155"/>
      <c r="J617" s="155"/>
      <c r="K617" s="15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58"/>
      <c r="AA617" s="105"/>
      <c r="AB617" s="105"/>
      <c r="AC617" s="105"/>
      <c r="AD617" s="105"/>
      <c r="AE617" s="105"/>
      <c r="AF617" s="158"/>
      <c r="AG617" s="105"/>
      <c r="AH617" s="158"/>
      <c r="AI617" s="88"/>
      <c r="AJ617" s="88"/>
      <c r="AK617" s="131"/>
      <c r="AL617" s="131"/>
      <c r="AM617" s="131"/>
      <c r="AN617" s="131"/>
      <c r="AO617" s="131"/>
      <c r="AP617" s="88"/>
    </row>
    <row r="618">
      <c r="A618" s="155"/>
      <c r="B618" s="173"/>
      <c r="C618" s="174"/>
      <c r="D618" s="173"/>
      <c r="E618" s="155"/>
      <c r="F618" s="155"/>
      <c r="G618" s="88"/>
      <c r="H618" s="155"/>
      <c r="I618" s="155"/>
      <c r="J618" s="155"/>
      <c r="K618" s="15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58"/>
      <c r="AA618" s="105"/>
      <c r="AB618" s="105"/>
      <c r="AC618" s="105"/>
      <c r="AD618" s="105"/>
      <c r="AE618" s="105"/>
      <c r="AF618" s="158"/>
      <c r="AG618" s="105"/>
      <c r="AH618" s="158"/>
      <c r="AI618" s="88"/>
      <c r="AJ618" s="88"/>
      <c r="AK618" s="131"/>
      <c r="AL618" s="131"/>
      <c r="AM618" s="131"/>
      <c r="AN618" s="131"/>
      <c r="AO618" s="131"/>
      <c r="AP618" s="88"/>
    </row>
    <row r="619">
      <c r="A619" s="155"/>
      <c r="B619" s="173"/>
      <c r="C619" s="174"/>
      <c r="D619" s="173"/>
      <c r="E619" s="155"/>
      <c r="F619" s="155"/>
      <c r="G619" s="88"/>
      <c r="H619" s="155"/>
      <c r="I619" s="155"/>
      <c r="J619" s="155"/>
      <c r="K619" s="15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58"/>
      <c r="AA619" s="105"/>
      <c r="AB619" s="105"/>
      <c r="AC619" s="105"/>
      <c r="AD619" s="105"/>
      <c r="AE619" s="105"/>
      <c r="AF619" s="158"/>
      <c r="AG619" s="105"/>
      <c r="AH619" s="158"/>
      <c r="AI619" s="88"/>
      <c r="AJ619" s="88"/>
      <c r="AK619" s="131"/>
      <c r="AL619" s="131"/>
      <c r="AM619" s="131"/>
      <c r="AN619" s="131"/>
      <c r="AO619" s="131"/>
      <c r="AP619" s="88"/>
    </row>
    <row r="620">
      <c r="A620" s="155"/>
      <c r="B620" s="173"/>
      <c r="C620" s="174"/>
      <c r="D620" s="173"/>
      <c r="E620" s="155"/>
      <c r="F620" s="155"/>
      <c r="G620" s="88"/>
      <c r="H620" s="155"/>
      <c r="I620" s="155"/>
      <c r="J620" s="155"/>
      <c r="K620" s="15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58"/>
      <c r="AA620" s="105"/>
      <c r="AB620" s="105"/>
      <c r="AC620" s="105"/>
      <c r="AD620" s="105"/>
      <c r="AE620" s="105"/>
      <c r="AF620" s="158"/>
      <c r="AG620" s="105"/>
      <c r="AH620" s="158"/>
      <c r="AI620" s="88"/>
      <c r="AJ620" s="88"/>
      <c r="AK620" s="131"/>
      <c r="AL620" s="131"/>
      <c r="AM620" s="131"/>
      <c r="AN620" s="131"/>
      <c r="AO620" s="131"/>
      <c r="AP620" s="88"/>
    </row>
    <row r="621">
      <c r="A621" s="155"/>
      <c r="B621" s="173"/>
      <c r="C621" s="174"/>
      <c r="D621" s="173"/>
      <c r="E621" s="155"/>
      <c r="F621" s="155"/>
      <c r="G621" s="88"/>
      <c r="H621" s="155"/>
      <c r="I621" s="155"/>
      <c r="J621" s="155"/>
      <c r="K621" s="15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58"/>
      <c r="AA621" s="105"/>
      <c r="AB621" s="105"/>
      <c r="AC621" s="105"/>
      <c r="AD621" s="105"/>
      <c r="AE621" s="105"/>
      <c r="AF621" s="158"/>
      <c r="AG621" s="105"/>
      <c r="AH621" s="158"/>
      <c r="AI621" s="88"/>
      <c r="AJ621" s="88"/>
      <c r="AK621" s="131"/>
      <c r="AL621" s="131"/>
      <c r="AM621" s="131"/>
      <c r="AN621" s="131"/>
      <c r="AO621" s="131"/>
      <c r="AP621" s="88"/>
    </row>
    <row r="622">
      <c r="A622" s="155"/>
      <c r="B622" s="173"/>
      <c r="C622" s="174"/>
      <c r="D622" s="173"/>
      <c r="E622" s="155"/>
      <c r="F622" s="155"/>
      <c r="G622" s="88"/>
      <c r="H622" s="155"/>
      <c r="I622" s="155"/>
      <c r="J622" s="155"/>
      <c r="K622" s="15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58"/>
      <c r="AA622" s="105"/>
      <c r="AB622" s="105"/>
      <c r="AC622" s="105"/>
      <c r="AD622" s="105"/>
      <c r="AE622" s="105"/>
      <c r="AF622" s="158"/>
      <c r="AG622" s="105"/>
      <c r="AH622" s="158"/>
      <c r="AI622" s="88"/>
      <c r="AJ622" s="88"/>
      <c r="AK622" s="131"/>
      <c r="AL622" s="131"/>
      <c r="AM622" s="131"/>
      <c r="AN622" s="131"/>
      <c r="AO622" s="131"/>
      <c r="AP622" s="88"/>
    </row>
    <row r="623">
      <c r="A623" s="155"/>
      <c r="B623" s="173"/>
      <c r="C623" s="174"/>
      <c r="D623" s="173"/>
      <c r="E623" s="155"/>
      <c r="F623" s="155"/>
      <c r="G623" s="88"/>
      <c r="H623" s="155"/>
      <c r="I623" s="155"/>
      <c r="J623" s="155"/>
      <c r="K623" s="15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58"/>
      <c r="AA623" s="105"/>
      <c r="AB623" s="105"/>
      <c r="AC623" s="105"/>
      <c r="AD623" s="105"/>
      <c r="AE623" s="105"/>
      <c r="AF623" s="158"/>
      <c r="AG623" s="105"/>
      <c r="AH623" s="158"/>
      <c r="AI623" s="88"/>
      <c r="AJ623" s="88"/>
      <c r="AK623" s="131"/>
      <c r="AL623" s="131"/>
      <c r="AM623" s="131"/>
      <c r="AN623" s="131"/>
      <c r="AO623" s="131"/>
      <c r="AP623" s="88"/>
    </row>
    <row r="624">
      <c r="A624" s="155"/>
      <c r="B624" s="173"/>
      <c r="C624" s="174"/>
      <c r="D624" s="173"/>
      <c r="E624" s="155"/>
      <c r="F624" s="155"/>
      <c r="G624" s="88"/>
      <c r="H624" s="155"/>
      <c r="I624" s="155"/>
      <c r="J624" s="155"/>
      <c r="K624" s="15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58"/>
      <c r="AA624" s="105"/>
      <c r="AB624" s="105"/>
      <c r="AC624" s="105"/>
      <c r="AD624" s="105"/>
      <c r="AE624" s="105"/>
      <c r="AF624" s="158"/>
      <c r="AG624" s="105"/>
      <c r="AH624" s="158"/>
      <c r="AI624" s="88"/>
      <c r="AJ624" s="88"/>
      <c r="AK624" s="131"/>
      <c r="AL624" s="131"/>
      <c r="AM624" s="131"/>
      <c r="AN624" s="131"/>
      <c r="AO624" s="131"/>
      <c r="AP624" s="88"/>
    </row>
    <row r="625">
      <c r="A625" s="155"/>
      <c r="B625" s="173"/>
      <c r="C625" s="174"/>
      <c r="D625" s="173"/>
      <c r="E625" s="155"/>
      <c r="F625" s="155"/>
      <c r="G625" s="88"/>
      <c r="H625" s="155"/>
      <c r="I625" s="155"/>
      <c r="J625" s="155"/>
      <c r="K625" s="15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58"/>
      <c r="AA625" s="105"/>
      <c r="AB625" s="105"/>
      <c r="AC625" s="105"/>
      <c r="AD625" s="105"/>
      <c r="AE625" s="105"/>
      <c r="AF625" s="158"/>
      <c r="AG625" s="105"/>
      <c r="AH625" s="158"/>
      <c r="AI625" s="88"/>
      <c r="AJ625" s="88"/>
      <c r="AK625" s="131"/>
      <c r="AL625" s="131"/>
      <c r="AM625" s="131"/>
      <c r="AN625" s="131"/>
      <c r="AO625" s="131"/>
      <c r="AP625" s="88"/>
    </row>
    <row r="626">
      <c r="A626" s="155"/>
      <c r="B626" s="173"/>
      <c r="C626" s="174"/>
      <c r="D626" s="173"/>
      <c r="E626" s="155"/>
      <c r="F626" s="155"/>
      <c r="G626" s="88"/>
      <c r="H626" s="155"/>
      <c r="I626" s="155"/>
      <c r="J626" s="155"/>
      <c r="K626" s="15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58"/>
      <c r="AA626" s="105"/>
      <c r="AB626" s="105"/>
      <c r="AC626" s="105"/>
      <c r="AD626" s="105"/>
      <c r="AE626" s="105"/>
      <c r="AF626" s="158"/>
      <c r="AG626" s="105"/>
      <c r="AH626" s="158"/>
      <c r="AI626" s="88"/>
      <c r="AJ626" s="88"/>
      <c r="AK626" s="131"/>
      <c r="AL626" s="131"/>
      <c r="AM626" s="131"/>
      <c r="AN626" s="131"/>
      <c r="AO626" s="131"/>
      <c r="AP626" s="88"/>
    </row>
    <row r="627">
      <c r="A627" s="155"/>
      <c r="B627" s="173"/>
      <c r="C627" s="174"/>
      <c r="D627" s="173"/>
      <c r="E627" s="155"/>
      <c r="F627" s="155"/>
      <c r="G627" s="88"/>
      <c r="H627" s="155"/>
      <c r="I627" s="155"/>
      <c r="J627" s="155"/>
      <c r="K627" s="15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58"/>
      <c r="AA627" s="105"/>
      <c r="AB627" s="105"/>
      <c r="AC627" s="105"/>
      <c r="AD627" s="105"/>
      <c r="AE627" s="105"/>
      <c r="AF627" s="158"/>
      <c r="AG627" s="105"/>
      <c r="AH627" s="158"/>
      <c r="AI627" s="88"/>
      <c r="AJ627" s="88"/>
      <c r="AK627" s="131"/>
      <c r="AL627" s="131"/>
      <c r="AM627" s="131"/>
      <c r="AN627" s="131"/>
      <c r="AO627" s="131"/>
      <c r="AP627" s="88"/>
    </row>
    <row r="628">
      <c r="A628" s="155"/>
      <c r="B628" s="173"/>
      <c r="C628" s="174"/>
      <c r="D628" s="173"/>
      <c r="E628" s="155"/>
      <c r="F628" s="155"/>
      <c r="G628" s="88"/>
      <c r="H628" s="155"/>
      <c r="I628" s="155"/>
      <c r="J628" s="155"/>
      <c r="K628" s="15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58"/>
      <c r="AA628" s="105"/>
      <c r="AB628" s="105"/>
      <c r="AC628" s="105"/>
      <c r="AD628" s="105"/>
      <c r="AE628" s="105"/>
      <c r="AF628" s="158"/>
      <c r="AG628" s="105"/>
      <c r="AH628" s="158"/>
      <c r="AI628" s="88"/>
      <c r="AJ628" s="88"/>
      <c r="AK628" s="131"/>
      <c r="AL628" s="131"/>
      <c r="AM628" s="131"/>
      <c r="AN628" s="131"/>
      <c r="AO628" s="131"/>
      <c r="AP628" s="88"/>
    </row>
    <row r="629">
      <c r="A629" s="155"/>
      <c r="B629" s="173"/>
      <c r="C629" s="174"/>
      <c r="D629" s="173"/>
      <c r="E629" s="155"/>
      <c r="F629" s="155"/>
      <c r="G629" s="88"/>
      <c r="H629" s="155"/>
      <c r="I629" s="155"/>
      <c r="J629" s="155"/>
      <c r="K629" s="15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58"/>
      <c r="AA629" s="105"/>
      <c r="AB629" s="105"/>
      <c r="AC629" s="105"/>
      <c r="AD629" s="105"/>
      <c r="AE629" s="105"/>
      <c r="AF629" s="158"/>
      <c r="AG629" s="105"/>
      <c r="AH629" s="158"/>
      <c r="AI629" s="88"/>
      <c r="AJ629" s="88"/>
      <c r="AK629" s="131"/>
      <c r="AL629" s="131"/>
      <c r="AM629" s="131"/>
      <c r="AN629" s="131"/>
      <c r="AO629" s="131"/>
      <c r="AP629" s="88"/>
    </row>
    <row r="630">
      <c r="A630" s="155"/>
      <c r="B630" s="173"/>
      <c r="C630" s="174"/>
      <c r="D630" s="173"/>
      <c r="E630" s="155"/>
      <c r="F630" s="155"/>
      <c r="G630" s="88"/>
      <c r="H630" s="155"/>
      <c r="I630" s="155"/>
      <c r="J630" s="155"/>
      <c r="K630" s="15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58"/>
      <c r="AA630" s="105"/>
      <c r="AB630" s="105"/>
      <c r="AC630" s="105"/>
      <c r="AD630" s="105"/>
      <c r="AE630" s="105"/>
      <c r="AF630" s="158"/>
      <c r="AG630" s="105"/>
      <c r="AH630" s="158"/>
      <c r="AI630" s="88"/>
      <c r="AJ630" s="88"/>
      <c r="AK630" s="131"/>
      <c r="AL630" s="131"/>
      <c r="AM630" s="131"/>
      <c r="AN630" s="131"/>
      <c r="AO630" s="131"/>
      <c r="AP630" s="88"/>
    </row>
    <row r="631">
      <c r="A631" s="155"/>
      <c r="B631" s="173"/>
      <c r="C631" s="174"/>
      <c r="D631" s="173"/>
      <c r="E631" s="155"/>
      <c r="F631" s="155"/>
      <c r="G631" s="88"/>
      <c r="H631" s="155"/>
      <c r="I631" s="155"/>
      <c r="J631" s="155"/>
      <c r="K631" s="15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58"/>
      <c r="AA631" s="105"/>
      <c r="AB631" s="105"/>
      <c r="AC631" s="105"/>
      <c r="AD631" s="105"/>
      <c r="AE631" s="105"/>
      <c r="AF631" s="158"/>
      <c r="AG631" s="105"/>
      <c r="AH631" s="158"/>
      <c r="AI631" s="88"/>
      <c r="AJ631" s="88"/>
      <c r="AK631" s="131"/>
      <c r="AL631" s="131"/>
      <c r="AM631" s="131"/>
      <c r="AN631" s="131"/>
      <c r="AO631" s="131"/>
      <c r="AP631" s="88"/>
    </row>
    <row r="632">
      <c r="A632" s="155"/>
      <c r="B632" s="173"/>
      <c r="C632" s="174"/>
      <c r="D632" s="173"/>
      <c r="E632" s="155"/>
      <c r="F632" s="155"/>
      <c r="G632" s="88"/>
      <c r="H632" s="155"/>
      <c r="I632" s="155"/>
      <c r="J632" s="155"/>
      <c r="K632" s="15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58"/>
      <c r="AA632" s="105"/>
      <c r="AB632" s="105"/>
      <c r="AC632" s="105"/>
      <c r="AD632" s="105"/>
      <c r="AE632" s="105"/>
      <c r="AF632" s="158"/>
      <c r="AG632" s="105"/>
      <c r="AH632" s="158"/>
      <c r="AI632" s="88"/>
      <c r="AJ632" s="88"/>
      <c r="AK632" s="131"/>
      <c r="AL632" s="131"/>
      <c r="AM632" s="131"/>
      <c r="AN632" s="131"/>
      <c r="AO632" s="131"/>
      <c r="AP632" s="88"/>
    </row>
    <row r="633">
      <c r="A633" s="155"/>
      <c r="B633" s="173"/>
      <c r="C633" s="174"/>
      <c r="D633" s="173"/>
      <c r="E633" s="155"/>
      <c r="F633" s="155"/>
      <c r="G633" s="88"/>
      <c r="H633" s="155"/>
      <c r="I633" s="155"/>
      <c r="J633" s="155"/>
      <c r="K633" s="15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58"/>
      <c r="AA633" s="105"/>
      <c r="AB633" s="105"/>
      <c r="AC633" s="105"/>
      <c r="AD633" s="105"/>
      <c r="AE633" s="105"/>
      <c r="AF633" s="158"/>
      <c r="AG633" s="105"/>
      <c r="AH633" s="158"/>
      <c r="AI633" s="88"/>
      <c r="AJ633" s="88"/>
      <c r="AK633" s="131"/>
      <c r="AL633" s="131"/>
      <c r="AM633" s="131"/>
      <c r="AN633" s="131"/>
      <c r="AO633" s="131"/>
      <c r="AP633" s="88"/>
    </row>
    <row r="634">
      <c r="A634" s="155"/>
      <c r="B634" s="173"/>
      <c r="C634" s="174"/>
      <c r="D634" s="173"/>
      <c r="E634" s="155"/>
      <c r="F634" s="155"/>
      <c r="G634" s="88"/>
      <c r="H634" s="155"/>
      <c r="I634" s="155"/>
      <c r="J634" s="155"/>
      <c r="K634" s="15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58"/>
      <c r="AA634" s="105"/>
      <c r="AB634" s="105"/>
      <c r="AC634" s="105"/>
      <c r="AD634" s="105"/>
      <c r="AE634" s="105"/>
      <c r="AF634" s="158"/>
      <c r="AG634" s="105"/>
      <c r="AH634" s="158"/>
      <c r="AI634" s="88"/>
      <c r="AJ634" s="88"/>
      <c r="AK634" s="131"/>
      <c r="AL634" s="131"/>
      <c r="AM634" s="131"/>
      <c r="AN634" s="131"/>
      <c r="AO634" s="131"/>
      <c r="AP634" s="88"/>
    </row>
    <row r="635">
      <c r="A635" s="155"/>
      <c r="B635" s="173"/>
      <c r="C635" s="174"/>
      <c r="D635" s="173"/>
      <c r="E635" s="155"/>
      <c r="F635" s="155"/>
      <c r="G635" s="88"/>
      <c r="H635" s="155"/>
      <c r="I635" s="155"/>
      <c r="J635" s="155"/>
      <c r="K635" s="15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58"/>
      <c r="AA635" s="105"/>
      <c r="AB635" s="105"/>
      <c r="AC635" s="105"/>
      <c r="AD635" s="105"/>
      <c r="AE635" s="105"/>
      <c r="AF635" s="158"/>
      <c r="AG635" s="105"/>
      <c r="AH635" s="158"/>
      <c r="AI635" s="88"/>
      <c r="AJ635" s="88"/>
      <c r="AK635" s="131"/>
      <c r="AL635" s="131"/>
      <c r="AM635" s="131"/>
      <c r="AN635" s="131"/>
      <c r="AO635" s="131"/>
      <c r="AP635" s="88"/>
    </row>
    <row r="636">
      <c r="A636" s="155"/>
      <c r="B636" s="173"/>
      <c r="C636" s="174"/>
      <c r="D636" s="173"/>
      <c r="E636" s="155"/>
      <c r="F636" s="155"/>
      <c r="G636" s="88"/>
      <c r="H636" s="155"/>
      <c r="I636" s="155"/>
      <c r="J636" s="155"/>
      <c r="K636" s="15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58"/>
      <c r="AA636" s="105"/>
      <c r="AB636" s="105"/>
      <c r="AC636" s="105"/>
      <c r="AD636" s="105"/>
      <c r="AE636" s="105"/>
      <c r="AF636" s="158"/>
      <c r="AG636" s="105"/>
      <c r="AH636" s="158"/>
      <c r="AI636" s="88"/>
      <c r="AJ636" s="88"/>
      <c r="AK636" s="131"/>
      <c r="AL636" s="131"/>
      <c r="AM636" s="131"/>
      <c r="AN636" s="131"/>
      <c r="AO636" s="131"/>
      <c r="AP636" s="88"/>
    </row>
    <row r="637">
      <c r="A637" s="155"/>
      <c r="B637" s="173"/>
      <c r="C637" s="174"/>
      <c r="D637" s="173"/>
      <c r="E637" s="155"/>
      <c r="F637" s="155"/>
      <c r="G637" s="88"/>
      <c r="H637" s="155"/>
      <c r="I637" s="155"/>
      <c r="J637" s="155"/>
      <c r="K637" s="15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58"/>
      <c r="AA637" s="105"/>
      <c r="AB637" s="105"/>
      <c r="AC637" s="105"/>
      <c r="AD637" s="105"/>
      <c r="AE637" s="105"/>
      <c r="AF637" s="158"/>
      <c r="AG637" s="105"/>
      <c r="AH637" s="158"/>
      <c r="AI637" s="88"/>
      <c r="AJ637" s="88"/>
      <c r="AK637" s="131"/>
      <c r="AL637" s="131"/>
      <c r="AM637" s="131"/>
      <c r="AN637" s="131"/>
      <c r="AO637" s="131"/>
      <c r="AP637" s="88"/>
    </row>
    <row r="638">
      <c r="A638" s="155"/>
      <c r="B638" s="173"/>
      <c r="C638" s="174"/>
      <c r="D638" s="173"/>
      <c r="E638" s="155"/>
      <c r="F638" s="155"/>
      <c r="G638" s="88"/>
      <c r="H638" s="155"/>
      <c r="I638" s="155"/>
      <c r="J638" s="155"/>
      <c r="K638" s="15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58"/>
      <c r="AA638" s="105"/>
      <c r="AB638" s="105"/>
      <c r="AC638" s="105"/>
      <c r="AD638" s="105"/>
      <c r="AE638" s="105"/>
      <c r="AF638" s="158"/>
      <c r="AG638" s="105"/>
      <c r="AH638" s="158"/>
      <c r="AI638" s="88"/>
      <c r="AJ638" s="88"/>
      <c r="AK638" s="131"/>
      <c r="AL638" s="131"/>
      <c r="AM638" s="131"/>
      <c r="AN638" s="131"/>
      <c r="AO638" s="131"/>
      <c r="AP638" s="88"/>
    </row>
    <row r="639">
      <c r="A639" s="155"/>
      <c r="B639" s="173"/>
      <c r="C639" s="174"/>
      <c r="D639" s="173"/>
      <c r="E639" s="155"/>
      <c r="F639" s="155"/>
      <c r="G639" s="88"/>
      <c r="H639" s="155"/>
      <c r="I639" s="155"/>
      <c r="J639" s="155"/>
      <c r="K639" s="15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58"/>
      <c r="AA639" s="105"/>
      <c r="AB639" s="105"/>
      <c r="AC639" s="105"/>
      <c r="AD639" s="105"/>
      <c r="AE639" s="105"/>
      <c r="AF639" s="158"/>
      <c r="AG639" s="105"/>
      <c r="AH639" s="158"/>
      <c r="AI639" s="88"/>
      <c r="AJ639" s="88"/>
      <c r="AK639" s="131"/>
      <c r="AL639" s="131"/>
      <c r="AM639" s="131"/>
      <c r="AN639" s="131"/>
      <c r="AO639" s="131"/>
      <c r="AP639" s="88"/>
    </row>
    <row r="640">
      <c r="A640" s="155"/>
      <c r="B640" s="173"/>
      <c r="C640" s="174"/>
      <c r="D640" s="173"/>
      <c r="E640" s="155"/>
      <c r="F640" s="155"/>
      <c r="G640" s="88"/>
      <c r="H640" s="155"/>
      <c r="I640" s="155"/>
      <c r="J640" s="155"/>
      <c r="K640" s="15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58"/>
      <c r="AA640" s="105"/>
      <c r="AB640" s="105"/>
      <c r="AC640" s="105"/>
      <c r="AD640" s="105"/>
      <c r="AE640" s="105"/>
      <c r="AF640" s="158"/>
      <c r="AG640" s="105"/>
      <c r="AH640" s="158"/>
      <c r="AI640" s="88"/>
      <c r="AJ640" s="88"/>
      <c r="AK640" s="131"/>
      <c r="AL640" s="131"/>
      <c r="AM640" s="131"/>
      <c r="AN640" s="131"/>
      <c r="AO640" s="131"/>
      <c r="AP640" s="88"/>
    </row>
    <row r="641">
      <c r="A641" s="155"/>
      <c r="B641" s="173"/>
      <c r="C641" s="174"/>
      <c r="D641" s="173"/>
      <c r="E641" s="155"/>
      <c r="F641" s="155"/>
      <c r="G641" s="88"/>
      <c r="H641" s="155"/>
      <c r="I641" s="155"/>
      <c r="J641" s="155"/>
      <c r="K641" s="15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58"/>
      <c r="AA641" s="105"/>
      <c r="AB641" s="105"/>
      <c r="AC641" s="105"/>
      <c r="AD641" s="105"/>
      <c r="AE641" s="105"/>
      <c r="AF641" s="158"/>
      <c r="AG641" s="105"/>
      <c r="AH641" s="158"/>
      <c r="AI641" s="88"/>
      <c r="AJ641" s="88"/>
      <c r="AK641" s="131"/>
      <c r="AL641" s="131"/>
      <c r="AM641" s="131"/>
      <c r="AN641" s="131"/>
      <c r="AO641" s="131"/>
      <c r="AP641" s="88"/>
    </row>
    <row r="642">
      <c r="A642" s="155"/>
      <c r="B642" s="173"/>
      <c r="C642" s="174"/>
      <c r="D642" s="173"/>
      <c r="E642" s="155"/>
      <c r="F642" s="155"/>
      <c r="G642" s="88"/>
      <c r="H642" s="155"/>
      <c r="I642" s="155"/>
      <c r="J642" s="155"/>
      <c r="K642" s="15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58"/>
      <c r="AA642" s="105"/>
      <c r="AB642" s="105"/>
      <c r="AC642" s="105"/>
      <c r="AD642" s="105"/>
      <c r="AE642" s="105"/>
      <c r="AF642" s="158"/>
      <c r="AG642" s="105"/>
      <c r="AH642" s="158"/>
      <c r="AI642" s="88"/>
      <c r="AJ642" s="88"/>
      <c r="AK642" s="131"/>
      <c r="AL642" s="131"/>
      <c r="AM642" s="131"/>
      <c r="AN642" s="131"/>
      <c r="AO642" s="131"/>
      <c r="AP642" s="88"/>
    </row>
    <row r="643">
      <c r="A643" s="155"/>
      <c r="B643" s="173"/>
      <c r="C643" s="174"/>
      <c r="D643" s="173"/>
      <c r="E643" s="155"/>
      <c r="F643" s="155"/>
      <c r="G643" s="88"/>
      <c r="H643" s="155"/>
      <c r="I643" s="155"/>
      <c r="J643" s="155"/>
      <c r="K643" s="15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58"/>
      <c r="AA643" s="105"/>
      <c r="AB643" s="105"/>
      <c r="AC643" s="105"/>
      <c r="AD643" s="105"/>
      <c r="AE643" s="105"/>
      <c r="AF643" s="158"/>
      <c r="AG643" s="105"/>
      <c r="AH643" s="158"/>
      <c r="AI643" s="88"/>
      <c r="AJ643" s="88"/>
      <c r="AK643" s="131"/>
      <c r="AL643" s="131"/>
      <c r="AM643" s="131"/>
      <c r="AN643" s="131"/>
      <c r="AO643" s="131"/>
      <c r="AP643" s="88"/>
    </row>
    <row r="644">
      <c r="A644" s="155"/>
      <c r="B644" s="173"/>
      <c r="C644" s="174"/>
      <c r="D644" s="173"/>
      <c r="E644" s="155"/>
      <c r="F644" s="155"/>
      <c r="G644" s="88"/>
      <c r="H644" s="155"/>
      <c r="I644" s="155"/>
      <c r="J644" s="155"/>
      <c r="K644" s="15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58"/>
      <c r="AA644" s="105"/>
      <c r="AB644" s="105"/>
      <c r="AC644" s="105"/>
      <c r="AD644" s="105"/>
      <c r="AE644" s="105"/>
      <c r="AF644" s="158"/>
      <c r="AG644" s="105"/>
      <c r="AH644" s="158"/>
      <c r="AI644" s="88"/>
      <c r="AJ644" s="88"/>
      <c r="AK644" s="131"/>
      <c r="AL644" s="131"/>
      <c r="AM644" s="131"/>
      <c r="AN644" s="131"/>
      <c r="AO644" s="131"/>
      <c r="AP644" s="88"/>
    </row>
    <row r="645">
      <c r="A645" s="155"/>
      <c r="B645" s="173"/>
      <c r="C645" s="174"/>
      <c r="D645" s="173"/>
      <c r="E645" s="155"/>
      <c r="F645" s="155"/>
      <c r="G645" s="88"/>
      <c r="H645" s="155"/>
      <c r="I645" s="155"/>
      <c r="J645" s="155"/>
      <c r="K645" s="15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58"/>
      <c r="AA645" s="105"/>
      <c r="AB645" s="105"/>
      <c r="AC645" s="105"/>
      <c r="AD645" s="105"/>
      <c r="AE645" s="105"/>
      <c r="AF645" s="158"/>
      <c r="AG645" s="105"/>
      <c r="AH645" s="158"/>
      <c r="AI645" s="88"/>
      <c r="AJ645" s="88"/>
      <c r="AK645" s="131"/>
      <c r="AL645" s="131"/>
      <c r="AM645" s="131"/>
      <c r="AN645" s="131"/>
      <c r="AO645" s="131"/>
      <c r="AP645" s="88"/>
    </row>
    <row r="646">
      <c r="A646" s="155"/>
      <c r="B646" s="173"/>
      <c r="C646" s="174"/>
      <c r="D646" s="173"/>
      <c r="E646" s="155"/>
      <c r="F646" s="155"/>
      <c r="G646" s="88"/>
      <c r="H646" s="155"/>
      <c r="I646" s="155"/>
      <c r="J646" s="155"/>
      <c r="K646" s="15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58"/>
      <c r="AA646" s="105"/>
      <c r="AB646" s="105"/>
      <c r="AC646" s="105"/>
      <c r="AD646" s="105"/>
      <c r="AE646" s="105"/>
      <c r="AF646" s="158"/>
      <c r="AG646" s="105"/>
      <c r="AH646" s="158"/>
      <c r="AI646" s="88"/>
      <c r="AJ646" s="88"/>
      <c r="AK646" s="131"/>
      <c r="AL646" s="131"/>
      <c r="AM646" s="131"/>
      <c r="AN646" s="131"/>
      <c r="AO646" s="131"/>
      <c r="AP646" s="88"/>
    </row>
    <row r="647">
      <c r="A647" s="155"/>
      <c r="B647" s="173"/>
      <c r="C647" s="174"/>
      <c r="D647" s="173"/>
      <c r="E647" s="155"/>
      <c r="F647" s="155"/>
      <c r="G647" s="88"/>
      <c r="H647" s="155"/>
      <c r="I647" s="155"/>
      <c r="J647" s="155"/>
      <c r="K647" s="15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58"/>
      <c r="AA647" s="105"/>
      <c r="AB647" s="105"/>
      <c r="AC647" s="105"/>
      <c r="AD647" s="105"/>
      <c r="AE647" s="105"/>
      <c r="AF647" s="158"/>
      <c r="AG647" s="105"/>
      <c r="AH647" s="158"/>
      <c r="AI647" s="88"/>
      <c r="AJ647" s="88"/>
      <c r="AK647" s="131"/>
      <c r="AL647" s="131"/>
      <c r="AM647" s="131"/>
      <c r="AN647" s="131"/>
      <c r="AO647" s="131"/>
      <c r="AP647" s="88"/>
    </row>
    <row r="648">
      <c r="A648" s="155"/>
      <c r="B648" s="173"/>
      <c r="C648" s="174"/>
      <c r="D648" s="173"/>
      <c r="E648" s="155"/>
      <c r="F648" s="155"/>
      <c r="G648" s="88"/>
      <c r="H648" s="155"/>
      <c r="I648" s="155"/>
      <c r="J648" s="155"/>
      <c r="K648" s="15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58"/>
      <c r="AA648" s="105"/>
      <c r="AB648" s="105"/>
      <c r="AC648" s="105"/>
      <c r="AD648" s="105"/>
      <c r="AE648" s="105"/>
      <c r="AF648" s="158"/>
      <c r="AG648" s="105"/>
      <c r="AH648" s="158"/>
      <c r="AI648" s="88"/>
      <c r="AJ648" s="88"/>
      <c r="AK648" s="131"/>
      <c r="AL648" s="131"/>
      <c r="AM648" s="131"/>
      <c r="AN648" s="131"/>
      <c r="AO648" s="131"/>
      <c r="AP648" s="88"/>
    </row>
    <row r="649">
      <c r="A649" s="155"/>
      <c r="B649" s="173"/>
      <c r="C649" s="174"/>
      <c r="D649" s="173"/>
      <c r="E649" s="155"/>
      <c r="F649" s="155"/>
      <c r="G649" s="88"/>
      <c r="H649" s="155"/>
      <c r="I649" s="155"/>
      <c r="J649" s="155"/>
      <c r="K649" s="15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58"/>
      <c r="AA649" s="105"/>
      <c r="AB649" s="105"/>
      <c r="AC649" s="105"/>
      <c r="AD649" s="105"/>
      <c r="AE649" s="105"/>
      <c r="AF649" s="158"/>
      <c r="AG649" s="105"/>
      <c r="AH649" s="158"/>
      <c r="AI649" s="88"/>
      <c r="AJ649" s="88"/>
      <c r="AK649" s="131"/>
      <c r="AL649" s="131"/>
      <c r="AM649" s="131"/>
      <c r="AN649" s="131"/>
      <c r="AO649" s="131"/>
      <c r="AP649" s="88"/>
    </row>
    <row r="650">
      <c r="A650" s="155"/>
      <c r="B650" s="173"/>
      <c r="C650" s="174"/>
      <c r="D650" s="173"/>
      <c r="E650" s="155"/>
      <c r="F650" s="155"/>
      <c r="G650" s="88"/>
      <c r="H650" s="155"/>
      <c r="I650" s="155"/>
      <c r="J650" s="155"/>
      <c r="K650" s="15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58"/>
      <c r="AA650" s="105"/>
      <c r="AB650" s="105"/>
      <c r="AC650" s="105"/>
      <c r="AD650" s="105"/>
      <c r="AE650" s="105"/>
      <c r="AF650" s="158"/>
      <c r="AG650" s="105"/>
      <c r="AH650" s="158"/>
      <c r="AI650" s="88"/>
      <c r="AJ650" s="88"/>
      <c r="AK650" s="131"/>
      <c r="AL650" s="131"/>
      <c r="AM650" s="131"/>
      <c r="AN650" s="131"/>
      <c r="AO650" s="131"/>
      <c r="AP650" s="88"/>
    </row>
    <row r="651">
      <c r="A651" s="155"/>
      <c r="B651" s="173"/>
      <c r="C651" s="174"/>
      <c r="D651" s="173"/>
      <c r="E651" s="155"/>
      <c r="F651" s="155"/>
      <c r="G651" s="88"/>
      <c r="H651" s="155"/>
      <c r="I651" s="155"/>
      <c r="J651" s="155"/>
      <c r="K651" s="15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58"/>
      <c r="AA651" s="105"/>
      <c r="AB651" s="105"/>
      <c r="AC651" s="105"/>
      <c r="AD651" s="105"/>
      <c r="AE651" s="105"/>
      <c r="AF651" s="158"/>
      <c r="AG651" s="105"/>
      <c r="AH651" s="158"/>
      <c r="AI651" s="88"/>
      <c r="AJ651" s="88"/>
      <c r="AK651" s="131"/>
      <c r="AL651" s="131"/>
      <c r="AM651" s="131"/>
      <c r="AN651" s="131"/>
      <c r="AO651" s="131"/>
      <c r="AP651" s="88"/>
    </row>
    <row r="652">
      <c r="A652" s="155"/>
      <c r="B652" s="173"/>
      <c r="C652" s="174"/>
      <c r="D652" s="173"/>
      <c r="E652" s="155"/>
      <c r="F652" s="155"/>
      <c r="G652" s="88"/>
      <c r="H652" s="155"/>
      <c r="I652" s="155"/>
      <c r="J652" s="155"/>
      <c r="K652" s="15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58"/>
      <c r="AA652" s="105"/>
      <c r="AB652" s="105"/>
      <c r="AC652" s="105"/>
      <c r="AD652" s="105"/>
      <c r="AE652" s="105"/>
      <c r="AF652" s="158"/>
      <c r="AG652" s="105"/>
      <c r="AH652" s="158"/>
      <c r="AI652" s="88"/>
      <c r="AJ652" s="88"/>
      <c r="AK652" s="131"/>
      <c r="AL652" s="131"/>
      <c r="AM652" s="131"/>
      <c r="AN652" s="131"/>
      <c r="AO652" s="131"/>
      <c r="AP652" s="88"/>
    </row>
    <row r="653">
      <c r="A653" s="155"/>
      <c r="B653" s="173"/>
      <c r="C653" s="174"/>
      <c r="D653" s="173"/>
      <c r="E653" s="155"/>
      <c r="F653" s="155"/>
      <c r="G653" s="88"/>
      <c r="H653" s="155"/>
      <c r="I653" s="155"/>
      <c r="J653" s="155"/>
      <c r="K653" s="15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58"/>
      <c r="AA653" s="105"/>
      <c r="AB653" s="105"/>
      <c r="AC653" s="105"/>
      <c r="AD653" s="105"/>
      <c r="AE653" s="105"/>
      <c r="AF653" s="158"/>
      <c r="AG653" s="105"/>
      <c r="AH653" s="158"/>
      <c r="AI653" s="88"/>
      <c r="AJ653" s="88"/>
      <c r="AK653" s="131"/>
      <c r="AL653" s="131"/>
      <c r="AM653" s="131"/>
      <c r="AN653" s="131"/>
      <c r="AO653" s="131"/>
      <c r="AP653" s="88"/>
    </row>
  </sheetData>
  <autoFilter ref="$AK$1:$AO$653"/>
  <mergeCells count="12">
    <mergeCell ref="D1:D2"/>
    <mergeCell ref="B3:D3"/>
    <mergeCell ref="E3:G3"/>
    <mergeCell ref="B4:D4"/>
    <mergeCell ref="E4:G4"/>
    <mergeCell ref="F1:F2"/>
    <mergeCell ref="G1:G2"/>
    <mergeCell ref="H1:K1"/>
    <mergeCell ref="L1:O1"/>
    <mergeCell ref="P1:R1"/>
    <mergeCell ref="T1:Z1"/>
    <mergeCell ref="AA1:AH1"/>
  </mergeCells>
  <hyperlinks>
    <hyperlink r:id="rId1" ref="A1"/>
    <hyperlink r:id="rId2" ref="B24"/>
  </hyperlinks>
  <drawing r:id="rId3"/>
  <tableParts count="1">
    <tablePart r:id="rId5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13"/>
      <c r="B1" s="514"/>
      <c r="C1" s="67"/>
      <c r="D1" s="514"/>
      <c r="E1" s="514"/>
      <c r="F1" s="515"/>
      <c r="G1" s="68"/>
      <c r="H1" s="514"/>
      <c r="I1" s="514"/>
      <c r="J1" s="516"/>
      <c r="K1" s="514"/>
      <c r="L1" s="514"/>
    </row>
    <row r="2">
      <c r="A2" s="517"/>
      <c r="B2" s="518"/>
      <c r="C2" s="69"/>
      <c r="D2" s="519"/>
      <c r="E2" s="69"/>
      <c r="F2" s="520"/>
      <c r="G2" s="70"/>
      <c r="H2" s="521"/>
      <c r="I2" s="521"/>
      <c r="J2" s="521"/>
      <c r="K2" s="521"/>
      <c r="L2" s="521"/>
    </row>
    <row r="3">
      <c r="A3" s="517"/>
      <c r="B3" s="518"/>
      <c r="C3" s="69"/>
      <c r="D3" s="519"/>
      <c r="E3" s="69"/>
      <c r="F3" s="520"/>
      <c r="G3" s="70"/>
      <c r="H3" s="521"/>
      <c r="I3" s="521"/>
      <c r="J3" s="521"/>
      <c r="K3" s="521"/>
      <c r="L3" s="521"/>
    </row>
    <row r="4">
      <c r="A4" s="517"/>
      <c r="B4" s="518"/>
      <c r="C4" s="69"/>
      <c r="D4" s="519"/>
      <c r="E4" s="69"/>
      <c r="F4" s="520"/>
      <c r="G4" s="70"/>
      <c r="H4" s="521"/>
      <c r="I4" s="521"/>
      <c r="J4" s="521"/>
      <c r="K4" s="521"/>
      <c r="L4" s="521"/>
    </row>
    <row r="5">
      <c r="A5" s="517"/>
      <c r="B5" s="518"/>
      <c r="C5" s="69"/>
      <c r="D5" s="519"/>
      <c r="E5" s="69"/>
      <c r="F5" s="520"/>
      <c r="G5" s="70"/>
      <c r="H5" s="521"/>
      <c r="I5" s="521"/>
      <c r="J5" s="521"/>
      <c r="K5" s="521"/>
      <c r="L5" s="521"/>
    </row>
    <row r="6">
      <c r="A6" s="517"/>
      <c r="B6" s="518"/>
      <c r="C6" s="69"/>
      <c r="D6" s="519"/>
      <c r="E6" s="69"/>
      <c r="F6" s="520"/>
      <c r="G6" s="70"/>
      <c r="H6" s="521"/>
      <c r="I6" s="521"/>
      <c r="J6" s="521"/>
      <c r="K6" s="521"/>
      <c r="L6" s="521"/>
    </row>
    <row r="7">
      <c r="A7" s="517"/>
      <c r="B7" s="518"/>
      <c r="C7" s="69"/>
      <c r="D7" s="519"/>
      <c r="E7" s="69"/>
      <c r="F7" s="520"/>
      <c r="G7" s="70"/>
      <c r="H7" s="521"/>
      <c r="I7" s="521"/>
      <c r="J7" s="521"/>
      <c r="K7" s="521"/>
      <c r="L7" s="521"/>
    </row>
    <row r="8">
      <c r="A8" s="517"/>
      <c r="B8" s="518"/>
      <c r="C8" s="69"/>
      <c r="D8" s="519"/>
      <c r="E8" s="69"/>
      <c r="F8" s="520"/>
      <c r="G8" s="70"/>
      <c r="H8" s="521"/>
      <c r="I8" s="521"/>
      <c r="J8" s="521"/>
      <c r="K8" s="521"/>
      <c r="L8" s="521"/>
    </row>
    <row r="9">
      <c r="A9" s="517"/>
      <c r="B9" s="518"/>
      <c r="C9" s="69"/>
      <c r="D9" s="519"/>
      <c r="E9" s="69"/>
      <c r="F9" s="520"/>
      <c r="G9" s="70"/>
      <c r="H9" s="521"/>
      <c r="I9" s="521"/>
      <c r="J9" s="521"/>
      <c r="K9" s="521"/>
      <c r="L9" s="521"/>
    </row>
    <row r="10">
      <c r="A10" s="517"/>
      <c r="B10" s="518"/>
      <c r="C10" s="69"/>
      <c r="D10" s="519"/>
      <c r="E10" s="69"/>
      <c r="F10" s="520"/>
      <c r="G10" s="70"/>
      <c r="H10" s="521"/>
      <c r="I10" s="521"/>
      <c r="J10" s="521"/>
      <c r="K10" s="521"/>
      <c r="L10" s="521"/>
    </row>
    <row r="11">
      <c r="A11" s="517"/>
      <c r="B11" s="518"/>
      <c r="C11" s="69"/>
      <c r="D11" s="519"/>
      <c r="E11" s="69"/>
      <c r="F11" s="520"/>
      <c r="G11" s="70"/>
      <c r="H11" s="521"/>
      <c r="I11" s="521"/>
      <c r="J11" s="521"/>
      <c r="K11" s="521"/>
      <c r="L11" s="521"/>
    </row>
    <row r="12">
      <c r="A12" s="517"/>
      <c r="B12" s="518"/>
      <c r="C12" s="69"/>
      <c r="D12" s="519"/>
      <c r="E12" s="69"/>
      <c r="F12" s="520"/>
      <c r="G12" s="70"/>
      <c r="H12" s="521"/>
      <c r="I12" s="521"/>
      <c r="J12" s="521"/>
      <c r="K12" s="521"/>
      <c r="L12" s="521"/>
    </row>
    <row r="13">
      <c r="A13" s="517"/>
      <c r="B13" s="518"/>
      <c r="C13" s="69"/>
      <c r="D13" s="519"/>
      <c r="E13" s="69"/>
      <c r="F13" s="520"/>
      <c r="G13" s="70"/>
      <c r="H13" s="521"/>
      <c r="I13" s="521"/>
      <c r="J13" s="521"/>
      <c r="K13" s="521"/>
      <c r="L13" s="521"/>
    </row>
    <row r="14">
      <c r="A14" s="517"/>
      <c r="B14" s="518"/>
      <c r="C14" s="69"/>
      <c r="D14" s="519"/>
      <c r="E14" s="69"/>
      <c r="F14" s="520"/>
      <c r="G14" s="70"/>
      <c r="H14" s="521"/>
      <c r="I14" s="521"/>
      <c r="J14" s="521"/>
      <c r="K14" s="521"/>
      <c r="L14" s="521"/>
    </row>
    <row r="15">
      <c r="A15" s="517"/>
      <c r="B15" s="518"/>
      <c r="C15" s="69"/>
      <c r="D15" s="519"/>
      <c r="E15" s="69"/>
      <c r="F15" s="520"/>
      <c r="G15" s="70"/>
      <c r="H15" s="521"/>
      <c r="I15" s="521"/>
      <c r="J15" s="521"/>
      <c r="K15" s="521"/>
      <c r="L15" s="521"/>
    </row>
    <row r="16">
      <c r="A16" s="517"/>
      <c r="B16" s="518"/>
      <c r="C16" s="69"/>
      <c r="D16" s="519"/>
      <c r="E16" s="69"/>
      <c r="F16" s="520"/>
      <c r="G16" s="70"/>
      <c r="H16" s="521"/>
      <c r="I16" s="521"/>
      <c r="J16" s="521"/>
      <c r="K16" s="521"/>
      <c r="L16" s="521"/>
    </row>
    <row r="17">
      <c r="A17" s="517"/>
      <c r="B17" s="518"/>
      <c r="C17" s="69"/>
      <c r="D17" s="519"/>
      <c r="E17" s="69"/>
      <c r="F17" s="520"/>
      <c r="G17" s="70"/>
      <c r="H17" s="521"/>
      <c r="I17" s="521"/>
      <c r="J17" s="521"/>
      <c r="K17" s="521"/>
      <c r="L17" s="521"/>
    </row>
    <row r="18">
      <c r="A18" s="517"/>
      <c r="B18" s="518"/>
      <c r="C18" s="69"/>
      <c r="D18" s="519"/>
      <c r="E18" s="69"/>
      <c r="F18" s="520"/>
      <c r="G18" s="70"/>
      <c r="H18" s="521"/>
      <c r="I18" s="521"/>
      <c r="J18" s="521"/>
      <c r="K18" s="521"/>
      <c r="L18" s="521"/>
    </row>
    <row r="19">
      <c r="A19" s="517"/>
      <c r="B19" s="518"/>
      <c r="C19" s="69"/>
      <c r="D19" s="519"/>
      <c r="E19" s="69"/>
      <c r="F19" s="520"/>
      <c r="G19" s="70"/>
      <c r="H19" s="521"/>
      <c r="I19" s="521"/>
      <c r="J19" s="521"/>
      <c r="K19" s="521"/>
      <c r="L19" s="521"/>
    </row>
    <row r="20">
      <c r="A20" s="517"/>
      <c r="B20" s="518"/>
      <c r="C20" s="69"/>
      <c r="D20" s="519"/>
      <c r="E20" s="69"/>
      <c r="F20" s="520"/>
      <c r="G20" s="70"/>
      <c r="H20" s="521"/>
      <c r="I20" s="521"/>
      <c r="J20" s="521"/>
      <c r="K20" s="521"/>
      <c r="L20" s="521"/>
    </row>
    <row r="21">
      <c r="A21" s="517"/>
      <c r="B21" s="518"/>
      <c r="C21" s="69"/>
      <c r="D21" s="519"/>
      <c r="E21" s="69"/>
      <c r="F21" s="520"/>
      <c r="G21" s="70"/>
      <c r="H21" s="521"/>
      <c r="I21" s="521"/>
      <c r="J21" s="521"/>
      <c r="K21" s="521"/>
      <c r="L21" s="521"/>
    </row>
    <row r="22">
      <c r="A22" s="517"/>
      <c r="B22" s="518"/>
      <c r="C22" s="69"/>
      <c r="D22" s="519"/>
      <c r="E22" s="69"/>
      <c r="F22" s="520"/>
      <c r="G22" s="70"/>
      <c r="H22" s="521"/>
      <c r="I22" s="521"/>
      <c r="J22" s="521"/>
      <c r="K22" s="521"/>
      <c r="L22" s="521"/>
    </row>
    <row r="23">
      <c r="A23" s="517"/>
      <c r="B23" s="518"/>
      <c r="C23" s="69"/>
      <c r="D23" s="519"/>
      <c r="E23" s="69"/>
      <c r="F23" s="520"/>
      <c r="G23" s="70"/>
      <c r="H23" s="521"/>
      <c r="I23" s="521"/>
      <c r="J23" s="521"/>
      <c r="K23" s="521"/>
      <c r="L23" s="521"/>
    </row>
    <row r="24">
      <c r="A24" s="517"/>
      <c r="B24" s="518"/>
      <c r="C24" s="69"/>
      <c r="D24" s="519"/>
      <c r="E24" s="69"/>
      <c r="F24" s="522"/>
      <c r="G24" s="70"/>
      <c r="H24" s="521"/>
      <c r="I24" s="521"/>
      <c r="J24" s="521"/>
      <c r="K24" s="521"/>
      <c r="L24" s="521"/>
    </row>
    <row r="25">
      <c r="A25" s="517"/>
      <c r="B25" s="518"/>
      <c r="C25" s="69"/>
      <c r="D25" s="519"/>
      <c r="E25" s="69"/>
      <c r="F25" s="523"/>
      <c r="G25" s="70"/>
      <c r="H25" s="521"/>
      <c r="I25" s="521"/>
      <c r="J25" s="521"/>
      <c r="K25" s="521"/>
      <c r="L25" s="521"/>
    </row>
    <row r="26">
      <c r="A26" s="517"/>
      <c r="B26" s="518"/>
      <c r="C26" s="69"/>
      <c r="D26" s="519"/>
      <c r="E26" s="69"/>
      <c r="F26" s="523"/>
      <c r="G26" s="70"/>
      <c r="H26" s="521"/>
      <c r="I26" s="521"/>
      <c r="J26" s="521"/>
      <c r="K26" s="521"/>
      <c r="L26" s="521"/>
    </row>
    <row r="27">
      <c r="A27" s="517"/>
      <c r="B27" s="518"/>
      <c r="C27" s="69"/>
      <c r="D27" s="519"/>
      <c r="E27" s="69"/>
      <c r="F27" s="523"/>
      <c r="G27" s="70"/>
      <c r="H27" s="521"/>
      <c r="I27" s="521"/>
      <c r="J27" s="521"/>
      <c r="K27" s="521"/>
      <c r="L27" s="521"/>
    </row>
    <row r="28">
      <c r="A28" s="517"/>
      <c r="B28" s="518"/>
      <c r="C28" s="69"/>
      <c r="D28" s="519"/>
      <c r="E28" s="69"/>
      <c r="F28" s="524"/>
      <c r="G28" s="70"/>
      <c r="H28" s="521"/>
      <c r="I28" s="521"/>
      <c r="J28" s="521"/>
      <c r="K28" s="521"/>
      <c r="L28" s="521"/>
    </row>
    <row r="29">
      <c r="A29" s="517"/>
      <c r="B29" s="518"/>
      <c r="C29" s="69"/>
      <c r="D29" s="519"/>
      <c r="E29" s="69"/>
      <c r="F29" s="525"/>
      <c r="G29" s="70"/>
      <c r="H29" s="521"/>
      <c r="I29" s="521"/>
      <c r="J29" s="521"/>
      <c r="K29" s="521"/>
      <c r="L29" s="521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1" max="1" width="5.63"/>
    <col customWidth="1" min="2" max="2" width="20.88"/>
    <col customWidth="1" min="3" max="3" width="30.63"/>
    <col customWidth="1" min="4" max="5" width="13.88"/>
    <col customWidth="1" min="6" max="6" width="8.88"/>
    <col customWidth="1" min="7" max="7" width="16.0"/>
    <col customWidth="1" min="8" max="11" width="9.75"/>
    <col customWidth="1" min="12" max="34" width="12.63"/>
    <col customWidth="1" min="35" max="36" width="15.13"/>
  </cols>
  <sheetData>
    <row r="1">
      <c r="A1" s="183" t="s">
        <v>3705</v>
      </c>
      <c r="B1" s="73" t="s">
        <v>2409</v>
      </c>
      <c r="C1" s="73" t="s">
        <v>2410</v>
      </c>
      <c r="D1" s="74" t="s">
        <v>2411</v>
      </c>
      <c r="E1" s="75" t="s">
        <v>2412</v>
      </c>
      <c r="F1" s="76" t="s">
        <v>2413</v>
      </c>
      <c r="G1" s="74" t="s">
        <v>2414</v>
      </c>
      <c r="H1" s="77" t="s">
        <v>2415</v>
      </c>
      <c r="I1" s="78"/>
      <c r="J1" s="78"/>
      <c r="K1" s="79"/>
      <c r="L1" s="80" t="s">
        <v>2416</v>
      </c>
      <c r="M1" s="78"/>
      <c r="N1" s="78"/>
      <c r="O1" s="79"/>
      <c r="P1" s="81" t="str">
        <f>'UG-CSE'!P1</f>
        <v>Softskill Sx</v>
      </c>
      <c r="Q1" s="78"/>
      <c r="R1" s="79"/>
      <c r="S1" s="82"/>
      <c r="T1" s="83" t="str">
        <f>'UG-CSE'!T1</f>
        <v>Core Cx</v>
      </c>
      <c r="U1" s="78"/>
      <c r="V1" s="78"/>
      <c r="W1" s="78"/>
      <c r="X1" s="78"/>
      <c r="Y1" s="78"/>
      <c r="Z1" s="79"/>
      <c r="AA1" s="84" t="str">
        <f>'UG-CSE'!AA1</f>
        <v>Programming Px</v>
      </c>
      <c r="AB1" s="78"/>
      <c r="AC1" s="78"/>
      <c r="AD1" s="78"/>
      <c r="AE1" s="78"/>
      <c r="AF1" s="78"/>
      <c r="AG1" s="78"/>
      <c r="AH1" s="79"/>
      <c r="AI1" s="75"/>
      <c r="AJ1" s="85"/>
      <c r="AK1" s="86" t="s">
        <v>2420</v>
      </c>
      <c r="AL1" s="86" t="s">
        <v>2421</v>
      </c>
      <c r="AM1" s="86" t="s">
        <v>2422</v>
      </c>
      <c r="AN1" s="86" t="s">
        <v>2423</v>
      </c>
      <c r="AO1" s="87" t="s">
        <v>2424</v>
      </c>
      <c r="AP1" s="186"/>
    </row>
    <row r="2" ht="42.0" customHeight="1">
      <c r="A2" s="187"/>
      <c r="B2" s="73" t="s">
        <v>2425</v>
      </c>
      <c r="C2" s="73" t="s">
        <v>2426</v>
      </c>
      <c r="D2" s="89"/>
      <c r="E2" s="75" t="s">
        <v>2427</v>
      </c>
      <c r="F2" s="89"/>
      <c r="G2" s="89"/>
      <c r="H2" s="189" t="s">
        <v>2428</v>
      </c>
      <c r="I2" s="189" t="s">
        <v>2429</v>
      </c>
      <c r="J2" s="189" t="s">
        <v>2430</v>
      </c>
      <c r="K2" s="189" t="s">
        <v>2431</v>
      </c>
      <c r="L2" s="190" t="s">
        <v>2432</v>
      </c>
      <c r="M2" s="190" t="s">
        <v>2433</v>
      </c>
      <c r="N2" s="190" t="s">
        <v>2434</v>
      </c>
      <c r="O2" s="190" t="s">
        <v>2435</v>
      </c>
      <c r="P2" s="191" t="str">
        <f>'UG-CSE'!P2</f>
        <v>S1</v>
      </c>
      <c r="Q2" s="191" t="str">
        <f>'UG-CSE'!Q2</f>
        <v>S2</v>
      </c>
      <c r="R2" s="191" t="str">
        <f>'UG-CSE'!R2</f>
        <v>S3</v>
      </c>
      <c r="S2" s="191" t="s">
        <v>2439</v>
      </c>
      <c r="T2" s="192" t="str">
        <f>'UG-CSE'!T2</f>
        <v>C2 Odd</v>
      </c>
      <c r="U2" s="192" t="str">
        <f>'UG-CSE'!U2</f>
        <v>C2 Full</v>
      </c>
      <c r="V2" s="192" t="str">
        <f>'UG-CSE'!V2</f>
        <v>C3 Odd</v>
      </c>
      <c r="W2" s="192" t="str">
        <f>'UG-CSE'!W2</f>
        <v>C3 Full</v>
      </c>
      <c r="X2" s="192" t="str">
        <f>'UG-CSE'!X2</f>
        <v>C4 Odd</v>
      </c>
      <c r="Y2" s="192" t="str">
        <f>'UG-CSE'!Y2</f>
        <v>C4 Full</v>
      </c>
      <c r="Z2" s="192" t="str">
        <f>'UG-CSE'!Z2</f>
        <v>C5 Full</v>
      </c>
      <c r="AA2" s="94" t="str">
        <f>'UG-CSE'!AA2</f>
        <v>P1-C</v>
      </c>
      <c r="AB2" s="94" t="str">
        <f>'UG-CSE'!AB2</f>
        <v>P2-Python</v>
      </c>
      <c r="AC2" s="94" t="str">
        <f>'UG-CSE'!AC2</f>
        <v>P3-Python</v>
      </c>
      <c r="AD2" s="94" t="str">
        <f>'UG-CSE'!AD2</f>
        <v>P3-Java </v>
      </c>
      <c r="AE2" s="94" t="str">
        <f>'UG-CSE'!AE2</f>
        <v>P4-Programming part 1</v>
      </c>
      <c r="AF2" s="94" t="str">
        <f>'UG-CSE'!AF2</f>
        <v>P4-Programming part 2</v>
      </c>
      <c r="AG2" s="94" t="str">
        <f>'UG-CSE'!AG2</f>
        <v>P4-MAD/FSD</v>
      </c>
      <c r="AH2" s="193" t="str">
        <f>'UG-CSE'!AH2</f>
        <v>P4-DS</v>
      </c>
      <c r="AI2" s="94" t="s">
        <v>2455</v>
      </c>
      <c r="AJ2" s="95" t="s">
        <v>2456</v>
      </c>
      <c r="AK2" s="96" t="s">
        <v>2457</v>
      </c>
      <c r="AL2" s="96" t="s">
        <v>2457</v>
      </c>
      <c r="AM2" s="96" t="s">
        <v>2457</v>
      </c>
      <c r="AN2" s="96" t="s">
        <v>2457</v>
      </c>
      <c r="AO2" s="96" t="s">
        <v>2457</v>
      </c>
      <c r="AP2" s="88"/>
    </row>
    <row r="3">
      <c r="A3" s="194"/>
      <c r="B3" s="195" t="s">
        <v>2458</v>
      </c>
      <c r="C3" s="196"/>
      <c r="D3" s="197"/>
      <c r="E3" s="198"/>
      <c r="F3" s="199"/>
      <c r="G3" s="200"/>
      <c r="H3" s="102">
        <v>100.0</v>
      </c>
      <c r="I3" s="102">
        <v>100.0</v>
      </c>
      <c r="J3" s="102">
        <v>100.0</v>
      </c>
      <c r="K3" s="102">
        <v>100.0</v>
      </c>
      <c r="L3" s="102">
        <v>100.0</v>
      </c>
      <c r="M3" s="102">
        <v>100.0</v>
      </c>
      <c r="N3" s="102">
        <v>100.0</v>
      </c>
      <c r="O3" s="102">
        <v>100.0</v>
      </c>
      <c r="P3" s="102">
        <v>100.0</v>
      </c>
      <c r="Q3" s="102">
        <v>100.0</v>
      </c>
      <c r="R3" s="102">
        <v>100.0</v>
      </c>
      <c r="S3" s="102">
        <v>100.0</v>
      </c>
      <c r="T3" s="102">
        <v>25.0</v>
      </c>
      <c r="U3" s="102">
        <v>25.0</v>
      </c>
      <c r="V3" s="102">
        <v>100.0</v>
      </c>
      <c r="W3" s="102">
        <v>100.0</v>
      </c>
      <c r="X3" s="102">
        <v>100.0</v>
      </c>
      <c r="Y3" s="102">
        <v>100.0</v>
      </c>
      <c r="Z3" s="102">
        <v>100.0</v>
      </c>
      <c r="AA3" s="102">
        <v>100.0</v>
      </c>
      <c r="AB3" s="102">
        <v>100.0</v>
      </c>
      <c r="AC3" s="102">
        <v>100.0</v>
      </c>
      <c r="AD3" s="102">
        <v>100.0</v>
      </c>
      <c r="AE3" s="102">
        <v>100.0</v>
      </c>
      <c r="AF3" s="102">
        <v>100.0</v>
      </c>
      <c r="AG3" s="102">
        <v>100.0</v>
      </c>
      <c r="AH3" s="274">
        <v>100.0</v>
      </c>
      <c r="AI3" s="131"/>
      <c r="AJ3" s="131"/>
      <c r="AK3" s="106"/>
      <c r="AL3" s="106"/>
      <c r="AM3" s="106"/>
      <c r="AN3" s="106"/>
      <c r="AO3" s="106"/>
      <c r="AP3" s="131"/>
    </row>
    <row r="4">
      <c r="A4" s="194"/>
      <c r="B4" s="203" t="s">
        <v>2459</v>
      </c>
      <c r="C4" s="204"/>
      <c r="D4" s="205"/>
      <c r="E4" s="198"/>
      <c r="F4" s="199"/>
      <c r="G4" s="200"/>
      <c r="H4" s="272">
        <v>65.0</v>
      </c>
      <c r="I4" s="272">
        <v>65.0</v>
      </c>
      <c r="J4" s="272">
        <v>70.0</v>
      </c>
      <c r="K4" s="272">
        <v>70.0</v>
      </c>
      <c r="L4" s="282">
        <v>50.0</v>
      </c>
      <c r="M4" s="282">
        <v>50.0</v>
      </c>
      <c r="N4" s="282">
        <v>50.0</v>
      </c>
      <c r="O4" s="526">
        <v>65.0</v>
      </c>
      <c r="P4" s="282">
        <v>50.0</v>
      </c>
      <c r="Q4" s="282">
        <v>50.0</v>
      </c>
      <c r="R4" s="282">
        <v>50.0</v>
      </c>
      <c r="S4" s="280">
        <v>50.0</v>
      </c>
      <c r="T4" s="280">
        <v>10.0</v>
      </c>
      <c r="U4" s="280">
        <v>10.0</v>
      </c>
      <c r="V4" s="280">
        <v>50.0</v>
      </c>
      <c r="W4" s="280">
        <v>50.0</v>
      </c>
      <c r="X4" s="282">
        <v>50.0</v>
      </c>
      <c r="Y4" s="282">
        <v>50.0</v>
      </c>
      <c r="Z4" s="527">
        <v>50.0</v>
      </c>
      <c r="AA4" s="282">
        <v>50.0</v>
      </c>
      <c r="AB4" s="282">
        <v>50.0</v>
      </c>
      <c r="AC4" s="282">
        <v>60.0</v>
      </c>
      <c r="AD4" s="282">
        <v>60.0</v>
      </c>
      <c r="AE4" s="280">
        <v>70.0</v>
      </c>
      <c r="AF4" s="280">
        <v>70.0</v>
      </c>
      <c r="AG4" s="280">
        <v>70.0</v>
      </c>
      <c r="AH4" s="283">
        <v>70.0</v>
      </c>
      <c r="AI4" s="131"/>
      <c r="AJ4" s="131"/>
      <c r="AK4" s="106"/>
      <c r="AL4" s="106"/>
      <c r="AM4" s="106"/>
      <c r="AN4" s="106"/>
      <c r="AO4" s="106"/>
      <c r="AP4" s="131"/>
    </row>
    <row r="5">
      <c r="A5" s="142">
        <v>1.0</v>
      </c>
      <c r="B5" s="115" t="s">
        <v>1605</v>
      </c>
      <c r="C5" s="115" t="s">
        <v>3076</v>
      </c>
      <c r="D5" s="209" t="str">
        <f>VLOOKUP(B5,USN!$1:$1088,2,False)</f>
        <v>1CR23CI001</v>
      </c>
      <c r="E5" s="116">
        <v>7.89981899E9</v>
      </c>
      <c r="F5" s="116" t="s">
        <v>3801</v>
      </c>
      <c r="G5" s="118"/>
      <c r="H5" s="528">
        <v>78.0</v>
      </c>
      <c r="I5" s="120">
        <v>80.0</v>
      </c>
      <c r="J5" s="120">
        <f>VLOOKUP(D5,'L3'!$1:$2060,2,False)</f>
        <v>72</v>
      </c>
      <c r="K5" s="120">
        <f>VLOOKUP(D5,'L4'!$1:$2059,2,False)</f>
        <v>70</v>
      </c>
      <c r="L5" s="121">
        <f>VLOOKUP(D5,'A1 RETEST 5 DEC'!$1:$2096,2,False)</f>
        <v>61</v>
      </c>
      <c r="M5" s="122">
        <f>VLOOKUP(D5,'A2 RETEST 4 DEC'!$1:$2096,2,False)</f>
        <v>50</v>
      </c>
      <c r="N5" s="122">
        <v>50.0</v>
      </c>
      <c r="O5" s="121"/>
      <c r="P5" s="123">
        <f>IFNA(VLOOKUP(D5,'S1'!$1:$1000,2,False),0)</f>
        <v>81</v>
      </c>
      <c r="Q5" s="123">
        <f>vlookup(D5,'S2'!A1:B1203,2,0)</f>
        <v>50</v>
      </c>
      <c r="R5" s="123">
        <f>ifna(vlookup(D5,'S3'!$1:$1311,2,False),0)</f>
        <v>91</v>
      </c>
      <c r="S5" s="123"/>
      <c r="T5" s="125">
        <v>14.0</v>
      </c>
      <c r="U5" s="125">
        <v>25.0</v>
      </c>
      <c r="V5" s="125">
        <v>92.0</v>
      </c>
      <c r="W5" s="125">
        <v>90.0</v>
      </c>
      <c r="X5" s="125">
        <v>84.0</v>
      </c>
      <c r="Y5" s="125"/>
      <c r="Z5" s="292"/>
      <c r="AA5" s="529">
        <v>86.0</v>
      </c>
      <c r="AB5" s="530">
        <v>100.0</v>
      </c>
      <c r="AC5" s="295">
        <v>76.0</v>
      </c>
      <c r="AD5" s="295">
        <v>75.0</v>
      </c>
      <c r="AE5" s="295">
        <v>75.0</v>
      </c>
      <c r="AF5" s="298"/>
      <c r="AG5" s="295">
        <v>96.0</v>
      </c>
      <c r="AH5" s="298"/>
      <c r="AI5" s="118"/>
      <c r="AJ5" s="118"/>
      <c r="AK5" s="300">
        <f t="shared" ref="AK5:AK71" si="1">IF(H5&gt;=$H$4, 
    IF(I5&gt;=$I$4, 
        IF(J5&gt;=$J$4, 
            IF(K5&gt;=$K$4, 4, 3), 
            2), 
        1), 
    0)
</f>
        <v>4</v>
      </c>
      <c r="AL5" s="300">
        <f t="shared" ref="AL5:AL71" si="2">IF(L5&gt;=$L$4, 
    IF(M5&gt;=$M$4, 
        IF(N5&gt;=$N$4, 
            IF(O5&gt;=$O$4, 4, 3), 
            2), 
        1), 
    0)
</f>
        <v>3</v>
      </c>
      <c r="AM5" s="301">
        <f t="shared" ref="AM5:AM71" si="3">IF(AND(U5&gt;=$U$4, W5&gt;=$W$4, Y5&gt;=$Y$4, Z5&lt;&gt;"", Z5&gt;=$Z$4), 5,
 IF(AND(U5&gt;=$U$4, W5&gt;=$W$4, Y5&gt;=$Y$4), 4,
  IF(AND(U5&gt;=$U$4, W5&gt;=$W$4), 3,
   IF(AND(T5&gt;=$T$4, U5&gt;=$U$4), 2,
    0
   )
  )
 )
)
</f>
        <v>3</v>
      </c>
      <c r="AN5" s="300" t="str">
        <f t="shared" ref="AN5:AN71" si="4">IF(AB5&gt;=$AB$4, 
    IF(OR(AC5&gt;=$AC$4, AD5&gt;=$AD$4), 
        IF(AND(AE5&gt;=$AE$4, AF5&gt;=$AF$4, OR(AG5&gt;=$AG$4, AH5&gt;=$AH$4)), "4", 
            IF(OR(AE5&gt;=$AE$4, AF5&gt;=$AF$4), "3.5", 
                "3")), 
        "2"), 
    "0")</f>
        <v>3.5</v>
      </c>
      <c r="AO5" s="300">
        <f t="shared" ref="AO5:AO71" si="5">IF(P5&gt;=$P$4, 
    IF(Q5&gt;=$Q$4, 
        IF(R5&gt;=$R$4, 
            IF(S5&gt;=$S$4, 4, 3), 
            2), 
        1), 
    0)
</f>
        <v>3</v>
      </c>
      <c r="AP5" s="88"/>
    </row>
    <row r="6">
      <c r="A6" s="142">
        <v>2.0</v>
      </c>
      <c r="B6" s="531" t="s">
        <v>1556</v>
      </c>
      <c r="C6" s="531" t="s">
        <v>3077</v>
      </c>
      <c r="D6" s="209" t="str">
        <f>VLOOKUP(B6,USN!$1:$1088,2,False)</f>
        <v>1CR23CI002</v>
      </c>
      <c r="E6" s="222">
        <v>7.619417118E9</v>
      </c>
      <c r="F6" s="119" t="s">
        <v>3801</v>
      </c>
      <c r="G6" s="118"/>
      <c r="H6" s="528">
        <v>76.0</v>
      </c>
      <c r="I6" s="120">
        <v>82.0</v>
      </c>
      <c r="J6" s="120">
        <f>VLOOKUP(D6,'L3'!$1:$2060,2,False)</f>
        <v>64</v>
      </c>
      <c r="K6" s="120">
        <f>VLOOKUP(D6,'L4'!$1:$2059,2,False)</f>
        <v>70</v>
      </c>
      <c r="L6" s="121">
        <f>VLOOKUP(D6,'A1 RETEST 5 DEC'!$1:$2096,2,False)</f>
        <v>46</v>
      </c>
      <c r="M6" s="122">
        <f>VLOOKUP(D6,'A2 RETEST 4 DEC'!$1:$2096,2,False)</f>
        <v>44</v>
      </c>
      <c r="N6" s="122">
        <v>50.0</v>
      </c>
      <c r="O6" s="121"/>
      <c r="P6" s="123">
        <f>IFNA(VLOOKUP(D6,'S1'!$1:$1000,2,False),0)</f>
        <v>50</v>
      </c>
      <c r="Q6" s="123">
        <f>vlookup(D6,'S2'!A2:B1204,2,0)</f>
        <v>67</v>
      </c>
      <c r="R6" s="123">
        <f>ifna(vlookup(D6,'S3'!$1:$1311,2,False),0)</f>
        <v>85</v>
      </c>
      <c r="S6" s="123"/>
      <c r="T6" s="125">
        <v>14.0</v>
      </c>
      <c r="U6" s="125">
        <v>22.0</v>
      </c>
      <c r="V6" s="125">
        <v>88.0</v>
      </c>
      <c r="W6" s="125">
        <v>82.0</v>
      </c>
      <c r="X6" s="125">
        <v>68.0</v>
      </c>
      <c r="Y6" s="125"/>
      <c r="Z6" s="292"/>
      <c r="AA6" s="529">
        <v>0.0</v>
      </c>
      <c r="AB6" s="530">
        <v>88.0</v>
      </c>
      <c r="AC6" s="295">
        <v>82.0</v>
      </c>
      <c r="AD6" s="295">
        <v>60.0</v>
      </c>
      <c r="AE6" s="295"/>
      <c r="AF6" s="298"/>
      <c r="AG6" s="295">
        <v>43.0</v>
      </c>
      <c r="AH6" s="298"/>
      <c r="AI6" s="118"/>
      <c r="AJ6" s="118"/>
      <c r="AK6" s="300">
        <f t="shared" si="1"/>
        <v>2</v>
      </c>
      <c r="AL6" s="300">
        <f t="shared" si="2"/>
        <v>0</v>
      </c>
      <c r="AM6" s="301">
        <f t="shared" si="3"/>
        <v>3</v>
      </c>
      <c r="AN6" s="300" t="str">
        <f t="shared" si="4"/>
        <v>3</v>
      </c>
      <c r="AO6" s="300">
        <f t="shared" si="5"/>
        <v>3</v>
      </c>
      <c r="AP6" s="88"/>
    </row>
    <row r="7">
      <c r="A7" s="142">
        <v>3.0</v>
      </c>
      <c r="B7" s="531" t="s">
        <v>1557</v>
      </c>
      <c r="C7" s="531" t="s">
        <v>3078</v>
      </c>
      <c r="D7" s="209" t="str">
        <f>VLOOKUP(B7,USN!$1:$1088,2,False)</f>
        <v>1CR23CI003</v>
      </c>
      <c r="E7" s="222" t="s">
        <v>3802</v>
      </c>
      <c r="F7" s="119" t="s">
        <v>3801</v>
      </c>
      <c r="G7" s="118"/>
      <c r="H7" s="528">
        <v>86.0</v>
      </c>
      <c r="I7" s="120">
        <v>87.0</v>
      </c>
      <c r="J7" s="120">
        <f>VLOOKUP(D7,'L3'!$1:$2060,2,False)</f>
        <v>70</v>
      </c>
      <c r="K7" s="120">
        <f>VLOOKUP(D7,'L4'!$1:$2059,2,False)</f>
        <v>71</v>
      </c>
      <c r="L7" s="121">
        <f>VLOOKUP(D7,'A1 RETEST 5 DEC'!$1:$2096,2,False)</f>
        <v>50</v>
      </c>
      <c r="M7" s="122">
        <f>VLOOKUP(D7,'A2 RETEST 4 DEC'!$1:$2096,2,False)</f>
        <v>52</v>
      </c>
      <c r="N7" s="122">
        <v>50.0</v>
      </c>
      <c r="O7" s="121"/>
      <c r="P7" s="123">
        <f>IFNA(VLOOKUP(D7,'S1'!$1:$1000,2,False),0)</f>
        <v>83</v>
      </c>
      <c r="Q7" s="123">
        <f>vlookup(D7,'S2'!A3:B1205,2,0)</f>
        <v>75</v>
      </c>
      <c r="R7" s="123">
        <f>ifna(vlookup(D7,'S3'!$1:$1311,2,False),0)</f>
        <v>50</v>
      </c>
      <c r="S7" s="123"/>
      <c r="T7" s="125">
        <v>11.0</v>
      </c>
      <c r="U7" s="125">
        <v>20.0</v>
      </c>
      <c r="V7" s="125">
        <v>92.0</v>
      </c>
      <c r="W7" s="125">
        <v>90.0</v>
      </c>
      <c r="X7" s="125">
        <v>66.0</v>
      </c>
      <c r="Y7" s="125"/>
      <c r="Z7" s="292"/>
      <c r="AA7" s="529">
        <v>86.0</v>
      </c>
      <c r="AB7" s="530">
        <v>88.0</v>
      </c>
      <c r="AC7" s="295">
        <v>80.0</v>
      </c>
      <c r="AD7" s="295">
        <v>90.0</v>
      </c>
      <c r="AE7" s="295"/>
      <c r="AF7" s="298"/>
      <c r="AG7" s="295">
        <v>88.0</v>
      </c>
      <c r="AH7" s="298"/>
      <c r="AI7" s="118"/>
      <c r="AJ7" s="118"/>
      <c r="AK7" s="300">
        <f t="shared" si="1"/>
        <v>4</v>
      </c>
      <c r="AL7" s="300">
        <f t="shared" si="2"/>
        <v>3</v>
      </c>
      <c r="AM7" s="301">
        <f t="shared" si="3"/>
        <v>3</v>
      </c>
      <c r="AN7" s="300" t="str">
        <f t="shared" si="4"/>
        <v>3</v>
      </c>
      <c r="AO7" s="300">
        <f t="shared" si="5"/>
        <v>3</v>
      </c>
      <c r="AP7" s="88"/>
    </row>
    <row r="8">
      <c r="A8" s="142">
        <v>4.0</v>
      </c>
      <c r="B8" s="531" t="s">
        <v>1594</v>
      </c>
      <c r="C8" s="220" t="s">
        <v>3079</v>
      </c>
      <c r="D8" s="209" t="str">
        <f>VLOOKUP(B8,USN!$1:$1088,2,False)</f>
        <v>1CR23CI004</v>
      </c>
      <c r="E8" s="222">
        <v>9.353850499E9</v>
      </c>
      <c r="F8" s="119" t="s">
        <v>3801</v>
      </c>
      <c r="G8" s="118"/>
      <c r="H8" s="528">
        <v>70.0</v>
      </c>
      <c r="I8" s="120">
        <v>80.0</v>
      </c>
      <c r="J8" s="120">
        <f>VLOOKUP(D8,'L3'!$1:$2060,2,False)</f>
        <v>70</v>
      </c>
      <c r="K8" s="120">
        <f>VLOOKUP(D8,'L4'!$1:$2059,2,False)</f>
        <v>70</v>
      </c>
      <c r="L8" s="121">
        <f>VLOOKUP(D8,'A1 RETEST 5 DEC'!$1:$2096,2,False)</f>
        <v>50</v>
      </c>
      <c r="M8" s="122">
        <f>VLOOKUP(D8,'A2 RETEST 4 DEC'!$1:$2096,2,False)</f>
        <v>54</v>
      </c>
      <c r="N8" s="122">
        <v>50.0</v>
      </c>
      <c r="O8" s="121"/>
      <c r="P8" s="123">
        <f>IFNA(VLOOKUP(D8,'S1'!$1:$1000,2,False),0)</f>
        <v>77</v>
      </c>
      <c r="Q8" s="123">
        <f>vlookup(D8,'S2'!A4:B1206,2,0)</f>
        <v>50</v>
      </c>
      <c r="R8" s="123">
        <f>ifna(vlookup(D8,'S3'!$1:$1311,2,False),0)</f>
        <v>92</v>
      </c>
      <c r="S8" s="123"/>
      <c r="T8" s="125">
        <v>18.0</v>
      </c>
      <c r="U8" s="125">
        <v>21.0</v>
      </c>
      <c r="V8" s="125">
        <v>88.0</v>
      </c>
      <c r="W8" s="125">
        <v>86.0</v>
      </c>
      <c r="X8" s="125">
        <v>70.0</v>
      </c>
      <c r="Y8" s="125"/>
      <c r="Z8" s="292"/>
      <c r="AA8" s="529">
        <v>12.0</v>
      </c>
      <c r="AB8" s="530">
        <v>100.0</v>
      </c>
      <c r="AC8" s="295">
        <v>33.0</v>
      </c>
      <c r="AD8" s="295">
        <v>86.0</v>
      </c>
      <c r="AE8" s="297">
        <v>70.0</v>
      </c>
      <c r="AF8" s="298"/>
      <c r="AG8" s="295">
        <v>80.0</v>
      </c>
      <c r="AH8" s="298"/>
      <c r="AI8" s="118"/>
      <c r="AJ8" s="118"/>
      <c r="AK8" s="300">
        <f t="shared" si="1"/>
        <v>4</v>
      </c>
      <c r="AL8" s="300">
        <f t="shared" si="2"/>
        <v>3</v>
      </c>
      <c r="AM8" s="301">
        <f t="shared" si="3"/>
        <v>3</v>
      </c>
      <c r="AN8" s="300" t="str">
        <f t="shared" si="4"/>
        <v>3.5</v>
      </c>
      <c r="AO8" s="300">
        <f t="shared" si="5"/>
        <v>3</v>
      </c>
      <c r="AP8" s="88"/>
    </row>
    <row r="9">
      <c r="A9" s="142">
        <v>5.0</v>
      </c>
      <c r="B9" s="531" t="s">
        <v>1558</v>
      </c>
      <c r="C9" s="531" t="s">
        <v>3080</v>
      </c>
      <c r="D9" s="209" t="str">
        <f>VLOOKUP(B9,USN!$1:$1088,2,False)</f>
        <v>1CR23CI005</v>
      </c>
      <c r="E9" s="222">
        <v>9.142542435E9</v>
      </c>
      <c r="F9" s="119" t="s">
        <v>3801</v>
      </c>
      <c r="G9" s="118"/>
      <c r="H9" s="528">
        <v>79.0</v>
      </c>
      <c r="I9" s="120">
        <v>84.0</v>
      </c>
      <c r="J9" s="120">
        <f>VLOOKUP(D9,'L3'!$1:$2060,2,False)</f>
        <v>36</v>
      </c>
      <c r="K9" s="120">
        <f>VLOOKUP(D9,'L4'!$1:$2059,2,False)</f>
        <v>6</v>
      </c>
      <c r="L9" s="121">
        <f>VLOOKUP(D9,'A1 RETEST 5 DEC'!$1:$2096,2,False)</f>
        <v>8</v>
      </c>
      <c r="M9" s="122">
        <f>VLOOKUP(D9,'A2 RETEST 4 DEC'!$1:$2096,2,False)</f>
        <v>0</v>
      </c>
      <c r="N9" s="122">
        <v>0.0</v>
      </c>
      <c r="O9" s="121"/>
      <c r="P9" s="123">
        <f>IFNA(VLOOKUP(D9,'S1'!$1:$1000,2,False),0)</f>
        <v>80</v>
      </c>
      <c r="Q9" s="123">
        <f>vlookup(D9,'S2'!A5:B1207,2,0)</f>
        <v>0</v>
      </c>
      <c r="R9" s="123">
        <f>ifna(vlookup(D9,'S3'!$1:$1311,2,False),0)</f>
        <v>0</v>
      </c>
      <c r="S9" s="123"/>
      <c r="T9" s="125">
        <v>10.0</v>
      </c>
      <c r="U9" s="125">
        <v>25.0</v>
      </c>
      <c r="V9" s="125">
        <v>0.0</v>
      </c>
      <c r="W9" s="125">
        <v>0.0</v>
      </c>
      <c r="X9" s="125"/>
      <c r="Y9" s="125"/>
      <c r="Z9" s="292"/>
      <c r="AA9" s="529">
        <v>28.0</v>
      </c>
      <c r="AB9" s="530">
        <v>57.0</v>
      </c>
      <c r="AC9" s="295">
        <v>0.0</v>
      </c>
      <c r="AD9" s="295">
        <v>33.0</v>
      </c>
      <c r="AE9" s="297">
        <v>10.0</v>
      </c>
      <c r="AF9" s="298"/>
      <c r="AG9" s="295">
        <v>62.0</v>
      </c>
      <c r="AH9" s="298"/>
      <c r="AI9" s="118"/>
      <c r="AJ9" s="118"/>
      <c r="AK9" s="300">
        <f t="shared" si="1"/>
        <v>2</v>
      </c>
      <c r="AL9" s="300">
        <f t="shared" si="2"/>
        <v>0</v>
      </c>
      <c r="AM9" s="301">
        <f t="shared" si="3"/>
        <v>2</v>
      </c>
      <c r="AN9" s="300" t="str">
        <f t="shared" si="4"/>
        <v>2</v>
      </c>
      <c r="AO9" s="300">
        <f t="shared" si="5"/>
        <v>1</v>
      </c>
      <c r="AP9" s="88"/>
    </row>
    <row r="10">
      <c r="A10" s="142">
        <v>6.0</v>
      </c>
      <c r="B10" s="531" t="s">
        <v>1559</v>
      </c>
      <c r="C10" s="531" t="s">
        <v>3081</v>
      </c>
      <c r="D10" s="209" t="str">
        <f>VLOOKUP(B10,USN!$1:$1088,2,False)</f>
        <v>1CR23CI006</v>
      </c>
      <c r="E10" s="222">
        <v>6.364053408E9</v>
      </c>
      <c r="F10" s="119" t="s">
        <v>3801</v>
      </c>
      <c r="G10" s="118"/>
      <c r="H10" s="528">
        <v>82.0</v>
      </c>
      <c r="I10" s="120">
        <v>85.0</v>
      </c>
      <c r="J10" s="120">
        <f>VLOOKUP(D10,'L3'!$1:$2060,2,False)</f>
        <v>72</v>
      </c>
      <c r="K10" s="120">
        <f>VLOOKUP(D10,'L4'!$1:$2059,2,False)</f>
        <v>70</v>
      </c>
      <c r="L10" s="121">
        <f>VLOOKUP(D10,'A1 RETEST 5 DEC'!$1:$2096,2,False)</f>
        <v>50</v>
      </c>
      <c r="M10" s="122">
        <f>VLOOKUP(D10,'A2 RETEST 4 DEC'!$1:$2096,2,False)</f>
        <v>51</v>
      </c>
      <c r="N10" s="122">
        <v>58.25</v>
      </c>
      <c r="O10" s="121"/>
      <c r="P10" s="123">
        <f>IFNA(VLOOKUP(D10,'S1'!$1:$1000,2,False),0)</f>
        <v>81</v>
      </c>
      <c r="Q10" s="123">
        <f>vlookup(D10,'S2'!A6:B1208,2,0)</f>
        <v>67</v>
      </c>
      <c r="R10" s="123">
        <f>ifna(vlookup(D10,'S3'!$1:$1311,2,False),0)</f>
        <v>88</v>
      </c>
      <c r="S10" s="123"/>
      <c r="T10" s="125">
        <v>15.0</v>
      </c>
      <c r="U10" s="125">
        <v>24.0</v>
      </c>
      <c r="V10" s="125">
        <v>90.0</v>
      </c>
      <c r="W10" s="125">
        <v>90.0</v>
      </c>
      <c r="X10" s="125">
        <v>74.0</v>
      </c>
      <c r="Y10" s="125"/>
      <c r="Z10" s="292"/>
      <c r="AA10" s="529">
        <v>79.0</v>
      </c>
      <c r="AB10" s="530">
        <v>100.0</v>
      </c>
      <c r="AC10" s="295">
        <v>81.0</v>
      </c>
      <c r="AD10" s="295">
        <v>65.0</v>
      </c>
      <c r="AE10" s="297">
        <v>70.0</v>
      </c>
      <c r="AF10" s="298"/>
      <c r="AG10" s="295">
        <v>33.0</v>
      </c>
      <c r="AH10" s="298"/>
      <c r="AI10" s="118"/>
      <c r="AJ10" s="118"/>
      <c r="AK10" s="300">
        <f t="shared" si="1"/>
        <v>4</v>
      </c>
      <c r="AL10" s="300">
        <f t="shared" si="2"/>
        <v>3</v>
      </c>
      <c r="AM10" s="301">
        <f t="shared" si="3"/>
        <v>3</v>
      </c>
      <c r="AN10" s="300" t="str">
        <f t="shared" si="4"/>
        <v>3.5</v>
      </c>
      <c r="AO10" s="300">
        <f t="shared" si="5"/>
        <v>3</v>
      </c>
      <c r="AP10" s="88"/>
    </row>
    <row r="11">
      <c r="A11" s="142">
        <v>7.0</v>
      </c>
      <c r="B11" s="531" t="s">
        <v>128</v>
      </c>
      <c r="C11" s="531" t="s">
        <v>3082</v>
      </c>
      <c r="D11" s="209" t="str">
        <f>VLOOKUP(B11,USN!$1:$1088,2,False)</f>
        <v>1CR23CI007</v>
      </c>
      <c r="E11" s="222">
        <v>7.21941661E9</v>
      </c>
      <c r="F11" s="119" t="s">
        <v>3801</v>
      </c>
      <c r="G11" s="118"/>
      <c r="H11" s="528">
        <v>80.0</v>
      </c>
      <c r="I11" s="120">
        <v>82.0</v>
      </c>
      <c r="J11" s="120">
        <f>VLOOKUP(D11,'L3'!$1:$2060,2,False)</f>
        <v>79</v>
      </c>
      <c r="K11" s="120">
        <f>VLOOKUP(D11,'L4'!$1:$2059,2,False)</f>
        <v>77</v>
      </c>
      <c r="L11" s="121">
        <f>VLOOKUP(D11,'A1 RETEST 5 DEC'!$1:$2096,2,False)</f>
        <v>59</v>
      </c>
      <c r="M11" s="122">
        <f>VLOOKUP(D11,'A2 RETEST 4 DEC'!$1:$2096,2,False)</f>
        <v>55</v>
      </c>
      <c r="N11" s="122">
        <v>60.25</v>
      </c>
      <c r="O11" s="121"/>
      <c r="P11" s="123">
        <f>IFNA(VLOOKUP(D11,'S1'!$1:$1000,2,False),0)</f>
        <v>82</v>
      </c>
      <c r="Q11" s="123">
        <f>vlookup(D11,'S2'!A7:B1209,2,0)</f>
        <v>72</v>
      </c>
      <c r="R11" s="123">
        <f>ifna(vlookup(D11,'S3'!$1:$1311,2,False),0)</f>
        <v>88</v>
      </c>
      <c r="S11" s="123"/>
      <c r="T11" s="125">
        <v>13.0</v>
      </c>
      <c r="U11" s="125">
        <v>21.0</v>
      </c>
      <c r="V11" s="125">
        <v>86.0</v>
      </c>
      <c r="W11" s="125">
        <v>90.0</v>
      </c>
      <c r="X11" s="125">
        <v>78.0</v>
      </c>
      <c r="Y11" s="125"/>
      <c r="Z11" s="292"/>
      <c r="AA11" s="529">
        <v>90.0</v>
      </c>
      <c r="AB11" s="530">
        <v>100.0</v>
      </c>
      <c r="AC11" s="295">
        <v>77.0</v>
      </c>
      <c r="AD11" s="295">
        <v>60.0</v>
      </c>
      <c r="AE11" s="297">
        <v>84.0</v>
      </c>
      <c r="AF11" s="298"/>
      <c r="AG11" s="295">
        <v>85.0</v>
      </c>
      <c r="AH11" s="298"/>
      <c r="AI11" s="118"/>
      <c r="AJ11" s="118"/>
      <c r="AK11" s="300">
        <f t="shared" si="1"/>
        <v>4</v>
      </c>
      <c r="AL11" s="300">
        <f t="shared" si="2"/>
        <v>3</v>
      </c>
      <c r="AM11" s="301">
        <f t="shared" si="3"/>
        <v>3</v>
      </c>
      <c r="AN11" s="300" t="str">
        <f t="shared" si="4"/>
        <v>3.5</v>
      </c>
      <c r="AO11" s="300">
        <f t="shared" si="5"/>
        <v>3</v>
      </c>
      <c r="AP11" s="88"/>
    </row>
    <row r="12">
      <c r="A12" s="142">
        <v>8.0</v>
      </c>
      <c r="B12" s="531" t="s">
        <v>1560</v>
      </c>
      <c r="C12" s="531" t="s">
        <v>3083</v>
      </c>
      <c r="D12" s="209" t="str">
        <f>VLOOKUP(B12,USN!$1:$1088,2,False)</f>
        <v>1CR23CI008</v>
      </c>
      <c r="E12" s="222">
        <v>8.789323278E9</v>
      </c>
      <c r="F12" s="119" t="s">
        <v>3801</v>
      </c>
      <c r="G12" s="118"/>
      <c r="H12" s="528">
        <v>66.0</v>
      </c>
      <c r="I12" s="120">
        <v>72.0</v>
      </c>
      <c r="J12" s="120">
        <f>VLOOKUP(D12,'L3'!$1:$2060,2,False)</f>
        <v>13</v>
      </c>
      <c r="K12" s="120">
        <f>VLOOKUP(D12,'L4'!$1:$2059,2,False)</f>
        <v>13</v>
      </c>
      <c r="L12" s="121">
        <f>VLOOKUP(D12,'A1 RETEST 5 DEC'!$1:$2096,2,False)</f>
        <v>24</v>
      </c>
      <c r="M12" s="122">
        <f>VLOOKUP(D12,'A2 RETEST 4 DEC'!$1:$2096,2,False)</f>
        <v>50</v>
      </c>
      <c r="N12" s="122">
        <v>12.5</v>
      </c>
      <c r="O12" s="121"/>
      <c r="P12" s="123">
        <f>IFNA(VLOOKUP(D12,'S1'!$1:$1000,2,False),0)</f>
        <v>80</v>
      </c>
      <c r="Q12" s="123">
        <f>vlookup(D12,'S2'!A8:B1210,2,0)</f>
        <v>62</v>
      </c>
      <c r="R12" s="123">
        <f>ifna(vlookup(D12,'S3'!$1:$1311,2,False),0)</f>
        <v>0</v>
      </c>
      <c r="S12" s="123"/>
      <c r="T12" s="125">
        <v>11.0</v>
      </c>
      <c r="U12" s="125">
        <v>22.0</v>
      </c>
      <c r="V12" s="125">
        <v>92.0</v>
      </c>
      <c r="W12" s="125">
        <v>86.0</v>
      </c>
      <c r="X12" s="125">
        <v>78.0</v>
      </c>
      <c r="Y12" s="125"/>
      <c r="Z12" s="292"/>
      <c r="AA12" s="529">
        <v>58.0</v>
      </c>
      <c r="AB12" s="530">
        <v>47.0</v>
      </c>
      <c r="AC12" s="295">
        <v>0.0</v>
      </c>
      <c r="AD12" s="295">
        <v>0.0</v>
      </c>
      <c r="AE12" s="297">
        <v>10.0</v>
      </c>
      <c r="AF12" s="298"/>
      <c r="AG12" s="295">
        <v>56.0</v>
      </c>
      <c r="AH12" s="298"/>
      <c r="AI12" s="118"/>
      <c r="AJ12" s="118"/>
      <c r="AK12" s="300">
        <f t="shared" si="1"/>
        <v>2</v>
      </c>
      <c r="AL12" s="300">
        <f t="shared" si="2"/>
        <v>0</v>
      </c>
      <c r="AM12" s="301">
        <f t="shared" si="3"/>
        <v>3</v>
      </c>
      <c r="AN12" s="300" t="str">
        <f t="shared" si="4"/>
        <v>0</v>
      </c>
      <c r="AO12" s="300">
        <f t="shared" si="5"/>
        <v>2</v>
      </c>
      <c r="AP12" s="88"/>
    </row>
    <row r="13">
      <c r="A13" s="142">
        <v>9.0</v>
      </c>
      <c r="B13" s="220" t="s">
        <v>1599</v>
      </c>
      <c r="C13" s="220" t="s">
        <v>3084</v>
      </c>
      <c r="D13" s="209" t="str">
        <f>VLOOKUP(B13,USN!$1:$1088,2,False)</f>
        <v>1CR23CI009</v>
      </c>
      <c r="E13" s="234">
        <v>9.341804303E9</v>
      </c>
      <c r="F13" s="119" t="s">
        <v>3801</v>
      </c>
      <c r="G13" s="118"/>
      <c r="H13" s="528">
        <v>71.0</v>
      </c>
      <c r="I13" s="120">
        <v>80.0</v>
      </c>
      <c r="J13" s="120">
        <f>VLOOKUP(D13,'L3'!$1:$2060,2,False)</f>
        <v>61</v>
      </c>
      <c r="K13" s="120">
        <f>VLOOKUP(D13,'L4'!$1:$2059,2,False)</f>
        <v>70</v>
      </c>
      <c r="L13" s="121">
        <f>VLOOKUP(D13,'A1 RETEST 5 DEC'!$1:$2096,2,False)</f>
        <v>50</v>
      </c>
      <c r="M13" s="122">
        <f>VLOOKUP(D13,'A2 RETEST 4 DEC'!$1:$2096,2,False)</f>
        <v>50</v>
      </c>
      <c r="N13" s="122">
        <v>15.0</v>
      </c>
      <c r="O13" s="121"/>
      <c r="P13" s="123">
        <f>IFNA(VLOOKUP(D13,'S1'!$1:$1000,2,False),0)</f>
        <v>80</v>
      </c>
      <c r="Q13" s="123">
        <f>vlookup(D13,'S2'!A9:B1211,2,0)</f>
        <v>50</v>
      </c>
      <c r="R13" s="123">
        <f>ifna(vlookup(D13,'S3'!$1:$1311,2,False),0)</f>
        <v>50</v>
      </c>
      <c r="S13" s="123"/>
      <c r="T13" s="125">
        <v>16.0</v>
      </c>
      <c r="U13" s="125">
        <v>19.0</v>
      </c>
      <c r="V13" s="125">
        <v>88.0</v>
      </c>
      <c r="W13" s="125">
        <v>90.0</v>
      </c>
      <c r="X13" s="125">
        <v>78.0</v>
      </c>
      <c r="Y13" s="125"/>
      <c r="Z13" s="292"/>
      <c r="AA13" s="529">
        <v>92.0</v>
      </c>
      <c r="AB13" s="530">
        <v>79.0</v>
      </c>
      <c r="AC13" s="295">
        <v>57.0</v>
      </c>
      <c r="AD13" s="295">
        <v>60.0</v>
      </c>
      <c r="AE13" s="297">
        <v>14.0</v>
      </c>
      <c r="AF13" s="298"/>
      <c r="AG13" s="295">
        <v>30.0</v>
      </c>
      <c r="AH13" s="298"/>
      <c r="AI13" s="118"/>
      <c r="AJ13" s="118"/>
      <c r="AK13" s="300">
        <f t="shared" si="1"/>
        <v>2</v>
      </c>
      <c r="AL13" s="300">
        <f t="shared" si="2"/>
        <v>2</v>
      </c>
      <c r="AM13" s="301">
        <f t="shared" si="3"/>
        <v>3</v>
      </c>
      <c r="AN13" s="300" t="str">
        <f t="shared" si="4"/>
        <v>3</v>
      </c>
      <c r="AO13" s="300">
        <f t="shared" si="5"/>
        <v>3</v>
      </c>
      <c r="AP13" s="88"/>
    </row>
    <row r="14">
      <c r="A14" s="142">
        <v>10.0</v>
      </c>
      <c r="B14" s="531" t="s">
        <v>1561</v>
      </c>
      <c r="C14" s="532" t="s">
        <v>3085</v>
      </c>
      <c r="D14" s="209" t="str">
        <f>VLOOKUP(B14,USN!$1:$1088,2,False)</f>
        <v>1CR23CI010</v>
      </c>
      <c r="E14" s="222">
        <v>9.742672605E9</v>
      </c>
      <c r="F14" s="119" t="s">
        <v>3801</v>
      </c>
      <c r="G14" s="118"/>
      <c r="H14" s="528">
        <v>80.0</v>
      </c>
      <c r="I14" s="120">
        <v>92.0</v>
      </c>
      <c r="J14" s="120">
        <f>VLOOKUP(D14,'L3'!$1:$2060,2,False)</f>
        <v>71</v>
      </c>
      <c r="K14" s="120">
        <f>VLOOKUP(D14,'L4'!$1:$2059,2,False)</f>
        <v>76</v>
      </c>
      <c r="L14" s="121">
        <f>VLOOKUP(D14,'A1 RETEST 5 DEC'!$1:$2096,2,False)</f>
        <v>50</v>
      </c>
      <c r="M14" s="122">
        <f>VLOOKUP(D14,'A2 RETEST 4 DEC'!$1:$2096,2,False)</f>
        <v>50</v>
      </c>
      <c r="N14" s="122">
        <v>50.0</v>
      </c>
      <c r="O14" s="121"/>
      <c r="P14" s="123">
        <f>IFNA(VLOOKUP(D14,'S1'!$1:$1000,2,False),0)</f>
        <v>80</v>
      </c>
      <c r="Q14" s="123">
        <f>vlookup(D14,'S2'!A10:B1212,2,0)</f>
        <v>62</v>
      </c>
      <c r="R14" s="123">
        <f>ifna(vlookup(D14,'S3'!$1:$1311,2,False),0)</f>
        <v>94</v>
      </c>
      <c r="S14" s="123"/>
      <c r="T14" s="125">
        <v>11.0</v>
      </c>
      <c r="U14" s="125">
        <v>20.0</v>
      </c>
      <c r="V14" s="125">
        <v>90.0</v>
      </c>
      <c r="W14" s="125">
        <v>90.0</v>
      </c>
      <c r="X14" s="125">
        <v>76.0</v>
      </c>
      <c r="Y14" s="125"/>
      <c r="Z14" s="292"/>
      <c r="AA14" s="529">
        <v>58.0</v>
      </c>
      <c r="AB14" s="530">
        <v>100.0</v>
      </c>
      <c r="AC14" s="295">
        <v>70.0</v>
      </c>
      <c r="AD14" s="295">
        <v>86.0</v>
      </c>
      <c r="AE14" s="297">
        <v>70.0</v>
      </c>
      <c r="AF14" s="298"/>
      <c r="AG14" s="295">
        <v>83.0</v>
      </c>
      <c r="AH14" s="298"/>
      <c r="AI14" s="118"/>
      <c r="AJ14" s="118"/>
      <c r="AK14" s="300">
        <f t="shared" si="1"/>
        <v>4</v>
      </c>
      <c r="AL14" s="300">
        <f t="shared" si="2"/>
        <v>3</v>
      </c>
      <c r="AM14" s="301">
        <f t="shared" si="3"/>
        <v>3</v>
      </c>
      <c r="AN14" s="300" t="str">
        <f t="shared" si="4"/>
        <v>3.5</v>
      </c>
      <c r="AO14" s="300">
        <f t="shared" si="5"/>
        <v>3</v>
      </c>
      <c r="AP14" s="88"/>
    </row>
    <row r="15">
      <c r="A15" s="142">
        <v>11.0</v>
      </c>
      <c r="B15" s="220" t="s">
        <v>1603</v>
      </c>
      <c r="C15" s="220" t="s">
        <v>3086</v>
      </c>
      <c r="D15" s="209" t="str">
        <f>VLOOKUP(B15,USN!$1:$1088,2,False)</f>
        <v>1CR23CI011</v>
      </c>
      <c r="E15" s="234">
        <v>6.303655059E9</v>
      </c>
      <c r="F15" s="116" t="s">
        <v>3801</v>
      </c>
      <c r="G15" s="118"/>
      <c r="H15" s="528">
        <v>76.0</v>
      </c>
      <c r="I15" s="120">
        <v>75.0</v>
      </c>
      <c r="J15" s="120">
        <f>VLOOKUP(D15,'L3'!$1:$2060,2,False)</f>
        <v>68</v>
      </c>
      <c r="K15" s="120">
        <f>VLOOKUP(D15,'L4'!$1:$2059,2,False)</f>
        <v>70</v>
      </c>
      <c r="L15" s="121">
        <f>VLOOKUP(D15,'A1 RETEST 5 DEC'!$1:$2096,2,False)</f>
        <v>50</v>
      </c>
      <c r="M15" s="122">
        <f>VLOOKUP(D15,'A2 RETEST 4 DEC'!$1:$2096,2,False)</f>
        <v>50</v>
      </c>
      <c r="N15" s="122">
        <v>16.5</v>
      </c>
      <c r="O15" s="121"/>
      <c r="P15" s="123">
        <f>IFNA(VLOOKUP(D15,'S1'!$1:$1000,2,False),0)</f>
        <v>50</v>
      </c>
      <c r="Q15" s="123">
        <f>vlookup(D15,'S2'!A11:B1213,2,0)</f>
        <v>50</v>
      </c>
      <c r="R15" s="123">
        <f>ifna(vlookup(D15,'S3'!$1:$1311,2,False),0)</f>
        <v>50</v>
      </c>
      <c r="S15" s="123"/>
      <c r="T15" s="125">
        <v>17.0</v>
      </c>
      <c r="U15" s="125">
        <v>20.0</v>
      </c>
      <c r="V15" s="125">
        <v>86.0</v>
      </c>
      <c r="W15" s="125">
        <v>90.0</v>
      </c>
      <c r="X15" s="125">
        <v>68.0</v>
      </c>
      <c r="Y15" s="125"/>
      <c r="Z15" s="292"/>
      <c r="AA15" s="529">
        <v>23.0</v>
      </c>
      <c r="AB15" s="530">
        <v>20.0</v>
      </c>
      <c r="AC15" s="295">
        <v>44.0</v>
      </c>
      <c r="AD15" s="295">
        <v>1.0</v>
      </c>
      <c r="AE15" s="297">
        <v>70.0</v>
      </c>
      <c r="AF15" s="298"/>
      <c r="AG15" s="295">
        <v>33.0</v>
      </c>
      <c r="AH15" s="298"/>
      <c r="AI15" s="118"/>
      <c r="AJ15" s="118"/>
      <c r="AK15" s="300">
        <f t="shared" si="1"/>
        <v>2</v>
      </c>
      <c r="AL15" s="300">
        <f t="shared" si="2"/>
        <v>2</v>
      </c>
      <c r="AM15" s="301">
        <f t="shared" si="3"/>
        <v>3</v>
      </c>
      <c r="AN15" s="300" t="str">
        <f t="shared" si="4"/>
        <v>0</v>
      </c>
      <c r="AO15" s="300">
        <f t="shared" si="5"/>
        <v>3</v>
      </c>
      <c r="AP15" s="88"/>
    </row>
    <row r="16">
      <c r="A16" s="142">
        <v>12.0</v>
      </c>
      <c r="B16" s="531" t="s">
        <v>1563</v>
      </c>
      <c r="C16" s="531" t="s">
        <v>3087</v>
      </c>
      <c r="D16" s="209" t="str">
        <f>VLOOKUP(B16,USN!$1:$1088,2,False)</f>
        <v>1CR23CI012</v>
      </c>
      <c r="E16" s="222">
        <v>9.606259608E9</v>
      </c>
      <c r="F16" s="119" t="s">
        <v>3801</v>
      </c>
      <c r="G16" s="118"/>
      <c r="H16" s="528">
        <v>87.0</v>
      </c>
      <c r="I16" s="120">
        <v>98.0</v>
      </c>
      <c r="J16" s="120">
        <f>VLOOKUP(D16,'L3'!$1:$2060,2,False)</f>
        <v>81</v>
      </c>
      <c r="K16" s="120">
        <f>VLOOKUP(D16,'L4'!$1:$2059,2,False)</f>
        <v>83</v>
      </c>
      <c r="L16" s="121">
        <f>VLOOKUP(D16,'A1 RETEST 5 DEC'!$1:$2096,2,False)</f>
        <v>73</v>
      </c>
      <c r="M16" s="122">
        <f>VLOOKUP(D16,'A2 RETEST 4 DEC'!$1:$2096,2,False)</f>
        <v>56</v>
      </c>
      <c r="N16" s="122">
        <v>58.5</v>
      </c>
      <c r="O16" s="121"/>
      <c r="P16" s="123">
        <f>IFNA(VLOOKUP(D16,'S1'!$1:$1000,2,False),0)</f>
        <v>82</v>
      </c>
      <c r="Q16" s="123">
        <f>vlookup(D16,'S2'!A12:B1214,2,0)</f>
        <v>73</v>
      </c>
      <c r="R16" s="123">
        <f>ifna(vlookup(D16,'S3'!$1:$1311,2,False),0)</f>
        <v>94</v>
      </c>
      <c r="S16" s="123"/>
      <c r="T16" s="125">
        <v>19.0</v>
      </c>
      <c r="U16" s="125">
        <v>21.0</v>
      </c>
      <c r="V16" s="125">
        <v>90.0</v>
      </c>
      <c r="W16" s="125">
        <v>90.0</v>
      </c>
      <c r="X16" s="125">
        <v>78.0</v>
      </c>
      <c r="Y16" s="125"/>
      <c r="Z16" s="292"/>
      <c r="AA16" s="529">
        <v>74.0</v>
      </c>
      <c r="AB16" s="530">
        <v>100.0</v>
      </c>
      <c r="AC16" s="295">
        <v>98.0</v>
      </c>
      <c r="AD16" s="295">
        <v>65.0</v>
      </c>
      <c r="AE16" s="297">
        <v>95.0</v>
      </c>
      <c r="AF16" s="298"/>
      <c r="AG16" s="295">
        <v>99.0</v>
      </c>
      <c r="AH16" s="298"/>
      <c r="AI16" s="118"/>
      <c r="AJ16" s="118"/>
      <c r="AK16" s="300">
        <f t="shared" si="1"/>
        <v>4</v>
      </c>
      <c r="AL16" s="300">
        <f t="shared" si="2"/>
        <v>3</v>
      </c>
      <c r="AM16" s="301">
        <f t="shared" si="3"/>
        <v>3</v>
      </c>
      <c r="AN16" s="300" t="str">
        <f t="shared" si="4"/>
        <v>3.5</v>
      </c>
      <c r="AO16" s="300">
        <f t="shared" si="5"/>
        <v>3</v>
      </c>
      <c r="AP16" s="88"/>
    </row>
    <row r="17">
      <c r="A17" s="142">
        <v>13.0</v>
      </c>
      <c r="B17" s="531" t="s">
        <v>34</v>
      </c>
      <c r="C17" s="220" t="s">
        <v>3088</v>
      </c>
      <c r="D17" s="209" t="str">
        <f>VLOOKUP(B17,USN!$1:$1088,2,False)</f>
        <v>1CR23CI013</v>
      </c>
      <c r="E17" s="222">
        <v>7.411078252E9</v>
      </c>
      <c r="F17" s="119" t="s">
        <v>3801</v>
      </c>
      <c r="G17" s="118"/>
      <c r="H17" s="533">
        <v>70.0</v>
      </c>
      <c r="I17" s="120">
        <v>86.0</v>
      </c>
      <c r="J17" s="120">
        <f>VLOOKUP(D17,'L3'!$1:$2060,2,False)</f>
        <v>76</v>
      </c>
      <c r="K17" s="120">
        <f>VLOOKUP(D17,'L4'!$1:$2059,2,False)</f>
        <v>70</v>
      </c>
      <c r="L17" s="121">
        <f>VLOOKUP(D17,'A1 RETEST 5 DEC'!$1:$2096,2,False)</f>
        <v>50</v>
      </c>
      <c r="M17" s="122">
        <f>VLOOKUP(D17,'A2 RETEST 4 DEC'!$1:$2096,2,False)</f>
        <v>54</v>
      </c>
      <c r="N17" s="122">
        <v>51.75</v>
      </c>
      <c r="O17" s="121"/>
      <c r="P17" s="123">
        <f>IFNA(VLOOKUP(D17,'S1'!$1:$1000,2,False),0)</f>
        <v>50</v>
      </c>
      <c r="Q17" s="123">
        <f>vlookup(D17,'S2'!A13:B1215,2,0)</f>
        <v>67</v>
      </c>
      <c r="R17" s="123">
        <f>ifna(vlookup(D17,'S3'!$1:$1311,2,False),0)</f>
        <v>94</v>
      </c>
      <c r="S17" s="123"/>
      <c r="T17" s="125">
        <v>13.0</v>
      </c>
      <c r="U17" s="125">
        <v>24.0</v>
      </c>
      <c r="V17" s="125">
        <v>90.0</v>
      </c>
      <c r="W17" s="125">
        <v>90.0</v>
      </c>
      <c r="X17" s="125">
        <v>72.0</v>
      </c>
      <c r="Y17" s="125"/>
      <c r="Z17" s="292"/>
      <c r="AA17" s="529">
        <v>84.0</v>
      </c>
      <c r="AB17" s="530">
        <v>100.0</v>
      </c>
      <c r="AC17" s="295">
        <v>97.0</v>
      </c>
      <c r="AD17" s="295">
        <v>42.0</v>
      </c>
      <c r="AE17" s="297">
        <v>75.0</v>
      </c>
      <c r="AF17" s="298"/>
      <c r="AG17" s="295">
        <v>50.0</v>
      </c>
      <c r="AH17" s="298"/>
      <c r="AI17" s="118"/>
      <c r="AJ17" s="118"/>
      <c r="AK17" s="300">
        <f t="shared" si="1"/>
        <v>4</v>
      </c>
      <c r="AL17" s="300">
        <f t="shared" si="2"/>
        <v>3</v>
      </c>
      <c r="AM17" s="301">
        <f t="shared" si="3"/>
        <v>3</v>
      </c>
      <c r="AN17" s="300" t="str">
        <f t="shared" si="4"/>
        <v>3.5</v>
      </c>
      <c r="AO17" s="300">
        <f t="shared" si="5"/>
        <v>3</v>
      </c>
      <c r="AP17" s="88"/>
    </row>
    <row r="18">
      <c r="A18" s="142">
        <v>14.0</v>
      </c>
      <c r="B18" s="220" t="s">
        <v>1609</v>
      </c>
      <c r="C18" s="220" t="s">
        <v>3089</v>
      </c>
      <c r="D18" s="209" t="str">
        <f>VLOOKUP(B18,USN!$1:$1088,2,False)</f>
        <v>1CR23CI014</v>
      </c>
      <c r="E18" s="234">
        <v>7.975397792E9</v>
      </c>
      <c r="F18" s="116" t="s">
        <v>3801</v>
      </c>
      <c r="G18" s="118"/>
      <c r="H18" s="533">
        <v>70.0</v>
      </c>
      <c r="I18" s="120">
        <v>76.0</v>
      </c>
      <c r="J18" s="120">
        <f>VLOOKUP(D18,'L3'!$1:$2060,2,False)</f>
        <v>70</v>
      </c>
      <c r="K18" s="120">
        <f>VLOOKUP(D18,'L4'!$1:$2059,2,False)</f>
        <v>70</v>
      </c>
      <c r="L18" s="121">
        <f>VLOOKUP(D18,'A1 RETEST 5 DEC'!$1:$2096,2,False)</f>
        <v>50</v>
      </c>
      <c r="M18" s="122">
        <f>VLOOKUP(D18,'A2 RETEST 4 DEC'!$1:$2096,2,False)</f>
        <v>50</v>
      </c>
      <c r="N18" s="122">
        <v>8.25</v>
      </c>
      <c r="O18" s="121"/>
      <c r="P18" s="123">
        <f>IFNA(VLOOKUP(D18,'S1'!$1:$1000,2,False),0)</f>
        <v>83</v>
      </c>
      <c r="Q18" s="123">
        <f>vlookup(D18,'S2'!A14:B1216,2,0)</f>
        <v>90</v>
      </c>
      <c r="R18" s="123">
        <f>ifna(vlookup(D18,'S3'!$1:$1311,2,False),0)</f>
        <v>80</v>
      </c>
      <c r="S18" s="123"/>
      <c r="T18" s="125">
        <v>21.0</v>
      </c>
      <c r="U18" s="125">
        <v>25.0</v>
      </c>
      <c r="V18" s="125">
        <v>92.0</v>
      </c>
      <c r="W18" s="125">
        <v>90.0</v>
      </c>
      <c r="X18" s="125">
        <v>68.0</v>
      </c>
      <c r="Y18" s="125"/>
      <c r="Z18" s="292"/>
      <c r="AA18" s="529">
        <v>8.0</v>
      </c>
      <c r="AB18" s="530">
        <v>57.0</v>
      </c>
      <c r="AC18" s="295">
        <v>84.0</v>
      </c>
      <c r="AD18" s="295">
        <v>60.0</v>
      </c>
      <c r="AE18" s="297">
        <v>10.0</v>
      </c>
      <c r="AF18" s="298"/>
      <c r="AG18" s="295">
        <v>60.0</v>
      </c>
      <c r="AH18" s="298"/>
      <c r="AI18" s="118"/>
      <c r="AJ18" s="118"/>
      <c r="AK18" s="300">
        <f t="shared" si="1"/>
        <v>4</v>
      </c>
      <c r="AL18" s="300">
        <f t="shared" si="2"/>
        <v>2</v>
      </c>
      <c r="AM18" s="301">
        <f t="shared" si="3"/>
        <v>3</v>
      </c>
      <c r="AN18" s="300" t="str">
        <f t="shared" si="4"/>
        <v>3</v>
      </c>
      <c r="AO18" s="300">
        <f t="shared" si="5"/>
        <v>3</v>
      </c>
      <c r="AP18" s="88"/>
    </row>
    <row r="19">
      <c r="A19" s="142">
        <v>15.0</v>
      </c>
      <c r="B19" s="531" t="s">
        <v>1564</v>
      </c>
      <c r="C19" s="531" t="s">
        <v>3090</v>
      </c>
      <c r="D19" s="209" t="str">
        <f>VLOOKUP(B19,USN!$1:$1088,2,False)</f>
        <v>1CR23CI015</v>
      </c>
      <c r="E19" s="222">
        <v>6.304364053E9</v>
      </c>
      <c r="F19" s="119" t="s">
        <v>3801</v>
      </c>
      <c r="G19" s="118"/>
      <c r="H19" s="533">
        <v>70.0</v>
      </c>
      <c r="I19" s="120">
        <v>78.0</v>
      </c>
      <c r="J19" s="120">
        <f>VLOOKUP(D19,'L3'!$1:$2060,2,False)</f>
        <v>70</v>
      </c>
      <c r="K19" s="120">
        <f>VLOOKUP(D19,'L4'!$1:$2059,2,False)</f>
        <v>70</v>
      </c>
      <c r="L19" s="121">
        <f>VLOOKUP(D19,'A1 RETEST 5 DEC'!$1:$2096,2,False)</f>
        <v>50</v>
      </c>
      <c r="M19" s="122">
        <f>VLOOKUP(D19,'A2 RETEST 4 DEC'!$1:$2096,2,False)</f>
        <v>50</v>
      </c>
      <c r="N19" s="122">
        <v>50.0</v>
      </c>
      <c r="O19" s="121"/>
      <c r="P19" s="123">
        <f>IFNA(VLOOKUP(D19,'S1'!$1:$1000,2,False),0)</f>
        <v>73</v>
      </c>
      <c r="Q19" s="123">
        <f>vlookup(D19,'S2'!A15:B1217,2,0)</f>
        <v>50</v>
      </c>
      <c r="R19" s="123">
        <f>ifna(vlookup(D19,'S3'!$1:$1311,2,False),0)</f>
        <v>91</v>
      </c>
      <c r="S19" s="123"/>
      <c r="T19" s="125">
        <v>12.0</v>
      </c>
      <c r="U19" s="125">
        <v>24.0</v>
      </c>
      <c r="V19" s="125">
        <v>92.0</v>
      </c>
      <c r="W19" s="125">
        <v>90.0</v>
      </c>
      <c r="X19" s="125">
        <v>70.0</v>
      </c>
      <c r="Y19" s="125"/>
      <c r="Z19" s="292"/>
      <c r="AA19" s="529">
        <v>54.0</v>
      </c>
      <c r="AB19" s="530">
        <v>71.0</v>
      </c>
      <c r="AC19" s="295">
        <v>62.0</v>
      </c>
      <c r="AD19" s="295">
        <v>60.0</v>
      </c>
      <c r="AE19" s="297">
        <v>31.0</v>
      </c>
      <c r="AF19" s="298"/>
      <c r="AG19" s="295">
        <v>70.0</v>
      </c>
      <c r="AH19" s="298"/>
      <c r="AI19" s="118"/>
      <c r="AJ19" s="118"/>
      <c r="AK19" s="300">
        <f t="shared" si="1"/>
        <v>4</v>
      </c>
      <c r="AL19" s="300">
        <f t="shared" si="2"/>
        <v>3</v>
      </c>
      <c r="AM19" s="301">
        <f t="shared" si="3"/>
        <v>3</v>
      </c>
      <c r="AN19" s="300" t="str">
        <f t="shared" si="4"/>
        <v>3</v>
      </c>
      <c r="AO19" s="300">
        <f t="shared" si="5"/>
        <v>3</v>
      </c>
      <c r="AP19" s="88"/>
    </row>
    <row r="20">
      <c r="A20" s="142">
        <v>16.0</v>
      </c>
      <c r="B20" s="531" t="s">
        <v>1565</v>
      </c>
      <c r="C20" s="531" t="s">
        <v>3091</v>
      </c>
      <c r="D20" s="209" t="str">
        <f>VLOOKUP(B20,USN!$1:$1088,2,False)</f>
        <v>1CR23CI016</v>
      </c>
      <c r="E20" s="222">
        <v>6.362055403E9</v>
      </c>
      <c r="F20" s="119" t="s">
        <v>3801</v>
      </c>
      <c r="G20" s="118"/>
      <c r="H20" s="528">
        <v>71.0</v>
      </c>
      <c r="I20" s="120">
        <v>92.0</v>
      </c>
      <c r="J20" s="120">
        <f>VLOOKUP(D20,'L3'!$1:$2060,2,False)</f>
        <v>86</v>
      </c>
      <c r="K20" s="120">
        <f>VLOOKUP(D20,'L4'!$1:$2059,2,False)</f>
        <v>75</v>
      </c>
      <c r="L20" s="121">
        <f>VLOOKUP(D20,'A1 RETEST 5 DEC'!$1:$2096,2,False)</f>
        <v>50</v>
      </c>
      <c r="M20" s="122">
        <f>VLOOKUP(D20,'A2 RETEST 4 DEC'!$1:$2096,2,False)</f>
        <v>52</v>
      </c>
      <c r="N20" s="122">
        <v>50.0</v>
      </c>
      <c r="O20" s="121"/>
      <c r="P20" s="123">
        <f>IFNA(VLOOKUP(D20,'S1'!$1:$1000,2,False),0)</f>
        <v>80</v>
      </c>
      <c r="Q20" s="123">
        <f>vlookup(D20,'S2'!A16:B1218,2,0)</f>
        <v>70</v>
      </c>
      <c r="R20" s="123">
        <f>ifna(vlookup(D20,'S3'!$1:$1311,2,False),0)</f>
        <v>91</v>
      </c>
      <c r="S20" s="123"/>
      <c r="T20" s="125">
        <v>16.0</v>
      </c>
      <c r="U20" s="125">
        <v>22.0</v>
      </c>
      <c r="V20" s="125">
        <v>92.0</v>
      </c>
      <c r="W20" s="125">
        <v>90.0</v>
      </c>
      <c r="X20" s="125">
        <v>80.0</v>
      </c>
      <c r="Y20" s="125"/>
      <c r="Z20" s="292"/>
      <c r="AA20" s="529">
        <v>62.0</v>
      </c>
      <c r="AB20" s="530">
        <v>93.0</v>
      </c>
      <c r="AC20" s="295">
        <v>63.0</v>
      </c>
      <c r="AD20" s="295">
        <v>85.0</v>
      </c>
      <c r="AE20" s="297">
        <v>77.0</v>
      </c>
      <c r="AF20" s="298"/>
      <c r="AG20" s="295">
        <v>76.0</v>
      </c>
      <c r="AH20" s="298"/>
      <c r="AI20" s="118"/>
      <c r="AJ20" s="118"/>
      <c r="AK20" s="300">
        <f t="shared" si="1"/>
        <v>4</v>
      </c>
      <c r="AL20" s="300">
        <f t="shared" si="2"/>
        <v>3</v>
      </c>
      <c r="AM20" s="301">
        <f t="shared" si="3"/>
        <v>3</v>
      </c>
      <c r="AN20" s="300" t="str">
        <f t="shared" si="4"/>
        <v>3.5</v>
      </c>
      <c r="AO20" s="300">
        <f t="shared" si="5"/>
        <v>3</v>
      </c>
      <c r="AP20" s="88"/>
    </row>
    <row r="21">
      <c r="A21" s="142">
        <v>17.0</v>
      </c>
      <c r="B21" s="534" t="s">
        <v>1566</v>
      </c>
      <c r="C21" s="531" t="s">
        <v>3092</v>
      </c>
      <c r="D21" s="209" t="str">
        <f>VLOOKUP(B21,USN!$1:$1088,2,False)</f>
        <v>1CR23CI017</v>
      </c>
      <c r="E21" s="222">
        <v>8.317455379E9</v>
      </c>
      <c r="F21" s="119" t="s">
        <v>3801</v>
      </c>
      <c r="G21" s="118"/>
      <c r="H21" s="528">
        <v>83.0</v>
      </c>
      <c r="I21" s="120">
        <v>89.0</v>
      </c>
      <c r="J21" s="120">
        <f>VLOOKUP(D21,'L3'!$1:$2060,2,False)</f>
        <v>70</v>
      </c>
      <c r="K21" s="120">
        <f>VLOOKUP(D21,'L4'!$1:$2059,2,False)</f>
        <v>71</v>
      </c>
      <c r="L21" s="121">
        <f>VLOOKUP(D21,'A1 RETEST 5 DEC'!$1:$2096,2,False)</f>
        <v>50</v>
      </c>
      <c r="M21" s="122">
        <f>VLOOKUP(D21,'A2 RETEST 4 DEC'!$1:$2096,2,False)</f>
        <v>55</v>
      </c>
      <c r="N21" s="122">
        <v>61.25</v>
      </c>
      <c r="O21" s="121"/>
      <c r="P21" s="123">
        <f>IFNA(VLOOKUP(D21,'S1'!$1:$1000,2,False),0)</f>
        <v>80</v>
      </c>
      <c r="Q21" s="123">
        <f>vlookup(D21,'S2'!A17:B1219,2,0)</f>
        <v>75</v>
      </c>
      <c r="R21" s="123">
        <f>ifna(vlookup(D21,'S3'!$1:$1311,2,False),0)</f>
        <v>93</v>
      </c>
      <c r="S21" s="123"/>
      <c r="T21" s="125">
        <v>14.0</v>
      </c>
      <c r="U21" s="125">
        <v>24.0</v>
      </c>
      <c r="V21" s="125">
        <v>92.0</v>
      </c>
      <c r="W21" s="125">
        <v>90.0</v>
      </c>
      <c r="X21" s="125">
        <v>64.0</v>
      </c>
      <c r="Y21" s="125"/>
      <c r="Z21" s="292"/>
      <c r="AA21" s="529">
        <v>79.0</v>
      </c>
      <c r="AB21" s="530">
        <v>97.0</v>
      </c>
      <c r="AC21" s="295">
        <v>62.0</v>
      </c>
      <c r="AD21" s="295">
        <v>60.0</v>
      </c>
      <c r="AE21" s="297">
        <v>75.0</v>
      </c>
      <c r="AF21" s="298"/>
      <c r="AG21" s="295">
        <v>78.0</v>
      </c>
      <c r="AH21" s="298"/>
      <c r="AI21" s="118"/>
      <c r="AJ21" s="118"/>
      <c r="AK21" s="300">
        <f t="shared" si="1"/>
        <v>4</v>
      </c>
      <c r="AL21" s="300">
        <f t="shared" si="2"/>
        <v>3</v>
      </c>
      <c r="AM21" s="301">
        <f t="shared" si="3"/>
        <v>3</v>
      </c>
      <c r="AN21" s="300" t="str">
        <f t="shared" si="4"/>
        <v>3.5</v>
      </c>
      <c r="AO21" s="300">
        <f t="shared" si="5"/>
        <v>3</v>
      </c>
      <c r="AP21" s="88"/>
    </row>
    <row r="22">
      <c r="A22" s="142">
        <v>18.0</v>
      </c>
      <c r="B22" s="531" t="s">
        <v>1567</v>
      </c>
      <c r="C22" s="531" t="s">
        <v>3093</v>
      </c>
      <c r="D22" s="209" t="str">
        <f>VLOOKUP(B22,USN!$1:$1088,2,False)</f>
        <v>1CR23CI018</v>
      </c>
      <c r="E22" s="222">
        <v>8.309123535E9</v>
      </c>
      <c r="F22" s="119" t="s">
        <v>3801</v>
      </c>
      <c r="G22" s="118"/>
      <c r="H22" s="528">
        <v>89.0</v>
      </c>
      <c r="I22" s="120">
        <v>86.0</v>
      </c>
      <c r="J22" s="120">
        <f>VLOOKUP(D22,'L3'!$1:$2060,2,False)</f>
        <v>70</v>
      </c>
      <c r="K22" s="120">
        <f>VLOOKUP(D22,'L4'!$1:$2059,2,False)</f>
        <v>82</v>
      </c>
      <c r="L22" s="121">
        <f>VLOOKUP(D22,'A1 RETEST 5 DEC'!$1:$2096,2,False)</f>
        <v>50</v>
      </c>
      <c r="M22" s="122">
        <f>VLOOKUP(D22,'A2 RETEST 4 DEC'!$1:$2096,2,False)</f>
        <v>50</v>
      </c>
      <c r="N22" s="122">
        <v>50.0</v>
      </c>
      <c r="O22" s="121"/>
      <c r="P22" s="123">
        <f>IFNA(VLOOKUP(D22,'S1'!$1:$1000,2,False),0)</f>
        <v>76</v>
      </c>
      <c r="Q22" s="123">
        <f>vlookup(D22,'S2'!A18:B1220,2,0)</f>
        <v>53</v>
      </c>
      <c r="R22" s="123">
        <f>ifna(vlookup(D22,'S3'!$1:$1311,2,False),0)</f>
        <v>94</v>
      </c>
      <c r="S22" s="123"/>
      <c r="T22" s="125">
        <v>14.0</v>
      </c>
      <c r="U22" s="125">
        <v>24.0</v>
      </c>
      <c r="V22" s="125">
        <v>90.0</v>
      </c>
      <c r="W22" s="125">
        <v>88.0</v>
      </c>
      <c r="X22" s="125">
        <v>76.0</v>
      </c>
      <c r="Y22" s="125"/>
      <c r="Z22" s="292"/>
      <c r="AA22" s="529">
        <v>50.0</v>
      </c>
      <c r="AB22" s="530">
        <v>100.0</v>
      </c>
      <c r="AC22" s="295">
        <v>78.0</v>
      </c>
      <c r="AD22" s="295">
        <v>90.0</v>
      </c>
      <c r="AE22" s="297">
        <v>75.0</v>
      </c>
      <c r="AF22" s="298"/>
      <c r="AG22" s="295">
        <v>82.0</v>
      </c>
      <c r="AH22" s="298"/>
      <c r="AI22" s="118"/>
      <c r="AJ22" s="118"/>
      <c r="AK22" s="300">
        <f t="shared" si="1"/>
        <v>4</v>
      </c>
      <c r="AL22" s="300">
        <f t="shared" si="2"/>
        <v>3</v>
      </c>
      <c r="AM22" s="301">
        <f t="shared" si="3"/>
        <v>3</v>
      </c>
      <c r="AN22" s="300" t="str">
        <f t="shared" si="4"/>
        <v>3.5</v>
      </c>
      <c r="AO22" s="300">
        <f t="shared" si="5"/>
        <v>3</v>
      </c>
      <c r="AP22" s="88"/>
    </row>
    <row r="23">
      <c r="A23" s="142">
        <v>19.0</v>
      </c>
      <c r="B23" s="220" t="s">
        <v>1613</v>
      </c>
      <c r="C23" s="220" t="s">
        <v>3803</v>
      </c>
      <c r="D23" s="209" t="str">
        <f>VLOOKUP(B23,USN!$1:$1088,2,False)</f>
        <v>1CR23CI019</v>
      </c>
      <c r="E23" s="234">
        <v>8.217339178E9</v>
      </c>
      <c r="F23" s="116" t="s">
        <v>3801</v>
      </c>
      <c r="G23" s="118"/>
      <c r="H23" s="528">
        <v>76.0</v>
      </c>
      <c r="I23" s="120">
        <v>83.0</v>
      </c>
      <c r="J23" s="120">
        <f>VLOOKUP(D23,'L3'!$1:$2060,2,False)</f>
        <v>78</v>
      </c>
      <c r="K23" s="120">
        <f>VLOOKUP(D23,'L4'!$1:$2059,2,False)</f>
        <v>70</v>
      </c>
      <c r="L23" s="121">
        <f>VLOOKUP(D23,'A1 RETEST 5 DEC'!$1:$2096,2,False)</f>
        <v>43</v>
      </c>
      <c r="M23" s="122">
        <f>VLOOKUP(D23,'A2 RETEST 4 DEC'!$1:$2096,2,False)</f>
        <v>50</v>
      </c>
      <c r="N23" s="122">
        <v>50.0</v>
      </c>
      <c r="O23" s="121"/>
      <c r="P23" s="123">
        <f>IFNA(VLOOKUP(D23,'S1'!$1:$1000,2,False),0)</f>
        <v>83</v>
      </c>
      <c r="Q23" s="123">
        <f>vlookup(D23,'S2'!A19:B1221,2,0)</f>
        <v>90</v>
      </c>
      <c r="R23" s="123">
        <f>ifna(vlookup(D23,'S3'!$1:$1311,2,False),0)</f>
        <v>93</v>
      </c>
      <c r="S23" s="123"/>
      <c r="T23" s="125">
        <v>13.0</v>
      </c>
      <c r="U23" s="125">
        <v>24.0</v>
      </c>
      <c r="V23" s="125">
        <v>88.0</v>
      </c>
      <c r="W23" s="125">
        <v>90.0</v>
      </c>
      <c r="X23" s="125">
        <v>80.0</v>
      </c>
      <c r="Y23" s="125"/>
      <c r="Z23" s="292"/>
      <c r="AA23" s="529">
        <v>92.0</v>
      </c>
      <c r="AB23" s="530">
        <v>91.0</v>
      </c>
      <c r="AC23" s="295">
        <v>82.0</v>
      </c>
      <c r="AD23" s="295">
        <v>60.0</v>
      </c>
      <c r="AE23" s="297">
        <v>55.0</v>
      </c>
      <c r="AF23" s="298"/>
      <c r="AG23" s="295">
        <v>82.0</v>
      </c>
      <c r="AH23" s="298"/>
      <c r="AI23" s="118"/>
      <c r="AJ23" s="118"/>
      <c r="AK23" s="300">
        <f t="shared" si="1"/>
        <v>4</v>
      </c>
      <c r="AL23" s="300">
        <f t="shared" si="2"/>
        <v>0</v>
      </c>
      <c r="AM23" s="301">
        <f t="shared" si="3"/>
        <v>3</v>
      </c>
      <c r="AN23" s="300" t="str">
        <f t="shared" si="4"/>
        <v>3</v>
      </c>
      <c r="AO23" s="300">
        <f t="shared" si="5"/>
        <v>3</v>
      </c>
      <c r="AP23" s="88"/>
    </row>
    <row r="24">
      <c r="A24" s="142">
        <v>20.0</v>
      </c>
      <c r="B24" s="531" t="s">
        <v>1568</v>
      </c>
      <c r="C24" s="531" t="s">
        <v>3095</v>
      </c>
      <c r="D24" s="209" t="str">
        <f>VLOOKUP(B24,USN!$1:$1088,2,False)</f>
        <v>1CR23CI020</v>
      </c>
      <c r="E24" s="222">
        <v>8.688424305E9</v>
      </c>
      <c r="F24" s="119" t="s">
        <v>3801</v>
      </c>
      <c r="G24" s="118"/>
      <c r="H24" s="528">
        <v>72.0</v>
      </c>
      <c r="I24" s="120">
        <v>86.0</v>
      </c>
      <c r="J24" s="120">
        <f>VLOOKUP(D24,'L3'!$1:$2060,2,False)</f>
        <v>68</v>
      </c>
      <c r="K24" s="120">
        <f>VLOOKUP(D24,'L4'!$1:$2059,2,False)</f>
        <v>70</v>
      </c>
      <c r="L24" s="121">
        <f>VLOOKUP(D24,'A1 RETEST 5 DEC'!$1:$2096,2,False)</f>
        <v>50</v>
      </c>
      <c r="M24" s="122">
        <f>VLOOKUP(D24,'A2 RETEST 4 DEC'!$1:$2096,2,False)</f>
        <v>51</v>
      </c>
      <c r="N24" s="122">
        <v>38.25</v>
      </c>
      <c r="O24" s="121"/>
      <c r="P24" s="123">
        <f>IFNA(VLOOKUP(D24,'S1'!$1:$1000,2,False),0)</f>
        <v>73</v>
      </c>
      <c r="Q24" s="123">
        <f>vlookup(D24,'S2'!A20:B1222,2,0)</f>
        <v>50</v>
      </c>
      <c r="R24" s="123">
        <f>ifna(vlookup(D24,'S3'!$1:$1311,2,False),0)</f>
        <v>90</v>
      </c>
      <c r="S24" s="123"/>
      <c r="T24" s="125">
        <v>13.0</v>
      </c>
      <c r="U24" s="125">
        <v>22.0</v>
      </c>
      <c r="V24" s="125">
        <v>92.0</v>
      </c>
      <c r="W24" s="125">
        <v>90.0</v>
      </c>
      <c r="X24" s="125">
        <v>76.0</v>
      </c>
      <c r="Y24" s="125"/>
      <c r="Z24" s="292"/>
      <c r="AA24" s="529">
        <v>34.0</v>
      </c>
      <c r="AB24" s="530">
        <v>70.0</v>
      </c>
      <c r="AC24" s="295">
        <v>100.0</v>
      </c>
      <c r="AD24" s="295">
        <v>80.0</v>
      </c>
      <c r="AE24" s="297">
        <v>60.0</v>
      </c>
      <c r="AF24" s="298"/>
      <c r="AG24" s="295">
        <v>38.0</v>
      </c>
      <c r="AH24" s="298"/>
      <c r="AI24" s="118"/>
      <c r="AJ24" s="118"/>
      <c r="AK24" s="300">
        <f t="shared" si="1"/>
        <v>2</v>
      </c>
      <c r="AL24" s="300">
        <f t="shared" si="2"/>
        <v>2</v>
      </c>
      <c r="AM24" s="301">
        <f t="shared" si="3"/>
        <v>3</v>
      </c>
      <c r="AN24" s="300" t="str">
        <f t="shared" si="4"/>
        <v>3</v>
      </c>
      <c r="AO24" s="300">
        <f t="shared" si="5"/>
        <v>3</v>
      </c>
      <c r="AP24" s="88"/>
    </row>
    <row r="25">
      <c r="A25" s="142">
        <v>21.0</v>
      </c>
      <c r="B25" s="531" t="s">
        <v>1569</v>
      </c>
      <c r="C25" s="531" t="s">
        <v>3096</v>
      </c>
      <c r="D25" s="209" t="str">
        <f>VLOOKUP(B25,USN!$1:$1088,2,False)</f>
        <v>1CR23CI021</v>
      </c>
      <c r="E25" s="222">
        <v>8.130337161E9</v>
      </c>
      <c r="F25" s="119" t="s">
        <v>3801</v>
      </c>
      <c r="G25" s="118"/>
      <c r="H25" s="528">
        <v>73.0</v>
      </c>
      <c r="I25" s="120">
        <v>86.0</v>
      </c>
      <c r="J25" s="120">
        <f>VLOOKUP(D25,'L3'!$1:$2060,2,False)</f>
        <v>80</v>
      </c>
      <c r="K25" s="120">
        <f>VLOOKUP(D25,'L4'!$1:$2059,2,False)</f>
        <v>70</v>
      </c>
      <c r="L25" s="121">
        <f>VLOOKUP(D25,'A1 RETEST 5 DEC'!$1:$2096,2,False)</f>
        <v>62</v>
      </c>
      <c r="M25" s="122">
        <f>VLOOKUP(D25,'A2 RETEST 4 DEC'!$1:$2096,2,False)</f>
        <v>55</v>
      </c>
      <c r="N25" s="122">
        <v>50.0</v>
      </c>
      <c r="O25" s="121"/>
      <c r="P25" s="123">
        <f>IFNA(VLOOKUP(D25,'S1'!$1:$1000,2,False),0)</f>
        <v>50</v>
      </c>
      <c r="Q25" s="123">
        <f>vlookup(D25,'S2'!A21:B1223,2,0)</f>
        <v>67</v>
      </c>
      <c r="R25" s="123">
        <f>ifna(vlookup(D25,'S3'!$1:$1311,2,False),0)</f>
        <v>91</v>
      </c>
      <c r="S25" s="123"/>
      <c r="T25" s="125">
        <v>15.0</v>
      </c>
      <c r="U25" s="125">
        <v>22.0</v>
      </c>
      <c r="V25" s="125">
        <v>92.0</v>
      </c>
      <c r="W25" s="125">
        <v>90.0</v>
      </c>
      <c r="X25" s="125">
        <v>84.0</v>
      </c>
      <c r="Y25" s="125"/>
      <c r="Z25" s="292"/>
      <c r="AA25" s="529">
        <v>80.0</v>
      </c>
      <c r="AB25" s="530">
        <v>100.0</v>
      </c>
      <c r="AC25" s="295">
        <v>99.0</v>
      </c>
      <c r="AD25" s="295">
        <v>62.0</v>
      </c>
      <c r="AE25" s="297">
        <v>76.0</v>
      </c>
      <c r="AF25" s="298"/>
      <c r="AG25" s="295">
        <v>0.0</v>
      </c>
      <c r="AH25" s="298"/>
      <c r="AI25" s="118"/>
      <c r="AJ25" s="118"/>
      <c r="AK25" s="300">
        <f t="shared" si="1"/>
        <v>4</v>
      </c>
      <c r="AL25" s="300">
        <f t="shared" si="2"/>
        <v>3</v>
      </c>
      <c r="AM25" s="301">
        <f t="shared" si="3"/>
        <v>3</v>
      </c>
      <c r="AN25" s="300" t="str">
        <f t="shared" si="4"/>
        <v>3.5</v>
      </c>
      <c r="AO25" s="300">
        <f t="shared" si="5"/>
        <v>3</v>
      </c>
      <c r="AP25" s="88"/>
    </row>
    <row r="26">
      <c r="A26" s="142">
        <v>22.0</v>
      </c>
      <c r="B26" s="531" t="s">
        <v>1570</v>
      </c>
      <c r="C26" s="531" t="s">
        <v>3804</v>
      </c>
      <c r="D26" s="209" t="str">
        <f>VLOOKUP(B26,USN!$1:$1088,2,False)</f>
        <v>1CR23CI022</v>
      </c>
      <c r="E26" s="222">
        <v>8.431751929E9</v>
      </c>
      <c r="F26" s="119" t="s">
        <v>3801</v>
      </c>
      <c r="G26" s="118"/>
      <c r="H26" s="528">
        <v>79.0</v>
      </c>
      <c r="I26" s="120">
        <v>86.0</v>
      </c>
      <c r="J26" s="120">
        <f>VLOOKUP(D26,'L3'!$1:$2060,2,False)</f>
        <v>87</v>
      </c>
      <c r="K26" s="120">
        <f>VLOOKUP(D26,'L4'!$1:$2059,2,False)</f>
        <v>78</v>
      </c>
      <c r="L26" s="121">
        <f>VLOOKUP(D26,'A1 RETEST 5 DEC'!$1:$2096,2,False)</f>
        <v>74</v>
      </c>
      <c r="M26" s="122">
        <f>VLOOKUP(D26,'A2 RETEST 4 DEC'!$1:$2096,2,False)</f>
        <v>61</v>
      </c>
      <c r="N26" s="122">
        <v>52.25</v>
      </c>
      <c r="O26" s="121"/>
      <c r="P26" s="123">
        <f>IFNA(VLOOKUP(D26,'S1'!$1:$1000,2,False),0)</f>
        <v>76</v>
      </c>
      <c r="Q26" s="123">
        <f>vlookup(D26,'S2'!A22:B1224,2,0)</f>
        <v>71</v>
      </c>
      <c r="R26" s="123">
        <f>ifna(vlookup(D26,'S3'!$1:$1311,2,False),0)</f>
        <v>91</v>
      </c>
      <c r="S26" s="123"/>
      <c r="T26" s="125">
        <v>12.0</v>
      </c>
      <c r="U26" s="125">
        <v>25.0</v>
      </c>
      <c r="V26" s="125">
        <v>92.0</v>
      </c>
      <c r="W26" s="125">
        <v>86.0</v>
      </c>
      <c r="X26" s="125">
        <v>70.0</v>
      </c>
      <c r="Y26" s="125"/>
      <c r="Z26" s="292"/>
      <c r="AA26" s="529">
        <v>96.0</v>
      </c>
      <c r="AB26" s="530">
        <v>100.0</v>
      </c>
      <c r="AC26" s="295">
        <v>89.0</v>
      </c>
      <c r="AD26" s="295">
        <v>80.0</v>
      </c>
      <c r="AE26" s="297">
        <v>75.0</v>
      </c>
      <c r="AF26" s="298"/>
      <c r="AG26" s="295">
        <v>98.0</v>
      </c>
      <c r="AH26" s="298"/>
      <c r="AI26" s="118"/>
      <c r="AJ26" s="118"/>
      <c r="AK26" s="300">
        <f t="shared" si="1"/>
        <v>4</v>
      </c>
      <c r="AL26" s="300">
        <f t="shared" si="2"/>
        <v>3</v>
      </c>
      <c r="AM26" s="301">
        <f t="shared" si="3"/>
        <v>3</v>
      </c>
      <c r="AN26" s="300" t="str">
        <f t="shared" si="4"/>
        <v>3.5</v>
      </c>
      <c r="AO26" s="300">
        <f t="shared" si="5"/>
        <v>3</v>
      </c>
      <c r="AP26" s="88"/>
    </row>
    <row r="27">
      <c r="A27" s="142">
        <v>23.0</v>
      </c>
      <c r="B27" s="535" t="s">
        <v>1571</v>
      </c>
      <c r="C27" s="531" t="s">
        <v>3098</v>
      </c>
      <c r="D27" s="209" t="str">
        <f>VLOOKUP(B27,USN!$1:$1088,2,False)</f>
        <v>1CR23CI023</v>
      </c>
      <c r="E27" s="222">
        <v>6.360432358E9</v>
      </c>
      <c r="F27" s="119" t="s">
        <v>3801</v>
      </c>
      <c r="G27" s="118"/>
      <c r="H27" s="528">
        <v>68.0</v>
      </c>
      <c r="I27" s="120">
        <v>83.0</v>
      </c>
      <c r="J27" s="120">
        <f>VLOOKUP(D27,'L3'!$1:$2060,2,False)</f>
        <v>69</v>
      </c>
      <c r="K27" s="120">
        <f>VLOOKUP(D27,'L4'!$1:$2059,2,False)</f>
        <v>12</v>
      </c>
      <c r="L27" s="121">
        <f>VLOOKUP(D27,'A1 RETEST 5 DEC'!$1:$2096,2,False)</f>
        <v>50</v>
      </c>
      <c r="M27" s="122">
        <f>VLOOKUP(D27,'A2 RETEST 4 DEC'!$1:$2096,2,False)</f>
        <v>17</v>
      </c>
      <c r="N27" s="122">
        <v>5.25</v>
      </c>
      <c r="O27" s="121"/>
      <c r="P27" s="123">
        <f>IFNA(VLOOKUP(D27,'S1'!$1:$1000,2,False),0)</f>
        <v>81</v>
      </c>
      <c r="Q27" s="123">
        <f>vlookup(D27,'S2'!A23:B1225,2,0)</f>
        <v>0</v>
      </c>
      <c r="R27" s="123">
        <f>ifna(vlookup(D27,'S3'!$1:$1311,2,False),0)</f>
        <v>34</v>
      </c>
      <c r="S27" s="123"/>
      <c r="T27" s="125">
        <v>15.0</v>
      </c>
      <c r="U27" s="125">
        <v>25.0</v>
      </c>
      <c r="V27" s="125">
        <v>92.0</v>
      </c>
      <c r="W27" s="125">
        <v>90.0</v>
      </c>
      <c r="X27" s="125"/>
      <c r="Y27" s="125"/>
      <c r="Z27" s="292"/>
      <c r="AA27" s="529">
        <v>74.0</v>
      </c>
      <c r="AB27" s="530">
        <v>92.0</v>
      </c>
      <c r="AC27" s="295">
        <v>81.0</v>
      </c>
      <c r="AD27" s="295">
        <v>0.0</v>
      </c>
      <c r="AE27" s="297">
        <v>25.0</v>
      </c>
      <c r="AF27" s="298"/>
      <c r="AG27" s="295">
        <v>0.0</v>
      </c>
      <c r="AH27" s="298"/>
      <c r="AI27" s="118"/>
      <c r="AJ27" s="118"/>
      <c r="AK27" s="300">
        <f t="shared" si="1"/>
        <v>2</v>
      </c>
      <c r="AL27" s="300">
        <f t="shared" si="2"/>
        <v>1</v>
      </c>
      <c r="AM27" s="301">
        <f t="shared" si="3"/>
        <v>3</v>
      </c>
      <c r="AN27" s="300" t="str">
        <f t="shared" si="4"/>
        <v>3</v>
      </c>
      <c r="AO27" s="300">
        <f t="shared" si="5"/>
        <v>1</v>
      </c>
      <c r="AP27" s="88"/>
    </row>
    <row r="28">
      <c r="A28" s="142">
        <v>24.0</v>
      </c>
      <c r="B28" s="531" t="s">
        <v>1572</v>
      </c>
      <c r="C28" s="531" t="s">
        <v>3099</v>
      </c>
      <c r="D28" s="209" t="str">
        <f>VLOOKUP(B28,USN!$1:$1088,2,False)</f>
        <v>1CR23CI024</v>
      </c>
      <c r="E28" s="222">
        <v>9.901358742E9</v>
      </c>
      <c r="F28" s="119" t="s">
        <v>3801</v>
      </c>
      <c r="G28" s="118"/>
      <c r="H28" s="528">
        <v>85.0</v>
      </c>
      <c r="I28" s="120">
        <v>96.0</v>
      </c>
      <c r="J28" s="120">
        <f>VLOOKUP(D28,'L3'!$1:$2060,2,False)</f>
        <v>87</v>
      </c>
      <c r="K28" s="120">
        <f>VLOOKUP(D28,'L4'!$1:$2059,2,False)</f>
        <v>87</v>
      </c>
      <c r="L28" s="121">
        <f>VLOOKUP(D28,'A1 RETEST 5 DEC'!$1:$2096,2,False)</f>
        <v>50</v>
      </c>
      <c r="M28" s="122">
        <f>VLOOKUP(D28,'A2 RETEST 4 DEC'!$1:$2096,2,False)</f>
        <v>65</v>
      </c>
      <c r="N28" s="122">
        <v>71.75</v>
      </c>
      <c r="O28" s="121"/>
      <c r="P28" s="123">
        <f>IFNA(VLOOKUP(D28,'S1'!$1:$1000,2,False),0)</f>
        <v>83</v>
      </c>
      <c r="Q28" s="123">
        <f>vlookup(D28,'S2'!A24:B1226,2,0)</f>
        <v>70</v>
      </c>
      <c r="R28" s="123">
        <f>ifna(vlookup(D28,'S3'!$1:$1311,2,False),0)</f>
        <v>92</v>
      </c>
      <c r="S28" s="123"/>
      <c r="T28" s="125">
        <v>15.0</v>
      </c>
      <c r="U28" s="125">
        <v>21.0</v>
      </c>
      <c r="V28" s="125">
        <v>88.0</v>
      </c>
      <c r="W28" s="125">
        <v>90.0</v>
      </c>
      <c r="X28" s="125">
        <v>76.0</v>
      </c>
      <c r="Y28" s="125"/>
      <c r="Z28" s="292"/>
      <c r="AA28" s="529">
        <v>82.0</v>
      </c>
      <c r="AB28" s="530">
        <v>100.0</v>
      </c>
      <c r="AC28" s="295">
        <v>94.0</v>
      </c>
      <c r="AD28" s="295">
        <v>100.0</v>
      </c>
      <c r="AE28" s="297">
        <v>70.0</v>
      </c>
      <c r="AF28" s="298"/>
      <c r="AG28" s="295">
        <v>83.0</v>
      </c>
      <c r="AH28" s="298"/>
      <c r="AI28" s="118"/>
      <c r="AJ28" s="118"/>
      <c r="AK28" s="300">
        <f t="shared" si="1"/>
        <v>4</v>
      </c>
      <c r="AL28" s="300">
        <f t="shared" si="2"/>
        <v>3</v>
      </c>
      <c r="AM28" s="301">
        <f t="shared" si="3"/>
        <v>3</v>
      </c>
      <c r="AN28" s="300" t="str">
        <f t="shared" si="4"/>
        <v>3.5</v>
      </c>
      <c r="AO28" s="300">
        <f t="shared" si="5"/>
        <v>3</v>
      </c>
      <c r="AP28" s="88"/>
    </row>
    <row r="29">
      <c r="A29" s="142">
        <v>25.0</v>
      </c>
      <c r="B29" s="220" t="s">
        <v>1615</v>
      </c>
      <c r="C29" s="220" t="s">
        <v>3100</v>
      </c>
      <c r="D29" s="209" t="str">
        <f>VLOOKUP(B29,USN!$1:$1088,2,False)</f>
        <v>1CR23CI025</v>
      </c>
      <c r="E29" s="234">
        <v>9.108540605E9</v>
      </c>
      <c r="F29" s="116" t="s">
        <v>3801</v>
      </c>
      <c r="G29" s="118"/>
      <c r="H29" s="528">
        <v>86.0</v>
      </c>
      <c r="I29" s="120">
        <v>92.0</v>
      </c>
      <c r="J29" s="120">
        <f>VLOOKUP(D29,'L3'!$1:$2060,2,False)</f>
        <v>70</v>
      </c>
      <c r="K29" s="120">
        <f>VLOOKUP(D29,'L4'!$1:$2059,2,False)</f>
        <v>73</v>
      </c>
      <c r="L29" s="121">
        <f>VLOOKUP(D29,'A1 RETEST 5 DEC'!$1:$2096,2,False)</f>
        <v>50</v>
      </c>
      <c r="M29" s="122">
        <f>VLOOKUP(D29,'A2 RETEST 4 DEC'!$1:$2096,2,False)</f>
        <v>50</v>
      </c>
      <c r="N29" s="122">
        <v>50.0</v>
      </c>
      <c r="O29" s="121"/>
      <c r="P29" s="123">
        <f>IFNA(VLOOKUP(D29,'S1'!$1:$1000,2,False),0)</f>
        <v>83</v>
      </c>
      <c r="Q29" s="123">
        <f>vlookup(D29,'S2'!A25:B1227,2,0)</f>
        <v>50</v>
      </c>
      <c r="R29" s="123">
        <f>ifna(vlookup(D29,'S3'!$1:$1311,2,False),0)</f>
        <v>50</v>
      </c>
      <c r="S29" s="123"/>
      <c r="T29" s="125">
        <v>13.0</v>
      </c>
      <c r="U29" s="125">
        <v>25.0</v>
      </c>
      <c r="V29" s="125">
        <v>92.0</v>
      </c>
      <c r="W29" s="125">
        <v>88.0</v>
      </c>
      <c r="X29" s="125">
        <v>70.0</v>
      </c>
      <c r="Y29" s="125"/>
      <c r="Z29" s="292"/>
      <c r="AA29" s="529">
        <v>92.0</v>
      </c>
      <c r="AB29" s="530">
        <v>97.0</v>
      </c>
      <c r="AC29" s="295">
        <v>100.0</v>
      </c>
      <c r="AD29" s="295">
        <v>13.0</v>
      </c>
      <c r="AE29" s="297">
        <v>76.0</v>
      </c>
      <c r="AF29" s="298"/>
      <c r="AG29" s="295">
        <v>89.0</v>
      </c>
      <c r="AH29" s="298"/>
      <c r="AI29" s="118"/>
      <c r="AJ29" s="118"/>
      <c r="AK29" s="300">
        <f t="shared" si="1"/>
        <v>4</v>
      </c>
      <c r="AL29" s="300">
        <f t="shared" si="2"/>
        <v>3</v>
      </c>
      <c r="AM29" s="301">
        <f t="shared" si="3"/>
        <v>3</v>
      </c>
      <c r="AN29" s="300" t="str">
        <f t="shared" si="4"/>
        <v>3.5</v>
      </c>
      <c r="AO29" s="300">
        <f t="shared" si="5"/>
        <v>3</v>
      </c>
      <c r="AP29" s="88"/>
    </row>
    <row r="30">
      <c r="A30" s="142">
        <v>26.0</v>
      </c>
      <c r="B30" s="531" t="s">
        <v>1573</v>
      </c>
      <c r="C30" s="531" t="s">
        <v>3101</v>
      </c>
      <c r="D30" s="209" t="str">
        <f>VLOOKUP(B30,USN!$1:$1088,2,False)</f>
        <v>1CR23CI026</v>
      </c>
      <c r="E30" s="222">
        <v>7.48358838E9</v>
      </c>
      <c r="F30" s="119" t="s">
        <v>3801</v>
      </c>
      <c r="G30" s="118"/>
      <c r="H30" s="528">
        <v>73.0</v>
      </c>
      <c r="I30" s="120">
        <v>77.0</v>
      </c>
      <c r="J30" s="120">
        <f>VLOOKUP(D30,'L3'!$1:$2060,2,False)</f>
        <v>79</v>
      </c>
      <c r="K30" s="120">
        <f>VLOOKUP(D30,'L4'!$1:$2059,2,False)</f>
        <v>71</v>
      </c>
      <c r="L30" s="121">
        <f>VLOOKUP(D30,'A1 RETEST 5 DEC'!$1:$2096,2,False)</f>
        <v>50</v>
      </c>
      <c r="M30" s="122">
        <f>VLOOKUP(D30,'A2 RETEST 4 DEC'!$1:$2096,2,False)</f>
        <v>50</v>
      </c>
      <c r="N30" s="122">
        <v>50.0</v>
      </c>
      <c r="O30" s="121"/>
      <c r="P30" s="123">
        <f>IFNA(VLOOKUP(D30,'S1'!$1:$1000,2,False),0)</f>
        <v>82</v>
      </c>
      <c r="Q30" s="123">
        <f>vlookup(D30,'S2'!A26:B1228,2,0)</f>
        <v>72</v>
      </c>
      <c r="R30" s="123">
        <f>ifna(vlookup(D30,'S3'!$1:$1311,2,False),0)</f>
        <v>87</v>
      </c>
      <c r="S30" s="123"/>
      <c r="T30" s="125">
        <v>10.0</v>
      </c>
      <c r="U30" s="125">
        <v>22.0</v>
      </c>
      <c r="V30" s="125">
        <v>88.0</v>
      </c>
      <c r="W30" s="125">
        <v>90.0</v>
      </c>
      <c r="X30" s="125">
        <v>80.0</v>
      </c>
      <c r="Y30" s="125"/>
      <c r="Z30" s="292"/>
      <c r="AA30" s="529">
        <v>100.0</v>
      </c>
      <c r="AB30" s="530">
        <v>100.0</v>
      </c>
      <c r="AC30" s="295">
        <v>96.0</v>
      </c>
      <c r="AD30" s="295">
        <v>75.0</v>
      </c>
      <c r="AE30" s="297">
        <v>100.0</v>
      </c>
      <c r="AF30" s="298"/>
      <c r="AG30" s="295">
        <v>85.0</v>
      </c>
      <c r="AH30" s="298"/>
      <c r="AI30" s="118"/>
      <c r="AJ30" s="118"/>
      <c r="AK30" s="300">
        <f t="shared" si="1"/>
        <v>4</v>
      </c>
      <c r="AL30" s="300">
        <f t="shared" si="2"/>
        <v>3</v>
      </c>
      <c r="AM30" s="301">
        <f t="shared" si="3"/>
        <v>3</v>
      </c>
      <c r="AN30" s="300" t="str">
        <f t="shared" si="4"/>
        <v>3.5</v>
      </c>
      <c r="AO30" s="300">
        <f t="shared" si="5"/>
        <v>3</v>
      </c>
      <c r="AP30" s="88"/>
    </row>
    <row r="31">
      <c r="A31" s="142">
        <v>27.0</v>
      </c>
      <c r="B31" s="220" t="s">
        <v>1610</v>
      </c>
      <c r="C31" s="220" t="s">
        <v>3102</v>
      </c>
      <c r="D31" s="209" t="str">
        <f>VLOOKUP(B31,USN!$1:$1088,2,False)</f>
        <v>1CR23CI027</v>
      </c>
      <c r="E31" s="234">
        <v>9.880333538E9</v>
      </c>
      <c r="F31" s="116" t="s">
        <v>3801</v>
      </c>
      <c r="G31" s="118"/>
      <c r="H31" s="528">
        <v>79.0</v>
      </c>
      <c r="I31" s="120">
        <v>88.0</v>
      </c>
      <c r="J31" s="120">
        <f>VLOOKUP(D31,'L3'!$1:$2060,2,False)</f>
        <v>70</v>
      </c>
      <c r="K31" s="120">
        <f>VLOOKUP(D31,'L4'!$1:$2059,2,False)</f>
        <v>70</v>
      </c>
      <c r="L31" s="121">
        <f>VLOOKUP(D31,'A1 RETEST 5 DEC'!$1:$2096,2,False)</f>
        <v>50</v>
      </c>
      <c r="M31" s="122">
        <f>VLOOKUP(D31,'A2 RETEST 4 DEC'!$1:$2096,2,False)</f>
        <v>18</v>
      </c>
      <c r="N31" s="122">
        <v>21.5</v>
      </c>
      <c r="O31" s="121"/>
      <c r="P31" s="123">
        <f>IFNA(VLOOKUP(D31,'S1'!$1:$1000,2,False),0)</f>
        <v>50</v>
      </c>
      <c r="Q31" s="123">
        <f>vlookup(D31,'S2'!A27:B1229,2,0)</f>
        <v>90</v>
      </c>
      <c r="R31" s="123">
        <f>ifna(vlookup(D31,'S3'!$1:$1311,2,False),0)</f>
        <v>81</v>
      </c>
      <c r="S31" s="123"/>
      <c r="T31" s="125">
        <v>10.0</v>
      </c>
      <c r="U31" s="125">
        <v>25.0</v>
      </c>
      <c r="V31" s="125">
        <v>88.0</v>
      </c>
      <c r="W31" s="125">
        <v>90.0</v>
      </c>
      <c r="X31" s="125">
        <v>84.0</v>
      </c>
      <c r="Y31" s="125"/>
      <c r="Z31" s="292"/>
      <c r="AA31" s="529">
        <v>30.0</v>
      </c>
      <c r="AB31" s="530">
        <v>43.0</v>
      </c>
      <c r="AC31" s="295">
        <v>70.0</v>
      </c>
      <c r="AD31" s="295">
        <v>60.0</v>
      </c>
      <c r="AE31" s="297">
        <v>71.0</v>
      </c>
      <c r="AF31" s="298"/>
      <c r="AG31" s="295">
        <v>57.0</v>
      </c>
      <c r="AH31" s="298"/>
      <c r="AI31" s="118"/>
      <c r="AJ31" s="118"/>
      <c r="AK31" s="300">
        <f t="shared" si="1"/>
        <v>4</v>
      </c>
      <c r="AL31" s="300">
        <f t="shared" si="2"/>
        <v>1</v>
      </c>
      <c r="AM31" s="301">
        <f t="shared" si="3"/>
        <v>3</v>
      </c>
      <c r="AN31" s="300" t="str">
        <f t="shared" si="4"/>
        <v>0</v>
      </c>
      <c r="AO31" s="300">
        <f t="shared" si="5"/>
        <v>3</v>
      </c>
      <c r="AP31" s="88"/>
    </row>
    <row r="32">
      <c r="A32" s="142">
        <v>28.0</v>
      </c>
      <c r="B32" s="531" t="s">
        <v>1562</v>
      </c>
      <c r="C32" s="220" t="s">
        <v>3103</v>
      </c>
      <c r="D32" s="209" t="str">
        <f>VLOOKUP(B32,USN!$1:$1088,2,False)</f>
        <v>1CR23CI028</v>
      </c>
      <c r="E32" s="222" t="s">
        <v>3781</v>
      </c>
      <c r="F32" s="116" t="s">
        <v>3801</v>
      </c>
      <c r="G32" s="118"/>
      <c r="H32" s="528">
        <v>80.0</v>
      </c>
      <c r="I32" s="120">
        <v>90.0</v>
      </c>
      <c r="J32" s="120">
        <f>VLOOKUP(D32,'L3'!$1:$2060,2,False)</f>
        <v>70</v>
      </c>
      <c r="K32" s="120">
        <f>VLOOKUP(D32,'L4'!$1:$2059,2,False)</f>
        <v>70</v>
      </c>
      <c r="L32" s="121">
        <f>VLOOKUP(D32,'A1 RETEST 5 DEC'!$1:$2096,2,False)</f>
        <v>50</v>
      </c>
      <c r="M32" s="122">
        <f>VLOOKUP(D32,'A2 RETEST 4 DEC'!$1:$2096,2,False)</f>
        <v>50</v>
      </c>
      <c r="N32" s="122">
        <v>59.5</v>
      </c>
      <c r="O32" s="121"/>
      <c r="P32" s="123">
        <f>IFNA(VLOOKUP(D32,'S1'!$1:$1000,2,False),0)</f>
        <v>77</v>
      </c>
      <c r="Q32" s="123">
        <f>vlookup(D32,'S2'!A28:B1230,2,0)</f>
        <v>50</v>
      </c>
      <c r="R32" s="123">
        <f>ifna(vlookup(D32,'S3'!$1:$1311,2,False),0)</f>
        <v>83</v>
      </c>
      <c r="S32" s="123"/>
      <c r="T32" s="125">
        <v>10.0</v>
      </c>
      <c r="U32" s="125">
        <v>20.0</v>
      </c>
      <c r="V32" s="125">
        <v>94.0</v>
      </c>
      <c r="W32" s="125">
        <v>90.0</v>
      </c>
      <c r="X32" s="125">
        <v>66.0</v>
      </c>
      <c r="Y32" s="125"/>
      <c r="Z32" s="292"/>
      <c r="AA32" s="529">
        <v>58.0</v>
      </c>
      <c r="AB32" s="530">
        <v>94.0</v>
      </c>
      <c r="AC32" s="295">
        <v>62.0</v>
      </c>
      <c r="AD32" s="295">
        <v>80.0</v>
      </c>
      <c r="AE32" s="297">
        <v>71.0</v>
      </c>
      <c r="AF32" s="298"/>
      <c r="AG32" s="295">
        <v>73.0</v>
      </c>
      <c r="AH32" s="298"/>
      <c r="AI32" s="118"/>
      <c r="AJ32" s="118"/>
      <c r="AK32" s="300">
        <f t="shared" si="1"/>
        <v>4</v>
      </c>
      <c r="AL32" s="300">
        <f t="shared" si="2"/>
        <v>3</v>
      </c>
      <c r="AM32" s="301">
        <f t="shared" si="3"/>
        <v>3</v>
      </c>
      <c r="AN32" s="300" t="str">
        <f t="shared" si="4"/>
        <v>3.5</v>
      </c>
      <c r="AO32" s="300">
        <f t="shared" si="5"/>
        <v>3</v>
      </c>
      <c r="AP32" s="88"/>
    </row>
    <row r="33">
      <c r="A33" s="142">
        <v>29.0</v>
      </c>
      <c r="B33" s="531" t="s">
        <v>1592</v>
      </c>
      <c r="C33" s="220" t="s">
        <v>3104</v>
      </c>
      <c r="D33" s="209" t="str">
        <f>VLOOKUP(B33,USN!$1:$1088,2,False)</f>
        <v>1CR23CI029</v>
      </c>
      <c r="E33" s="222">
        <v>8.088232824E9</v>
      </c>
      <c r="F33" s="119" t="s">
        <v>3801</v>
      </c>
      <c r="G33" s="118"/>
      <c r="H33" s="528">
        <v>81.0</v>
      </c>
      <c r="I33" s="120">
        <v>83.0</v>
      </c>
      <c r="J33" s="120">
        <f>VLOOKUP(D33,'L3'!$1:$2060,2,False)</f>
        <v>76</v>
      </c>
      <c r="K33" s="120">
        <f>VLOOKUP(D33,'L4'!$1:$2059,2,False)</f>
        <v>70</v>
      </c>
      <c r="L33" s="121">
        <f>VLOOKUP(D33,'A1 RETEST 5 DEC'!$1:$2096,2,False)</f>
        <v>50</v>
      </c>
      <c r="M33" s="122">
        <f>VLOOKUP(D33,'A2 RETEST 4 DEC'!$1:$2096,2,False)</f>
        <v>50</v>
      </c>
      <c r="N33" s="122">
        <v>50.0</v>
      </c>
      <c r="O33" s="121"/>
      <c r="P33" s="123">
        <f>IFNA(VLOOKUP(D33,'S1'!$1:$1000,2,False),0)</f>
        <v>73</v>
      </c>
      <c r="Q33" s="123">
        <f>vlookup(D33,'S2'!A29:B1231,2,0)</f>
        <v>71</v>
      </c>
      <c r="R33" s="123">
        <f>ifna(vlookup(D33,'S3'!$1:$1311,2,False),0)</f>
        <v>94</v>
      </c>
      <c r="S33" s="123"/>
      <c r="T33" s="125">
        <v>14.0</v>
      </c>
      <c r="U33" s="125">
        <v>25.0</v>
      </c>
      <c r="V33" s="125">
        <v>92.0</v>
      </c>
      <c r="W33" s="125">
        <v>84.0</v>
      </c>
      <c r="X33" s="125">
        <v>86.0</v>
      </c>
      <c r="Y33" s="125"/>
      <c r="Z33" s="292"/>
      <c r="AA33" s="529">
        <v>100.0</v>
      </c>
      <c r="AB33" s="530">
        <v>100.0</v>
      </c>
      <c r="AC33" s="295">
        <v>84.0</v>
      </c>
      <c r="AD33" s="295">
        <v>60.0</v>
      </c>
      <c r="AE33" s="297">
        <v>77.0</v>
      </c>
      <c r="AF33" s="298"/>
      <c r="AG33" s="295">
        <v>94.0</v>
      </c>
      <c r="AH33" s="298"/>
      <c r="AI33" s="118"/>
      <c r="AJ33" s="118"/>
      <c r="AK33" s="300">
        <f t="shared" si="1"/>
        <v>4</v>
      </c>
      <c r="AL33" s="300">
        <f t="shared" si="2"/>
        <v>3</v>
      </c>
      <c r="AM33" s="301">
        <f t="shared" si="3"/>
        <v>3</v>
      </c>
      <c r="AN33" s="300" t="str">
        <f t="shared" si="4"/>
        <v>3.5</v>
      </c>
      <c r="AO33" s="300">
        <f t="shared" si="5"/>
        <v>3</v>
      </c>
      <c r="AP33" s="88"/>
    </row>
    <row r="34">
      <c r="A34" s="142">
        <v>30.0</v>
      </c>
      <c r="B34" s="531" t="s">
        <v>1574</v>
      </c>
      <c r="C34" s="531" t="s">
        <v>3105</v>
      </c>
      <c r="D34" s="209" t="str">
        <f>VLOOKUP(B34,USN!$1:$1088,2,False)</f>
        <v>1CR23CI030</v>
      </c>
      <c r="E34" s="222">
        <v>9.365619877E9</v>
      </c>
      <c r="F34" s="119" t="s">
        <v>3801</v>
      </c>
      <c r="G34" s="118"/>
      <c r="H34" s="528">
        <v>74.0</v>
      </c>
      <c r="I34" s="120">
        <v>90.0</v>
      </c>
      <c r="J34" s="120">
        <f>VLOOKUP(D34,'L3'!$1:$2060,2,False)</f>
        <v>70</v>
      </c>
      <c r="K34" s="120">
        <f>VLOOKUP(D34,'L4'!$1:$2059,2,False)</f>
        <v>70</v>
      </c>
      <c r="L34" s="121">
        <f>VLOOKUP(D34,'A1 RETEST 5 DEC'!$1:$2096,2,False)</f>
        <v>0</v>
      </c>
      <c r="M34" s="122">
        <f>VLOOKUP(D34,'A2 RETEST 4 DEC'!$1:$2096,2,False)</f>
        <v>0</v>
      </c>
      <c r="N34" s="122">
        <v>0.0</v>
      </c>
      <c r="O34" s="121"/>
      <c r="P34" s="123">
        <f>IFNA(VLOOKUP(D34,'S1'!$1:$1000,2,False),0)</f>
        <v>0</v>
      </c>
      <c r="Q34" s="123">
        <f>vlookup(D34,'S2'!A30:B1232,2,0)</f>
        <v>0</v>
      </c>
      <c r="R34" s="123">
        <f>ifna(vlookup(D34,'S3'!$1:$1311,2,False),0)</f>
        <v>0</v>
      </c>
      <c r="S34" s="123"/>
      <c r="T34" s="125">
        <v>12.0</v>
      </c>
      <c r="U34" s="125">
        <v>25.0</v>
      </c>
      <c r="V34" s="125">
        <v>90.0</v>
      </c>
      <c r="W34" s="125">
        <v>90.0</v>
      </c>
      <c r="X34" s="125"/>
      <c r="Y34" s="125"/>
      <c r="Z34" s="292"/>
      <c r="AA34" s="529">
        <v>60.0</v>
      </c>
      <c r="AB34" s="530">
        <v>95.0</v>
      </c>
      <c r="AC34" s="295">
        <v>0.0</v>
      </c>
      <c r="AD34" s="295">
        <v>2.0</v>
      </c>
      <c r="AE34" s="297">
        <v>10.0</v>
      </c>
      <c r="AF34" s="298"/>
      <c r="AG34" s="295">
        <v>0.0</v>
      </c>
      <c r="AH34" s="298"/>
      <c r="AI34" s="118"/>
      <c r="AJ34" s="118"/>
      <c r="AK34" s="300">
        <f t="shared" si="1"/>
        <v>4</v>
      </c>
      <c r="AL34" s="300">
        <f t="shared" si="2"/>
        <v>0</v>
      </c>
      <c r="AM34" s="301">
        <f t="shared" si="3"/>
        <v>3</v>
      </c>
      <c r="AN34" s="300" t="str">
        <f t="shared" si="4"/>
        <v>2</v>
      </c>
      <c r="AO34" s="300">
        <f t="shared" si="5"/>
        <v>0</v>
      </c>
      <c r="AP34" s="88"/>
    </row>
    <row r="35">
      <c r="A35" s="142">
        <v>31.0</v>
      </c>
      <c r="B35" s="220" t="s">
        <v>1612</v>
      </c>
      <c r="C35" s="536" t="s">
        <v>3106</v>
      </c>
      <c r="D35" s="209" t="str">
        <f>VLOOKUP(B35,USN!$1:$1088,2,False)</f>
        <v>1CR23CI031</v>
      </c>
      <c r="E35" s="537">
        <v>7.338388986E9</v>
      </c>
      <c r="F35" s="116" t="s">
        <v>3801</v>
      </c>
      <c r="G35" s="118"/>
      <c r="H35" s="528">
        <v>74.0</v>
      </c>
      <c r="I35" s="120">
        <v>85.0</v>
      </c>
      <c r="J35" s="120">
        <f>VLOOKUP(D35,'L3'!$1:$2060,2,False)</f>
        <v>84</v>
      </c>
      <c r="K35" s="120">
        <f>VLOOKUP(D35,'L4'!$1:$2059,2,False)</f>
        <v>81</v>
      </c>
      <c r="L35" s="121">
        <f>VLOOKUP(D35,'A1 RETEST 5 DEC'!$1:$2096,2,False)</f>
        <v>50</v>
      </c>
      <c r="M35" s="122">
        <f>VLOOKUP(D35,'A2 RETEST 4 DEC'!$1:$2096,2,False)</f>
        <v>64</v>
      </c>
      <c r="N35" s="122">
        <v>51.5</v>
      </c>
      <c r="O35" s="121"/>
      <c r="P35" s="123">
        <f>IFNA(VLOOKUP(D35,'S1'!$1:$1000,2,False),0)</f>
        <v>77</v>
      </c>
      <c r="Q35" s="123">
        <f>vlookup(D35,'S2'!A31:B1233,2,0)</f>
        <v>62</v>
      </c>
      <c r="R35" s="123">
        <f>ifna(vlookup(D35,'S3'!$1:$1311,2,False),0)</f>
        <v>90</v>
      </c>
      <c r="S35" s="123"/>
      <c r="T35" s="125">
        <v>20.0</v>
      </c>
      <c r="U35" s="125">
        <v>22.0</v>
      </c>
      <c r="V35" s="125">
        <v>92.0</v>
      </c>
      <c r="W35" s="125">
        <v>88.0</v>
      </c>
      <c r="X35" s="125">
        <v>72.0</v>
      </c>
      <c r="Y35" s="125"/>
      <c r="Z35" s="292"/>
      <c r="AA35" s="529">
        <v>92.0</v>
      </c>
      <c r="AB35" s="530">
        <v>90.0</v>
      </c>
      <c r="AC35" s="295">
        <v>99.0</v>
      </c>
      <c r="AD35" s="295">
        <v>60.0</v>
      </c>
      <c r="AE35" s="297">
        <v>76.0</v>
      </c>
      <c r="AF35" s="298"/>
      <c r="AG35" s="295">
        <v>97.0</v>
      </c>
      <c r="AH35" s="298"/>
      <c r="AI35" s="118"/>
      <c r="AJ35" s="118"/>
      <c r="AK35" s="300">
        <f t="shared" si="1"/>
        <v>4</v>
      </c>
      <c r="AL35" s="300">
        <f t="shared" si="2"/>
        <v>3</v>
      </c>
      <c r="AM35" s="301">
        <f t="shared" si="3"/>
        <v>3</v>
      </c>
      <c r="AN35" s="300" t="str">
        <f t="shared" si="4"/>
        <v>3.5</v>
      </c>
      <c r="AO35" s="300">
        <f t="shared" si="5"/>
        <v>3</v>
      </c>
      <c r="AP35" s="88"/>
    </row>
    <row r="36">
      <c r="A36" s="142">
        <v>32.0</v>
      </c>
      <c r="B36" s="531" t="s">
        <v>1598</v>
      </c>
      <c r="C36" s="220" t="s">
        <v>3107</v>
      </c>
      <c r="D36" s="209" t="str">
        <f>VLOOKUP(B36,USN!$1:$1088,2,False)</f>
        <v>1CR23CI032</v>
      </c>
      <c r="E36" s="222">
        <v>6.364047878E9</v>
      </c>
      <c r="F36" s="119" t="s">
        <v>3801</v>
      </c>
      <c r="G36" s="118"/>
      <c r="H36" s="528">
        <v>89.0</v>
      </c>
      <c r="I36" s="120">
        <v>89.0</v>
      </c>
      <c r="J36" s="120">
        <f>VLOOKUP(D36,'L3'!$1:$2060,2,False)</f>
        <v>70</v>
      </c>
      <c r="K36" s="120">
        <f>VLOOKUP(D36,'L4'!$1:$2059,2,False)</f>
        <v>81</v>
      </c>
      <c r="L36" s="121">
        <f>VLOOKUP(D36,'A1 RETEST 5 DEC'!$1:$2096,2,False)</f>
        <v>54</v>
      </c>
      <c r="M36" s="122">
        <f>VLOOKUP(D36,'A2 RETEST 4 DEC'!$1:$2096,2,False)</f>
        <v>54</v>
      </c>
      <c r="N36" s="122">
        <v>50.0</v>
      </c>
      <c r="O36" s="121"/>
      <c r="P36" s="123">
        <f>IFNA(VLOOKUP(D36,'S1'!$1:$1000,2,False),0)</f>
        <v>79</v>
      </c>
      <c r="Q36" s="123">
        <f>vlookup(D36,'S2'!A32:B1234,2,0)</f>
        <v>67</v>
      </c>
      <c r="R36" s="123">
        <f>ifna(vlookup(D36,'S3'!$1:$1311,2,False),0)</f>
        <v>82</v>
      </c>
      <c r="S36" s="123"/>
      <c r="T36" s="125">
        <v>15.0</v>
      </c>
      <c r="U36" s="125">
        <v>17.0</v>
      </c>
      <c r="V36" s="125">
        <v>78.0</v>
      </c>
      <c r="W36" s="125">
        <v>90.0</v>
      </c>
      <c r="X36" s="125">
        <v>72.0</v>
      </c>
      <c r="Y36" s="125"/>
      <c r="Z36" s="292"/>
      <c r="AA36" s="529">
        <v>100.0</v>
      </c>
      <c r="AB36" s="530">
        <v>91.0</v>
      </c>
      <c r="AC36" s="295">
        <v>73.0</v>
      </c>
      <c r="AD36" s="295">
        <v>80.0</v>
      </c>
      <c r="AE36" s="297">
        <v>75.0</v>
      </c>
      <c r="AF36" s="298"/>
      <c r="AG36" s="295">
        <v>85.0</v>
      </c>
      <c r="AH36" s="298"/>
      <c r="AI36" s="118"/>
      <c r="AJ36" s="118"/>
      <c r="AK36" s="300">
        <f t="shared" si="1"/>
        <v>4</v>
      </c>
      <c r="AL36" s="300">
        <f t="shared" si="2"/>
        <v>3</v>
      </c>
      <c r="AM36" s="301">
        <f t="shared" si="3"/>
        <v>3</v>
      </c>
      <c r="AN36" s="300" t="str">
        <f t="shared" si="4"/>
        <v>3.5</v>
      </c>
      <c r="AO36" s="300">
        <f t="shared" si="5"/>
        <v>3</v>
      </c>
      <c r="AP36" s="88"/>
    </row>
    <row r="37">
      <c r="A37" s="142">
        <v>33.0</v>
      </c>
      <c r="B37" s="531" t="s">
        <v>1575</v>
      </c>
      <c r="C37" s="531" t="s">
        <v>3108</v>
      </c>
      <c r="D37" s="209" t="str">
        <f>VLOOKUP(B37,USN!$1:$1088,2,False)</f>
        <v>1CR23CI034</v>
      </c>
      <c r="E37" s="222">
        <v>9.491428699E9</v>
      </c>
      <c r="F37" s="119" t="s">
        <v>3801</v>
      </c>
      <c r="G37" s="118"/>
      <c r="H37" s="533">
        <v>70.0</v>
      </c>
      <c r="I37" s="120">
        <v>75.0</v>
      </c>
      <c r="J37" s="120">
        <f>VLOOKUP(D37,'L3'!$1:$2060,2,False)</f>
        <v>37</v>
      </c>
      <c r="K37" s="120">
        <f>VLOOKUP(D37,'L4'!$1:$2059,2,False)</f>
        <v>70</v>
      </c>
      <c r="L37" s="121">
        <f>VLOOKUP(D37,'A1 RETEST 5 DEC'!$1:$2096,2,False)</f>
        <v>50</v>
      </c>
      <c r="M37" s="122">
        <f>VLOOKUP(D37,'A2 RETEST 4 DEC'!$1:$2096,2,False)</f>
        <v>50</v>
      </c>
      <c r="N37" s="122">
        <v>50.0</v>
      </c>
      <c r="O37" s="121"/>
      <c r="P37" s="123">
        <f>IFNA(VLOOKUP(D37,'S1'!$1:$1000,2,False),0)</f>
        <v>84</v>
      </c>
      <c r="Q37" s="123">
        <f>vlookup(D37,'S2'!A33:B1235,2,0)</f>
        <v>50</v>
      </c>
      <c r="R37" s="123">
        <f>ifna(vlookup(D37,'S3'!$1:$1311,2,False),0)</f>
        <v>50</v>
      </c>
      <c r="S37" s="123"/>
      <c r="T37" s="125">
        <v>22.0</v>
      </c>
      <c r="U37" s="125">
        <v>25.0</v>
      </c>
      <c r="V37" s="125">
        <v>86.0</v>
      </c>
      <c r="W37" s="125">
        <v>90.0</v>
      </c>
      <c r="X37" s="125">
        <v>80.0</v>
      </c>
      <c r="Y37" s="125"/>
      <c r="Z37" s="292"/>
      <c r="AA37" s="529">
        <v>34.0</v>
      </c>
      <c r="AB37" s="530">
        <v>95.0</v>
      </c>
      <c r="AC37" s="295">
        <v>43.0</v>
      </c>
      <c r="AD37" s="295">
        <v>90.0</v>
      </c>
      <c r="AE37" s="297">
        <v>10.0</v>
      </c>
      <c r="AF37" s="298"/>
      <c r="AG37" s="295">
        <v>0.0</v>
      </c>
      <c r="AH37" s="298"/>
      <c r="AI37" s="118"/>
      <c r="AJ37" s="118"/>
      <c r="AK37" s="300">
        <f t="shared" si="1"/>
        <v>2</v>
      </c>
      <c r="AL37" s="300">
        <f t="shared" si="2"/>
        <v>3</v>
      </c>
      <c r="AM37" s="301">
        <f t="shared" si="3"/>
        <v>3</v>
      </c>
      <c r="AN37" s="300" t="str">
        <f t="shared" si="4"/>
        <v>3</v>
      </c>
      <c r="AO37" s="300">
        <f t="shared" si="5"/>
        <v>3</v>
      </c>
      <c r="AP37" s="88"/>
    </row>
    <row r="38">
      <c r="A38" s="142">
        <v>34.0</v>
      </c>
      <c r="B38" s="531" t="s">
        <v>1576</v>
      </c>
      <c r="C38" s="531" t="s">
        <v>3109</v>
      </c>
      <c r="D38" s="209" t="str">
        <f>VLOOKUP(B38,USN!$1:$1088,2,False)</f>
        <v>1CR23CI035</v>
      </c>
      <c r="E38" s="222">
        <v>8.867274256E9</v>
      </c>
      <c r="F38" s="119" t="s">
        <v>3801</v>
      </c>
      <c r="G38" s="118"/>
      <c r="H38" s="528">
        <v>82.0</v>
      </c>
      <c r="I38" s="120">
        <v>90.0</v>
      </c>
      <c r="J38" s="120">
        <f>VLOOKUP(D38,'L3'!$1:$2060,2,False)</f>
        <v>71</v>
      </c>
      <c r="K38" s="120">
        <f>VLOOKUP(D38,'L4'!$1:$2059,2,False)</f>
        <v>70</v>
      </c>
      <c r="L38" s="121">
        <f>VLOOKUP(D38,'A1 RETEST 5 DEC'!$1:$2096,2,False)</f>
        <v>78</v>
      </c>
      <c r="M38" s="122">
        <f>VLOOKUP(D38,'A2 RETEST 4 DEC'!$1:$2096,2,False)</f>
        <v>53</v>
      </c>
      <c r="N38" s="122">
        <v>50.0</v>
      </c>
      <c r="O38" s="121"/>
      <c r="P38" s="123">
        <f>IFNA(VLOOKUP(D38,'S1'!$1:$1000,2,False),0)</f>
        <v>81</v>
      </c>
      <c r="Q38" s="123">
        <f>vlookup(D38,'S2'!A34:B1236,2,0)</f>
        <v>72</v>
      </c>
      <c r="R38" s="123">
        <f>ifna(vlookup(D38,'S3'!$1:$1311,2,False),0)</f>
        <v>87</v>
      </c>
      <c r="S38" s="123"/>
      <c r="T38" s="125">
        <v>17.0</v>
      </c>
      <c r="U38" s="125">
        <v>22.0</v>
      </c>
      <c r="V38" s="125">
        <v>92.0</v>
      </c>
      <c r="W38" s="125">
        <v>90.0</v>
      </c>
      <c r="X38" s="125">
        <v>76.0</v>
      </c>
      <c r="Y38" s="125"/>
      <c r="Z38" s="292"/>
      <c r="AA38" s="529">
        <v>94.0</v>
      </c>
      <c r="AB38" s="530">
        <v>100.0</v>
      </c>
      <c r="AC38" s="295">
        <v>75.0</v>
      </c>
      <c r="AD38" s="295">
        <v>65.0</v>
      </c>
      <c r="AE38" s="297">
        <v>75.0</v>
      </c>
      <c r="AF38" s="298"/>
      <c r="AG38" s="295">
        <v>65.0</v>
      </c>
      <c r="AH38" s="298"/>
      <c r="AI38" s="118"/>
      <c r="AJ38" s="118"/>
      <c r="AK38" s="300">
        <f t="shared" si="1"/>
        <v>4</v>
      </c>
      <c r="AL38" s="300">
        <f t="shared" si="2"/>
        <v>3</v>
      </c>
      <c r="AM38" s="301">
        <f t="shared" si="3"/>
        <v>3</v>
      </c>
      <c r="AN38" s="300" t="str">
        <f t="shared" si="4"/>
        <v>3.5</v>
      </c>
      <c r="AO38" s="300">
        <f t="shared" si="5"/>
        <v>3</v>
      </c>
      <c r="AP38" s="88"/>
    </row>
    <row r="39">
      <c r="A39" s="142">
        <v>35.0</v>
      </c>
      <c r="B39" s="531" t="s">
        <v>1577</v>
      </c>
      <c r="C39" s="531" t="s">
        <v>3111</v>
      </c>
      <c r="D39" s="209" t="str">
        <f>VLOOKUP(B39,USN!$1:$1088,2,False)</f>
        <v>1CR23CI036</v>
      </c>
      <c r="E39" s="222">
        <v>8.919501726E9</v>
      </c>
      <c r="F39" s="119" t="s">
        <v>3801</v>
      </c>
      <c r="G39" s="118"/>
      <c r="H39" s="528">
        <v>80.0</v>
      </c>
      <c r="I39" s="120">
        <v>86.0</v>
      </c>
      <c r="J39" s="120">
        <f>VLOOKUP(D39,'L3'!$1:$2060,2,False)</f>
        <v>70</v>
      </c>
      <c r="K39" s="120">
        <f>VLOOKUP(D39,'L4'!$1:$2059,2,False)</f>
        <v>70</v>
      </c>
      <c r="L39" s="121">
        <f>VLOOKUP(D39,'A1 RETEST 5 DEC'!$1:$2096,2,False)</f>
        <v>62</v>
      </c>
      <c r="M39" s="122">
        <f>VLOOKUP(D39,'A2 RETEST 4 DEC'!$1:$2096,2,False)</f>
        <v>50</v>
      </c>
      <c r="N39" s="121">
        <v>50.0</v>
      </c>
      <c r="O39" s="121"/>
      <c r="P39" s="123">
        <f>IFNA(VLOOKUP(D39,'S1'!$1:$1000,2,False),0)</f>
        <v>73</v>
      </c>
      <c r="Q39" s="123">
        <f>vlookup(D39,'S2'!A35:B1237,2,0)</f>
        <v>90</v>
      </c>
      <c r="R39" s="123">
        <f>ifna(vlookup(D39,'S3'!$1:$1311,2,False),0)</f>
        <v>89</v>
      </c>
      <c r="S39" s="123"/>
      <c r="T39" s="125">
        <v>12.0</v>
      </c>
      <c r="U39" s="125">
        <v>24.0</v>
      </c>
      <c r="V39" s="125">
        <v>92.0</v>
      </c>
      <c r="W39" s="125">
        <v>88.0</v>
      </c>
      <c r="X39" s="125">
        <v>64.0</v>
      </c>
      <c r="Y39" s="125"/>
      <c r="Z39" s="292"/>
      <c r="AA39" s="529">
        <v>77.6</v>
      </c>
      <c r="AB39" s="530">
        <v>88.0</v>
      </c>
      <c r="AC39" s="295">
        <v>28.0</v>
      </c>
      <c r="AD39" s="295">
        <v>86.0</v>
      </c>
      <c r="AE39" s="297">
        <v>17.0</v>
      </c>
      <c r="AF39" s="298"/>
      <c r="AG39" s="295">
        <v>88.0</v>
      </c>
      <c r="AH39" s="298"/>
      <c r="AI39" s="118"/>
      <c r="AJ39" s="118"/>
      <c r="AK39" s="300">
        <f t="shared" si="1"/>
        <v>4</v>
      </c>
      <c r="AL39" s="300">
        <f t="shared" si="2"/>
        <v>3</v>
      </c>
      <c r="AM39" s="301">
        <f t="shared" si="3"/>
        <v>3</v>
      </c>
      <c r="AN39" s="300" t="str">
        <f t="shared" si="4"/>
        <v>3</v>
      </c>
      <c r="AO39" s="300">
        <f t="shared" si="5"/>
        <v>3</v>
      </c>
      <c r="AP39" s="88"/>
    </row>
    <row r="40">
      <c r="A40" s="142">
        <v>36.0</v>
      </c>
      <c r="B40" s="220" t="s">
        <v>1602</v>
      </c>
      <c r="C40" s="220" t="s">
        <v>3112</v>
      </c>
      <c r="D40" s="209" t="str">
        <f>VLOOKUP(B40,USN!$1:$1088,2,False)</f>
        <v>1CR23CI037</v>
      </c>
      <c r="E40" s="234">
        <v>9.666585878E9</v>
      </c>
      <c r="F40" s="116" t="s">
        <v>3801</v>
      </c>
      <c r="G40" s="118"/>
      <c r="H40" s="533">
        <v>70.0</v>
      </c>
      <c r="I40" s="120">
        <v>77.0</v>
      </c>
      <c r="J40" s="120">
        <f>VLOOKUP(D40,'L3'!$1:$2060,2,False)</f>
        <v>49</v>
      </c>
      <c r="K40" s="120">
        <f>VLOOKUP(D40,'L4'!$1:$2059,2,False)</f>
        <v>70</v>
      </c>
      <c r="L40" s="121">
        <f>VLOOKUP(D40,'A1 RETEST 5 DEC'!$1:$2096,2,False)</f>
        <v>50</v>
      </c>
      <c r="M40" s="122">
        <f>VLOOKUP(D40,'A2 RETEST 4 DEC'!$1:$2096,2,False)</f>
        <v>50</v>
      </c>
      <c r="N40" s="122">
        <v>50.0</v>
      </c>
      <c r="O40" s="121"/>
      <c r="P40" s="123">
        <f>IFNA(VLOOKUP(D40,'S1'!$1:$1000,2,False),0)</f>
        <v>50</v>
      </c>
      <c r="Q40" s="123">
        <f>vlookup(D40,'S2'!A36:B1238,2,0)</f>
        <v>50</v>
      </c>
      <c r="R40" s="123">
        <f>ifna(vlookup(D40,'S3'!$1:$1311,2,False),0)</f>
        <v>94</v>
      </c>
      <c r="S40" s="123"/>
      <c r="T40" s="125">
        <v>15.0</v>
      </c>
      <c r="U40" s="125">
        <v>22.0</v>
      </c>
      <c r="V40" s="125">
        <v>92.0</v>
      </c>
      <c r="W40" s="125">
        <v>86.0</v>
      </c>
      <c r="X40" s="125">
        <v>82.0</v>
      </c>
      <c r="Y40" s="125"/>
      <c r="Z40" s="292"/>
      <c r="AA40" s="529">
        <v>20.0</v>
      </c>
      <c r="AB40" s="530">
        <v>50.0</v>
      </c>
      <c r="AC40" s="295">
        <v>80.0</v>
      </c>
      <c r="AD40" s="295">
        <v>90.0</v>
      </c>
      <c r="AE40" s="297">
        <v>82.0</v>
      </c>
      <c r="AF40" s="298"/>
      <c r="AG40" s="295">
        <v>32.0</v>
      </c>
      <c r="AH40" s="298"/>
      <c r="AI40" s="118"/>
      <c r="AJ40" s="118"/>
      <c r="AK40" s="300">
        <f t="shared" si="1"/>
        <v>2</v>
      </c>
      <c r="AL40" s="300">
        <f t="shared" si="2"/>
        <v>3</v>
      </c>
      <c r="AM40" s="301">
        <f t="shared" si="3"/>
        <v>3</v>
      </c>
      <c r="AN40" s="300" t="str">
        <f t="shared" si="4"/>
        <v>3.5</v>
      </c>
      <c r="AO40" s="300">
        <f t="shared" si="5"/>
        <v>3</v>
      </c>
      <c r="AP40" s="88"/>
    </row>
    <row r="41">
      <c r="A41" s="142">
        <v>37.0</v>
      </c>
      <c r="B41" s="531" t="s">
        <v>1578</v>
      </c>
      <c r="C41" s="531" t="s">
        <v>3113</v>
      </c>
      <c r="D41" s="209" t="str">
        <f>VLOOKUP(B41,USN!$1:$1088,2,False)</f>
        <v>1CR23CI038</v>
      </c>
      <c r="E41" s="222">
        <v>9.986814052E9</v>
      </c>
      <c r="F41" s="119" t="s">
        <v>3801</v>
      </c>
      <c r="G41" s="118"/>
      <c r="H41" s="528">
        <v>82.0</v>
      </c>
      <c r="I41" s="120">
        <v>88.0</v>
      </c>
      <c r="J41" s="120">
        <f>VLOOKUP(D41,'L3'!$1:$2060,2,False)</f>
        <v>80</v>
      </c>
      <c r="K41" s="120">
        <f>VLOOKUP(D41,'L4'!$1:$2059,2,False)</f>
        <v>70</v>
      </c>
      <c r="L41" s="121">
        <f>VLOOKUP(D41,'A1 RETEST 5 DEC'!$1:$2096,2,False)</f>
        <v>52</v>
      </c>
      <c r="M41" s="122">
        <f>VLOOKUP(D41,'A2 RETEST 4 DEC'!$1:$2096,2,False)</f>
        <v>50</v>
      </c>
      <c r="N41" s="122">
        <v>50.0</v>
      </c>
      <c r="O41" s="121"/>
      <c r="P41" s="123">
        <f>IFNA(VLOOKUP(D41,'S1'!$1:$1000,2,False),0)</f>
        <v>82</v>
      </c>
      <c r="Q41" s="123">
        <f>vlookup(D41,'S2'!A37:B1239,2,0)</f>
        <v>75</v>
      </c>
      <c r="R41" s="123">
        <f>ifna(vlookup(D41,'S3'!$1:$1311,2,False),0)</f>
        <v>67</v>
      </c>
      <c r="S41" s="123"/>
      <c r="T41" s="125">
        <v>14.0</v>
      </c>
      <c r="U41" s="125">
        <v>25.0</v>
      </c>
      <c r="V41" s="125">
        <v>92.0</v>
      </c>
      <c r="W41" s="125">
        <v>90.0</v>
      </c>
      <c r="X41" s="125">
        <v>84.0</v>
      </c>
      <c r="Y41" s="125"/>
      <c r="Z41" s="292"/>
      <c r="AA41" s="529">
        <v>74.0</v>
      </c>
      <c r="AB41" s="530">
        <v>92.0</v>
      </c>
      <c r="AC41" s="295">
        <v>26.0</v>
      </c>
      <c r="AD41" s="295">
        <v>80.0</v>
      </c>
      <c r="AE41" s="297">
        <v>75.0</v>
      </c>
      <c r="AF41" s="298"/>
      <c r="AG41" s="295">
        <v>98.0</v>
      </c>
      <c r="AH41" s="298"/>
      <c r="AI41" s="118"/>
      <c r="AJ41" s="118"/>
      <c r="AK41" s="300">
        <f t="shared" si="1"/>
        <v>4</v>
      </c>
      <c r="AL41" s="300">
        <f t="shared" si="2"/>
        <v>3</v>
      </c>
      <c r="AM41" s="301">
        <f t="shared" si="3"/>
        <v>3</v>
      </c>
      <c r="AN41" s="300" t="str">
        <f t="shared" si="4"/>
        <v>3.5</v>
      </c>
      <c r="AO41" s="300">
        <f t="shared" si="5"/>
        <v>3</v>
      </c>
      <c r="AP41" s="88"/>
    </row>
    <row r="42">
      <c r="A42" s="142">
        <v>38.0</v>
      </c>
      <c r="B42" s="531" t="s">
        <v>1579</v>
      </c>
      <c r="C42" s="531" t="s">
        <v>3114</v>
      </c>
      <c r="D42" s="209" t="str">
        <f>VLOOKUP(B42,USN!$1:$1088,2,False)</f>
        <v>1CR23CI039</v>
      </c>
      <c r="E42" s="222">
        <v>8.10552404E9</v>
      </c>
      <c r="F42" s="119" t="s">
        <v>3801</v>
      </c>
      <c r="G42" s="118"/>
      <c r="H42" s="528">
        <v>83.0</v>
      </c>
      <c r="I42" s="120">
        <v>90.0</v>
      </c>
      <c r="J42" s="120">
        <f>VLOOKUP(D42,'L3'!$1:$2060,2,False)</f>
        <v>71</v>
      </c>
      <c r="K42" s="120">
        <f>VLOOKUP(D42,'L4'!$1:$2059,2,False)</f>
        <v>70</v>
      </c>
      <c r="L42" s="121">
        <f>VLOOKUP(D42,'A1 RETEST 5 DEC'!$1:$2096,2,False)</f>
        <v>59</v>
      </c>
      <c r="M42" s="122">
        <f>VLOOKUP(D42,'A2 RETEST 4 DEC'!$1:$2096,2,False)</f>
        <v>54</v>
      </c>
      <c r="N42" s="122">
        <v>50.25</v>
      </c>
      <c r="O42" s="121"/>
      <c r="P42" s="123">
        <f>IFNA(VLOOKUP(D42,'S1'!$1:$1000,2,False),0)</f>
        <v>82</v>
      </c>
      <c r="Q42" s="123">
        <f>vlookup(D42,'S2'!A38:B1240,2,0)</f>
        <v>59</v>
      </c>
      <c r="R42" s="123">
        <f>ifna(vlookup(D42,'S3'!$1:$1311,2,False),0)</f>
        <v>87</v>
      </c>
      <c r="S42" s="123"/>
      <c r="T42" s="125">
        <v>18.0</v>
      </c>
      <c r="U42" s="125">
        <v>25.0</v>
      </c>
      <c r="V42" s="125">
        <v>92.0</v>
      </c>
      <c r="W42" s="125">
        <v>90.0</v>
      </c>
      <c r="X42" s="125">
        <v>82.0</v>
      </c>
      <c r="Y42" s="125"/>
      <c r="Z42" s="292"/>
      <c r="AA42" s="529">
        <v>100.0</v>
      </c>
      <c r="AB42" s="530">
        <v>75.0</v>
      </c>
      <c r="AC42" s="295">
        <v>86.0</v>
      </c>
      <c r="AD42" s="295">
        <v>60.0</v>
      </c>
      <c r="AE42" s="297">
        <v>76.0</v>
      </c>
      <c r="AF42" s="298"/>
      <c r="AG42" s="295">
        <v>98.0</v>
      </c>
      <c r="AH42" s="298"/>
      <c r="AI42" s="118"/>
      <c r="AJ42" s="118"/>
      <c r="AK42" s="300">
        <f t="shared" si="1"/>
        <v>4</v>
      </c>
      <c r="AL42" s="300">
        <f t="shared" si="2"/>
        <v>3</v>
      </c>
      <c r="AM42" s="301">
        <f t="shared" si="3"/>
        <v>3</v>
      </c>
      <c r="AN42" s="300" t="str">
        <f t="shared" si="4"/>
        <v>3.5</v>
      </c>
      <c r="AO42" s="300">
        <f t="shared" si="5"/>
        <v>3</v>
      </c>
      <c r="AP42" s="88"/>
    </row>
    <row r="43">
      <c r="A43" s="142">
        <v>39.0</v>
      </c>
      <c r="B43" s="220" t="s">
        <v>1607</v>
      </c>
      <c r="C43" s="220" t="s">
        <v>3115</v>
      </c>
      <c r="D43" s="209" t="str">
        <f>VLOOKUP(B43,USN!$1:$1088,2,False)</f>
        <v>1CR23CI040</v>
      </c>
      <c r="E43" s="234">
        <v>9.845932652E9</v>
      </c>
      <c r="F43" s="116" t="s">
        <v>3801</v>
      </c>
      <c r="G43" s="118"/>
      <c r="H43" s="528">
        <v>87.0</v>
      </c>
      <c r="I43" s="120">
        <v>89.0</v>
      </c>
      <c r="J43" s="120">
        <f>VLOOKUP(D43,'L3'!$1:$2060,2,False)</f>
        <v>75</v>
      </c>
      <c r="K43" s="120">
        <f>VLOOKUP(D43,'L4'!$1:$2059,2,False)</f>
        <v>70</v>
      </c>
      <c r="L43" s="121">
        <f>VLOOKUP(D43,'A1 RETEST 5 DEC'!$1:$2096,2,False)</f>
        <v>58</v>
      </c>
      <c r="M43" s="122">
        <f>VLOOKUP(D43,'A2 RETEST 4 DEC'!$1:$2096,2,False)</f>
        <v>50</v>
      </c>
      <c r="N43" s="122">
        <v>52.0</v>
      </c>
      <c r="O43" s="121"/>
      <c r="P43" s="123">
        <f>IFNA(VLOOKUP(D43,'S1'!$1:$1000,2,False),0)</f>
        <v>80</v>
      </c>
      <c r="Q43" s="123">
        <f>vlookup(D43,'S2'!A39:B1241,2,0)</f>
        <v>62</v>
      </c>
      <c r="R43" s="123">
        <f>ifna(vlookup(D43,'S3'!$1:$1311,2,False),0)</f>
        <v>94</v>
      </c>
      <c r="S43" s="123"/>
      <c r="T43" s="125">
        <v>14.0</v>
      </c>
      <c r="U43" s="125">
        <v>24.0</v>
      </c>
      <c r="V43" s="125">
        <v>90.0</v>
      </c>
      <c r="W43" s="125">
        <v>92.0</v>
      </c>
      <c r="X43" s="125">
        <v>66.0</v>
      </c>
      <c r="Y43" s="125"/>
      <c r="Z43" s="292"/>
      <c r="AA43" s="529">
        <v>84.0</v>
      </c>
      <c r="AB43" s="530">
        <v>92.0</v>
      </c>
      <c r="AC43" s="295">
        <v>69.0</v>
      </c>
      <c r="AD43" s="295">
        <v>60.0</v>
      </c>
      <c r="AE43" s="297">
        <v>70.0</v>
      </c>
      <c r="AF43" s="298"/>
      <c r="AG43" s="295">
        <v>98.0</v>
      </c>
      <c r="AH43" s="298"/>
      <c r="AI43" s="118"/>
      <c r="AJ43" s="118"/>
      <c r="AK43" s="300">
        <f t="shared" si="1"/>
        <v>4</v>
      </c>
      <c r="AL43" s="300">
        <f t="shared" si="2"/>
        <v>3</v>
      </c>
      <c r="AM43" s="301">
        <f t="shared" si="3"/>
        <v>3</v>
      </c>
      <c r="AN43" s="300" t="str">
        <f t="shared" si="4"/>
        <v>3.5</v>
      </c>
      <c r="AO43" s="300">
        <f t="shared" si="5"/>
        <v>3</v>
      </c>
      <c r="AP43" s="88"/>
    </row>
    <row r="44">
      <c r="A44" s="142">
        <v>40.0</v>
      </c>
      <c r="B44" s="531" t="s">
        <v>1580</v>
      </c>
      <c r="C44" s="531" t="s">
        <v>3116</v>
      </c>
      <c r="D44" s="209" t="str">
        <f>VLOOKUP(B44,USN!$1:$1088,2,False)</f>
        <v>1CR23CI041</v>
      </c>
      <c r="E44" s="222">
        <v>7.204289321E9</v>
      </c>
      <c r="F44" s="119" t="s">
        <v>3801</v>
      </c>
      <c r="G44" s="118"/>
      <c r="H44" s="528">
        <v>87.0</v>
      </c>
      <c r="I44" s="120">
        <v>96.0</v>
      </c>
      <c r="J44" s="120">
        <f>VLOOKUP(D44,'L3'!$1:$2060,2,False)</f>
        <v>86</v>
      </c>
      <c r="K44" s="120">
        <f>VLOOKUP(D44,'L4'!$1:$2059,2,False)</f>
        <v>60</v>
      </c>
      <c r="L44" s="121">
        <f>VLOOKUP(D44,'A1 RETEST 5 DEC'!$1:$2096,2,False)</f>
        <v>41</v>
      </c>
      <c r="M44" s="122">
        <f>VLOOKUP(D44,'A2 RETEST 4 DEC'!$1:$2096,2,False)</f>
        <v>12</v>
      </c>
      <c r="N44" s="122">
        <v>6.0</v>
      </c>
      <c r="O44" s="121"/>
      <c r="P44" s="123">
        <f>IFNA(VLOOKUP(D44,'S1'!$1:$1000,2,False),0)</f>
        <v>84</v>
      </c>
      <c r="Q44" s="123">
        <f>vlookup(D44,'S2'!A40:B1242,2,0)</f>
        <v>71</v>
      </c>
      <c r="R44" s="123">
        <f>ifna(vlookup(D44,'S3'!$1:$1311,2,False),0)</f>
        <v>0</v>
      </c>
      <c r="S44" s="123"/>
      <c r="T44" s="125">
        <v>18.0</v>
      </c>
      <c r="U44" s="125">
        <v>24.0</v>
      </c>
      <c r="V44" s="125">
        <v>90.0</v>
      </c>
      <c r="W44" s="125">
        <v>90.0</v>
      </c>
      <c r="X44" s="125">
        <v>82.0</v>
      </c>
      <c r="Y44" s="125"/>
      <c r="Z44" s="292"/>
      <c r="AA44" s="529">
        <v>96.0</v>
      </c>
      <c r="AB44" s="530">
        <v>100.0</v>
      </c>
      <c r="AC44" s="295">
        <v>50.0</v>
      </c>
      <c r="AD44" s="295">
        <v>48.0</v>
      </c>
      <c r="AE44" s="297">
        <v>10.0</v>
      </c>
      <c r="AF44" s="298"/>
      <c r="AG44" s="295">
        <v>25.0</v>
      </c>
      <c r="AH44" s="298"/>
      <c r="AI44" s="118"/>
      <c r="AJ44" s="118"/>
      <c r="AK44" s="300">
        <f t="shared" si="1"/>
        <v>3</v>
      </c>
      <c r="AL44" s="300">
        <f t="shared" si="2"/>
        <v>0</v>
      </c>
      <c r="AM44" s="301">
        <f t="shared" si="3"/>
        <v>3</v>
      </c>
      <c r="AN44" s="300" t="str">
        <f t="shared" si="4"/>
        <v>2</v>
      </c>
      <c r="AO44" s="300">
        <f t="shared" si="5"/>
        <v>2</v>
      </c>
      <c r="AP44" s="88"/>
    </row>
    <row r="45">
      <c r="A45" s="142">
        <v>41.0</v>
      </c>
      <c r="B45" s="220" t="s">
        <v>1604</v>
      </c>
      <c r="C45" s="220" t="s">
        <v>3117</v>
      </c>
      <c r="D45" s="209" t="str">
        <f>VLOOKUP(B45,USN!$1:$1088,2,False)</f>
        <v>1CR23CI042</v>
      </c>
      <c r="E45" s="234">
        <v>8.431865074E9</v>
      </c>
      <c r="F45" s="116" t="s">
        <v>3801</v>
      </c>
      <c r="G45" s="118"/>
      <c r="H45" s="528">
        <v>74.0</v>
      </c>
      <c r="I45" s="120">
        <v>83.0</v>
      </c>
      <c r="J45" s="120">
        <f>VLOOKUP(D45,'L3'!$1:$2060,2,False)</f>
        <v>70</v>
      </c>
      <c r="K45" s="120">
        <f>VLOOKUP(D45,'L4'!$1:$2059,2,False)</f>
        <v>70</v>
      </c>
      <c r="L45" s="121">
        <f>VLOOKUP(D45,'A1 RETEST 5 DEC'!$1:$2096,2,False)</f>
        <v>50</v>
      </c>
      <c r="M45" s="122">
        <f>VLOOKUP(D45,'A2 RETEST 4 DEC'!$1:$2096,2,False)</f>
        <v>50</v>
      </c>
      <c r="N45" s="122">
        <v>52.75</v>
      </c>
      <c r="O45" s="121"/>
      <c r="P45" s="123">
        <f>IFNA(VLOOKUP(D45,'S1'!$1:$1000,2,False),0)</f>
        <v>78</v>
      </c>
      <c r="Q45" s="123">
        <f>vlookup(D45,'S2'!A41:B1243,2,0)</f>
        <v>62</v>
      </c>
      <c r="R45" s="123">
        <f>ifna(vlookup(D45,'S3'!$1:$1311,2,False),0)</f>
        <v>93</v>
      </c>
      <c r="S45" s="123"/>
      <c r="T45" s="125">
        <v>19.0</v>
      </c>
      <c r="U45" s="125">
        <v>24.0</v>
      </c>
      <c r="V45" s="125">
        <v>88.0</v>
      </c>
      <c r="W45" s="125">
        <v>90.0</v>
      </c>
      <c r="X45" s="125">
        <v>72.0</v>
      </c>
      <c r="Y45" s="125"/>
      <c r="Z45" s="292"/>
      <c r="AA45" s="529">
        <v>60.0</v>
      </c>
      <c r="AB45" s="530">
        <v>96.0</v>
      </c>
      <c r="AC45" s="295">
        <v>65.0</v>
      </c>
      <c r="AD45" s="295">
        <v>60.0</v>
      </c>
      <c r="AE45" s="297">
        <v>70.0</v>
      </c>
      <c r="AF45" s="298"/>
      <c r="AG45" s="295">
        <v>98.0</v>
      </c>
      <c r="AH45" s="298"/>
      <c r="AI45" s="118"/>
      <c r="AJ45" s="118"/>
      <c r="AK45" s="300">
        <f t="shared" si="1"/>
        <v>4</v>
      </c>
      <c r="AL45" s="300">
        <f t="shared" si="2"/>
        <v>3</v>
      </c>
      <c r="AM45" s="301">
        <f t="shared" si="3"/>
        <v>3</v>
      </c>
      <c r="AN45" s="300" t="str">
        <f t="shared" si="4"/>
        <v>3.5</v>
      </c>
      <c r="AO45" s="300">
        <f t="shared" si="5"/>
        <v>3</v>
      </c>
      <c r="AP45" s="88"/>
    </row>
    <row r="46">
      <c r="A46" s="142">
        <v>42.0</v>
      </c>
      <c r="B46" s="531" t="s">
        <v>1581</v>
      </c>
      <c r="C46" s="531" t="s">
        <v>3118</v>
      </c>
      <c r="D46" s="209" t="str">
        <f>VLOOKUP(B46,USN!$1:$1088,2,False)</f>
        <v>1CR23CI043</v>
      </c>
      <c r="E46" s="222">
        <v>7.77889794E9</v>
      </c>
      <c r="F46" s="119" t="s">
        <v>3801</v>
      </c>
      <c r="G46" s="118"/>
      <c r="H46" s="528">
        <v>70.0</v>
      </c>
      <c r="I46" s="120">
        <v>70.0</v>
      </c>
      <c r="J46" s="120">
        <f>VLOOKUP(D46,'L3'!$1:$2060,2,False)</f>
        <v>70</v>
      </c>
      <c r="K46" s="120">
        <f>VLOOKUP(D46,'L4'!$1:$2059,2,False)</f>
        <v>70</v>
      </c>
      <c r="L46" s="121">
        <f>VLOOKUP(D46,'A1 RETEST 5 DEC'!$1:$2096,2,False)</f>
        <v>50</v>
      </c>
      <c r="M46" s="122">
        <f>VLOOKUP(D46,'A2 RETEST 4 DEC'!$1:$2096,2,False)</f>
        <v>50</v>
      </c>
      <c r="N46" s="122">
        <v>56.5</v>
      </c>
      <c r="O46" s="121"/>
      <c r="P46" s="123">
        <f>IFNA(VLOOKUP(D46,'S1'!$1:$1000,2,False),0)</f>
        <v>83</v>
      </c>
      <c r="Q46" s="123">
        <f>vlookup(D46,'S2'!A42:B1244,2,0)</f>
        <v>50</v>
      </c>
      <c r="R46" s="123">
        <f>ifna(vlookup(D46,'S3'!$1:$1311,2,False),0)</f>
        <v>93</v>
      </c>
      <c r="S46" s="123"/>
      <c r="T46" s="125">
        <v>13.0</v>
      </c>
      <c r="U46" s="125">
        <v>25.0</v>
      </c>
      <c r="V46" s="125">
        <v>92.0</v>
      </c>
      <c r="W46" s="125">
        <v>90.0</v>
      </c>
      <c r="X46" s="125">
        <v>76.0</v>
      </c>
      <c r="Y46" s="125"/>
      <c r="Z46" s="292"/>
      <c r="AA46" s="529">
        <v>76.0</v>
      </c>
      <c r="AB46" s="530">
        <v>88.0</v>
      </c>
      <c r="AC46" s="295">
        <v>68.0</v>
      </c>
      <c r="AD46" s="295">
        <v>46.0</v>
      </c>
      <c r="AE46" s="297">
        <v>73.0</v>
      </c>
      <c r="AF46" s="298"/>
      <c r="AG46" s="295">
        <v>86.0</v>
      </c>
      <c r="AH46" s="298"/>
      <c r="AI46" s="118"/>
      <c r="AJ46" s="118"/>
      <c r="AK46" s="300">
        <f t="shared" si="1"/>
        <v>4</v>
      </c>
      <c r="AL46" s="300">
        <f t="shared" si="2"/>
        <v>3</v>
      </c>
      <c r="AM46" s="301">
        <f t="shared" si="3"/>
        <v>3</v>
      </c>
      <c r="AN46" s="300" t="str">
        <f t="shared" si="4"/>
        <v>3.5</v>
      </c>
      <c r="AO46" s="300">
        <f t="shared" si="5"/>
        <v>3</v>
      </c>
      <c r="AP46" s="88"/>
    </row>
    <row r="47">
      <c r="A47" s="142">
        <v>43.0</v>
      </c>
      <c r="B47" s="531" t="s">
        <v>1595</v>
      </c>
      <c r="C47" s="220" t="s">
        <v>3119</v>
      </c>
      <c r="D47" s="209" t="str">
        <f>VLOOKUP(B47,USN!$1:$1088,2,False)</f>
        <v>1CR23CI044</v>
      </c>
      <c r="E47" s="222">
        <v>8.123775315E9</v>
      </c>
      <c r="F47" s="119" t="s">
        <v>3801</v>
      </c>
      <c r="G47" s="118"/>
      <c r="H47" s="528">
        <v>88.0</v>
      </c>
      <c r="I47" s="120">
        <v>94.0</v>
      </c>
      <c r="J47" s="120">
        <f>VLOOKUP(D47,'L3'!$1:$2060,2,False)</f>
        <v>77</v>
      </c>
      <c r="K47" s="120">
        <f>VLOOKUP(D47,'L4'!$1:$2059,2,False)</f>
        <v>70</v>
      </c>
      <c r="L47" s="121">
        <f>VLOOKUP(D47,'A1 RETEST 5 DEC'!$1:$2096,2,False)</f>
        <v>65</v>
      </c>
      <c r="M47" s="122">
        <f>VLOOKUP(D47,'A2 RETEST 4 DEC'!$1:$2096,2,False)</f>
        <v>59</v>
      </c>
      <c r="N47" s="122">
        <v>56.0</v>
      </c>
      <c r="O47" s="121"/>
      <c r="P47" s="123">
        <f>IFNA(VLOOKUP(D47,'S1'!$1:$1000,2,False),0)</f>
        <v>80</v>
      </c>
      <c r="Q47" s="123">
        <f>vlookup(D47,'S2'!A43:B1245,2,0)</f>
        <v>70</v>
      </c>
      <c r="R47" s="123">
        <f>ifna(vlookup(D47,'S3'!$1:$1311,2,False),0)</f>
        <v>88</v>
      </c>
      <c r="S47" s="123"/>
      <c r="T47" s="125">
        <v>16.0</v>
      </c>
      <c r="U47" s="125">
        <v>21.0</v>
      </c>
      <c r="V47" s="125">
        <v>92.0</v>
      </c>
      <c r="W47" s="125">
        <v>90.0</v>
      </c>
      <c r="X47" s="125">
        <v>78.0</v>
      </c>
      <c r="Y47" s="125"/>
      <c r="Z47" s="292"/>
      <c r="AA47" s="529">
        <v>88.0</v>
      </c>
      <c r="AB47" s="530">
        <v>100.0</v>
      </c>
      <c r="AC47" s="295">
        <v>79.0</v>
      </c>
      <c r="AD47" s="295">
        <v>100.0</v>
      </c>
      <c r="AE47" s="297">
        <v>74.0</v>
      </c>
      <c r="AF47" s="298"/>
      <c r="AG47" s="295">
        <v>88.0</v>
      </c>
      <c r="AH47" s="298"/>
      <c r="AI47" s="118"/>
      <c r="AJ47" s="118"/>
      <c r="AK47" s="300">
        <f t="shared" si="1"/>
        <v>4</v>
      </c>
      <c r="AL47" s="300">
        <f t="shared" si="2"/>
        <v>3</v>
      </c>
      <c r="AM47" s="301">
        <f t="shared" si="3"/>
        <v>3</v>
      </c>
      <c r="AN47" s="300" t="str">
        <f t="shared" si="4"/>
        <v>3.5</v>
      </c>
      <c r="AO47" s="300">
        <f t="shared" si="5"/>
        <v>3</v>
      </c>
      <c r="AP47" s="88"/>
    </row>
    <row r="48">
      <c r="A48" s="142">
        <v>44.0</v>
      </c>
      <c r="B48" s="531" t="s">
        <v>1582</v>
      </c>
      <c r="C48" s="531" t="s">
        <v>3120</v>
      </c>
      <c r="D48" s="209" t="str">
        <f>VLOOKUP(B48,USN!$1:$1088,2,False)</f>
        <v>1CR23CI045</v>
      </c>
      <c r="E48" s="222">
        <v>7.975190797E9</v>
      </c>
      <c r="F48" s="119" t="s">
        <v>3801</v>
      </c>
      <c r="G48" s="118"/>
      <c r="H48" s="528">
        <v>67.0</v>
      </c>
      <c r="I48" s="120">
        <v>83.0</v>
      </c>
      <c r="J48" s="120">
        <f>VLOOKUP(D48,'L3'!$1:$2060,2,False)</f>
        <v>65</v>
      </c>
      <c r="K48" s="120">
        <f>VLOOKUP(D48,'L4'!$1:$2059,2,False)</f>
        <v>4</v>
      </c>
      <c r="L48" s="121">
        <f>VLOOKUP(D48,'A1 RETEST 5 DEC'!$1:$2096,2,False)</f>
        <v>11</v>
      </c>
      <c r="M48" s="122">
        <f>VLOOKUP(D48,'A2 RETEST 4 DEC'!$1:$2096,2,False)</f>
        <v>0</v>
      </c>
      <c r="N48" s="122">
        <v>0.0</v>
      </c>
      <c r="O48" s="121"/>
      <c r="P48" s="123">
        <f>IFNA(VLOOKUP(D48,'S1'!$1:$1000,2,False),0)</f>
        <v>0</v>
      </c>
      <c r="Q48" s="123">
        <f>vlookup(D48,'S2'!A44:B1246,2,0)</f>
        <v>0</v>
      </c>
      <c r="R48" s="123">
        <f>ifna(vlookup(D48,'S3'!$1:$1311,2,False),0)</f>
        <v>0</v>
      </c>
      <c r="S48" s="123"/>
      <c r="T48" s="125">
        <v>14.0</v>
      </c>
      <c r="U48" s="125">
        <v>15.0</v>
      </c>
      <c r="V48" s="125">
        <v>66.0</v>
      </c>
      <c r="W48" s="125">
        <v>84.0</v>
      </c>
      <c r="X48" s="125"/>
      <c r="Y48" s="125"/>
      <c r="Z48" s="292"/>
      <c r="AA48" s="529">
        <v>94.0</v>
      </c>
      <c r="AB48" s="530">
        <v>0.0</v>
      </c>
      <c r="AC48" s="295">
        <v>0.0</v>
      </c>
      <c r="AD48" s="295">
        <v>53.0</v>
      </c>
      <c r="AE48" s="297">
        <v>10.0</v>
      </c>
      <c r="AF48" s="298"/>
      <c r="AG48" s="295">
        <v>0.0</v>
      </c>
      <c r="AH48" s="298"/>
      <c r="AI48" s="118"/>
      <c r="AJ48" s="118"/>
      <c r="AK48" s="300">
        <f t="shared" si="1"/>
        <v>2</v>
      </c>
      <c r="AL48" s="300">
        <f t="shared" si="2"/>
        <v>0</v>
      </c>
      <c r="AM48" s="301">
        <f t="shared" si="3"/>
        <v>3</v>
      </c>
      <c r="AN48" s="300" t="str">
        <f t="shared" si="4"/>
        <v>0</v>
      </c>
      <c r="AO48" s="300">
        <f t="shared" si="5"/>
        <v>0</v>
      </c>
      <c r="AP48" s="88"/>
    </row>
    <row r="49">
      <c r="A49" s="142">
        <v>45.0</v>
      </c>
      <c r="B49" s="220" t="s">
        <v>1611</v>
      </c>
      <c r="C49" s="536" t="s">
        <v>3121</v>
      </c>
      <c r="D49" s="209" t="str">
        <f>VLOOKUP(B49,USN!$1:$1088,2,False)</f>
        <v>1CR23CI046</v>
      </c>
      <c r="E49" s="234">
        <v>8.660761403E9</v>
      </c>
      <c r="F49" s="116" t="s">
        <v>3801</v>
      </c>
      <c r="G49" s="118"/>
      <c r="H49" s="528">
        <v>72.0</v>
      </c>
      <c r="I49" s="120">
        <v>70.0</v>
      </c>
      <c r="J49" s="120">
        <f>VLOOKUP(D49,'L3'!$1:$2060,2,False)</f>
        <v>70</v>
      </c>
      <c r="K49" s="120">
        <f>VLOOKUP(D49,'L4'!$1:$2059,2,False)</f>
        <v>70</v>
      </c>
      <c r="L49" s="121">
        <f>VLOOKUP(D49,'A1 RETEST 5 DEC'!$1:$2096,2,False)</f>
        <v>65</v>
      </c>
      <c r="M49" s="122">
        <f>VLOOKUP(D49,'A2 RETEST 4 DEC'!$1:$2096,2,False)</f>
        <v>67</v>
      </c>
      <c r="N49" s="122">
        <v>50.0</v>
      </c>
      <c r="O49" s="121"/>
      <c r="P49" s="123">
        <f>IFNA(VLOOKUP(D49,'S1'!$1:$1000,2,False),0)</f>
        <v>50</v>
      </c>
      <c r="Q49" s="123">
        <f>vlookup(D49,'S2'!A45:B1247,2,0)</f>
        <v>50</v>
      </c>
      <c r="R49" s="123">
        <f>ifna(vlookup(D49,'S3'!$1:$1311,2,False),0)</f>
        <v>87</v>
      </c>
      <c r="S49" s="123"/>
      <c r="T49" s="125">
        <v>12.0</v>
      </c>
      <c r="U49" s="125">
        <v>23.0</v>
      </c>
      <c r="V49" s="125">
        <v>88.0</v>
      </c>
      <c r="W49" s="125">
        <v>86.0</v>
      </c>
      <c r="X49" s="125">
        <v>72.0</v>
      </c>
      <c r="Y49" s="125"/>
      <c r="Z49" s="292"/>
      <c r="AA49" s="529">
        <v>62.0</v>
      </c>
      <c r="AB49" s="530">
        <v>100.0</v>
      </c>
      <c r="AC49" s="295">
        <v>100.0</v>
      </c>
      <c r="AD49" s="295">
        <v>60.0</v>
      </c>
      <c r="AE49" s="297">
        <v>75.0</v>
      </c>
      <c r="AF49" s="298"/>
      <c r="AG49" s="295">
        <v>92.0</v>
      </c>
      <c r="AH49" s="298"/>
      <c r="AI49" s="118"/>
      <c r="AJ49" s="118"/>
      <c r="AK49" s="300">
        <f t="shared" si="1"/>
        <v>4</v>
      </c>
      <c r="AL49" s="300">
        <f t="shared" si="2"/>
        <v>3</v>
      </c>
      <c r="AM49" s="301">
        <f t="shared" si="3"/>
        <v>3</v>
      </c>
      <c r="AN49" s="300" t="str">
        <f t="shared" si="4"/>
        <v>3.5</v>
      </c>
      <c r="AO49" s="300">
        <f t="shared" si="5"/>
        <v>3</v>
      </c>
      <c r="AP49" s="88"/>
    </row>
    <row r="50">
      <c r="A50" s="142">
        <v>46.0</v>
      </c>
      <c r="B50" s="531" t="s">
        <v>1596</v>
      </c>
      <c r="C50" s="220" t="s">
        <v>3122</v>
      </c>
      <c r="D50" s="209" t="str">
        <f>VLOOKUP(B50,USN!$1:$1088,2,False)</f>
        <v>1CR23CI047</v>
      </c>
      <c r="E50" s="222">
        <v>7.975593936E9</v>
      </c>
      <c r="F50" s="119" t="s">
        <v>3801</v>
      </c>
      <c r="G50" s="118"/>
      <c r="H50" s="533">
        <v>70.0</v>
      </c>
      <c r="I50" s="120">
        <v>74.0</v>
      </c>
      <c r="J50" s="120">
        <f>VLOOKUP(D50,'L3'!$1:$2060,2,False)</f>
        <v>70</v>
      </c>
      <c r="K50" s="120">
        <f>VLOOKUP(D50,'L4'!$1:$2059,2,False)</f>
        <v>70</v>
      </c>
      <c r="L50" s="121">
        <f>VLOOKUP(D50,'A1 RETEST 5 DEC'!$1:$2096,2,False)</f>
        <v>50</v>
      </c>
      <c r="M50" s="122">
        <f>VLOOKUP(D50,'A2 RETEST 4 DEC'!$1:$2096,2,False)</f>
        <v>59</v>
      </c>
      <c r="N50" s="122">
        <v>50.0</v>
      </c>
      <c r="O50" s="121"/>
      <c r="P50" s="123">
        <f>IFNA(VLOOKUP(D50,'S1'!$1:$1000,2,False),0)</f>
        <v>78</v>
      </c>
      <c r="Q50" s="123">
        <f>vlookup(D50,'S2'!A46:B1248,2,0)</f>
        <v>71</v>
      </c>
      <c r="R50" s="123">
        <f>ifna(vlookup(D50,'S3'!$1:$1311,2,False),0)</f>
        <v>87</v>
      </c>
      <c r="S50" s="123"/>
      <c r="T50" s="125">
        <v>11.0</v>
      </c>
      <c r="U50" s="125">
        <v>25.0</v>
      </c>
      <c r="V50" s="125">
        <v>92.0</v>
      </c>
      <c r="W50" s="125">
        <v>86.0</v>
      </c>
      <c r="X50" s="125">
        <v>74.0</v>
      </c>
      <c r="Y50" s="125"/>
      <c r="Z50" s="292"/>
      <c r="AA50" s="529">
        <v>60.0</v>
      </c>
      <c r="AB50" s="530">
        <v>100.0</v>
      </c>
      <c r="AC50" s="295">
        <v>100.0</v>
      </c>
      <c r="AD50" s="295">
        <v>60.0</v>
      </c>
      <c r="AE50" s="297">
        <v>75.0</v>
      </c>
      <c r="AF50" s="298"/>
      <c r="AG50" s="295">
        <v>94.0</v>
      </c>
      <c r="AH50" s="298"/>
      <c r="AI50" s="118"/>
      <c r="AJ50" s="118"/>
      <c r="AK50" s="300">
        <f t="shared" si="1"/>
        <v>4</v>
      </c>
      <c r="AL50" s="300">
        <f t="shared" si="2"/>
        <v>3</v>
      </c>
      <c r="AM50" s="301">
        <f t="shared" si="3"/>
        <v>3</v>
      </c>
      <c r="AN50" s="300" t="str">
        <f t="shared" si="4"/>
        <v>3.5</v>
      </c>
      <c r="AO50" s="300">
        <f t="shared" si="5"/>
        <v>3</v>
      </c>
      <c r="AP50" s="88"/>
    </row>
    <row r="51">
      <c r="A51" s="142">
        <v>47.0</v>
      </c>
      <c r="B51" s="531" t="s">
        <v>1584</v>
      </c>
      <c r="C51" s="531" t="s">
        <v>3124</v>
      </c>
      <c r="D51" s="209" t="str">
        <f>VLOOKUP(B51,USN!$1:$1088,2,False)</f>
        <v>1CR23CI049</v>
      </c>
      <c r="E51" s="222">
        <v>7.780554112E9</v>
      </c>
      <c r="F51" s="119" t="s">
        <v>3801</v>
      </c>
      <c r="G51" s="118"/>
      <c r="H51" s="533">
        <v>70.0</v>
      </c>
      <c r="I51" s="120">
        <v>79.0</v>
      </c>
      <c r="J51" s="120">
        <f>VLOOKUP(D51,'L3'!$1:$2060,2,False)</f>
        <v>58</v>
      </c>
      <c r="K51" s="120">
        <f>VLOOKUP(D51,'L4'!$1:$2059,2,False)</f>
        <v>70</v>
      </c>
      <c r="L51" s="121">
        <f>VLOOKUP(D51,'A1 RETEST 5 DEC'!$1:$2096,2,False)</f>
        <v>50</v>
      </c>
      <c r="M51" s="122">
        <f>VLOOKUP(D51,'A2 RETEST 4 DEC'!$1:$2096,2,False)</f>
        <v>50</v>
      </c>
      <c r="N51" s="122">
        <v>50.0</v>
      </c>
      <c r="O51" s="121"/>
      <c r="P51" s="123">
        <f>IFNA(VLOOKUP(D51,'S1'!$1:$1000,2,False),0)</f>
        <v>83</v>
      </c>
      <c r="Q51" s="123">
        <f>vlookup(D51,'S2'!A48:B1250,2,0)</f>
        <v>50</v>
      </c>
      <c r="R51" s="123">
        <f>ifna(vlookup(D51,'S3'!$1:$1311,2,False),0)</f>
        <v>81</v>
      </c>
      <c r="S51" s="123"/>
      <c r="T51" s="125">
        <v>14.0</v>
      </c>
      <c r="U51" s="125">
        <v>24.0</v>
      </c>
      <c r="V51" s="125">
        <v>90.0</v>
      </c>
      <c r="W51" s="125">
        <v>86.0</v>
      </c>
      <c r="X51" s="125">
        <v>70.0</v>
      </c>
      <c r="Y51" s="125"/>
      <c r="Z51" s="292"/>
      <c r="AA51" s="529">
        <v>68.0</v>
      </c>
      <c r="AB51" s="530">
        <v>81.0</v>
      </c>
      <c r="AC51" s="295">
        <v>30.0</v>
      </c>
      <c r="AD51" s="295">
        <v>60.0</v>
      </c>
      <c r="AE51" s="297">
        <v>17.0</v>
      </c>
      <c r="AF51" s="298"/>
      <c r="AG51" s="295">
        <v>32.0</v>
      </c>
      <c r="AH51" s="298"/>
      <c r="AI51" s="118"/>
      <c r="AJ51" s="118"/>
      <c r="AK51" s="300">
        <f t="shared" si="1"/>
        <v>2</v>
      </c>
      <c r="AL51" s="300">
        <f t="shared" si="2"/>
        <v>3</v>
      </c>
      <c r="AM51" s="301">
        <f t="shared" si="3"/>
        <v>3</v>
      </c>
      <c r="AN51" s="300" t="str">
        <f t="shared" si="4"/>
        <v>3</v>
      </c>
      <c r="AO51" s="300">
        <f t="shared" si="5"/>
        <v>3</v>
      </c>
      <c r="AP51" s="88"/>
    </row>
    <row r="52">
      <c r="A52" s="142">
        <v>48.0</v>
      </c>
      <c r="B52" s="531" t="s">
        <v>1585</v>
      </c>
      <c r="C52" s="531" t="s">
        <v>3125</v>
      </c>
      <c r="D52" s="209" t="str">
        <f>VLOOKUP(B52,USN!$1:$1088,2,False)</f>
        <v>1CR23CI050</v>
      </c>
      <c r="E52" s="222">
        <v>9.008864195E9</v>
      </c>
      <c r="F52" s="119" t="s">
        <v>3801</v>
      </c>
      <c r="G52" s="118"/>
      <c r="H52" s="528">
        <v>71.0</v>
      </c>
      <c r="I52" s="120">
        <v>84.0</v>
      </c>
      <c r="J52" s="120">
        <f>VLOOKUP(D52,'L3'!$1:$2060,2,False)</f>
        <v>30</v>
      </c>
      <c r="K52" s="120">
        <f>VLOOKUP(D52,'L4'!$1:$2059,2,False)</f>
        <v>4</v>
      </c>
      <c r="L52" s="121">
        <f>VLOOKUP(D52,'A1 RETEST 5 DEC'!$1:$2096,2,False)</f>
        <v>0</v>
      </c>
      <c r="M52" s="122">
        <f>VLOOKUP(D52,'A2 RETEST 4 DEC'!$1:$2096,2,False)</f>
        <v>0</v>
      </c>
      <c r="N52" s="122">
        <v>0.0</v>
      </c>
      <c r="O52" s="121"/>
      <c r="P52" s="123">
        <f>IFNA(VLOOKUP(D52,'S1'!$1:$1000,2,False),0)</f>
        <v>0</v>
      </c>
      <c r="Q52" s="123">
        <f>vlookup(D52,'S2'!A49:B1251,2,0)</f>
        <v>0</v>
      </c>
      <c r="R52" s="123">
        <f>ifna(vlookup(D52,'S3'!$1:$1311,2,False),0)</f>
        <v>0</v>
      </c>
      <c r="S52" s="123"/>
      <c r="T52" s="125">
        <v>13.0</v>
      </c>
      <c r="U52" s="125">
        <v>12.0</v>
      </c>
      <c r="V52" s="125">
        <v>90.0</v>
      </c>
      <c r="W52" s="125">
        <v>90.0</v>
      </c>
      <c r="X52" s="125">
        <v>70.0</v>
      </c>
      <c r="Y52" s="125"/>
      <c r="Z52" s="292"/>
      <c r="AA52" s="529">
        <v>24.0</v>
      </c>
      <c r="AB52" s="530">
        <v>0.0</v>
      </c>
      <c r="AC52" s="295">
        <v>0.0</v>
      </c>
      <c r="AD52" s="295">
        <v>1.0</v>
      </c>
      <c r="AE52" s="297">
        <v>10.0</v>
      </c>
      <c r="AF52" s="298"/>
      <c r="AG52" s="295">
        <v>0.0</v>
      </c>
      <c r="AH52" s="298"/>
      <c r="AI52" s="118"/>
      <c r="AJ52" s="118"/>
      <c r="AK52" s="300">
        <f t="shared" si="1"/>
        <v>2</v>
      </c>
      <c r="AL52" s="300">
        <f t="shared" si="2"/>
        <v>0</v>
      </c>
      <c r="AM52" s="301">
        <f t="shared" si="3"/>
        <v>3</v>
      </c>
      <c r="AN52" s="300" t="str">
        <f t="shared" si="4"/>
        <v>0</v>
      </c>
      <c r="AO52" s="300">
        <f t="shared" si="5"/>
        <v>0</v>
      </c>
      <c r="AP52" s="88"/>
    </row>
    <row r="53">
      <c r="A53" s="142">
        <v>49.0</v>
      </c>
      <c r="B53" s="531" t="s">
        <v>1586</v>
      </c>
      <c r="C53" s="531" t="s">
        <v>3126</v>
      </c>
      <c r="D53" s="209" t="str">
        <f>VLOOKUP(B53,USN!$1:$1088,2,False)</f>
        <v>1CR23CI051</v>
      </c>
      <c r="E53" s="222">
        <v>9.019798225E9</v>
      </c>
      <c r="F53" s="119" t="s">
        <v>3801</v>
      </c>
      <c r="G53" s="118"/>
      <c r="H53" s="528">
        <v>84.0</v>
      </c>
      <c r="I53" s="120">
        <v>93.0</v>
      </c>
      <c r="J53" s="120">
        <f>VLOOKUP(D53,'L3'!$1:$2060,2,False)</f>
        <v>91</v>
      </c>
      <c r="K53" s="120">
        <f>VLOOKUP(D53,'L4'!$1:$2059,2,False)</f>
        <v>84</v>
      </c>
      <c r="L53" s="121">
        <f>VLOOKUP(D53,'A1 RETEST 5 DEC'!$1:$2096,2,False)</f>
        <v>50</v>
      </c>
      <c r="M53" s="122">
        <f>VLOOKUP(D53,'A2 RETEST 4 DEC'!$1:$2096,2,False)</f>
        <v>40</v>
      </c>
      <c r="N53" s="122">
        <v>52.5</v>
      </c>
      <c r="O53" s="121"/>
      <c r="P53" s="123">
        <f>IFNA(VLOOKUP(D53,'S1'!$1:$1000,2,False),0)</f>
        <v>78</v>
      </c>
      <c r="Q53" s="123">
        <f>vlookup(D53,'S2'!A50:B1252,2,0)</f>
        <v>75</v>
      </c>
      <c r="R53" s="123">
        <f>ifna(vlookup(D53,'S3'!$1:$1311,2,False),0)</f>
        <v>69</v>
      </c>
      <c r="S53" s="123"/>
      <c r="T53" s="125">
        <v>13.0</v>
      </c>
      <c r="U53" s="125">
        <v>25.0</v>
      </c>
      <c r="V53" s="125">
        <v>92.0</v>
      </c>
      <c r="W53" s="125">
        <v>88.0</v>
      </c>
      <c r="X53" s="125">
        <v>70.0</v>
      </c>
      <c r="Y53" s="125"/>
      <c r="Z53" s="292"/>
      <c r="AA53" s="529">
        <v>60.8</v>
      </c>
      <c r="AB53" s="530">
        <v>96.0</v>
      </c>
      <c r="AC53" s="295">
        <v>34.0</v>
      </c>
      <c r="AD53" s="295">
        <v>60.0</v>
      </c>
      <c r="AE53" s="297">
        <v>70.0</v>
      </c>
      <c r="AF53" s="298"/>
      <c r="AG53" s="295">
        <v>98.0</v>
      </c>
      <c r="AH53" s="298"/>
      <c r="AI53" s="118"/>
      <c r="AJ53" s="118"/>
      <c r="AK53" s="300">
        <f t="shared" si="1"/>
        <v>4</v>
      </c>
      <c r="AL53" s="300">
        <f t="shared" si="2"/>
        <v>1</v>
      </c>
      <c r="AM53" s="301">
        <f t="shared" si="3"/>
        <v>3</v>
      </c>
      <c r="AN53" s="300" t="str">
        <f t="shared" si="4"/>
        <v>3.5</v>
      </c>
      <c r="AO53" s="300">
        <f t="shared" si="5"/>
        <v>3</v>
      </c>
      <c r="AP53" s="88"/>
    </row>
    <row r="54">
      <c r="A54" s="142">
        <v>50.0</v>
      </c>
      <c r="B54" s="220" t="s">
        <v>1606</v>
      </c>
      <c r="C54" s="220" t="s">
        <v>3127</v>
      </c>
      <c r="D54" s="209" t="str">
        <f>VLOOKUP(B54,USN!$1:$1088,2,False)</f>
        <v>1CR23CI052</v>
      </c>
      <c r="E54" s="234">
        <v>8.618243016E9</v>
      </c>
      <c r="F54" s="116" t="s">
        <v>3801</v>
      </c>
      <c r="G54" s="118"/>
      <c r="H54" s="528">
        <v>77.0</v>
      </c>
      <c r="I54" s="120">
        <v>74.0</v>
      </c>
      <c r="J54" s="120">
        <f>VLOOKUP(D54,'L3'!$1:$2060,2,False)</f>
        <v>73</v>
      </c>
      <c r="K54" s="120">
        <f>VLOOKUP(D54,'L4'!$1:$2059,2,False)</f>
        <v>70</v>
      </c>
      <c r="L54" s="121">
        <f>VLOOKUP(D54,'A1 RETEST 5 DEC'!$1:$2096,2,False)</f>
        <v>50</v>
      </c>
      <c r="M54" s="122">
        <f>VLOOKUP(D54,'A2 RETEST 4 DEC'!$1:$2096,2,False)</f>
        <v>50</v>
      </c>
      <c r="N54" s="122">
        <v>50.0</v>
      </c>
      <c r="O54" s="121"/>
      <c r="P54" s="123">
        <f>IFNA(VLOOKUP(D54,'S1'!$1:$1000,2,False),0)</f>
        <v>50</v>
      </c>
      <c r="Q54" s="123">
        <f>vlookup(D54,'S2'!A51:B1253,2,0)</f>
        <v>71</v>
      </c>
      <c r="R54" s="123">
        <f>ifna(vlookup(D54,'S3'!$1:$1311,2,False),0)</f>
        <v>81</v>
      </c>
      <c r="S54" s="123"/>
      <c r="T54" s="125">
        <v>15.0</v>
      </c>
      <c r="U54" s="125">
        <v>25.0</v>
      </c>
      <c r="V54" s="125">
        <v>90.0</v>
      </c>
      <c r="W54" s="125">
        <v>90.0</v>
      </c>
      <c r="X54" s="125">
        <v>68.0</v>
      </c>
      <c r="Y54" s="125"/>
      <c r="Z54" s="292"/>
      <c r="AA54" s="529">
        <v>84.0</v>
      </c>
      <c r="AB54" s="530">
        <v>95.0</v>
      </c>
      <c r="AC54" s="295">
        <v>79.0</v>
      </c>
      <c r="AD54" s="295">
        <v>75.0</v>
      </c>
      <c r="AE54" s="297">
        <v>80.0</v>
      </c>
      <c r="AF54" s="298"/>
      <c r="AG54" s="295">
        <v>75.0</v>
      </c>
      <c r="AH54" s="298"/>
      <c r="AI54" s="118"/>
      <c r="AJ54" s="118"/>
      <c r="AK54" s="300">
        <f t="shared" si="1"/>
        <v>4</v>
      </c>
      <c r="AL54" s="300">
        <f t="shared" si="2"/>
        <v>3</v>
      </c>
      <c r="AM54" s="301">
        <f t="shared" si="3"/>
        <v>3</v>
      </c>
      <c r="AN54" s="300" t="str">
        <f t="shared" si="4"/>
        <v>3.5</v>
      </c>
      <c r="AO54" s="300">
        <f t="shared" si="5"/>
        <v>3</v>
      </c>
      <c r="AP54" s="88"/>
    </row>
    <row r="55">
      <c r="A55" s="142">
        <v>51.0</v>
      </c>
      <c r="B55" s="531" t="s">
        <v>1587</v>
      </c>
      <c r="C55" s="531" t="s">
        <v>3128</v>
      </c>
      <c r="D55" s="209" t="str">
        <f>VLOOKUP(B55,USN!$1:$1088,2,False)</f>
        <v>1CR23CI053</v>
      </c>
      <c r="E55" s="222">
        <v>9.019114812E9</v>
      </c>
      <c r="F55" s="119" t="s">
        <v>3801</v>
      </c>
      <c r="G55" s="118"/>
      <c r="H55" s="528">
        <v>81.0</v>
      </c>
      <c r="I55" s="120">
        <v>93.0</v>
      </c>
      <c r="J55" s="120">
        <f>VLOOKUP(D55,'L3'!$1:$2060,2,False)</f>
        <v>73</v>
      </c>
      <c r="K55" s="120">
        <f>VLOOKUP(D55,'L4'!$1:$2059,2,False)</f>
        <v>70</v>
      </c>
      <c r="L55" s="121">
        <f>VLOOKUP(D55,'A1 RETEST 5 DEC'!$1:$2096,2,False)</f>
        <v>61</v>
      </c>
      <c r="M55" s="122">
        <f>VLOOKUP(D55,'A2 RETEST 4 DEC'!$1:$2096,2,False)</f>
        <v>50</v>
      </c>
      <c r="N55" s="122">
        <v>52.75</v>
      </c>
      <c r="O55" s="121"/>
      <c r="P55" s="123">
        <f>IFNA(VLOOKUP(D55,'S1'!$1:$1000,2,False),0)</f>
        <v>81</v>
      </c>
      <c r="Q55" s="123">
        <f>vlookup(D55,'S2'!A52:B1254,2,0)</f>
        <v>72</v>
      </c>
      <c r="R55" s="123">
        <f>ifna(vlookup(D55,'S3'!$1:$1311,2,False),0)</f>
        <v>86</v>
      </c>
      <c r="S55" s="123"/>
      <c r="T55" s="125">
        <v>14.0</v>
      </c>
      <c r="U55" s="125">
        <v>24.0</v>
      </c>
      <c r="V55" s="125">
        <v>94.0</v>
      </c>
      <c r="W55" s="125">
        <v>90.0</v>
      </c>
      <c r="X55" s="125">
        <v>84.0</v>
      </c>
      <c r="Y55" s="125"/>
      <c r="Z55" s="292"/>
      <c r="AA55" s="529">
        <v>84.0</v>
      </c>
      <c r="AB55" s="530">
        <v>88.0</v>
      </c>
      <c r="AC55" s="295">
        <v>100.0</v>
      </c>
      <c r="AD55" s="295">
        <v>85.0</v>
      </c>
      <c r="AE55" s="297">
        <v>70.0</v>
      </c>
      <c r="AF55" s="298"/>
      <c r="AG55" s="295">
        <v>70.0</v>
      </c>
      <c r="AH55" s="298"/>
      <c r="AI55" s="118"/>
      <c r="AJ55" s="118"/>
      <c r="AK55" s="300">
        <f t="shared" si="1"/>
        <v>4</v>
      </c>
      <c r="AL55" s="300">
        <f t="shared" si="2"/>
        <v>3</v>
      </c>
      <c r="AM55" s="301">
        <f t="shared" si="3"/>
        <v>3</v>
      </c>
      <c r="AN55" s="300" t="str">
        <f t="shared" si="4"/>
        <v>3.5</v>
      </c>
      <c r="AO55" s="300">
        <f t="shared" si="5"/>
        <v>3</v>
      </c>
      <c r="AP55" s="88"/>
    </row>
    <row r="56">
      <c r="A56" s="142">
        <v>52.0</v>
      </c>
      <c r="B56" s="220" t="s">
        <v>1600</v>
      </c>
      <c r="C56" s="220" t="s">
        <v>3129</v>
      </c>
      <c r="D56" s="209" t="str">
        <f>VLOOKUP(B56,USN!$1:$1088,2,False)</f>
        <v>1CR23CI054</v>
      </c>
      <c r="E56" s="234">
        <v>6.3630561E9</v>
      </c>
      <c r="F56" s="116" t="s">
        <v>3801</v>
      </c>
      <c r="G56" s="118"/>
      <c r="H56" s="528">
        <v>83.0</v>
      </c>
      <c r="I56" s="120">
        <v>83.0</v>
      </c>
      <c r="J56" s="120">
        <f>VLOOKUP(D56,'L3'!$1:$2060,2,False)</f>
        <v>60</v>
      </c>
      <c r="K56" s="120">
        <f>VLOOKUP(D56,'L4'!$1:$2059,2,False)</f>
        <v>10</v>
      </c>
      <c r="L56" s="121">
        <f>VLOOKUP(D56,'A1 RETEST 5 DEC'!$1:$2096,2,False)</f>
        <v>39</v>
      </c>
      <c r="M56" s="122">
        <f>VLOOKUP(D56,'A2 RETEST 4 DEC'!$1:$2096,2,False)</f>
        <v>0</v>
      </c>
      <c r="N56" s="122">
        <v>11.75</v>
      </c>
      <c r="O56" s="121"/>
      <c r="P56" s="123">
        <f>IFNA(VLOOKUP(D56,'S1'!$1:$1000,2,False),0)</f>
        <v>81</v>
      </c>
      <c r="Q56" s="123">
        <f>vlookup(D56,'S2'!A53:B1255,2,0)</f>
        <v>0</v>
      </c>
      <c r="R56" s="123">
        <f>ifna(vlookup(D56,'S3'!$1:$1311,2,False),0)</f>
        <v>0</v>
      </c>
      <c r="S56" s="123"/>
      <c r="T56" s="125">
        <v>21.0</v>
      </c>
      <c r="U56" s="125">
        <v>25.0</v>
      </c>
      <c r="V56" s="125">
        <v>92.0</v>
      </c>
      <c r="W56" s="125">
        <v>90.0</v>
      </c>
      <c r="X56" s="125"/>
      <c r="Y56" s="125"/>
      <c r="Z56" s="292"/>
      <c r="AA56" s="529">
        <v>34.0</v>
      </c>
      <c r="AB56" s="530">
        <v>73.0</v>
      </c>
      <c r="AC56" s="295">
        <v>0.0</v>
      </c>
      <c r="AD56" s="295">
        <v>1.0</v>
      </c>
      <c r="AE56" s="297">
        <v>15.0</v>
      </c>
      <c r="AF56" s="298"/>
      <c r="AG56" s="295">
        <v>66.0</v>
      </c>
      <c r="AH56" s="298"/>
      <c r="AI56" s="118"/>
      <c r="AJ56" s="118"/>
      <c r="AK56" s="300">
        <f t="shared" si="1"/>
        <v>2</v>
      </c>
      <c r="AL56" s="300">
        <f t="shared" si="2"/>
        <v>0</v>
      </c>
      <c r="AM56" s="301">
        <f t="shared" si="3"/>
        <v>3</v>
      </c>
      <c r="AN56" s="300" t="str">
        <f t="shared" si="4"/>
        <v>2</v>
      </c>
      <c r="AO56" s="300">
        <f t="shared" si="5"/>
        <v>1</v>
      </c>
      <c r="AP56" s="88"/>
    </row>
    <row r="57">
      <c r="A57" s="142">
        <v>53.0</v>
      </c>
      <c r="B57" s="220" t="s">
        <v>1608</v>
      </c>
      <c r="C57" s="220" t="s">
        <v>3130</v>
      </c>
      <c r="D57" s="209" t="str">
        <f>VLOOKUP(B57,USN!$1:$1088,2,False)</f>
        <v>1CR23CI055</v>
      </c>
      <c r="E57" s="234">
        <v>9.380598934E9</v>
      </c>
      <c r="F57" s="116" t="s">
        <v>3801</v>
      </c>
      <c r="G57" s="118"/>
      <c r="H57" s="528">
        <v>91.0</v>
      </c>
      <c r="I57" s="120">
        <v>98.0</v>
      </c>
      <c r="J57" s="120">
        <f>VLOOKUP(D57,'L3'!$1:$2060,2,False)</f>
        <v>80</v>
      </c>
      <c r="K57" s="120">
        <f>VLOOKUP(D57,'L4'!$1:$2059,2,False)</f>
        <v>79</v>
      </c>
      <c r="L57" s="121">
        <f>VLOOKUP(D57,'A1 RETEST 5 DEC'!$1:$2096,2,False)</f>
        <v>56</v>
      </c>
      <c r="M57" s="122">
        <f>VLOOKUP(D57,'A2 RETEST 4 DEC'!$1:$2096,2,False)</f>
        <v>50</v>
      </c>
      <c r="N57" s="122">
        <v>50.0</v>
      </c>
      <c r="O57" s="121"/>
      <c r="P57" s="123">
        <f>IFNA(VLOOKUP(D57,'S1'!$1:$1000,2,False),0)</f>
        <v>78</v>
      </c>
      <c r="Q57" s="123">
        <f>vlookup(D57,'S2'!A54:B1256,2,0)</f>
        <v>62</v>
      </c>
      <c r="R57" s="123">
        <f>ifna(vlookup(D57,'S3'!$1:$1311,2,False),0)</f>
        <v>92</v>
      </c>
      <c r="S57" s="123"/>
      <c r="T57" s="125">
        <v>14.0</v>
      </c>
      <c r="U57" s="125">
        <v>24.0</v>
      </c>
      <c r="V57" s="125">
        <v>92.0</v>
      </c>
      <c r="W57" s="125">
        <v>90.0</v>
      </c>
      <c r="X57" s="125">
        <v>78.0</v>
      </c>
      <c r="Y57" s="125"/>
      <c r="Z57" s="292"/>
      <c r="AA57" s="529">
        <v>92.0</v>
      </c>
      <c r="AB57" s="530">
        <v>100.0</v>
      </c>
      <c r="AC57" s="295">
        <v>83.0</v>
      </c>
      <c r="AD57" s="295">
        <v>60.0</v>
      </c>
      <c r="AE57" s="297">
        <v>72.0</v>
      </c>
      <c r="AF57" s="298"/>
      <c r="AG57" s="295">
        <v>100.0</v>
      </c>
      <c r="AH57" s="298"/>
      <c r="AI57" s="118"/>
      <c r="AJ57" s="118"/>
      <c r="AK57" s="300">
        <f t="shared" si="1"/>
        <v>4</v>
      </c>
      <c r="AL57" s="300">
        <f t="shared" si="2"/>
        <v>3</v>
      </c>
      <c r="AM57" s="301">
        <f t="shared" si="3"/>
        <v>3</v>
      </c>
      <c r="AN57" s="300" t="str">
        <f t="shared" si="4"/>
        <v>3.5</v>
      </c>
      <c r="AO57" s="300">
        <f t="shared" si="5"/>
        <v>3</v>
      </c>
      <c r="AP57" s="88"/>
    </row>
    <row r="58">
      <c r="A58" s="142">
        <v>54.0</v>
      </c>
      <c r="B58" s="531" t="s">
        <v>1588</v>
      </c>
      <c r="C58" s="531" t="s">
        <v>3131</v>
      </c>
      <c r="D58" s="209" t="str">
        <f>VLOOKUP(B58,USN!$1:$1088,2,False)</f>
        <v>1CR23CI056</v>
      </c>
      <c r="E58" s="222">
        <v>8.431031924E9</v>
      </c>
      <c r="F58" s="119" t="s">
        <v>3801</v>
      </c>
      <c r="G58" s="118"/>
      <c r="H58" s="528">
        <v>85.0</v>
      </c>
      <c r="I58" s="120">
        <v>94.0</v>
      </c>
      <c r="J58" s="120">
        <f>VLOOKUP(D58,'L3'!$1:$2060,2,False)</f>
        <v>85</v>
      </c>
      <c r="K58" s="120">
        <f>VLOOKUP(D58,'L4'!$1:$2059,2,False)</f>
        <v>73</v>
      </c>
      <c r="L58" s="121">
        <f>VLOOKUP(D58,'A1 RETEST 5 DEC'!$1:$2096,2,False)</f>
        <v>54</v>
      </c>
      <c r="M58" s="122">
        <f>VLOOKUP(D58,'A2 RETEST 4 DEC'!$1:$2096,2,False)</f>
        <v>50</v>
      </c>
      <c r="N58" s="122">
        <v>50.0</v>
      </c>
      <c r="O58" s="121"/>
      <c r="P58" s="123">
        <f>IFNA(VLOOKUP(D58,'S1'!$1:$1000,2,False),0)</f>
        <v>81</v>
      </c>
      <c r="Q58" s="123">
        <f>vlookup(D58,'S2'!A55:B1257,2,0)</f>
        <v>75</v>
      </c>
      <c r="R58" s="123">
        <f>ifna(vlookup(D58,'S3'!$1:$1311,2,False),0)</f>
        <v>90</v>
      </c>
      <c r="S58" s="123"/>
      <c r="T58" s="125">
        <v>20.0</v>
      </c>
      <c r="U58" s="125">
        <v>24.0</v>
      </c>
      <c r="V58" s="125">
        <v>86.0</v>
      </c>
      <c r="W58" s="125">
        <v>90.0</v>
      </c>
      <c r="X58" s="125">
        <v>86.0</v>
      </c>
      <c r="Y58" s="125"/>
      <c r="Z58" s="292"/>
      <c r="AA58" s="529">
        <v>100.0</v>
      </c>
      <c r="AB58" s="530">
        <v>100.0</v>
      </c>
      <c r="AC58" s="295">
        <v>32.0</v>
      </c>
      <c r="AD58" s="295">
        <v>60.0</v>
      </c>
      <c r="AE58" s="297">
        <v>70.0</v>
      </c>
      <c r="AF58" s="298"/>
      <c r="AG58" s="295">
        <v>100.0</v>
      </c>
      <c r="AH58" s="298"/>
      <c r="AI58" s="118"/>
      <c r="AJ58" s="118"/>
      <c r="AK58" s="300">
        <f t="shared" si="1"/>
        <v>4</v>
      </c>
      <c r="AL58" s="300">
        <f t="shared" si="2"/>
        <v>3</v>
      </c>
      <c r="AM58" s="301">
        <f t="shared" si="3"/>
        <v>3</v>
      </c>
      <c r="AN58" s="300" t="str">
        <f t="shared" si="4"/>
        <v>3.5</v>
      </c>
      <c r="AO58" s="300">
        <f t="shared" si="5"/>
        <v>3</v>
      </c>
      <c r="AP58" s="88"/>
    </row>
    <row r="59">
      <c r="A59" s="142">
        <v>55.0</v>
      </c>
      <c r="B59" s="220" t="s">
        <v>129</v>
      </c>
      <c r="C59" s="220" t="s">
        <v>3805</v>
      </c>
      <c r="D59" s="209" t="str">
        <f>VLOOKUP(B59,USN!$1:$1088,2,False)</f>
        <v>1CR23CI057</v>
      </c>
      <c r="E59" s="234">
        <v>9.920432393E9</v>
      </c>
      <c r="F59" s="116" t="s">
        <v>3801</v>
      </c>
      <c r="G59" s="118"/>
      <c r="H59" s="528">
        <v>79.0</v>
      </c>
      <c r="I59" s="120">
        <v>70.0</v>
      </c>
      <c r="J59" s="120">
        <f>VLOOKUP(D59,'L3'!$1:$2060,2,False)</f>
        <v>70</v>
      </c>
      <c r="K59" s="120">
        <f>VLOOKUP(D59,'L4'!$1:$2059,2,False)</f>
        <v>70</v>
      </c>
      <c r="L59" s="121">
        <f>VLOOKUP(D59,'A1 RETEST 5 DEC'!$1:$2096,2,False)</f>
        <v>50</v>
      </c>
      <c r="M59" s="122">
        <f>VLOOKUP(D59,'A2 RETEST 4 DEC'!$1:$2096,2,False)</f>
        <v>4</v>
      </c>
      <c r="N59" s="122">
        <v>15.0</v>
      </c>
      <c r="O59" s="121"/>
      <c r="P59" s="123">
        <f>IFNA(VLOOKUP(D59,'S1'!$1:$1000,2,False),0)</f>
        <v>77</v>
      </c>
      <c r="Q59" s="123">
        <f>vlookup(D59,'S2'!A56:B1258,2,0)</f>
        <v>67</v>
      </c>
      <c r="R59" s="123">
        <f>ifna(vlookup(D59,'S3'!$1:$1311,2,False),0)</f>
        <v>50</v>
      </c>
      <c r="S59" s="123"/>
      <c r="T59" s="125">
        <v>21.0</v>
      </c>
      <c r="U59" s="125">
        <v>22.0</v>
      </c>
      <c r="V59" s="125">
        <v>82.0</v>
      </c>
      <c r="W59" s="125">
        <v>90.0</v>
      </c>
      <c r="X59" s="125">
        <v>78.0</v>
      </c>
      <c r="Y59" s="125"/>
      <c r="Z59" s="292"/>
      <c r="AA59" s="529">
        <v>62.0</v>
      </c>
      <c r="AB59" s="530">
        <v>50.0</v>
      </c>
      <c r="AC59" s="295">
        <v>13.0</v>
      </c>
      <c r="AD59" s="295">
        <v>60.0</v>
      </c>
      <c r="AE59" s="297">
        <v>72.0</v>
      </c>
      <c r="AF59" s="298"/>
      <c r="AG59" s="295">
        <v>27.0</v>
      </c>
      <c r="AH59" s="298"/>
      <c r="AI59" s="118"/>
      <c r="AJ59" s="118"/>
      <c r="AK59" s="300">
        <f t="shared" si="1"/>
        <v>4</v>
      </c>
      <c r="AL59" s="300">
        <f t="shared" si="2"/>
        <v>1</v>
      </c>
      <c r="AM59" s="301">
        <f t="shared" si="3"/>
        <v>3</v>
      </c>
      <c r="AN59" s="300" t="str">
        <f t="shared" si="4"/>
        <v>3.5</v>
      </c>
      <c r="AO59" s="300">
        <f t="shared" si="5"/>
        <v>3</v>
      </c>
      <c r="AP59" s="88"/>
    </row>
    <row r="60">
      <c r="A60" s="142">
        <v>56.0</v>
      </c>
      <c r="B60" s="531" t="s">
        <v>1589</v>
      </c>
      <c r="C60" s="531" t="s">
        <v>3133</v>
      </c>
      <c r="D60" s="209" t="str">
        <f>VLOOKUP(B60,USN!$1:$1088,2,False)</f>
        <v>1CR23CI058</v>
      </c>
      <c r="E60" s="222">
        <v>9.986650193E9</v>
      </c>
      <c r="F60" s="119" t="s">
        <v>3801</v>
      </c>
      <c r="G60" s="118"/>
      <c r="H60" s="528">
        <v>90.0</v>
      </c>
      <c r="I60" s="120">
        <v>92.0</v>
      </c>
      <c r="J60" s="120">
        <f>VLOOKUP(D60,'L3'!$1:$2060,2,False)</f>
        <v>81</v>
      </c>
      <c r="K60" s="120">
        <f>VLOOKUP(D60,'L4'!$1:$2059,2,False)</f>
        <v>74</v>
      </c>
      <c r="L60" s="121">
        <f>VLOOKUP(D60,'A1 RETEST 5 DEC'!$1:$2096,2,False)</f>
        <v>54</v>
      </c>
      <c r="M60" s="122">
        <f>VLOOKUP(D60,'A2 RETEST 4 DEC'!$1:$2096,2,False)</f>
        <v>50</v>
      </c>
      <c r="N60" s="122">
        <v>55.0</v>
      </c>
      <c r="O60" s="121"/>
      <c r="P60" s="123">
        <f>IFNA(VLOOKUP(D60,'S1'!$1:$1000,2,False),0)</f>
        <v>80</v>
      </c>
      <c r="Q60" s="123">
        <f>vlookup(D60,'S2'!A57:B1259,2,0)</f>
        <v>75</v>
      </c>
      <c r="R60" s="123">
        <f>ifna(vlookup(D60,'S3'!$1:$1311,2,False),0)</f>
        <v>95</v>
      </c>
      <c r="S60" s="123"/>
      <c r="T60" s="125">
        <v>21.0</v>
      </c>
      <c r="U60" s="125">
        <v>25.0</v>
      </c>
      <c r="V60" s="125">
        <v>90.0</v>
      </c>
      <c r="W60" s="125">
        <v>90.0</v>
      </c>
      <c r="X60" s="125">
        <v>84.0</v>
      </c>
      <c r="Y60" s="125"/>
      <c r="Z60" s="292"/>
      <c r="AA60" s="529">
        <v>60.8</v>
      </c>
      <c r="AB60" s="530">
        <v>100.0</v>
      </c>
      <c r="AC60" s="295">
        <v>70.0</v>
      </c>
      <c r="AD60" s="295">
        <v>60.0</v>
      </c>
      <c r="AE60" s="297">
        <v>70.0</v>
      </c>
      <c r="AF60" s="298"/>
      <c r="AG60" s="295">
        <v>98.0</v>
      </c>
      <c r="AH60" s="298"/>
      <c r="AI60" s="118"/>
      <c r="AJ60" s="118"/>
      <c r="AK60" s="300">
        <f t="shared" si="1"/>
        <v>4</v>
      </c>
      <c r="AL60" s="300">
        <f t="shared" si="2"/>
        <v>3</v>
      </c>
      <c r="AM60" s="301">
        <f t="shared" si="3"/>
        <v>3</v>
      </c>
      <c r="AN60" s="300" t="str">
        <f t="shared" si="4"/>
        <v>3.5</v>
      </c>
      <c r="AO60" s="300">
        <f t="shared" si="5"/>
        <v>3</v>
      </c>
      <c r="AP60" s="88"/>
    </row>
    <row r="61">
      <c r="A61" s="142">
        <v>57.0</v>
      </c>
      <c r="B61" s="531" t="s">
        <v>1597</v>
      </c>
      <c r="C61" s="220" t="s">
        <v>3134</v>
      </c>
      <c r="D61" s="209" t="str">
        <f>VLOOKUP(B61,USN!$1:$1088,2,False)</f>
        <v>1CR23CI059</v>
      </c>
      <c r="E61" s="222">
        <v>6.361732524E9</v>
      </c>
      <c r="F61" s="119" t="s">
        <v>3801</v>
      </c>
      <c r="G61" s="118"/>
      <c r="H61" s="528">
        <v>78.0</v>
      </c>
      <c r="I61" s="120">
        <v>87.0</v>
      </c>
      <c r="J61" s="120">
        <f>VLOOKUP(D61,'L3'!$1:$2060,2,False)</f>
        <v>70</v>
      </c>
      <c r="K61" s="120">
        <f>VLOOKUP(D61,'L4'!$1:$2059,2,False)</f>
        <v>70</v>
      </c>
      <c r="L61" s="121">
        <f>VLOOKUP(D61,'A1 RETEST 5 DEC'!$1:$2096,2,False)</f>
        <v>50</v>
      </c>
      <c r="M61" s="122">
        <f>VLOOKUP(D61,'A2 RETEST 4 DEC'!$1:$2096,2,False)</f>
        <v>50</v>
      </c>
      <c r="N61" s="122">
        <v>50.0</v>
      </c>
      <c r="O61" s="121"/>
      <c r="P61" s="123">
        <f>IFNA(VLOOKUP(D61,'S1'!$1:$1000,2,False),0)</f>
        <v>83</v>
      </c>
      <c r="Q61" s="123">
        <f>vlookup(D61,'S2'!A58:B1260,2,0)</f>
        <v>90</v>
      </c>
      <c r="R61" s="123">
        <f>ifna(vlookup(D61,'S3'!$1:$1311,2,False),0)</f>
        <v>50</v>
      </c>
      <c r="S61" s="123"/>
      <c r="T61" s="125">
        <v>19.0</v>
      </c>
      <c r="U61" s="125">
        <v>25.0</v>
      </c>
      <c r="V61" s="125">
        <v>92.0</v>
      </c>
      <c r="W61" s="125">
        <v>88.0</v>
      </c>
      <c r="X61" s="125">
        <v>84.0</v>
      </c>
      <c r="Y61" s="125"/>
      <c r="Z61" s="292"/>
      <c r="AA61" s="529">
        <v>18.0</v>
      </c>
      <c r="AB61" s="530">
        <v>77.0</v>
      </c>
      <c r="AC61" s="295">
        <v>4.0</v>
      </c>
      <c r="AD61" s="295">
        <v>86.0</v>
      </c>
      <c r="AE61" s="295">
        <v>70.0</v>
      </c>
      <c r="AF61" s="298"/>
      <c r="AG61" s="295">
        <v>82.0</v>
      </c>
      <c r="AH61" s="298"/>
      <c r="AI61" s="118"/>
      <c r="AJ61" s="118"/>
      <c r="AK61" s="300">
        <f t="shared" si="1"/>
        <v>4</v>
      </c>
      <c r="AL61" s="300">
        <f t="shared" si="2"/>
        <v>3</v>
      </c>
      <c r="AM61" s="301">
        <f t="shared" si="3"/>
        <v>3</v>
      </c>
      <c r="AN61" s="300" t="str">
        <f t="shared" si="4"/>
        <v>3.5</v>
      </c>
      <c r="AO61" s="300">
        <f t="shared" si="5"/>
        <v>3</v>
      </c>
      <c r="AP61" s="88"/>
    </row>
    <row r="62">
      <c r="A62" s="142">
        <v>58.0</v>
      </c>
      <c r="B62" s="531" t="s">
        <v>1590</v>
      </c>
      <c r="C62" s="531" t="s">
        <v>3135</v>
      </c>
      <c r="D62" s="209" t="str">
        <f>VLOOKUP(B62,USN!$1:$1088,2,False)</f>
        <v>1CR23CI060</v>
      </c>
      <c r="E62" s="222">
        <v>7.338026008E9</v>
      </c>
      <c r="F62" s="119" t="s">
        <v>3801</v>
      </c>
      <c r="G62" s="118"/>
      <c r="H62" s="528">
        <v>68.0</v>
      </c>
      <c r="I62" s="120">
        <v>77.0</v>
      </c>
      <c r="J62" s="120">
        <f>VLOOKUP(D62,'L3'!$1:$2060,2,False)</f>
        <v>50</v>
      </c>
      <c r="K62" s="120">
        <f>VLOOKUP(D62,'L4'!$1:$2059,2,False)</f>
        <v>4</v>
      </c>
      <c r="L62" s="121">
        <f>VLOOKUP(D62,'A1 RETEST 5 DEC'!$1:$2096,2,False)</f>
        <v>8</v>
      </c>
      <c r="M62" s="122">
        <f>VLOOKUP(D62,'A2 RETEST 4 DEC'!$1:$2096,2,False)</f>
        <v>15</v>
      </c>
      <c r="N62" s="122">
        <v>19.75</v>
      </c>
      <c r="O62" s="121"/>
      <c r="P62" s="123">
        <f>IFNA(VLOOKUP(D62,'S1'!$1:$1000,2,False),0)</f>
        <v>50</v>
      </c>
      <c r="Q62" s="123">
        <f>vlookup(D62,'S2'!A59:B1261,2,0)</f>
        <v>0</v>
      </c>
      <c r="R62" s="123">
        <f>ifna(vlookup(D62,'S3'!$1:$1311,2,False),0)</f>
        <v>0</v>
      </c>
      <c r="S62" s="123"/>
      <c r="T62" s="125">
        <v>16.0</v>
      </c>
      <c r="U62" s="125">
        <v>20.0</v>
      </c>
      <c r="V62" s="125">
        <v>82.0</v>
      </c>
      <c r="W62" s="125">
        <v>0.0</v>
      </c>
      <c r="X62" s="125">
        <v>76.0</v>
      </c>
      <c r="Y62" s="125"/>
      <c r="Z62" s="292"/>
      <c r="AA62" s="529">
        <v>16.0</v>
      </c>
      <c r="AB62" s="530">
        <v>21.0</v>
      </c>
      <c r="AC62" s="295">
        <v>0.0</v>
      </c>
      <c r="AD62" s="295">
        <v>0.0</v>
      </c>
      <c r="AE62" s="297">
        <v>10.0</v>
      </c>
      <c r="AF62" s="298"/>
      <c r="AG62" s="295">
        <v>53.0</v>
      </c>
      <c r="AH62" s="298"/>
      <c r="AI62" s="118"/>
      <c r="AJ62" s="118"/>
      <c r="AK62" s="300">
        <f t="shared" si="1"/>
        <v>2</v>
      </c>
      <c r="AL62" s="300">
        <f t="shared" si="2"/>
        <v>0</v>
      </c>
      <c r="AM62" s="301">
        <f t="shared" si="3"/>
        <v>2</v>
      </c>
      <c r="AN62" s="300" t="str">
        <f t="shared" si="4"/>
        <v>0</v>
      </c>
      <c r="AO62" s="300">
        <f t="shared" si="5"/>
        <v>1</v>
      </c>
      <c r="AP62" s="88"/>
    </row>
    <row r="63">
      <c r="A63" s="142">
        <v>59.0</v>
      </c>
      <c r="B63" s="531" t="s">
        <v>1591</v>
      </c>
      <c r="C63" s="531" t="s">
        <v>3136</v>
      </c>
      <c r="D63" s="209" t="str">
        <f>VLOOKUP(B63,USN!$1:$1088,2,False)</f>
        <v>1CR23CI061</v>
      </c>
      <c r="E63" s="222">
        <v>9.148129004E9</v>
      </c>
      <c r="F63" s="119" t="s">
        <v>3801</v>
      </c>
      <c r="G63" s="118"/>
      <c r="H63" s="528">
        <v>80.0</v>
      </c>
      <c r="I63" s="120">
        <v>87.0</v>
      </c>
      <c r="J63" s="120">
        <f>VLOOKUP(D63,'L3'!$1:$2060,2,False)</f>
        <v>70</v>
      </c>
      <c r="K63" s="120">
        <f>VLOOKUP(D63,'L4'!$1:$2059,2,False)</f>
        <v>70</v>
      </c>
      <c r="L63" s="121">
        <f>VLOOKUP(D63,'A1 RETEST 5 DEC'!$1:$2096,2,False)</f>
        <v>50</v>
      </c>
      <c r="M63" s="122">
        <f>VLOOKUP(D63,'A2 RETEST 4 DEC'!$1:$2096,2,False)</f>
        <v>50</v>
      </c>
      <c r="N63" s="122">
        <v>50.0</v>
      </c>
      <c r="O63" s="121"/>
      <c r="P63" s="123">
        <f>IFNA(VLOOKUP(D63,'S1'!$1:$1000,2,False),0)</f>
        <v>79</v>
      </c>
      <c r="Q63" s="123">
        <f>vlookup(D63,'S2'!A60:B1262,2,0)</f>
        <v>70</v>
      </c>
      <c r="R63" s="123">
        <f>ifna(vlookup(D63,'S3'!$1:$1311,2,False),0)</f>
        <v>52</v>
      </c>
      <c r="S63" s="123"/>
      <c r="T63" s="125">
        <v>11.0</v>
      </c>
      <c r="U63" s="125">
        <v>21.0</v>
      </c>
      <c r="V63" s="125">
        <v>92.0</v>
      </c>
      <c r="W63" s="125">
        <v>80.0</v>
      </c>
      <c r="X63" s="125">
        <v>78.0</v>
      </c>
      <c r="Y63" s="125"/>
      <c r="Z63" s="292"/>
      <c r="AA63" s="529">
        <v>74.0</v>
      </c>
      <c r="AB63" s="530">
        <v>100.0</v>
      </c>
      <c r="AC63" s="295">
        <v>90.0</v>
      </c>
      <c r="AD63" s="295">
        <v>37.0</v>
      </c>
      <c r="AE63" s="297">
        <v>19.0</v>
      </c>
      <c r="AF63" s="298"/>
      <c r="AG63" s="295">
        <v>80.0</v>
      </c>
      <c r="AH63" s="298"/>
      <c r="AI63" s="118"/>
      <c r="AJ63" s="118"/>
      <c r="AK63" s="300">
        <f t="shared" si="1"/>
        <v>4</v>
      </c>
      <c r="AL63" s="300">
        <f t="shared" si="2"/>
        <v>3</v>
      </c>
      <c r="AM63" s="301">
        <f t="shared" si="3"/>
        <v>3</v>
      </c>
      <c r="AN63" s="300" t="str">
        <f t="shared" si="4"/>
        <v>3</v>
      </c>
      <c r="AO63" s="300">
        <f t="shared" si="5"/>
        <v>3</v>
      </c>
      <c r="AP63" s="88"/>
    </row>
    <row r="64">
      <c r="A64" s="142">
        <v>60.0</v>
      </c>
      <c r="B64" s="220" t="s">
        <v>1614</v>
      </c>
      <c r="C64" s="220" t="s">
        <v>3137</v>
      </c>
      <c r="D64" s="209" t="str">
        <f>VLOOKUP(B64,USN!$1:$1088,2,False)</f>
        <v>1CR23CI062</v>
      </c>
      <c r="E64" s="234">
        <v>8.105885031E9</v>
      </c>
      <c r="F64" s="116" t="s">
        <v>3801</v>
      </c>
      <c r="G64" s="118"/>
      <c r="H64" s="528">
        <v>86.0</v>
      </c>
      <c r="I64" s="120">
        <v>89.0</v>
      </c>
      <c r="J64" s="120">
        <f>VLOOKUP(D64,'L3'!$1:$2060,2,False)</f>
        <v>84</v>
      </c>
      <c r="K64" s="120">
        <f>VLOOKUP(D64,'L4'!$1:$2059,2,False)</f>
        <v>75</v>
      </c>
      <c r="L64" s="121">
        <f>VLOOKUP(D64,'A1 RETEST 5 DEC'!$1:$2096,2,False)</f>
        <v>59</v>
      </c>
      <c r="M64" s="122">
        <f>VLOOKUP(D64,'A2 RETEST 4 DEC'!$1:$2096,2,False)</f>
        <v>50</v>
      </c>
      <c r="N64" s="122">
        <v>50.0</v>
      </c>
      <c r="O64" s="121"/>
      <c r="P64" s="123">
        <f>IFNA(VLOOKUP(D64,'S1'!$1:$1000,2,False),0)</f>
        <v>80</v>
      </c>
      <c r="Q64" s="123">
        <f>vlookup(D64,'S2'!A61:B1263,2,0)</f>
        <v>71</v>
      </c>
      <c r="R64" s="123">
        <f>ifna(vlookup(D64,'S3'!$1:$1311,2,False),0)</f>
        <v>86</v>
      </c>
      <c r="S64" s="123"/>
      <c r="T64" s="125">
        <v>14.0</v>
      </c>
      <c r="U64" s="125">
        <v>25.0</v>
      </c>
      <c r="V64" s="125">
        <v>92.0</v>
      </c>
      <c r="W64" s="125">
        <v>86.0</v>
      </c>
      <c r="X64" s="125">
        <v>86.0</v>
      </c>
      <c r="Y64" s="125"/>
      <c r="Z64" s="292"/>
      <c r="AA64" s="529">
        <v>100.0</v>
      </c>
      <c r="AB64" s="530">
        <v>75.0</v>
      </c>
      <c r="AC64" s="295">
        <v>99.0</v>
      </c>
      <c r="AD64" s="295">
        <v>60.0</v>
      </c>
      <c r="AE64" s="297">
        <v>70.0</v>
      </c>
      <c r="AF64" s="298"/>
      <c r="AG64" s="295">
        <v>89.0</v>
      </c>
      <c r="AH64" s="298"/>
      <c r="AI64" s="118"/>
      <c r="AJ64" s="118"/>
      <c r="AK64" s="300">
        <f t="shared" si="1"/>
        <v>4</v>
      </c>
      <c r="AL64" s="300">
        <f t="shared" si="2"/>
        <v>3</v>
      </c>
      <c r="AM64" s="301">
        <f t="shared" si="3"/>
        <v>3</v>
      </c>
      <c r="AN64" s="300" t="str">
        <f t="shared" si="4"/>
        <v>3.5</v>
      </c>
      <c r="AO64" s="300">
        <f t="shared" si="5"/>
        <v>3</v>
      </c>
      <c r="AP64" s="88"/>
    </row>
    <row r="65">
      <c r="A65" s="142">
        <v>61.0</v>
      </c>
      <c r="B65" s="531" t="s">
        <v>1593</v>
      </c>
      <c r="C65" s="534" t="s">
        <v>3138</v>
      </c>
      <c r="D65" s="209" t="str">
        <f>VLOOKUP(B65,USN!$1:$1088,2,False)</f>
        <v>1CR23CI063</v>
      </c>
      <c r="E65" s="119">
        <v>8.618079805E9</v>
      </c>
      <c r="F65" s="119" t="s">
        <v>3801</v>
      </c>
      <c r="G65" s="118"/>
      <c r="H65" s="528">
        <v>80.0</v>
      </c>
      <c r="I65" s="533">
        <v>88.0</v>
      </c>
      <c r="J65" s="120">
        <f>VLOOKUP(D65,'L3'!$1:$2060,2,False)</f>
        <v>79</v>
      </c>
      <c r="K65" s="120">
        <f>VLOOKUP(D65,'L4'!$1:$2059,2,False)</f>
        <v>70</v>
      </c>
      <c r="L65" s="121">
        <f>VLOOKUP(D65,'A1 RETEST 5 DEC'!$1:$2096,2,False)</f>
        <v>54</v>
      </c>
      <c r="M65" s="122">
        <f>VLOOKUP(D65,'A2 RETEST 4 DEC'!$1:$2096,2,False)</f>
        <v>50</v>
      </c>
      <c r="N65" s="122">
        <v>50.0</v>
      </c>
      <c r="O65" s="121"/>
      <c r="P65" s="123">
        <f>IFNA(VLOOKUP(D65,'S1'!$1:$1000,2,False),0)</f>
        <v>50</v>
      </c>
      <c r="Q65" s="123">
        <f>vlookup(D65,'S2'!A62:B1264,2,0)</f>
        <v>67</v>
      </c>
      <c r="R65" s="123">
        <f>ifna(vlookup(D65,'S3'!$1:$1311,2,False),0)</f>
        <v>89</v>
      </c>
      <c r="S65" s="123"/>
      <c r="T65" s="125">
        <v>13.0</v>
      </c>
      <c r="U65" s="125">
        <v>23.0</v>
      </c>
      <c r="V65" s="125">
        <v>92.0</v>
      </c>
      <c r="W65" s="125">
        <v>88.0</v>
      </c>
      <c r="X65" s="125">
        <v>68.0</v>
      </c>
      <c r="Y65" s="125"/>
      <c r="Z65" s="125"/>
      <c r="AA65" s="529">
        <v>74.0</v>
      </c>
      <c r="AB65" s="530">
        <v>97.0</v>
      </c>
      <c r="AC65" s="295">
        <v>22.0</v>
      </c>
      <c r="AD65" s="295">
        <v>60.0</v>
      </c>
      <c r="AE65" s="297">
        <v>17.0</v>
      </c>
      <c r="AF65" s="298"/>
      <c r="AG65" s="295">
        <v>86.0</v>
      </c>
      <c r="AH65" s="298"/>
      <c r="AI65" s="118"/>
      <c r="AJ65" s="118"/>
      <c r="AK65" s="300">
        <f t="shared" si="1"/>
        <v>4</v>
      </c>
      <c r="AL65" s="300">
        <f t="shared" si="2"/>
        <v>3</v>
      </c>
      <c r="AM65" s="301">
        <f t="shared" si="3"/>
        <v>3</v>
      </c>
      <c r="AN65" s="300" t="str">
        <f t="shared" si="4"/>
        <v>3</v>
      </c>
      <c r="AO65" s="300">
        <f t="shared" si="5"/>
        <v>3</v>
      </c>
      <c r="AP65" s="88"/>
    </row>
    <row r="66">
      <c r="A66" s="142">
        <v>62.0</v>
      </c>
      <c r="B66" s="25" t="s">
        <v>120</v>
      </c>
      <c r="C66" s="500" t="s">
        <v>3651</v>
      </c>
      <c r="D66" s="209" t="s">
        <v>1337</v>
      </c>
      <c r="E66" s="209">
        <v>9.353812845E9</v>
      </c>
      <c r="F66" s="119" t="s">
        <v>3801</v>
      </c>
      <c r="G66" s="118"/>
      <c r="H66" s="528">
        <f>VLOOKUP(B66,'L1 '!$1:$1000,2,False)</f>
        <v>16</v>
      </c>
      <c r="I66" s="528">
        <f>VLOOKUP(B66,'L2'!$1:$1000,2,False)</f>
        <v>24</v>
      </c>
      <c r="J66" s="120">
        <f>VLOOKUP(D66,'L3'!$1:$2060,2,False)</f>
        <v>36</v>
      </c>
      <c r="K66" s="120">
        <f>VLOOKUP(D66,'L4'!$1:$2059,2,False)</f>
        <v>34</v>
      </c>
      <c r="L66" s="121">
        <f>VLOOKUP(D66,'A1 RETEST 5 DEC'!$1:$2096,2,False)</f>
        <v>9</v>
      </c>
      <c r="M66" s="122">
        <f>VLOOKUP(D66,'A2 RETEST 4 DEC'!$1:$2096,2,False)</f>
        <v>27</v>
      </c>
      <c r="N66" s="122">
        <v>-3.75</v>
      </c>
      <c r="O66" s="121"/>
      <c r="P66" s="123">
        <f>IFNA(VLOOKUP(D66,'S1'!$1:$1000,2,False),0)</f>
        <v>0</v>
      </c>
      <c r="Q66" s="123">
        <f>vlookup(D66,'S2'!A63:B1265,2,0)</f>
        <v>0</v>
      </c>
      <c r="R66" s="123">
        <f>ifna(vlookup(D66,'S3'!$1:$1311,2,False),0)</f>
        <v>0</v>
      </c>
      <c r="S66" s="123"/>
      <c r="T66" s="125"/>
      <c r="U66" s="125"/>
      <c r="V66" s="125">
        <v>92.0</v>
      </c>
      <c r="W66" s="125">
        <v>90.0</v>
      </c>
      <c r="X66" s="125">
        <v>68.0</v>
      </c>
      <c r="Y66" s="125"/>
      <c r="Z66" s="125"/>
      <c r="AA66" s="297"/>
      <c r="AB66" s="538">
        <v>41.0</v>
      </c>
      <c r="AC66" s="295">
        <v>41.0</v>
      </c>
      <c r="AD66" s="295">
        <v>42.0</v>
      </c>
      <c r="AE66" s="297">
        <v>10.0</v>
      </c>
      <c r="AF66" s="295"/>
      <c r="AG66" s="295">
        <v>33.0</v>
      </c>
      <c r="AH66" s="295"/>
      <c r="AI66" s="118"/>
      <c r="AJ66" s="118"/>
      <c r="AK66" s="300">
        <f t="shared" si="1"/>
        <v>0</v>
      </c>
      <c r="AL66" s="300">
        <f t="shared" si="2"/>
        <v>0</v>
      </c>
      <c r="AM66" s="301">
        <f t="shared" si="3"/>
        <v>0</v>
      </c>
      <c r="AN66" s="300" t="str">
        <f t="shared" si="4"/>
        <v>0</v>
      </c>
      <c r="AO66" s="300">
        <f t="shared" si="5"/>
        <v>0</v>
      </c>
      <c r="AP66" s="88"/>
    </row>
    <row r="67">
      <c r="A67" s="142">
        <v>63.0</v>
      </c>
      <c r="B67" s="25" t="s">
        <v>107</v>
      </c>
      <c r="C67" s="500" t="s">
        <v>3652</v>
      </c>
      <c r="D67" s="209" t="s">
        <v>1332</v>
      </c>
      <c r="E67" s="209">
        <v>8.904344092E9</v>
      </c>
      <c r="F67" s="119" t="s">
        <v>3801</v>
      </c>
      <c r="G67" s="118"/>
      <c r="H67" s="528">
        <f>VLOOKUP(B67,'L1 '!$1:$1000,2,False)</f>
        <v>40</v>
      </c>
      <c r="I67" s="528">
        <f>VLOOKUP(B67,'L2'!$1:$1000,2,False)</f>
        <v>28</v>
      </c>
      <c r="J67" s="120">
        <f>VLOOKUP(D67,'L3'!$1:$2060,2,False)</f>
        <v>39</v>
      </c>
      <c r="K67" s="120">
        <f>VLOOKUP(D67,'L4'!$1:$2059,2,False)</f>
        <v>18</v>
      </c>
      <c r="L67" s="121">
        <f>VLOOKUP(D67,'A1 RETEST 5 DEC'!$1:$2096,2,False)</f>
        <v>7</v>
      </c>
      <c r="M67" s="122">
        <f>VLOOKUP(D67,'A2 RETEST 4 DEC'!$1:$2096,2,False)</f>
        <v>12</v>
      </c>
      <c r="N67" s="122">
        <v>1.25</v>
      </c>
      <c r="O67" s="121"/>
      <c r="P67" s="123">
        <f>IFNA(VLOOKUP(D67,'S1'!$1:$1000,2,False),0)</f>
        <v>50</v>
      </c>
      <c r="Q67" s="123">
        <f>vlookup(D67,'S2'!A64:B1266,2,0)</f>
        <v>50</v>
      </c>
      <c r="R67" s="123">
        <f>ifna(vlookup(D67,'S3'!$1:$1311,2,False),0)</f>
        <v>50</v>
      </c>
      <c r="S67" s="123"/>
      <c r="T67" s="125"/>
      <c r="U67" s="125"/>
      <c r="V67" s="125">
        <v>88.0</v>
      </c>
      <c r="W67" s="125">
        <v>88.0</v>
      </c>
      <c r="X67" s="125">
        <v>68.0</v>
      </c>
      <c r="Y67" s="125"/>
      <c r="Z67" s="125"/>
      <c r="AA67" s="297"/>
      <c r="AB67" s="295">
        <v>3.0</v>
      </c>
      <c r="AC67" s="295">
        <v>3.0</v>
      </c>
      <c r="AD67" s="295">
        <v>42.0</v>
      </c>
      <c r="AE67" s="297">
        <v>10.0</v>
      </c>
      <c r="AF67" s="295"/>
      <c r="AG67" s="295">
        <v>31.0</v>
      </c>
      <c r="AH67" s="295"/>
      <c r="AI67" s="118"/>
      <c r="AJ67" s="118"/>
      <c r="AK67" s="300">
        <f t="shared" si="1"/>
        <v>0</v>
      </c>
      <c r="AL67" s="300">
        <f t="shared" si="2"/>
        <v>0</v>
      </c>
      <c r="AM67" s="301">
        <f t="shared" si="3"/>
        <v>0</v>
      </c>
      <c r="AN67" s="300" t="str">
        <f t="shared" si="4"/>
        <v>0</v>
      </c>
      <c r="AO67" s="300">
        <f t="shared" si="5"/>
        <v>3</v>
      </c>
      <c r="AP67" s="88"/>
    </row>
    <row r="68">
      <c r="A68" s="142">
        <v>64.0</v>
      </c>
      <c r="B68" s="509" t="s">
        <v>95</v>
      </c>
      <c r="C68" s="500" t="s">
        <v>3806</v>
      </c>
      <c r="D68" s="209" t="s">
        <v>1334</v>
      </c>
      <c r="E68" s="209">
        <v>8.496846086E9</v>
      </c>
      <c r="F68" s="119" t="s">
        <v>3801</v>
      </c>
      <c r="G68" s="118"/>
      <c r="H68" s="528">
        <f>IFNA(VLOOKUP(B68,'L1 '!$1:$1000,2,False),0)</f>
        <v>44</v>
      </c>
      <c r="I68" s="528">
        <f>IFNA(VLOOKUP(B68,'L2'!$1:$1000,2,False),0)</f>
        <v>32</v>
      </c>
      <c r="J68" s="120">
        <f>VLOOKUP(D68,'L3'!$1:$2060,2,False)</f>
        <v>48</v>
      </c>
      <c r="K68" s="120">
        <f>VLOOKUP(D68,'L4'!$1:$2059,2,False)</f>
        <v>23</v>
      </c>
      <c r="L68" s="121">
        <f>VLOOKUP(D68,'A1 RETEST 5 DEC'!$1:$2096,2,False)</f>
        <v>0</v>
      </c>
      <c r="M68" s="122">
        <f>VLOOKUP(D68,'A2 RETEST 4 DEC'!$1:$2096,2,False)</f>
        <v>14</v>
      </c>
      <c r="N68" s="122">
        <v>2.5</v>
      </c>
      <c r="O68" s="121"/>
      <c r="P68" s="123">
        <f>IFNA(VLOOKUP(D68,'S1'!$1:$1000,2,False),0)</f>
        <v>50</v>
      </c>
      <c r="Q68" s="123">
        <f>vlookup(D68,'S2'!A65:B1267,2,0)</f>
        <v>0</v>
      </c>
      <c r="R68" s="123">
        <f>ifna(vlookup(D68,'S3'!$1:$1311,2,False),0)</f>
        <v>50</v>
      </c>
      <c r="S68" s="123"/>
      <c r="T68" s="125"/>
      <c r="U68" s="125"/>
      <c r="V68" s="125">
        <v>92.0</v>
      </c>
      <c r="W68" s="125">
        <v>86.0</v>
      </c>
      <c r="X68" s="125">
        <v>74.0</v>
      </c>
      <c r="Y68" s="125"/>
      <c r="Z68" s="125"/>
      <c r="AA68" s="297"/>
      <c r="AB68" s="295">
        <v>1.0</v>
      </c>
      <c r="AC68" s="295">
        <v>1.0</v>
      </c>
      <c r="AD68" s="295">
        <v>0.0</v>
      </c>
      <c r="AE68" s="297">
        <v>10.0</v>
      </c>
      <c r="AF68" s="295"/>
      <c r="AG68" s="295">
        <v>38.0</v>
      </c>
      <c r="AH68" s="295"/>
      <c r="AI68" s="118"/>
      <c r="AJ68" s="118"/>
      <c r="AK68" s="300">
        <f t="shared" si="1"/>
        <v>0</v>
      </c>
      <c r="AL68" s="300">
        <f t="shared" si="2"/>
        <v>0</v>
      </c>
      <c r="AM68" s="301">
        <f t="shared" si="3"/>
        <v>0</v>
      </c>
      <c r="AN68" s="300" t="str">
        <f t="shared" si="4"/>
        <v>0</v>
      </c>
      <c r="AO68" s="300">
        <f t="shared" si="5"/>
        <v>1</v>
      </c>
      <c r="AP68" s="88"/>
    </row>
    <row r="69">
      <c r="A69" s="142">
        <v>65.0</v>
      </c>
      <c r="B69" s="25" t="s">
        <v>97</v>
      </c>
      <c r="C69" s="500" t="s">
        <v>3654</v>
      </c>
      <c r="D69" s="209" t="s">
        <v>1333</v>
      </c>
      <c r="E69" s="209">
        <v>9.731862093E9</v>
      </c>
      <c r="F69" s="119" t="s">
        <v>3801</v>
      </c>
      <c r="G69" s="118"/>
      <c r="H69" s="528">
        <f>IFNA(VLOOKUP(B69,'L1 '!$1:$1000,2,False),0)</f>
        <v>44</v>
      </c>
      <c r="I69" s="528">
        <f>IFNA(VLOOKUP(B69,'L2'!$1:$1000,2,False),0)</f>
        <v>40</v>
      </c>
      <c r="J69" s="120">
        <f>VLOOKUP(D69,'L3'!$1:$2060,2,False)</f>
        <v>70</v>
      </c>
      <c r="K69" s="120">
        <f>VLOOKUP(D69,'L4'!$1:$2059,2,False)</f>
        <v>60</v>
      </c>
      <c r="L69" s="121">
        <f>VLOOKUP(D69,'A1 RETEST 5 DEC'!$1:$2096,2,False)</f>
        <v>13</v>
      </c>
      <c r="M69" s="122">
        <f>VLOOKUP(D69,'A2 RETEST 4 DEC'!$1:$2096,2,False)</f>
        <v>50</v>
      </c>
      <c r="N69" s="122">
        <v>19.25</v>
      </c>
      <c r="O69" s="121"/>
      <c r="P69" s="123">
        <f>IFNA(VLOOKUP(D69,'S1'!$1:$1000,2,False),0)</f>
        <v>50</v>
      </c>
      <c r="Q69" s="123">
        <f>vlookup(D69,'S2'!A66:B1268,2,0)</f>
        <v>71</v>
      </c>
      <c r="R69" s="123">
        <f>ifna(vlookup(D69,'S3'!$1:$1311,2,False),0)</f>
        <v>50</v>
      </c>
      <c r="S69" s="123"/>
      <c r="T69" s="125"/>
      <c r="U69" s="125"/>
      <c r="V69" s="125">
        <v>92.0</v>
      </c>
      <c r="W69" s="125">
        <v>86.0</v>
      </c>
      <c r="X69" s="125">
        <v>70.0</v>
      </c>
      <c r="Y69" s="125"/>
      <c r="Z69" s="125"/>
      <c r="AA69" s="297"/>
      <c r="AB69" s="295">
        <v>49.0</v>
      </c>
      <c r="AC69" s="295">
        <v>49.0</v>
      </c>
      <c r="AD69" s="295">
        <v>80.0</v>
      </c>
      <c r="AE69" s="297">
        <v>15.0</v>
      </c>
      <c r="AF69" s="295"/>
      <c r="AG69" s="295">
        <v>4.0</v>
      </c>
      <c r="AH69" s="295"/>
      <c r="AI69" s="118"/>
      <c r="AJ69" s="118"/>
      <c r="AK69" s="300">
        <f t="shared" si="1"/>
        <v>0</v>
      </c>
      <c r="AL69" s="300">
        <f t="shared" si="2"/>
        <v>0</v>
      </c>
      <c r="AM69" s="301">
        <f t="shared" si="3"/>
        <v>0</v>
      </c>
      <c r="AN69" s="300" t="str">
        <f t="shared" si="4"/>
        <v>0</v>
      </c>
      <c r="AO69" s="300">
        <f t="shared" si="5"/>
        <v>3</v>
      </c>
      <c r="AP69" s="88"/>
    </row>
    <row r="70">
      <c r="A70" s="142">
        <v>66.0</v>
      </c>
      <c r="B70" s="509" t="s">
        <v>52</v>
      </c>
      <c r="C70" s="500" t="s">
        <v>3807</v>
      </c>
      <c r="D70" s="209" t="s">
        <v>1354</v>
      </c>
      <c r="E70" s="539">
        <v>8.762518264E9</v>
      </c>
      <c r="F70" s="119" t="s">
        <v>3801</v>
      </c>
      <c r="G70" s="118"/>
      <c r="H70" s="528">
        <f>IFNA(VLOOKUP(B70,'L1 '!$1:$1000,2,False),0)</f>
        <v>60</v>
      </c>
      <c r="I70" s="528">
        <f>IFNA(VLOOKUP(B70,'L2'!$1:$1000,2,False),0)</f>
        <v>56</v>
      </c>
      <c r="J70" s="120">
        <f>VLOOKUP(D70,'L3'!$1:$2060,2,False)</f>
        <v>58</v>
      </c>
      <c r="K70" s="120">
        <f>VLOOKUP(D70,'L4'!$1:$2059,2,False)</f>
        <v>62</v>
      </c>
      <c r="L70" s="121">
        <f>VLOOKUP(D70,'A1 RETEST 5 DEC'!$1:$2096,2,False)</f>
        <v>17</v>
      </c>
      <c r="M70" s="122">
        <f>VLOOKUP(D70,'A2 RETEST 4 DEC'!$1:$2096,2,False)</f>
        <v>16</v>
      </c>
      <c r="N70" s="122">
        <v>50.0</v>
      </c>
      <c r="O70" s="121"/>
      <c r="P70" s="123">
        <f>IFNA(VLOOKUP(D70,'S1'!$1:$1000,2,False),0)</f>
        <v>50</v>
      </c>
      <c r="Q70" s="123">
        <f>vlookup(D70,'S2'!A67:B1269,2,0)</f>
        <v>50</v>
      </c>
      <c r="R70" s="123">
        <f>ifna(vlookup(D70,'S3'!$1:$1311,2,False),0)</f>
        <v>68</v>
      </c>
      <c r="S70" s="123"/>
      <c r="T70" s="125"/>
      <c r="U70" s="125"/>
      <c r="V70" s="125">
        <v>92.0</v>
      </c>
      <c r="W70" s="125">
        <v>90.0</v>
      </c>
      <c r="X70" s="125">
        <v>68.0</v>
      </c>
      <c r="Y70" s="125"/>
      <c r="Z70" s="125"/>
      <c r="AA70" s="297"/>
      <c r="AB70" s="295">
        <v>2.0</v>
      </c>
      <c r="AC70" s="295">
        <v>2.0</v>
      </c>
      <c r="AD70" s="295">
        <v>70.0</v>
      </c>
      <c r="AE70" s="297">
        <v>10.0</v>
      </c>
      <c r="AF70" s="295"/>
      <c r="AG70" s="295">
        <v>4.0</v>
      </c>
      <c r="AH70" s="295"/>
      <c r="AI70" s="118"/>
      <c r="AJ70" s="118"/>
      <c r="AK70" s="300">
        <f t="shared" si="1"/>
        <v>0</v>
      </c>
      <c r="AL70" s="300">
        <f t="shared" si="2"/>
        <v>0</v>
      </c>
      <c r="AM70" s="301">
        <f t="shared" si="3"/>
        <v>0</v>
      </c>
      <c r="AN70" s="300" t="str">
        <f t="shared" si="4"/>
        <v>0</v>
      </c>
      <c r="AO70" s="300">
        <f t="shared" si="5"/>
        <v>3</v>
      </c>
      <c r="AP70" s="88"/>
    </row>
    <row r="71">
      <c r="A71" s="142">
        <v>67.0</v>
      </c>
      <c r="B71" s="220" t="s">
        <v>2295</v>
      </c>
      <c r="C71" s="246" t="s">
        <v>3139</v>
      </c>
      <c r="D71" s="209" t="s">
        <v>1345</v>
      </c>
      <c r="E71" s="209">
        <v>7.739451555E9</v>
      </c>
      <c r="F71" s="254" t="s">
        <v>3801</v>
      </c>
      <c r="G71" s="118"/>
      <c r="H71" s="533">
        <v>94.0</v>
      </c>
      <c r="I71" s="533">
        <v>92.0</v>
      </c>
      <c r="J71" s="120">
        <v>82.0</v>
      </c>
      <c r="K71" s="120">
        <f>VLOOKUP(D71,'L4'!$1:$2059,2,False)</f>
        <v>72</v>
      </c>
      <c r="L71" s="121">
        <f>VLOOKUP(D71,'A1 RETEST 5 DEC'!$1:$2096,2,False)</f>
        <v>56</v>
      </c>
      <c r="M71" s="122">
        <f>VLOOKUP(D71,'A2 RETEST 4 DEC'!$1:$2096,2,False)</f>
        <v>56</v>
      </c>
      <c r="N71" s="122">
        <v>54.75</v>
      </c>
      <c r="O71" s="121"/>
      <c r="P71" s="123">
        <f>IFNA(VLOOKUP(D71,'S1'!$1:$1000,2,False),0)</f>
        <v>78</v>
      </c>
      <c r="Q71" s="123">
        <f>vlookup(D71,'S2'!A69:B1271,2,0)</f>
        <v>72</v>
      </c>
      <c r="R71" s="123">
        <f>ifna(vlookup(D71,'S3'!$1:$1311,2,False),0)</f>
        <v>87</v>
      </c>
      <c r="S71" s="123"/>
      <c r="T71" s="125">
        <v>18.0</v>
      </c>
      <c r="U71" s="125">
        <v>17.0</v>
      </c>
      <c r="V71" s="125">
        <v>62.0</v>
      </c>
      <c r="W71" s="125">
        <v>90.0</v>
      </c>
      <c r="X71" s="125">
        <v>74.0</v>
      </c>
      <c r="Y71" s="125"/>
      <c r="Z71" s="125"/>
      <c r="AA71" s="530"/>
      <c r="AB71" s="530">
        <v>100.0</v>
      </c>
      <c r="AC71" s="295">
        <v>65.0</v>
      </c>
      <c r="AD71" s="295">
        <v>70.0</v>
      </c>
      <c r="AE71" s="297">
        <v>70.0</v>
      </c>
      <c r="AF71" s="295"/>
      <c r="AG71" s="295">
        <v>65.0</v>
      </c>
      <c r="AH71" s="295"/>
      <c r="AI71" s="118"/>
      <c r="AJ71" s="118"/>
      <c r="AK71" s="300">
        <f t="shared" si="1"/>
        <v>4</v>
      </c>
      <c r="AL71" s="300">
        <f t="shared" si="2"/>
        <v>3</v>
      </c>
      <c r="AM71" s="301">
        <f t="shared" si="3"/>
        <v>3</v>
      </c>
      <c r="AN71" s="300" t="str">
        <f t="shared" si="4"/>
        <v>3.5</v>
      </c>
      <c r="AO71" s="300">
        <f t="shared" si="5"/>
        <v>3</v>
      </c>
      <c r="AP71" s="88"/>
    </row>
    <row r="72">
      <c r="A72" s="261"/>
      <c r="B72" s="172"/>
      <c r="C72" s="172"/>
      <c r="D72" s="173"/>
      <c r="E72" s="155"/>
      <c r="F72" s="155"/>
      <c r="G72" s="88"/>
      <c r="H72" s="540"/>
      <c r="I72" s="540"/>
      <c r="J72" s="540"/>
      <c r="K72" s="15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58"/>
      <c r="AA72" s="256"/>
      <c r="AB72" s="105"/>
      <c r="AC72" s="105"/>
      <c r="AE72" s="105"/>
      <c r="AF72" s="158"/>
      <c r="AG72" s="105"/>
      <c r="AH72" s="158"/>
      <c r="AI72" s="88"/>
      <c r="AJ72" s="88"/>
      <c r="AK72" s="131"/>
      <c r="AL72" s="131"/>
      <c r="AM72" s="131"/>
      <c r="AN72" s="131"/>
      <c r="AO72" s="131"/>
      <c r="AP72" s="88"/>
    </row>
    <row r="73">
      <c r="A73" s="261"/>
      <c r="G73" s="88"/>
      <c r="H73" s="155"/>
      <c r="I73" s="155"/>
      <c r="J73" s="155"/>
      <c r="K73" s="15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58"/>
      <c r="AA73" s="256"/>
      <c r="AB73" s="105"/>
      <c r="AC73" s="105"/>
      <c r="AD73" s="105"/>
      <c r="AE73" s="105"/>
      <c r="AF73" s="158"/>
      <c r="AG73" s="105"/>
      <c r="AH73" s="158"/>
      <c r="AI73" s="88"/>
      <c r="AJ73" s="88"/>
      <c r="AK73" s="131"/>
      <c r="AL73" s="131"/>
      <c r="AM73" s="131"/>
      <c r="AN73" s="131"/>
      <c r="AO73" s="131"/>
      <c r="AP73" s="88"/>
    </row>
    <row r="74">
      <c r="A74" s="261"/>
      <c r="B74" s="478"/>
      <c r="C74" s="541"/>
      <c r="D74" s="542"/>
      <c r="E74" s="542"/>
      <c r="F74" s="543"/>
      <c r="G74" s="88"/>
      <c r="H74" s="155"/>
      <c r="I74" s="155"/>
      <c r="J74" s="155"/>
      <c r="K74" s="15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58"/>
      <c r="AA74" s="256"/>
      <c r="AB74" s="105"/>
      <c r="AC74" s="105"/>
      <c r="AD74" s="105"/>
      <c r="AE74" s="105"/>
      <c r="AF74" s="158"/>
      <c r="AG74" s="105"/>
      <c r="AH74" s="158"/>
      <c r="AI74" s="88"/>
      <c r="AJ74" s="88"/>
      <c r="AK74" s="131"/>
      <c r="AL74" s="131"/>
      <c r="AM74" s="131"/>
      <c r="AN74" s="131"/>
      <c r="AO74" s="131"/>
      <c r="AP74" s="88"/>
    </row>
    <row r="75">
      <c r="A75" s="261"/>
      <c r="B75" s="172"/>
      <c r="C75" s="172"/>
      <c r="D75" s="173"/>
      <c r="E75" s="155"/>
      <c r="F75" s="155"/>
      <c r="G75" s="88"/>
      <c r="H75" s="155"/>
      <c r="I75" s="155"/>
      <c r="J75" s="155"/>
      <c r="K75" s="15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58"/>
      <c r="AA75" s="256"/>
      <c r="AB75" s="105"/>
      <c r="AC75" s="105"/>
      <c r="AD75" s="105"/>
      <c r="AE75" s="105"/>
      <c r="AF75" s="158"/>
      <c r="AG75" s="105"/>
      <c r="AH75" s="158"/>
      <c r="AI75" s="88"/>
      <c r="AJ75" s="88"/>
      <c r="AK75" s="131"/>
      <c r="AL75" s="131"/>
      <c r="AM75" s="131"/>
      <c r="AN75" s="131"/>
      <c r="AO75" s="131"/>
      <c r="AP75" s="88"/>
    </row>
    <row r="76">
      <c r="A76" s="261"/>
      <c r="B76" s="172"/>
      <c r="C76" s="172"/>
      <c r="D76" s="173"/>
      <c r="E76" s="155"/>
      <c r="F76" s="155"/>
      <c r="G76" s="88"/>
      <c r="H76" s="155"/>
      <c r="I76" s="155"/>
      <c r="J76" s="155"/>
      <c r="K76" s="15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58"/>
      <c r="AA76" s="105"/>
      <c r="AB76" s="105"/>
      <c r="AC76" s="105"/>
      <c r="AD76" s="105"/>
      <c r="AE76" s="105"/>
      <c r="AF76" s="158"/>
      <c r="AG76" s="105"/>
      <c r="AH76" s="158"/>
      <c r="AI76" s="88"/>
      <c r="AJ76" s="88"/>
      <c r="AK76" s="131"/>
      <c r="AL76" s="131"/>
      <c r="AM76" s="131"/>
      <c r="AN76" s="131"/>
      <c r="AO76" s="131"/>
      <c r="AP76" s="88"/>
    </row>
    <row r="77">
      <c r="A77" s="261"/>
      <c r="B77" s="172"/>
      <c r="C77" s="172"/>
      <c r="D77" s="173"/>
      <c r="E77" s="155"/>
      <c r="F77" s="155"/>
      <c r="G77" s="88"/>
      <c r="H77" s="155"/>
      <c r="I77" s="155"/>
      <c r="J77" s="155"/>
      <c r="K77" s="15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58"/>
      <c r="AA77" s="105"/>
      <c r="AB77" s="105"/>
      <c r="AC77" s="105"/>
      <c r="AD77" s="105"/>
      <c r="AE77" s="105"/>
      <c r="AF77" s="158"/>
      <c r="AG77" s="105"/>
      <c r="AH77" s="158"/>
      <c r="AI77" s="88"/>
      <c r="AJ77" s="88"/>
      <c r="AK77" s="131"/>
      <c r="AL77" s="131"/>
      <c r="AM77" s="131"/>
      <c r="AN77" s="131"/>
      <c r="AO77" s="131"/>
      <c r="AP77" s="88"/>
    </row>
    <row r="78">
      <c r="A78" s="261"/>
      <c r="B78" s="172"/>
      <c r="C78" s="172"/>
      <c r="D78" s="173"/>
      <c r="E78" s="155"/>
      <c r="F78" s="155"/>
      <c r="G78" s="88"/>
      <c r="H78" s="155"/>
      <c r="I78" s="155"/>
      <c r="J78" s="155"/>
      <c r="K78" s="15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58"/>
      <c r="AA78" s="105"/>
      <c r="AB78" s="105"/>
      <c r="AC78" s="105"/>
      <c r="AD78" s="105"/>
      <c r="AE78" s="105"/>
      <c r="AF78" s="158"/>
      <c r="AG78" s="105"/>
      <c r="AH78" s="158"/>
      <c r="AI78" s="88"/>
      <c r="AJ78" s="88"/>
      <c r="AK78" s="131"/>
      <c r="AL78" s="131"/>
      <c r="AM78" s="131"/>
      <c r="AN78" s="131"/>
      <c r="AO78" s="131"/>
      <c r="AP78" s="88"/>
    </row>
    <row r="79">
      <c r="A79" s="261"/>
      <c r="B79" s="172"/>
      <c r="C79" s="172"/>
      <c r="D79" s="173"/>
      <c r="E79" s="155"/>
      <c r="F79" s="155"/>
      <c r="G79" s="88"/>
      <c r="H79" s="155"/>
      <c r="I79" s="155"/>
      <c r="J79" s="155"/>
      <c r="K79" s="15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58"/>
      <c r="AA79" s="105"/>
      <c r="AB79" s="105"/>
      <c r="AC79" s="105"/>
      <c r="AD79" s="105"/>
      <c r="AE79" s="105"/>
      <c r="AF79" s="158"/>
      <c r="AG79" s="105"/>
      <c r="AH79" s="158"/>
      <c r="AI79" s="88"/>
      <c r="AJ79" s="88"/>
      <c r="AK79" s="131"/>
      <c r="AL79" s="131"/>
      <c r="AM79" s="131"/>
      <c r="AN79" s="131"/>
      <c r="AO79" s="131"/>
      <c r="AP79" s="88"/>
    </row>
    <row r="80">
      <c r="A80" s="261"/>
      <c r="B80" s="172"/>
      <c r="C80" s="172"/>
      <c r="D80" s="173"/>
      <c r="E80" s="155"/>
      <c r="F80" s="155"/>
      <c r="G80" s="88"/>
      <c r="H80" s="155"/>
      <c r="I80" s="155"/>
      <c r="J80" s="155"/>
      <c r="K80" s="15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58"/>
      <c r="AA80" s="105"/>
      <c r="AB80" s="105"/>
      <c r="AC80" s="105"/>
      <c r="AD80" s="105"/>
      <c r="AE80" s="105"/>
      <c r="AF80" s="158"/>
      <c r="AG80" s="105"/>
      <c r="AH80" s="158"/>
      <c r="AI80" s="88"/>
      <c r="AJ80" s="88"/>
      <c r="AK80" s="131"/>
      <c r="AL80" s="131"/>
      <c r="AM80" s="131"/>
      <c r="AN80" s="131"/>
      <c r="AO80" s="131"/>
      <c r="AP80" s="88"/>
    </row>
    <row r="81">
      <c r="A81" s="261"/>
      <c r="B81" s="172"/>
      <c r="C81" s="172"/>
      <c r="D81" s="173"/>
      <c r="E81" s="155"/>
      <c r="F81" s="155"/>
      <c r="G81" s="88"/>
      <c r="H81" s="155"/>
      <c r="I81" s="155"/>
      <c r="J81" s="155"/>
      <c r="K81" s="15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58"/>
      <c r="AA81" s="105"/>
      <c r="AB81" s="105"/>
      <c r="AC81" s="105"/>
      <c r="AD81" s="105"/>
      <c r="AE81" s="105"/>
      <c r="AF81" s="158"/>
      <c r="AG81" s="105"/>
      <c r="AH81" s="158"/>
      <c r="AI81" s="88"/>
      <c r="AJ81" s="88"/>
      <c r="AK81" s="131"/>
      <c r="AL81" s="131"/>
      <c r="AM81" s="131"/>
      <c r="AN81" s="131"/>
      <c r="AO81" s="131"/>
      <c r="AP81" s="88"/>
    </row>
    <row r="82">
      <c r="A82" s="261"/>
      <c r="B82" s="172"/>
      <c r="C82" s="172"/>
      <c r="D82" s="173"/>
      <c r="E82" s="155"/>
      <c r="F82" s="155"/>
      <c r="G82" s="88"/>
      <c r="H82" s="155"/>
      <c r="I82" s="155"/>
      <c r="J82" s="155"/>
      <c r="K82" s="15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58"/>
      <c r="AA82" s="105"/>
      <c r="AB82" s="105"/>
      <c r="AC82" s="105"/>
      <c r="AD82" s="105"/>
      <c r="AE82" s="105"/>
      <c r="AF82" s="158"/>
      <c r="AG82" s="105"/>
      <c r="AH82" s="158"/>
      <c r="AI82" s="88"/>
      <c r="AJ82" s="88"/>
      <c r="AK82" s="131"/>
      <c r="AL82" s="131"/>
      <c r="AM82" s="131"/>
      <c r="AN82" s="131"/>
      <c r="AO82" s="131"/>
      <c r="AP82" s="88"/>
    </row>
    <row r="83">
      <c r="A83" s="261"/>
      <c r="B83" s="172"/>
      <c r="C83" s="172"/>
      <c r="D83" s="173"/>
      <c r="E83" s="155"/>
      <c r="F83" s="155"/>
      <c r="G83" s="88"/>
      <c r="H83" s="155"/>
      <c r="I83" s="155"/>
      <c r="J83" s="155"/>
      <c r="K83" s="15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58"/>
      <c r="AA83" s="105"/>
      <c r="AB83" s="105"/>
      <c r="AC83" s="105"/>
      <c r="AD83" s="105"/>
      <c r="AE83" s="105"/>
      <c r="AF83" s="158"/>
      <c r="AG83" s="105"/>
      <c r="AH83" s="158"/>
      <c r="AI83" s="88"/>
      <c r="AJ83" s="88"/>
      <c r="AK83" s="131"/>
      <c r="AL83" s="131"/>
      <c r="AM83" s="131"/>
      <c r="AN83" s="131"/>
      <c r="AO83" s="131"/>
      <c r="AP83" s="88"/>
    </row>
    <row r="84">
      <c r="A84" s="261"/>
      <c r="B84" s="172"/>
      <c r="C84" s="172"/>
      <c r="D84" s="173"/>
      <c r="E84" s="155"/>
      <c r="F84" s="155"/>
      <c r="G84" s="88"/>
      <c r="H84" s="155"/>
      <c r="I84" s="155"/>
      <c r="J84" s="155"/>
      <c r="K84" s="15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58"/>
      <c r="AA84" s="105"/>
      <c r="AB84" s="105"/>
      <c r="AC84" s="105"/>
      <c r="AD84" s="105"/>
      <c r="AE84" s="105"/>
      <c r="AF84" s="158"/>
      <c r="AG84" s="105"/>
      <c r="AH84" s="158"/>
      <c r="AI84" s="88"/>
      <c r="AJ84" s="88"/>
      <c r="AK84" s="131"/>
      <c r="AL84" s="131"/>
      <c r="AM84" s="131"/>
      <c r="AN84" s="131"/>
      <c r="AO84" s="131"/>
      <c r="AP84" s="88"/>
    </row>
    <row r="85">
      <c r="A85" s="261"/>
      <c r="B85" s="172"/>
      <c r="C85" s="172"/>
      <c r="D85" s="173"/>
      <c r="E85" s="155"/>
      <c r="F85" s="155"/>
      <c r="G85" s="88"/>
      <c r="H85" s="155"/>
      <c r="I85" s="155"/>
      <c r="J85" s="155"/>
      <c r="K85" s="15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58"/>
      <c r="AA85" s="105"/>
      <c r="AB85" s="105"/>
      <c r="AC85" s="105"/>
      <c r="AD85" s="105"/>
      <c r="AE85" s="105"/>
      <c r="AF85" s="158"/>
      <c r="AG85" s="105"/>
      <c r="AH85" s="158"/>
      <c r="AI85" s="88"/>
      <c r="AJ85" s="88"/>
      <c r="AK85" s="131"/>
      <c r="AL85" s="131"/>
      <c r="AM85" s="131"/>
      <c r="AN85" s="131"/>
      <c r="AO85" s="131"/>
      <c r="AP85" s="88"/>
    </row>
    <row r="86">
      <c r="A86" s="261"/>
      <c r="B86" s="172"/>
      <c r="C86" s="172"/>
      <c r="D86" s="173"/>
      <c r="E86" s="155"/>
      <c r="F86" s="155"/>
      <c r="G86" s="88"/>
      <c r="H86" s="155"/>
      <c r="I86" s="155"/>
      <c r="J86" s="155"/>
      <c r="K86" s="15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58"/>
      <c r="AA86" s="105"/>
      <c r="AB86" s="105"/>
      <c r="AC86" s="105"/>
      <c r="AD86" s="105"/>
      <c r="AE86" s="105"/>
      <c r="AF86" s="158"/>
      <c r="AG86" s="105"/>
      <c r="AH86" s="158"/>
      <c r="AI86" s="88"/>
      <c r="AJ86" s="88"/>
      <c r="AK86" s="131"/>
      <c r="AL86" s="131"/>
      <c r="AM86" s="131"/>
      <c r="AN86" s="131"/>
      <c r="AO86" s="131"/>
      <c r="AP86" s="88"/>
    </row>
    <row r="87">
      <c r="A87" s="261"/>
      <c r="B87" s="172"/>
      <c r="C87" s="172"/>
      <c r="D87" s="173"/>
      <c r="E87" s="155"/>
      <c r="F87" s="155"/>
      <c r="G87" s="88"/>
      <c r="H87" s="155"/>
      <c r="I87" s="155"/>
      <c r="J87" s="155"/>
      <c r="K87" s="15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58"/>
      <c r="AA87" s="105"/>
      <c r="AB87" s="105"/>
      <c r="AC87" s="105"/>
      <c r="AD87" s="105"/>
      <c r="AE87" s="105"/>
      <c r="AF87" s="158"/>
      <c r="AG87" s="105"/>
      <c r="AH87" s="158"/>
      <c r="AI87" s="88"/>
      <c r="AJ87" s="88"/>
      <c r="AK87" s="131"/>
      <c r="AL87" s="131"/>
      <c r="AM87" s="131"/>
      <c r="AN87" s="131"/>
      <c r="AO87" s="131"/>
      <c r="AP87" s="88"/>
    </row>
    <row r="88">
      <c r="A88" s="261"/>
      <c r="B88" s="172"/>
      <c r="C88" s="172"/>
      <c r="D88" s="173"/>
      <c r="E88" s="155"/>
      <c r="F88" s="155"/>
      <c r="G88" s="88"/>
      <c r="H88" s="155"/>
      <c r="I88" s="155"/>
      <c r="J88" s="155"/>
      <c r="K88" s="15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58"/>
      <c r="AA88" s="105"/>
      <c r="AB88" s="105"/>
      <c r="AC88" s="105"/>
      <c r="AD88" s="105"/>
      <c r="AE88" s="105"/>
      <c r="AF88" s="158"/>
      <c r="AG88" s="105"/>
      <c r="AH88" s="158"/>
      <c r="AI88" s="88"/>
      <c r="AJ88" s="88"/>
      <c r="AK88" s="131"/>
      <c r="AL88" s="131"/>
      <c r="AM88" s="131"/>
      <c r="AN88" s="131"/>
      <c r="AO88" s="131"/>
      <c r="AP88" s="88"/>
    </row>
    <row r="89">
      <c r="A89" s="261"/>
      <c r="B89" s="172"/>
      <c r="C89" s="172"/>
      <c r="D89" s="173"/>
      <c r="E89" s="155"/>
      <c r="F89" s="155"/>
      <c r="G89" s="88"/>
      <c r="H89" s="155"/>
      <c r="I89" s="155"/>
      <c r="J89" s="155"/>
      <c r="K89" s="15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58"/>
      <c r="AA89" s="105"/>
      <c r="AB89" s="105"/>
      <c r="AC89" s="105"/>
      <c r="AD89" s="105"/>
      <c r="AE89" s="105"/>
      <c r="AF89" s="158"/>
      <c r="AG89" s="105"/>
      <c r="AH89" s="158"/>
      <c r="AI89" s="88"/>
      <c r="AJ89" s="88"/>
      <c r="AK89" s="131"/>
      <c r="AL89" s="131"/>
      <c r="AM89" s="131"/>
      <c r="AN89" s="131"/>
      <c r="AO89" s="131"/>
      <c r="AP89" s="88"/>
    </row>
    <row r="90">
      <c r="A90" s="261"/>
      <c r="B90" s="172"/>
      <c r="C90" s="172"/>
      <c r="D90" s="173"/>
      <c r="E90" s="155"/>
      <c r="F90" s="155"/>
      <c r="G90" s="88"/>
      <c r="H90" s="155"/>
      <c r="I90" s="155"/>
      <c r="J90" s="155"/>
      <c r="K90" s="15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58"/>
      <c r="AA90" s="105"/>
      <c r="AB90" s="105"/>
      <c r="AC90" s="105"/>
      <c r="AD90" s="105"/>
      <c r="AE90" s="105"/>
      <c r="AF90" s="158"/>
      <c r="AG90" s="105"/>
      <c r="AH90" s="158"/>
      <c r="AI90" s="88"/>
      <c r="AJ90" s="88"/>
      <c r="AK90" s="131"/>
      <c r="AL90" s="131"/>
      <c r="AM90" s="131"/>
      <c r="AN90" s="131"/>
      <c r="AO90" s="131"/>
      <c r="AP90" s="88"/>
    </row>
    <row r="91">
      <c r="A91" s="261"/>
      <c r="B91" s="172"/>
      <c r="C91" s="172"/>
      <c r="D91" s="173"/>
      <c r="E91" s="155"/>
      <c r="F91" s="155"/>
      <c r="G91" s="88"/>
      <c r="H91" s="155"/>
      <c r="I91" s="155"/>
      <c r="J91" s="155"/>
      <c r="K91" s="15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58"/>
      <c r="AA91" s="105"/>
      <c r="AB91" s="105"/>
      <c r="AC91" s="105"/>
      <c r="AD91" s="105"/>
      <c r="AE91" s="105"/>
      <c r="AF91" s="158"/>
      <c r="AG91" s="105"/>
      <c r="AH91" s="158"/>
      <c r="AI91" s="88"/>
      <c r="AJ91" s="88"/>
      <c r="AK91" s="131"/>
      <c r="AL91" s="131"/>
      <c r="AM91" s="131"/>
      <c r="AN91" s="131"/>
      <c r="AO91" s="131"/>
      <c r="AP91" s="88"/>
    </row>
    <row r="92">
      <c r="A92" s="261"/>
      <c r="B92" s="172"/>
      <c r="C92" s="172"/>
      <c r="D92" s="173"/>
      <c r="E92" s="155"/>
      <c r="F92" s="155"/>
      <c r="G92" s="88"/>
      <c r="H92" s="155"/>
      <c r="I92" s="155"/>
      <c r="J92" s="155"/>
      <c r="K92" s="15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58"/>
      <c r="AA92" s="105"/>
      <c r="AB92" s="105"/>
      <c r="AC92" s="105"/>
      <c r="AD92" s="105"/>
      <c r="AE92" s="105"/>
      <c r="AF92" s="158"/>
      <c r="AG92" s="105"/>
      <c r="AH92" s="158"/>
      <c r="AI92" s="88"/>
      <c r="AJ92" s="88"/>
      <c r="AK92" s="131"/>
      <c r="AL92" s="131"/>
      <c r="AM92" s="131"/>
      <c r="AN92" s="131"/>
      <c r="AO92" s="131"/>
      <c r="AP92" s="88"/>
    </row>
    <row r="93">
      <c r="A93" s="261"/>
      <c r="B93" s="172"/>
      <c r="C93" s="172"/>
      <c r="D93" s="173"/>
      <c r="E93" s="155"/>
      <c r="F93" s="155"/>
      <c r="G93" s="88"/>
      <c r="H93" s="155"/>
      <c r="I93" s="155"/>
      <c r="J93" s="155"/>
      <c r="K93" s="15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58"/>
      <c r="AA93" s="105"/>
      <c r="AB93" s="105"/>
      <c r="AC93" s="105"/>
      <c r="AD93" s="105"/>
      <c r="AE93" s="105"/>
      <c r="AF93" s="158"/>
      <c r="AG93" s="105"/>
      <c r="AH93" s="158"/>
      <c r="AI93" s="88"/>
      <c r="AJ93" s="88"/>
      <c r="AK93" s="131"/>
      <c r="AL93" s="131"/>
      <c r="AM93" s="131"/>
      <c r="AN93" s="131"/>
      <c r="AO93" s="131"/>
      <c r="AP93" s="88"/>
    </row>
    <row r="94">
      <c r="A94" s="261"/>
      <c r="B94" s="172"/>
      <c r="C94" s="172"/>
      <c r="D94" s="173"/>
      <c r="E94" s="155"/>
      <c r="F94" s="155"/>
      <c r="G94" s="88"/>
      <c r="H94" s="155"/>
      <c r="I94" s="155"/>
      <c r="J94" s="155"/>
      <c r="K94" s="15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58"/>
      <c r="AA94" s="105"/>
      <c r="AB94" s="105"/>
      <c r="AC94" s="105"/>
      <c r="AD94" s="105"/>
      <c r="AE94" s="105"/>
      <c r="AF94" s="158"/>
      <c r="AG94" s="105"/>
      <c r="AH94" s="158"/>
      <c r="AI94" s="88"/>
      <c r="AJ94" s="88"/>
      <c r="AK94" s="131"/>
      <c r="AL94" s="131"/>
      <c r="AM94" s="131"/>
      <c r="AN94" s="131"/>
      <c r="AO94" s="131"/>
      <c r="AP94" s="88"/>
    </row>
    <row r="95">
      <c r="A95" s="261"/>
      <c r="B95" s="172"/>
      <c r="C95" s="172"/>
      <c r="D95" s="173"/>
      <c r="E95" s="155"/>
      <c r="F95" s="155"/>
      <c r="G95" s="88"/>
      <c r="H95" s="155"/>
      <c r="I95" s="155"/>
      <c r="J95" s="155"/>
      <c r="K95" s="15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58"/>
      <c r="AA95" s="105"/>
      <c r="AB95" s="105"/>
      <c r="AC95" s="105"/>
      <c r="AD95" s="105"/>
      <c r="AE95" s="105"/>
      <c r="AF95" s="158"/>
      <c r="AG95" s="105"/>
      <c r="AH95" s="158"/>
      <c r="AI95" s="88"/>
      <c r="AJ95" s="88"/>
      <c r="AK95" s="131"/>
      <c r="AL95" s="131"/>
      <c r="AM95" s="131"/>
      <c r="AN95" s="131"/>
      <c r="AO95" s="131"/>
      <c r="AP95" s="88"/>
    </row>
    <row r="96">
      <c r="A96" s="261"/>
      <c r="B96" s="172"/>
      <c r="C96" s="172"/>
      <c r="D96" s="173"/>
      <c r="E96" s="155"/>
      <c r="F96" s="155"/>
      <c r="G96" s="88"/>
      <c r="H96" s="155"/>
      <c r="I96" s="155"/>
      <c r="J96" s="155"/>
      <c r="K96" s="15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58"/>
      <c r="AA96" s="105"/>
      <c r="AB96" s="105"/>
      <c r="AC96" s="105"/>
      <c r="AD96" s="105"/>
      <c r="AE96" s="105"/>
      <c r="AF96" s="158"/>
      <c r="AG96" s="105"/>
      <c r="AH96" s="158"/>
      <c r="AI96" s="88"/>
      <c r="AJ96" s="88"/>
      <c r="AK96" s="131"/>
      <c r="AL96" s="131"/>
      <c r="AM96" s="131"/>
      <c r="AN96" s="131"/>
      <c r="AO96" s="131"/>
      <c r="AP96" s="88"/>
    </row>
    <row r="97">
      <c r="A97" s="261"/>
      <c r="B97" s="172"/>
      <c r="C97" s="172"/>
      <c r="D97" s="173"/>
      <c r="E97" s="155"/>
      <c r="F97" s="155"/>
      <c r="G97" s="88"/>
      <c r="H97" s="155"/>
      <c r="I97" s="155"/>
      <c r="J97" s="155"/>
      <c r="K97" s="15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58"/>
      <c r="AA97" s="105"/>
      <c r="AB97" s="105"/>
      <c r="AC97" s="105"/>
      <c r="AD97" s="105"/>
      <c r="AE97" s="105"/>
      <c r="AF97" s="158"/>
      <c r="AG97" s="105"/>
      <c r="AH97" s="158"/>
      <c r="AI97" s="88"/>
      <c r="AJ97" s="88"/>
      <c r="AK97" s="131"/>
      <c r="AL97" s="131"/>
      <c r="AM97" s="131"/>
      <c r="AN97" s="131"/>
      <c r="AO97" s="131"/>
      <c r="AP97" s="88"/>
    </row>
    <row r="98">
      <c r="A98" s="261"/>
      <c r="B98" s="172"/>
      <c r="C98" s="172"/>
      <c r="D98" s="173"/>
      <c r="E98" s="155"/>
      <c r="F98" s="155"/>
      <c r="G98" s="88"/>
      <c r="H98" s="155"/>
      <c r="I98" s="155"/>
      <c r="J98" s="155"/>
      <c r="K98" s="15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58"/>
      <c r="AA98" s="105"/>
      <c r="AB98" s="105"/>
      <c r="AC98" s="105"/>
      <c r="AD98" s="105"/>
      <c r="AE98" s="105"/>
      <c r="AF98" s="158"/>
      <c r="AG98" s="105"/>
      <c r="AH98" s="158"/>
      <c r="AI98" s="88"/>
      <c r="AJ98" s="88"/>
      <c r="AK98" s="131"/>
      <c r="AL98" s="131"/>
      <c r="AM98" s="131"/>
      <c r="AN98" s="131"/>
      <c r="AO98" s="131"/>
      <c r="AP98" s="88"/>
    </row>
    <row r="99">
      <c r="A99" s="261"/>
      <c r="B99" s="172"/>
      <c r="C99" s="172"/>
      <c r="D99" s="173"/>
      <c r="E99" s="155"/>
      <c r="F99" s="155"/>
      <c r="G99" s="88"/>
      <c r="H99" s="155"/>
      <c r="I99" s="155"/>
      <c r="J99" s="155"/>
      <c r="K99" s="15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58"/>
      <c r="AA99" s="105"/>
      <c r="AB99" s="105"/>
      <c r="AC99" s="105"/>
      <c r="AD99" s="105"/>
      <c r="AE99" s="105"/>
      <c r="AF99" s="158"/>
      <c r="AG99" s="105"/>
      <c r="AH99" s="158"/>
      <c r="AI99" s="88"/>
      <c r="AJ99" s="88"/>
      <c r="AK99" s="131"/>
      <c r="AL99" s="131"/>
      <c r="AM99" s="131"/>
      <c r="AN99" s="131"/>
      <c r="AO99" s="131"/>
      <c r="AP99" s="88"/>
    </row>
    <row r="100">
      <c r="A100" s="261"/>
      <c r="B100" s="172"/>
      <c r="C100" s="172"/>
      <c r="D100" s="173"/>
      <c r="E100" s="155"/>
      <c r="F100" s="155"/>
      <c r="G100" s="88"/>
      <c r="H100" s="155"/>
      <c r="I100" s="155"/>
      <c r="J100" s="155"/>
      <c r="K100" s="15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58"/>
      <c r="AA100" s="105"/>
      <c r="AB100" s="105"/>
      <c r="AC100" s="105"/>
      <c r="AD100" s="105"/>
      <c r="AE100" s="105"/>
      <c r="AF100" s="158"/>
      <c r="AG100" s="105"/>
      <c r="AH100" s="158"/>
      <c r="AI100" s="88"/>
      <c r="AJ100" s="88"/>
      <c r="AK100" s="131"/>
      <c r="AL100" s="131"/>
      <c r="AM100" s="131"/>
      <c r="AN100" s="131"/>
      <c r="AO100" s="131"/>
      <c r="AP100" s="88"/>
    </row>
    <row r="101">
      <c r="A101" s="261"/>
      <c r="B101" s="172"/>
      <c r="C101" s="172"/>
      <c r="D101" s="173"/>
      <c r="E101" s="155"/>
      <c r="F101" s="155"/>
      <c r="G101" s="88"/>
      <c r="H101" s="155"/>
      <c r="I101" s="155"/>
      <c r="J101" s="155"/>
      <c r="K101" s="15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58"/>
      <c r="AA101" s="105"/>
      <c r="AB101" s="105"/>
      <c r="AC101" s="105"/>
      <c r="AD101" s="105"/>
      <c r="AE101" s="105"/>
      <c r="AF101" s="158"/>
      <c r="AG101" s="105"/>
      <c r="AH101" s="158"/>
      <c r="AI101" s="88"/>
      <c r="AJ101" s="88"/>
      <c r="AK101" s="131"/>
      <c r="AL101" s="131"/>
      <c r="AM101" s="131"/>
      <c r="AN101" s="131"/>
      <c r="AO101" s="131"/>
      <c r="AP101" s="88"/>
    </row>
    <row r="102">
      <c r="A102" s="261"/>
      <c r="B102" s="172"/>
      <c r="C102" s="172"/>
      <c r="D102" s="173"/>
      <c r="E102" s="155"/>
      <c r="F102" s="155"/>
      <c r="G102" s="88"/>
      <c r="H102" s="155"/>
      <c r="I102" s="155"/>
      <c r="J102" s="155"/>
      <c r="K102" s="15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58"/>
      <c r="AA102" s="105"/>
      <c r="AB102" s="105"/>
      <c r="AC102" s="105"/>
      <c r="AD102" s="105"/>
      <c r="AE102" s="105"/>
      <c r="AF102" s="158"/>
      <c r="AG102" s="105"/>
      <c r="AH102" s="158"/>
      <c r="AI102" s="88"/>
      <c r="AJ102" s="88"/>
      <c r="AK102" s="131"/>
      <c r="AL102" s="131"/>
      <c r="AM102" s="131"/>
      <c r="AN102" s="131"/>
      <c r="AO102" s="131"/>
      <c r="AP102" s="88"/>
    </row>
    <row r="103">
      <c r="A103" s="261"/>
      <c r="B103" s="172"/>
      <c r="C103" s="172"/>
      <c r="D103" s="173"/>
      <c r="E103" s="155"/>
      <c r="F103" s="155"/>
      <c r="G103" s="88"/>
      <c r="H103" s="155"/>
      <c r="I103" s="155"/>
      <c r="J103" s="155"/>
      <c r="K103" s="15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58"/>
      <c r="AA103" s="105"/>
      <c r="AB103" s="105"/>
      <c r="AC103" s="105"/>
      <c r="AD103" s="105"/>
      <c r="AE103" s="105"/>
      <c r="AF103" s="158"/>
      <c r="AG103" s="105"/>
      <c r="AH103" s="158"/>
      <c r="AI103" s="88"/>
      <c r="AJ103" s="88"/>
      <c r="AK103" s="131"/>
      <c r="AL103" s="131"/>
      <c r="AM103" s="131"/>
      <c r="AN103" s="131"/>
      <c r="AO103" s="131"/>
      <c r="AP103" s="88"/>
    </row>
    <row r="104">
      <c r="A104" s="261"/>
      <c r="B104" s="172"/>
      <c r="C104" s="172"/>
      <c r="D104" s="173"/>
      <c r="E104" s="155"/>
      <c r="F104" s="155"/>
      <c r="G104" s="88"/>
      <c r="H104" s="155"/>
      <c r="I104" s="155"/>
      <c r="J104" s="155"/>
      <c r="K104" s="15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58"/>
      <c r="AA104" s="105"/>
      <c r="AB104" s="105"/>
      <c r="AC104" s="105"/>
      <c r="AD104" s="105"/>
      <c r="AE104" s="105"/>
      <c r="AF104" s="158"/>
      <c r="AG104" s="105"/>
      <c r="AH104" s="158"/>
      <c r="AI104" s="88"/>
      <c r="AJ104" s="88"/>
      <c r="AK104" s="131"/>
      <c r="AL104" s="131"/>
      <c r="AM104" s="131"/>
      <c r="AN104" s="131"/>
      <c r="AO104" s="131"/>
      <c r="AP104" s="88"/>
    </row>
    <row r="105">
      <c r="A105" s="261"/>
      <c r="B105" s="172"/>
      <c r="C105" s="172"/>
      <c r="D105" s="173"/>
      <c r="E105" s="155"/>
      <c r="F105" s="155"/>
      <c r="G105" s="88"/>
      <c r="H105" s="155"/>
      <c r="I105" s="155"/>
      <c r="J105" s="155"/>
      <c r="K105" s="15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58"/>
      <c r="AA105" s="105"/>
      <c r="AB105" s="105"/>
      <c r="AC105" s="105"/>
      <c r="AD105" s="105"/>
      <c r="AE105" s="105"/>
      <c r="AF105" s="158"/>
      <c r="AG105" s="105"/>
      <c r="AH105" s="158"/>
      <c r="AI105" s="88"/>
      <c r="AJ105" s="88"/>
      <c r="AK105" s="131"/>
      <c r="AL105" s="131"/>
      <c r="AM105" s="131"/>
      <c r="AN105" s="131"/>
      <c r="AO105" s="131"/>
      <c r="AP105" s="88"/>
    </row>
    <row r="106">
      <c r="A106" s="261"/>
      <c r="B106" s="172"/>
      <c r="C106" s="172"/>
      <c r="D106" s="173"/>
      <c r="E106" s="155"/>
      <c r="F106" s="155"/>
      <c r="G106" s="88"/>
      <c r="H106" s="155"/>
      <c r="I106" s="155"/>
      <c r="J106" s="155"/>
      <c r="K106" s="15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58"/>
      <c r="AA106" s="105"/>
      <c r="AB106" s="105"/>
      <c r="AC106" s="105"/>
      <c r="AD106" s="105"/>
      <c r="AE106" s="105"/>
      <c r="AF106" s="158"/>
      <c r="AG106" s="105"/>
      <c r="AH106" s="158"/>
      <c r="AI106" s="88"/>
      <c r="AJ106" s="88"/>
      <c r="AK106" s="131"/>
      <c r="AL106" s="131"/>
      <c r="AM106" s="131"/>
      <c r="AN106" s="131"/>
      <c r="AO106" s="131"/>
      <c r="AP106" s="88"/>
    </row>
    <row r="107">
      <c r="A107" s="261"/>
      <c r="B107" s="172"/>
      <c r="C107" s="172"/>
      <c r="D107" s="173"/>
      <c r="E107" s="155"/>
      <c r="F107" s="155"/>
      <c r="G107" s="88"/>
      <c r="H107" s="155"/>
      <c r="I107" s="155"/>
      <c r="J107" s="155"/>
      <c r="K107" s="15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58"/>
      <c r="AA107" s="105"/>
      <c r="AB107" s="105"/>
      <c r="AC107" s="105"/>
      <c r="AD107" s="105"/>
      <c r="AE107" s="105"/>
      <c r="AF107" s="158"/>
      <c r="AG107" s="105"/>
      <c r="AH107" s="158"/>
      <c r="AI107" s="88"/>
      <c r="AJ107" s="88"/>
      <c r="AK107" s="131"/>
      <c r="AL107" s="131"/>
      <c r="AM107" s="131"/>
      <c r="AN107" s="131"/>
      <c r="AO107" s="131"/>
      <c r="AP107" s="88"/>
    </row>
    <row r="108">
      <c r="A108" s="261"/>
      <c r="B108" s="172"/>
      <c r="C108" s="172"/>
      <c r="D108" s="173"/>
      <c r="E108" s="155"/>
      <c r="F108" s="155"/>
      <c r="G108" s="88"/>
      <c r="H108" s="155"/>
      <c r="I108" s="155"/>
      <c r="J108" s="155"/>
      <c r="K108" s="15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58"/>
      <c r="AA108" s="105"/>
      <c r="AB108" s="105"/>
      <c r="AC108" s="105"/>
      <c r="AD108" s="105"/>
      <c r="AE108" s="105"/>
      <c r="AF108" s="158"/>
      <c r="AG108" s="105"/>
      <c r="AH108" s="158"/>
      <c r="AI108" s="88"/>
      <c r="AJ108" s="88"/>
      <c r="AK108" s="131"/>
      <c r="AL108" s="131"/>
      <c r="AM108" s="131"/>
      <c r="AN108" s="131"/>
      <c r="AO108" s="131"/>
      <c r="AP108" s="88"/>
    </row>
    <row r="109">
      <c r="A109" s="261"/>
      <c r="B109" s="172"/>
      <c r="C109" s="172"/>
      <c r="D109" s="173"/>
      <c r="E109" s="155"/>
      <c r="F109" s="155"/>
      <c r="G109" s="88"/>
      <c r="H109" s="155"/>
      <c r="I109" s="155"/>
      <c r="J109" s="155"/>
      <c r="K109" s="15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58"/>
      <c r="AA109" s="105"/>
      <c r="AB109" s="105"/>
      <c r="AC109" s="105"/>
      <c r="AD109" s="105"/>
      <c r="AE109" s="105"/>
      <c r="AF109" s="158"/>
      <c r="AG109" s="105"/>
      <c r="AH109" s="158"/>
      <c r="AI109" s="88"/>
      <c r="AJ109" s="88"/>
      <c r="AK109" s="131"/>
      <c r="AL109" s="131"/>
      <c r="AM109" s="131"/>
      <c r="AN109" s="131"/>
      <c r="AO109" s="131"/>
      <c r="AP109" s="88"/>
    </row>
    <row r="110">
      <c r="A110" s="261"/>
      <c r="B110" s="172"/>
      <c r="C110" s="172"/>
      <c r="D110" s="173"/>
      <c r="E110" s="155"/>
      <c r="F110" s="155"/>
      <c r="G110" s="88"/>
      <c r="H110" s="155"/>
      <c r="I110" s="155"/>
      <c r="J110" s="155"/>
      <c r="K110" s="15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58"/>
      <c r="AA110" s="105"/>
      <c r="AB110" s="105"/>
      <c r="AC110" s="105"/>
      <c r="AD110" s="105"/>
      <c r="AE110" s="105"/>
      <c r="AF110" s="158"/>
      <c r="AG110" s="105"/>
      <c r="AH110" s="158"/>
      <c r="AI110" s="88"/>
      <c r="AJ110" s="88"/>
      <c r="AK110" s="131"/>
      <c r="AL110" s="131"/>
      <c r="AM110" s="131"/>
      <c r="AN110" s="131"/>
      <c r="AO110" s="131"/>
      <c r="AP110" s="88"/>
    </row>
    <row r="111">
      <c r="A111" s="261"/>
      <c r="B111" s="172"/>
      <c r="C111" s="172"/>
      <c r="D111" s="173"/>
      <c r="E111" s="155"/>
      <c r="F111" s="155"/>
      <c r="G111" s="88"/>
      <c r="H111" s="155"/>
      <c r="I111" s="155"/>
      <c r="J111" s="155"/>
      <c r="K111" s="15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58"/>
      <c r="AA111" s="105"/>
      <c r="AB111" s="105"/>
      <c r="AC111" s="105"/>
      <c r="AD111" s="105"/>
      <c r="AE111" s="105"/>
      <c r="AF111" s="158"/>
      <c r="AG111" s="105"/>
      <c r="AH111" s="158"/>
      <c r="AI111" s="88"/>
      <c r="AJ111" s="88"/>
      <c r="AK111" s="131"/>
      <c r="AL111" s="131"/>
      <c r="AM111" s="131"/>
      <c r="AN111" s="131"/>
      <c r="AO111" s="131"/>
      <c r="AP111" s="88"/>
    </row>
    <row r="112">
      <c r="A112" s="261"/>
      <c r="B112" s="172"/>
      <c r="C112" s="172"/>
      <c r="D112" s="173"/>
      <c r="E112" s="155"/>
      <c r="F112" s="155"/>
      <c r="G112" s="88"/>
      <c r="H112" s="155"/>
      <c r="I112" s="155"/>
      <c r="J112" s="155"/>
      <c r="K112" s="15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58"/>
      <c r="AA112" s="105"/>
      <c r="AB112" s="105"/>
      <c r="AC112" s="105"/>
      <c r="AD112" s="105"/>
      <c r="AE112" s="105"/>
      <c r="AF112" s="158"/>
      <c r="AG112" s="105"/>
      <c r="AH112" s="158"/>
      <c r="AI112" s="88"/>
      <c r="AJ112" s="88"/>
      <c r="AK112" s="131"/>
      <c r="AL112" s="131"/>
      <c r="AM112" s="131"/>
      <c r="AN112" s="131"/>
      <c r="AO112" s="131"/>
      <c r="AP112" s="88"/>
    </row>
    <row r="113">
      <c r="A113" s="261"/>
      <c r="B113" s="172"/>
      <c r="C113" s="172"/>
      <c r="D113" s="173"/>
      <c r="E113" s="155"/>
      <c r="F113" s="155"/>
      <c r="G113" s="88"/>
      <c r="H113" s="155"/>
      <c r="I113" s="155"/>
      <c r="J113" s="155"/>
      <c r="K113" s="15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58"/>
      <c r="AA113" s="105"/>
      <c r="AB113" s="105"/>
      <c r="AC113" s="105"/>
      <c r="AD113" s="105"/>
      <c r="AE113" s="105"/>
      <c r="AF113" s="158"/>
      <c r="AG113" s="105"/>
      <c r="AH113" s="158"/>
      <c r="AI113" s="88"/>
      <c r="AJ113" s="88"/>
      <c r="AK113" s="131"/>
      <c r="AL113" s="131"/>
      <c r="AM113" s="131"/>
      <c r="AN113" s="131"/>
      <c r="AO113" s="131"/>
      <c r="AP113" s="88"/>
    </row>
    <row r="114">
      <c r="A114" s="261"/>
      <c r="B114" s="172"/>
      <c r="C114" s="172"/>
      <c r="D114" s="173"/>
      <c r="E114" s="155"/>
      <c r="F114" s="155"/>
      <c r="G114" s="88"/>
      <c r="H114" s="155"/>
      <c r="I114" s="155"/>
      <c r="J114" s="155"/>
      <c r="K114" s="15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58"/>
      <c r="AA114" s="105"/>
      <c r="AB114" s="105"/>
      <c r="AC114" s="105"/>
      <c r="AD114" s="105"/>
      <c r="AE114" s="105"/>
      <c r="AF114" s="158"/>
      <c r="AG114" s="105"/>
      <c r="AH114" s="158"/>
      <c r="AI114" s="88"/>
      <c r="AJ114" s="88"/>
      <c r="AK114" s="131"/>
      <c r="AL114" s="131"/>
      <c r="AM114" s="131"/>
      <c r="AN114" s="131"/>
      <c r="AO114" s="131"/>
      <c r="AP114" s="88"/>
    </row>
    <row r="115">
      <c r="A115" s="261"/>
      <c r="B115" s="172"/>
      <c r="C115" s="172"/>
      <c r="D115" s="173"/>
      <c r="E115" s="155"/>
      <c r="F115" s="155"/>
      <c r="G115" s="88"/>
      <c r="H115" s="155"/>
      <c r="I115" s="155"/>
      <c r="J115" s="155"/>
      <c r="K115" s="15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58"/>
      <c r="AA115" s="105"/>
      <c r="AB115" s="105"/>
      <c r="AC115" s="105"/>
      <c r="AD115" s="105"/>
      <c r="AE115" s="105"/>
      <c r="AF115" s="158"/>
      <c r="AG115" s="105"/>
      <c r="AH115" s="158"/>
      <c r="AI115" s="88"/>
      <c r="AJ115" s="88"/>
      <c r="AK115" s="131"/>
      <c r="AL115" s="131"/>
      <c r="AM115" s="131"/>
      <c r="AN115" s="131"/>
      <c r="AO115" s="131"/>
      <c r="AP115" s="88"/>
    </row>
    <row r="116">
      <c r="A116" s="261"/>
      <c r="B116" s="172"/>
      <c r="C116" s="172"/>
      <c r="D116" s="173"/>
      <c r="E116" s="155"/>
      <c r="F116" s="155"/>
      <c r="G116" s="88"/>
      <c r="H116" s="155"/>
      <c r="I116" s="155"/>
      <c r="J116" s="155"/>
      <c r="K116" s="15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58"/>
      <c r="AA116" s="105"/>
      <c r="AB116" s="105"/>
      <c r="AC116" s="105"/>
      <c r="AD116" s="105"/>
      <c r="AE116" s="105"/>
      <c r="AF116" s="158"/>
      <c r="AG116" s="105"/>
      <c r="AH116" s="158"/>
      <c r="AI116" s="88"/>
      <c r="AJ116" s="88"/>
      <c r="AK116" s="131"/>
      <c r="AL116" s="131"/>
      <c r="AM116" s="131"/>
      <c r="AN116" s="131"/>
      <c r="AO116" s="131"/>
      <c r="AP116" s="88"/>
    </row>
    <row r="117">
      <c r="A117" s="261"/>
      <c r="B117" s="172"/>
      <c r="C117" s="172"/>
      <c r="D117" s="173"/>
      <c r="E117" s="155"/>
      <c r="F117" s="155"/>
      <c r="G117" s="88"/>
      <c r="H117" s="155"/>
      <c r="I117" s="155"/>
      <c r="J117" s="155"/>
      <c r="K117" s="15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58"/>
      <c r="AA117" s="105"/>
      <c r="AB117" s="105"/>
      <c r="AC117" s="105"/>
      <c r="AD117" s="105"/>
      <c r="AE117" s="105"/>
      <c r="AF117" s="158"/>
      <c r="AG117" s="105"/>
      <c r="AH117" s="158"/>
      <c r="AI117" s="88"/>
      <c r="AJ117" s="88"/>
      <c r="AK117" s="131"/>
      <c r="AL117" s="131"/>
      <c r="AM117" s="131"/>
      <c r="AN117" s="131"/>
      <c r="AO117" s="131"/>
      <c r="AP117" s="88"/>
    </row>
    <row r="118">
      <c r="A118" s="261"/>
      <c r="B118" s="172"/>
      <c r="C118" s="172"/>
      <c r="D118" s="173"/>
      <c r="E118" s="155"/>
      <c r="F118" s="155"/>
      <c r="G118" s="88"/>
      <c r="H118" s="155"/>
      <c r="I118" s="155"/>
      <c r="J118" s="155"/>
      <c r="K118" s="15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58"/>
      <c r="AA118" s="105"/>
      <c r="AB118" s="105"/>
      <c r="AC118" s="105"/>
      <c r="AD118" s="105"/>
      <c r="AE118" s="105"/>
      <c r="AF118" s="158"/>
      <c r="AG118" s="105"/>
      <c r="AH118" s="158"/>
      <c r="AI118" s="88"/>
      <c r="AJ118" s="88"/>
      <c r="AK118" s="131"/>
      <c r="AL118" s="131"/>
      <c r="AM118" s="131"/>
      <c r="AN118" s="131"/>
      <c r="AO118" s="131"/>
      <c r="AP118" s="88"/>
    </row>
    <row r="119">
      <c r="A119" s="261"/>
      <c r="B119" s="172"/>
      <c r="C119" s="172"/>
      <c r="D119" s="173"/>
      <c r="E119" s="155"/>
      <c r="F119" s="155"/>
      <c r="G119" s="88"/>
      <c r="H119" s="155"/>
      <c r="I119" s="155"/>
      <c r="J119" s="155"/>
      <c r="K119" s="15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58"/>
      <c r="AA119" s="105"/>
      <c r="AB119" s="105"/>
      <c r="AC119" s="105"/>
      <c r="AD119" s="105"/>
      <c r="AE119" s="105"/>
      <c r="AF119" s="158"/>
      <c r="AG119" s="105"/>
      <c r="AH119" s="158"/>
      <c r="AI119" s="88"/>
      <c r="AJ119" s="88"/>
      <c r="AK119" s="131"/>
      <c r="AL119" s="131"/>
      <c r="AM119" s="131"/>
      <c r="AN119" s="131"/>
      <c r="AO119" s="131"/>
      <c r="AP119" s="88"/>
    </row>
    <row r="120">
      <c r="A120" s="261"/>
      <c r="B120" s="172"/>
      <c r="C120" s="172"/>
      <c r="D120" s="173"/>
      <c r="E120" s="155"/>
      <c r="F120" s="155"/>
      <c r="G120" s="88"/>
      <c r="H120" s="155"/>
      <c r="I120" s="155"/>
      <c r="J120" s="155"/>
      <c r="K120" s="15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58"/>
      <c r="AA120" s="105"/>
      <c r="AB120" s="105"/>
      <c r="AC120" s="105"/>
      <c r="AD120" s="105"/>
      <c r="AE120" s="105"/>
      <c r="AF120" s="158"/>
      <c r="AG120" s="105"/>
      <c r="AH120" s="158"/>
      <c r="AI120" s="88"/>
      <c r="AJ120" s="88"/>
      <c r="AK120" s="131"/>
      <c r="AL120" s="131"/>
      <c r="AM120" s="131"/>
      <c r="AN120" s="131"/>
      <c r="AO120" s="131"/>
      <c r="AP120" s="88"/>
    </row>
    <row r="121">
      <c r="A121" s="155"/>
      <c r="B121" s="173"/>
      <c r="C121" s="174"/>
      <c r="D121" s="173"/>
      <c r="E121" s="155"/>
      <c r="F121" s="155"/>
      <c r="G121" s="88"/>
      <c r="H121" s="155"/>
      <c r="I121" s="155"/>
      <c r="J121" s="155"/>
      <c r="K121" s="15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58"/>
      <c r="AA121" s="105"/>
      <c r="AB121" s="105"/>
      <c r="AC121" s="105"/>
      <c r="AD121" s="105"/>
      <c r="AE121" s="105"/>
      <c r="AF121" s="158"/>
      <c r="AG121" s="105"/>
      <c r="AH121" s="158"/>
      <c r="AI121" s="88"/>
      <c r="AJ121" s="88"/>
      <c r="AK121" s="131"/>
      <c r="AL121" s="131"/>
      <c r="AM121" s="131"/>
      <c r="AN121" s="131"/>
      <c r="AO121" s="131"/>
      <c r="AP121" s="88"/>
    </row>
    <row r="122">
      <c r="A122" s="155"/>
      <c r="B122" s="173"/>
      <c r="C122" s="174"/>
      <c r="D122" s="173"/>
      <c r="E122" s="155"/>
      <c r="F122" s="155"/>
      <c r="G122" s="88"/>
      <c r="H122" s="155"/>
      <c r="I122" s="155"/>
      <c r="J122" s="155"/>
      <c r="K122" s="15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58"/>
      <c r="AA122" s="105"/>
      <c r="AB122" s="105"/>
      <c r="AC122" s="105"/>
      <c r="AD122" s="105"/>
      <c r="AE122" s="105"/>
      <c r="AF122" s="158"/>
      <c r="AG122" s="105"/>
      <c r="AH122" s="158"/>
      <c r="AI122" s="88"/>
      <c r="AJ122" s="88"/>
      <c r="AK122" s="131"/>
      <c r="AL122" s="131"/>
      <c r="AM122" s="131"/>
      <c r="AN122" s="131"/>
      <c r="AO122" s="131"/>
      <c r="AP122" s="88"/>
    </row>
    <row r="123">
      <c r="A123" s="155"/>
      <c r="B123" s="173"/>
      <c r="C123" s="174"/>
      <c r="D123" s="173"/>
      <c r="E123" s="155"/>
      <c r="F123" s="155"/>
      <c r="G123" s="88"/>
      <c r="H123" s="155"/>
      <c r="I123" s="155"/>
      <c r="J123" s="155"/>
      <c r="K123" s="15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58"/>
      <c r="AA123" s="105"/>
      <c r="AB123" s="105"/>
      <c r="AC123" s="105"/>
      <c r="AD123" s="105"/>
      <c r="AE123" s="105"/>
      <c r="AF123" s="158"/>
      <c r="AG123" s="105"/>
      <c r="AH123" s="158"/>
      <c r="AI123" s="88"/>
      <c r="AJ123" s="88"/>
      <c r="AK123" s="131"/>
      <c r="AL123" s="131"/>
      <c r="AM123" s="131"/>
      <c r="AN123" s="131"/>
      <c r="AO123" s="131"/>
      <c r="AP123" s="88"/>
    </row>
    <row r="124">
      <c r="A124" s="261"/>
      <c r="B124" s="172"/>
      <c r="C124" s="172"/>
      <c r="D124" s="173"/>
      <c r="E124" s="155"/>
      <c r="F124" s="155"/>
      <c r="G124" s="88"/>
      <c r="H124" s="155"/>
      <c r="I124" s="155"/>
      <c r="J124" s="155"/>
      <c r="K124" s="15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58"/>
      <c r="AA124" s="105"/>
      <c r="AB124" s="105"/>
      <c r="AC124" s="105"/>
      <c r="AD124" s="105"/>
      <c r="AE124" s="105"/>
      <c r="AF124" s="158"/>
      <c r="AG124" s="105"/>
      <c r="AH124" s="158"/>
      <c r="AI124" s="88"/>
      <c r="AJ124" s="88"/>
      <c r="AK124" s="131"/>
      <c r="AL124" s="131"/>
      <c r="AM124" s="131"/>
      <c r="AN124" s="131"/>
      <c r="AO124" s="131"/>
      <c r="AP124" s="88"/>
    </row>
    <row r="125">
      <c r="A125" s="261"/>
      <c r="B125" s="172"/>
      <c r="C125" s="172"/>
      <c r="D125" s="173"/>
      <c r="E125" s="155"/>
      <c r="F125" s="155"/>
      <c r="G125" s="88"/>
      <c r="H125" s="155"/>
      <c r="I125" s="155"/>
      <c r="J125" s="155"/>
      <c r="K125" s="15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58"/>
      <c r="AA125" s="105"/>
      <c r="AB125" s="105"/>
      <c r="AC125" s="105"/>
      <c r="AD125" s="105"/>
      <c r="AE125" s="105"/>
      <c r="AF125" s="158"/>
      <c r="AG125" s="105"/>
      <c r="AH125" s="158"/>
      <c r="AI125" s="88"/>
      <c r="AJ125" s="88"/>
      <c r="AK125" s="131"/>
      <c r="AL125" s="131"/>
      <c r="AM125" s="131"/>
      <c r="AN125" s="131"/>
      <c r="AO125" s="131"/>
      <c r="AP125" s="88"/>
    </row>
    <row r="126">
      <c r="A126" s="261"/>
      <c r="B126" s="172"/>
      <c r="C126" s="172"/>
      <c r="D126" s="173"/>
      <c r="E126" s="155"/>
      <c r="F126" s="155"/>
      <c r="G126" s="88"/>
      <c r="H126" s="155"/>
      <c r="I126" s="155"/>
      <c r="J126" s="155"/>
      <c r="K126" s="15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58"/>
      <c r="AA126" s="105"/>
      <c r="AB126" s="105"/>
      <c r="AC126" s="105"/>
      <c r="AD126" s="105"/>
      <c r="AE126" s="105"/>
      <c r="AF126" s="158"/>
      <c r="AG126" s="105"/>
      <c r="AH126" s="158"/>
      <c r="AI126" s="88"/>
      <c r="AJ126" s="88"/>
      <c r="AK126" s="131"/>
      <c r="AL126" s="131"/>
      <c r="AM126" s="131"/>
      <c r="AN126" s="131"/>
      <c r="AO126" s="131"/>
      <c r="AP126" s="88"/>
    </row>
    <row r="127">
      <c r="A127" s="261"/>
      <c r="B127" s="172"/>
      <c r="C127" s="172"/>
      <c r="D127" s="173"/>
      <c r="E127" s="155"/>
      <c r="F127" s="155"/>
      <c r="G127" s="88"/>
      <c r="H127" s="155"/>
      <c r="I127" s="155"/>
      <c r="J127" s="155"/>
      <c r="K127" s="15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58"/>
      <c r="AA127" s="105"/>
      <c r="AB127" s="105"/>
      <c r="AC127" s="105"/>
      <c r="AD127" s="105"/>
      <c r="AE127" s="105"/>
      <c r="AF127" s="158"/>
      <c r="AG127" s="105"/>
      <c r="AH127" s="158"/>
      <c r="AI127" s="88"/>
      <c r="AJ127" s="88"/>
      <c r="AK127" s="131"/>
      <c r="AL127" s="131"/>
      <c r="AM127" s="131"/>
      <c r="AN127" s="131"/>
      <c r="AO127" s="131"/>
      <c r="AP127" s="88"/>
    </row>
    <row r="128">
      <c r="A128" s="261"/>
      <c r="B128" s="172"/>
      <c r="C128" s="172"/>
      <c r="D128" s="173"/>
      <c r="E128" s="155"/>
      <c r="F128" s="155"/>
      <c r="G128" s="88"/>
      <c r="H128" s="155"/>
      <c r="I128" s="155"/>
      <c r="J128" s="155"/>
      <c r="K128" s="15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58"/>
      <c r="AA128" s="105"/>
      <c r="AB128" s="105"/>
      <c r="AC128" s="105"/>
      <c r="AD128" s="105"/>
      <c r="AE128" s="105"/>
      <c r="AF128" s="158"/>
      <c r="AG128" s="105"/>
      <c r="AH128" s="158"/>
      <c r="AI128" s="88"/>
      <c r="AJ128" s="88"/>
      <c r="AK128" s="131"/>
      <c r="AL128" s="131"/>
      <c r="AM128" s="131"/>
      <c r="AN128" s="131"/>
      <c r="AO128" s="131"/>
      <c r="AP128" s="88"/>
    </row>
    <row r="129">
      <c r="A129" s="261"/>
      <c r="B129" s="172"/>
      <c r="C129" s="172"/>
      <c r="D129" s="173"/>
      <c r="E129" s="155"/>
      <c r="F129" s="155"/>
      <c r="G129" s="88"/>
      <c r="H129" s="155"/>
      <c r="I129" s="155"/>
      <c r="J129" s="155"/>
      <c r="K129" s="15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58"/>
      <c r="AA129" s="105"/>
      <c r="AB129" s="105"/>
      <c r="AC129" s="105"/>
      <c r="AD129" s="105"/>
      <c r="AE129" s="105"/>
      <c r="AF129" s="158"/>
      <c r="AG129" s="105"/>
      <c r="AH129" s="158"/>
      <c r="AI129" s="88"/>
      <c r="AJ129" s="88"/>
      <c r="AK129" s="131"/>
      <c r="AL129" s="131"/>
      <c r="AM129" s="131"/>
      <c r="AN129" s="131"/>
      <c r="AO129" s="131"/>
      <c r="AP129" s="88"/>
    </row>
    <row r="130">
      <c r="A130" s="261"/>
      <c r="B130" s="172"/>
      <c r="C130" s="172"/>
      <c r="D130" s="173"/>
      <c r="E130" s="155"/>
      <c r="F130" s="155"/>
      <c r="G130" s="88"/>
      <c r="H130" s="155"/>
      <c r="I130" s="155"/>
      <c r="J130" s="155"/>
      <c r="K130" s="15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58"/>
      <c r="AA130" s="105"/>
      <c r="AB130" s="105"/>
      <c r="AC130" s="105"/>
      <c r="AD130" s="105"/>
      <c r="AE130" s="105"/>
      <c r="AF130" s="158"/>
      <c r="AG130" s="105"/>
      <c r="AH130" s="158"/>
      <c r="AI130" s="88"/>
      <c r="AJ130" s="88"/>
      <c r="AK130" s="131"/>
      <c r="AL130" s="131"/>
      <c r="AM130" s="131"/>
      <c r="AN130" s="131"/>
      <c r="AO130" s="131"/>
      <c r="AP130" s="88"/>
    </row>
    <row r="131">
      <c r="A131" s="261"/>
      <c r="B131" s="172"/>
      <c r="C131" s="172"/>
      <c r="D131" s="173"/>
      <c r="E131" s="155"/>
      <c r="F131" s="155"/>
      <c r="G131" s="88"/>
      <c r="H131" s="155"/>
      <c r="I131" s="155"/>
      <c r="J131" s="155"/>
      <c r="K131" s="15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58"/>
      <c r="AA131" s="105"/>
      <c r="AB131" s="105"/>
      <c r="AC131" s="105"/>
      <c r="AD131" s="105"/>
      <c r="AE131" s="105"/>
      <c r="AF131" s="158"/>
      <c r="AG131" s="105"/>
      <c r="AH131" s="158"/>
      <c r="AI131" s="88"/>
      <c r="AJ131" s="88"/>
      <c r="AK131" s="131"/>
      <c r="AL131" s="131"/>
      <c r="AM131" s="131"/>
      <c r="AN131" s="131"/>
      <c r="AO131" s="131"/>
      <c r="AP131" s="88"/>
    </row>
    <row r="132">
      <c r="A132" s="261"/>
      <c r="B132" s="172"/>
      <c r="C132" s="172"/>
      <c r="D132" s="173"/>
      <c r="E132" s="155"/>
      <c r="F132" s="155"/>
      <c r="G132" s="88"/>
      <c r="H132" s="155"/>
      <c r="I132" s="155"/>
      <c r="J132" s="155"/>
      <c r="K132" s="15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58"/>
      <c r="AA132" s="105"/>
      <c r="AB132" s="105"/>
      <c r="AC132" s="105"/>
      <c r="AD132" s="105"/>
      <c r="AE132" s="105"/>
      <c r="AF132" s="158"/>
      <c r="AG132" s="105"/>
      <c r="AH132" s="158"/>
      <c r="AI132" s="88"/>
      <c r="AJ132" s="88"/>
      <c r="AK132" s="131"/>
      <c r="AL132" s="131"/>
      <c r="AM132" s="131"/>
      <c r="AN132" s="131"/>
      <c r="AO132" s="131"/>
      <c r="AP132" s="88"/>
    </row>
    <row r="133">
      <c r="A133" s="261"/>
      <c r="B133" s="172"/>
      <c r="C133" s="172"/>
      <c r="D133" s="173"/>
      <c r="E133" s="155"/>
      <c r="F133" s="155"/>
      <c r="G133" s="88"/>
      <c r="H133" s="155"/>
      <c r="I133" s="155"/>
      <c r="J133" s="155"/>
      <c r="K133" s="15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58"/>
      <c r="AA133" s="105"/>
      <c r="AB133" s="105"/>
      <c r="AC133" s="105"/>
      <c r="AD133" s="105"/>
      <c r="AE133" s="105"/>
      <c r="AF133" s="158"/>
      <c r="AG133" s="105"/>
      <c r="AH133" s="158"/>
      <c r="AI133" s="88"/>
      <c r="AJ133" s="88"/>
      <c r="AK133" s="131"/>
      <c r="AL133" s="131"/>
      <c r="AM133" s="131"/>
      <c r="AN133" s="131"/>
      <c r="AO133" s="131"/>
      <c r="AP133" s="88"/>
    </row>
    <row r="134">
      <c r="A134" s="261"/>
      <c r="B134" s="172"/>
      <c r="C134" s="172"/>
      <c r="D134" s="173"/>
      <c r="E134" s="155"/>
      <c r="F134" s="155"/>
      <c r="G134" s="88"/>
      <c r="H134" s="155"/>
      <c r="I134" s="155"/>
      <c r="J134" s="155"/>
      <c r="K134" s="15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58"/>
      <c r="AA134" s="105"/>
      <c r="AB134" s="105"/>
      <c r="AC134" s="105"/>
      <c r="AD134" s="105"/>
      <c r="AE134" s="105"/>
      <c r="AF134" s="158"/>
      <c r="AG134" s="105"/>
      <c r="AH134" s="158"/>
      <c r="AI134" s="88"/>
      <c r="AJ134" s="88"/>
      <c r="AK134" s="131"/>
      <c r="AL134" s="131"/>
      <c r="AM134" s="131"/>
      <c r="AN134" s="131"/>
      <c r="AO134" s="131"/>
      <c r="AP134" s="88"/>
    </row>
    <row r="135">
      <c r="A135" s="261"/>
      <c r="B135" s="172"/>
      <c r="C135" s="172"/>
      <c r="D135" s="173"/>
      <c r="E135" s="155"/>
      <c r="F135" s="155"/>
      <c r="G135" s="88"/>
      <c r="H135" s="155"/>
      <c r="I135" s="155"/>
      <c r="J135" s="155"/>
      <c r="K135" s="15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58"/>
      <c r="AA135" s="105"/>
      <c r="AB135" s="105"/>
      <c r="AC135" s="105"/>
      <c r="AD135" s="105"/>
      <c r="AE135" s="105"/>
      <c r="AF135" s="158"/>
      <c r="AG135" s="105"/>
      <c r="AH135" s="158"/>
      <c r="AI135" s="88"/>
      <c r="AJ135" s="88"/>
      <c r="AK135" s="131"/>
      <c r="AL135" s="131"/>
      <c r="AM135" s="131"/>
      <c r="AN135" s="131"/>
      <c r="AO135" s="131"/>
      <c r="AP135" s="88"/>
    </row>
    <row r="136">
      <c r="A136" s="261"/>
      <c r="B136" s="172"/>
      <c r="C136" s="172"/>
      <c r="D136" s="173"/>
      <c r="E136" s="155"/>
      <c r="F136" s="155"/>
      <c r="G136" s="88"/>
      <c r="H136" s="155"/>
      <c r="I136" s="155"/>
      <c r="J136" s="155"/>
      <c r="K136" s="15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58"/>
      <c r="AA136" s="105"/>
      <c r="AB136" s="105"/>
      <c r="AC136" s="105"/>
      <c r="AD136" s="105"/>
      <c r="AE136" s="105"/>
      <c r="AF136" s="158"/>
      <c r="AG136" s="105"/>
      <c r="AH136" s="158"/>
      <c r="AI136" s="88"/>
      <c r="AJ136" s="88"/>
      <c r="AK136" s="131"/>
      <c r="AL136" s="131"/>
      <c r="AM136" s="131"/>
      <c r="AN136" s="131"/>
      <c r="AO136" s="131"/>
      <c r="AP136" s="88"/>
    </row>
    <row r="137">
      <c r="A137" s="261"/>
      <c r="B137" s="172"/>
      <c r="C137" s="172"/>
      <c r="D137" s="173"/>
      <c r="E137" s="155"/>
      <c r="F137" s="155"/>
      <c r="G137" s="88"/>
      <c r="H137" s="155"/>
      <c r="I137" s="155"/>
      <c r="J137" s="155"/>
      <c r="K137" s="15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58"/>
      <c r="AA137" s="105"/>
      <c r="AB137" s="105"/>
      <c r="AC137" s="105"/>
      <c r="AD137" s="105"/>
      <c r="AE137" s="105"/>
      <c r="AF137" s="158"/>
      <c r="AG137" s="105"/>
      <c r="AH137" s="158"/>
      <c r="AI137" s="88"/>
      <c r="AJ137" s="88"/>
      <c r="AK137" s="131"/>
      <c r="AL137" s="131"/>
      <c r="AM137" s="131"/>
      <c r="AN137" s="131"/>
      <c r="AO137" s="131"/>
      <c r="AP137" s="88"/>
    </row>
    <row r="138">
      <c r="A138" s="261"/>
      <c r="B138" s="172"/>
      <c r="C138" s="172"/>
      <c r="D138" s="173"/>
      <c r="E138" s="155"/>
      <c r="F138" s="155"/>
      <c r="G138" s="88"/>
      <c r="H138" s="155"/>
      <c r="I138" s="155"/>
      <c r="J138" s="155"/>
      <c r="K138" s="15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58"/>
      <c r="AA138" s="105"/>
      <c r="AB138" s="105"/>
      <c r="AC138" s="105"/>
      <c r="AD138" s="105"/>
      <c r="AE138" s="105"/>
      <c r="AF138" s="158"/>
      <c r="AG138" s="105"/>
      <c r="AH138" s="158"/>
      <c r="AI138" s="88"/>
      <c r="AJ138" s="88"/>
      <c r="AK138" s="131"/>
      <c r="AL138" s="131"/>
      <c r="AM138" s="131"/>
      <c r="AN138" s="131"/>
      <c r="AO138" s="131"/>
      <c r="AP138" s="88"/>
    </row>
    <row r="139">
      <c r="A139" s="261"/>
      <c r="B139" s="172"/>
      <c r="C139" s="172"/>
      <c r="D139" s="173"/>
      <c r="E139" s="155"/>
      <c r="F139" s="155"/>
      <c r="G139" s="88"/>
      <c r="H139" s="155"/>
      <c r="I139" s="155"/>
      <c r="J139" s="155"/>
      <c r="K139" s="15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58"/>
      <c r="AA139" s="105"/>
      <c r="AB139" s="105"/>
      <c r="AC139" s="105"/>
      <c r="AD139" s="105"/>
      <c r="AE139" s="105"/>
      <c r="AF139" s="158"/>
      <c r="AG139" s="105"/>
      <c r="AH139" s="158"/>
      <c r="AI139" s="88"/>
      <c r="AJ139" s="88"/>
      <c r="AK139" s="131"/>
      <c r="AL139" s="131"/>
      <c r="AM139" s="131"/>
      <c r="AN139" s="131"/>
      <c r="AO139" s="131"/>
      <c r="AP139" s="88"/>
    </row>
    <row r="140">
      <c r="A140" s="261"/>
      <c r="B140" s="172"/>
      <c r="C140" s="172"/>
      <c r="D140" s="173"/>
      <c r="E140" s="155"/>
      <c r="F140" s="155"/>
      <c r="G140" s="88"/>
      <c r="H140" s="155"/>
      <c r="I140" s="155"/>
      <c r="J140" s="155"/>
      <c r="K140" s="15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58"/>
      <c r="AA140" s="105"/>
      <c r="AB140" s="105"/>
      <c r="AC140" s="105"/>
      <c r="AD140" s="105"/>
      <c r="AE140" s="105"/>
      <c r="AF140" s="158"/>
      <c r="AG140" s="105"/>
      <c r="AH140" s="158"/>
      <c r="AI140" s="88"/>
      <c r="AJ140" s="88"/>
      <c r="AK140" s="131"/>
      <c r="AL140" s="131"/>
      <c r="AM140" s="131"/>
      <c r="AN140" s="131"/>
      <c r="AO140" s="131"/>
      <c r="AP140" s="88"/>
    </row>
    <row r="141">
      <c r="A141" s="261"/>
      <c r="B141" s="172"/>
      <c r="C141" s="172"/>
      <c r="D141" s="173"/>
      <c r="E141" s="155"/>
      <c r="F141" s="155"/>
      <c r="G141" s="88"/>
      <c r="H141" s="155"/>
      <c r="I141" s="155"/>
      <c r="J141" s="155"/>
      <c r="K141" s="15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58"/>
      <c r="AA141" s="105"/>
      <c r="AB141" s="105"/>
      <c r="AC141" s="105"/>
      <c r="AD141" s="105"/>
      <c r="AE141" s="105"/>
      <c r="AF141" s="158"/>
      <c r="AG141" s="105"/>
      <c r="AH141" s="158"/>
      <c r="AI141" s="88"/>
      <c r="AJ141" s="88"/>
      <c r="AK141" s="131"/>
      <c r="AL141" s="131"/>
      <c r="AM141" s="131"/>
      <c r="AN141" s="131"/>
      <c r="AO141" s="131"/>
      <c r="AP141" s="88"/>
    </row>
    <row r="142">
      <c r="A142" s="261"/>
      <c r="B142" s="172"/>
      <c r="C142" s="172"/>
      <c r="D142" s="173"/>
      <c r="E142" s="155"/>
      <c r="F142" s="155"/>
      <c r="G142" s="88"/>
      <c r="H142" s="155"/>
      <c r="I142" s="155"/>
      <c r="J142" s="155"/>
      <c r="K142" s="15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58"/>
      <c r="AA142" s="105"/>
      <c r="AB142" s="105"/>
      <c r="AC142" s="105"/>
      <c r="AD142" s="105"/>
      <c r="AE142" s="105"/>
      <c r="AF142" s="158"/>
      <c r="AG142" s="105"/>
      <c r="AH142" s="158"/>
      <c r="AI142" s="88"/>
      <c r="AJ142" s="88"/>
      <c r="AK142" s="131"/>
      <c r="AL142" s="131"/>
      <c r="AM142" s="131"/>
      <c r="AN142" s="131"/>
      <c r="AO142" s="131"/>
      <c r="AP142" s="88"/>
    </row>
    <row r="143">
      <c r="A143" s="261"/>
      <c r="B143" s="172"/>
      <c r="C143" s="172"/>
      <c r="D143" s="173"/>
      <c r="E143" s="155"/>
      <c r="F143" s="155"/>
      <c r="G143" s="88"/>
      <c r="H143" s="155"/>
      <c r="I143" s="155"/>
      <c r="J143" s="155"/>
      <c r="K143" s="15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58"/>
      <c r="AA143" s="105"/>
      <c r="AB143" s="105"/>
      <c r="AC143" s="105"/>
      <c r="AD143" s="105"/>
      <c r="AE143" s="105"/>
      <c r="AF143" s="158"/>
      <c r="AG143" s="105"/>
      <c r="AH143" s="158"/>
      <c r="AI143" s="88"/>
      <c r="AJ143" s="88"/>
      <c r="AK143" s="131"/>
      <c r="AL143" s="131"/>
      <c r="AM143" s="131"/>
      <c r="AN143" s="131"/>
      <c r="AO143" s="131"/>
      <c r="AP143" s="88"/>
    </row>
    <row r="144">
      <c r="A144" s="261"/>
      <c r="B144" s="172"/>
      <c r="C144" s="172"/>
      <c r="D144" s="173"/>
      <c r="E144" s="155"/>
      <c r="F144" s="155"/>
      <c r="G144" s="88"/>
      <c r="H144" s="155"/>
      <c r="I144" s="155"/>
      <c r="J144" s="155"/>
      <c r="K144" s="15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58"/>
      <c r="AA144" s="105"/>
      <c r="AB144" s="105"/>
      <c r="AC144" s="105"/>
      <c r="AD144" s="105"/>
      <c r="AE144" s="105"/>
      <c r="AF144" s="158"/>
      <c r="AG144" s="105"/>
      <c r="AH144" s="158"/>
      <c r="AI144" s="88"/>
      <c r="AJ144" s="88"/>
      <c r="AK144" s="131"/>
      <c r="AL144" s="131"/>
      <c r="AM144" s="131"/>
      <c r="AN144" s="131"/>
      <c r="AO144" s="131"/>
      <c r="AP144" s="88"/>
    </row>
    <row r="145">
      <c r="A145" s="261"/>
      <c r="B145" s="172"/>
      <c r="C145" s="172"/>
      <c r="D145" s="173"/>
      <c r="E145" s="155"/>
      <c r="F145" s="155"/>
      <c r="G145" s="88"/>
      <c r="H145" s="155"/>
      <c r="I145" s="155"/>
      <c r="J145" s="155"/>
      <c r="K145" s="15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58"/>
      <c r="AA145" s="105"/>
      <c r="AB145" s="105"/>
      <c r="AC145" s="105"/>
      <c r="AD145" s="105"/>
      <c r="AE145" s="105"/>
      <c r="AF145" s="158"/>
      <c r="AG145" s="105"/>
      <c r="AH145" s="158"/>
      <c r="AI145" s="88"/>
      <c r="AJ145" s="88"/>
      <c r="AK145" s="131"/>
      <c r="AL145" s="131"/>
      <c r="AM145" s="131"/>
      <c r="AN145" s="131"/>
      <c r="AO145" s="131"/>
      <c r="AP145" s="88"/>
    </row>
    <row r="146">
      <c r="A146" s="261"/>
      <c r="B146" s="172"/>
      <c r="C146" s="172"/>
      <c r="D146" s="173"/>
      <c r="E146" s="155"/>
      <c r="F146" s="155"/>
      <c r="G146" s="88"/>
      <c r="H146" s="155"/>
      <c r="I146" s="155"/>
      <c r="J146" s="155"/>
      <c r="K146" s="15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58"/>
      <c r="AA146" s="105"/>
      <c r="AB146" s="105"/>
      <c r="AC146" s="105"/>
      <c r="AD146" s="105"/>
      <c r="AE146" s="105"/>
      <c r="AF146" s="158"/>
      <c r="AG146" s="105"/>
      <c r="AH146" s="158"/>
      <c r="AI146" s="88"/>
      <c r="AJ146" s="88"/>
      <c r="AK146" s="131"/>
      <c r="AL146" s="131"/>
      <c r="AM146" s="131"/>
      <c r="AN146" s="131"/>
      <c r="AO146" s="131"/>
      <c r="AP146" s="88"/>
    </row>
    <row r="147">
      <c r="A147" s="261"/>
      <c r="B147" s="172"/>
      <c r="C147" s="172"/>
      <c r="D147" s="173"/>
      <c r="E147" s="155"/>
      <c r="F147" s="155"/>
      <c r="G147" s="88"/>
      <c r="H147" s="155"/>
      <c r="I147" s="155"/>
      <c r="J147" s="155"/>
      <c r="K147" s="15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58"/>
      <c r="AA147" s="105"/>
      <c r="AB147" s="105"/>
      <c r="AC147" s="105"/>
      <c r="AD147" s="105"/>
      <c r="AE147" s="105"/>
      <c r="AF147" s="158"/>
      <c r="AG147" s="105"/>
      <c r="AH147" s="158"/>
      <c r="AI147" s="88"/>
      <c r="AJ147" s="88"/>
      <c r="AK147" s="131"/>
      <c r="AL147" s="131"/>
      <c r="AM147" s="131"/>
      <c r="AN147" s="131"/>
      <c r="AO147" s="131"/>
      <c r="AP147" s="88"/>
    </row>
    <row r="148">
      <c r="A148" s="261"/>
      <c r="B148" s="172"/>
      <c r="C148" s="172"/>
      <c r="D148" s="173"/>
      <c r="E148" s="155"/>
      <c r="F148" s="155"/>
      <c r="G148" s="88"/>
      <c r="H148" s="155"/>
      <c r="I148" s="155"/>
      <c r="J148" s="155"/>
      <c r="K148" s="15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58"/>
      <c r="AA148" s="105"/>
      <c r="AB148" s="105"/>
      <c r="AC148" s="105"/>
      <c r="AD148" s="105"/>
      <c r="AE148" s="105"/>
      <c r="AF148" s="158"/>
      <c r="AG148" s="105"/>
      <c r="AH148" s="158"/>
      <c r="AI148" s="88"/>
      <c r="AJ148" s="88"/>
      <c r="AK148" s="131"/>
      <c r="AL148" s="131"/>
      <c r="AM148" s="131"/>
      <c r="AN148" s="131"/>
      <c r="AO148" s="131"/>
      <c r="AP148" s="88"/>
    </row>
    <row r="149">
      <c r="A149" s="261"/>
      <c r="B149" s="172"/>
      <c r="C149" s="172"/>
      <c r="D149" s="173"/>
      <c r="E149" s="155"/>
      <c r="F149" s="155"/>
      <c r="G149" s="88"/>
      <c r="H149" s="155"/>
      <c r="I149" s="155"/>
      <c r="J149" s="155"/>
      <c r="K149" s="15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58"/>
      <c r="AA149" s="105"/>
      <c r="AB149" s="105"/>
      <c r="AC149" s="105"/>
      <c r="AD149" s="105"/>
      <c r="AE149" s="105"/>
      <c r="AF149" s="158"/>
      <c r="AG149" s="105"/>
      <c r="AH149" s="158"/>
      <c r="AI149" s="88"/>
      <c r="AJ149" s="88"/>
      <c r="AK149" s="131"/>
      <c r="AL149" s="131"/>
      <c r="AM149" s="131"/>
      <c r="AN149" s="131"/>
      <c r="AO149" s="131"/>
      <c r="AP149" s="88"/>
    </row>
    <row r="150">
      <c r="A150" s="261"/>
      <c r="B150" s="172"/>
      <c r="C150" s="172"/>
      <c r="D150" s="173"/>
      <c r="E150" s="155"/>
      <c r="F150" s="155"/>
      <c r="G150" s="88"/>
      <c r="H150" s="155"/>
      <c r="I150" s="155"/>
      <c r="J150" s="155"/>
      <c r="K150" s="15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58"/>
      <c r="AA150" s="105"/>
      <c r="AB150" s="105"/>
      <c r="AC150" s="105"/>
      <c r="AD150" s="105"/>
      <c r="AE150" s="105"/>
      <c r="AF150" s="158"/>
      <c r="AG150" s="105"/>
      <c r="AH150" s="158"/>
      <c r="AI150" s="88"/>
      <c r="AJ150" s="88"/>
      <c r="AK150" s="131"/>
      <c r="AL150" s="131"/>
      <c r="AM150" s="131"/>
      <c r="AN150" s="131"/>
      <c r="AO150" s="131"/>
      <c r="AP150" s="88"/>
    </row>
    <row r="151">
      <c r="A151" s="261"/>
      <c r="B151" s="172"/>
      <c r="C151" s="172"/>
      <c r="D151" s="173"/>
      <c r="E151" s="155"/>
      <c r="F151" s="155"/>
      <c r="G151" s="88"/>
      <c r="H151" s="155"/>
      <c r="I151" s="155"/>
      <c r="J151" s="155"/>
      <c r="K151" s="15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58"/>
      <c r="AA151" s="105"/>
      <c r="AB151" s="105"/>
      <c r="AC151" s="105"/>
      <c r="AD151" s="105"/>
      <c r="AE151" s="105"/>
      <c r="AF151" s="158"/>
      <c r="AG151" s="105"/>
      <c r="AH151" s="158"/>
      <c r="AI151" s="88"/>
      <c r="AJ151" s="88"/>
      <c r="AK151" s="131"/>
      <c r="AL151" s="131"/>
      <c r="AM151" s="131"/>
      <c r="AN151" s="131"/>
      <c r="AO151" s="131"/>
      <c r="AP151" s="88"/>
    </row>
    <row r="152">
      <c r="A152" s="261"/>
      <c r="B152" s="172"/>
      <c r="C152" s="172"/>
      <c r="D152" s="173"/>
      <c r="E152" s="155"/>
      <c r="F152" s="155"/>
      <c r="G152" s="88"/>
      <c r="H152" s="155"/>
      <c r="I152" s="155"/>
      <c r="J152" s="155"/>
      <c r="K152" s="15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58"/>
      <c r="AA152" s="105"/>
      <c r="AB152" s="105"/>
      <c r="AC152" s="105"/>
      <c r="AD152" s="105"/>
      <c r="AE152" s="105"/>
      <c r="AF152" s="158"/>
      <c r="AG152" s="105"/>
      <c r="AH152" s="158"/>
      <c r="AI152" s="88"/>
      <c r="AJ152" s="88"/>
      <c r="AK152" s="131"/>
      <c r="AL152" s="131"/>
      <c r="AM152" s="131"/>
      <c r="AN152" s="131"/>
      <c r="AO152" s="131"/>
      <c r="AP152" s="88"/>
    </row>
    <row r="153">
      <c r="A153" s="261"/>
      <c r="B153" s="172"/>
      <c r="C153" s="172"/>
      <c r="D153" s="173"/>
      <c r="E153" s="155"/>
      <c r="F153" s="155"/>
      <c r="G153" s="88"/>
      <c r="H153" s="155"/>
      <c r="I153" s="155"/>
      <c r="J153" s="155"/>
      <c r="K153" s="15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58"/>
      <c r="AA153" s="105"/>
      <c r="AB153" s="105"/>
      <c r="AC153" s="105"/>
      <c r="AD153" s="105"/>
      <c r="AE153" s="105"/>
      <c r="AF153" s="158"/>
      <c r="AG153" s="105"/>
      <c r="AH153" s="158"/>
      <c r="AI153" s="88"/>
      <c r="AJ153" s="88"/>
      <c r="AK153" s="131"/>
      <c r="AL153" s="131"/>
      <c r="AM153" s="131"/>
      <c r="AN153" s="131"/>
      <c r="AO153" s="131"/>
      <c r="AP153" s="88"/>
    </row>
    <row r="154">
      <c r="A154" s="261"/>
      <c r="B154" s="172"/>
      <c r="C154" s="172"/>
      <c r="D154" s="173"/>
      <c r="E154" s="155"/>
      <c r="F154" s="155"/>
      <c r="G154" s="88"/>
      <c r="H154" s="155"/>
      <c r="I154" s="155"/>
      <c r="J154" s="155"/>
      <c r="K154" s="15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58"/>
      <c r="AA154" s="105"/>
      <c r="AB154" s="105"/>
      <c r="AC154" s="105"/>
      <c r="AD154" s="105"/>
      <c r="AE154" s="105"/>
      <c r="AF154" s="158"/>
      <c r="AG154" s="105"/>
      <c r="AH154" s="158"/>
      <c r="AI154" s="88"/>
      <c r="AJ154" s="88"/>
      <c r="AK154" s="131"/>
      <c r="AL154" s="131"/>
      <c r="AM154" s="131"/>
      <c r="AN154" s="131"/>
      <c r="AO154" s="131"/>
      <c r="AP154" s="88"/>
    </row>
    <row r="155">
      <c r="A155" s="261"/>
      <c r="B155" s="172"/>
      <c r="C155" s="172"/>
      <c r="D155" s="173"/>
      <c r="E155" s="155"/>
      <c r="F155" s="155"/>
      <c r="G155" s="88"/>
      <c r="H155" s="155"/>
      <c r="I155" s="155"/>
      <c r="J155" s="155"/>
      <c r="K155" s="15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58"/>
      <c r="AA155" s="105"/>
      <c r="AB155" s="105"/>
      <c r="AC155" s="105"/>
      <c r="AD155" s="105"/>
      <c r="AE155" s="105"/>
      <c r="AF155" s="158"/>
      <c r="AG155" s="105"/>
      <c r="AH155" s="158"/>
      <c r="AI155" s="88"/>
      <c r="AJ155" s="88"/>
      <c r="AK155" s="131"/>
      <c r="AL155" s="131"/>
      <c r="AM155" s="131"/>
      <c r="AN155" s="131"/>
      <c r="AO155" s="131"/>
      <c r="AP155" s="88"/>
    </row>
    <row r="156">
      <c r="A156" s="261"/>
      <c r="B156" s="172"/>
      <c r="C156" s="172"/>
      <c r="D156" s="173"/>
      <c r="E156" s="155"/>
      <c r="F156" s="155"/>
      <c r="G156" s="88"/>
      <c r="H156" s="155"/>
      <c r="I156" s="155"/>
      <c r="J156" s="155"/>
      <c r="K156" s="15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58"/>
      <c r="AA156" s="105"/>
      <c r="AB156" s="105"/>
      <c r="AC156" s="105"/>
      <c r="AD156" s="105"/>
      <c r="AE156" s="105"/>
      <c r="AF156" s="158"/>
      <c r="AG156" s="105"/>
      <c r="AH156" s="158"/>
      <c r="AI156" s="88"/>
      <c r="AJ156" s="88"/>
      <c r="AK156" s="131"/>
      <c r="AL156" s="131"/>
      <c r="AM156" s="131"/>
      <c r="AN156" s="131"/>
      <c r="AO156" s="131"/>
      <c r="AP156" s="88"/>
    </row>
    <row r="157">
      <c r="A157" s="261"/>
      <c r="B157" s="172"/>
      <c r="C157" s="172"/>
      <c r="D157" s="173"/>
      <c r="E157" s="155"/>
      <c r="F157" s="155"/>
      <c r="G157" s="88"/>
      <c r="H157" s="155"/>
      <c r="I157" s="155"/>
      <c r="J157" s="155"/>
      <c r="K157" s="15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58"/>
      <c r="AA157" s="105"/>
      <c r="AB157" s="105"/>
      <c r="AC157" s="105"/>
      <c r="AD157" s="105"/>
      <c r="AE157" s="105"/>
      <c r="AF157" s="158"/>
      <c r="AG157" s="105"/>
      <c r="AH157" s="158"/>
      <c r="AI157" s="88"/>
      <c r="AJ157" s="88"/>
      <c r="AK157" s="131"/>
      <c r="AL157" s="131"/>
      <c r="AM157" s="131"/>
      <c r="AN157" s="131"/>
      <c r="AO157" s="131"/>
      <c r="AP157" s="88"/>
    </row>
    <row r="158">
      <c r="A158" s="261"/>
      <c r="B158" s="172"/>
      <c r="C158" s="172"/>
      <c r="D158" s="173"/>
      <c r="E158" s="155"/>
      <c r="F158" s="155"/>
      <c r="G158" s="88"/>
      <c r="H158" s="155"/>
      <c r="I158" s="155"/>
      <c r="J158" s="155"/>
      <c r="K158" s="15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58"/>
      <c r="AA158" s="105"/>
      <c r="AB158" s="105"/>
      <c r="AC158" s="105"/>
      <c r="AD158" s="105"/>
      <c r="AE158" s="105"/>
      <c r="AF158" s="158"/>
      <c r="AG158" s="105"/>
      <c r="AH158" s="158"/>
      <c r="AI158" s="88"/>
      <c r="AJ158" s="88"/>
      <c r="AK158" s="131"/>
      <c r="AL158" s="131"/>
      <c r="AM158" s="131"/>
      <c r="AN158" s="131"/>
      <c r="AO158" s="131"/>
      <c r="AP158" s="88"/>
    </row>
    <row r="159">
      <c r="A159" s="261"/>
      <c r="B159" s="172"/>
      <c r="C159" s="172"/>
      <c r="D159" s="173"/>
      <c r="E159" s="155"/>
      <c r="F159" s="155"/>
      <c r="G159" s="88"/>
      <c r="H159" s="155"/>
      <c r="I159" s="155"/>
      <c r="J159" s="155"/>
      <c r="K159" s="15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58"/>
      <c r="AA159" s="105"/>
      <c r="AB159" s="105"/>
      <c r="AC159" s="105"/>
      <c r="AD159" s="105"/>
      <c r="AE159" s="105"/>
      <c r="AF159" s="158"/>
      <c r="AG159" s="105"/>
      <c r="AH159" s="158"/>
      <c r="AI159" s="88"/>
      <c r="AJ159" s="88"/>
      <c r="AK159" s="131"/>
      <c r="AL159" s="131"/>
      <c r="AM159" s="131"/>
      <c r="AN159" s="131"/>
      <c r="AO159" s="131"/>
      <c r="AP159" s="88"/>
    </row>
    <row r="160">
      <c r="A160" s="261"/>
      <c r="B160" s="172"/>
      <c r="C160" s="172"/>
      <c r="D160" s="173"/>
      <c r="E160" s="155"/>
      <c r="F160" s="155"/>
      <c r="G160" s="88"/>
      <c r="H160" s="155"/>
      <c r="I160" s="155"/>
      <c r="J160" s="155"/>
      <c r="K160" s="15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58"/>
      <c r="AA160" s="105"/>
      <c r="AB160" s="105"/>
      <c r="AC160" s="105"/>
      <c r="AD160" s="105"/>
      <c r="AE160" s="105"/>
      <c r="AF160" s="158"/>
      <c r="AG160" s="105"/>
      <c r="AH160" s="158"/>
      <c r="AI160" s="88"/>
      <c r="AJ160" s="88"/>
      <c r="AK160" s="131"/>
      <c r="AL160" s="131"/>
      <c r="AM160" s="131"/>
      <c r="AN160" s="131"/>
      <c r="AO160" s="131"/>
      <c r="AP160" s="88"/>
    </row>
    <row r="161">
      <c r="A161" s="261"/>
      <c r="B161" s="172"/>
      <c r="C161" s="172"/>
      <c r="D161" s="173"/>
      <c r="E161" s="155"/>
      <c r="F161" s="155"/>
      <c r="G161" s="88"/>
      <c r="H161" s="155"/>
      <c r="I161" s="155"/>
      <c r="J161" s="155"/>
      <c r="K161" s="15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58"/>
      <c r="AA161" s="105"/>
      <c r="AB161" s="105"/>
      <c r="AC161" s="105"/>
      <c r="AD161" s="105"/>
      <c r="AE161" s="105"/>
      <c r="AF161" s="158"/>
      <c r="AG161" s="105"/>
      <c r="AH161" s="158"/>
      <c r="AI161" s="88"/>
      <c r="AJ161" s="88"/>
      <c r="AK161" s="131"/>
      <c r="AL161" s="131"/>
      <c r="AM161" s="131"/>
      <c r="AN161" s="131"/>
      <c r="AO161" s="131"/>
      <c r="AP161" s="88"/>
    </row>
    <row r="162">
      <c r="A162" s="261"/>
      <c r="B162" s="172"/>
      <c r="C162" s="172"/>
      <c r="D162" s="173"/>
      <c r="E162" s="155"/>
      <c r="F162" s="155"/>
      <c r="G162" s="88"/>
      <c r="H162" s="155"/>
      <c r="I162" s="155"/>
      <c r="J162" s="155"/>
      <c r="K162" s="15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58"/>
      <c r="AA162" s="105"/>
      <c r="AB162" s="105"/>
      <c r="AC162" s="105"/>
      <c r="AD162" s="105"/>
      <c r="AE162" s="105"/>
      <c r="AF162" s="158"/>
      <c r="AG162" s="105"/>
      <c r="AH162" s="158"/>
      <c r="AI162" s="88"/>
      <c r="AJ162" s="88"/>
      <c r="AK162" s="131"/>
      <c r="AL162" s="131"/>
      <c r="AM162" s="131"/>
      <c r="AN162" s="131"/>
      <c r="AO162" s="131"/>
      <c r="AP162" s="88"/>
    </row>
    <row r="163">
      <c r="A163" s="261"/>
      <c r="B163" s="172"/>
      <c r="C163" s="172"/>
      <c r="D163" s="173"/>
      <c r="E163" s="155"/>
      <c r="F163" s="155"/>
      <c r="G163" s="88"/>
      <c r="H163" s="155"/>
      <c r="I163" s="155"/>
      <c r="J163" s="155"/>
      <c r="K163" s="15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58"/>
      <c r="AA163" s="105"/>
      <c r="AB163" s="105"/>
      <c r="AC163" s="105"/>
      <c r="AD163" s="105"/>
      <c r="AE163" s="105"/>
      <c r="AF163" s="158"/>
      <c r="AG163" s="105"/>
      <c r="AH163" s="158"/>
      <c r="AI163" s="88"/>
      <c r="AJ163" s="88"/>
      <c r="AK163" s="131"/>
      <c r="AL163" s="131"/>
      <c r="AM163" s="131"/>
      <c r="AN163" s="131"/>
      <c r="AO163" s="131"/>
      <c r="AP163" s="88"/>
    </row>
    <row r="164">
      <c r="A164" s="261"/>
      <c r="B164" s="172"/>
      <c r="C164" s="172"/>
      <c r="D164" s="173"/>
      <c r="E164" s="155"/>
      <c r="F164" s="155"/>
      <c r="G164" s="88"/>
      <c r="H164" s="155"/>
      <c r="I164" s="155"/>
      <c r="J164" s="155"/>
      <c r="K164" s="15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58"/>
      <c r="AA164" s="105"/>
      <c r="AB164" s="105"/>
      <c r="AC164" s="105"/>
      <c r="AD164" s="105"/>
      <c r="AE164" s="105"/>
      <c r="AF164" s="158"/>
      <c r="AG164" s="105"/>
      <c r="AH164" s="158"/>
      <c r="AI164" s="88"/>
      <c r="AJ164" s="88"/>
      <c r="AK164" s="131"/>
      <c r="AL164" s="131"/>
      <c r="AM164" s="131"/>
      <c r="AN164" s="131"/>
      <c r="AO164" s="131"/>
      <c r="AP164" s="88"/>
    </row>
    <row r="165">
      <c r="A165" s="261"/>
      <c r="B165" s="172"/>
      <c r="C165" s="172"/>
      <c r="D165" s="173"/>
      <c r="E165" s="155"/>
      <c r="F165" s="155"/>
      <c r="G165" s="88"/>
      <c r="H165" s="155"/>
      <c r="I165" s="155"/>
      <c r="J165" s="155"/>
      <c r="K165" s="15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58"/>
      <c r="AA165" s="105"/>
      <c r="AB165" s="105"/>
      <c r="AC165" s="105"/>
      <c r="AD165" s="105"/>
      <c r="AE165" s="105"/>
      <c r="AF165" s="158"/>
      <c r="AG165" s="105"/>
      <c r="AH165" s="158"/>
      <c r="AI165" s="88"/>
      <c r="AJ165" s="88"/>
      <c r="AK165" s="131"/>
      <c r="AL165" s="131"/>
      <c r="AM165" s="131"/>
      <c r="AN165" s="131"/>
      <c r="AO165" s="131"/>
      <c r="AP165" s="88"/>
    </row>
    <row r="166">
      <c r="A166" s="261"/>
      <c r="B166" s="172"/>
      <c r="C166" s="172"/>
      <c r="D166" s="173"/>
      <c r="E166" s="155"/>
      <c r="F166" s="155"/>
      <c r="G166" s="88"/>
      <c r="H166" s="155"/>
      <c r="I166" s="155"/>
      <c r="J166" s="155"/>
      <c r="K166" s="15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58"/>
      <c r="AA166" s="105"/>
      <c r="AB166" s="105"/>
      <c r="AC166" s="105"/>
      <c r="AD166" s="105"/>
      <c r="AE166" s="105"/>
      <c r="AF166" s="158"/>
      <c r="AG166" s="105"/>
      <c r="AH166" s="158"/>
      <c r="AI166" s="88"/>
      <c r="AJ166" s="88"/>
      <c r="AK166" s="131"/>
      <c r="AL166" s="131"/>
      <c r="AM166" s="131"/>
      <c r="AN166" s="131"/>
      <c r="AO166" s="131"/>
      <c r="AP166" s="88"/>
    </row>
    <row r="167">
      <c r="A167" s="261"/>
      <c r="B167" s="172"/>
      <c r="C167" s="172"/>
      <c r="D167" s="173"/>
      <c r="E167" s="155"/>
      <c r="F167" s="155"/>
      <c r="G167" s="88"/>
      <c r="H167" s="155"/>
      <c r="I167" s="155"/>
      <c r="J167" s="155"/>
      <c r="K167" s="15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58"/>
      <c r="AA167" s="105"/>
      <c r="AB167" s="105"/>
      <c r="AC167" s="105"/>
      <c r="AD167" s="105"/>
      <c r="AE167" s="105"/>
      <c r="AF167" s="158"/>
      <c r="AG167" s="105"/>
      <c r="AH167" s="158"/>
      <c r="AI167" s="88"/>
      <c r="AJ167" s="88"/>
      <c r="AK167" s="131"/>
      <c r="AL167" s="131"/>
      <c r="AM167" s="131"/>
      <c r="AN167" s="131"/>
      <c r="AO167" s="131"/>
      <c r="AP167" s="88"/>
    </row>
    <row r="168">
      <c r="A168" s="261"/>
      <c r="B168" s="172"/>
      <c r="C168" s="172"/>
      <c r="D168" s="173"/>
      <c r="E168" s="155"/>
      <c r="F168" s="155"/>
      <c r="G168" s="88"/>
      <c r="H168" s="155"/>
      <c r="I168" s="155"/>
      <c r="J168" s="155"/>
      <c r="K168" s="15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58"/>
      <c r="AA168" s="105"/>
      <c r="AB168" s="105"/>
      <c r="AC168" s="105"/>
      <c r="AD168" s="105"/>
      <c r="AE168" s="105"/>
      <c r="AF168" s="158"/>
      <c r="AG168" s="105"/>
      <c r="AH168" s="158"/>
      <c r="AI168" s="88"/>
      <c r="AJ168" s="88"/>
      <c r="AK168" s="131"/>
      <c r="AL168" s="131"/>
      <c r="AM168" s="131"/>
      <c r="AN168" s="131"/>
      <c r="AO168" s="131"/>
      <c r="AP168" s="88"/>
    </row>
    <row r="169">
      <c r="A169" s="261"/>
      <c r="B169" s="172"/>
      <c r="C169" s="172"/>
      <c r="D169" s="173"/>
      <c r="E169" s="155"/>
      <c r="F169" s="155"/>
      <c r="G169" s="88"/>
      <c r="H169" s="155"/>
      <c r="I169" s="155"/>
      <c r="J169" s="155"/>
      <c r="K169" s="15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58"/>
      <c r="AA169" s="105"/>
      <c r="AB169" s="105"/>
      <c r="AC169" s="105"/>
      <c r="AD169" s="105"/>
      <c r="AE169" s="105"/>
      <c r="AF169" s="158"/>
      <c r="AG169" s="105"/>
      <c r="AH169" s="158"/>
      <c r="AI169" s="88"/>
      <c r="AJ169" s="88"/>
      <c r="AK169" s="131"/>
      <c r="AL169" s="131"/>
      <c r="AM169" s="131"/>
      <c r="AN169" s="131"/>
      <c r="AO169" s="131"/>
      <c r="AP169" s="88"/>
    </row>
    <row r="170">
      <c r="A170" s="261"/>
      <c r="B170" s="172"/>
      <c r="C170" s="172"/>
      <c r="D170" s="173"/>
      <c r="E170" s="155"/>
      <c r="F170" s="155"/>
      <c r="G170" s="88"/>
      <c r="H170" s="155"/>
      <c r="I170" s="155"/>
      <c r="J170" s="155"/>
      <c r="K170" s="15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58"/>
      <c r="AA170" s="105"/>
      <c r="AB170" s="105"/>
      <c r="AC170" s="105"/>
      <c r="AD170" s="105"/>
      <c r="AE170" s="105"/>
      <c r="AF170" s="158"/>
      <c r="AG170" s="105"/>
      <c r="AH170" s="158"/>
      <c r="AI170" s="88"/>
      <c r="AJ170" s="88"/>
      <c r="AK170" s="131"/>
      <c r="AL170" s="131"/>
      <c r="AM170" s="131"/>
      <c r="AN170" s="131"/>
      <c r="AO170" s="131"/>
      <c r="AP170" s="88"/>
    </row>
    <row r="171">
      <c r="A171" s="261"/>
      <c r="B171" s="172"/>
      <c r="C171" s="172"/>
      <c r="D171" s="173"/>
      <c r="E171" s="155"/>
      <c r="F171" s="155"/>
      <c r="G171" s="88"/>
      <c r="H171" s="155"/>
      <c r="I171" s="155"/>
      <c r="J171" s="155"/>
      <c r="K171" s="15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58"/>
      <c r="AA171" s="105"/>
      <c r="AB171" s="105"/>
      <c r="AC171" s="105"/>
      <c r="AD171" s="105"/>
      <c r="AE171" s="105"/>
      <c r="AF171" s="158"/>
      <c r="AG171" s="105"/>
      <c r="AH171" s="158"/>
      <c r="AI171" s="88"/>
      <c r="AJ171" s="88"/>
      <c r="AK171" s="131"/>
      <c r="AL171" s="131"/>
      <c r="AM171" s="131"/>
      <c r="AN171" s="131"/>
      <c r="AO171" s="131"/>
      <c r="AP171" s="88"/>
    </row>
    <row r="172">
      <c r="A172" s="261"/>
      <c r="B172" s="172"/>
      <c r="C172" s="172"/>
      <c r="D172" s="173"/>
      <c r="E172" s="155"/>
      <c r="F172" s="155"/>
      <c r="G172" s="88"/>
      <c r="H172" s="155"/>
      <c r="I172" s="155"/>
      <c r="J172" s="155"/>
      <c r="K172" s="15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58"/>
      <c r="AA172" s="105"/>
      <c r="AB172" s="105"/>
      <c r="AC172" s="105"/>
      <c r="AD172" s="105"/>
      <c r="AE172" s="105"/>
      <c r="AF172" s="158"/>
      <c r="AG172" s="105"/>
      <c r="AH172" s="158"/>
      <c r="AI172" s="88"/>
      <c r="AJ172" s="88"/>
      <c r="AK172" s="131"/>
      <c r="AL172" s="131"/>
      <c r="AM172" s="131"/>
      <c r="AN172" s="131"/>
      <c r="AO172" s="131"/>
      <c r="AP172" s="88"/>
    </row>
    <row r="173">
      <c r="A173" s="261"/>
      <c r="B173" s="172"/>
      <c r="C173" s="172"/>
      <c r="D173" s="173"/>
      <c r="E173" s="155"/>
      <c r="F173" s="155"/>
      <c r="G173" s="88"/>
      <c r="H173" s="155"/>
      <c r="I173" s="155"/>
      <c r="J173" s="155"/>
      <c r="K173" s="15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58"/>
      <c r="AA173" s="105"/>
      <c r="AB173" s="105"/>
      <c r="AC173" s="105"/>
      <c r="AD173" s="105"/>
      <c r="AE173" s="105"/>
      <c r="AF173" s="158"/>
      <c r="AG173" s="105"/>
      <c r="AH173" s="158"/>
      <c r="AI173" s="88"/>
      <c r="AJ173" s="88"/>
      <c r="AK173" s="131"/>
      <c r="AL173" s="131"/>
      <c r="AM173" s="131"/>
      <c r="AN173" s="131"/>
      <c r="AO173" s="131"/>
      <c r="AP173" s="88"/>
    </row>
    <row r="174">
      <c r="A174" s="261"/>
      <c r="B174" s="172"/>
      <c r="C174" s="172"/>
      <c r="D174" s="173"/>
      <c r="E174" s="155"/>
      <c r="F174" s="155"/>
      <c r="G174" s="88"/>
      <c r="H174" s="155"/>
      <c r="I174" s="155"/>
      <c r="J174" s="155"/>
      <c r="K174" s="15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58"/>
      <c r="AA174" s="105"/>
      <c r="AB174" s="105"/>
      <c r="AC174" s="105"/>
      <c r="AD174" s="105"/>
      <c r="AE174" s="105"/>
      <c r="AF174" s="158"/>
      <c r="AG174" s="105"/>
      <c r="AH174" s="158"/>
      <c r="AI174" s="88"/>
      <c r="AJ174" s="88"/>
      <c r="AK174" s="131"/>
      <c r="AL174" s="131"/>
      <c r="AM174" s="131"/>
      <c r="AN174" s="131"/>
      <c r="AO174" s="131"/>
      <c r="AP174" s="88"/>
    </row>
    <row r="175">
      <c r="A175" s="261"/>
      <c r="B175" s="172"/>
      <c r="C175" s="172"/>
      <c r="D175" s="173"/>
      <c r="E175" s="155"/>
      <c r="F175" s="155"/>
      <c r="G175" s="88"/>
      <c r="H175" s="155"/>
      <c r="I175" s="155"/>
      <c r="J175" s="155"/>
      <c r="K175" s="15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58"/>
      <c r="AA175" s="105"/>
      <c r="AB175" s="105"/>
      <c r="AC175" s="105"/>
      <c r="AD175" s="105"/>
      <c r="AE175" s="105"/>
      <c r="AF175" s="158"/>
      <c r="AG175" s="105"/>
      <c r="AH175" s="158"/>
      <c r="AI175" s="88"/>
      <c r="AJ175" s="88"/>
      <c r="AK175" s="131"/>
      <c r="AL175" s="131"/>
      <c r="AM175" s="131"/>
      <c r="AN175" s="131"/>
      <c r="AO175" s="131"/>
      <c r="AP175" s="88"/>
    </row>
    <row r="176">
      <c r="A176" s="261"/>
      <c r="B176" s="172"/>
      <c r="C176" s="172"/>
      <c r="D176" s="173"/>
      <c r="E176" s="155"/>
      <c r="F176" s="155"/>
      <c r="G176" s="88"/>
      <c r="H176" s="155"/>
      <c r="I176" s="155"/>
      <c r="J176" s="155"/>
      <c r="K176" s="15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58"/>
      <c r="AA176" s="105"/>
      <c r="AB176" s="105"/>
      <c r="AC176" s="105"/>
      <c r="AD176" s="105"/>
      <c r="AE176" s="105"/>
      <c r="AF176" s="158"/>
      <c r="AG176" s="105"/>
      <c r="AH176" s="158"/>
      <c r="AI176" s="88"/>
      <c r="AJ176" s="88"/>
      <c r="AK176" s="131"/>
      <c r="AL176" s="131"/>
      <c r="AM176" s="131"/>
      <c r="AN176" s="131"/>
      <c r="AO176" s="131"/>
      <c r="AP176" s="88"/>
    </row>
    <row r="177">
      <c r="A177" s="261"/>
      <c r="B177" s="172"/>
      <c r="C177" s="172"/>
      <c r="D177" s="173"/>
      <c r="E177" s="155"/>
      <c r="F177" s="155"/>
      <c r="G177" s="88"/>
      <c r="H177" s="155"/>
      <c r="I177" s="155"/>
      <c r="J177" s="155"/>
      <c r="K177" s="15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58"/>
      <c r="AA177" s="105"/>
      <c r="AB177" s="105"/>
      <c r="AC177" s="105"/>
      <c r="AD177" s="105"/>
      <c r="AE177" s="105"/>
      <c r="AF177" s="158"/>
      <c r="AG177" s="105"/>
      <c r="AH177" s="158"/>
      <c r="AI177" s="88"/>
      <c r="AJ177" s="88"/>
      <c r="AK177" s="131"/>
      <c r="AL177" s="131"/>
      <c r="AM177" s="131"/>
      <c r="AN177" s="131"/>
      <c r="AO177" s="131"/>
      <c r="AP177" s="88"/>
    </row>
    <row r="178">
      <c r="A178" s="261"/>
      <c r="B178" s="172"/>
      <c r="C178" s="172"/>
      <c r="D178" s="173"/>
      <c r="E178" s="155"/>
      <c r="F178" s="155"/>
      <c r="G178" s="88"/>
      <c r="H178" s="155"/>
      <c r="I178" s="155"/>
      <c r="J178" s="155"/>
      <c r="K178" s="15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58"/>
      <c r="AA178" s="105"/>
      <c r="AB178" s="105"/>
      <c r="AC178" s="105"/>
      <c r="AD178" s="105"/>
      <c r="AE178" s="105"/>
      <c r="AF178" s="158"/>
      <c r="AG178" s="105"/>
      <c r="AH178" s="158"/>
      <c r="AI178" s="88"/>
      <c r="AJ178" s="88"/>
      <c r="AK178" s="131"/>
      <c r="AL178" s="131"/>
      <c r="AM178" s="131"/>
      <c r="AN178" s="131"/>
      <c r="AO178" s="131"/>
      <c r="AP178" s="88"/>
    </row>
    <row r="179">
      <c r="A179" s="155"/>
      <c r="B179" s="173"/>
      <c r="C179" s="174"/>
      <c r="D179" s="173"/>
      <c r="E179" s="155"/>
      <c r="F179" s="155"/>
      <c r="G179" s="88"/>
      <c r="H179" s="155"/>
      <c r="I179" s="155"/>
      <c r="J179" s="155"/>
      <c r="K179" s="15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58"/>
      <c r="AA179" s="105"/>
      <c r="AB179" s="105"/>
      <c r="AC179" s="105"/>
      <c r="AD179" s="105"/>
      <c r="AE179" s="105"/>
      <c r="AF179" s="158"/>
      <c r="AG179" s="105"/>
      <c r="AH179" s="158"/>
      <c r="AI179" s="88"/>
      <c r="AJ179" s="88"/>
      <c r="AK179" s="131"/>
      <c r="AL179" s="131"/>
      <c r="AM179" s="131"/>
      <c r="AN179" s="131"/>
      <c r="AO179" s="131"/>
      <c r="AP179" s="88"/>
    </row>
    <row r="180">
      <c r="A180" s="155"/>
      <c r="B180" s="173"/>
      <c r="C180" s="174"/>
      <c r="D180" s="173"/>
      <c r="E180" s="155"/>
      <c r="F180" s="155"/>
      <c r="G180" s="88"/>
      <c r="H180" s="155"/>
      <c r="I180" s="155"/>
      <c r="J180" s="155"/>
      <c r="K180" s="15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58"/>
      <c r="AA180" s="105"/>
      <c r="AB180" s="105"/>
      <c r="AC180" s="105"/>
      <c r="AD180" s="105"/>
      <c r="AE180" s="105"/>
      <c r="AF180" s="158"/>
      <c r="AG180" s="105"/>
      <c r="AH180" s="158"/>
      <c r="AI180" s="88"/>
      <c r="AJ180" s="88"/>
      <c r="AK180" s="131"/>
      <c r="AL180" s="131"/>
      <c r="AM180" s="131"/>
      <c r="AN180" s="131"/>
      <c r="AO180" s="131"/>
      <c r="AP180" s="88"/>
    </row>
    <row r="181">
      <c r="A181" s="155"/>
      <c r="B181" s="173"/>
      <c r="C181" s="174"/>
      <c r="D181" s="173"/>
      <c r="E181" s="155"/>
      <c r="F181" s="155"/>
      <c r="G181" s="88"/>
      <c r="H181" s="155"/>
      <c r="I181" s="155"/>
      <c r="J181" s="155"/>
      <c r="K181" s="15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58"/>
      <c r="AA181" s="105"/>
      <c r="AB181" s="105"/>
      <c r="AC181" s="105"/>
      <c r="AD181" s="105"/>
      <c r="AE181" s="105"/>
      <c r="AF181" s="158"/>
      <c r="AG181" s="105"/>
      <c r="AH181" s="158"/>
      <c r="AI181" s="88"/>
      <c r="AJ181" s="88"/>
      <c r="AK181" s="131"/>
      <c r="AL181" s="131"/>
      <c r="AM181" s="131"/>
      <c r="AN181" s="131"/>
      <c r="AO181" s="131"/>
      <c r="AP181" s="88"/>
    </row>
    <row r="182">
      <c r="A182" s="155"/>
      <c r="B182" s="173"/>
      <c r="C182" s="174"/>
      <c r="D182" s="173"/>
      <c r="E182" s="155"/>
      <c r="F182" s="155"/>
      <c r="G182" s="88"/>
      <c r="H182" s="155"/>
      <c r="I182" s="155"/>
      <c r="J182" s="155"/>
      <c r="K182" s="15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58"/>
      <c r="AA182" s="105"/>
      <c r="AB182" s="105"/>
      <c r="AC182" s="105"/>
      <c r="AD182" s="105"/>
      <c r="AE182" s="105"/>
      <c r="AF182" s="158"/>
      <c r="AG182" s="105"/>
      <c r="AH182" s="158"/>
      <c r="AI182" s="88"/>
      <c r="AJ182" s="88"/>
      <c r="AK182" s="131"/>
      <c r="AL182" s="131"/>
      <c r="AM182" s="131"/>
      <c r="AN182" s="131"/>
      <c r="AO182" s="131"/>
      <c r="AP182" s="88"/>
    </row>
    <row r="183">
      <c r="A183" s="155"/>
      <c r="B183" s="173"/>
      <c r="C183" s="174"/>
      <c r="D183" s="173"/>
      <c r="E183" s="155"/>
      <c r="F183" s="155"/>
      <c r="G183" s="88"/>
      <c r="H183" s="155"/>
      <c r="I183" s="155"/>
      <c r="J183" s="155"/>
      <c r="K183" s="15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58"/>
      <c r="AA183" s="105"/>
      <c r="AB183" s="105"/>
      <c r="AC183" s="105"/>
      <c r="AD183" s="105"/>
      <c r="AE183" s="105"/>
      <c r="AF183" s="158"/>
      <c r="AG183" s="105"/>
      <c r="AH183" s="158"/>
      <c r="AI183" s="88"/>
      <c r="AJ183" s="88"/>
      <c r="AK183" s="131"/>
      <c r="AL183" s="131"/>
      <c r="AM183" s="131"/>
      <c r="AN183" s="131"/>
      <c r="AO183" s="131"/>
      <c r="AP183" s="88"/>
    </row>
    <row r="184">
      <c r="A184" s="155"/>
      <c r="B184" s="173"/>
      <c r="C184" s="174"/>
      <c r="D184" s="173"/>
      <c r="E184" s="155"/>
      <c r="F184" s="155"/>
      <c r="G184" s="88"/>
      <c r="H184" s="155"/>
      <c r="I184" s="155"/>
      <c r="J184" s="155"/>
      <c r="K184" s="15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58"/>
      <c r="AA184" s="105"/>
      <c r="AB184" s="105"/>
      <c r="AC184" s="105"/>
      <c r="AD184" s="105"/>
      <c r="AE184" s="105"/>
      <c r="AF184" s="158"/>
      <c r="AG184" s="105"/>
      <c r="AH184" s="158"/>
      <c r="AI184" s="88"/>
      <c r="AJ184" s="88"/>
      <c r="AK184" s="131"/>
      <c r="AL184" s="131"/>
      <c r="AM184" s="131"/>
      <c r="AN184" s="131"/>
      <c r="AO184" s="131"/>
      <c r="AP184" s="88"/>
    </row>
    <row r="185">
      <c r="A185" s="155"/>
      <c r="B185" s="173"/>
      <c r="C185" s="174"/>
      <c r="D185" s="173"/>
      <c r="E185" s="155"/>
      <c r="F185" s="155"/>
      <c r="G185" s="88"/>
      <c r="H185" s="155"/>
      <c r="I185" s="155"/>
      <c r="J185" s="155"/>
      <c r="K185" s="15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58"/>
      <c r="AA185" s="105"/>
      <c r="AB185" s="105"/>
      <c r="AC185" s="105"/>
      <c r="AD185" s="105"/>
      <c r="AE185" s="105"/>
      <c r="AF185" s="158"/>
      <c r="AG185" s="105"/>
      <c r="AH185" s="158"/>
      <c r="AI185" s="88"/>
      <c r="AJ185" s="88"/>
      <c r="AK185" s="131"/>
      <c r="AL185" s="131"/>
      <c r="AM185" s="131"/>
      <c r="AN185" s="131"/>
      <c r="AO185" s="131"/>
      <c r="AP185" s="88"/>
    </row>
    <row r="186">
      <c r="A186" s="155"/>
      <c r="B186" s="173"/>
      <c r="C186" s="174"/>
      <c r="D186" s="173"/>
      <c r="E186" s="155"/>
      <c r="F186" s="155"/>
      <c r="G186" s="88"/>
      <c r="H186" s="155"/>
      <c r="I186" s="155"/>
      <c r="J186" s="155"/>
      <c r="K186" s="15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58"/>
      <c r="AA186" s="105"/>
      <c r="AB186" s="105"/>
      <c r="AC186" s="105"/>
      <c r="AD186" s="105"/>
      <c r="AE186" s="105"/>
      <c r="AF186" s="158"/>
      <c r="AG186" s="105"/>
      <c r="AH186" s="158"/>
      <c r="AI186" s="88"/>
      <c r="AJ186" s="88"/>
      <c r="AK186" s="131"/>
      <c r="AL186" s="131"/>
      <c r="AM186" s="131"/>
      <c r="AN186" s="131"/>
      <c r="AO186" s="131"/>
      <c r="AP186" s="88"/>
    </row>
    <row r="187">
      <c r="A187" s="155"/>
      <c r="B187" s="173"/>
      <c r="C187" s="174"/>
      <c r="D187" s="173"/>
      <c r="E187" s="155"/>
      <c r="F187" s="155"/>
      <c r="G187" s="88"/>
      <c r="H187" s="155"/>
      <c r="I187" s="155"/>
      <c r="J187" s="155"/>
      <c r="K187" s="15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58"/>
      <c r="AA187" s="105"/>
      <c r="AB187" s="105"/>
      <c r="AC187" s="105"/>
      <c r="AD187" s="105"/>
      <c r="AE187" s="105"/>
      <c r="AF187" s="158"/>
      <c r="AG187" s="105"/>
      <c r="AH187" s="158"/>
      <c r="AI187" s="88"/>
      <c r="AJ187" s="88"/>
      <c r="AK187" s="131"/>
      <c r="AL187" s="131"/>
      <c r="AM187" s="131"/>
      <c r="AN187" s="131"/>
      <c r="AO187" s="131"/>
      <c r="AP187" s="88"/>
    </row>
    <row r="188">
      <c r="A188" s="155"/>
      <c r="B188" s="173"/>
      <c r="C188" s="174"/>
      <c r="D188" s="173"/>
      <c r="E188" s="155"/>
      <c r="F188" s="155"/>
      <c r="G188" s="88"/>
      <c r="H188" s="155"/>
      <c r="I188" s="155"/>
      <c r="J188" s="155"/>
      <c r="K188" s="15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58"/>
      <c r="AA188" s="105"/>
      <c r="AB188" s="105"/>
      <c r="AC188" s="105"/>
      <c r="AD188" s="105"/>
      <c r="AE188" s="105"/>
      <c r="AF188" s="158"/>
      <c r="AG188" s="105"/>
      <c r="AH188" s="158"/>
      <c r="AI188" s="88"/>
      <c r="AJ188" s="88"/>
      <c r="AK188" s="131"/>
      <c r="AL188" s="131"/>
      <c r="AM188" s="131"/>
      <c r="AN188" s="131"/>
      <c r="AO188" s="131"/>
      <c r="AP188" s="88"/>
    </row>
    <row r="189">
      <c r="A189" s="155"/>
      <c r="B189" s="173"/>
      <c r="C189" s="174"/>
      <c r="D189" s="173"/>
      <c r="E189" s="155"/>
      <c r="F189" s="155"/>
      <c r="G189" s="88"/>
      <c r="H189" s="155"/>
      <c r="I189" s="155"/>
      <c r="J189" s="155"/>
      <c r="K189" s="15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58"/>
      <c r="AA189" s="105"/>
      <c r="AB189" s="105"/>
      <c r="AC189" s="105"/>
      <c r="AD189" s="105"/>
      <c r="AE189" s="105"/>
      <c r="AF189" s="158"/>
      <c r="AG189" s="105"/>
      <c r="AH189" s="158"/>
      <c r="AI189" s="88"/>
      <c r="AJ189" s="88"/>
      <c r="AK189" s="131"/>
      <c r="AL189" s="131"/>
      <c r="AM189" s="131"/>
      <c r="AN189" s="131"/>
      <c r="AO189" s="131"/>
      <c r="AP189" s="88"/>
    </row>
    <row r="190">
      <c r="A190" s="155"/>
      <c r="B190" s="173"/>
      <c r="C190" s="174"/>
      <c r="D190" s="173"/>
      <c r="E190" s="155"/>
      <c r="F190" s="155"/>
      <c r="G190" s="88"/>
      <c r="H190" s="155"/>
      <c r="I190" s="155"/>
      <c r="J190" s="155"/>
      <c r="K190" s="15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58"/>
      <c r="AA190" s="105"/>
      <c r="AB190" s="105"/>
      <c r="AC190" s="105"/>
      <c r="AD190" s="105"/>
      <c r="AE190" s="105"/>
      <c r="AF190" s="158"/>
      <c r="AG190" s="105"/>
      <c r="AH190" s="158"/>
      <c r="AI190" s="88"/>
      <c r="AJ190" s="88"/>
      <c r="AK190" s="131"/>
      <c r="AL190" s="131"/>
      <c r="AM190" s="131"/>
      <c r="AN190" s="131"/>
      <c r="AO190" s="131"/>
      <c r="AP190" s="88"/>
    </row>
    <row r="191">
      <c r="A191" s="155"/>
      <c r="B191" s="173"/>
      <c r="C191" s="174"/>
      <c r="D191" s="173"/>
      <c r="E191" s="155"/>
      <c r="F191" s="155"/>
      <c r="G191" s="88"/>
      <c r="H191" s="155"/>
      <c r="I191" s="155"/>
      <c r="J191" s="155"/>
      <c r="K191" s="15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58"/>
      <c r="AA191" s="105"/>
      <c r="AB191" s="105"/>
      <c r="AC191" s="105"/>
      <c r="AD191" s="105"/>
      <c r="AE191" s="105"/>
      <c r="AF191" s="158"/>
      <c r="AG191" s="105"/>
      <c r="AH191" s="158"/>
      <c r="AI191" s="88"/>
      <c r="AJ191" s="88"/>
      <c r="AK191" s="131"/>
      <c r="AL191" s="131"/>
      <c r="AM191" s="131"/>
      <c r="AN191" s="131"/>
      <c r="AO191" s="131"/>
      <c r="AP191" s="88"/>
    </row>
    <row r="192">
      <c r="A192" s="155"/>
      <c r="B192" s="173"/>
      <c r="C192" s="174"/>
      <c r="D192" s="173"/>
      <c r="E192" s="155"/>
      <c r="F192" s="155"/>
      <c r="G192" s="88"/>
      <c r="H192" s="155"/>
      <c r="I192" s="155"/>
      <c r="J192" s="155"/>
      <c r="K192" s="15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58"/>
      <c r="AA192" s="105"/>
      <c r="AB192" s="105"/>
      <c r="AC192" s="105"/>
      <c r="AD192" s="105"/>
      <c r="AE192" s="105"/>
      <c r="AF192" s="158"/>
      <c r="AG192" s="105"/>
      <c r="AH192" s="158"/>
      <c r="AI192" s="88"/>
      <c r="AJ192" s="88"/>
      <c r="AK192" s="131"/>
      <c r="AL192" s="131"/>
      <c r="AM192" s="131"/>
      <c r="AN192" s="131"/>
      <c r="AO192" s="131"/>
      <c r="AP192" s="88"/>
    </row>
    <row r="193">
      <c r="A193" s="155"/>
      <c r="B193" s="173"/>
      <c r="C193" s="174"/>
      <c r="D193" s="173"/>
      <c r="E193" s="155"/>
      <c r="F193" s="155"/>
      <c r="G193" s="88"/>
      <c r="H193" s="155"/>
      <c r="I193" s="155"/>
      <c r="J193" s="155"/>
      <c r="K193" s="15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58"/>
      <c r="AA193" s="105"/>
      <c r="AB193" s="105"/>
      <c r="AC193" s="105"/>
      <c r="AD193" s="105"/>
      <c r="AE193" s="105"/>
      <c r="AF193" s="158"/>
      <c r="AG193" s="105"/>
      <c r="AH193" s="158"/>
      <c r="AI193" s="88"/>
      <c r="AJ193" s="88"/>
      <c r="AK193" s="131"/>
      <c r="AL193" s="131"/>
      <c r="AM193" s="131"/>
      <c r="AN193" s="131"/>
      <c r="AO193" s="131"/>
      <c r="AP193" s="88"/>
    </row>
    <row r="194">
      <c r="A194" s="155"/>
      <c r="B194" s="173"/>
      <c r="C194" s="174"/>
      <c r="D194" s="173"/>
      <c r="E194" s="155"/>
      <c r="F194" s="155"/>
      <c r="G194" s="88"/>
      <c r="H194" s="155"/>
      <c r="I194" s="155"/>
      <c r="J194" s="155"/>
      <c r="K194" s="15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58"/>
      <c r="AA194" s="105"/>
      <c r="AB194" s="105"/>
      <c r="AC194" s="105"/>
      <c r="AD194" s="105"/>
      <c r="AE194" s="105"/>
      <c r="AF194" s="158"/>
      <c r="AG194" s="105"/>
      <c r="AH194" s="158"/>
      <c r="AI194" s="88"/>
      <c r="AJ194" s="88"/>
      <c r="AK194" s="131"/>
      <c r="AL194" s="131"/>
      <c r="AM194" s="131"/>
      <c r="AN194" s="131"/>
      <c r="AO194" s="131"/>
      <c r="AP194" s="88"/>
    </row>
    <row r="195">
      <c r="A195" s="155"/>
      <c r="B195" s="173"/>
      <c r="C195" s="174"/>
      <c r="D195" s="173"/>
      <c r="E195" s="155"/>
      <c r="F195" s="155"/>
      <c r="G195" s="88"/>
      <c r="H195" s="155"/>
      <c r="I195" s="155"/>
      <c r="J195" s="155"/>
      <c r="K195" s="15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58"/>
      <c r="AA195" s="105"/>
      <c r="AB195" s="105"/>
      <c r="AC195" s="105"/>
      <c r="AD195" s="105"/>
      <c r="AE195" s="105"/>
      <c r="AF195" s="158"/>
      <c r="AG195" s="105"/>
      <c r="AH195" s="158"/>
      <c r="AI195" s="88"/>
      <c r="AJ195" s="88"/>
      <c r="AK195" s="131"/>
      <c r="AL195" s="131"/>
      <c r="AM195" s="131"/>
      <c r="AN195" s="131"/>
      <c r="AO195" s="131"/>
      <c r="AP195" s="88"/>
    </row>
    <row r="196">
      <c r="A196" s="155"/>
      <c r="B196" s="173"/>
      <c r="C196" s="174"/>
      <c r="D196" s="173"/>
      <c r="E196" s="155"/>
      <c r="F196" s="155"/>
      <c r="G196" s="88"/>
      <c r="H196" s="155"/>
      <c r="I196" s="155"/>
      <c r="J196" s="155"/>
      <c r="K196" s="15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58"/>
      <c r="AA196" s="105"/>
      <c r="AB196" s="105"/>
      <c r="AC196" s="105"/>
      <c r="AD196" s="105"/>
      <c r="AE196" s="105"/>
      <c r="AF196" s="158"/>
      <c r="AG196" s="105"/>
      <c r="AH196" s="158"/>
      <c r="AI196" s="88"/>
      <c r="AJ196" s="88"/>
      <c r="AK196" s="131"/>
      <c r="AL196" s="131"/>
      <c r="AM196" s="131"/>
      <c r="AN196" s="131"/>
      <c r="AO196" s="131"/>
      <c r="AP196" s="88"/>
    </row>
    <row r="197">
      <c r="A197" s="155"/>
      <c r="B197" s="173"/>
      <c r="C197" s="174"/>
      <c r="D197" s="173"/>
      <c r="E197" s="155"/>
      <c r="F197" s="155"/>
      <c r="G197" s="88"/>
      <c r="H197" s="155"/>
      <c r="I197" s="155"/>
      <c r="J197" s="155"/>
      <c r="K197" s="15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58"/>
      <c r="AA197" s="105"/>
      <c r="AB197" s="105"/>
      <c r="AC197" s="105"/>
      <c r="AD197" s="105"/>
      <c r="AE197" s="105"/>
      <c r="AF197" s="158"/>
      <c r="AG197" s="105"/>
      <c r="AH197" s="158"/>
      <c r="AI197" s="88"/>
      <c r="AJ197" s="88"/>
      <c r="AK197" s="131"/>
      <c r="AL197" s="131"/>
      <c r="AM197" s="131"/>
      <c r="AN197" s="131"/>
      <c r="AO197" s="131"/>
      <c r="AP197" s="88"/>
    </row>
    <row r="198">
      <c r="A198" s="155"/>
      <c r="B198" s="173"/>
      <c r="C198" s="174"/>
      <c r="D198" s="173"/>
      <c r="E198" s="155"/>
      <c r="F198" s="155"/>
      <c r="G198" s="88"/>
      <c r="H198" s="155"/>
      <c r="I198" s="155"/>
      <c r="J198" s="155"/>
      <c r="K198" s="15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58"/>
      <c r="AA198" s="105"/>
      <c r="AB198" s="105"/>
      <c r="AC198" s="105"/>
      <c r="AD198" s="105"/>
      <c r="AE198" s="105"/>
      <c r="AF198" s="158"/>
      <c r="AG198" s="105"/>
      <c r="AH198" s="158"/>
      <c r="AI198" s="88"/>
      <c r="AJ198" s="88"/>
      <c r="AK198" s="131"/>
      <c r="AL198" s="131"/>
      <c r="AM198" s="131"/>
      <c r="AN198" s="131"/>
      <c r="AO198" s="131"/>
      <c r="AP198" s="88"/>
    </row>
    <row r="199">
      <c r="A199" s="155"/>
      <c r="B199" s="173"/>
      <c r="C199" s="174"/>
      <c r="D199" s="173"/>
      <c r="E199" s="155"/>
      <c r="F199" s="155"/>
      <c r="G199" s="88"/>
      <c r="H199" s="155"/>
      <c r="I199" s="155"/>
      <c r="J199" s="155"/>
      <c r="K199" s="15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58"/>
      <c r="AA199" s="105"/>
      <c r="AB199" s="105"/>
      <c r="AC199" s="105"/>
      <c r="AD199" s="105"/>
      <c r="AE199" s="105"/>
      <c r="AF199" s="158"/>
      <c r="AG199" s="105"/>
      <c r="AH199" s="158"/>
      <c r="AI199" s="88"/>
      <c r="AJ199" s="88"/>
      <c r="AK199" s="131"/>
      <c r="AL199" s="131"/>
      <c r="AM199" s="131"/>
      <c r="AN199" s="131"/>
      <c r="AO199" s="131"/>
      <c r="AP199" s="88"/>
    </row>
    <row r="200">
      <c r="A200" s="155"/>
      <c r="B200" s="173"/>
      <c r="C200" s="174"/>
      <c r="D200" s="173"/>
      <c r="E200" s="155"/>
      <c r="F200" s="155"/>
      <c r="G200" s="88"/>
      <c r="H200" s="155"/>
      <c r="I200" s="155"/>
      <c r="J200" s="155"/>
      <c r="K200" s="15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58"/>
      <c r="AA200" s="105"/>
      <c r="AB200" s="105"/>
      <c r="AC200" s="105"/>
      <c r="AD200" s="105"/>
      <c r="AE200" s="105"/>
      <c r="AF200" s="158"/>
      <c r="AG200" s="105"/>
      <c r="AH200" s="158"/>
      <c r="AI200" s="88"/>
      <c r="AJ200" s="88"/>
      <c r="AK200" s="131"/>
      <c r="AL200" s="131"/>
      <c r="AM200" s="131"/>
      <c r="AN200" s="131"/>
      <c r="AO200" s="131"/>
      <c r="AP200" s="88"/>
    </row>
    <row r="201">
      <c r="A201" s="155"/>
      <c r="B201" s="173"/>
      <c r="C201" s="174"/>
      <c r="D201" s="173"/>
      <c r="E201" s="155"/>
      <c r="F201" s="155"/>
      <c r="G201" s="88"/>
      <c r="H201" s="155"/>
      <c r="I201" s="155"/>
      <c r="J201" s="155"/>
      <c r="K201" s="15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58"/>
      <c r="AA201" s="105"/>
      <c r="AB201" s="105"/>
      <c r="AC201" s="105"/>
      <c r="AD201" s="105"/>
      <c r="AE201" s="105"/>
      <c r="AF201" s="158"/>
      <c r="AG201" s="105"/>
      <c r="AH201" s="158"/>
      <c r="AI201" s="88"/>
      <c r="AJ201" s="88"/>
      <c r="AK201" s="131"/>
      <c r="AL201" s="131"/>
      <c r="AM201" s="131"/>
      <c r="AN201" s="131"/>
      <c r="AO201" s="131"/>
      <c r="AP201" s="88"/>
    </row>
    <row r="202">
      <c r="A202" s="155"/>
      <c r="B202" s="173"/>
      <c r="C202" s="174"/>
      <c r="D202" s="173"/>
      <c r="E202" s="155"/>
      <c r="F202" s="155"/>
      <c r="G202" s="88"/>
      <c r="H202" s="155"/>
      <c r="I202" s="155"/>
      <c r="J202" s="155"/>
      <c r="K202" s="15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58"/>
      <c r="AA202" s="105"/>
      <c r="AB202" s="105"/>
      <c r="AC202" s="105"/>
      <c r="AD202" s="105"/>
      <c r="AE202" s="105"/>
      <c r="AF202" s="158"/>
      <c r="AG202" s="105"/>
      <c r="AH202" s="158"/>
      <c r="AI202" s="88"/>
      <c r="AJ202" s="88"/>
      <c r="AK202" s="131"/>
      <c r="AL202" s="131"/>
      <c r="AM202" s="131"/>
      <c r="AN202" s="131"/>
      <c r="AO202" s="131"/>
      <c r="AP202" s="88"/>
    </row>
    <row r="203">
      <c r="A203" s="155"/>
      <c r="B203" s="173"/>
      <c r="C203" s="174"/>
      <c r="D203" s="173"/>
      <c r="E203" s="155"/>
      <c r="F203" s="155"/>
      <c r="G203" s="88"/>
      <c r="H203" s="155"/>
      <c r="I203" s="155"/>
      <c r="J203" s="155"/>
      <c r="K203" s="15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58"/>
      <c r="AA203" s="105"/>
      <c r="AB203" s="105"/>
      <c r="AC203" s="105"/>
      <c r="AD203" s="105"/>
      <c r="AE203" s="105"/>
      <c r="AF203" s="158"/>
      <c r="AG203" s="105"/>
      <c r="AH203" s="158"/>
      <c r="AI203" s="88"/>
      <c r="AJ203" s="88"/>
      <c r="AK203" s="131"/>
      <c r="AL203" s="131"/>
      <c r="AM203" s="131"/>
      <c r="AN203" s="131"/>
      <c r="AO203" s="131"/>
      <c r="AP203" s="88"/>
    </row>
    <row r="204">
      <c r="A204" s="155"/>
      <c r="B204" s="173"/>
      <c r="C204" s="174"/>
      <c r="D204" s="173"/>
      <c r="E204" s="155"/>
      <c r="F204" s="155"/>
      <c r="G204" s="88"/>
      <c r="H204" s="155"/>
      <c r="I204" s="155"/>
      <c r="J204" s="155"/>
      <c r="K204" s="15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58"/>
      <c r="AA204" s="105"/>
      <c r="AB204" s="105"/>
      <c r="AC204" s="105"/>
      <c r="AD204" s="105"/>
      <c r="AE204" s="105"/>
      <c r="AF204" s="158"/>
      <c r="AG204" s="105"/>
      <c r="AH204" s="158"/>
      <c r="AI204" s="88"/>
      <c r="AJ204" s="88"/>
      <c r="AK204" s="131"/>
      <c r="AL204" s="131"/>
      <c r="AM204" s="131"/>
      <c r="AN204" s="131"/>
      <c r="AO204" s="131"/>
      <c r="AP204" s="88"/>
    </row>
    <row r="205">
      <c r="A205" s="155"/>
      <c r="B205" s="173"/>
      <c r="C205" s="174"/>
      <c r="D205" s="173"/>
      <c r="E205" s="155"/>
      <c r="F205" s="155"/>
      <c r="G205" s="88"/>
      <c r="H205" s="155"/>
      <c r="I205" s="155"/>
      <c r="J205" s="155"/>
      <c r="K205" s="15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58"/>
      <c r="AA205" s="105"/>
      <c r="AB205" s="105"/>
      <c r="AC205" s="105"/>
      <c r="AD205" s="105"/>
      <c r="AE205" s="105"/>
      <c r="AF205" s="158"/>
      <c r="AG205" s="105"/>
      <c r="AH205" s="158"/>
      <c r="AI205" s="88"/>
      <c r="AJ205" s="88"/>
      <c r="AK205" s="131"/>
      <c r="AL205" s="131"/>
      <c r="AM205" s="131"/>
      <c r="AN205" s="131"/>
      <c r="AO205" s="131"/>
      <c r="AP205" s="88"/>
    </row>
    <row r="206">
      <c r="A206" s="155"/>
      <c r="B206" s="173"/>
      <c r="C206" s="174"/>
      <c r="D206" s="173"/>
      <c r="E206" s="155"/>
      <c r="F206" s="155"/>
      <c r="G206" s="88"/>
      <c r="H206" s="155"/>
      <c r="I206" s="155"/>
      <c r="J206" s="155"/>
      <c r="K206" s="15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58"/>
      <c r="AA206" s="105"/>
      <c r="AB206" s="105"/>
      <c r="AC206" s="105"/>
      <c r="AD206" s="105"/>
      <c r="AE206" s="105"/>
      <c r="AF206" s="158"/>
      <c r="AG206" s="105"/>
      <c r="AH206" s="158"/>
      <c r="AI206" s="88"/>
      <c r="AJ206" s="88"/>
      <c r="AK206" s="131"/>
      <c r="AL206" s="131"/>
      <c r="AM206" s="131"/>
      <c r="AN206" s="131"/>
      <c r="AO206" s="131"/>
      <c r="AP206" s="88"/>
    </row>
    <row r="207">
      <c r="A207" s="155"/>
      <c r="B207" s="173"/>
      <c r="C207" s="174"/>
      <c r="D207" s="173"/>
      <c r="E207" s="155"/>
      <c r="F207" s="155"/>
      <c r="G207" s="88"/>
      <c r="H207" s="155"/>
      <c r="I207" s="155"/>
      <c r="J207" s="155"/>
      <c r="K207" s="15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58"/>
      <c r="AA207" s="105"/>
      <c r="AB207" s="105"/>
      <c r="AC207" s="105"/>
      <c r="AD207" s="105"/>
      <c r="AE207" s="105"/>
      <c r="AF207" s="158"/>
      <c r="AG207" s="105"/>
      <c r="AH207" s="158"/>
      <c r="AI207" s="88"/>
      <c r="AJ207" s="88"/>
      <c r="AK207" s="131"/>
      <c r="AL207" s="131"/>
      <c r="AM207" s="131"/>
      <c r="AN207" s="131"/>
      <c r="AO207" s="131"/>
      <c r="AP207" s="88"/>
    </row>
    <row r="208">
      <c r="A208" s="155"/>
      <c r="B208" s="173"/>
      <c r="C208" s="174"/>
      <c r="D208" s="173"/>
      <c r="E208" s="155"/>
      <c r="F208" s="155"/>
      <c r="G208" s="88"/>
      <c r="H208" s="155"/>
      <c r="I208" s="155"/>
      <c r="J208" s="155"/>
      <c r="K208" s="15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58"/>
      <c r="AA208" s="105"/>
      <c r="AB208" s="105"/>
      <c r="AC208" s="105"/>
      <c r="AD208" s="105"/>
      <c r="AE208" s="105"/>
      <c r="AF208" s="158"/>
      <c r="AG208" s="105"/>
      <c r="AH208" s="158"/>
      <c r="AI208" s="88"/>
      <c r="AJ208" s="88"/>
      <c r="AK208" s="131"/>
      <c r="AL208" s="131"/>
      <c r="AM208" s="131"/>
      <c r="AN208" s="131"/>
      <c r="AO208" s="131"/>
      <c r="AP208" s="88"/>
    </row>
    <row r="209">
      <c r="A209" s="155"/>
      <c r="B209" s="173"/>
      <c r="C209" s="174"/>
      <c r="D209" s="173"/>
      <c r="E209" s="155"/>
      <c r="F209" s="155"/>
      <c r="G209" s="88"/>
      <c r="H209" s="155"/>
      <c r="I209" s="155"/>
      <c r="J209" s="155"/>
      <c r="K209" s="15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58"/>
      <c r="AA209" s="105"/>
      <c r="AB209" s="105"/>
      <c r="AC209" s="105"/>
      <c r="AD209" s="105"/>
      <c r="AE209" s="105"/>
      <c r="AF209" s="158"/>
      <c r="AG209" s="105"/>
      <c r="AH209" s="158"/>
      <c r="AI209" s="88"/>
      <c r="AJ209" s="88"/>
      <c r="AK209" s="131"/>
      <c r="AL209" s="131"/>
      <c r="AM209" s="131"/>
      <c r="AN209" s="131"/>
      <c r="AO209" s="131"/>
      <c r="AP209" s="88"/>
    </row>
    <row r="210">
      <c r="A210" s="155"/>
      <c r="B210" s="173"/>
      <c r="C210" s="174"/>
      <c r="D210" s="173"/>
      <c r="E210" s="155"/>
      <c r="F210" s="155"/>
      <c r="G210" s="88"/>
      <c r="H210" s="155"/>
      <c r="I210" s="155"/>
      <c r="J210" s="155"/>
      <c r="K210" s="15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58"/>
      <c r="AA210" s="105"/>
      <c r="AB210" s="105"/>
      <c r="AC210" s="105"/>
      <c r="AD210" s="105"/>
      <c r="AE210" s="105"/>
      <c r="AF210" s="158"/>
      <c r="AG210" s="105"/>
      <c r="AH210" s="158"/>
      <c r="AI210" s="88"/>
      <c r="AJ210" s="88"/>
      <c r="AK210" s="131"/>
      <c r="AL210" s="131"/>
      <c r="AM210" s="131"/>
      <c r="AN210" s="131"/>
      <c r="AO210" s="131"/>
      <c r="AP210" s="88"/>
    </row>
    <row r="211">
      <c r="A211" s="155"/>
      <c r="B211" s="173"/>
      <c r="C211" s="174"/>
      <c r="D211" s="173"/>
      <c r="E211" s="155"/>
      <c r="F211" s="155"/>
      <c r="G211" s="88"/>
      <c r="H211" s="155"/>
      <c r="I211" s="155"/>
      <c r="J211" s="155"/>
      <c r="K211" s="15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58"/>
      <c r="AA211" s="105"/>
      <c r="AB211" s="105"/>
      <c r="AC211" s="105"/>
      <c r="AD211" s="105"/>
      <c r="AE211" s="105"/>
      <c r="AF211" s="158"/>
      <c r="AG211" s="105"/>
      <c r="AH211" s="158"/>
      <c r="AI211" s="88"/>
      <c r="AJ211" s="88"/>
      <c r="AK211" s="131"/>
      <c r="AL211" s="131"/>
      <c r="AM211" s="131"/>
      <c r="AN211" s="131"/>
      <c r="AO211" s="131"/>
      <c r="AP211" s="88"/>
    </row>
    <row r="212">
      <c r="A212" s="155"/>
      <c r="B212" s="173"/>
      <c r="C212" s="174"/>
      <c r="D212" s="173"/>
      <c r="E212" s="155"/>
      <c r="F212" s="155"/>
      <c r="G212" s="88"/>
      <c r="H212" s="155"/>
      <c r="I212" s="155"/>
      <c r="J212" s="155"/>
      <c r="K212" s="15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58"/>
      <c r="AA212" s="105"/>
      <c r="AB212" s="105"/>
      <c r="AC212" s="105"/>
      <c r="AD212" s="105"/>
      <c r="AE212" s="105"/>
      <c r="AF212" s="158"/>
      <c r="AG212" s="105"/>
      <c r="AH212" s="158"/>
      <c r="AI212" s="88"/>
      <c r="AJ212" s="88"/>
      <c r="AK212" s="131"/>
      <c r="AL212" s="131"/>
      <c r="AM212" s="131"/>
      <c r="AN212" s="131"/>
      <c r="AO212" s="131"/>
      <c r="AP212" s="88"/>
    </row>
    <row r="213">
      <c r="A213" s="155"/>
      <c r="B213" s="173"/>
      <c r="C213" s="174"/>
      <c r="D213" s="173"/>
      <c r="E213" s="155"/>
      <c r="F213" s="155"/>
      <c r="G213" s="88"/>
      <c r="H213" s="155"/>
      <c r="I213" s="155"/>
      <c r="J213" s="155"/>
      <c r="K213" s="15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58"/>
      <c r="AA213" s="105"/>
      <c r="AB213" s="105"/>
      <c r="AC213" s="105"/>
      <c r="AD213" s="105"/>
      <c r="AE213" s="105"/>
      <c r="AF213" s="158"/>
      <c r="AG213" s="105"/>
      <c r="AH213" s="158"/>
      <c r="AI213" s="88"/>
      <c r="AJ213" s="88"/>
      <c r="AK213" s="131"/>
      <c r="AL213" s="131"/>
      <c r="AM213" s="131"/>
      <c r="AN213" s="131"/>
      <c r="AO213" s="131"/>
      <c r="AP213" s="88"/>
    </row>
    <row r="214">
      <c r="A214" s="155"/>
      <c r="B214" s="173"/>
      <c r="C214" s="174"/>
      <c r="D214" s="173"/>
      <c r="E214" s="155"/>
      <c r="F214" s="155"/>
      <c r="G214" s="88"/>
      <c r="H214" s="155"/>
      <c r="I214" s="155"/>
      <c r="J214" s="155"/>
      <c r="K214" s="15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58"/>
      <c r="AA214" s="105"/>
      <c r="AB214" s="105"/>
      <c r="AC214" s="105"/>
      <c r="AD214" s="105"/>
      <c r="AE214" s="105"/>
      <c r="AF214" s="158"/>
      <c r="AG214" s="105"/>
      <c r="AH214" s="158"/>
      <c r="AI214" s="88"/>
      <c r="AJ214" s="88"/>
      <c r="AK214" s="131"/>
      <c r="AL214" s="131"/>
      <c r="AM214" s="131"/>
      <c r="AN214" s="131"/>
      <c r="AO214" s="131"/>
      <c r="AP214" s="88"/>
    </row>
    <row r="215">
      <c r="A215" s="155"/>
      <c r="B215" s="173"/>
      <c r="C215" s="174"/>
      <c r="D215" s="173"/>
      <c r="E215" s="155"/>
      <c r="F215" s="155"/>
      <c r="G215" s="88"/>
      <c r="H215" s="155"/>
      <c r="I215" s="155"/>
      <c r="J215" s="155"/>
      <c r="K215" s="15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58"/>
      <c r="AA215" s="105"/>
      <c r="AB215" s="105"/>
      <c r="AC215" s="105"/>
      <c r="AD215" s="105"/>
      <c r="AE215" s="105"/>
      <c r="AF215" s="158"/>
      <c r="AG215" s="105"/>
      <c r="AH215" s="158"/>
      <c r="AI215" s="88"/>
      <c r="AJ215" s="88"/>
      <c r="AK215" s="131"/>
      <c r="AL215" s="131"/>
      <c r="AM215" s="131"/>
      <c r="AN215" s="131"/>
      <c r="AO215" s="131"/>
      <c r="AP215" s="88"/>
    </row>
    <row r="216">
      <c r="A216" s="155"/>
      <c r="B216" s="173"/>
      <c r="C216" s="174"/>
      <c r="D216" s="173"/>
      <c r="E216" s="155"/>
      <c r="F216" s="155"/>
      <c r="G216" s="88"/>
      <c r="H216" s="155"/>
      <c r="I216" s="155"/>
      <c r="J216" s="155"/>
      <c r="K216" s="15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58"/>
      <c r="AA216" s="105"/>
      <c r="AB216" s="105"/>
      <c r="AC216" s="105"/>
      <c r="AD216" s="105"/>
      <c r="AE216" s="105"/>
      <c r="AF216" s="158"/>
      <c r="AG216" s="105"/>
      <c r="AH216" s="158"/>
      <c r="AI216" s="88"/>
      <c r="AJ216" s="88"/>
      <c r="AK216" s="131"/>
      <c r="AL216" s="131"/>
      <c r="AM216" s="131"/>
      <c r="AN216" s="131"/>
      <c r="AO216" s="131"/>
      <c r="AP216" s="88"/>
    </row>
    <row r="217">
      <c r="A217" s="155"/>
      <c r="B217" s="173"/>
      <c r="C217" s="174"/>
      <c r="D217" s="173"/>
      <c r="E217" s="155"/>
      <c r="F217" s="155"/>
      <c r="G217" s="88"/>
      <c r="H217" s="155"/>
      <c r="I217" s="155"/>
      <c r="J217" s="155"/>
      <c r="K217" s="15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58"/>
      <c r="AA217" s="105"/>
      <c r="AB217" s="105"/>
      <c r="AC217" s="105"/>
      <c r="AD217" s="105"/>
      <c r="AE217" s="105"/>
      <c r="AF217" s="158"/>
      <c r="AG217" s="105"/>
      <c r="AH217" s="158"/>
      <c r="AI217" s="88"/>
      <c r="AJ217" s="88"/>
      <c r="AK217" s="131"/>
      <c r="AL217" s="131"/>
      <c r="AM217" s="131"/>
      <c r="AN217" s="131"/>
      <c r="AO217" s="131"/>
      <c r="AP217" s="88"/>
    </row>
    <row r="218">
      <c r="A218" s="155"/>
      <c r="B218" s="173"/>
      <c r="C218" s="174"/>
      <c r="D218" s="173"/>
      <c r="E218" s="155"/>
      <c r="F218" s="155"/>
      <c r="G218" s="88"/>
      <c r="H218" s="155"/>
      <c r="I218" s="155"/>
      <c r="J218" s="155"/>
      <c r="K218" s="15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58"/>
      <c r="AA218" s="105"/>
      <c r="AB218" s="105"/>
      <c r="AC218" s="105"/>
      <c r="AD218" s="105"/>
      <c r="AE218" s="105"/>
      <c r="AF218" s="158"/>
      <c r="AG218" s="105"/>
      <c r="AH218" s="158"/>
      <c r="AI218" s="88"/>
      <c r="AJ218" s="88"/>
      <c r="AK218" s="131"/>
      <c r="AL218" s="131"/>
      <c r="AM218" s="131"/>
      <c r="AN218" s="131"/>
      <c r="AO218" s="131"/>
      <c r="AP218" s="88"/>
    </row>
    <row r="219">
      <c r="A219" s="155"/>
      <c r="B219" s="173"/>
      <c r="C219" s="174"/>
      <c r="D219" s="173"/>
      <c r="E219" s="155"/>
      <c r="F219" s="155"/>
      <c r="G219" s="88"/>
      <c r="H219" s="155"/>
      <c r="I219" s="155"/>
      <c r="J219" s="155"/>
      <c r="K219" s="15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58"/>
      <c r="AA219" s="105"/>
      <c r="AB219" s="105"/>
      <c r="AC219" s="105"/>
      <c r="AD219" s="105"/>
      <c r="AE219" s="105"/>
      <c r="AF219" s="158"/>
      <c r="AG219" s="105"/>
      <c r="AH219" s="158"/>
      <c r="AI219" s="88"/>
      <c r="AJ219" s="88"/>
      <c r="AK219" s="131"/>
      <c r="AL219" s="131"/>
      <c r="AM219" s="131"/>
      <c r="AN219" s="131"/>
      <c r="AO219" s="131"/>
      <c r="AP219" s="88"/>
    </row>
    <row r="220">
      <c r="A220" s="155"/>
      <c r="B220" s="173"/>
      <c r="C220" s="174"/>
      <c r="D220" s="173"/>
      <c r="E220" s="155"/>
      <c r="F220" s="155"/>
      <c r="G220" s="88"/>
      <c r="H220" s="155"/>
      <c r="I220" s="155"/>
      <c r="J220" s="155"/>
      <c r="K220" s="15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58"/>
      <c r="AA220" s="105"/>
      <c r="AB220" s="105"/>
      <c r="AC220" s="105"/>
      <c r="AD220" s="105"/>
      <c r="AE220" s="105"/>
      <c r="AF220" s="158"/>
      <c r="AG220" s="105"/>
      <c r="AH220" s="158"/>
      <c r="AI220" s="88"/>
      <c r="AJ220" s="88"/>
      <c r="AK220" s="131"/>
      <c r="AL220" s="131"/>
      <c r="AM220" s="131"/>
      <c r="AN220" s="131"/>
      <c r="AO220" s="131"/>
      <c r="AP220" s="88"/>
    </row>
    <row r="221">
      <c r="A221" s="155"/>
      <c r="B221" s="173"/>
      <c r="C221" s="174"/>
      <c r="D221" s="173"/>
      <c r="E221" s="155"/>
      <c r="F221" s="155"/>
      <c r="G221" s="88"/>
      <c r="H221" s="155"/>
      <c r="I221" s="155"/>
      <c r="J221" s="155"/>
      <c r="K221" s="15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58"/>
      <c r="AA221" s="105"/>
      <c r="AB221" s="105"/>
      <c r="AC221" s="105"/>
      <c r="AD221" s="105"/>
      <c r="AE221" s="105"/>
      <c r="AF221" s="158"/>
      <c r="AG221" s="105"/>
      <c r="AH221" s="158"/>
      <c r="AI221" s="88"/>
      <c r="AJ221" s="88"/>
      <c r="AK221" s="131"/>
      <c r="AL221" s="131"/>
      <c r="AM221" s="131"/>
      <c r="AN221" s="131"/>
      <c r="AO221" s="131"/>
      <c r="AP221" s="88"/>
    </row>
    <row r="222">
      <c r="A222" s="155"/>
      <c r="B222" s="173"/>
      <c r="C222" s="174"/>
      <c r="D222" s="173"/>
      <c r="E222" s="155"/>
      <c r="F222" s="155"/>
      <c r="G222" s="88"/>
      <c r="H222" s="155"/>
      <c r="I222" s="155"/>
      <c r="J222" s="155"/>
      <c r="K222" s="15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58"/>
      <c r="AA222" s="105"/>
      <c r="AB222" s="105"/>
      <c r="AC222" s="105"/>
      <c r="AD222" s="105"/>
      <c r="AE222" s="105"/>
      <c r="AF222" s="158"/>
      <c r="AG222" s="105"/>
      <c r="AH222" s="158"/>
      <c r="AI222" s="88"/>
      <c r="AJ222" s="88"/>
      <c r="AK222" s="131"/>
      <c r="AL222" s="131"/>
      <c r="AM222" s="131"/>
      <c r="AN222" s="131"/>
      <c r="AO222" s="131"/>
      <c r="AP222" s="88"/>
    </row>
    <row r="223">
      <c r="A223" s="155"/>
      <c r="B223" s="173"/>
      <c r="C223" s="174"/>
      <c r="D223" s="173"/>
      <c r="E223" s="155"/>
      <c r="F223" s="155"/>
      <c r="G223" s="88"/>
      <c r="H223" s="155"/>
      <c r="I223" s="155"/>
      <c r="J223" s="155"/>
      <c r="K223" s="15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58"/>
      <c r="AA223" s="105"/>
      <c r="AB223" s="105"/>
      <c r="AC223" s="105"/>
      <c r="AD223" s="105"/>
      <c r="AE223" s="105"/>
      <c r="AF223" s="158"/>
      <c r="AG223" s="105"/>
      <c r="AH223" s="158"/>
      <c r="AI223" s="88"/>
      <c r="AJ223" s="88"/>
      <c r="AK223" s="131"/>
      <c r="AL223" s="131"/>
      <c r="AM223" s="131"/>
      <c r="AN223" s="131"/>
      <c r="AO223" s="131"/>
      <c r="AP223" s="88"/>
    </row>
    <row r="224">
      <c r="A224" s="155"/>
      <c r="B224" s="173"/>
      <c r="C224" s="174"/>
      <c r="D224" s="173"/>
      <c r="E224" s="155"/>
      <c r="F224" s="155"/>
      <c r="G224" s="88"/>
      <c r="H224" s="155"/>
      <c r="I224" s="155"/>
      <c r="J224" s="155"/>
      <c r="K224" s="15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58"/>
      <c r="AA224" s="105"/>
      <c r="AB224" s="105"/>
      <c r="AC224" s="105"/>
      <c r="AD224" s="105"/>
      <c r="AE224" s="105"/>
      <c r="AF224" s="158"/>
      <c r="AG224" s="105"/>
      <c r="AH224" s="158"/>
      <c r="AI224" s="88"/>
      <c r="AJ224" s="88"/>
      <c r="AK224" s="131"/>
      <c r="AL224" s="131"/>
      <c r="AM224" s="131"/>
      <c r="AN224" s="131"/>
      <c r="AO224" s="131"/>
      <c r="AP224" s="88"/>
    </row>
    <row r="225">
      <c r="A225" s="155"/>
      <c r="B225" s="173"/>
      <c r="C225" s="174"/>
      <c r="D225" s="173"/>
      <c r="E225" s="155"/>
      <c r="F225" s="155"/>
      <c r="G225" s="88"/>
      <c r="H225" s="155"/>
      <c r="I225" s="155"/>
      <c r="J225" s="155"/>
      <c r="K225" s="15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58"/>
      <c r="AA225" s="105"/>
      <c r="AB225" s="105"/>
      <c r="AC225" s="105"/>
      <c r="AD225" s="105"/>
      <c r="AE225" s="105"/>
      <c r="AF225" s="158"/>
      <c r="AG225" s="105"/>
      <c r="AH225" s="158"/>
      <c r="AI225" s="88"/>
      <c r="AJ225" s="88"/>
      <c r="AK225" s="131"/>
      <c r="AL225" s="131"/>
      <c r="AM225" s="131"/>
      <c r="AN225" s="131"/>
      <c r="AO225" s="131"/>
      <c r="AP225" s="88"/>
    </row>
    <row r="226">
      <c r="A226" s="155"/>
      <c r="B226" s="173"/>
      <c r="C226" s="174"/>
      <c r="D226" s="173"/>
      <c r="E226" s="155"/>
      <c r="F226" s="155"/>
      <c r="G226" s="88"/>
      <c r="H226" s="155"/>
      <c r="I226" s="155"/>
      <c r="J226" s="155"/>
      <c r="K226" s="15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58"/>
      <c r="AA226" s="105"/>
      <c r="AB226" s="105"/>
      <c r="AC226" s="105"/>
      <c r="AD226" s="105"/>
      <c r="AE226" s="105"/>
      <c r="AF226" s="158"/>
      <c r="AG226" s="105"/>
      <c r="AH226" s="158"/>
      <c r="AI226" s="88"/>
      <c r="AJ226" s="88"/>
      <c r="AK226" s="131"/>
      <c r="AL226" s="131"/>
      <c r="AM226" s="131"/>
      <c r="AN226" s="131"/>
      <c r="AO226" s="131"/>
      <c r="AP226" s="88"/>
    </row>
    <row r="227">
      <c r="A227" s="155"/>
      <c r="B227" s="173"/>
      <c r="C227" s="174"/>
      <c r="D227" s="173"/>
      <c r="E227" s="155"/>
      <c r="F227" s="155"/>
      <c r="G227" s="88"/>
      <c r="H227" s="155"/>
      <c r="I227" s="155"/>
      <c r="J227" s="155"/>
      <c r="K227" s="15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58"/>
      <c r="AA227" s="105"/>
      <c r="AB227" s="105"/>
      <c r="AC227" s="105"/>
      <c r="AD227" s="105"/>
      <c r="AE227" s="105"/>
      <c r="AF227" s="158"/>
      <c r="AG227" s="105"/>
      <c r="AH227" s="158"/>
      <c r="AI227" s="88"/>
      <c r="AJ227" s="88"/>
      <c r="AK227" s="131"/>
      <c r="AL227" s="131"/>
      <c r="AM227" s="131"/>
      <c r="AN227" s="131"/>
      <c r="AO227" s="131"/>
      <c r="AP227" s="88"/>
    </row>
    <row r="228">
      <c r="A228" s="155"/>
      <c r="B228" s="173"/>
      <c r="C228" s="174"/>
      <c r="D228" s="173"/>
      <c r="E228" s="155"/>
      <c r="F228" s="155"/>
      <c r="G228" s="88"/>
      <c r="H228" s="155"/>
      <c r="I228" s="155"/>
      <c r="J228" s="155"/>
      <c r="K228" s="15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58"/>
      <c r="AA228" s="105"/>
      <c r="AB228" s="105"/>
      <c r="AC228" s="105"/>
      <c r="AD228" s="105"/>
      <c r="AE228" s="105"/>
      <c r="AF228" s="158"/>
      <c r="AG228" s="105"/>
      <c r="AH228" s="158"/>
      <c r="AI228" s="88"/>
      <c r="AJ228" s="88"/>
      <c r="AK228" s="131"/>
      <c r="AL228" s="131"/>
      <c r="AM228" s="131"/>
      <c r="AN228" s="131"/>
      <c r="AO228" s="131"/>
      <c r="AP228" s="88"/>
    </row>
    <row r="229">
      <c r="A229" s="155"/>
      <c r="B229" s="173"/>
      <c r="C229" s="174"/>
      <c r="D229" s="173"/>
      <c r="E229" s="155"/>
      <c r="F229" s="155"/>
      <c r="G229" s="88"/>
      <c r="H229" s="155"/>
      <c r="I229" s="155"/>
      <c r="J229" s="155"/>
      <c r="K229" s="15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58"/>
      <c r="AA229" s="105"/>
      <c r="AB229" s="105"/>
      <c r="AC229" s="105"/>
      <c r="AD229" s="105"/>
      <c r="AE229" s="105"/>
      <c r="AF229" s="158"/>
      <c r="AG229" s="105"/>
      <c r="AH229" s="158"/>
      <c r="AI229" s="88"/>
      <c r="AJ229" s="88"/>
      <c r="AK229" s="131"/>
      <c r="AL229" s="131"/>
      <c r="AM229" s="131"/>
      <c r="AN229" s="131"/>
      <c r="AO229" s="131"/>
      <c r="AP229" s="88"/>
    </row>
    <row r="230">
      <c r="A230" s="155"/>
      <c r="B230" s="173"/>
      <c r="C230" s="174"/>
      <c r="D230" s="173"/>
      <c r="E230" s="155"/>
      <c r="F230" s="155"/>
      <c r="G230" s="88"/>
      <c r="H230" s="155"/>
      <c r="I230" s="155"/>
      <c r="J230" s="155"/>
      <c r="K230" s="15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58"/>
      <c r="AA230" s="105"/>
      <c r="AB230" s="105"/>
      <c r="AC230" s="105"/>
      <c r="AD230" s="105"/>
      <c r="AE230" s="105"/>
      <c r="AF230" s="158"/>
      <c r="AG230" s="105"/>
      <c r="AH230" s="158"/>
      <c r="AI230" s="88"/>
      <c r="AJ230" s="88"/>
      <c r="AK230" s="131"/>
      <c r="AL230" s="131"/>
      <c r="AM230" s="131"/>
      <c r="AN230" s="131"/>
      <c r="AO230" s="131"/>
      <c r="AP230" s="88"/>
    </row>
    <row r="231">
      <c r="A231" s="155"/>
      <c r="B231" s="173"/>
      <c r="C231" s="174"/>
      <c r="D231" s="173"/>
      <c r="E231" s="155"/>
      <c r="F231" s="155"/>
      <c r="G231" s="88"/>
      <c r="H231" s="155"/>
      <c r="I231" s="155"/>
      <c r="J231" s="155"/>
      <c r="K231" s="15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58"/>
      <c r="AA231" s="105"/>
      <c r="AB231" s="105"/>
      <c r="AC231" s="105"/>
      <c r="AD231" s="105"/>
      <c r="AE231" s="105"/>
      <c r="AF231" s="158"/>
      <c r="AG231" s="105"/>
      <c r="AH231" s="158"/>
      <c r="AI231" s="88"/>
      <c r="AJ231" s="88"/>
      <c r="AK231" s="131"/>
      <c r="AL231" s="131"/>
      <c r="AM231" s="131"/>
      <c r="AN231" s="131"/>
      <c r="AO231" s="131"/>
      <c r="AP231" s="88"/>
    </row>
    <row r="232">
      <c r="A232" s="155"/>
      <c r="B232" s="173"/>
      <c r="C232" s="174"/>
      <c r="D232" s="173"/>
      <c r="E232" s="155"/>
      <c r="F232" s="155"/>
      <c r="G232" s="88"/>
      <c r="H232" s="155"/>
      <c r="I232" s="155"/>
      <c r="J232" s="155"/>
      <c r="K232" s="15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58"/>
      <c r="AA232" s="105"/>
      <c r="AB232" s="105"/>
      <c r="AC232" s="105"/>
      <c r="AD232" s="105"/>
      <c r="AE232" s="105"/>
      <c r="AF232" s="158"/>
      <c r="AG232" s="105"/>
      <c r="AH232" s="158"/>
      <c r="AI232" s="88"/>
      <c r="AJ232" s="88"/>
      <c r="AK232" s="131"/>
      <c r="AL232" s="131"/>
      <c r="AM232" s="131"/>
      <c r="AN232" s="131"/>
      <c r="AO232" s="131"/>
      <c r="AP232" s="88"/>
    </row>
    <row r="233">
      <c r="A233" s="155"/>
      <c r="B233" s="173"/>
      <c r="C233" s="174"/>
      <c r="D233" s="173"/>
      <c r="E233" s="155"/>
      <c r="F233" s="155"/>
      <c r="G233" s="88"/>
      <c r="H233" s="155"/>
      <c r="I233" s="155"/>
      <c r="J233" s="155"/>
      <c r="K233" s="15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58"/>
      <c r="AA233" s="105"/>
      <c r="AB233" s="105"/>
      <c r="AC233" s="105"/>
      <c r="AD233" s="105"/>
      <c r="AE233" s="105"/>
      <c r="AF233" s="158"/>
      <c r="AG233" s="105"/>
      <c r="AH233" s="158"/>
      <c r="AI233" s="88"/>
      <c r="AJ233" s="88"/>
      <c r="AK233" s="131"/>
      <c r="AL233" s="131"/>
      <c r="AM233" s="131"/>
      <c r="AN233" s="131"/>
      <c r="AO233" s="131"/>
      <c r="AP233" s="88"/>
    </row>
    <row r="234">
      <c r="A234" s="155"/>
      <c r="B234" s="173"/>
      <c r="C234" s="174"/>
      <c r="D234" s="173"/>
      <c r="E234" s="155"/>
      <c r="F234" s="155"/>
      <c r="G234" s="88"/>
      <c r="H234" s="155"/>
      <c r="I234" s="155"/>
      <c r="J234" s="155"/>
      <c r="K234" s="15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58"/>
      <c r="AA234" s="105"/>
      <c r="AB234" s="105"/>
      <c r="AC234" s="105"/>
      <c r="AD234" s="105"/>
      <c r="AE234" s="105"/>
      <c r="AF234" s="158"/>
      <c r="AG234" s="105"/>
      <c r="AH234" s="158"/>
      <c r="AI234" s="88"/>
      <c r="AJ234" s="88"/>
      <c r="AK234" s="131"/>
      <c r="AL234" s="131"/>
      <c r="AM234" s="131"/>
      <c r="AN234" s="131"/>
      <c r="AO234" s="131"/>
      <c r="AP234" s="88"/>
    </row>
    <row r="235">
      <c r="A235" s="155"/>
      <c r="B235" s="173"/>
      <c r="C235" s="174"/>
      <c r="D235" s="173"/>
      <c r="E235" s="155"/>
      <c r="F235" s="155"/>
      <c r="G235" s="88"/>
      <c r="H235" s="155"/>
      <c r="I235" s="155"/>
      <c r="J235" s="155"/>
      <c r="K235" s="15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58"/>
      <c r="AA235" s="105"/>
      <c r="AB235" s="105"/>
      <c r="AC235" s="105"/>
      <c r="AD235" s="105"/>
      <c r="AE235" s="105"/>
      <c r="AF235" s="158"/>
      <c r="AG235" s="105"/>
      <c r="AH235" s="158"/>
      <c r="AI235" s="88"/>
      <c r="AJ235" s="88"/>
      <c r="AK235" s="131"/>
      <c r="AL235" s="131"/>
      <c r="AM235" s="131"/>
      <c r="AN235" s="131"/>
      <c r="AO235" s="131"/>
      <c r="AP235" s="88"/>
    </row>
    <row r="236">
      <c r="A236" s="155"/>
      <c r="B236" s="173"/>
      <c r="C236" s="174"/>
      <c r="D236" s="173"/>
      <c r="E236" s="155"/>
      <c r="F236" s="155"/>
      <c r="G236" s="88"/>
      <c r="H236" s="155"/>
      <c r="I236" s="155"/>
      <c r="J236" s="155"/>
      <c r="K236" s="15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58"/>
      <c r="AA236" s="105"/>
      <c r="AB236" s="105"/>
      <c r="AC236" s="105"/>
      <c r="AD236" s="105"/>
      <c r="AE236" s="105"/>
      <c r="AF236" s="158"/>
      <c r="AG236" s="105"/>
      <c r="AH236" s="158"/>
      <c r="AI236" s="88"/>
      <c r="AJ236" s="88"/>
      <c r="AK236" s="131"/>
      <c r="AL236" s="131"/>
      <c r="AM236" s="131"/>
      <c r="AN236" s="131"/>
      <c r="AO236" s="131"/>
      <c r="AP236" s="88"/>
    </row>
    <row r="237">
      <c r="A237" s="155"/>
      <c r="B237" s="173"/>
      <c r="C237" s="174"/>
      <c r="D237" s="173"/>
      <c r="E237" s="155"/>
      <c r="F237" s="155"/>
      <c r="G237" s="88"/>
      <c r="H237" s="155"/>
      <c r="I237" s="155"/>
      <c r="J237" s="155"/>
      <c r="K237" s="15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58"/>
      <c r="AA237" s="105"/>
      <c r="AB237" s="105"/>
      <c r="AC237" s="105"/>
      <c r="AD237" s="105"/>
      <c r="AE237" s="105"/>
      <c r="AF237" s="158"/>
      <c r="AG237" s="105"/>
      <c r="AH237" s="158"/>
      <c r="AI237" s="88"/>
      <c r="AJ237" s="88"/>
      <c r="AK237" s="131"/>
      <c r="AL237" s="131"/>
      <c r="AM237" s="131"/>
      <c r="AN237" s="131"/>
      <c r="AO237" s="131"/>
      <c r="AP237" s="88"/>
    </row>
    <row r="238">
      <c r="A238" s="155"/>
      <c r="B238" s="173"/>
      <c r="C238" s="174"/>
      <c r="D238" s="173"/>
      <c r="E238" s="155"/>
      <c r="F238" s="155"/>
      <c r="G238" s="88"/>
      <c r="H238" s="155"/>
      <c r="I238" s="155"/>
      <c r="J238" s="155"/>
      <c r="K238" s="15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58"/>
      <c r="AA238" s="105"/>
      <c r="AB238" s="105"/>
      <c r="AC238" s="105"/>
      <c r="AD238" s="105"/>
      <c r="AE238" s="105"/>
      <c r="AF238" s="158"/>
      <c r="AG238" s="105"/>
      <c r="AH238" s="158"/>
      <c r="AI238" s="88"/>
      <c r="AJ238" s="88"/>
      <c r="AK238" s="131"/>
      <c r="AL238" s="131"/>
      <c r="AM238" s="131"/>
      <c r="AN238" s="131"/>
      <c r="AO238" s="131"/>
      <c r="AP238" s="88"/>
    </row>
    <row r="239">
      <c r="A239" s="155"/>
      <c r="B239" s="173"/>
      <c r="C239" s="174"/>
      <c r="D239" s="173"/>
      <c r="E239" s="155"/>
      <c r="F239" s="155"/>
      <c r="G239" s="88"/>
      <c r="H239" s="155"/>
      <c r="I239" s="155"/>
      <c r="J239" s="155"/>
      <c r="K239" s="15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58"/>
      <c r="AA239" s="105"/>
      <c r="AB239" s="105"/>
      <c r="AC239" s="105"/>
      <c r="AD239" s="105"/>
      <c r="AE239" s="105"/>
      <c r="AF239" s="158"/>
      <c r="AG239" s="105"/>
      <c r="AH239" s="158"/>
      <c r="AI239" s="88"/>
      <c r="AJ239" s="88"/>
      <c r="AK239" s="131"/>
      <c r="AL239" s="131"/>
      <c r="AM239" s="131"/>
      <c r="AN239" s="131"/>
      <c r="AO239" s="131"/>
      <c r="AP239" s="88"/>
    </row>
    <row r="240">
      <c r="A240" s="155"/>
      <c r="B240" s="173"/>
      <c r="C240" s="174"/>
      <c r="D240" s="173"/>
      <c r="E240" s="155"/>
      <c r="F240" s="155"/>
      <c r="G240" s="88"/>
      <c r="H240" s="155"/>
      <c r="I240" s="155"/>
      <c r="J240" s="155"/>
      <c r="K240" s="15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58"/>
      <c r="AA240" s="105"/>
      <c r="AB240" s="105"/>
      <c r="AC240" s="105"/>
      <c r="AD240" s="105"/>
      <c r="AE240" s="105"/>
      <c r="AF240" s="158"/>
      <c r="AG240" s="105"/>
      <c r="AH240" s="158"/>
      <c r="AI240" s="88"/>
      <c r="AJ240" s="88"/>
      <c r="AK240" s="131"/>
      <c r="AL240" s="131"/>
      <c r="AM240" s="131"/>
      <c r="AN240" s="131"/>
      <c r="AO240" s="131"/>
      <c r="AP240" s="88"/>
    </row>
    <row r="241">
      <c r="A241" s="155"/>
      <c r="B241" s="173"/>
      <c r="C241" s="174"/>
      <c r="D241" s="173"/>
      <c r="E241" s="155"/>
      <c r="F241" s="155"/>
      <c r="G241" s="88"/>
      <c r="H241" s="155"/>
      <c r="I241" s="155"/>
      <c r="J241" s="155"/>
      <c r="K241" s="15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58"/>
      <c r="AA241" s="105"/>
      <c r="AB241" s="105"/>
      <c r="AC241" s="105"/>
      <c r="AD241" s="105"/>
      <c r="AE241" s="105"/>
      <c r="AF241" s="158"/>
      <c r="AG241" s="105"/>
      <c r="AH241" s="158"/>
      <c r="AI241" s="88"/>
      <c r="AJ241" s="88"/>
      <c r="AK241" s="131"/>
      <c r="AL241" s="131"/>
      <c r="AM241" s="131"/>
      <c r="AN241" s="131"/>
      <c r="AO241" s="131"/>
      <c r="AP241" s="88"/>
    </row>
    <row r="242">
      <c r="A242" s="155"/>
      <c r="B242" s="173"/>
      <c r="C242" s="174"/>
      <c r="D242" s="173"/>
      <c r="E242" s="155"/>
      <c r="F242" s="155"/>
      <c r="G242" s="88"/>
      <c r="H242" s="155"/>
      <c r="I242" s="155"/>
      <c r="J242" s="155"/>
      <c r="K242" s="15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58"/>
      <c r="AA242" s="105"/>
      <c r="AB242" s="105"/>
      <c r="AC242" s="105"/>
      <c r="AD242" s="105"/>
      <c r="AE242" s="105"/>
      <c r="AF242" s="158"/>
      <c r="AG242" s="105"/>
      <c r="AH242" s="158"/>
      <c r="AI242" s="88"/>
      <c r="AJ242" s="88"/>
      <c r="AK242" s="131"/>
      <c r="AL242" s="131"/>
      <c r="AM242" s="131"/>
      <c r="AN242" s="131"/>
      <c r="AO242" s="131"/>
      <c r="AP242" s="88"/>
    </row>
    <row r="243">
      <c r="A243" s="155"/>
      <c r="B243" s="173"/>
      <c r="C243" s="174"/>
      <c r="D243" s="173"/>
      <c r="E243" s="155"/>
      <c r="F243" s="155"/>
      <c r="G243" s="88"/>
      <c r="H243" s="155"/>
      <c r="I243" s="155"/>
      <c r="J243" s="155"/>
      <c r="K243" s="15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58"/>
      <c r="AA243" s="105"/>
      <c r="AB243" s="105"/>
      <c r="AC243" s="105"/>
      <c r="AD243" s="105"/>
      <c r="AE243" s="105"/>
      <c r="AF243" s="158"/>
      <c r="AG243" s="105"/>
      <c r="AH243" s="158"/>
      <c r="AI243" s="88"/>
      <c r="AJ243" s="88"/>
      <c r="AK243" s="131"/>
      <c r="AL243" s="131"/>
      <c r="AM243" s="131"/>
      <c r="AN243" s="131"/>
      <c r="AO243" s="131"/>
      <c r="AP243" s="88"/>
    </row>
    <row r="244">
      <c r="A244" s="155"/>
      <c r="B244" s="173"/>
      <c r="C244" s="174"/>
      <c r="D244" s="173"/>
      <c r="E244" s="155"/>
      <c r="F244" s="155"/>
      <c r="G244" s="88"/>
      <c r="H244" s="155"/>
      <c r="I244" s="155"/>
      <c r="J244" s="155"/>
      <c r="K244" s="15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58"/>
      <c r="AA244" s="105"/>
      <c r="AB244" s="105"/>
      <c r="AC244" s="105"/>
      <c r="AD244" s="105"/>
      <c r="AE244" s="105"/>
      <c r="AF244" s="158"/>
      <c r="AG244" s="105"/>
      <c r="AH244" s="158"/>
      <c r="AI244" s="88"/>
      <c r="AJ244" s="88"/>
      <c r="AK244" s="131"/>
      <c r="AL244" s="131"/>
      <c r="AM244" s="131"/>
      <c r="AN244" s="131"/>
      <c r="AO244" s="131"/>
      <c r="AP244" s="88"/>
    </row>
    <row r="245">
      <c r="A245" s="155"/>
      <c r="B245" s="173"/>
      <c r="C245" s="174"/>
      <c r="D245" s="173"/>
      <c r="E245" s="155"/>
      <c r="F245" s="155"/>
      <c r="G245" s="88"/>
      <c r="H245" s="155"/>
      <c r="I245" s="155"/>
      <c r="J245" s="155"/>
      <c r="K245" s="15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58"/>
      <c r="AA245" s="105"/>
      <c r="AB245" s="105"/>
      <c r="AC245" s="105"/>
      <c r="AD245" s="105"/>
      <c r="AE245" s="105"/>
      <c r="AF245" s="158"/>
      <c r="AG245" s="105"/>
      <c r="AH245" s="158"/>
      <c r="AI245" s="88"/>
      <c r="AJ245" s="88"/>
      <c r="AK245" s="131"/>
      <c r="AL245" s="131"/>
      <c r="AM245" s="131"/>
      <c r="AN245" s="131"/>
      <c r="AO245" s="131"/>
      <c r="AP245" s="88"/>
    </row>
    <row r="246">
      <c r="A246" s="155"/>
      <c r="B246" s="173"/>
      <c r="C246" s="174"/>
      <c r="D246" s="173"/>
      <c r="E246" s="155"/>
      <c r="F246" s="155"/>
      <c r="G246" s="88"/>
      <c r="H246" s="155"/>
      <c r="I246" s="155"/>
      <c r="J246" s="155"/>
      <c r="K246" s="15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58"/>
      <c r="AA246" s="105"/>
      <c r="AB246" s="105"/>
      <c r="AC246" s="105"/>
      <c r="AD246" s="105"/>
      <c r="AE246" s="105"/>
      <c r="AF246" s="158"/>
      <c r="AG246" s="105"/>
      <c r="AH246" s="158"/>
      <c r="AI246" s="88"/>
      <c r="AJ246" s="88"/>
      <c r="AK246" s="131"/>
      <c r="AL246" s="131"/>
      <c r="AM246" s="131"/>
      <c r="AN246" s="131"/>
      <c r="AO246" s="131"/>
      <c r="AP246" s="88"/>
    </row>
    <row r="247">
      <c r="A247" s="155"/>
      <c r="B247" s="173"/>
      <c r="C247" s="174"/>
      <c r="D247" s="173"/>
      <c r="E247" s="155"/>
      <c r="F247" s="155"/>
      <c r="G247" s="88"/>
      <c r="H247" s="155"/>
      <c r="I247" s="155"/>
      <c r="J247" s="155"/>
      <c r="K247" s="15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58"/>
      <c r="AA247" s="105"/>
      <c r="AB247" s="105"/>
      <c r="AC247" s="105"/>
      <c r="AD247" s="105"/>
      <c r="AE247" s="105"/>
      <c r="AF247" s="158"/>
      <c r="AG247" s="105"/>
      <c r="AH247" s="158"/>
      <c r="AI247" s="88"/>
      <c r="AJ247" s="88"/>
      <c r="AK247" s="131"/>
      <c r="AL247" s="131"/>
      <c r="AM247" s="131"/>
      <c r="AN247" s="131"/>
      <c r="AO247" s="131"/>
      <c r="AP247" s="88"/>
    </row>
    <row r="248">
      <c r="A248" s="155"/>
      <c r="B248" s="173"/>
      <c r="C248" s="174"/>
      <c r="D248" s="173"/>
      <c r="E248" s="155"/>
      <c r="F248" s="155"/>
      <c r="G248" s="88"/>
      <c r="H248" s="155"/>
      <c r="I248" s="155"/>
      <c r="J248" s="155"/>
      <c r="K248" s="15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58"/>
      <c r="AA248" s="105"/>
      <c r="AB248" s="105"/>
      <c r="AC248" s="105"/>
      <c r="AD248" s="105"/>
      <c r="AE248" s="105"/>
      <c r="AF248" s="158"/>
      <c r="AG248" s="105"/>
      <c r="AH248" s="158"/>
      <c r="AI248" s="88"/>
      <c r="AJ248" s="88"/>
      <c r="AK248" s="131"/>
      <c r="AL248" s="131"/>
      <c r="AM248" s="131"/>
      <c r="AN248" s="131"/>
      <c r="AO248" s="131"/>
      <c r="AP248" s="88"/>
    </row>
    <row r="249">
      <c r="A249" s="155"/>
      <c r="B249" s="173"/>
      <c r="C249" s="174"/>
      <c r="D249" s="173"/>
      <c r="E249" s="155"/>
      <c r="F249" s="155"/>
      <c r="G249" s="88"/>
      <c r="H249" s="155"/>
      <c r="I249" s="155"/>
      <c r="J249" s="155"/>
      <c r="K249" s="15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58"/>
      <c r="AA249" s="105"/>
      <c r="AB249" s="105"/>
      <c r="AC249" s="105"/>
      <c r="AD249" s="105"/>
      <c r="AE249" s="105"/>
      <c r="AF249" s="158"/>
      <c r="AG249" s="105"/>
      <c r="AH249" s="158"/>
      <c r="AI249" s="88"/>
      <c r="AJ249" s="88"/>
      <c r="AK249" s="131"/>
      <c r="AL249" s="131"/>
      <c r="AM249" s="131"/>
      <c r="AN249" s="131"/>
      <c r="AO249" s="131"/>
      <c r="AP249" s="88"/>
    </row>
    <row r="250">
      <c r="A250" s="155"/>
      <c r="B250" s="173"/>
      <c r="C250" s="174"/>
      <c r="D250" s="173"/>
      <c r="E250" s="155"/>
      <c r="F250" s="155"/>
      <c r="G250" s="88"/>
      <c r="H250" s="155"/>
      <c r="I250" s="155"/>
      <c r="J250" s="155"/>
      <c r="K250" s="15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58"/>
      <c r="AA250" s="105"/>
      <c r="AB250" s="105"/>
      <c r="AC250" s="105"/>
      <c r="AD250" s="105"/>
      <c r="AE250" s="105"/>
      <c r="AF250" s="158"/>
      <c r="AG250" s="105"/>
      <c r="AH250" s="158"/>
      <c r="AI250" s="88"/>
      <c r="AJ250" s="88"/>
      <c r="AK250" s="131"/>
      <c r="AL250" s="131"/>
      <c r="AM250" s="131"/>
      <c r="AN250" s="131"/>
      <c r="AO250" s="131"/>
      <c r="AP250" s="88"/>
    </row>
    <row r="251">
      <c r="A251" s="155"/>
      <c r="B251" s="173"/>
      <c r="C251" s="174"/>
      <c r="D251" s="173"/>
      <c r="E251" s="155"/>
      <c r="F251" s="155"/>
      <c r="G251" s="88"/>
      <c r="H251" s="155"/>
      <c r="I251" s="155"/>
      <c r="J251" s="155"/>
      <c r="K251" s="15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58"/>
      <c r="AA251" s="105"/>
      <c r="AB251" s="105"/>
      <c r="AC251" s="105"/>
      <c r="AD251" s="105"/>
      <c r="AE251" s="105"/>
      <c r="AF251" s="158"/>
      <c r="AG251" s="105"/>
      <c r="AH251" s="158"/>
      <c r="AI251" s="88"/>
      <c r="AJ251" s="88"/>
      <c r="AK251" s="131"/>
      <c r="AL251" s="131"/>
      <c r="AM251" s="131"/>
      <c r="AN251" s="131"/>
      <c r="AO251" s="131"/>
      <c r="AP251" s="88"/>
    </row>
    <row r="252">
      <c r="A252" s="155"/>
      <c r="B252" s="173"/>
      <c r="C252" s="174"/>
      <c r="D252" s="173"/>
      <c r="E252" s="155"/>
      <c r="F252" s="155"/>
      <c r="G252" s="88"/>
      <c r="H252" s="155"/>
      <c r="I252" s="155"/>
      <c r="J252" s="155"/>
      <c r="K252" s="15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58"/>
      <c r="AA252" s="105"/>
      <c r="AB252" s="105"/>
      <c r="AC252" s="105"/>
      <c r="AD252" s="105"/>
      <c r="AE252" s="105"/>
      <c r="AF252" s="158"/>
      <c r="AG252" s="105"/>
      <c r="AH252" s="158"/>
      <c r="AI252" s="88"/>
      <c r="AJ252" s="88"/>
      <c r="AK252" s="131"/>
      <c r="AL252" s="131"/>
      <c r="AM252" s="131"/>
      <c r="AN252" s="131"/>
      <c r="AO252" s="131"/>
      <c r="AP252" s="88"/>
    </row>
    <row r="253">
      <c r="A253" s="155"/>
      <c r="B253" s="173"/>
      <c r="C253" s="174"/>
      <c r="D253" s="173"/>
      <c r="E253" s="155"/>
      <c r="F253" s="155"/>
      <c r="G253" s="88"/>
      <c r="H253" s="155"/>
      <c r="I253" s="155"/>
      <c r="J253" s="155"/>
      <c r="K253" s="15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58"/>
      <c r="AA253" s="105"/>
      <c r="AB253" s="105"/>
      <c r="AC253" s="105"/>
      <c r="AD253" s="105"/>
      <c r="AE253" s="105"/>
      <c r="AF253" s="158"/>
      <c r="AG253" s="105"/>
      <c r="AH253" s="158"/>
      <c r="AI253" s="88"/>
      <c r="AJ253" s="88"/>
      <c r="AK253" s="131"/>
      <c r="AL253" s="131"/>
      <c r="AM253" s="131"/>
      <c r="AN253" s="131"/>
      <c r="AO253" s="131"/>
      <c r="AP253" s="88"/>
    </row>
    <row r="254">
      <c r="A254" s="155"/>
      <c r="B254" s="173"/>
      <c r="C254" s="174"/>
      <c r="D254" s="173"/>
      <c r="E254" s="155"/>
      <c r="F254" s="155"/>
      <c r="G254" s="88"/>
      <c r="H254" s="155"/>
      <c r="I254" s="155"/>
      <c r="J254" s="155"/>
      <c r="K254" s="15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58"/>
      <c r="AA254" s="105"/>
      <c r="AB254" s="105"/>
      <c r="AC254" s="105"/>
      <c r="AD254" s="105"/>
      <c r="AE254" s="105"/>
      <c r="AF254" s="158"/>
      <c r="AG254" s="105"/>
      <c r="AH254" s="158"/>
      <c r="AI254" s="88"/>
      <c r="AJ254" s="88"/>
      <c r="AK254" s="131"/>
      <c r="AL254" s="131"/>
      <c r="AM254" s="131"/>
      <c r="AN254" s="131"/>
      <c r="AO254" s="131"/>
      <c r="AP254" s="88"/>
    </row>
    <row r="255">
      <c r="A255" s="155"/>
      <c r="B255" s="173"/>
      <c r="C255" s="174"/>
      <c r="D255" s="173"/>
      <c r="E255" s="155"/>
      <c r="F255" s="155"/>
      <c r="G255" s="88"/>
      <c r="H255" s="155"/>
      <c r="I255" s="155"/>
      <c r="J255" s="155"/>
      <c r="K255" s="15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58"/>
      <c r="AA255" s="105"/>
      <c r="AB255" s="105"/>
      <c r="AC255" s="105"/>
      <c r="AD255" s="105"/>
      <c r="AE255" s="105"/>
      <c r="AF255" s="158"/>
      <c r="AG255" s="105"/>
      <c r="AH255" s="158"/>
      <c r="AI255" s="88"/>
      <c r="AJ255" s="88"/>
      <c r="AK255" s="131"/>
      <c r="AL255" s="131"/>
      <c r="AM255" s="131"/>
      <c r="AN255" s="131"/>
      <c r="AO255" s="131"/>
      <c r="AP255" s="88"/>
    </row>
    <row r="256">
      <c r="A256" s="155"/>
      <c r="B256" s="173"/>
      <c r="C256" s="174"/>
      <c r="D256" s="173"/>
      <c r="E256" s="155"/>
      <c r="F256" s="155"/>
      <c r="G256" s="88"/>
      <c r="H256" s="155"/>
      <c r="I256" s="155"/>
      <c r="J256" s="155"/>
      <c r="K256" s="15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58"/>
      <c r="AA256" s="105"/>
      <c r="AB256" s="105"/>
      <c r="AC256" s="105"/>
      <c r="AD256" s="105"/>
      <c r="AE256" s="105"/>
      <c r="AF256" s="158"/>
      <c r="AG256" s="105"/>
      <c r="AH256" s="158"/>
      <c r="AI256" s="88"/>
      <c r="AJ256" s="88"/>
      <c r="AK256" s="131"/>
      <c r="AL256" s="131"/>
      <c r="AM256" s="131"/>
      <c r="AN256" s="131"/>
      <c r="AO256" s="131"/>
      <c r="AP256" s="88"/>
    </row>
    <row r="257">
      <c r="A257" s="155"/>
      <c r="B257" s="173"/>
      <c r="C257" s="174"/>
      <c r="D257" s="173"/>
      <c r="E257" s="155"/>
      <c r="F257" s="155"/>
      <c r="G257" s="88"/>
      <c r="H257" s="155"/>
      <c r="I257" s="155"/>
      <c r="J257" s="155"/>
      <c r="K257" s="15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58"/>
      <c r="AA257" s="105"/>
      <c r="AB257" s="105"/>
      <c r="AC257" s="105"/>
      <c r="AD257" s="105"/>
      <c r="AE257" s="105"/>
      <c r="AF257" s="158"/>
      <c r="AG257" s="105"/>
      <c r="AH257" s="158"/>
      <c r="AI257" s="88"/>
      <c r="AJ257" s="88"/>
      <c r="AK257" s="131"/>
      <c r="AL257" s="131"/>
      <c r="AM257" s="131"/>
      <c r="AN257" s="131"/>
      <c r="AO257" s="131"/>
      <c r="AP257" s="88"/>
    </row>
    <row r="258">
      <c r="A258" s="155"/>
      <c r="B258" s="173"/>
      <c r="C258" s="174"/>
      <c r="D258" s="173"/>
      <c r="E258" s="155"/>
      <c r="F258" s="155"/>
      <c r="G258" s="88"/>
      <c r="H258" s="155"/>
      <c r="I258" s="155"/>
      <c r="J258" s="155"/>
      <c r="K258" s="15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58"/>
      <c r="AA258" s="105"/>
      <c r="AB258" s="105"/>
      <c r="AC258" s="105"/>
      <c r="AD258" s="105"/>
      <c r="AE258" s="105"/>
      <c r="AF258" s="158"/>
      <c r="AG258" s="105"/>
      <c r="AH258" s="158"/>
      <c r="AI258" s="88"/>
      <c r="AJ258" s="88"/>
      <c r="AK258" s="131"/>
      <c r="AL258" s="131"/>
      <c r="AM258" s="131"/>
      <c r="AN258" s="131"/>
      <c r="AO258" s="131"/>
      <c r="AP258" s="88"/>
    </row>
    <row r="259">
      <c r="A259" s="155"/>
      <c r="B259" s="173"/>
      <c r="C259" s="174"/>
      <c r="D259" s="173"/>
      <c r="E259" s="155"/>
      <c r="F259" s="155"/>
      <c r="G259" s="88"/>
      <c r="H259" s="155"/>
      <c r="I259" s="155"/>
      <c r="J259" s="155"/>
      <c r="K259" s="15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58"/>
      <c r="AA259" s="105"/>
      <c r="AB259" s="105"/>
      <c r="AC259" s="105"/>
      <c r="AD259" s="105"/>
      <c r="AE259" s="105"/>
      <c r="AF259" s="158"/>
      <c r="AG259" s="105"/>
      <c r="AH259" s="158"/>
      <c r="AI259" s="88"/>
      <c r="AJ259" s="88"/>
      <c r="AK259" s="131"/>
      <c r="AL259" s="131"/>
      <c r="AM259" s="131"/>
      <c r="AN259" s="131"/>
      <c r="AO259" s="131"/>
      <c r="AP259" s="88"/>
    </row>
    <row r="260">
      <c r="A260" s="155"/>
      <c r="B260" s="173"/>
      <c r="C260" s="174"/>
      <c r="D260" s="173"/>
      <c r="E260" s="155"/>
      <c r="F260" s="155"/>
      <c r="G260" s="88"/>
      <c r="H260" s="155"/>
      <c r="I260" s="155"/>
      <c r="J260" s="155"/>
      <c r="K260" s="15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58"/>
      <c r="AA260" s="105"/>
      <c r="AB260" s="105"/>
      <c r="AC260" s="105"/>
      <c r="AD260" s="105"/>
      <c r="AE260" s="105"/>
      <c r="AF260" s="158"/>
      <c r="AG260" s="105"/>
      <c r="AH260" s="158"/>
      <c r="AI260" s="88"/>
      <c r="AJ260" s="88"/>
      <c r="AK260" s="131"/>
      <c r="AL260" s="131"/>
      <c r="AM260" s="131"/>
      <c r="AN260" s="131"/>
      <c r="AO260" s="131"/>
      <c r="AP260" s="88"/>
    </row>
    <row r="261">
      <c r="A261" s="155"/>
      <c r="B261" s="173"/>
      <c r="C261" s="174"/>
      <c r="D261" s="173"/>
      <c r="E261" s="155"/>
      <c r="F261" s="155"/>
      <c r="G261" s="88"/>
      <c r="H261" s="155"/>
      <c r="I261" s="155"/>
      <c r="J261" s="155"/>
      <c r="K261" s="15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58"/>
      <c r="AA261" s="105"/>
      <c r="AB261" s="105"/>
      <c r="AC261" s="105"/>
      <c r="AD261" s="105"/>
      <c r="AE261" s="105"/>
      <c r="AF261" s="158"/>
      <c r="AG261" s="105"/>
      <c r="AH261" s="158"/>
      <c r="AI261" s="88"/>
      <c r="AJ261" s="88"/>
      <c r="AK261" s="131"/>
      <c r="AL261" s="131"/>
      <c r="AM261" s="131"/>
      <c r="AN261" s="131"/>
      <c r="AO261" s="131"/>
      <c r="AP261" s="88"/>
    </row>
    <row r="262">
      <c r="A262" s="155"/>
      <c r="B262" s="173"/>
      <c r="C262" s="174"/>
      <c r="D262" s="173"/>
      <c r="E262" s="155"/>
      <c r="F262" s="155"/>
      <c r="G262" s="88"/>
      <c r="H262" s="155"/>
      <c r="I262" s="155"/>
      <c r="J262" s="155"/>
      <c r="K262" s="15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58"/>
      <c r="AA262" s="105"/>
      <c r="AB262" s="105"/>
      <c r="AC262" s="105"/>
      <c r="AD262" s="105"/>
      <c r="AE262" s="105"/>
      <c r="AF262" s="158"/>
      <c r="AG262" s="105"/>
      <c r="AH262" s="158"/>
      <c r="AI262" s="88"/>
      <c r="AJ262" s="88"/>
      <c r="AK262" s="131"/>
      <c r="AL262" s="131"/>
      <c r="AM262" s="131"/>
      <c r="AN262" s="131"/>
      <c r="AO262" s="131"/>
      <c r="AP262" s="88"/>
    </row>
    <row r="263">
      <c r="A263" s="155"/>
      <c r="B263" s="173"/>
      <c r="C263" s="174"/>
      <c r="D263" s="173"/>
      <c r="E263" s="155"/>
      <c r="F263" s="155"/>
      <c r="G263" s="88"/>
      <c r="H263" s="155"/>
      <c r="I263" s="155"/>
      <c r="J263" s="155"/>
      <c r="K263" s="15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58"/>
      <c r="AA263" s="105"/>
      <c r="AB263" s="105"/>
      <c r="AC263" s="105"/>
      <c r="AD263" s="105"/>
      <c r="AE263" s="105"/>
      <c r="AF263" s="158"/>
      <c r="AG263" s="105"/>
      <c r="AH263" s="158"/>
      <c r="AI263" s="88"/>
      <c r="AJ263" s="88"/>
      <c r="AK263" s="131"/>
      <c r="AL263" s="131"/>
      <c r="AM263" s="131"/>
      <c r="AN263" s="131"/>
      <c r="AO263" s="131"/>
      <c r="AP263" s="88"/>
    </row>
    <row r="264">
      <c r="A264" s="155"/>
      <c r="B264" s="173"/>
      <c r="C264" s="174"/>
      <c r="D264" s="173"/>
      <c r="E264" s="155"/>
      <c r="F264" s="155"/>
      <c r="G264" s="88"/>
      <c r="H264" s="155"/>
      <c r="I264" s="155"/>
      <c r="J264" s="155"/>
      <c r="K264" s="15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58"/>
      <c r="AA264" s="105"/>
      <c r="AB264" s="105"/>
      <c r="AC264" s="105"/>
      <c r="AD264" s="105"/>
      <c r="AE264" s="105"/>
      <c r="AF264" s="158"/>
      <c r="AG264" s="105"/>
      <c r="AH264" s="158"/>
      <c r="AI264" s="88"/>
      <c r="AJ264" s="88"/>
      <c r="AK264" s="131"/>
      <c r="AL264" s="131"/>
      <c r="AM264" s="131"/>
      <c r="AN264" s="131"/>
      <c r="AO264" s="131"/>
      <c r="AP264" s="88"/>
    </row>
    <row r="265">
      <c r="A265" s="155"/>
      <c r="B265" s="173"/>
      <c r="C265" s="174"/>
      <c r="D265" s="173"/>
      <c r="E265" s="155"/>
      <c r="F265" s="155"/>
      <c r="G265" s="88"/>
      <c r="H265" s="155"/>
      <c r="I265" s="155"/>
      <c r="J265" s="155"/>
      <c r="K265" s="15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58"/>
      <c r="AA265" s="105"/>
      <c r="AB265" s="105"/>
      <c r="AC265" s="105"/>
      <c r="AD265" s="105"/>
      <c r="AE265" s="105"/>
      <c r="AF265" s="158"/>
      <c r="AG265" s="105"/>
      <c r="AH265" s="158"/>
      <c r="AI265" s="88"/>
      <c r="AJ265" s="88"/>
      <c r="AK265" s="131"/>
      <c r="AL265" s="131"/>
      <c r="AM265" s="131"/>
      <c r="AN265" s="131"/>
      <c r="AO265" s="131"/>
      <c r="AP265" s="88"/>
    </row>
    <row r="266">
      <c r="A266" s="155"/>
      <c r="B266" s="173"/>
      <c r="C266" s="174"/>
      <c r="D266" s="173"/>
      <c r="E266" s="155"/>
      <c r="F266" s="155"/>
      <c r="G266" s="88"/>
      <c r="H266" s="155"/>
      <c r="I266" s="155"/>
      <c r="J266" s="155"/>
      <c r="K266" s="15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58"/>
      <c r="AA266" s="105"/>
      <c r="AB266" s="105"/>
      <c r="AC266" s="105"/>
      <c r="AD266" s="105"/>
      <c r="AE266" s="105"/>
      <c r="AF266" s="158"/>
      <c r="AG266" s="105"/>
      <c r="AH266" s="158"/>
      <c r="AI266" s="88"/>
      <c r="AJ266" s="88"/>
      <c r="AK266" s="131"/>
      <c r="AL266" s="131"/>
      <c r="AM266" s="131"/>
      <c r="AN266" s="131"/>
      <c r="AO266" s="131"/>
      <c r="AP266" s="88"/>
    </row>
    <row r="267">
      <c r="A267" s="155"/>
      <c r="B267" s="173"/>
      <c r="C267" s="174"/>
      <c r="D267" s="173"/>
      <c r="E267" s="155"/>
      <c r="F267" s="155"/>
      <c r="G267" s="88"/>
      <c r="H267" s="155"/>
      <c r="I267" s="155"/>
      <c r="J267" s="155"/>
      <c r="K267" s="15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58"/>
      <c r="AA267" s="105"/>
      <c r="AB267" s="105"/>
      <c r="AC267" s="105"/>
      <c r="AD267" s="105"/>
      <c r="AE267" s="105"/>
      <c r="AF267" s="158"/>
      <c r="AG267" s="105"/>
      <c r="AH267" s="158"/>
      <c r="AI267" s="88"/>
      <c r="AJ267" s="88"/>
      <c r="AK267" s="131"/>
      <c r="AL267" s="131"/>
      <c r="AM267" s="131"/>
      <c r="AN267" s="131"/>
      <c r="AO267" s="131"/>
      <c r="AP267" s="88"/>
    </row>
    <row r="268">
      <c r="A268" s="155"/>
      <c r="B268" s="173"/>
      <c r="C268" s="174"/>
      <c r="D268" s="173"/>
      <c r="E268" s="155"/>
      <c r="F268" s="155"/>
      <c r="G268" s="88"/>
      <c r="H268" s="155"/>
      <c r="I268" s="155"/>
      <c r="J268" s="155"/>
      <c r="K268" s="15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58"/>
      <c r="AA268" s="105"/>
      <c r="AB268" s="105"/>
      <c r="AC268" s="105"/>
      <c r="AD268" s="105"/>
      <c r="AE268" s="105"/>
      <c r="AF268" s="158"/>
      <c r="AG268" s="105"/>
      <c r="AH268" s="158"/>
      <c r="AI268" s="88"/>
      <c r="AJ268" s="88"/>
      <c r="AK268" s="131"/>
      <c r="AL268" s="131"/>
      <c r="AM268" s="131"/>
      <c r="AN268" s="131"/>
      <c r="AO268" s="131"/>
      <c r="AP268" s="88"/>
    </row>
    <row r="269">
      <c r="A269" s="155"/>
      <c r="B269" s="173"/>
      <c r="C269" s="174"/>
      <c r="D269" s="173"/>
      <c r="E269" s="155"/>
      <c r="F269" s="155"/>
      <c r="G269" s="88"/>
      <c r="H269" s="155"/>
      <c r="I269" s="155"/>
      <c r="J269" s="155"/>
      <c r="K269" s="15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58"/>
      <c r="AA269" s="105"/>
      <c r="AB269" s="105"/>
      <c r="AC269" s="105"/>
      <c r="AD269" s="105"/>
      <c r="AE269" s="105"/>
      <c r="AF269" s="158"/>
      <c r="AG269" s="105"/>
      <c r="AH269" s="158"/>
      <c r="AI269" s="88"/>
      <c r="AJ269" s="88"/>
      <c r="AK269" s="131"/>
      <c r="AL269" s="131"/>
      <c r="AM269" s="131"/>
      <c r="AN269" s="131"/>
      <c r="AO269" s="131"/>
      <c r="AP269" s="88"/>
    </row>
    <row r="270">
      <c r="A270" s="155"/>
      <c r="B270" s="173"/>
      <c r="C270" s="174"/>
      <c r="D270" s="173"/>
      <c r="E270" s="155"/>
      <c r="F270" s="155"/>
      <c r="G270" s="88"/>
      <c r="H270" s="155"/>
      <c r="I270" s="155"/>
      <c r="J270" s="155"/>
      <c r="K270" s="15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58"/>
      <c r="AA270" s="105"/>
      <c r="AB270" s="105"/>
      <c r="AC270" s="105"/>
      <c r="AD270" s="105"/>
      <c r="AE270" s="105"/>
      <c r="AF270" s="158"/>
      <c r="AG270" s="105"/>
      <c r="AH270" s="158"/>
      <c r="AI270" s="88"/>
      <c r="AJ270" s="88"/>
      <c r="AK270" s="131"/>
      <c r="AL270" s="131"/>
      <c r="AM270" s="131"/>
      <c r="AN270" s="131"/>
      <c r="AO270" s="131"/>
      <c r="AP270" s="88"/>
    </row>
    <row r="271">
      <c r="A271" s="155"/>
      <c r="B271" s="173"/>
      <c r="C271" s="174"/>
      <c r="D271" s="173"/>
      <c r="E271" s="155"/>
      <c r="F271" s="155"/>
      <c r="G271" s="88"/>
      <c r="H271" s="155"/>
      <c r="I271" s="155"/>
      <c r="J271" s="155"/>
      <c r="K271" s="15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58"/>
      <c r="AA271" s="105"/>
      <c r="AB271" s="105"/>
      <c r="AC271" s="105"/>
      <c r="AD271" s="105"/>
      <c r="AE271" s="105"/>
      <c r="AF271" s="158"/>
      <c r="AG271" s="105"/>
      <c r="AH271" s="158"/>
      <c r="AI271" s="88"/>
      <c r="AJ271" s="88"/>
      <c r="AK271" s="131"/>
      <c r="AL271" s="131"/>
      <c r="AM271" s="131"/>
      <c r="AN271" s="131"/>
      <c r="AO271" s="131"/>
      <c r="AP271" s="88"/>
    </row>
    <row r="272">
      <c r="A272" s="155"/>
      <c r="B272" s="173"/>
      <c r="C272" s="174"/>
      <c r="D272" s="173"/>
      <c r="E272" s="155"/>
      <c r="F272" s="155"/>
      <c r="G272" s="88"/>
      <c r="H272" s="155"/>
      <c r="I272" s="155"/>
      <c r="J272" s="155"/>
      <c r="K272" s="15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58"/>
      <c r="AA272" s="105"/>
      <c r="AB272" s="105"/>
      <c r="AC272" s="105"/>
      <c r="AD272" s="105"/>
      <c r="AE272" s="105"/>
      <c r="AF272" s="158"/>
      <c r="AG272" s="105"/>
      <c r="AH272" s="158"/>
      <c r="AI272" s="88"/>
      <c r="AJ272" s="88"/>
      <c r="AK272" s="131"/>
      <c r="AL272" s="131"/>
      <c r="AM272" s="131"/>
      <c r="AN272" s="131"/>
      <c r="AO272" s="131"/>
      <c r="AP272" s="88"/>
    </row>
    <row r="273">
      <c r="A273" s="155"/>
      <c r="B273" s="173"/>
      <c r="C273" s="174"/>
      <c r="D273" s="173"/>
      <c r="E273" s="155"/>
      <c r="F273" s="155"/>
      <c r="G273" s="88"/>
      <c r="H273" s="155"/>
      <c r="I273" s="155"/>
      <c r="J273" s="155"/>
      <c r="K273" s="15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58"/>
      <c r="AA273" s="105"/>
      <c r="AB273" s="105"/>
      <c r="AC273" s="105"/>
      <c r="AD273" s="105"/>
      <c r="AE273" s="105"/>
      <c r="AF273" s="158"/>
      <c r="AG273" s="105"/>
      <c r="AH273" s="158"/>
      <c r="AI273" s="88"/>
      <c r="AJ273" s="88"/>
      <c r="AK273" s="131"/>
      <c r="AL273" s="131"/>
      <c r="AM273" s="131"/>
      <c r="AN273" s="131"/>
      <c r="AO273" s="131"/>
      <c r="AP273" s="88"/>
    </row>
    <row r="274">
      <c r="A274" s="155"/>
      <c r="B274" s="173"/>
      <c r="C274" s="174"/>
      <c r="D274" s="173"/>
      <c r="E274" s="155"/>
      <c r="F274" s="155"/>
      <c r="G274" s="88"/>
      <c r="H274" s="155"/>
      <c r="I274" s="155"/>
      <c r="J274" s="155"/>
      <c r="K274" s="15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58"/>
      <c r="AA274" s="105"/>
      <c r="AB274" s="105"/>
      <c r="AC274" s="105"/>
      <c r="AD274" s="105"/>
      <c r="AE274" s="105"/>
      <c r="AF274" s="158"/>
      <c r="AG274" s="105"/>
      <c r="AH274" s="158"/>
      <c r="AI274" s="88"/>
      <c r="AJ274" s="88"/>
      <c r="AK274" s="131"/>
      <c r="AL274" s="131"/>
      <c r="AM274" s="131"/>
      <c r="AN274" s="131"/>
      <c r="AO274" s="131"/>
      <c r="AP274" s="88"/>
    </row>
    <row r="275">
      <c r="A275" s="155"/>
      <c r="B275" s="173"/>
      <c r="C275" s="174"/>
      <c r="D275" s="173"/>
      <c r="E275" s="155"/>
      <c r="F275" s="155"/>
      <c r="G275" s="88"/>
      <c r="H275" s="155"/>
      <c r="I275" s="155"/>
      <c r="J275" s="155"/>
      <c r="K275" s="15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58"/>
      <c r="AA275" s="105"/>
      <c r="AB275" s="105"/>
      <c r="AC275" s="105"/>
      <c r="AD275" s="105"/>
      <c r="AE275" s="105"/>
      <c r="AF275" s="158"/>
      <c r="AG275" s="105"/>
      <c r="AH275" s="158"/>
      <c r="AI275" s="88"/>
      <c r="AJ275" s="88"/>
      <c r="AK275" s="131"/>
      <c r="AL275" s="131"/>
      <c r="AM275" s="131"/>
      <c r="AN275" s="131"/>
      <c r="AO275" s="131"/>
      <c r="AP275" s="88"/>
    </row>
    <row r="276">
      <c r="A276" s="155"/>
      <c r="B276" s="173"/>
      <c r="C276" s="174"/>
      <c r="D276" s="173"/>
      <c r="E276" s="155"/>
      <c r="F276" s="155"/>
      <c r="G276" s="88"/>
      <c r="H276" s="155"/>
      <c r="I276" s="155"/>
      <c r="J276" s="155"/>
      <c r="K276" s="15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58"/>
      <c r="AA276" s="105"/>
      <c r="AB276" s="105"/>
      <c r="AC276" s="105"/>
      <c r="AD276" s="105"/>
      <c r="AE276" s="105"/>
      <c r="AF276" s="158"/>
      <c r="AG276" s="105"/>
      <c r="AH276" s="158"/>
      <c r="AI276" s="88"/>
      <c r="AJ276" s="88"/>
      <c r="AK276" s="131"/>
      <c r="AL276" s="131"/>
      <c r="AM276" s="131"/>
      <c r="AN276" s="131"/>
      <c r="AO276" s="131"/>
      <c r="AP276" s="88"/>
    </row>
    <row r="277">
      <c r="A277" s="155"/>
      <c r="B277" s="173"/>
      <c r="C277" s="174"/>
      <c r="D277" s="173"/>
      <c r="E277" s="155"/>
      <c r="F277" s="155"/>
      <c r="G277" s="88"/>
      <c r="H277" s="155"/>
      <c r="I277" s="155"/>
      <c r="J277" s="155"/>
      <c r="K277" s="15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58"/>
      <c r="AA277" s="105"/>
      <c r="AB277" s="105"/>
      <c r="AC277" s="105"/>
      <c r="AD277" s="105"/>
      <c r="AE277" s="105"/>
      <c r="AF277" s="158"/>
      <c r="AG277" s="105"/>
      <c r="AH277" s="158"/>
      <c r="AI277" s="88"/>
      <c r="AJ277" s="88"/>
      <c r="AK277" s="131"/>
      <c r="AL277" s="131"/>
      <c r="AM277" s="131"/>
      <c r="AN277" s="131"/>
      <c r="AO277" s="131"/>
      <c r="AP277" s="88"/>
    </row>
    <row r="278">
      <c r="A278" s="155"/>
      <c r="B278" s="173"/>
      <c r="C278" s="174"/>
      <c r="D278" s="173"/>
      <c r="E278" s="155"/>
      <c r="F278" s="155"/>
      <c r="G278" s="88"/>
      <c r="H278" s="155"/>
      <c r="I278" s="155"/>
      <c r="J278" s="155"/>
      <c r="K278" s="15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58"/>
      <c r="AA278" s="105"/>
      <c r="AB278" s="105"/>
      <c r="AC278" s="105"/>
      <c r="AD278" s="105"/>
      <c r="AE278" s="105"/>
      <c r="AF278" s="158"/>
      <c r="AG278" s="105"/>
      <c r="AH278" s="158"/>
      <c r="AI278" s="88"/>
      <c r="AJ278" s="88"/>
      <c r="AK278" s="131"/>
      <c r="AL278" s="131"/>
      <c r="AM278" s="131"/>
      <c r="AN278" s="131"/>
      <c r="AO278" s="131"/>
      <c r="AP278" s="88"/>
    </row>
    <row r="279">
      <c r="A279" s="155"/>
      <c r="B279" s="173"/>
      <c r="C279" s="174"/>
      <c r="D279" s="173"/>
      <c r="E279" s="155"/>
      <c r="F279" s="155"/>
      <c r="G279" s="88"/>
      <c r="H279" s="155"/>
      <c r="I279" s="155"/>
      <c r="J279" s="155"/>
      <c r="K279" s="15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58"/>
      <c r="AA279" s="105"/>
      <c r="AB279" s="105"/>
      <c r="AC279" s="105"/>
      <c r="AD279" s="105"/>
      <c r="AE279" s="105"/>
      <c r="AF279" s="158"/>
      <c r="AG279" s="105"/>
      <c r="AH279" s="158"/>
      <c r="AI279" s="88"/>
      <c r="AJ279" s="88"/>
      <c r="AK279" s="131"/>
      <c r="AL279" s="131"/>
      <c r="AM279" s="131"/>
      <c r="AN279" s="131"/>
      <c r="AO279" s="131"/>
      <c r="AP279" s="88"/>
    </row>
    <row r="280">
      <c r="A280" s="155"/>
      <c r="B280" s="173"/>
      <c r="C280" s="174"/>
      <c r="D280" s="173"/>
      <c r="E280" s="155"/>
      <c r="F280" s="155"/>
      <c r="G280" s="88"/>
      <c r="H280" s="155"/>
      <c r="I280" s="155"/>
      <c r="J280" s="155"/>
      <c r="K280" s="15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58"/>
      <c r="AA280" s="105"/>
      <c r="AB280" s="105"/>
      <c r="AC280" s="105"/>
      <c r="AD280" s="105"/>
      <c r="AE280" s="105"/>
      <c r="AF280" s="158"/>
      <c r="AG280" s="105"/>
      <c r="AH280" s="158"/>
      <c r="AI280" s="88"/>
      <c r="AJ280" s="88"/>
      <c r="AK280" s="131"/>
      <c r="AL280" s="131"/>
      <c r="AM280" s="131"/>
      <c r="AN280" s="131"/>
      <c r="AO280" s="131"/>
      <c r="AP280" s="88"/>
    </row>
    <row r="281">
      <c r="A281" s="155"/>
      <c r="B281" s="173"/>
      <c r="C281" s="174"/>
      <c r="D281" s="173"/>
      <c r="E281" s="155"/>
      <c r="F281" s="155"/>
      <c r="G281" s="88"/>
      <c r="H281" s="155"/>
      <c r="I281" s="155"/>
      <c r="J281" s="155"/>
      <c r="K281" s="15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58"/>
      <c r="AA281" s="105"/>
      <c r="AB281" s="105"/>
      <c r="AC281" s="105"/>
      <c r="AD281" s="105"/>
      <c r="AE281" s="105"/>
      <c r="AF281" s="158"/>
      <c r="AG281" s="105"/>
      <c r="AH281" s="158"/>
      <c r="AI281" s="88"/>
      <c r="AJ281" s="88"/>
      <c r="AK281" s="131"/>
      <c r="AL281" s="131"/>
      <c r="AM281" s="131"/>
      <c r="AN281" s="131"/>
      <c r="AO281" s="131"/>
      <c r="AP281" s="88"/>
    </row>
    <row r="282">
      <c r="A282" s="155"/>
      <c r="B282" s="173"/>
      <c r="C282" s="174"/>
      <c r="D282" s="173"/>
      <c r="E282" s="155"/>
      <c r="F282" s="155"/>
      <c r="G282" s="88"/>
      <c r="H282" s="155"/>
      <c r="I282" s="155"/>
      <c r="J282" s="155"/>
      <c r="K282" s="15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58"/>
      <c r="AA282" s="105"/>
      <c r="AB282" s="105"/>
      <c r="AC282" s="105"/>
      <c r="AD282" s="105"/>
      <c r="AE282" s="105"/>
      <c r="AF282" s="158"/>
      <c r="AG282" s="105"/>
      <c r="AH282" s="158"/>
      <c r="AI282" s="88"/>
      <c r="AJ282" s="88"/>
      <c r="AK282" s="131"/>
      <c r="AL282" s="131"/>
      <c r="AM282" s="131"/>
      <c r="AN282" s="131"/>
      <c r="AO282" s="131"/>
      <c r="AP282" s="88"/>
    </row>
    <row r="283">
      <c r="A283" s="155"/>
      <c r="B283" s="173"/>
      <c r="C283" s="174"/>
      <c r="D283" s="173"/>
      <c r="E283" s="155"/>
      <c r="F283" s="155"/>
      <c r="G283" s="88"/>
      <c r="H283" s="155"/>
      <c r="I283" s="155"/>
      <c r="J283" s="155"/>
      <c r="K283" s="15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58"/>
      <c r="AA283" s="105"/>
      <c r="AB283" s="105"/>
      <c r="AC283" s="105"/>
      <c r="AD283" s="105"/>
      <c r="AE283" s="105"/>
      <c r="AF283" s="158"/>
      <c r="AG283" s="105"/>
      <c r="AH283" s="158"/>
      <c r="AI283" s="88"/>
      <c r="AJ283" s="88"/>
      <c r="AK283" s="131"/>
      <c r="AL283" s="131"/>
      <c r="AM283" s="131"/>
      <c r="AN283" s="131"/>
      <c r="AO283" s="131"/>
      <c r="AP283" s="88"/>
    </row>
    <row r="284">
      <c r="A284" s="155"/>
      <c r="B284" s="173"/>
      <c r="C284" s="174"/>
      <c r="D284" s="173"/>
      <c r="E284" s="155"/>
      <c r="F284" s="155"/>
      <c r="G284" s="88"/>
      <c r="H284" s="155"/>
      <c r="I284" s="155"/>
      <c r="J284" s="155"/>
      <c r="K284" s="15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58"/>
      <c r="AA284" s="105"/>
      <c r="AB284" s="105"/>
      <c r="AC284" s="105"/>
      <c r="AD284" s="105"/>
      <c r="AE284" s="105"/>
      <c r="AF284" s="158"/>
      <c r="AG284" s="105"/>
      <c r="AH284" s="158"/>
      <c r="AI284" s="88"/>
      <c r="AJ284" s="88"/>
      <c r="AK284" s="131"/>
      <c r="AL284" s="131"/>
      <c r="AM284" s="131"/>
      <c r="AN284" s="131"/>
      <c r="AO284" s="131"/>
      <c r="AP284" s="88"/>
    </row>
    <row r="285">
      <c r="A285" s="155"/>
      <c r="B285" s="173"/>
      <c r="C285" s="174"/>
      <c r="D285" s="173"/>
      <c r="E285" s="155"/>
      <c r="F285" s="155"/>
      <c r="G285" s="88"/>
      <c r="H285" s="155"/>
      <c r="I285" s="155"/>
      <c r="J285" s="155"/>
      <c r="K285" s="15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58"/>
      <c r="AA285" s="105"/>
      <c r="AB285" s="105"/>
      <c r="AC285" s="105"/>
      <c r="AD285" s="105"/>
      <c r="AE285" s="105"/>
      <c r="AF285" s="158"/>
      <c r="AG285" s="105"/>
      <c r="AH285" s="158"/>
      <c r="AI285" s="88"/>
      <c r="AJ285" s="88"/>
      <c r="AK285" s="131"/>
      <c r="AL285" s="131"/>
      <c r="AM285" s="131"/>
      <c r="AN285" s="131"/>
      <c r="AO285" s="131"/>
      <c r="AP285" s="88"/>
    </row>
    <row r="286">
      <c r="A286" s="155"/>
      <c r="B286" s="173"/>
      <c r="C286" s="174"/>
      <c r="D286" s="173"/>
      <c r="E286" s="155"/>
      <c r="F286" s="155"/>
      <c r="G286" s="88"/>
      <c r="H286" s="155"/>
      <c r="I286" s="155"/>
      <c r="J286" s="155"/>
      <c r="K286" s="15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58"/>
      <c r="AA286" s="105"/>
      <c r="AB286" s="105"/>
      <c r="AC286" s="105"/>
      <c r="AD286" s="105"/>
      <c r="AE286" s="105"/>
      <c r="AF286" s="158"/>
      <c r="AG286" s="105"/>
      <c r="AH286" s="158"/>
      <c r="AI286" s="88"/>
      <c r="AJ286" s="88"/>
      <c r="AK286" s="131"/>
      <c r="AL286" s="131"/>
      <c r="AM286" s="131"/>
      <c r="AN286" s="131"/>
      <c r="AO286" s="131"/>
      <c r="AP286" s="88"/>
    </row>
    <row r="287">
      <c r="A287" s="155"/>
      <c r="B287" s="173"/>
      <c r="C287" s="174"/>
      <c r="D287" s="173"/>
      <c r="E287" s="155"/>
      <c r="F287" s="155"/>
      <c r="G287" s="88"/>
      <c r="H287" s="155"/>
      <c r="I287" s="155"/>
      <c r="J287" s="155"/>
      <c r="K287" s="15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58"/>
      <c r="AA287" s="105"/>
      <c r="AB287" s="105"/>
      <c r="AC287" s="105"/>
      <c r="AD287" s="105"/>
      <c r="AE287" s="105"/>
      <c r="AF287" s="158"/>
      <c r="AG287" s="105"/>
      <c r="AH287" s="158"/>
      <c r="AI287" s="88"/>
      <c r="AJ287" s="88"/>
      <c r="AK287" s="131"/>
      <c r="AL287" s="131"/>
      <c r="AM287" s="131"/>
      <c r="AN287" s="131"/>
      <c r="AO287" s="131"/>
      <c r="AP287" s="88"/>
    </row>
    <row r="288">
      <c r="A288" s="155"/>
      <c r="B288" s="173"/>
      <c r="C288" s="174"/>
      <c r="D288" s="173"/>
      <c r="E288" s="155"/>
      <c r="F288" s="155"/>
      <c r="G288" s="88"/>
      <c r="H288" s="155"/>
      <c r="I288" s="155"/>
      <c r="J288" s="155"/>
      <c r="K288" s="15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58"/>
      <c r="AA288" s="105"/>
      <c r="AB288" s="105"/>
      <c r="AC288" s="105"/>
      <c r="AD288" s="105"/>
      <c r="AE288" s="105"/>
      <c r="AF288" s="158"/>
      <c r="AG288" s="105"/>
      <c r="AH288" s="158"/>
      <c r="AI288" s="88"/>
      <c r="AJ288" s="88"/>
      <c r="AK288" s="131"/>
      <c r="AL288" s="131"/>
      <c r="AM288" s="131"/>
      <c r="AN288" s="131"/>
      <c r="AO288" s="131"/>
      <c r="AP288" s="88"/>
    </row>
    <row r="289">
      <c r="A289" s="155"/>
      <c r="B289" s="173"/>
      <c r="C289" s="174"/>
      <c r="D289" s="173"/>
      <c r="E289" s="155"/>
      <c r="F289" s="155"/>
      <c r="G289" s="88"/>
      <c r="H289" s="155"/>
      <c r="I289" s="155"/>
      <c r="J289" s="155"/>
      <c r="K289" s="15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58"/>
      <c r="AA289" s="105"/>
      <c r="AB289" s="105"/>
      <c r="AC289" s="105"/>
      <c r="AD289" s="105"/>
      <c r="AE289" s="105"/>
      <c r="AF289" s="158"/>
      <c r="AG289" s="105"/>
      <c r="AH289" s="158"/>
      <c r="AI289" s="88"/>
      <c r="AJ289" s="88"/>
      <c r="AK289" s="131"/>
      <c r="AL289" s="131"/>
      <c r="AM289" s="131"/>
      <c r="AN289" s="131"/>
      <c r="AO289" s="131"/>
      <c r="AP289" s="88"/>
    </row>
    <row r="290">
      <c r="A290" s="155"/>
      <c r="B290" s="173"/>
      <c r="C290" s="174"/>
      <c r="D290" s="173"/>
      <c r="E290" s="155"/>
      <c r="F290" s="155"/>
      <c r="G290" s="88"/>
      <c r="H290" s="155"/>
      <c r="I290" s="155"/>
      <c r="J290" s="155"/>
      <c r="K290" s="15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58"/>
      <c r="AA290" s="105"/>
      <c r="AB290" s="105"/>
      <c r="AC290" s="105"/>
      <c r="AD290" s="105"/>
      <c r="AE290" s="105"/>
      <c r="AF290" s="158"/>
      <c r="AG290" s="105"/>
      <c r="AH290" s="158"/>
      <c r="AI290" s="88"/>
      <c r="AJ290" s="88"/>
      <c r="AK290" s="131"/>
      <c r="AL290" s="131"/>
      <c r="AM290" s="131"/>
      <c r="AN290" s="131"/>
      <c r="AO290" s="131"/>
      <c r="AP290" s="88"/>
    </row>
    <row r="291">
      <c r="A291" s="155"/>
      <c r="B291" s="173"/>
      <c r="C291" s="174"/>
      <c r="D291" s="173"/>
      <c r="E291" s="155"/>
      <c r="F291" s="155"/>
      <c r="G291" s="88"/>
      <c r="H291" s="155"/>
      <c r="I291" s="155"/>
      <c r="J291" s="155"/>
      <c r="K291" s="15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58"/>
      <c r="AA291" s="105"/>
      <c r="AB291" s="105"/>
      <c r="AC291" s="105"/>
      <c r="AD291" s="105"/>
      <c r="AE291" s="105"/>
      <c r="AF291" s="158"/>
      <c r="AG291" s="105"/>
      <c r="AH291" s="158"/>
      <c r="AI291" s="88"/>
      <c r="AJ291" s="88"/>
      <c r="AK291" s="131"/>
      <c r="AL291" s="131"/>
      <c r="AM291" s="131"/>
      <c r="AN291" s="131"/>
      <c r="AO291" s="131"/>
      <c r="AP291" s="88"/>
    </row>
    <row r="292">
      <c r="A292" s="155"/>
      <c r="B292" s="173"/>
      <c r="C292" s="174"/>
      <c r="D292" s="173"/>
      <c r="E292" s="155"/>
      <c r="F292" s="155"/>
      <c r="G292" s="88"/>
      <c r="H292" s="155"/>
      <c r="I292" s="155"/>
      <c r="J292" s="155"/>
      <c r="K292" s="15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58"/>
      <c r="AA292" s="105"/>
      <c r="AB292" s="105"/>
      <c r="AC292" s="105"/>
      <c r="AD292" s="105"/>
      <c r="AE292" s="105"/>
      <c r="AF292" s="158"/>
      <c r="AG292" s="105"/>
      <c r="AH292" s="158"/>
      <c r="AI292" s="88"/>
      <c r="AJ292" s="88"/>
      <c r="AK292" s="131"/>
      <c r="AL292" s="131"/>
      <c r="AM292" s="131"/>
      <c r="AN292" s="131"/>
      <c r="AO292" s="131"/>
      <c r="AP292" s="88"/>
    </row>
    <row r="293">
      <c r="A293" s="155"/>
      <c r="B293" s="173"/>
      <c r="C293" s="174"/>
      <c r="D293" s="173"/>
      <c r="E293" s="155"/>
      <c r="F293" s="155"/>
      <c r="G293" s="88"/>
      <c r="H293" s="155"/>
      <c r="I293" s="155"/>
      <c r="J293" s="155"/>
      <c r="K293" s="15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58"/>
      <c r="AA293" s="105"/>
      <c r="AB293" s="105"/>
      <c r="AC293" s="105"/>
      <c r="AD293" s="105"/>
      <c r="AE293" s="105"/>
      <c r="AF293" s="158"/>
      <c r="AG293" s="105"/>
      <c r="AH293" s="158"/>
      <c r="AI293" s="88"/>
      <c r="AJ293" s="88"/>
      <c r="AK293" s="131"/>
      <c r="AL293" s="131"/>
      <c r="AM293" s="131"/>
      <c r="AN293" s="131"/>
      <c r="AO293" s="131"/>
      <c r="AP293" s="88"/>
    </row>
    <row r="294">
      <c r="A294" s="155"/>
      <c r="B294" s="173"/>
      <c r="C294" s="174"/>
      <c r="D294" s="173"/>
      <c r="E294" s="155"/>
      <c r="F294" s="155"/>
      <c r="G294" s="88"/>
      <c r="H294" s="155"/>
      <c r="I294" s="155"/>
      <c r="J294" s="155"/>
      <c r="K294" s="15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58"/>
      <c r="AA294" s="105"/>
      <c r="AB294" s="105"/>
      <c r="AC294" s="105"/>
      <c r="AD294" s="105"/>
      <c r="AE294" s="105"/>
      <c r="AF294" s="158"/>
      <c r="AG294" s="105"/>
      <c r="AH294" s="158"/>
      <c r="AI294" s="88"/>
      <c r="AJ294" s="88"/>
      <c r="AK294" s="131"/>
      <c r="AL294" s="131"/>
      <c r="AM294" s="131"/>
      <c r="AN294" s="131"/>
      <c r="AO294" s="131"/>
      <c r="AP294" s="88"/>
    </row>
    <row r="295">
      <c r="A295" s="155"/>
      <c r="B295" s="173"/>
      <c r="C295" s="174"/>
      <c r="D295" s="173"/>
      <c r="E295" s="155"/>
      <c r="F295" s="155"/>
      <c r="G295" s="88"/>
      <c r="H295" s="155"/>
      <c r="I295" s="155"/>
      <c r="J295" s="155"/>
      <c r="K295" s="15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58"/>
      <c r="AA295" s="105"/>
      <c r="AB295" s="105"/>
      <c r="AC295" s="105"/>
      <c r="AD295" s="105"/>
      <c r="AE295" s="105"/>
      <c r="AF295" s="158"/>
      <c r="AG295" s="105"/>
      <c r="AH295" s="158"/>
      <c r="AI295" s="88"/>
      <c r="AJ295" s="88"/>
      <c r="AK295" s="131"/>
      <c r="AL295" s="131"/>
      <c r="AM295" s="131"/>
      <c r="AN295" s="131"/>
      <c r="AO295" s="131"/>
      <c r="AP295" s="88"/>
    </row>
    <row r="296">
      <c r="A296" s="155"/>
      <c r="B296" s="173"/>
      <c r="C296" s="174"/>
      <c r="D296" s="173"/>
      <c r="E296" s="155"/>
      <c r="F296" s="155"/>
      <c r="G296" s="88"/>
      <c r="H296" s="155"/>
      <c r="I296" s="155"/>
      <c r="J296" s="155"/>
      <c r="K296" s="15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58"/>
      <c r="AA296" s="105"/>
      <c r="AB296" s="105"/>
      <c r="AC296" s="105"/>
      <c r="AD296" s="105"/>
      <c r="AE296" s="105"/>
      <c r="AF296" s="158"/>
      <c r="AG296" s="105"/>
      <c r="AH296" s="158"/>
      <c r="AI296" s="88"/>
      <c r="AJ296" s="88"/>
      <c r="AK296" s="131"/>
      <c r="AL296" s="131"/>
      <c r="AM296" s="131"/>
      <c r="AN296" s="131"/>
      <c r="AO296" s="131"/>
      <c r="AP296" s="88"/>
    </row>
    <row r="297">
      <c r="A297" s="155"/>
      <c r="B297" s="173"/>
      <c r="C297" s="174"/>
      <c r="D297" s="173"/>
      <c r="E297" s="155"/>
      <c r="F297" s="155"/>
      <c r="G297" s="88"/>
      <c r="H297" s="155"/>
      <c r="I297" s="155"/>
      <c r="J297" s="155"/>
      <c r="K297" s="15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58"/>
      <c r="AA297" s="105"/>
      <c r="AB297" s="105"/>
      <c r="AC297" s="105"/>
      <c r="AD297" s="105"/>
      <c r="AE297" s="105"/>
      <c r="AF297" s="158"/>
      <c r="AG297" s="105"/>
      <c r="AH297" s="158"/>
      <c r="AI297" s="88"/>
      <c r="AJ297" s="88"/>
      <c r="AK297" s="131"/>
      <c r="AL297" s="131"/>
      <c r="AM297" s="131"/>
      <c r="AN297" s="131"/>
      <c r="AO297" s="131"/>
      <c r="AP297" s="88"/>
    </row>
    <row r="298">
      <c r="A298" s="155"/>
      <c r="B298" s="173"/>
      <c r="C298" s="174"/>
      <c r="D298" s="173"/>
      <c r="E298" s="155"/>
      <c r="F298" s="155"/>
      <c r="G298" s="88"/>
      <c r="H298" s="155"/>
      <c r="I298" s="155"/>
      <c r="J298" s="155"/>
      <c r="K298" s="15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58"/>
      <c r="AA298" s="105"/>
      <c r="AB298" s="105"/>
      <c r="AC298" s="105"/>
      <c r="AD298" s="105"/>
      <c r="AE298" s="105"/>
      <c r="AF298" s="158"/>
      <c r="AG298" s="105"/>
      <c r="AH298" s="158"/>
      <c r="AI298" s="88"/>
      <c r="AJ298" s="88"/>
      <c r="AK298" s="131"/>
      <c r="AL298" s="131"/>
      <c r="AM298" s="131"/>
      <c r="AN298" s="131"/>
      <c r="AO298" s="131"/>
      <c r="AP298" s="88"/>
    </row>
    <row r="299">
      <c r="A299" s="155"/>
      <c r="B299" s="173"/>
      <c r="C299" s="174"/>
      <c r="D299" s="173"/>
      <c r="E299" s="155"/>
      <c r="F299" s="155"/>
      <c r="G299" s="88"/>
      <c r="H299" s="155"/>
      <c r="I299" s="155"/>
      <c r="J299" s="155"/>
      <c r="K299" s="15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58"/>
      <c r="AA299" s="105"/>
      <c r="AB299" s="105"/>
      <c r="AC299" s="105"/>
      <c r="AD299" s="105"/>
      <c r="AE299" s="105"/>
      <c r="AF299" s="158"/>
      <c r="AG299" s="105"/>
      <c r="AH299" s="158"/>
      <c r="AI299" s="88"/>
      <c r="AJ299" s="88"/>
      <c r="AK299" s="131"/>
      <c r="AL299" s="131"/>
      <c r="AM299" s="131"/>
      <c r="AN299" s="131"/>
      <c r="AO299" s="131"/>
      <c r="AP299" s="88"/>
    </row>
    <row r="300">
      <c r="A300" s="155"/>
      <c r="B300" s="173"/>
      <c r="C300" s="174"/>
      <c r="D300" s="173"/>
      <c r="E300" s="155"/>
      <c r="F300" s="155"/>
      <c r="G300" s="88"/>
      <c r="H300" s="155"/>
      <c r="I300" s="155"/>
      <c r="J300" s="155"/>
      <c r="K300" s="15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58"/>
      <c r="AA300" s="105"/>
      <c r="AB300" s="105"/>
      <c r="AC300" s="105"/>
      <c r="AD300" s="105"/>
      <c r="AE300" s="105"/>
      <c r="AF300" s="158"/>
      <c r="AG300" s="105"/>
      <c r="AH300" s="158"/>
      <c r="AI300" s="88"/>
      <c r="AJ300" s="88"/>
      <c r="AK300" s="131"/>
      <c r="AL300" s="131"/>
      <c r="AM300" s="131"/>
      <c r="AN300" s="131"/>
      <c r="AO300" s="131"/>
      <c r="AP300" s="88"/>
    </row>
    <row r="301">
      <c r="A301" s="155"/>
      <c r="B301" s="173"/>
      <c r="C301" s="174"/>
      <c r="D301" s="173"/>
      <c r="E301" s="155"/>
      <c r="F301" s="155"/>
      <c r="G301" s="88"/>
      <c r="H301" s="155"/>
      <c r="I301" s="155"/>
      <c r="J301" s="155"/>
      <c r="K301" s="15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58"/>
      <c r="AA301" s="105"/>
      <c r="AB301" s="105"/>
      <c r="AC301" s="105"/>
      <c r="AD301" s="105"/>
      <c r="AE301" s="105"/>
      <c r="AF301" s="158"/>
      <c r="AG301" s="105"/>
      <c r="AH301" s="158"/>
      <c r="AI301" s="88"/>
      <c r="AJ301" s="88"/>
      <c r="AK301" s="131"/>
      <c r="AL301" s="131"/>
      <c r="AM301" s="131"/>
      <c r="AN301" s="131"/>
      <c r="AO301" s="131"/>
      <c r="AP301" s="88"/>
    </row>
    <row r="302">
      <c r="A302" s="155"/>
      <c r="B302" s="173"/>
      <c r="C302" s="174"/>
      <c r="D302" s="173"/>
      <c r="E302" s="155"/>
      <c r="F302" s="155"/>
      <c r="G302" s="88"/>
      <c r="H302" s="155"/>
      <c r="I302" s="155"/>
      <c r="J302" s="155"/>
      <c r="K302" s="15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58"/>
      <c r="AA302" s="105"/>
      <c r="AB302" s="105"/>
      <c r="AC302" s="105"/>
      <c r="AD302" s="105"/>
      <c r="AE302" s="105"/>
      <c r="AF302" s="158"/>
      <c r="AG302" s="105"/>
      <c r="AH302" s="158"/>
      <c r="AI302" s="88"/>
      <c r="AJ302" s="88"/>
      <c r="AK302" s="131"/>
      <c r="AL302" s="131"/>
      <c r="AM302" s="131"/>
      <c r="AN302" s="131"/>
      <c r="AO302" s="131"/>
      <c r="AP302" s="88"/>
    </row>
    <row r="303">
      <c r="A303" s="155"/>
      <c r="B303" s="173"/>
      <c r="C303" s="174"/>
      <c r="D303" s="173"/>
      <c r="E303" s="155"/>
      <c r="F303" s="155"/>
      <c r="G303" s="88"/>
      <c r="H303" s="155"/>
      <c r="I303" s="155"/>
      <c r="J303" s="155"/>
      <c r="K303" s="15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58"/>
      <c r="AA303" s="105"/>
      <c r="AB303" s="105"/>
      <c r="AC303" s="105"/>
      <c r="AD303" s="105"/>
      <c r="AE303" s="105"/>
      <c r="AF303" s="158"/>
      <c r="AG303" s="105"/>
      <c r="AH303" s="158"/>
      <c r="AI303" s="88"/>
      <c r="AJ303" s="88"/>
      <c r="AK303" s="131"/>
      <c r="AL303" s="131"/>
      <c r="AM303" s="131"/>
      <c r="AN303" s="131"/>
      <c r="AO303" s="131"/>
      <c r="AP303" s="88"/>
    </row>
    <row r="304">
      <c r="A304" s="155"/>
      <c r="B304" s="173"/>
      <c r="C304" s="174"/>
      <c r="D304" s="173"/>
      <c r="E304" s="155"/>
      <c r="F304" s="155"/>
      <c r="G304" s="88"/>
      <c r="H304" s="155"/>
      <c r="I304" s="155"/>
      <c r="J304" s="155"/>
      <c r="K304" s="15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58"/>
      <c r="AA304" s="105"/>
      <c r="AB304" s="105"/>
      <c r="AC304" s="105"/>
      <c r="AD304" s="105"/>
      <c r="AE304" s="105"/>
      <c r="AF304" s="158"/>
      <c r="AG304" s="105"/>
      <c r="AH304" s="158"/>
      <c r="AI304" s="88"/>
      <c r="AJ304" s="88"/>
      <c r="AK304" s="131"/>
      <c r="AL304" s="131"/>
      <c r="AM304" s="131"/>
      <c r="AN304" s="131"/>
      <c r="AO304" s="131"/>
      <c r="AP304" s="88"/>
    </row>
    <row r="305">
      <c r="A305" s="155"/>
      <c r="B305" s="173"/>
      <c r="C305" s="174"/>
      <c r="D305" s="173"/>
      <c r="E305" s="155"/>
      <c r="F305" s="155"/>
      <c r="G305" s="88"/>
      <c r="H305" s="155"/>
      <c r="I305" s="155"/>
      <c r="J305" s="155"/>
      <c r="K305" s="15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58"/>
      <c r="AA305" s="105"/>
      <c r="AB305" s="105"/>
      <c r="AC305" s="105"/>
      <c r="AD305" s="105"/>
      <c r="AE305" s="105"/>
      <c r="AF305" s="158"/>
      <c r="AG305" s="105"/>
      <c r="AH305" s="158"/>
      <c r="AI305" s="88"/>
      <c r="AJ305" s="88"/>
      <c r="AK305" s="131"/>
      <c r="AL305" s="131"/>
      <c r="AM305" s="131"/>
      <c r="AN305" s="131"/>
      <c r="AO305" s="131"/>
      <c r="AP305" s="88"/>
    </row>
    <row r="306">
      <c r="A306" s="155"/>
      <c r="B306" s="173"/>
      <c r="C306" s="174"/>
      <c r="D306" s="173"/>
      <c r="E306" s="155"/>
      <c r="F306" s="155"/>
      <c r="G306" s="88"/>
      <c r="H306" s="155"/>
      <c r="I306" s="155"/>
      <c r="J306" s="155"/>
      <c r="K306" s="15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58"/>
      <c r="AA306" s="105"/>
      <c r="AB306" s="105"/>
      <c r="AC306" s="105"/>
      <c r="AD306" s="105"/>
      <c r="AE306" s="105"/>
      <c r="AF306" s="158"/>
      <c r="AG306" s="105"/>
      <c r="AH306" s="158"/>
      <c r="AI306" s="88"/>
      <c r="AJ306" s="88"/>
      <c r="AK306" s="131"/>
      <c r="AL306" s="131"/>
      <c r="AM306" s="131"/>
      <c r="AN306" s="131"/>
      <c r="AO306" s="131"/>
      <c r="AP306" s="88"/>
    </row>
    <row r="307">
      <c r="A307" s="155"/>
      <c r="B307" s="173"/>
      <c r="C307" s="174"/>
      <c r="D307" s="173"/>
      <c r="E307" s="155"/>
      <c r="F307" s="155"/>
      <c r="G307" s="88"/>
      <c r="H307" s="155"/>
      <c r="I307" s="155"/>
      <c r="J307" s="155"/>
      <c r="K307" s="15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58"/>
      <c r="AA307" s="105"/>
      <c r="AB307" s="105"/>
      <c r="AC307" s="105"/>
      <c r="AD307" s="105"/>
      <c r="AE307" s="105"/>
      <c r="AF307" s="158"/>
      <c r="AG307" s="105"/>
      <c r="AH307" s="158"/>
      <c r="AI307" s="88"/>
      <c r="AJ307" s="88"/>
      <c r="AK307" s="131"/>
      <c r="AL307" s="131"/>
      <c r="AM307" s="131"/>
      <c r="AN307" s="131"/>
      <c r="AO307" s="131"/>
      <c r="AP307" s="88"/>
    </row>
    <row r="308">
      <c r="A308" s="155"/>
      <c r="B308" s="173"/>
      <c r="C308" s="174"/>
      <c r="D308" s="173"/>
      <c r="E308" s="155"/>
      <c r="F308" s="155"/>
      <c r="G308" s="88"/>
      <c r="H308" s="155"/>
      <c r="I308" s="155"/>
      <c r="J308" s="155"/>
      <c r="K308" s="15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58"/>
      <c r="AA308" s="105"/>
      <c r="AB308" s="105"/>
      <c r="AC308" s="105"/>
      <c r="AD308" s="105"/>
      <c r="AE308" s="105"/>
      <c r="AF308" s="158"/>
      <c r="AG308" s="105"/>
      <c r="AH308" s="158"/>
      <c r="AI308" s="88"/>
      <c r="AJ308" s="88"/>
      <c r="AK308" s="131"/>
      <c r="AL308" s="131"/>
      <c r="AM308" s="131"/>
      <c r="AN308" s="131"/>
      <c r="AO308" s="131"/>
      <c r="AP308" s="88"/>
    </row>
    <row r="309">
      <c r="A309" s="155"/>
      <c r="B309" s="173"/>
      <c r="C309" s="174"/>
      <c r="D309" s="173"/>
      <c r="E309" s="155"/>
      <c r="F309" s="155"/>
      <c r="G309" s="88"/>
      <c r="H309" s="155"/>
      <c r="I309" s="155"/>
      <c r="J309" s="155"/>
      <c r="K309" s="15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58"/>
      <c r="AA309" s="105"/>
      <c r="AB309" s="105"/>
      <c r="AC309" s="105"/>
      <c r="AD309" s="105"/>
      <c r="AE309" s="105"/>
      <c r="AF309" s="158"/>
      <c r="AG309" s="105"/>
      <c r="AH309" s="158"/>
      <c r="AI309" s="88"/>
      <c r="AJ309" s="88"/>
      <c r="AK309" s="131"/>
      <c r="AL309" s="131"/>
      <c r="AM309" s="131"/>
      <c r="AN309" s="131"/>
      <c r="AO309" s="131"/>
      <c r="AP309" s="88"/>
    </row>
    <row r="310">
      <c r="A310" s="155"/>
      <c r="B310" s="173"/>
      <c r="C310" s="174"/>
      <c r="D310" s="173"/>
      <c r="E310" s="155"/>
      <c r="F310" s="155"/>
      <c r="G310" s="88"/>
      <c r="H310" s="155"/>
      <c r="I310" s="155"/>
      <c r="J310" s="155"/>
      <c r="K310" s="15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58"/>
      <c r="AA310" s="105"/>
      <c r="AB310" s="105"/>
      <c r="AC310" s="105"/>
      <c r="AD310" s="105"/>
      <c r="AE310" s="105"/>
      <c r="AF310" s="158"/>
      <c r="AG310" s="105"/>
      <c r="AH310" s="158"/>
      <c r="AI310" s="88"/>
      <c r="AJ310" s="88"/>
      <c r="AK310" s="131"/>
      <c r="AL310" s="131"/>
      <c r="AM310" s="131"/>
      <c r="AN310" s="131"/>
      <c r="AO310" s="131"/>
      <c r="AP310" s="88"/>
    </row>
    <row r="311">
      <c r="A311" s="155"/>
      <c r="B311" s="173"/>
      <c r="C311" s="174"/>
      <c r="D311" s="173"/>
      <c r="E311" s="155"/>
      <c r="F311" s="155"/>
      <c r="G311" s="88"/>
      <c r="H311" s="155"/>
      <c r="I311" s="155"/>
      <c r="J311" s="155"/>
      <c r="K311" s="15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58"/>
      <c r="AA311" s="105"/>
      <c r="AB311" s="105"/>
      <c r="AC311" s="105"/>
      <c r="AD311" s="105"/>
      <c r="AE311" s="105"/>
      <c r="AF311" s="158"/>
      <c r="AG311" s="105"/>
      <c r="AH311" s="158"/>
      <c r="AI311" s="88"/>
      <c r="AJ311" s="88"/>
      <c r="AK311" s="131"/>
      <c r="AL311" s="131"/>
      <c r="AM311" s="131"/>
      <c r="AN311" s="131"/>
      <c r="AO311" s="131"/>
      <c r="AP311" s="88"/>
    </row>
    <row r="312">
      <c r="A312" s="155"/>
      <c r="B312" s="173"/>
      <c r="C312" s="174"/>
      <c r="D312" s="173"/>
      <c r="E312" s="155"/>
      <c r="F312" s="155"/>
      <c r="G312" s="88"/>
      <c r="H312" s="155"/>
      <c r="I312" s="155"/>
      <c r="J312" s="155"/>
      <c r="K312" s="15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58"/>
      <c r="AA312" s="105"/>
      <c r="AB312" s="105"/>
      <c r="AC312" s="105"/>
      <c r="AD312" s="105"/>
      <c r="AE312" s="105"/>
      <c r="AF312" s="158"/>
      <c r="AG312" s="105"/>
      <c r="AH312" s="158"/>
      <c r="AI312" s="88"/>
      <c r="AJ312" s="88"/>
      <c r="AK312" s="131"/>
      <c r="AL312" s="131"/>
      <c r="AM312" s="131"/>
      <c r="AN312" s="131"/>
      <c r="AO312" s="131"/>
      <c r="AP312" s="88"/>
    </row>
    <row r="313">
      <c r="A313" s="155"/>
      <c r="B313" s="173"/>
      <c r="C313" s="174"/>
      <c r="D313" s="173"/>
      <c r="E313" s="155"/>
      <c r="F313" s="155"/>
      <c r="G313" s="88"/>
      <c r="H313" s="155"/>
      <c r="I313" s="155"/>
      <c r="J313" s="155"/>
      <c r="K313" s="15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58"/>
      <c r="AA313" s="105"/>
      <c r="AB313" s="105"/>
      <c r="AC313" s="105"/>
      <c r="AD313" s="105"/>
      <c r="AE313" s="105"/>
      <c r="AF313" s="158"/>
      <c r="AG313" s="105"/>
      <c r="AH313" s="158"/>
      <c r="AI313" s="88"/>
      <c r="AJ313" s="88"/>
      <c r="AK313" s="131"/>
      <c r="AL313" s="131"/>
      <c r="AM313" s="131"/>
      <c r="AN313" s="131"/>
      <c r="AO313" s="131"/>
      <c r="AP313" s="88"/>
    </row>
    <row r="314">
      <c r="A314" s="155"/>
      <c r="B314" s="173"/>
      <c r="C314" s="174"/>
      <c r="D314" s="173"/>
      <c r="E314" s="155"/>
      <c r="F314" s="155"/>
      <c r="G314" s="88"/>
      <c r="H314" s="155"/>
      <c r="I314" s="155"/>
      <c r="J314" s="155"/>
      <c r="K314" s="15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58"/>
      <c r="AA314" s="105"/>
      <c r="AB314" s="105"/>
      <c r="AC314" s="105"/>
      <c r="AD314" s="105"/>
      <c r="AE314" s="105"/>
      <c r="AF314" s="158"/>
      <c r="AG314" s="105"/>
      <c r="AH314" s="158"/>
      <c r="AI314" s="88"/>
      <c r="AJ314" s="88"/>
      <c r="AK314" s="131"/>
      <c r="AL314" s="131"/>
      <c r="AM314" s="131"/>
      <c r="AN314" s="131"/>
      <c r="AO314" s="131"/>
      <c r="AP314" s="88"/>
    </row>
    <row r="315">
      <c r="A315" s="155"/>
      <c r="B315" s="173"/>
      <c r="C315" s="174"/>
      <c r="D315" s="173"/>
      <c r="E315" s="155"/>
      <c r="F315" s="155"/>
      <c r="G315" s="88"/>
      <c r="H315" s="155"/>
      <c r="I315" s="155"/>
      <c r="J315" s="155"/>
      <c r="K315" s="15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58"/>
      <c r="AA315" s="105"/>
      <c r="AB315" s="105"/>
      <c r="AC315" s="105"/>
      <c r="AD315" s="105"/>
      <c r="AE315" s="105"/>
      <c r="AF315" s="158"/>
      <c r="AG315" s="105"/>
      <c r="AH315" s="158"/>
      <c r="AI315" s="88"/>
      <c r="AJ315" s="88"/>
      <c r="AK315" s="131"/>
      <c r="AL315" s="131"/>
      <c r="AM315" s="131"/>
      <c r="AN315" s="131"/>
      <c r="AO315" s="131"/>
      <c r="AP315" s="88"/>
    </row>
    <row r="316">
      <c r="A316" s="155"/>
      <c r="B316" s="173"/>
      <c r="C316" s="174"/>
      <c r="D316" s="173"/>
      <c r="E316" s="155"/>
      <c r="F316" s="155"/>
      <c r="G316" s="88"/>
      <c r="H316" s="155"/>
      <c r="I316" s="155"/>
      <c r="J316" s="155"/>
      <c r="K316" s="15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58"/>
      <c r="AA316" s="105"/>
      <c r="AB316" s="105"/>
      <c r="AC316" s="105"/>
      <c r="AD316" s="105"/>
      <c r="AE316" s="105"/>
      <c r="AF316" s="158"/>
      <c r="AG316" s="105"/>
      <c r="AH316" s="158"/>
      <c r="AI316" s="88"/>
      <c r="AJ316" s="88"/>
      <c r="AK316" s="131"/>
      <c r="AL316" s="131"/>
      <c r="AM316" s="131"/>
      <c r="AN316" s="131"/>
      <c r="AO316" s="131"/>
      <c r="AP316" s="88"/>
    </row>
    <row r="317">
      <c r="A317" s="155"/>
      <c r="B317" s="173"/>
      <c r="C317" s="174"/>
      <c r="D317" s="173"/>
      <c r="E317" s="155"/>
      <c r="F317" s="155"/>
      <c r="G317" s="88"/>
      <c r="H317" s="155"/>
      <c r="I317" s="155"/>
      <c r="J317" s="155"/>
      <c r="K317" s="15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58"/>
      <c r="AA317" s="105"/>
      <c r="AB317" s="105"/>
      <c r="AC317" s="105"/>
      <c r="AD317" s="105"/>
      <c r="AE317" s="105"/>
      <c r="AF317" s="158"/>
      <c r="AG317" s="105"/>
      <c r="AH317" s="158"/>
      <c r="AI317" s="88"/>
      <c r="AJ317" s="88"/>
      <c r="AK317" s="131"/>
      <c r="AL317" s="131"/>
      <c r="AM317" s="131"/>
      <c r="AN317" s="131"/>
      <c r="AO317" s="131"/>
      <c r="AP317" s="88"/>
    </row>
    <row r="318">
      <c r="A318" s="155"/>
      <c r="B318" s="173"/>
      <c r="C318" s="174"/>
      <c r="D318" s="173"/>
      <c r="E318" s="155"/>
      <c r="F318" s="155"/>
      <c r="G318" s="88"/>
      <c r="H318" s="155"/>
      <c r="I318" s="155"/>
      <c r="J318" s="155"/>
      <c r="K318" s="15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58"/>
      <c r="AA318" s="105"/>
      <c r="AB318" s="105"/>
      <c r="AC318" s="105"/>
      <c r="AD318" s="105"/>
      <c r="AE318" s="105"/>
      <c r="AF318" s="158"/>
      <c r="AG318" s="105"/>
      <c r="AH318" s="158"/>
      <c r="AI318" s="88"/>
      <c r="AJ318" s="88"/>
      <c r="AK318" s="131"/>
      <c r="AL318" s="131"/>
      <c r="AM318" s="131"/>
      <c r="AN318" s="131"/>
      <c r="AO318" s="131"/>
      <c r="AP318" s="88"/>
    </row>
    <row r="319">
      <c r="A319" s="155"/>
      <c r="B319" s="173"/>
      <c r="C319" s="174"/>
      <c r="D319" s="173"/>
      <c r="E319" s="155"/>
      <c r="F319" s="155"/>
      <c r="G319" s="88"/>
      <c r="H319" s="155"/>
      <c r="I319" s="155"/>
      <c r="J319" s="155"/>
      <c r="K319" s="15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58"/>
      <c r="AA319" s="105"/>
      <c r="AB319" s="105"/>
      <c r="AC319" s="105"/>
      <c r="AD319" s="105"/>
      <c r="AE319" s="105"/>
      <c r="AF319" s="158"/>
      <c r="AG319" s="105"/>
      <c r="AH319" s="158"/>
      <c r="AI319" s="88"/>
      <c r="AJ319" s="88"/>
      <c r="AK319" s="131"/>
      <c r="AL319" s="131"/>
      <c r="AM319" s="131"/>
      <c r="AN319" s="131"/>
      <c r="AO319" s="131"/>
      <c r="AP319" s="88"/>
    </row>
    <row r="320">
      <c r="A320" s="155"/>
      <c r="B320" s="173"/>
      <c r="C320" s="174"/>
      <c r="D320" s="173"/>
      <c r="E320" s="155"/>
      <c r="F320" s="155"/>
      <c r="G320" s="88"/>
      <c r="H320" s="155"/>
      <c r="I320" s="155"/>
      <c r="J320" s="155"/>
      <c r="K320" s="15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58"/>
      <c r="AA320" s="105"/>
      <c r="AB320" s="105"/>
      <c r="AC320" s="105"/>
      <c r="AD320" s="105"/>
      <c r="AE320" s="105"/>
      <c r="AF320" s="158"/>
      <c r="AG320" s="105"/>
      <c r="AH320" s="158"/>
      <c r="AI320" s="88"/>
      <c r="AJ320" s="88"/>
      <c r="AK320" s="131"/>
      <c r="AL320" s="131"/>
      <c r="AM320" s="131"/>
      <c r="AN320" s="131"/>
      <c r="AO320" s="131"/>
      <c r="AP320" s="88"/>
    </row>
    <row r="321">
      <c r="A321" s="155"/>
      <c r="B321" s="173"/>
      <c r="C321" s="174"/>
      <c r="D321" s="173"/>
      <c r="E321" s="155"/>
      <c r="F321" s="155"/>
      <c r="G321" s="88"/>
      <c r="H321" s="155"/>
      <c r="I321" s="155"/>
      <c r="J321" s="155"/>
      <c r="K321" s="15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58"/>
      <c r="AA321" s="105"/>
      <c r="AB321" s="105"/>
      <c r="AC321" s="105"/>
      <c r="AD321" s="105"/>
      <c r="AE321" s="105"/>
      <c r="AF321" s="158"/>
      <c r="AG321" s="105"/>
      <c r="AH321" s="158"/>
      <c r="AI321" s="88"/>
      <c r="AJ321" s="88"/>
      <c r="AK321" s="131"/>
      <c r="AL321" s="131"/>
      <c r="AM321" s="131"/>
      <c r="AN321" s="131"/>
      <c r="AO321" s="131"/>
      <c r="AP321" s="88"/>
    </row>
    <row r="322">
      <c r="A322" s="155"/>
      <c r="B322" s="173"/>
      <c r="C322" s="174"/>
      <c r="D322" s="173"/>
      <c r="E322" s="155"/>
      <c r="F322" s="155"/>
      <c r="G322" s="88"/>
      <c r="H322" s="155"/>
      <c r="I322" s="155"/>
      <c r="J322" s="155"/>
      <c r="K322" s="15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58"/>
      <c r="AA322" s="105"/>
      <c r="AB322" s="105"/>
      <c r="AC322" s="105"/>
      <c r="AD322" s="105"/>
      <c r="AE322" s="105"/>
      <c r="AF322" s="158"/>
      <c r="AG322" s="105"/>
      <c r="AH322" s="158"/>
      <c r="AI322" s="88"/>
      <c r="AJ322" s="88"/>
      <c r="AK322" s="131"/>
      <c r="AL322" s="131"/>
      <c r="AM322" s="131"/>
      <c r="AN322" s="131"/>
      <c r="AO322" s="131"/>
      <c r="AP322" s="88"/>
    </row>
    <row r="323">
      <c r="A323" s="155"/>
      <c r="B323" s="173"/>
      <c r="C323" s="174"/>
      <c r="D323" s="173"/>
      <c r="E323" s="155"/>
      <c r="F323" s="155"/>
      <c r="G323" s="88"/>
      <c r="H323" s="155"/>
      <c r="I323" s="155"/>
      <c r="J323" s="155"/>
      <c r="K323" s="15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58"/>
      <c r="AA323" s="105"/>
      <c r="AB323" s="105"/>
      <c r="AC323" s="105"/>
      <c r="AD323" s="105"/>
      <c r="AE323" s="105"/>
      <c r="AF323" s="158"/>
      <c r="AG323" s="105"/>
      <c r="AH323" s="158"/>
      <c r="AI323" s="88"/>
      <c r="AJ323" s="88"/>
      <c r="AK323" s="131"/>
      <c r="AL323" s="131"/>
      <c r="AM323" s="131"/>
      <c r="AN323" s="131"/>
      <c r="AO323" s="131"/>
      <c r="AP323" s="88"/>
    </row>
    <row r="324">
      <c r="A324" s="155"/>
      <c r="B324" s="173"/>
      <c r="C324" s="174"/>
      <c r="D324" s="173"/>
      <c r="E324" s="155"/>
      <c r="F324" s="155"/>
      <c r="G324" s="88"/>
      <c r="H324" s="155"/>
      <c r="I324" s="155"/>
      <c r="J324" s="155"/>
      <c r="K324" s="15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58"/>
      <c r="AA324" s="105"/>
      <c r="AB324" s="105"/>
      <c r="AC324" s="105"/>
      <c r="AD324" s="105"/>
      <c r="AE324" s="105"/>
      <c r="AF324" s="158"/>
      <c r="AG324" s="105"/>
      <c r="AH324" s="158"/>
      <c r="AI324" s="88"/>
      <c r="AJ324" s="88"/>
      <c r="AK324" s="131"/>
      <c r="AL324" s="131"/>
      <c r="AM324" s="131"/>
      <c r="AN324" s="131"/>
      <c r="AO324" s="131"/>
      <c r="AP324" s="88"/>
    </row>
    <row r="325">
      <c r="A325" s="155"/>
      <c r="B325" s="173"/>
      <c r="C325" s="174"/>
      <c r="D325" s="173"/>
      <c r="E325" s="155"/>
      <c r="F325" s="155"/>
      <c r="G325" s="88"/>
      <c r="H325" s="155"/>
      <c r="I325" s="155"/>
      <c r="J325" s="155"/>
      <c r="K325" s="15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58"/>
      <c r="AA325" s="105"/>
      <c r="AB325" s="105"/>
      <c r="AC325" s="105"/>
      <c r="AD325" s="105"/>
      <c r="AE325" s="105"/>
      <c r="AF325" s="158"/>
      <c r="AG325" s="105"/>
      <c r="AH325" s="158"/>
      <c r="AI325" s="88"/>
      <c r="AJ325" s="88"/>
      <c r="AK325" s="131"/>
      <c r="AL325" s="131"/>
      <c r="AM325" s="131"/>
      <c r="AN325" s="131"/>
      <c r="AO325" s="131"/>
      <c r="AP325" s="88"/>
    </row>
    <row r="326">
      <c r="A326" s="155"/>
      <c r="B326" s="173"/>
      <c r="C326" s="174"/>
      <c r="D326" s="173"/>
      <c r="E326" s="155"/>
      <c r="F326" s="155"/>
      <c r="G326" s="88"/>
      <c r="H326" s="155"/>
      <c r="I326" s="155"/>
      <c r="J326" s="155"/>
      <c r="K326" s="15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58"/>
      <c r="AA326" s="105"/>
      <c r="AB326" s="105"/>
      <c r="AC326" s="105"/>
      <c r="AD326" s="105"/>
      <c r="AE326" s="105"/>
      <c r="AF326" s="158"/>
      <c r="AG326" s="105"/>
      <c r="AH326" s="158"/>
      <c r="AI326" s="88"/>
      <c r="AJ326" s="88"/>
      <c r="AK326" s="131"/>
      <c r="AL326" s="131"/>
      <c r="AM326" s="131"/>
      <c r="AN326" s="131"/>
      <c r="AO326" s="131"/>
      <c r="AP326" s="88"/>
    </row>
    <row r="327">
      <c r="A327" s="155"/>
      <c r="B327" s="173"/>
      <c r="C327" s="174"/>
      <c r="D327" s="173"/>
      <c r="E327" s="155"/>
      <c r="F327" s="155"/>
      <c r="G327" s="88"/>
      <c r="H327" s="155"/>
      <c r="I327" s="155"/>
      <c r="J327" s="155"/>
      <c r="K327" s="15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58"/>
      <c r="AA327" s="105"/>
      <c r="AB327" s="105"/>
      <c r="AC327" s="105"/>
      <c r="AD327" s="105"/>
      <c r="AE327" s="105"/>
      <c r="AF327" s="158"/>
      <c r="AG327" s="105"/>
      <c r="AH327" s="158"/>
      <c r="AI327" s="88"/>
      <c r="AJ327" s="88"/>
      <c r="AK327" s="131"/>
      <c r="AL327" s="131"/>
      <c r="AM327" s="131"/>
      <c r="AN327" s="131"/>
      <c r="AO327" s="131"/>
      <c r="AP327" s="88"/>
    </row>
    <row r="328">
      <c r="A328" s="155"/>
      <c r="B328" s="173"/>
      <c r="C328" s="174"/>
      <c r="D328" s="173"/>
      <c r="E328" s="155"/>
      <c r="F328" s="155"/>
      <c r="G328" s="88"/>
      <c r="H328" s="155"/>
      <c r="I328" s="155"/>
      <c r="J328" s="155"/>
      <c r="K328" s="15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58"/>
      <c r="AA328" s="105"/>
      <c r="AB328" s="105"/>
      <c r="AC328" s="105"/>
      <c r="AD328" s="105"/>
      <c r="AE328" s="105"/>
      <c r="AF328" s="158"/>
      <c r="AG328" s="105"/>
      <c r="AH328" s="158"/>
      <c r="AI328" s="88"/>
      <c r="AJ328" s="88"/>
      <c r="AK328" s="131"/>
      <c r="AL328" s="131"/>
      <c r="AM328" s="131"/>
      <c r="AN328" s="131"/>
      <c r="AO328" s="131"/>
      <c r="AP328" s="88"/>
    </row>
    <row r="329">
      <c r="A329" s="155"/>
      <c r="B329" s="173"/>
      <c r="C329" s="174"/>
      <c r="D329" s="173"/>
      <c r="E329" s="155"/>
      <c r="F329" s="155"/>
      <c r="G329" s="88"/>
      <c r="H329" s="155"/>
      <c r="I329" s="155"/>
      <c r="J329" s="155"/>
      <c r="K329" s="15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58"/>
      <c r="AA329" s="105"/>
      <c r="AB329" s="105"/>
      <c r="AC329" s="105"/>
      <c r="AD329" s="105"/>
      <c r="AE329" s="105"/>
      <c r="AF329" s="158"/>
      <c r="AG329" s="105"/>
      <c r="AH329" s="158"/>
      <c r="AI329" s="88"/>
      <c r="AJ329" s="88"/>
      <c r="AK329" s="131"/>
      <c r="AL329" s="131"/>
      <c r="AM329" s="131"/>
      <c r="AN329" s="131"/>
      <c r="AO329" s="131"/>
      <c r="AP329" s="88"/>
    </row>
    <row r="330">
      <c r="A330" s="155"/>
      <c r="B330" s="173"/>
      <c r="C330" s="174"/>
      <c r="D330" s="173"/>
      <c r="E330" s="155"/>
      <c r="F330" s="155"/>
      <c r="G330" s="88"/>
      <c r="H330" s="155"/>
      <c r="I330" s="155"/>
      <c r="J330" s="155"/>
      <c r="K330" s="15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58"/>
      <c r="AA330" s="105"/>
      <c r="AB330" s="105"/>
      <c r="AC330" s="105"/>
      <c r="AD330" s="105"/>
      <c r="AE330" s="105"/>
      <c r="AF330" s="158"/>
      <c r="AG330" s="105"/>
      <c r="AH330" s="158"/>
      <c r="AI330" s="88"/>
      <c r="AJ330" s="88"/>
      <c r="AK330" s="131"/>
      <c r="AL330" s="131"/>
      <c r="AM330" s="131"/>
      <c r="AN330" s="131"/>
      <c r="AO330" s="131"/>
      <c r="AP330" s="88"/>
    </row>
    <row r="331">
      <c r="A331" s="155"/>
      <c r="B331" s="173"/>
      <c r="C331" s="174"/>
      <c r="D331" s="173"/>
      <c r="E331" s="155"/>
      <c r="F331" s="155"/>
      <c r="G331" s="88"/>
      <c r="H331" s="155"/>
      <c r="I331" s="155"/>
      <c r="J331" s="155"/>
      <c r="K331" s="15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58"/>
      <c r="AA331" s="105"/>
      <c r="AB331" s="105"/>
      <c r="AC331" s="105"/>
      <c r="AD331" s="105"/>
      <c r="AE331" s="105"/>
      <c r="AF331" s="158"/>
      <c r="AG331" s="105"/>
      <c r="AH331" s="158"/>
      <c r="AI331" s="88"/>
      <c r="AJ331" s="88"/>
      <c r="AK331" s="131"/>
      <c r="AL331" s="131"/>
      <c r="AM331" s="131"/>
      <c r="AN331" s="131"/>
      <c r="AO331" s="131"/>
      <c r="AP331" s="88"/>
    </row>
    <row r="332">
      <c r="A332" s="155"/>
      <c r="B332" s="173"/>
      <c r="C332" s="174"/>
      <c r="D332" s="173"/>
      <c r="E332" s="155"/>
      <c r="F332" s="155"/>
      <c r="G332" s="88"/>
      <c r="H332" s="155"/>
      <c r="I332" s="155"/>
      <c r="J332" s="155"/>
      <c r="K332" s="15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58"/>
      <c r="AA332" s="105"/>
      <c r="AB332" s="105"/>
      <c r="AC332" s="105"/>
      <c r="AD332" s="105"/>
      <c r="AE332" s="105"/>
      <c r="AF332" s="158"/>
      <c r="AG332" s="105"/>
      <c r="AH332" s="158"/>
      <c r="AI332" s="88"/>
      <c r="AJ332" s="88"/>
      <c r="AK332" s="131"/>
      <c r="AL332" s="131"/>
      <c r="AM332" s="131"/>
      <c r="AN332" s="131"/>
      <c r="AO332" s="131"/>
      <c r="AP332" s="88"/>
    </row>
    <row r="333">
      <c r="A333" s="155"/>
      <c r="B333" s="173"/>
      <c r="C333" s="174"/>
      <c r="D333" s="173"/>
      <c r="E333" s="155"/>
      <c r="F333" s="155"/>
      <c r="G333" s="88"/>
      <c r="H333" s="155"/>
      <c r="I333" s="155"/>
      <c r="J333" s="155"/>
      <c r="K333" s="15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58"/>
      <c r="AA333" s="105"/>
      <c r="AB333" s="105"/>
      <c r="AC333" s="105"/>
      <c r="AD333" s="105"/>
      <c r="AE333" s="105"/>
      <c r="AF333" s="158"/>
      <c r="AG333" s="105"/>
      <c r="AH333" s="158"/>
      <c r="AI333" s="88"/>
      <c r="AJ333" s="88"/>
      <c r="AK333" s="131"/>
      <c r="AL333" s="131"/>
      <c r="AM333" s="131"/>
      <c r="AN333" s="131"/>
      <c r="AO333" s="131"/>
      <c r="AP333" s="88"/>
    </row>
    <row r="334">
      <c r="A334" s="155"/>
      <c r="B334" s="173"/>
      <c r="C334" s="174"/>
      <c r="D334" s="173"/>
      <c r="E334" s="155"/>
      <c r="F334" s="155"/>
      <c r="G334" s="88"/>
      <c r="H334" s="155"/>
      <c r="I334" s="155"/>
      <c r="J334" s="155"/>
      <c r="K334" s="15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58"/>
      <c r="AA334" s="105"/>
      <c r="AB334" s="105"/>
      <c r="AC334" s="105"/>
      <c r="AD334" s="105"/>
      <c r="AE334" s="105"/>
      <c r="AF334" s="158"/>
      <c r="AG334" s="105"/>
      <c r="AH334" s="158"/>
      <c r="AI334" s="88"/>
      <c r="AJ334" s="88"/>
      <c r="AK334" s="131"/>
      <c r="AL334" s="131"/>
      <c r="AM334" s="131"/>
      <c r="AN334" s="131"/>
      <c r="AO334" s="131"/>
      <c r="AP334" s="88"/>
    </row>
    <row r="335">
      <c r="A335" s="155"/>
      <c r="B335" s="173"/>
      <c r="C335" s="174"/>
      <c r="D335" s="173"/>
      <c r="E335" s="155"/>
      <c r="F335" s="155"/>
      <c r="G335" s="88"/>
      <c r="H335" s="155"/>
      <c r="I335" s="155"/>
      <c r="J335" s="155"/>
      <c r="K335" s="15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58"/>
      <c r="AA335" s="105"/>
      <c r="AB335" s="105"/>
      <c r="AC335" s="105"/>
      <c r="AD335" s="105"/>
      <c r="AE335" s="105"/>
      <c r="AF335" s="158"/>
      <c r="AG335" s="105"/>
      <c r="AH335" s="158"/>
      <c r="AI335" s="88"/>
      <c r="AJ335" s="88"/>
      <c r="AK335" s="131"/>
      <c r="AL335" s="131"/>
      <c r="AM335" s="131"/>
      <c r="AN335" s="131"/>
      <c r="AO335" s="131"/>
      <c r="AP335" s="88"/>
    </row>
    <row r="336">
      <c r="A336" s="155"/>
      <c r="B336" s="173"/>
      <c r="C336" s="174"/>
      <c r="D336" s="173"/>
      <c r="E336" s="155"/>
      <c r="F336" s="155"/>
      <c r="G336" s="88"/>
      <c r="H336" s="155"/>
      <c r="I336" s="155"/>
      <c r="J336" s="155"/>
      <c r="K336" s="15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58"/>
      <c r="AA336" s="105"/>
      <c r="AB336" s="105"/>
      <c r="AC336" s="105"/>
      <c r="AD336" s="105"/>
      <c r="AE336" s="105"/>
      <c r="AF336" s="158"/>
      <c r="AG336" s="105"/>
      <c r="AH336" s="158"/>
      <c r="AI336" s="88"/>
      <c r="AJ336" s="88"/>
      <c r="AK336" s="131"/>
      <c r="AL336" s="131"/>
      <c r="AM336" s="131"/>
      <c r="AN336" s="131"/>
      <c r="AO336" s="131"/>
      <c r="AP336" s="88"/>
    </row>
    <row r="337">
      <c r="A337" s="155"/>
      <c r="B337" s="173"/>
      <c r="C337" s="174"/>
      <c r="D337" s="173"/>
      <c r="E337" s="155"/>
      <c r="F337" s="155"/>
      <c r="G337" s="88"/>
      <c r="H337" s="155"/>
      <c r="I337" s="155"/>
      <c r="J337" s="155"/>
      <c r="K337" s="15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58"/>
      <c r="AA337" s="105"/>
      <c r="AB337" s="105"/>
      <c r="AC337" s="105"/>
      <c r="AD337" s="105"/>
      <c r="AE337" s="105"/>
      <c r="AF337" s="158"/>
      <c r="AG337" s="105"/>
      <c r="AH337" s="158"/>
      <c r="AI337" s="88"/>
      <c r="AJ337" s="88"/>
      <c r="AK337" s="131"/>
      <c r="AL337" s="131"/>
      <c r="AM337" s="131"/>
      <c r="AN337" s="131"/>
      <c r="AO337" s="131"/>
      <c r="AP337" s="88"/>
    </row>
    <row r="338">
      <c r="A338" s="155"/>
      <c r="B338" s="173"/>
      <c r="C338" s="174"/>
      <c r="D338" s="173"/>
      <c r="E338" s="155"/>
      <c r="F338" s="155"/>
      <c r="G338" s="88"/>
      <c r="H338" s="155"/>
      <c r="I338" s="155"/>
      <c r="J338" s="155"/>
      <c r="K338" s="15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58"/>
      <c r="AA338" s="105"/>
      <c r="AB338" s="105"/>
      <c r="AC338" s="105"/>
      <c r="AD338" s="105"/>
      <c r="AE338" s="105"/>
      <c r="AF338" s="158"/>
      <c r="AG338" s="105"/>
      <c r="AH338" s="158"/>
      <c r="AI338" s="88"/>
      <c r="AJ338" s="88"/>
      <c r="AK338" s="131"/>
      <c r="AL338" s="131"/>
      <c r="AM338" s="131"/>
      <c r="AN338" s="131"/>
      <c r="AO338" s="131"/>
      <c r="AP338" s="88"/>
    </row>
    <row r="339">
      <c r="A339" s="155"/>
      <c r="B339" s="173"/>
      <c r="C339" s="174"/>
      <c r="D339" s="173"/>
      <c r="E339" s="155"/>
      <c r="F339" s="155"/>
      <c r="G339" s="88"/>
      <c r="H339" s="155"/>
      <c r="I339" s="155"/>
      <c r="J339" s="155"/>
      <c r="K339" s="15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58"/>
      <c r="AA339" s="105"/>
      <c r="AB339" s="105"/>
      <c r="AC339" s="105"/>
      <c r="AD339" s="105"/>
      <c r="AE339" s="105"/>
      <c r="AF339" s="158"/>
      <c r="AG339" s="105"/>
      <c r="AH339" s="158"/>
      <c r="AI339" s="88"/>
      <c r="AJ339" s="88"/>
      <c r="AK339" s="131"/>
      <c r="AL339" s="131"/>
      <c r="AM339" s="131"/>
      <c r="AN339" s="131"/>
      <c r="AO339" s="131"/>
      <c r="AP339" s="88"/>
    </row>
    <row r="340">
      <c r="A340" s="155"/>
      <c r="B340" s="173"/>
      <c r="C340" s="174"/>
      <c r="D340" s="173"/>
      <c r="E340" s="155"/>
      <c r="F340" s="155"/>
      <c r="G340" s="88"/>
      <c r="H340" s="155"/>
      <c r="I340" s="155"/>
      <c r="J340" s="155"/>
      <c r="K340" s="15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58"/>
      <c r="AA340" s="105"/>
      <c r="AB340" s="105"/>
      <c r="AC340" s="105"/>
      <c r="AD340" s="105"/>
      <c r="AE340" s="105"/>
      <c r="AF340" s="158"/>
      <c r="AG340" s="105"/>
      <c r="AH340" s="158"/>
      <c r="AI340" s="88"/>
      <c r="AJ340" s="88"/>
      <c r="AK340" s="131"/>
      <c r="AL340" s="131"/>
      <c r="AM340" s="131"/>
      <c r="AN340" s="131"/>
      <c r="AO340" s="131"/>
      <c r="AP340" s="88"/>
    </row>
    <row r="341">
      <c r="A341" s="155"/>
      <c r="B341" s="173"/>
      <c r="C341" s="174"/>
      <c r="D341" s="173"/>
      <c r="E341" s="155"/>
      <c r="F341" s="155"/>
      <c r="G341" s="88"/>
      <c r="H341" s="155"/>
      <c r="I341" s="155"/>
      <c r="J341" s="155"/>
      <c r="K341" s="15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58"/>
      <c r="AA341" s="105"/>
      <c r="AB341" s="105"/>
      <c r="AC341" s="105"/>
      <c r="AD341" s="105"/>
      <c r="AE341" s="105"/>
      <c r="AF341" s="158"/>
      <c r="AG341" s="105"/>
      <c r="AH341" s="158"/>
      <c r="AI341" s="88"/>
      <c r="AJ341" s="88"/>
      <c r="AK341" s="131"/>
      <c r="AL341" s="131"/>
      <c r="AM341" s="131"/>
      <c r="AN341" s="131"/>
      <c r="AO341" s="131"/>
      <c r="AP341" s="88"/>
    </row>
    <row r="342">
      <c r="A342" s="155"/>
      <c r="B342" s="173"/>
      <c r="C342" s="174"/>
      <c r="D342" s="173"/>
      <c r="E342" s="155"/>
      <c r="F342" s="155"/>
      <c r="G342" s="88"/>
      <c r="H342" s="155"/>
      <c r="I342" s="155"/>
      <c r="J342" s="155"/>
      <c r="K342" s="15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58"/>
      <c r="AA342" s="105"/>
      <c r="AB342" s="105"/>
      <c r="AC342" s="105"/>
      <c r="AD342" s="105"/>
      <c r="AE342" s="105"/>
      <c r="AF342" s="158"/>
      <c r="AG342" s="105"/>
      <c r="AH342" s="158"/>
      <c r="AI342" s="88"/>
      <c r="AJ342" s="88"/>
      <c r="AK342" s="131"/>
      <c r="AL342" s="131"/>
      <c r="AM342" s="131"/>
      <c r="AN342" s="131"/>
      <c r="AO342" s="131"/>
      <c r="AP342" s="88"/>
    </row>
    <row r="343">
      <c r="A343" s="155"/>
      <c r="B343" s="173"/>
      <c r="C343" s="174"/>
      <c r="D343" s="173"/>
      <c r="E343" s="155"/>
      <c r="F343" s="155"/>
      <c r="G343" s="88"/>
      <c r="H343" s="155"/>
      <c r="I343" s="155"/>
      <c r="J343" s="155"/>
      <c r="K343" s="15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58"/>
      <c r="AA343" s="105"/>
      <c r="AB343" s="105"/>
      <c r="AC343" s="105"/>
      <c r="AD343" s="105"/>
      <c r="AE343" s="105"/>
      <c r="AF343" s="158"/>
      <c r="AG343" s="105"/>
      <c r="AH343" s="158"/>
      <c r="AI343" s="88"/>
      <c r="AJ343" s="88"/>
      <c r="AK343" s="131"/>
      <c r="AL343" s="131"/>
      <c r="AM343" s="131"/>
      <c r="AN343" s="131"/>
      <c r="AO343" s="131"/>
      <c r="AP343" s="88"/>
    </row>
    <row r="344">
      <c r="A344" s="155"/>
      <c r="B344" s="173"/>
      <c r="C344" s="174"/>
      <c r="D344" s="173"/>
      <c r="E344" s="155"/>
      <c r="F344" s="155"/>
      <c r="G344" s="88"/>
      <c r="H344" s="155"/>
      <c r="I344" s="155"/>
      <c r="J344" s="155"/>
      <c r="K344" s="15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58"/>
      <c r="AA344" s="105"/>
      <c r="AB344" s="105"/>
      <c r="AC344" s="105"/>
      <c r="AD344" s="105"/>
      <c r="AE344" s="105"/>
      <c r="AF344" s="158"/>
      <c r="AG344" s="105"/>
      <c r="AH344" s="158"/>
      <c r="AI344" s="88"/>
      <c r="AJ344" s="88"/>
      <c r="AK344" s="131"/>
      <c r="AL344" s="131"/>
      <c r="AM344" s="131"/>
      <c r="AN344" s="131"/>
      <c r="AO344" s="131"/>
      <c r="AP344" s="88"/>
    </row>
    <row r="345">
      <c r="A345" s="155"/>
      <c r="B345" s="173"/>
      <c r="C345" s="174"/>
      <c r="D345" s="173"/>
      <c r="E345" s="155"/>
      <c r="F345" s="155"/>
      <c r="G345" s="88"/>
      <c r="H345" s="155"/>
      <c r="I345" s="155"/>
      <c r="J345" s="155"/>
      <c r="K345" s="15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58"/>
      <c r="AA345" s="105"/>
      <c r="AB345" s="105"/>
      <c r="AC345" s="105"/>
      <c r="AD345" s="105"/>
      <c r="AE345" s="105"/>
      <c r="AF345" s="158"/>
      <c r="AG345" s="105"/>
      <c r="AH345" s="158"/>
      <c r="AI345" s="88"/>
      <c r="AJ345" s="88"/>
      <c r="AK345" s="131"/>
      <c r="AL345" s="131"/>
      <c r="AM345" s="131"/>
      <c r="AN345" s="131"/>
      <c r="AO345" s="131"/>
      <c r="AP345" s="88"/>
    </row>
    <row r="346">
      <c r="A346" s="155"/>
      <c r="B346" s="173"/>
      <c r="C346" s="174"/>
      <c r="D346" s="173"/>
      <c r="E346" s="155"/>
      <c r="F346" s="155"/>
      <c r="G346" s="88"/>
      <c r="H346" s="155"/>
      <c r="I346" s="155"/>
      <c r="J346" s="155"/>
      <c r="K346" s="15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58"/>
      <c r="AA346" s="105"/>
      <c r="AB346" s="105"/>
      <c r="AC346" s="105"/>
      <c r="AD346" s="105"/>
      <c r="AE346" s="105"/>
      <c r="AF346" s="158"/>
      <c r="AG346" s="105"/>
      <c r="AH346" s="158"/>
      <c r="AI346" s="88"/>
      <c r="AJ346" s="88"/>
      <c r="AK346" s="131"/>
      <c r="AL346" s="131"/>
      <c r="AM346" s="131"/>
      <c r="AN346" s="131"/>
      <c r="AO346" s="131"/>
      <c r="AP346" s="88"/>
    </row>
    <row r="347">
      <c r="A347" s="155"/>
      <c r="B347" s="173"/>
      <c r="C347" s="174"/>
      <c r="D347" s="173"/>
      <c r="E347" s="155"/>
      <c r="F347" s="155"/>
      <c r="G347" s="88"/>
      <c r="H347" s="155"/>
      <c r="I347" s="155"/>
      <c r="J347" s="155"/>
      <c r="K347" s="15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58"/>
      <c r="AA347" s="105"/>
      <c r="AB347" s="105"/>
      <c r="AC347" s="105"/>
      <c r="AD347" s="105"/>
      <c r="AE347" s="105"/>
      <c r="AF347" s="158"/>
      <c r="AG347" s="105"/>
      <c r="AH347" s="158"/>
      <c r="AI347" s="88"/>
      <c r="AJ347" s="88"/>
      <c r="AK347" s="131"/>
      <c r="AL347" s="131"/>
      <c r="AM347" s="131"/>
      <c r="AN347" s="131"/>
      <c r="AO347" s="131"/>
      <c r="AP347" s="88"/>
    </row>
    <row r="348">
      <c r="A348" s="155"/>
      <c r="B348" s="173"/>
      <c r="C348" s="174"/>
      <c r="D348" s="173"/>
      <c r="E348" s="155"/>
      <c r="F348" s="155"/>
      <c r="G348" s="88"/>
      <c r="H348" s="155"/>
      <c r="I348" s="155"/>
      <c r="J348" s="155"/>
      <c r="K348" s="15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58"/>
      <c r="AA348" s="105"/>
      <c r="AB348" s="105"/>
      <c r="AC348" s="105"/>
      <c r="AD348" s="105"/>
      <c r="AE348" s="105"/>
      <c r="AF348" s="158"/>
      <c r="AG348" s="105"/>
      <c r="AH348" s="158"/>
      <c r="AI348" s="88"/>
      <c r="AJ348" s="88"/>
      <c r="AK348" s="131"/>
      <c r="AL348" s="131"/>
      <c r="AM348" s="131"/>
      <c r="AN348" s="131"/>
      <c r="AO348" s="131"/>
      <c r="AP348" s="88"/>
    </row>
    <row r="349">
      <c r="A349" s="155"/>
      <c r="B349" s="173"/>
      <c r="C349" s="174"/>
      <c r="D349" s="173"/>
      <c r="E349" s="155"/>
      <c r="F349" s="155"/>
      <c r="G349" s="88"/>
      <c r="H349" s="155"/>
      <c r="I349" s="155"/>
      <c r="J349" s="155"/>
      <c r="K349" s="15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58"/>
      <c r="AA349" s="105"/>
      <c r="AB349" s="105"/>
      <c r="AC349" s="105"/>
      <c r="AD349" s="105"/>
      <c r="AE349" s="105"/>
      <c r="AF349" s="158"/>
      <c r="AG349" s="105"/>
      <c r="AH349" s="158"/>
      <c r="AI349" s="88"/>
      <c r="AJ349" s="88"/>
      <c r="AK349" s="131"/>
      <c r="AL349" s="131"/>
      <c r="AM349" s="131"/>
      <c r="AN349" s="131"/>
      <c r="AO349" s="131"/>
      <c r="AP349" s="88"/>
    </row>
    <row r="350">
      <c r="A350" s="155"/>
      <c r="B350" s="173"/>
      <c r="C350" s="174"/>
      <c r="D350" s="173"/>
      <c r="E350" s="155"/>
      <c r="F350" s="155"/>
      <c r="G350" s="88"/>
      <c r="H350" s="155"/>
      <c r="I350" s="155"/>
      <c r="J350" s="155"/>
      <c r="K350" s="15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58"/>
      <c r="AA350" s="105"/>
      <c r="AB350" s="105"/>
      <c r="AC350" s="105"/>
      <c r="AD350" s="105"/>
      <c r="AE350" s="105"/>
      <c r="AF350" s="158"/>
      <c r="AG350" s="105"/>
      <c r="AH350" s="158"/>
      <c r="AI350" s="88"/>
      <c r="AJ350" s="88"/>
      <c r="AK350" s="131"/>
      <c r="AL350" s="131"/>
      <c r="AM350" s="131"/>
      <c r="AN350" s="131"/>
      <c r="AO350" s="131"/>
      <c r="AP350" s="88"/>
    </row>
    <row r="351">
      <c r="A351" s="155"/>
      <c r="B351" s="173"/>
      <c r="C351" s="174"/>
      <c r="D351" s="173"/>
      <c r="E351" s="155"/>
      <c r="F351" s="155"/>
      <c r="G351" s="88"/>
      <c r="H351" s="155"/>
      <c r="I351" s="155"/>
      <c r="J351" s="155"/>
      <c r="K351" s="15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58"/>
      <c r="AA351" s="105"/>
      <c r="AB351" s="105"/>
      <c r="AC351" s="105"/>
      <c r="AD351" s="105"/>
      <c r="AE351" s="105"/>
      <c r="AF351" s="158"/>
      <c r="AG351" s="105"/>
      <c r="AH351" s="158"/>
      <c r="AI351" s="88"/>
      <c r="AJ351" s="88"/>
      <c r="AK351" s="131"/>
      <c r="AL351" s="131"/>
      <c r="AM351" s="131"/>
      <c r="AN351" s="131"/>
      <c r="AO351" s="131"/>
      <c r="AP351" s="88"/>
    </row>
    <row r="352">
      <c r="A352" s="155"/>
      <c r="B352" s="173"/>
      <c r="C352" s="174"/>
      <c r="D352" s="173"/>
      <c r="E352" s="155"/>
      <c r="F352" s="155"/>
      <c r="G352" s="88"/>
      <c r="H352" s="155"/>
      <c r="I352" s="155"/>
      <c r="J352" s="155"/>
      <c r="K352" s="15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58"/>
      <c r="AA352" s="105"/>
      <c r="AB352" s="105"/>
      <c r="AC352" s="105"/>
      <c r="AD352" s="105"/>
      <c r="AE352" s="105"/>
      <c r="AF352" s="158"/>
      <c r="AG352" s="105"/>
      <c r="AH352" s="158"/>
      <c r="AI352" s="88"/>
      <c r="AJ352" s="88"/>
      <c r="AK352" s="131"/>
      <c r="AL352" s="131"/>
      <c r="AM352" s="131"/>
      <c r="AN352" s="131"/>
      <c r="AO352" s="131"/>
      <c r="AP352" s="88"/>
    </row>
    <row r="353">
      <c r="A353" s="155"/>
      <c r="B353" s="173"/>
      <c r="C353" s="174"/>
      <c r="D353" s="173"/>
      <c r="E353" s="155"/>
      <c r="F353" s="155"/>
      <c r="G353" s="88"/>
      <c r="H353" s="155"/>
      <c r="I353" s="155"/>
      <c r="J353" s="155"/>
      <c r="K353" s="15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58"/>
      <c r="AA353" s="105"/>
      <c r="AB353" s="105"/>
      <c r="AC353" s="105"/>
      <c r="AD353" s="105"/>
      <c r="AE353" s="105"/>
      <c r="AF353" s="158"/>
      <c r="AG353" s="105"/>
      <c r="AH353" s="158"/>
      <c r="AI353" s="88"/>
      <c r="AJ353" s="88"/>
      <c r="AK353" s="131"/>
      <c r="AL353" s="131"/>
      <c r="AM353" s="131"/>
      <c r="AN353" s="131"/>
      <c r="AO353" s="131"/>
      <c r="AP353" s="88"/>
    </row>
    <row r="354">
      <c r="A354" s="155"/>
      <c r="B354" s="173"/>
      <c r="C354" s="174"/>
      <c r="D354" s="173"/>
      <c r="E354" s="155"/>
      <c r="F354" s="155"/>
      <c r="G354" s="88"/>
      <c r="H354" s="155"/>
      <c r="I354" s="155"/>
      <c r="J354" s="155"/>
      <c r="K354" s="15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58"/>
      <c r="AA354" s="105"/>
      <c r="AB354" s="105"/>
      <c r="AC354" s="105"/>
      <c r="AD354" s="105"/>
      <c r="AE354" s="105"/>
      <c r="AF354" s="158"/>
      <c r="AG354" s="105"/>
      <c r="AH354" s="158"/>
      <c r="AI354" s="88"/>
      <c r="AJ354" s="88"/>
      <c r="AK354" s="131"/>
      <c r="AL354" s="131"/>
      <c r="AM354" s="131"/>
      <c r="AN354" s="131"/>
      <c r="AO354" s="131"/>
      <c r="AP354" s="88"/>
    </row>
    <row r="355">
      <c r="A355" s="155"/>
      <c r="B355" s="173"/>
      <c r="C355" s="174"/>
      <c r="D355" s="173"/>
      <c r="E355" s="155"/>
      <c r="F355" s="155"/>
      <c r="G355" s="88"/>
      <c r="H355" s="155"/>
      <c r="I355" s="155"/>
      <c r="J355" s="155"/>
      <c r="K355" s="15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58"/>
      <c r="AA355" s="105"/>
      <c r="AB355" s="105"/>
      <c r="AC355" s="105"/>
      <c r="AD355" s="105"/>
      <c r="AE355" s="105"/>
      <c r="AF355" s="158"/>
      <c r="AG355" s="105"/>
      <c r="AH355" s="158"/>
      <c r="AI355" s="88"/>
      <c r="AJ355" s="88"/>
      <c r="AK355" s="131"/>
      <c r="AL355" s="131"/>
      <c r="AM355" s="131"/>
      <c r="AN355" s="131"/>
      <c r="AO355" s="131"/>
      <c r="AP355" s="88"/>
    </row>
    <row r="356">
      <c r="A356" s="155"/>
      <c r="B356" s="173"/>
      <c r="C356" s="174"/>
      <c r="D356" s="173"/>
      <c r="E356" s="155"/>
      <c r="F356" s="155"/>
      <c r="G356" s="88"/>
      <c r="H356" s="155"/>
      <c r="I356" s="155"/>
      <c r="J356" s="155"/>
      <c r="K356" s="15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58"/>
      <c r="AA356" s="105"/>
      <c r="AB356" s="105"/>
      <c r="AC356" s="105"/>
      <c r="AD356" s="105"/>
      <c r="AE356" s="105"/>
      <c r="AF356" s="158"/>
      <c r="AG356" s="105"/>
      <c r="AH356" s="158"/>
      <c r="AI356" s="88"/>
      <c r="AJ356" s="88"/>
      <c r="AK356" s="131"/>
      <c r="AL356" s="131"/>
      <c r="AM356" s="131"/>
      <c r="AN356" s="131"/>
      <c r="AO356" s="131"/>
      <c r="AP356" s="88"/>
    </row>
    <row r="357">
      <c r="A357" s="155"/>
      <c r="B357" s="173"/>
      <c r="C357" s="174"/>
      <c r="D357" s="173"/>
      <c r="E357" s="155"/>
      <c r="F357" s="155"/>
      <c r="G357" s="88"/>
      <c r="H357" s="155"/>
      <c r="I357" s="155"/>
      <c r="J357" s="155"/>
      <c r="K357" s="15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58"/>
      <c r="AA357" s="105"/>
      <c r="AB357" s="105"/>
      <c r="AC357" s="105"/>
      <c r="AD357" s="105"/>
      <c r="AE357" s="105"/>
      <c r="AF357" s="158"/>
      <c r="AG357" s="105"/>
      <c r="AH357" s="158"/>
      <c r="AI357" s="88"/>
      <c r="AJ357" s="88"/>
      <c r="AK357" s="131"/>
      <c r="AL357" s="131"/>
      <c r="AM357" s="131"/>
      <c r="AN357" s="131"/>
      <c r="AO357" s="131"/>
      <c r="AP357" s="88"/>
    </row>
    <row r="358">
      <c r="A358" s="155"/>
      <c r="B358" s="173"/>
      <c r="C358" s="174"/>
      <c r="D358" s="173"/>
      <c r="E358" s="155"/>
      <c r="F358" s="155"/>
      <c r="G358" s="88"/>
      <c r="H358" s="155"/>
      <c r="I358" s="155"/>
      <c r="J358" s="155"/>
      <c r="K358" s="15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58"/>
      <c r="AA358" s="105"/>
      <c r="AB358" s="105"/>
      <c r="AC358" s="105"/>
      <c r="AD358" s="105"/>
      <c r="AE358" s="105"/>
      <c r="AF358" s="158"/>
      <c r="AG358" s="105"/>
      <c r="AH358" s="158"/>
      <c r="AI358" s="88"/>
      <c r="AJ358" s="88"/>
      <c r="AK358" s="131"/>
      <c r="AL358" s="131"/>
      <c r="AM358" s="131"/>
      <c r="AN358" s="131"/>
      <c r="AO358" s="131"/>
      <c r="AP358" s="88"/>
    </row>
    <row r="359">
      <c r="A359" s="155"/>
      <c r="B359" s="173"/>
      <c r="C359" s="174"/>
      <c r="D359" s="173"/>
      <c r="E359" s="155"/>
      <c r="F359" s="155"/>
      <c r="G359" s="88"/>
      <c r="H359" s="155"/>
      <c r="I359" s="155"/>
      <c r="J359" s="155"/>
      <c r="K359" s="15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58"/>
      <c r="AA359" s="105"/>
      <c r="AB359" s="105"/>
      <c r="AC359" s="105"/>
      <c r="AD359" s="105"/>
      <c r="AE359" s="105"/>
      <c r="AF359" s="158"/>
      <c r="AG359" s="105"/>
      <c r="AH359" s="158"/>
      <c r="AI359" s="88"/>
      <c r="AJ359" s="88"/>
      <c r="AK359" s="131"/>
      <c r="AL359" s="131"/>
      <c r="AM359" s="131"/>
      <c r="AN359" s="131"/>
      <c r="AO359" s="131"/>
      <c r="AP359" s="88"/>
    </row>
    <row r="360">
      <c r="A360" s="155"/>
      <c r="B360" s="173"/>
      <c r="C360" s="174"/>
      <c r="D360" s="173"/>
      <c r="E360" s="155"/>
      <c r="F360" s="155"/>
      <c r="G360" s="88"/>
      <c r="H360" s="155"/>
      <c r="I360" s="155"/>
      <c r="J360" s="155"/>
      <c r="K360" s="15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58"/>
      <c r="AA360" s="105"/>
      <c r="AB360" s="105"/>
      <c r="AC360" s="105"/>
      <c r="AD360" s="105"/>
      <c r="AE360" s="105"/>
      <c r="AF360" s="158"/>
      <c r="AG360" s="105"/>
      <c r="AH360" s="158"/>
      <c r="AI360" s="88"/>
      <c r="AJ360" s="88"/>
      <c r="AK360" s="131"/>
      <c r="AL360" s="131"/>
      <c r="AM360" s="131"/>
      <c r="AN360" s="131"/>
      <c r="AO360" s="131"/>
      <c r="AP360" s="88"/>
    </row>
    <row r="361">
      <c r="A361" s="155"/>
      <c r="B361" s="173"/>
      <c r="C361" s="174"/>
      <c r="D361" s="173"/>
      <c r="E361" s="155"/>
      <c r="F361" s="155"/>
      <c r="G361" s="88"/>
      <c r="H361" s="155"/>
      <c r="I361" s="155"/>
      <c r="J361" s="155"/>
      <c r="K361" s="15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58"/>
      <c r="AA361" s="105"/>
      <c r="AB361" s="105"/>
      <c r="AC361" s="105"/>
      <c r="AD361" s="105"/>
      <c r="AE361" s="105"/>
      <c r="AF361" s="158"/>
      <c r="AG361" s="105"/>
      <c r="AH361" s="158"/>
      <c r="AI361" s="88"/>
      <c r="AJ361" s="88"/>
      <c r="AK361" s="131"/>
      <c r="AL361" s="131"/>
      <c r="AM361" s="131"/>
      <c r="AN361" s="131"/>
      <c r="AO361" s="131"/>
      <c r="AP361" s="88"/>
    </row>
    <row r="362">
      <c r="A362" s="155"/>
      <c r="B362" s="173"/>
      <c r="C362" s="174"/>
      <c r="D362" s="173"/>
      <c r="E362" s="155"/>
      <c r="F362" s="155"/>
      <c r="G362" s="88"/>
      <c r="H362" s="155"/>
      <c r="I362" s="155"/>
      <c r="J362" s="155"/>
      <c r="K362" s="15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58"/>
      <c r="AA362" s="105"/>
      <c r="AB362" s="105"/>
      <c r="AC362" s="105"/>
      <c r="AD362" s="105"/>
      <c r="AE362" s="105"/>
      <c r="AF362" s="158"/>
      <c r="AG362" s="105"/>
      <c r="AH362" s="158"/>
      <c r="AI362" s="88"/>
      <c r="AJ362" s="88"/>
      <c r="AK362" s="131"/>
      <c r="AL362" s="131"/>
      <c r="AM362" s="131"/>
      <c r="AN362" s="131"/>
      <c r="AO362" s="131"/>
      <c r="AP362" s="88"/>
    </row>
    <row r="363">
      <c r="A363" s="155"/>
      <c r="B363" s="173"/>
      <c r="C363" s="174"/>
      <c r="D363" s="173"/>
      <c r="E363" s="155"/>
      <c r="F363" s="155"/>
      <c r="G363" s="88"/>
      <c r="H363" s="155"/>
      <c r="I363" s="155"/>
      <c r="J363" s="155"/>
      <c r="K363" s="15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58"/>
      <c r="AA363" s="105"/>
      <c r="AB363" s="105"/>
      <c r="AC363" s="105"/>
      <c r="AD363" s="105"/>
      <c r="AE363" s="105"/>
      <c r="AF363" s="158"/>
      <c r="AG363" s="105"/>
      <c r="AH363" s="158"/>
      <c r="AI363" s="88"/>
      <c r="AJ363" s="88"/>
      <c r="AK363" s="131"/>
      <c r="AL363" s="131"/>
      <c r="AM363" s="131"/>
      <c r="AN363" s="131"/>
      <c r="AO363" s="131"/>
      <c r="AP363" s="88"/>
    </row>
    <row r="364">
      <c r="A364" s="155"/>
      <c r="B364" s="173"/>
      <c r="C364" s="174"/>
      <c r="D364" s="173"/>
      <c r="E364" s="155"/>
      <c r="F364" s="155"/>
      <c r="G364" s="88"/>
      <c r="H364" s="155"/>
      <c r="I364" s="155"/>
      <c r="J364" s="155"/>
      <c r="K364" s="15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58"/>
      <c r="AA364" s="105"/>
      <c r="AB364" s="105"/>
      <c r="AC364" s="105"/>
      <c r="AD364" s="105"/>
      <c r="AE364" s="105"/>
      <c r="AF364" s="158"/>
      <c r="AG364" s="105"/>
      <c r="AH364" s="158"/>
      <c r="AI364" s="88"/>
      <c r="AJ364" s="88"/>
      <c r="AK364" s="131"/>
      <c r="AL364" s="131"/>
      <c r="AM364" s="131"/>
      <c r="AN364" s="131"/>
      <c r="AO364" s="131"/>
      <c r="AP364" s="88"/>
    </row>
    <row r="365">
      <c r="A365" s="155"/>
      <c r="B365" s="173"/>
      <c r="C365" s="174"/>
      <c r="D365" s="173"/>
      <c r="E365" s="155"/>
      <c r="F365" s="155"/>
      <c r="G365" s="88"/>
      <c r="H365" s="155"/>
      <c r="I365" s="155"/>
      <c r="J365" s="155"/>
      <c r="K365" s="15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58"/>
      <c r="AA365" s="105"/>
      <c r="AB365" s="105"/>
      <c r="AC365" s="105"/>
      <c r="AD365" s="105"/>
      <c r="AE365" s="105"/>
      <c r="AF365" s="158"/>
      <c r="AG365" s="105"/>
      <c r="AH365" s="158"/>
      <c r="AI365" s="88"/>
      <c r="AJ365" s="88"/>
      <c r="AK365" s="131"/>
      <c r="AL365" s="131"/>
      <c r="AM365" s="131"/>
      <c r="AN365" s="131"/>
      <c r="AO365" s="131"/>
      <c r="AP365" s="88"/>
    </row>
    <row r="366">
      <c r="A366" s="155"/>
      <c r="B366" s="173"/>
      <c r="C366" s="174"/>
      <c r="D366" s="173"/>
      <c r="E366" s="155"/>
      <c r="F366" s="155"/>
      <c r="G366" s="88"/>
      <c r="H366" s="155"/>
      <c r="I366" s="155"/>
      <c r="J366" s="155"/>
      <c r="K366" s="15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58"/>
      <c r="AA366" s="105"/>
      <c r="AB366" s="105"/>
      <c r="AC366" s="105"/>
      <c r="AD366" s="105"/>
      <c r="AE366" s="105"/>
      <c r="AF366" s="158"/>
      <c r="AG366" s="105"/>
      <c r="AH366" s="158"/>
      <c r="AI366" s="88"/>
      <c r="AJ366" s="88"/>
      <c r="AK366" s="131"/>
      <c r="AL366" s="131"/>
      <c r="AM366" s="131"/>
      <c r="AN366" s="131"/>
      <c r="AO366" s="131"/>
      <c r="AP366" s="88"/>
    </row>
    <row r="367">
      <c r="A367" s="155"/>
      <c r="B367" s="173"/>
      <c r="C367" s="174"/>
      <c r="D367" s="173"/>
      <c r="E367" s="155"/>
      <c r="F367" s="155"/>
      <c r="G367" s="88"/>
      <c r="H367" s="155"/>
      <c r="I367" s="155"/>
      <c r="J367" s="155"/>
      <c r="K367" s="15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58"/>
      <c r="AA367" s="105"/>
      <c r="AB367" s="105"/>
      <c r="AC367" s="105"/>
      <c r="AD367" s="105"/>
      <c r="AE367" s="105"/>
      <c r="AF367" s="158"/>
      <c r="AG367" s="105"/>
      <c r="AH367" s="158"/>
      <c r="AI367" s="88"/>
      <c r="AJ367" s="88"/>
      <c r="AK367" s="131"/>
      <c r="AL367" s="131"/>
      <c r="AM367" s="131"/>
      <c r="AN367" s="131"/>
      <c r="AO367" s="131"/>
      <c r="AP367" s="88"/>
    </row>
    <row r="368">
      <c r="A368" s="155"/>
      <c r="B368" s="173"/>
      <c r="C368" s="174"/>
      <c r="D368" s="173"/>
      <c r="E368" s="155"/>
      <c r="F368" s="155"/>
      <c r="G368" s="88"/>
      <c r="H368" s="155"/>
      <c r="I368" s="155"/>
      <c r="J368" s="155"/>
      <c r="K368" s="15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58"/>
      <c r="AA368" s="105"/>
      <c r="AB368" s="105"/>
      <c r="AC368" s="105"/>
      <c r="AD368" s="105"/>
      <c r="AE368" s="105"/>
      <c r="AF368" s="158"/>
      <c r="AG368" s="105"/>
      <c r="AH368" s="158"/>
      <c r="AI368" s="88"/>
      <c r="AJ368" s="88"/>
      <c r="AK368" s="131"/>
      <c r="AL368" s="131"/>
      <c r="AM368" s="131"/>
      <c r="AN368" s="131"/>
      <c r="AO368" s="131"/>
      <c r="AP368" s="88"/>
    </row>
    <row r="369">
      <c r="A369" s="155"/>
      <c r="B369" s="173"/>
      <c r="C369" s="174"/>
      <c r="D369" s="173"/>
      <c r="E369" s="155"/>
      <c r="F369" s="155"/>
      <c r="G369" s="88"/>
      <c r="H369" s="155"/>
      <c r="I369" s="155"/>
      <c r="J369" s="155"/>
      <c r="K369" s="15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58"/>
      <c r="AA369" s="105"/>
      <c r="AB369" s="105"/>
      <c r="AC369" s="105"/>
      <c r="AD369" s="105"/>
      <c r="AE369" s="105"/>
      <c r="AF369" s="158"/>
      <c r="AG369" s="105"/>
      <c r="AH369" s="158"/>
      <c r="AI369" s="88"/>
      <c r="AJ369" s="88"/>
      <c r="AK369" s="131"/>
      <c r="AL369" s="131"/>
      <c r="AM369" s="131"/>
      <c r="AN369" s="131"/>
      <c r="AO369" s="131"/>
      <c r="AP369" s="88"/>
    </row>
    <row r="370">
      <c r="A370" s="155"/>
      <c r="B370" s="173"/>
      <c r="C370" s="174"/>
      <c r="D370" s="173"/>
      <c r="E370" s="155"/>
      <c r="F370" s="155"/>
      <c r="G370" s="88"/>
      <c r="H370" s="155"/>
      <c r="I370" s="155"/>
      <c r="J370" s="155"/>
      <c r="K370" s="15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58"/>
      <c r="AA370" s="105"/>
      <c r="AB370" s="105"/>
      <c r="AC370" s="105"/>
      <c r="AD370" s="105"/>
      <c r="AE370" s="105"/>
      <c r="AF370" s="158"/>
      <c r="AG370" s="105"/>
      <c r="AH370" s="158"/>
      <c r="AI370" s="88"/>
      <c r="AJ370" s="88"/>
      <c r="AK370" s="131"/>
      <c r="AL370" s="131"/>
      <c r="AM370" s="131"/>
      <c r="AN370" s="131"/>
      <c r="AO370" s="131"/>
      <c r="AP370" s="88"/>
    </row>
    <row r="371">
      <c r="A371" s="155"/>
      <c r="B371" s="173"/>
      <c r="C371" s="174"/>
      <c r="D371" s="173"/>
      <c r="E371" s="155"/>
      <c r="F371" s="155"/>
      <c r="G371" s="88"/>
      <c r="H371" s="155"/>
      <c r="I371" s="155"/>
      <c r="J371" s="155"/>
      <c r="K371" s="15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58"/>
      <c r="AA371" s="105"/>
      <c r="AB371" s="105"/>
      <c r="AC371" s="105"/>
      <c r="AD371" s="105"/>
      <c r="AE371" s="105"/>
      <c r="AF371" s="158"/>
      <c r="AG371" s="105"/>
      <c r="AH371" s="158"/>
      <c r="AI371" s="88"/>
      <c r="AJ371" s="88"/>
      <c r="AK371" s="131"/>
      <c r="AL371" s="131"/>
      <c r="AM371" s="131"/>
      <c r="AN371" s="131"/>
      <c r="AO371" s="131"/>
      <c r="AP371" s="88"/>
    </row>
    <row r="372">
      <c r="A372" s="155"/>
      <c r="B372" s="173"/>
      <c r="C372" s="174"/>
      <c r="D372" s="173"/>
      <c r="E372" s="155"/>
      <c r="F372" s="155"/>
      <c r="G372" s="88"/>
      <c r="H372" s="155"/>
      <c r="I372" s="155"/>
      <c r="J372" s="155"/>
      <c r="K372" s="15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58"/>
      <c r="AA372" s="105"/>
      <c r="AB372" s="105"/>
      <c r="AC372" s="105"/>
      <c r="AD372" s="105"/>
      <c r="AE372" s="105"/>
      <c r="AF372" s="158"/>
      <c r="AG372" s="105"/>
      <c r="AH372" s="158"/>
      <c r="AI372" s="88"/>
      <c r="AJ372" s="88"/>
      <c r="AK372" s="131"/>
      <c r="AL372" s="131"/>
      <c r="AM372" s="131"/>
      <c r="AN372" s="131"/>
      <c r="AO372" s="131"/>
      <c r="AP372" s="88"/>
    </row>
    <row r="373">
      <c r="A373" s="155"/>
      <c r="B373" s="173"/>
      <c r="C373" s="174"/>
      <c r="D373" s="173"/>
      <c r="E373" s="155"/>
      <c r="F373" s="155"/>
      <c r="G373" s="88"/>
      <c r="H373" s="155"/>
      <c r="I373" s="155"/>
      <c r="J373" s="155"/>
      <c r="K373" s="15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58"/>
      <c r="AA373" s="105"/>
      <c r="AB373" s="105"/>
      <c r="AC373" s="105"/>
      <c r="AD373" s="105"/>
      <c r="AE373" s="105"/>
      <c r="AF373" s="158"/>
      <c r="AG373" s="105"/>
      <c r="AH373" s="158"/>
      <c r="AI373" s="88"/>
      <c r="AJ373" s="88"/>
      <c r="AK373" s="131"/>
      <c r="AL373" s="131"/>
      <c r="AM373" s="131"/>
      <c r="AN373" s="131"/>
      <c r="AO373" s="131"/>
      <c r="AP373" s="88"/>
    </row>
    <row r="374">
      <c r="A374" s="155"/>
      <c r="B374" s="173"/>
      <c r="C374" s="174"/>
      <c r="D374" s="173"/>
      <c r="E374" s="155"/>
      <c r="F374" s="155"/>
      <c r="G374" s="88"/>
      <c r="H374" s="155"/>
      <c r="I374" s="155"/>
      <c r="J374" s="155"/>
      <c r="K374" s="15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58"/>
      <c r="AA374" s="105"/>
      <c r="AB374" s="105"/>
      <c r="AC374" s="105"/>
      <c r="AD374" s="105"/>
      <c r="AE374" s="105"/>
      <c r="AF374" s="158"/>
      <c r="AG374" s="105"/>
      <c r="AH374" s="158"/>
      <c r="AI374" s="88"/>
      <c r="AJ374" s="88"/>
      <c r="AK374" s="131"/>
      <c r="AL374" s="131"/>
      <c r="AM374" s="131"/>
      <c r="AN374" s="131"/>
      <c r="AO374" s="131"/>
      <c r="AP374" s="88"/>
    </row>
    <row r="375">
      <c r="A375" s="155"/>
      <c r="B375" s="173"/>
      <c r="C375" s="174"/>
      <c r="D375" s="173"/>
      <c r="E375" s="155"/>
      <c r="F375" s="155"/>
      <c r="G375" s="88"/>
      <c r="H375" s="155"/>
      <c r="I375" s="155"/>
      <c r="J375" s="155"/>
      <c r="K375" s="15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58"/>
      <c r="AA375" s="105"/>
      <c r="AB375" s="105"/>
      <c r="AC375" s="105"/>
      <c r="AD375" s="105"/>
      <c r="AE375" s="105"/>
      <c r="AF375" s="158"/>
      <c r="AG375" s="105"/>
      <c r="AH375" s="158"/>
      <c r="AI375" s="88"/>
      <c r="AJ375" s="88"/>
      <c r="AK375" s="131"/>
      <c r="AL375" s="131"/>
      <c r="AM375" s="131"/>
      <c r="AN375" s="131"/>
      <c r="AO375" s="131"/>
      <c r="AP375" s="88"/>
    </row>
    <row r="376">
      <c r="A376" s="155"/>
      <c r="B376" s="173"/>
      <c r="C376" s="174"/>
      <c r="D376" s="173"/>
      <c r="E376" s="155"/>
      <c r="F376" s="155"/>
      <c r="G376" s="88"/>
      <c r="H376" s="155"/>
      <c r="I376" s="155"/>
      <c r="J376" s="155"/>
      <c r="K376" s="15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58"/>
      <c r="AA376" s="105"/>
      <c r="AB376" s="105"/>
      <c r="AC376" s="105"/>
      <c r="AD376" s="105"/>
      <c r="AE376" s="105"/>
      <c r="AF376" s="158"/>
      <c r="AG376" s="105"/>
      <c r="AH376" s="158"/>
      <c r="AI376" s="88"/>
      <c r="AJ376" s="88"/>
      <c r="AK376" s="131"/>
      <c r="AL376" s="131"/>
      <c r="AM376" s="131"/>
      <c r="AN376" s="131"/>
      <c r="AO376" s="131"/>
      <c r="AP376" s="88"/>
    </row>
    <row r="377">
      <c r="A377" s="155"/>
      <c r="B377" s="173"/>
      <c r="C377" s="174"/>
      <c r="D377" s="173"/>
      <c r="E377" s="155"/>
      <c r="F377" s="155"/>
      <c r="G377" s="88"/>
      <c r="H377" s="155"/>
      <c r="I377" s="155"/>
      <c r="J377" s="155"/>
      <c r="K377" s="15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58"/>
      <c r="AA377" s="105"/>
      <c r="AB377" s="105"/>
      <c r="AC377" s="105"/>
      <c r="AD377" s="105"/>
      <c r="AE377" s="105"/>
      <c r="AF377" s="158"/>
      <c r="AG377" s="105"/>
      <c r="AH377" s="158"/>
      <c r="AI377" s="88"/>
      <c r="AJ377" s="88"/>
      <c r="AK377" s="131"/>
      <c r="AL377" s="131"/>
      <c r="AM377" s="131"/>
      <c r="AN377" s="131"/>
      <c r="AO377" s="131"/>
      <c r="AP377" s="88"/>
    </row>
    <row r="378">
      <c r="A378" s="155"/>
      <c r="B378" s="173"/>
      <c r="C378" s="174"/>
      <c r="D378" s="173"/>
      <c r="E378" s="155"/>
      <c r="F378" s="155"/>
      <c r="G378" s="88"/>
      <c r="H378" s="155"/>
      <c r="I378" s="155"/>
      <c r="J378" s="155"/>
      <c r="K378" s="15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58"/>
      <c r="AA378" s="105"/>
      <c r="AB378" s="105"/>
      <c r="AC378" s="105"/>
      <c r="AD378" s="105"/>
      <c r="AE378" s="105"/>
      <c r="AF378" s="158"/>
      <c r="AG378" s="105"/>
      <c r="AH378" s="158"/>
      <c r="AI378" s="88"/>
      <c r="AJ378" s="88"/>
      <c r="AK378" s="131"/>
      <c r="AL378" s="131"/>
      <c r="AM378" s="131"/>
      <c r="AN378" s="131"/>
      <c r="AO378" s="131"/>
      <c r="AP378" s="88"/>
    </row>
    <row r="379">
      <c r="A379" s="155"/>
      <c r="B379" s="173"/>
      <c r="C379" s="174"/>
      <c r="D379" s="173"/>
      <c r="E379" s="155"/>
      <c r="F379" s="155"/>
      <c r="G379" s="88"/>
      <c r="H379" s="155"/>
      <c r="I379" s="155"/>
      <c r="J379" s="155"/>
      <c r="K379" s="15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58"/>
      <c r="AA379" s="105"/>
      <c r="AB379" s="105"/>
      <c r="AC379" s="105"/>
      <c r="AD379" s="105"/>
      <c r="AE379" s="105"/>
      <c r="AF379" s="158"/>
      <c r="AG379" s="105"/>
      <c r="AH379" s="158"/>
      <c r="AI379" s="88"/>
      <c r="AJ379" s="88"/>
      <c r="AK379" s="131"/>
      <c r="AL379" s="131"/>
      <c r="AM379" s="131"/>
      <c r="AN379" s="131"/>
      <c r="AO379" s="131"/>
      <c r="AP379" s="88"/>
    </row>
    <row r="380">
      <c r="A380" s="155"/>
      <c r="B380" s="173"/>
      <c r="C380" s="174"/>
      <c r="D380" s="173"/>
      <c r="E380" s="155"/>
      <c r="F380" s="155"/>
      <c r="G380" s="88"/>
      <c r="H380" s="155"/>
      <c r="I380" s="155"/>
      <c r="J380" s="155"/>
      <c r="K380" s="15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58"/>
      <c r="AA380" s="105"/>
      <c r="AB380" s="105"/>
      <c r="AC380" s="105"/>
      <c r="AD380" s="105"/>
      <c r="AE380" s="105"/>
      <c r="AF380" s="158"/>
      <c r="AG380" s="105"/>
      <c r="AH380" s="158"/>
      <c r="AI380" s="88"/>
      <c r="AJ380" s="88"/>
      <c r="AK380" s="131"/>
      <c r="AL380" s="131"/>
      <c r="AM380" s="131"/>
      <c r="AN380" s="131"/>
      <c r="AO380" s="131"/>
      <c r="AP380" s="88"/>
    </row>
    <row r="381">
      <c r="A381" s="155"/>
      <c r="B381" s="173"/>
      <c r="C381" s="174"/>
      <c r="D381" s="173"/>
      <c r="E381" s="155"/>
      <c r="F381" s="155"/>
      <c r="G381" s="88"/>
      <c r="H381" s="155"/>
      <c r="I381" s="155"/>
      <c r="J381" s="155"/>
      <c r="K381" s="15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58"/>
      <c r="AA381" s="105"/>
      <c r="AB381" s="105"/>
      <c r="AC381" s="105"/>
      <c r="AD381" s="105"/>
      <c r="AE381" s="105"/>
      <c r="AF381" s="158"/>
      <c r="AG381" s="105"/>
      <c r="AH381" s="158"/>
      <c r="AI381" s="88"/>
      <c r="AJ381" s="88"/>
      <c r="AK381" s="131"/>
      <c r="AL381" s="131"/>
      <c r="AM381" s="131"/>
      <c r="AN381" s="131"/>
      <c r="AO381" s="131"/>
      <c r="AP381" s="88"/>
    </row>
    <row r="382">
      <c r="A382" s="155"/>
      <c r="B382" s="173"/>
      <c r="C382" s="174"/>
      <c r="D382" s="173"/>
      <c r="E382" s="155"/>
      <c r="F382" s="155"/>
      <c r="G382" s="88"/>
      <c r="H382" s="155"/>
      <c r="I382" s="155"/>
      <c r="J382" s="155"/>
      <c r="K382" s="15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58"/>
      <c r="AA382" s="105"/>
      <c r="AB382" s="105"/>
      <c r="AC382" s="105"/>
      <c r="AD382" s="105"/>
      <c r="AE382" s="105"/>
      <c r="AF382" s="158"/>
      <c r="AG382" s="105"/>
      <c r="AH382" s="158"/>
      <c r="AI382" s="88"/>
      <c r="AJ382" s="88"/>
      <c r="AK382" s="131"/>
      <c r="AL382" s="131"/>
      <c r="AM382" s="131"/>
      <c r="AN382" s="131"/>
      <c r="AO382" s="131"/>
      <c r="AP382" s="88"/>
    </row>
    <row r="383">
      <c r="A383" s="155"/>
      <c r="B383" s="173"/>
      <c r="C383" s="174"/>
      <c r="D383" s="173"/>
      <c r="E383" s="155"/>
      <c r="F383" s="155"/>
      <c r="G383" s="88"/>
      <c r="H383" s="155"/>
      <c r="I383" s="155"/>
      <c r="J383" s="155"/>
      <c r="K383" s="15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58"/>
      <c r="AA383" s="105"/>
      <c r="AB383" s="105"/>
      <c r="AC383" s="105"/>
      <c r="AD383" s="105"/>
      <c r="AE383" s="105"/>
      <c r="AF383" s="158"/>
      <c r="AG383" s="105"/>
      <c r="AH383" s="158"/>
      <c r="AI383" s="88"/>
      <c r="AJ383" s="88"/>
      <c r="AK383" s="131"/>
      <c r="AL383" s="131"/>
      <c r="AM383" s="131"/>
      <c r="AN383" s="131"/>
      <c r="AO383" s="131"/>
      <c r="AP383" s="88"/>
    </row>
    <row r="384">
      <c r="A384" s="155"/>
      <c r="B384" s="173"/>
      <c r="C384" s="174"/>
      <c r="D384" s="173"/>
      <c r="E384" s="155"/>
      <c r="F384" s="155"/>
      <c r="G384" s="88"/>
      <c r="H384" s="155"/>
      <c r="I384" s="155"/>
      <c r="J384" s="155"/>
      <c r="K384" s="15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58"/>
      <c r="AA384" s="105"/>
      <c r="AB384" s="105"/>
      <c r="AC384" s="105"/>
      <c r="AD384" s="105"/>
      <c r="AE384" s="105"/>
      <c r="AF384" s="158"/>
      <c r="AG384" s="105"/>
      <c r="AH384" s="158"/>
      <c r="AI384" s="88"/>
      <c r="AJ384" s="88"/>
      <c r="AK384" s="131"/>
      <c r="AL384" s="131"/>
      <c r="AM384" s="131"/>
      <c r="AN384" s="131"/>
      <c r="AO384" s="131"/>
      <c r="AP384" s="88"/>
    </row>
    <row r="385">
      <c r="A385" s="155"/>
      <c r="B385" s="173"/>
      <c r="C385" s="174"/>
      <c r="D385" s="173"/>
      <c r="E385" s="155"/>
      <c r="F385" s="155"/>
      <c r="G385" s="88"/>
      <c r="H385" s="155"/>
      <c r="I385" s="155"/>
      <c r="J385" s="155"/>
      <c r="K385" s="15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58"/>
      <c r="AA385" s="105"/>
      <c r="AB385" s="105"/>
      <c r="AC385" s="105"/>
      <c r="AD385" s="105"/>
      <c r="AE385" s="105"/>
      <c r="AF385" s="158"/>
      <c r="AG385" s="105"/>
      <c r="AH385" s="158"/>
      <c r="AI385" s="88"/>
      <c r="AJ385" s="88"/>
      <c r="AK385" s="131"/>
      <c r="AL385" s="131"/>
      <c r="AM385" s="131"/>
      <c r="AN385" s="131"/>
      <c r="AO385" s="131"/>
      <c r="AP385" s="88"/>
    </row>
    <row r="386">
      <c r="A386" s="155"/>
      <c r="B386" s="173"/>
      <c r="C386" s="174"/>
      <c r="D386" s="173"/>
      <c r="E386" s="155"/>
      <c r="F386" s="155"/>
      <c r="G386" s="88"/>
      <c r="H386" s="155"/>
      <c r="I386" s="155"/>
      <c r="J386" s="155"/>
      <c r="K386" s="15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58"/>
      <c r="AA386" s="105"/>
      <c r="AB386" s="105"/>
      <c r="AC386" s="105"/>
      <c r="AD386" s="105"/>
      <c r="AE386" s="105"/>
      <c r="AF386" s="158"/>
      <c r="AG386" s="105"/>
      <c r="AH386" s="158"/>
      <c r="AI386" s="88"/>
      <c r="AJ386" s="88"/>
      <c r="AK386" s="131"/>
      <c r="AL386" s="131"/>
      <c r="AM386" s="131"/>
      <c r="AN386" s="131"/>
      <c r="AO386" s="131"/>
      <c r="AP386" s="88"/>
    </row>
    <row r="387">
      <c r="A387" s="155"/>
      <c r="B387" s="173"/>
      <c r="C387" s="174"/>
      <c r="D387" s="173"/>
      <c r="E387" s="155"/>
      <c r="F387" s="155"/>
      <c r="G387" s="88"/>
      <c r="H387" s="155"/>
      <c r="I387" s="155"/>
      <c r="J387" s="155"/>
      <c r="K387" s="15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58"/>
      <c r="AA387" s="105"/>
      <c r="AB387" s="105"/>
      <c r="AC387" s="105"/>
      <c r="AD387" s="105"/>
      <c r="AE387" s="105"/>
      <c r="AF387" s="158"/>
      <c r="AG387" s="105"/>
      <c r="AH387" s="158"/>
      <c r="AI387" s="88"/>
      <c r="AJ387" s="88"/>
      <c r="AK387" s="131"/>
      <c r="AL387" s="131"/>
      <c r="AM387" s="131"/>
      <c r="AN387" s="131"/>
      <c r="AO387" s="131"/>
      <c r="AP387" s="88"/>
    </row>
    <row r="388">
      <c r="A388" s="155"/>
      <c r="B388" s="173"/>
      <c r="C388" s="174"/>
      <c r="D388" s="173"/>
      <c r="E388" s="155"/>
      <c r="F388" s="155"/>
      <c r="G388" s="88"/>
      <c r="H388" s="155"/>
      <c r="I388" s="155"/>
      <c r="J388" s="155"/>
      <c r="K388" s="15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58"/>
      <c r="AA388" s="105"/>
      <c r="AB388" s="105"/>
      <c r="AC388" s="105"/>
      <c r="AD388" s="105"/>
      <c r="AE388" s="105"/>
      <c r="AF388" s="158"/>
      <c r="AG388" s="105"/>
      <c r="AH388" s="158"/>
      <c r="AI388" s="88"/>
      <c r="AJ388" s="88"/>
      <c r="AK388" s="131"/>
      <c r="AL388" s="131"/>
      <c r="AM388" s="131"/>
      <c r="AN388" s="131"/>
      <c r="AO388" s="131"/>
      <c r="AP388" s="88"/>
    </row>
    <row r="389">
      <c r="A389" s="155"/>
      <c r="B389" s="173"/>
      <c r="C389" s="174"/>
      <c r="D389" s="173"/>
      <c r="E389" s="155"/>
      <c r="F389" s="155"/>
      <c r="G389" s="88"/>
      <c r="H389" s="155"/>
      <c r="I389" s="155"/>
      <c r="J389" s="155"/>
      <c r="K389" s="15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58"/>
      <c r="AA389" s="105"/>
      <c r="AB389" s="105"/>
      <c r="AC389" s="105"/>
      <c r="AD389" s="105"/>
      <c r="AE389" s="105"/>
      <c r="AF389" s="158"/>
      <c r="AG389" s="105"/>
      <c r="AH389" s="158"/>
      <c r="AI389" s="88"/>
      <c r="AJ389" s="88"/>
      <c r="AK389" s="131"/>
      <c r="AL389" s="131"/>
      <c r="AM389" s="131"/>
      <c r="AN389" s="131"/>
      <c r="AO389" s="131"/>
      <c r="AP389" s="88"/>
    </row>
    <row r="390">
      <c r="A390" s="155"/>
      <c r="B390" s="173"/>
      <c r="C390" s="174"/>
      <c r="D390" s="173"/>
      <c r="E390" s="155"/>
      <c r="F390" s="155"/>
      <c r="G390" s="88"/>
      <c r="H390" s="155"/>
      <c r="I390" s="155"/>
      <c r="J390" s="155"/>
      <c r="K390" s="15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58"/>
      <c r="AA390" s="105"/>
      <c r="AB390" s="105"/>
      <c r="AC390" s="105"/>
      <c r="AD390" s="105"/>
      <c r="AE390" s="105"/>
      <c r="AF390" s="158"/>
      <c r="AG390" s="105"/>
      <c r="AH390" s="158"/>
      <c r="AI390" s="88"/>
      <c r="AJ390" s="88"/>
      <c r="AK390" s="131"/>
      <c r="AL390" s="131"/>
      <c r="AM390" s="131"/>
      <c r="AN390" s="131"/>
      <c r="AO390" s="131"/>
      <c r="AP390" s="88"/>
    </row>
    <row r="391">
      <c r="A391" s="155"/>
      <c r="B391" s="173"/>
      <c r="C391" s="174"/>
      <c r="D391" s="173"/>
      <c r="E391" s="155"/>
      <c r="F391" s="155"/>
      <c r="G391" s="88"/>
      <c r="H391" s="155"/>
      <c r="I391" s="155"/>
      <c r="J391" s="155"/>
      <c r="K391" s="15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58"/>
      <c r="AA391" s="105"/>
      <c r="AB391" s="105"/>
      <c r="AC391" s="105"/>
      <c r="AD391" s="105"/>
      <c r="AE391" s="105"/>
      <c r="AF391" s="158"/>
      <c r="AG391" s="105"/>
      <c r="AH391" s="158"/>
      <c r="AI391" s="88"/>
      <c r="AJ391" s="88"/>
      <c r="AK391" s="131"/>
      <c r="AL391" s="131"/>
      <c r="AM391" s="131"/>
      <c r="AN391" s="131"/>
      <c r="AO391" s="131"/>
      <c r="AP391" s="88"/>
    </row>
    <row r="392">
      <c r="A392" s="155"/>
      <c r="B392" s="173"/>
      <c r="C392" s="174"/>
      <c r="D392" s="173"/>
      <c r="E392" s="155"/>
      <c r="F392" s="155"/>
      <c r="G392" s="88"/>
      <c r="H392" s="155"/>
      <c r="I392" s="155"/>
      <c r="J392" s="155"/>
      <c r="K392" s="15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58"/>
      <c r="AA392" s="105"/>
      <c r="AB392" s="105"/>
      <c r="AC392" s="105"/>
      <c r="AD392" s="105"/>
      <c r="AE392" s="105"/>
      <c r="AF392" s="158"/>
      <c r="AG392" s="105"/>
      <c r="AH392" s="158"/>
      <c r="AI392" s="88"/>
      <c r="AJ392" s="88"/>
      <c r="AK392" s="131"/>
      <c r="AL392" s="131"/>
      <c r="AM392" s="131"/>
      <c r="AN392" s="131"/>
      <c r="AO392" s="131"/>
      <c r="AP392" s="88"/>
    </row>
    <row r="393">
      <c r="A393" s="155"/>
      <c r="B393" s="173"/>
      <c r="C393" s="174"/>
      <c r="D393" s="173"/>
      <c r="E393" s="155"/>
      <c r="F393" s="155"/>
      <c r="G393" s="88"/>
      <c r="H393" s="155"/>
      <c r="I393" s="155"/>
      <c r="J393" s="155"/>
      <c r="K393" s="15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58"/>
      <c r="AA393" s="105"/>
      <c r="AB393" s="105"/>
      <c r="AC393" s="105"/>
      <c r="AD393" s="105"/>
      <c r="AE393" s="105"/>
      <c r="AF393" s="158"/>
      <c r="AG393" s="105"/>
      <c r="AH393" s="158"/>
      <c r="AI393" s="88"/>
      <c r="AJ393" s="88"/>
      <c r="AK393" s="131"/>
      <c r="AL393" s="131"/>
      <c r="AM393" s="131"/>
      <c r="AN393" s="131"/>
      <c r="AO393" s="131"/>
      <c r="AP393" s="88"/>
    </row>
    <row r="394">
      <c r="A394" s="155"/>
      <c r="B394" s="173"/>
      <c r="C394" s="174"/>
      <c r="D394" s="173"/>
      <c r="E394" s="155"/>
      <c r="F394" s="155"/>
      <c r="G394" s="88"/>
      <c r="H394" s="155"/>
      <c r="I394" s="155"/>
      <c r="J394" s="155"/>
      <c r="K394" s="15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58"/>
      <c r="AA394" s="105"/>
      <c r="AB394" s="105"/>
      <c r="AC394" s="105"/>
      <c r="AD394" s="105"/>
      <c r="AE394" s="105"/>
      <c r="AF394" s="158"/>
      <c r="AG394" s="105"/>
      <c r="AH394" s="158"/>
      <c r="AI394" s="88"/>
      <c r="AJ394" s="88"/>
      <c r="AK394" s="131"/>
      <c r="AL394" s="131"/>
      <c r="AM394" s="131"/>
      <c r="AN394" s="131"/>
      <c r="AO394" s="131"/>
      <c r="AP394" s="88"/>
    </row>
    <row r="395">
      <c r="A395" s="155"/>
      <c r="B395" s="173"/>
      <c r="C395" s="174"/>
      <c r="D395" s="173"/>
      <c r="E395" s="155"/>
      <c r="F395" s="155"/>
      <c r="G395" s="88"/>
      <c r="H395" s="155"/>
      <c r="I395" s="155"/>
      <c r="J395" s="155"/>
      <c r="K395" s="15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58"/>
      <c r="AA395" s="105"/>
      <c r="AB395" s="105"/>
      <c r="AC395" s="105"/>
      <c r="AD395" s="105"/>
      <c r="AE395" s="105"/>
      <c r="AF395" s="158"/>
      <c r="AG395" s="105"/>
      <c r="AH395" s="158"/>
      <c r="AI395" s="88"/>
      <c r="AJ395" s="88"/>
      <c r="AK395" s="131"/>
      <c r="AL395" s="131"/>
      <c r="AM395" s="131"/>
      <c r="AN395" s="131"/>
      <c r="AO395" s="131"/>
      <c r="AP395" s="88"/>
    </row>
    <row r="396">
      <c r="A396" s="155"/>
      <c r="B396" s="173"/>
      <c r="C396" s="174"/>
      <c r="D396" s="173"/>
      <c r="E396" s="155"/>
      <c r="F396" s="155"/>
      <c r="G396" s="88"/>
      <c r="H396" s="155"/>
      <c r="I396" s="155"/>
      <c r="J396" s="155"/>
      <c r="K396" s="15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58"/>
      <c r="AA396" s="105"/>
      <c r="AB396" s="105"/>
      <c r="AC396" s="105"/>
      <c r="AD396" s="105"/>
      <c r="AE396" s="105"/>
      <c r="AF396" s="158"/>
      <c r="AG396" s="105"/>
      <c r="AH396" s="158"/>
      <c r="AI396" s="88"/>
      <c r="AJ396" s="88"/>
      <c r="AK396" s="131"/>
      <c r="AL396" s="131"/>
      <c r="AM396" s="131"/>
      <c r="AN396" s="131"/>
      <c r="AO396" s="131"/>
      <c r="AP396" s="88"/>
    </row>
    <row r="397">
      <c r="A397" s="155"/>
      <c r="B397" s="173"/>
      <c r="C397" s="174"/>
      <c r="D397" s="173"/>
      <c r="E397" s="155"/>
      <c r="F397" s="155"/>
      <c r="G397" s="88"/>
      <c r="H397" s="155"/>
      <c r="I397" s="155"/>
      <c r="J397" s="155"/>
      <c r="K397" s="15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58"/>
      <c r="AA397" s="105"/>
      <c r="AB397" s="105"/>
      <c r="AC397" s="105"/>
      <c r="AD397" s="105"/>
      <c r="AE397" s="105"/>
      <c r="AF397" s="158"/>
      <c r="AG397" s="105"/>
      <c r="AH397" s="158"/>
      <c r="AI397" s="88"/>
      <c r="AJ397" s="88"/>
      <c r="AK397" s="131"/>
      <c r="AL397" s="131"/>
      <c r="AM397" s="131"/>
      <c r="AN397" s="131"/>
      <c r="AO397" s="131"/>
      <c r="AP397" s="88"/>
    </row>
    <row r="398">
      <c r="A398" s="155"/>
      <c r="B398" s="173"/>
      <c r="C398" s="174"/>
      <c r="D398" s="173"/>
      <c r="E398" s="155"/>
      <c r="F398" s="155"/>
      <c r="G398" s="88"/>
      <c r="H398" s="155"/>
      <c r="I398" s="155"/>
      <c r="J398" s="155"/>
      <c r="K398" s="15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58"/>
      <c r="AA398" s="105"/>
      <c r="AB398" s="105"/>
      <c r="AC398" s="105"/>
      <c r="AD398" s="105"/>
      <c r="AE398" s="105"/>
      <c r="AF398" s="158"/>
      <c r="AG398" s="105"/>
      <c r="AH398" s="158"/>
      <c r="AI398" s="88"/>
      <c r="AJ398" s="88"/>
      <c r="AK398" s="131"/>
      <c r="AL398" s="131"/>
      <c r="AM398" s="131"/>
      <c r="AN398" s="131"/>
      <c r="AO398" s="131"/>
      <c r="AP398" s="88"/>
    </row>
    <row r="399">
      <c r="A399" s="155"/>
      <c r="B399" s="173"/>
      <c r="C399" s="174"/>
      <c r="D399" s="173"/>
      <c r="E399" s="155"/>
      <c r="F399" s="155"/>
      <c r="G399" s="88"/>
      <c r="H399" s="155"/>
      <c r="I399" s="155"/>
      <c r="J399" s="155"/>
      <c r="K399" s="15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58"/>
      <c r="AA399" s="105"/>
      <c r="AB399" s="105"/>
      <c r="AC399" s="105"/>
      <c r="AD399" s="105"/>
      <c r="AE399" s="105"/>
      <c r="AF399" s="158"/>
      <c r="AG399" s="105"/>
      <c r="AH399" s="158"/>
      <c r="AI399" s="88"/>
      <c r="AJ399" s="88"/>
      <c r="AK399" s="131"/>
      <c r="AL399" s="131"/>
      <c r="AM399" s="131"/>
      <c r="AN399" s="131"/>
      <c r="AO399" s="131"/>
      <c r="AP399" s="88"/>
    </row>
    <row r="400">
      <c r="A400" s="155"/>
      <c r="B400" s="173"/>
      <c r="C400" s="174"/>
      <c r="D400" s="173"/>
      <c r="E400" s="155"/>
      <c r="F400" s="155"/>
      <c r="G400" s="88"/>
      <c r="H400" s="155"/>
      <c r="I400" s="155"/>
      <c r="J400" s="155"/>
      <c r="K400" s="15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58"/>
      <c r="AA400" s="105"/>
      <c r="AB400" s="105"/>
      <c r="AC400" s="105"/>
      <c r="AD400" s="105"/>
      <c r="AE400" s="105"/>
      <c r="AF400" s="158"/>
      <c r="AG400" s="105"/>
      <c r="AH400" s="158"/>
      <c r="AI400" s="88"/>
      <c r="AJ400" s="88"/>
      <c r="AK400" s="131"/>
      <c r="AL400" s="131"/>
      <c r="AM400" s="131"/>
      <c r="AN400" s="131"/>
      <c r="AO400" s="131"/>
      <c r="AP400" s="88"/>
    </row>
    <row r="401">
      <c r="A401" s="155"/>
      <c r="B401" s="173"/>
      <c r="C401" s="174"/>
      <c r="D401" s="173"/>
      <c r="E401" s="155"/>
      <c r="F401" s="155"/>
      <c r="G401" s="88"/>
      <c r="H401" s="155"/>
      <c r="I401" s="155"/>
      <c r="J401" s="155"/>
      <c r="K401" s="15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58"/>
      <c r="AA401" s="105"/>
      <c r="AB401" s="105"/>
      <c r="AC401" s="105"/>
      <c r="AD401" s="105"/>
      <c r="AE401" s="105"/>
      <c r="AF401" s="158"/>
      <c r="AG401" s="105"/>
      <c r="AH401" s="158"/>
      <c r="AI401" s="88"/>
      <c r="AJ401" s="88"/>
      <c r="AK401" s="131"/>
      <c r="AL401" s="131"/>
      <c r="AM401" s="131"/>
      <c r="AN401" s="131"/>
      <c r="AO401" s="131"/>
      <c r="AP401" s="88"/>
    </row>
    <row r="402">
      <c r="A402" s="155"/>
      <c r="B402" s="173"/>
      <c r="C402" s="174"/>
      <c r="D402" s="173"/>
      <c r="E402" s="155"/>
      <c r="F402" s="155"/>
      <c r="G402" s="88"/>
      <c r="H402" s="155"/>
      <c r="I402" s="155"/>
      <c r="J402" s="155"/>
      <c r="K402" s="15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58"/>
      <c r="AA402" s="105"/>
      <c r="AB402" s="105"/>
      <c r="AC402" s="105"/>
      <c r="AD402" s="105"/>
      <c r="AE402" s="105"/>
      <c r="AF402" s="158"/>
      <c r="AG402" s="105"/>
      <c r="AH402" s="158"/>
      <c r="AI402" s="88"/>
      <c r="AJ402" s="88"/>
      <c r="AK402" s="131"/>
      <c r="AL402" s="131"/>
      <c r="AM402" s="131"/>
      <c r="AN402" s="131"/>
      <c r="AO402" s="131"/>
      <c r="AP402" s="88"/>
    </row>
    <row r="403">
      <c r="A403" s="155"/>
      <c r="B403" s="173"/>
      <c r="C403" s="174"/>
      <c r="D403" s="173"/>
      <c r="E403" s="155"/>
      <c r="F403" s="155"/>
      <c r="G403" s="88"/>
      <c r="H403" s="155"/>
      <c r="I403" s="155"/>
      <c r="J403" s="155"/>
      <c r="K403" s="15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58"/>
      <c r="AA403" s="105"/>
      <c r="AB403" s="105"/>
      <c r="AC403" s="105"/>
      <c r="AD403" s="105"/>
      <c r="AE403" s="105"/>
      <c r="AF403" s="158"/>
      <c r="AG403" s="105"/>
      <c r="AH403" s="158"/>
      <c r="AI403" s="88"/>
      <c r="AJ403" s="88"/>
      <c r="AK403" s="131"/>
      <c r="AL403" s="131"/>
      <c r="AM403" s="131"/>
      <c r="AN403" s="131"/>
      <c r="AO403" s="131"/>
      <c r="AP403" s="88"/>
    </row>
    <row r="404">
      <c r="A404" s="155"/>
      <c r="B404" s="173"/>
      <c r="C404" s="174"/>
      <c r="D404" s="173"/>
      <c r="E404" s="155"/>
      <c r="F404" s="155"/>
      <c r="G404" s="88"/>
      <c r="H404" s="155"/>
      <c r="I404" s="155"/>
      <c r="J404" s="155"/>
      <c r="K404" s="15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58"/>
      <c r="AA404" s="105"/>
      <c r="AB404" s="105"/>
      <c r="AC404" s="105"/>
      <c r="AD404" s="105"/>
      <c r="AE404" s="105"/>
      <c r="AF404" s="158"/>
      <c r="AG404" s="105"/>
      <c r="AH404" s="158"/>
      <c r="AI404" s="88"/>
      <c r="AJ404" s="88"/>
      <c r="AK404" s="131"/>
      <c r="AL404" s="131"/>
      <c r="AM404" s="131"/>
      <c r="AN404" s="131"/>
      <c r="AO404" s="131"/>
      <c r="AP404" s="88"/>
    </row>
    <row r="405">
      <c r="A405" s="155"/>
      <c r="B405" s="173"/>
      <c r="C405" s="174"/>
      <c r="D405" s="173"/>
      <c r="E405" s="155"/>
      <c r="F405" s="155"/>
      <c r="G405" s="88"/>
      <c r="H405" s="155"/>
      <c r="I405" s="155"/>
      <c r="J405" s="155"/>
      <c r="K405" s="15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58"/>
      <c r="AA405" s="105"/>
      <c r="AB405" s="105"/>
      <c r="AC405" s="105"/>
      <c r="AD405" s="105"/>
      <c r="AE405" s="105"/>
      <c r="AF405" s="158"/>
      <c r="AG405" s="105"/>
      <c r="AH405" s="158"/>
      <c r="AI405" s="88"/>
      <c r="AJ405" s="88"/>
      <c r="AK405" s="131"/>
      <c r="AL405" s="131"/>
      <c r="AM405" s="131"/>
      <c r="AN405" s="131"/>
      <c r="AO405" s="131"/>
      <c r="AP405" s="88"/>
    </row>
    <row r="406">
      <c r="A406" s="155"/>
      <c r="B406" s="173"/>
      <c r="C406" s="174"/>
      <c r="D406" s="173"/>
      <c r="E406" s="155"/>
      <c r="F406" s="155"/>
      <c r="G406" s="88"/>
      <c r="H406" s="155"/>
      <c r="I406" s="155"/>
      <c r="J406" s="155"/>
      <c r="K406" s="15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58"/>
      <c r="AA406" s="105"/>
      <c r="AB406" s="105"/>
      <c r="AC406" s="105"/>
      <c r="AD406" s="105"/>
      <c r="AE406" s="105"/>
      <c r="AF406" s="158"/>
      <c r="AG406" s="105"/>
      <c r="AH406" s="158"/>
      <c r="AI406" s="88"/>
      <c r="AJ406" s="88"/>
      <c r="AK406" s="131"/>
      <c r="AL406" s="131"/>
      <c r="AM406" s="131"/>
      <c r="AN406" s="131"/>
      <c r="AO406" s="131"/>
      <c r="AP406" s="88"/>
    </row>
    <row r="407">
      <c r="A407" s="155"/>
      <c r="B407" s="173"/>
      <c r="C407" s="174"/>
      <c r="D407" s="173"/>
      <c r="E407" s="155"/>
      <c r="F407" s="155"/>
      <c r="G407" s="88"/>
      <c r="H407" s="155"/>
      <c r="I407" s="155"/>
      <c r="J407" s="155"/>
      <c r="K407" s="15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58"/>
      <c r="AA407" s="105"/>
      <c r="AB407" s="105"/>
      <c r="AC407" s="105"/>
      <c r="AD407" s="105"/>
      <c r="AE407" s="105"/>
      <c r="AF407" s="158"/>
      <c r="AG407" s="105"/>
      <c r="AH407" s="158"/>
      <c r="AI407" s="88"/>
      <c r="AJ407" s="88"/>
      <c r="AK407" s="131"/>
      <c r="AL407" s="131"/>
      <c r="AM407" s="131"/>
      <c r="AN407" s="131"/>
      <c r="AO407" s="131"/>
      <c r="AP407" s="88"/>
    </row>
    <row r="408">
      <c r="A408" s="155"/>
      <c r="B408" s="173"/>
      <c r="C408" s="174"/>
      <c r="D408" s="173"/>
      <c r="E408" s="155"/>
      <c r="F408" s="155"/>
      <c r="G408" s="88"/>
      <c r="H408" s="155"/>
      <c r="I408" s="155"/>
      <c r="J408" s="155"/>
      <c r="K408" s="15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58"/>
      <c r="AA408" s="105"/>
      <c r="AB408" s="105"/>
      <c r="AC408" s="105"/>
      <c r="AD408" s="105"/>
      <c r="AE408" s="105"/>
      <c r="AF408" s="158"/>
      <c r="AG408" s="105"/>
      <c r="AH408" s="158"/>
      <c r="AI408" s="88"/>
      <c r="AJ408" s="88"/>
      <c r="AK408" s="131"/>
      <c r="AL408" s="131"/>
      <c r="AM408" s="131"/>
      <c r="AN408" s="131"/>
      <c r="AO408" s="131"/>
      <c r="AP408" s="88"/>
    </row>
    <row r="409">
      <c r="A409" s="155"/>
      <c r="B409" s="173"/>
      <c r="C409" s="174"/>
      <c r="D409" s="173"/>
      <c r="E409" s="155"/>
      <c r="F409" s="155"/>
      <c r="G409" s="88"/>
      <c r="H409" s="155"/>
      <c r="I409" s="155"/>
      <c r="J409" s="155"/>
      <c r="K409" s="15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58"/>
      <c r="AA409" s="105"/>
      <c r="AB409" s="105"/>
      <c r="AC409" s="105"/>
      <c r="AD409" s="105"/>
      <c r="AE409" s="105"/>
      <c r="AF409" s="158"/>
      <c r="AG409" s="105"/>
      <c r="AH409" s="158"/>
      <c r="AI409" s="88"/>
      <c r="AJ409" s="88"/>
      <c r="AK409" s="131"/>
      <c r="AL409" s="131"/>
      <c r="AM409" s="131"/>
      <c r="AN409" s="131"/>
      <c r="AO409" s="131"/>
      <c r="AP409" s="88"/>
    </row>
    <row r="410">
      <c r="A410" s="155"/>
      <c r="B410" s="173"/>
      <c r="C410" s="174"/>
      <c r="D410" s="173"/>
      <c r="E410" s="155"/>
      <c r="F410" s="155"/>
      <c r="G410" s="88"/>
      <c r="H410" s="155"/>
      <c r="I410" s="155"/>
      <c r="J410" s="155"/>
      <c r="K410" s="15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58"/>
      <c r="AA410" s="105"/>
      <c r="AB410" s="105"/>
      <c r="AC410" s="105"/>
      <c r="AD410" s="105"/>
      <c r="AE410" s="105"/>
      <c r="AF410" s="158"/>
      <c r="AG410" s="105"/>
      <c r="AH410" s="158"/>
      <c r="AI410" s="88"/>
      <c r="AJ410" s="88"/>
      <c r="AK410" s="131"/>
      <c r="AL410" s="131"/>
      <c r="AM410" s="131"/>
      <c r="AN410" s="131"/>
      <c r="AO410" s="131"/>
      <c r="AP410" s="88"/>
    </row>
    <row r="411">
      <c r="A411" s="155"/>
      <c r="B411" s="173"/>
      <c r="C411" s="174"/>
      <c r="D411" s="173"/>
      <c r="E411" s="155"/>
      <c r="F411" s="155"/>
      <c r="G411" s="88"/>
      <c r="H411" s="155"/>
      <c r="I411" s="155"/>
      <c r="J411" s="155"/>
      <c r="K411" s="15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58"/>
      <c r="AA411" s="105"/>
      <c r="AB411" s="105"/>
      <c r="AC411" s="105"/>
      <c r="AD411" s="105"/>
      <c r="AE411" s="105"/>
      <c r="AF411" s="158"/>
      <c r="AG411" s="105"/>
      <c r="AH411" s="158"/>
      <c r="AI411" s="88"/>
      <c r="AJ411" s="88"/>
      <c r="AK411" s="131"/>
      <c r="AL411" s="131"/>
      <c r="AM411" s="131"/>
      <c r="AN411" s="131"/>
      <c r="AO411" s="131"/>
      <c r="AP411" s="88"/>
    </row>
    <row r="412">
      <c r="A412" s="155"/>
      <c r="B412" s="173"/>
      <c r="C412" s="174"/>
      <c r="D412" s="173"/>
      <c r="E412" s="155"/>
      <c r="F412" s="155"/>
      <c r="G412" s="88"/>
      <c r="H412" s="155"/>
      <c r="I412" s="155"/>
      <c r="J412" s="155"/>
      <c r="K412" s="15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58"/>
      <c r="AA412" s="105"/>
      <c r="AB412" s="105"/>
      <c r="AC412" s="105"/>
      <c r="AD412" s="105"/>
      <c r="AE412" s="105"/>
      <c r="AF412" s="158"/>
      <c r="AG412" s="105"/>
      <c r="AH412" s="158"/>
      <c r="AI412" s="88"/>
      <c r="AJ412" s="88"/>
      <c r="AK412" s="131"/>
      <c r="AL412" s="131"/>
      <c r="AM412" s="131"/>
      <c r="AN412" s="131"/>
      <c r="AO412" s="131"/>
      <c r="AP412" s="88"/>
    </row>
    <row r="413">
      <c r="A413" s="155"/>
      <c r="B413" s="173"/>
      <c r="C413" s="174"/>
      <c r="D413" s="173"/>
      <c r="E413" s="155"/>
      <c r="F413" s="155"/>
      <c r="G413" s="88"/>
      <c r="H413" s="155"/>
      <c r="I413" s="155"/>
      <c r="J413" s="155"/>
      <c r="K413" s="15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58"/>
      <c r="AA413" s="105"/>
      <c r="AB413" s="105"/>
      <c r="AC413" s="105"/>
      <c r="AD413" s="105"/>
      <c r="AE413" s="105"/>
      <c r="AF413" s="158"/>
      <c r="AG413" s="105"/>
      <c r="AH413" s="158"/>
      <c r="AI413" s="88"/>
      <c r="AJ413" s="88"/>
      <c r="AK413" s="131"/>
      <c r="AL413" s="131"/>
      <c r="AM413" s="131"/>
      <c r="AN413" s="131"/>
      <c r="AO413" s="131"/>
      <c r="AP413" s="88"/>
    </row>
    <row r="414">
      <c r="A414" s="155"/>
      <c r="B414" s="173"/>
      <c r="C414" s="174"/>
      <c r="D414" s="173"/>
      <c r="E414" s="155"/>
      <c r="F414" s="155"/>
      <c r="G414" s="88"/>
      <c r="H414" s="155"/>
      <c r="I414" s="155"/>
      <c r="J414" s="155"/>
      <c r="K414" s="15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58"/>
      <c r="AA414" s="105"/>
      <c r="AB414" s="105"/>
      <c r="AC414" s="105"/>
      <c r="AD414" s="105"/>
      <c r="AE414" s="105"/>
      <c r="AF414" s="158"/>
      <c r="AG414" s="105"/>
      <c r="AH414" s="158"/>
      <c r="AI414" s="88"/>
      <c r="AJ414" s="88"/>
      <c r="AK414" s="131"/>
      <c r="AL414" s="131"/>
      <c r="AM414" s="131"/>
      <c r="AN414" s="131"/>
      <c r="AO414" s="131"/>
      <c r="AP414" s="88"/>
    </row>
    <row r="415">
      <c r="A415" s="155"/>
      <c r="B415" s="173"/>
      <c r="C415" s="174"/>
      <c r="D415" s="173"/>
      <c r="E415" s="155"/>
      <c r="F415" s="155"/>
      <c r="G415" s="88"/>
      <c r="H415" s="155"/>
      <c r="I415" s="155"/>
      <c r="J415" s="155"/>
      <c r="K415" s="15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58"/>
      <c r="AA415" s="105"/>
      <c r="AB415" s="105"/>
      <c r="AC415" s="105"/>
      <c r="AD415" s="105"/>
      <c r="AE415" s="105"/>
      <c r="AF415" s="158"/>
      <c r="AG415" s="105"/>
      <c r="AH415" s="158"/>
      <c r="AI415" s="88"/>
      <c r="AJ415" s="88"/>
      <c r="AK415" s="131"/>
      <c r="AL415" s="131"/>
      <c r="AM415" s="131"/>
      <c r="AN415" s="131"/>
      <c r="AO415" s="131"/>
      <c r="AP415" s="88"/>
    </row>
    <row r="416">
      <c r="A416" s="155"/>
      <c r="B416" s="173"/>
      <c r="C416" s="174"/>
      <c r="D416" s="173"/>
      <c r="E416" s="155"/>
      <c r="F416" s="155"/>
      <c r="G416" s="88"/>
      <c r="H416" s="155"/>
      <c r="I416" s="155"/>
      <c r="J416" s="155"/>
      <c r="K416" s="15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58"/>
      <c r="AA416" s="105"/>
      <c r="AB416" s="105"/>
      <c r="AC416" s="105"/>
      <c r="AD416" s="105"/>
      <c r="AE416" s="105"/>
      <c r="AF416" s="158"/>
      <c r="AG416" s="105"/>
      <c r="AH416" s="158"/>
      <c r="AI416" s="88"/>
      <c r="AJ416" s="88"/>
      <c r="AK416" s="131"/>
      <c r="AL416" s="131"/>
      <c r="AM416" s="131"/>
      <c r="AN416" s="131"/>
      <c r="AO416" s="131"/>
      <c r="AP416" s="88"/>
    </row>
    <row r="417">
      <c r="A417" s="155"/>
      <c r="B417" s="173"/>
      <c r="C417" s="174"/>
      <c r="D417" s="173"/>
      <c r="E417" s="155"/>
      <c r="F417" s="155"/>
      <c r="G417" s="88"/>
      <c r="H417" s="155"/>
      <c r="I417" s="155"/>
      <c r="J417" s="155"/>
      <c r="K417" s="15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58"/>
      <c r="AA417" s="105"/>
      <c r="AB417" s="105"/>
      <c r="AC417" s="105"/>
      <c r="AD417" s="105"/>
      <c r="AE417" s="105"/>
      <c r="AF417" s="158"/>
      <c r="AG417" s="105"/>
      <c r="AH417" s="158"/>
      <c r="AI417" s="88"/>
      <c r="AJ417" s="88"/>
      <c r="AK417" s="131"/>
      <c r="AL417" s="131"/>
      <c r="AM417" s="131"/>
      <c r="AN417" s="131"/>
      <c r="AO417" s="131"/>
      <c r="AP417" s="88"/>
    </row>
    <row r="418">
      <c r="A418" s="155"/>
      <c r="B418" s="173"/>
      <c r="C418" s="174"/>
      <c r="D418" s="173"/>
      <c r="E418" s="155"/>
      <c r="F418" s="155"/>
      <c r="G418" s="88"/>
      <c r="H418" s="155"/>
      <c r="I418" s="155"/>
      <c r="J418" s="155"/>
      <c r="K418" s="15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58"/>
      <c r="AA418" s="105"/>
      <c r="AB418" s="105"/>
      <c r="AC418" s="105"/>
      <c r="AD418" s="105"/>
      <c r="AE418" s="105"/>
      <c r="AF418" s="158"/>
      <c r="AG418" s="105"/>
      <c r="AH418" s="158"/>
      <c r="AI418" s="88"/>
      <c r="AJ418" s="88"/>
      <c r="AK418" s="131"/>
      <c r="AL418" s="131"/>
      <c r="AM418" s="131"/>
      <c r="AN418" s="131"/>
      <c r="AO418" s="131"/>
      <c r="AP418" s="88"/>
    </row>
    <row r="419">
      <c r="A419" s="155"/>
      <c r="B419" s="173"/>
      <c r="C419" s="174"/>
      <c r="D419" s="173"/>
      <c r="E419" s="155"/>
      <c r="F419" s="155"/>
      <c r="G419" s="88"/>
      <c r="H419" s="155"/>
      <c r="I419" s="155"/>
      <c r="J419" s="155"/>
      <c r="K419" s="15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58"/>
      <c r="AA419" s="105"/>
      <c r="AB419" s="105"/>
      <c r="AC419" s="105"/>
      <c r="AD419" s="105"/>
      <c r="AE419" s="105"/>
      <c r="AF419" s="158"/>
      <c r="AG419" s="105"/>
      <c r="AH419" s="158"/>
      <c r="AI419" s="88"/>
      <c r="AJ419" s="88"/>
      <c r="AK419" s="131"/>
      <c r="AL419" s="131"/>
      <c r="AM419" s="131"/>
      <c r="AN419" s="131"/>
      <c r="AO419" s="131"/>
      <c r="AP419" s="88"/>
    </row>
    <row r="420">
      <c r="A420" s="155"/>
      <c r="B420" s="173"/>
      <c r="C420" s="174"/>
      <c r="D420" s="173"/>
      <c r="E420" s="155"/>
      <c r="F420" s="155"/>
      <c r="G420" s="88"/>
      <c r="H420" s="155"/>
      <c r="I420" s="155"/>
      <c r="J420" s="155"/>
      <c r="K420" s="15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58"/>
      <c r="AA420" s="105"/>
      <c r="AB420" s="105"/>
      <c r="AC420" s="105"/>
      <c r="AD420" s="105"/>
      <c r="AE420" s="105"/>
      <c r="AF420" s="158"/>
      <c r="AG420" s="105"/>
      <c r="AH420" s="158"/>
      <c r="AI420" s="88"/>
      <c r="AJ420" s="88"/>
      <c r="AK420" s="131"/>
      <c r="AL420" s="131"/>
      <c r="AM420" s="131"/>
      <c r="AN420" s="131"/>
      <c r="AO420" s="131"/>
      <c r="AP420" s="88"/>
    </row>
    <row r="421">
      <c r="A421" s="155"/>
      <c r="B421" s="173"/>
      <c r="C421" s="174"/>
      <c r="D421" s="173"/>
      <c r="E421" s="155"/>
      <c r="F421" s="155"/>
      <c r="G421" s="88"/>
      <c r="H421" s="155"/>
      <c r="I421" s="155"/>
      <c r="J421" s="155"/>
      <c r="K421" s="15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58"/>
      <c r="AA421" s="105"/>
      <c r="AB421" s="105"/>
      <c r="AC421" s="105"/>
      <c r="AD421" s="105"/>
      <c r="AE421" s="105"/>
      <c r="AF421" s="158"/>
      <c r="AG421" s="105"/>
      <c r="AH421" s="158"/>
      <c r="AI421" s="88"/>
      <c r="AJ421" s="88"/>
      <c r="AK421" s="131"/>
      <c r="AL421" s="131"/>
      <c r="AM421" s="131"/>
      <c r="AN421" s="131"/>
      <c r="AO421" s="131"/>
      <c r="AP421" s="88"/>
    </row>
    <row r="422">
      <c r="A422" s="155"/>
      <c r="B422" s="173"/>
      <c r="C422" s="174"/>
      <c r="D422" s="173"/>
      <c r="E422" s="155"/>
      <c r="F422" s="155"/>
      <c r="G422" s="88"/>
      <c r="H422" s="155"/>
      <c r="I422" s="155"/>
      <c r="J422" s="155"/>
      <c r="K422" s="15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58"/>
      <c r="AA422" s="105"/>
      <c r="AB422" s="105"/>
      <c r="AC422" s="105"/>
      <c r="AD422" s="105"/>
      <c r="AE422" s="105"/>
      <c r="AF422" s="158"/>
      <c r="AG422" s="105"/>
      <c r="AH422" s="158"/>
      <c r="AI422" s="88"/>
      <c r="AJ422" s="88"/>
      <c r="AK422" s="131"/>
      <c r="AL422" s="131"/>
      <c r="AM422" s="131"/>
      <c r="AN422" s="131"/>
      <c r="AO422" s="131"/>
      <c r="AP422" s="88"/>
    </row>
    <row r="423">
      <c r="A423" s="155"/>
      <c r="B423" s="173"/>
      <c r="C423" s="174"/>
      <c r="D423" s="173"/>
      <c r="E423" s="155"/>
      <c r="F423" s="155"/>
      <c r="G423" s="88"/>
      <c r="H423" s="155"/>
      <c r="I423" s="155"/>
      <c r="J423" s="155"/>
      <c r="K423" s="15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58"/>
      <c r="AA423" s="105"/>
      <c r="AB423" s="105"/>
      <c r="AC423" s="105"/>
      <c r="AD423" s="105"/>
      <c r="AE423" s="105"/>
      <c r="AF423" s="158"/>
      <c r="AG423" s="105"/>
      <c r="AH423" s="158"/>
      <c r="AI423" s="88"/>
      <c r="AJ423" s="88"/>
      <c r="AK423" s="131"/>
      <c r="AL423" s="131"/>
      <c r="AM423" s="131"/>
      <c r="AN423" s="131"/>
      <c r="AO423" s="131"/>
      <c r="AP423" s="88"/>
    </row>
    <row r="424">
      <c r="A424" s="155"/>
      <c r="B424" s="173"/>
      <c r="C424" s="174"/>
      <c r="D424" s="173"/>
      <c r="E424" s="155"/>
      <c r="F424" s="155"/>
      <c r="G424" s="88"/>
      <c r="H424" s="155"/>
      <c r="I424" s="155"/>
      <c r="J424" s="155"/>
      <c r="K424" s="15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58"/>
      <c r="AA424" s="105"/>
      <c r="AB424" s="105"/>
      <c r="AC424" s="105"/>
      <c r="AD424" s="105"/>
      <c r="AE424" s="105"/>
      <c r="AF424" s="158"/>
      <c r="AG424" s="105"/>
      <c r="AH424" s="158"/>
      <c r="AI424" s="88"/>
      <c r="AJ424" s="88"/>
      <c r="AK424" s="131"/>
      <c r="AL424" s="131"/>
      <c r="AM424" s="131"/>
      <c r="AN424" s="131"/>
      <c r="AO424" s="131"/>
      <c r="AP424" s="88"/>
    </row>
    <row r="425">
      <c r="A425" s="155"/>
      <c r="B425" s="173"/>
      <c r="C425" s="174"/>
      <c r="D425" s="173"/>
      <c r="E425" s="155"/>
      <c r="F425" s="155"/>
      <c r="G425" s="88"/>
      <c r="H425" s="155"/>
      <c r="I425" s="155"/>
      <c r="J425" s="155"/>
      <c r="K425" s="15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58"/>
      <c r="AA425" s="105"/>
      <c r="AB425" s="105"/>
      <c r="AC425" s="105"/>
      <c r="AD425" s="105"/>
      <c r="AE425" s="105"/>
      <c r="AF425" s="158"/>
      <c r="AG425" s="105"/>
      <c r="AH425" s="158"/>
      <c r="AI425" s="88"/>
      <c r="AJ425" s="88"/>
      <c r="AK425" s="131"/>
      <c r="AL425" s="131"/>
      <c r="AM425" s="131"/>
      <c r="AN425" s="131"/>
      <c r="AO425" s="131"/>
      <c r="AP425" s="88"/>
    </row>
    <row r="426">
      <c r="A426" s="155"/>
      <c r="B426" s="173"/>
      <c r="C426" s="174"/>
      <c r="D426" s="173"/>
      <c r="E426" s="155"/>
      <c r="F426" s="155"/>
      <c r="G426" s="88"/>
      <c r="H426" s="155"/>
      <c r="I426" s="155"/>
      <c r="J426" s="155"/>
      <c r="K426" s="15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58"/>
      <c r="AA426" s="105"/>
      <c r="AB426" s="105"/>
      <c r="AC426" s="105"/>
      <c r="AD426" s="105"/>
      <c r="AE426" s="105"/>
      <c r="AF426" s="158"/>
      <c r="AG426" s="105"/>
      <c r="AH426" s="158"/>
      <c r="AI426" s="88"/>
      <c r="AJ426" s="88"/>
      <c r="AK426" s="131"/>
      <c r="AL426" s="131"/>
      <c r="AM426" s="131"/>
      <c r="AN426" s="131"/>
      <c r="AO426" s="131"/>
      <c r="AP426" s="88"/>
    </row>
    <row r="427">
      <c r="A427" s="155"/>
      <c r="B427" s="173"/>
      <c r="C427" s="174"/>
      <c r="D427" s="173"/>
      <c r="E427" s="155"/>
      <c r="F427" s="155"/>
      <c r="G427" s="88"/>
      <c r="H427" s="155"/>
      <c r="I427" s="155"/>
      <c r="J427" s="155"/>
      <c r="K427" s="15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58"/>
      <c r="AA427" s="105"/>
      <c r="AB427" s="105"/>
      <c r="AC427" s="105"/>
      <c r="AD427" s="105"/>
      <c r="AE427" s="105"/>
      <c r="AF427" s="158"/>
      <c r="AG427" s="105"/>
      <c r="AH427" s="158"/>
      <c r="AI427" s="88"/>
      <c r="AJ427" s="88"/>
      <c r="AK427" s="131"/>
      <c r="AL427" s="131"/>
      <c r="AM427" s="131"/>
      <c r="AN427" s="131"/>
      <c r="AO427" s="131"/>
      <c r="AP427" s="88"/>
    </row>
    <row r="428">
      <c r="A428" s="155"/>
      <c r="B428" s="173"/>
      <c r="C428" s="174"/>
      <c r="D428" s="173"/>
      <c r="E428" s="155"/>
      <c r="F428" s="155"/>
      <c r="G428" s="88"/>
      <c r="H428" s="155"/>
      <c r="I428" s="155"/>
      <c r="J428" s="155"/>
      <c r="K428" s="15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58"/>
      <c r="AA428" s="105"/>
      <c r="AB428" s="105"/>
      <c r="AC428" s="105"/>
      <c r="AD428" s="105"/>
      <c r="AE428" s="105"/>
      <c r="AF428" s="158"/>
      <c r="AG428" s="105"/>
      <c r="AH428" s="158"/>
      <c r="AI428" s="88"/>
      <c r="AJ428" s="88"/>
      <c r="AK428" s="131"/>
      <c r="AL428" s="131"/>
      <c r="AM428" s="131"/>
      <c r="AN428" s="131"/>
      <c r="AO428" s="131"/>
      <c r="AP428" s="88"/>
    </row>
    <row r="429">
      <c r="A429" s="155"/>
      <c r="B429" s="173"/>
      <c r="C429" s="174"/>
      <c r="D429" s="173"/>
      <c r="E429" s="155"/>
      <c r="F429" s="155"/>
      <c r="G429" s="88"/>
      <c r="H429" s="155"/>
      <c r="I429" s="155"/>
      <c r="J429" s="155"/>
      <c r="K429" s="15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58"/>
      <c r="AA429" s="105"/>
      <c r="AB429" s="105"/>
      <c r="AC429" s="105"/>
      <c r="AD429" s="105"/>
      <c r="AE429" s="105"/>
      <c r="AF429" s="158"/>
      <c r="AG429" s="105"/>
      <c r="AH429" s="158"/>
      <c r="AI429" s="88"/>
      <c r="AJ429" s="88"/>
      <c r="AK429" s="131"/>
      <c r="AL429" s="131"/>
      <c r="AM429" s="131"/>
      <c r="AN429" s="131"/>
      <c r="AO429" s="131"/>
      <c r="AP429" s="88"/>
    </row>
    <row r="430">
      <c r="A430" s="155"/>
      <c r="B430" s="173"/>
      <c r="C430" s="174"/>
      <c r="D430" s="173"/>
      <c r="E430" s="155"/>
      <c r="F430" s="155"/>
      <c r="G430" s="88"/>
      <c r="H430" s="155"/>
      <c r="I430" s="155"/>
      <c r="J430" s="155"/>
      <c r="K430" s="15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58"/>
      <c r="AA430" s="105"/>
      <c r="AB430" s="105"/>
      <c r="AC430" s="105"/>
      <c r="AD430" s="105"/>
      <c r="AE430" s="105"/>
      <c r="AF430" s="158"/>
      <c r="AG430" s="105"/>
      <c r="AH430" s="158"/>
      <c r="AI430" s="88"/>
      <c r="AJ430" s="88"/>
      <c r="AK430" s="131"/>
      <c r="AL430" s="131"/>
      <c r="AM430" s="131"/>
      <c r="AN430" s="131"/>
      <c r="AO430" s="131"/>
      <c r="AP430" s="88"/>
    </row>
    <row r="431">
      <c r="A431" s="155"/>
      <c r="B431" s="173"/>
      <c r="C431" s="174"/>
      <c r="D431" s="173"/>
      <c r="E431" s="155"/>
      <c r="F431" s="155"/>
      <c r="G431" s="88"/>
      <c r="H431" s="155"/>
      <c r="I431" s="155"/>
      <c r="J431" s="155"/>
      <c r="K431" s="15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58"/>
      <c r="AA431" s="105"/>
      <c r="AB431" s="105"/>
      <c r="AC431" s="105"/>
      <c r="AD431" s="105"/>
      <c r="AE431" s="105"/>
      <c r="AF431" s="158"/>
      <c r="AG431" s="105"/>
      <c r="AH431" s="158"/>
      <c r="AI431" s="88"/>
      <c r="AJ431" s="88"/>
      <c r="AK431" s="131"/>
      <c r="AL431" s="131"/>
      <c r="AM431" s="131"/>
      <c r="AN431" s="131"/>
      <c r="AO431" s="131"/>
      <c r="AP431" s="88"/>
    </row>
    <row r="432">
      <c r="A432" s="155"/>
      <c r="B432" s="173"/>
      <c r="C432" s="174"/>
      <c r="D432" s="173"/>
      <c r="E432" s="155"/>
      <c r="F432" s="155"/>
      <c r="G432" s="88"/>
      <c r="H432" s="155"/>
      <c r="I432" s="155"/>
      <c r="J432" s="155"/>
      <c r="K432" s="15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58"/>
      <c r="AA432" s="105"/>
      <c r="AB432" s="105"/>
      <c r="AC432" s="105"/>
      <c r="AD432" s="105"/>
      <c r="AE432" s="105"/>
      <c r="AF432" s="158"/>
      <c r="AG432" s="105"/>
      <c r="AH432" s="158"/>
      <c r="AI432" s="88"/>
      <c r="AJ432" s="88"/>
      <c r="AK432" s="131"/>
      <c r="AL432" s="131"/>
      <c r="AM432" s="131"/>
      <c r="AN432" s="131"/>
      <c r="AO432" s="131"/>
      <c r="AP432" s="88"/>
    </row>
    <row r="433">
      <c r="A433" s="155"/>
      <c r="B433" s="173"/>
      <c r="C433" s="174"/>
      <c r="D433" s="173"/>
      <c r="E433" s="155"/>
      <c r="F433" s="155"/>
      <c r="G433" s="88"/>
      <c r="H433" s="155"/>
      <c r="I433" s="155"/>
      <c r="J433" s="155"/>
      <c r="K433" s="15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58"/>
      <c r="AA433" s="105"/>
      <c r="AB433" s="105"/>
      <c r="AC433" s="105"/>
      <c r="AD433" s="105"/>
      <c r="AE433" s="105"/>
      <c r="AF433" s="158"/>
      <c r="AG433" s="105"/>
      <c r="AH433" s="158"/>
      <c r="AI433" s="88"/>
      <c r="AJ433" s="88"/>
      <c r="AK433" s="131"/>
      <c r="AL433" s="131"/>
      <c r="AM433" s="131"/>
      <c r="AN433" s="131"/>
      <c r="AO433" s="131"/>
      <c r="AP433" s="88"/>
    </row>
    <row r="434">
      <c r="A434" s="155"/>
      <c r="B434" s="173"/>
      <c r="C434" s="174"/>
      <c r="D434" s="173"/>
      <c r="E434" s="155"/>
      <c r="F434" s="155"/>
      <c r="G434" s="88"/>
      <c r="H434" s="155"/>
      <c r="I434" s="155"/>
      <c r="J434" s="155"/>
      <c r="K434" s="15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58"/>
      <c r="AA434" s="105"/>
      <c r="AB434" s="105"/>
      <c r="AC434" s="105"/>
      <c r="AD434" s="105"/>
      <c r="AE434" s="105"/>
      <c r="AF434" s="158"/>
      <c r="AG434" s="105"/>
      <c r="AH434" s="158"/>
      <c r="AI434" s="88"/>
      <c r="AJ434" s="88"/>
      <c r="AK434" s="131"/>
      <c r="AL434" s="131"/>
      <c r="AM434" s="131"/>
      <c r="AN434" s="131"/>
      <c r="AO434" s="131"/>
      <c r="AP434" s="88"/>
    </row>
    <row r="435">
      <c r="A435" s="155"/>
      <c r="B435" s="173"/>
      <c r="C435" s="174"/>
      <c r="D435" s="173"/>
      <c r="E435" s="155"/>
      <c r="F435" s="155"/>
      <c r="G435" s="88"/>
      <c r="H435" s="155"/>
      <c r="I435" s="155"/>
      <c r="J435" s="155"/>
      <c r="K435" s="15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58"/>
      <c r="AA435" s="105"/>
      <c r="AB435" s="105"/>
      <c r="AC435" s="105"/>
      <c r="AD435" s="105"/>
      <c r="AE435" s="105"/>
      <c r="AF435" s="158"/>
      <c r="AG435" s="105"/>
      <c r="AH435" s="158"/>
      <c r="AI435" s="88"/>
      <c r="AJ435" s="88"/>
      <c r="AK435" s="131"/>
      <c r="AL435" s="131"/>
      <c r="AM435" s="131"/>
      <c r="AN435" s="131"/>
      <c r="AO435" s="131"/>
      <c r="AP435" s="88"/>
    </row>
    <row r="436">
      <c r="A436" s="155"/>
      <c r="B436" s="173"/>
      <c r="C436" s="174"/>
      <c r="D436" s="173"/>
      <c r="E436" s="155"/>
      <c r="F436" s="155"/>
      <c r="G436" s="88"/>
      <c r="H436" s="155"/>
      <c r="I436" s="155"/>
      <c r="J436" s="155"/>
      <c r="K436" s="15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58"/>
      <c r="AA436" s="105"/>
      <c r="AB436" s="105"/>
      <c r="AC436" s="105"/>
      <c r="AD436" s="105"/>
      <c r="AE436" s="105"/>
      <c r="AF436" s="158"/>
      <c r="AG436" s="105"/>
      <c r="AH436" s="158"/>
      <c r="AI436" s="88"/>
      <c r="AJ436" s="88"/>
      <c r="AK436" s="131"/>
      <c r="AL436" s="131"/>
      <c r="AM436" s="131"/>
      <c r="AN436" s="131"/>
      <c r="AO436" s="131"/>
      <c r="AP436" s="88"/>
    </row>
    <row r="437">
      <c r="A437" s="155"/>
      <c r="B437" s="173"/>
      <c r="C437" s="174"/>
      <c r="D437" s="173"/>
      <c r="E437" s="155"/>
      <c r="F437" s="155"/>
      <c r="G437" s="88"/>
      <c r="H437" s="155"/>
      <c r="I437" s="155"/>
      <c r="J437" s="155"/>
      <c r="K437" s="15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58"/>
      <c r="AA437" s="105"/>
      <c r="AB437" s="105"/>
      <c r="AC437" s="105"/>
      <c r="AD437" s="105"/>
      <c r="AE437" s="105"/>
      <c r="AF437" s="158"/>
      <c r="AG437" s="105"/>
      <c r="AH437" s="158"/>
      <c r="AI437" s="88"/>
      <c r="AJ437" s="88"/>
      <c r="AK437" s="131"/>
      <c r="AL437" s="131"/>
      <c r="AM437" s="131"/>
      <c r="AN437" s="131"/>
      <c r="AO437" s="131"/>
      <c r="AP437" s="88"/>
    </row>
    <row r="438">
      <c r="A438" s="155"/>
      <c r="B438" s="173"/>
      <c r="C438" s="174"/>
      <c r="D438" s="173"/>
      <c r="E438" s="155"/>
      <c r="F438" s="155"/>
      <c r="G438" s="88"/>
      <c r="H438" s="155"/>
      <c r="I438" s="155"/>
      <c r="J438" s="155"/>
      <c r="K438" s="15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58"/>
      <c r="AA438" s="105"/>
      <c r="AB438" s="105"/>
      <c r="AC438" s="105"/>
      <c r="AD438" s="105"/>
      <c r="AE438" s="105"/>
      <c r="AF438" s="158"/>
      <c r="AG438" s="105"/>
      <c r="AH438" s="158"/>
      <c r="AI438" s="88"/>
      <c r="AJ438" s="88"/>
      <c r="AK438" s="131"/>
      <c r="AL438" s="131"/>
      <c r="AM438" s="131"/>
      <c r="AN438" s="131"/>
      <c r="AO438" s="131"/>
      <c r="AP438" s="88"/>
    </row>
    <row r="439">
      <c r="A439" s="155"/>
      <c r="B439" s="173"/>
      <c r="C439" s="174"/>
      <c r="D439" s="173"/>
      <c r="E439" s="155"/>
      <c r="F439" s="155"/>
      <c r="G439" s="88"/>
      <c r="H439" s="155"/>
      <c r="I439" s="155"/>
      <c r="J439" s="155"/>
      <c r="K439" s="15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58"/>
      <c r="AA439" s="105"/>
      <c r="AB439" s="105"/>
      <c r="AC439" s="105"/>
      <c r="AD439" s="105"/>
      <c r="AE439" s="105"/>
      <c r="AF439" s="158"/>
      <c r="AG439" s="105"/>
      <c r="AH439" s="158"/>
      <c r="AI439" s="88"/>
      <c r="AJ439" s="88"/>
      <c r="AK439" s="131"/>
      <c r="AL439" s="131"/>
      <c r="AM439" s="131"/>
      <c r="AN439" s="131"/>
      <c r="AO439" s="131"/>
      <c r="AP439" s="88"/>
    </row>
    <row r="440">
      <c r="A440" s="155"/>
      <c r="B440" s="173"/>
      <c r="C440" s="174"/>
      <c r="D440" s="173"/>
      <c r="E440" s="155"/>
      <c r="F440" s="155"/>
      <c r="G440" s="88"/>
      <c r="H440" s="155"/>
      <c r="I440" s="155"/>
      <c r="J440" s="155"/>
      <c r="K440" s="15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58"/>
      <c r="AA440" s="105"/>
      <c r="AB440" s="105"/>
      <c r="AC440" s="105"/>
      <c r="AD440" s="105"/>
      <c r="AE440" s="105"/>
      <c r="AF440" s="158"/>
      <c r="AG440" s="105"/>
      <c r="AH440" s="158"/>
      <c r="AI440" s="88"/>
      <c r="AJ440" s="88"/>
      <c r="AK440" s="131"/>
      <c r="AL440" s="131"/>
      <c r="AM440" s="131"/>
      <c r="AN440" s="131"/>
      <c r="AO440" s="131"/>
      <c r="AP440" s="88"/>
    </row>
    <row r="441">
      <c r="A441" s="155"/>
      <c r="B441" s="173"/>
      <c r="C441" s="174"/>
      <c r="D441" s="173"/>
      <c r="E441" s="155"/>
      <c r="F441" s="155"/>
      <c r="G441" s="88"/>
      <c r="H441" s="155"/>
      <c r="I441" s="155"/>
      <c r="J441" s="155"/>
      <c r="K441" s="15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58"/>
      <c r="AA441" s="105"/>
      <c r="AB441" s="105"/>
      <c r="AC441" s="105"/>
      <c r="AD441" s="105"/>
      <c r="AE441" s="105"/>
      <c r="AF441" s="158"/>
      <c r="AG441" s="105"/>
      <c r="AH441" s="158"/>
      <c r="AI441" s="88"/>
      <c r="AJ441" s="88"/>
      <c r="AK441" s="131"/>
      <c r="AL441" s="131"/>
      <c r="AM441" s="131"/>
      <c r="AN441" s="131"/>
      <c r="AO441" s="131"/>
      <c r="AP441" s="88"/>
    </row>
    <row r="442">
      <c r="A442" s="155"/>
      <c r="B442" s="173"/>
      <c r="C442" s="174"/>
      <c r="D442" s="173"/>
      <c r="E442" s="155"/>
      <c r="F442" s="155"/>
      <c r="G442" s="88"/>
      <c r="H442" s="155"/>
      <c r="I442" s="155"/>
      <c r="J442" s="155"/>
      <c r="K442" s="15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58"/>
      <c r="AA442" s="105"/>
      <c r="AB442" s="105"/>
      <c r="AC442" s="105"/>
      <c r="AD442" s="105"/>
      <c r="AE442" s="105"/>
      <c r="AF442" s="158"/>
      <c r="AG442" s="105"/>
      <c r="AH442" s="158"/>
      <c r="AI442" s="88"/>
      <c r="AJ442" s="88"/>
      <c r="AK442" s="131"/>
      <c r="AL442" s="131"/>
      <c r="AM442" s="131"/>
      <c r="AN442" s="131"/>
      <c r="AO442" s="131"/>
      <c r="AP442" s="88"/>
    </row>
    <row r="443">
      <c r="A443" s="155"/>
      <c r="B443" s="173"/>
      <c r="C443" s="174"/>
      <c r="D443" s="173"/>
      <c r="E443" s="155"/>
      <c r="F443" s="155"/>
      <c r="G443" s="88"/>
      <c r="H443" s="155"/>
      <c r="I443" s="155"/>
      <c r="J443" s="155"/>
      <c r="K443" s="15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58"/>
      <c r="AA443" s="105"/>
      <c r="AB443" s="105"/>
      <c r="AC443" s="105"/>
      <c r="AD443" s="105"/>
      <c r="AE443" s="105"/>
      <c r="AF443" s="158"/>
      <c r="AG443" s="105"/>
      <c r="AH443" s="158"/>
      <c r="AI443" s="88"/>
      <c r="AJ443" s="88"/>
      <c r="AK443" s="131"/>
      <c r="AL443" s="131"/>
      <c r="AM443" s="131"/>
      <c r="AN443" s="131"/>
      <c r="AO443" s="131"/>
      <c r="AP443" s="88"/>
    </row>
    <row r="444">
      <c r="A444" s="155"/>
      <c r="B444" s="173"/>
      <c r="C444" s="174"/>
      <c r="D444" s="173"/>
      <c r="E444" s="155"/>
      <c r="F444" s="155"/>
      <c r="G444" s="88"/>
      <c r="H444" s="155"/>
      <c r="I444" s="155"/>
      <c r="J444" s="155"/>
      <c r="K444" s="15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58"/>
      <c r="AA444" s="105"/>
      <c r="AB444" s="105"/>
      <c r="AC444" s="105"/>
      <c r="AD444" s="105"/>
      <c r="AE444" s="105"/>
      <c r="AF444" s="158"/>
      <c r="AG444" s="105"/>
      <c r="AH444" s="158"/>
      <c r="AI444" s="88"/>
      <c r="AJ444" s="88"/>
      <c r="AK444" s="131"/>
      <c r="AL444" s="131"/>
      <c r="AM444" s="131"/>
      <c r="AN444" s="131"/>
      <c r="AO444" s="131"/>
      <c r="AP444" s="88"/>
    </row>
    <row r="445">
      <c r="A445" s="155"/>
      <c r="B445" s="173"/>
      <c r="C445" s="174"/>
      <c r="D445" s="173"/>
      <c r="E445" s="155"/>
      <c r="F445" s="155"/>
      <c r="G445" s="88"/>
      <c r="H445" s="155"/>
      <c r="I445" s="155"/>
      <c r="J445" s="155"/>
      <c r="K445" s="15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58"/>
      <c r="AA445" s="105"/>
      <c r="AB445" s="105"/>
      <c r="AC445" s="105"/>
      <c r="AD445" s="105"/>
      <c r="AE445" s="105"/>
      <c r="AF445" s="158"/>
      <c r="AG445" s="105"/>
      <c r="AH445" s="158"/>
      <c r="AI445" s="88"/>
      <c r="AJ445" s="88"/>
      <c r="AK445" s="131"/>
      <c r="AL445" s="131"/>
      <c r="AM445" s="131"/>
      <c r="AN445" s="131"/>
      <c r="AO445" s="131"/>
      <c r="AP445" s="88"/>
    </row>
    <row r="446">
      <c r="A446" s="155"/>
      <c r="B446" s="173"/>
      <c r="C446" s="174"/>
      <c r="D446" s="173"/>
      <c r="E446" s="155"/>
      <c r="F446" s="155"/>
      <c r="G446" s="88"/>
      <c r="H446" s="155"/>
      <c r="I446" s="155"/>
      <c r="J446" s="155"/>
      <c r="K446" s="15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58"/>
      <c r="AA446" s="105"/>
      <c r="AB446" s="105"/>
      <c r="AC446" s="105"/>
      <c r="AD446" s="105"/>
      <c r="AE446" s="105"/>
      <c r="AF446" s="158"/>
      <c r="AG446" s="105"/>
      <c r="AH446" s="158"/>
      <c r="AI446" s="88"/>
      <c r="AJ446" s="88"/>
      <c r="AK446" s="131"/>
      <c r="AL446" s="131"/>
      <c r="AM446" s="131"/>
      <c r="AN446" s="131"/>
      <c r="AO446" s="131"/>
      <c r="AP446" s="88"/>
    </row>
    <row r="447">
      <c r="A447" s="155"/>
      <c r="B447" s="173"/>
      <c r="C447" s="174"/>
      <c r="D447" s="173"/>
      <c r="E447" s="155"/>
      <c r="F447" s="155"/>
      <c r="G447" s="88"/>
      <c r="H447" s="155"/>
      <c r="I447" s="155"/>
      <c r="J447" s="155"/>
      <c r="K447" s="15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58"/>
      <c r="AA447" s="105"/>
      <c r="AB447" s="105"/>
      <c r="AC447" s="105"/>
      <c r="AD447" s="105"/>
      <c r="AE447" s="105"/>
      <c r="AF447" s="158"/>
      <c r="AG447" s="105"/>
      <c r="AH447" s="158"/>
      <c r="AI447" s="88"/>
      <c r="AJ447" s="88"/>
      <c r="AK447" s="131"/>
      <c r="AL447" s="131"/>
      <c r="AM447" s="131"/>
      <c r="AN447" s="131"/>
      <c r="AO447" s="131"/>
      <c r="AP447" s="88"/>
    </row>
    <row r="448">
      <c r="A448" s="155"/>
      <c r="B448" s="173"/>
      <c r="C448" s="174"/>
      <c r="D448" s="173"/>
      <c r="E448" s="155"/>
      <c r="F448" s="155"/>
      <c r="G448" s="88"/>
      <c r="H448" s="155"/>
      <c r="I448" s="155"/>
      <c r="J448" s="155"/>
      <c r="K448" s="15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58"/>
      <c r="AA448" s="105"/>
      <c r="AB448" s="105"/>
      <c r="AC448" s="105"/>
      <c r="AD448" s="105"/>
      <c r="AE448" s="105"/>
      <c r="AF448" s="158"/>
      <c r="AG448" s="105"/>
      <c r="AH448" s="158"/>
      <c r="AI448" s="88"/>
      <c r="AJ448" s="88"/>
      <c r="AK448" s="131"/>
      <c r="AL448" s="131"/>
      <c r="AM448" s="131"/>
      <c r="AN448" s="131"/>
      <c r="AO448" s="131"/>
      <c r="AP448" s="88"/>
    </row>
    <row r="449">
      <c r="A449" s="155"/>
      <c r="B449" s="173"/>
      <c r="C449" s="174"/>
      <c r="D449" s="173"/>
      <c r="E449" s="155"/>
      <c r="F449" s="155"/>
      <c r="G449" s="88"/>
      <c r="H449" s="155"/>
      <c r="I449" s="155"/>
      <c r="J449" s="155"/>
      <c r="K449" s="15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58"/>
      <c r="AA449" s="105"/>
      <c r="AB449" s="105"/>
      <c r="AC449" s="105"/>
      <c r="AD449" s="105"/>
      <c r="AE449" s="105"/>
      <c r="AF449" s="158"/>
      <c r="AG449" s="105"/>
      <c r="AH449" s="158"/>
      <c r="AI449" s="88"/>
      <c r="AJ449" s="88"/>
      <c r="AK449" s="131"/>
      <c r="AL449" s="131"/>
      <c r="AM449" s="131"/>
      <c r="AN449" s="131"/>
      <c r="AO449" s="131"/>
      <c r="AP449" s="88"/>
    </row>
    <row r="450">
      <c r="A450" s="155"/>
      <c r="B450" s="173"/>
      <c r="C450" s="174"/>
      <c r="D450" s="173"/>
      <c r="E450" s="155"/>
      <c r="F450" s="155"/>
      <c r="G450" s="88"/>
      <c r="H450" s="155"/>
      <c r="I450" s="155"/>
      <c r="J450" s="155"/>
      <c r="K450" s="15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58"/>
      <c r="AA450" s="105"/>
      <c r="AB450" s="105"/>
      <c r="AC450" s="105"/>
      <c r="AD450" s="105"/>
      <c r="AE450" s="105"/>
      <c r="AF450" s="158"/>
      <c r="AG450" s="105"/>
      <c r="AH450" s="158"/>
      <c r="AI450" s="88"/>
      <c r="AJ450" s="88"/>
      <c r="AK450" s="131"/>
      <c r="AL450" s="131"/>
      <c r="AM450" s="131"/>
      <c r="AN450" s="131"/>
      <c r="AO450" s="131"/>
      <c r="AP450" s="88"/>
    </row>
    <row r="451">
      <c r="A451" s="155"/>
      <c r="B451" s="173"/>
      <c r="C451" s="174"/>
      <c r="D451" s="173"/>
      <c r="E451" s="155"/>
      <c r="F451" s="155"/>
      <c r="G451" s="88"/>
      <c r="H451" s="155"/>
      <c r="I451" s="155"/>
      <c r="J451" s="155"/>
      <c r="K451" s="15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58"/>
      <c r="AA451" s="105"/>
      <c r="AB451" s="105"/>
      <c r="AC451" s="105"/>
      <c r="AD451" s="105"/>
      <c r="AE451" s="105"/>
      <c r="AF451" s="158"/>
      <c r="AG451" s="105"/>
      <c r="AH451" s="158"/>
      <c r="AI451" s="88"/>
      <c r="AJ451" s="88"/>
      <c r="AK451" s="131"/>
      <c r="AL451" s="131"/>
      <c r="AM451" s="131"/>
      <c r="AN451" s="131"/>
      <c r="AO451" s="131"/>
      <c r="AP451" s="88"/>
    </row>
    <row r="452">
      <c r="A452" s="155"/>
      <c r="B452" s="173"/>
      <c r="C452" s="174"/>
      <c r="D452" s="173"/>
      <c r="E452" s="155"/>
      <c r="F452" s="155"/>
      <c r="G452" s="88"/>
      <c r="H452" s="155"/>
      <c r="I452" s="155"/>
      <c r="J452" s="155"/>
      <c r="K452" s="15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58"/>
      <c r="AA452" s="105"/>
      <c r="AB452" s="105"/>
      <c r="AC452" s="105"/>
      <c r="AD452" s="105"/>
      <c r="AE452" s="105"/>
      <c r="AF452" s="158"/>
      <c r="AG452" s="105"/>
      <c r="AH452" s="158"/>
      <c r="AI452" s="88"/>
      <c r="AJ452" s="88"/>
      <c r="AK452" s="131"/>
      <c r="AL452" s="131"/>
      <c r="AM452" s="131"/>
      <c r="AN452" s="131"/>
      <c r="AO452" s="131"/>
      <c r="AP452" s="88"/>
    </row>
    <row r="453">
      <c r="A453" s="155"/>
      <c r="B453" s="173"/>
      <c r="C453" s="174"/>
      <c r="D453" s="173"/>
      <c r="E453" s="155"/>
      <c r="F453" s="155"/>
      <c r="G453" s="88"/>
      <c r="H453" s="155"/>
      <c r="I453" s="155"/>
      <c r="J453" s="155"/>
      <c r="K453" s="15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58"/>
      <c r="AA453" s="105"/>
      <c r="AB453" s="105"/>
      <c r="AC453" s="105"/>
      <c r="AD453" s="105"/>
      <c r="AE453" s="105"/>
      <c r="AF453" s="158"/>
      <c r="AG453" s="105"/>
      <c r="AH453" s="158"/>
      <c r="AI453" s="88"/>
      <c r="AJ453" s="88"/>
      <c r="AK453" s="131"/>
      <c r="AL453" s="131"/>
      <c r="AM453" s="131"/>
      <c r="AN453" s="131"/>
      <c r="AO453" s="131"/>
      <c r="AP453" s="88"/>
    </row>
    <row r="454">
      <c r="A454" s="155"/>
      <c r="B454" s="173"/>
      <c r="C454" s="174"/>
      <c r="D454" s="173"/>
      <c r="E454" s="155"/>
      <c r="F454" s="155"/>
      <c r="G454" s="88"/>
      <c r="H454" s="155"/>
      <c r="I454" s="155"/>
      <c r="J454" s="155"/>
      <c r="K454" s="15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58"/>
      <c r="AA454" s="105"/>
      <c r="AB454" s="105"/>
      <c r="AC454" s="105"/>
      <c r="AD454" s="105"/>
      <c r="AE454" s="105"/>
      <c r="AF454" s="158"/>
      <c r="AG454" s="105"/>
      <c r="AH454" s="158"/>
      <c r="AI454" s="88"/>
      <c r="AJ454" s="88"/>
      <c r="AK454" s="131"/>
      <c r="AL454" s="131"/>
      <c r="AM454" s="131"/>
      <c r="AN454" s="131"/>
      <c r="AO454" s="131"/>
      <c r="AP454" s="88"/>
    </row>
    <row r="455">
      <c r="A455" s="155"/>
      <c r="B455" s="173"/>
      <c r="C455" s="174"/>
      <c r="D455" s="173"/>
      <c r="E455" s="155"/>
      <c r="F455" s="155"/>
      <c r="G455" s="88"/>
      <c r="H455" s="155"/>
      <c r="I455" s="155"/>
      <c r="J455" s="155"/>
      <c r="K455" s="15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58"/>
      <c r="AA455" s="105"/>
      <c r="AB455" s="105"/>
      <c r="AC455" s="105"/>
      <c r="AD455" s="105"/>
      <c r="AE455" s="105"/>
      <c r="AF455" s="158"/>
      <c r="AG455" s="105"/>
      <c r="AH455" s="158"/>
      <c r="AI455" s="88"/>
      <c r="AJ455" s="88"/>
      <c r="AK455" s="131"/>
      <c r="AL455" s="131"/>
      <c r="AM455" s="131"/>
      <c r="AN455" s="131"/>
      <c r="AO455" s="131"/>
      <c r="AP455" s="88"/>
    </row>
    <row r="456">
      <c r="A456" s="155"/>
      <c r="B456" s="173"/>
      <c r="C456" s="174"/>
      <c r="D456" s="173"/>
      <c r="E456" s="155"/>
      <c r="F456" s="155"/>
      <c r="G456" s="88"/>
      <c r="H456" s="155"/>
      <c r="I456" s="155"/>
      <c r="J456" s="155"/>
      <c r="K456" s="15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58"/>
      <c r="AA456" s="105"/>
      <c r="AB456" s="105"/>
      <c r="AC456" s="105"/>
      <c r="AD456" s="105"/>
      <c r="AE456" s="105"/>
      <c r="AF456" s="158"/>
      <c r="AG456" s="105"/>
      <c r="AH456" s="158"/>
      <c r="AI456" s="88"/>
      <c r="AJ456" s="88"/>
      <c r="AK456" s="131"/>
      <c r="AL456" s="131"/>
      <c r="AM456" s="131"/>
      <c r="AN456" s="131"/>
      <c r="AO456" s="131"/>
      <c r="AP456" s="88"/>
    </row>
    <row r="457">
      <c r="A457" s="155"/>
      <c r="B457" s="173"/>
      <c r="C457" s="174"/>
      <c r="D457" s="173"/>
      <c r="E457" s="155"/>
      <c r="F457" s="155"/>
      <c r="G457" s="88"/>
      <c r="H457" s="155"/>
      <c r="I457" s="155"/>
      <c r="J457" s="155"/>
      <c r="K457" s="15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58"/>
      <c r="AA457" s="105"/>
      <c r="AB457" s="105"/>
      <c r="AC457" s="105"/>
      <c r="AD457" s="105"/>
      <c r="AE457" s="105"/>
      <c r="AF457" s="158"/>
      <c r="AG457" s="105"/>
      <c r="AH457" s="158"/>
      <c r="AI457" s="88"/>
      <c r="AJ457" s="88"/>
      <c r="AK457" s="131"/>
      <c r="AL457" s="131"/>
      <c r="AM457" s="131"/>
      <c r="AN457" s="131"/>
      <c r="AO457" s="131"/>
      <c r="AP457" s="88"/>
    </row>
    <row r="458">
      <c r="A458" s="155"/>
      <c r="B458" s="173"/>
      <c r="C458" s="174"/>
      <c r="D458" s="173"/>
      <c r="E458" s="155"/>
      <c r="F458" s="155"/>
      <c r="G458" s="88"/>
      <c r="H458" s="155"/>
      <c r="I458" s="155"/>
      <c r="J458" s="155"/>
      <c r="K458" s="15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58"/>
      <c r="AA458" s="105"/>
      <c r="AB458" s="105"/>
      <c r="AC458" s="105"/>
      <c r="AD458" s="105"/>
      <c r="AE458" s="105"/>
      <c r="AF458" s="158"/>
      <c r="AG458" s="105"/>
      <c r="AH458" s="158"/>
      <c r="AI458" s="88"/>
      <c r="AJ458" s="88"/>
      <c r="AK458" s="131"/>
      <c r="AL458" s="131"/>
      <c r="AM458" s="131"/>
      <c r="AN458" s="131"/>
      <c r="AO458" s="131"/>
      <c r="AP458" s="88"/>
    </row>
    <row r="459">
      <c r="A459" s="155"/>
      <c r="B459" s="173"/>
      <c r="C459" s="174"/>
      <c r="D459" s="173"/>
      <c r="E459" s="155"/>
      <c r="F459" s="155"/>
      <c r="G459" s="88"/>
      <c r="H459" s="155"/>
      <c r="I459" s="155"/>
      <c r="J459" s="155"/>
      <c r="K459" s="15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58"/>
      <c r="AA459" s="105"/>
      <c r="AB459" s="105"/>
      <c r="AC459" s="105"/>
      <c r="AD459" s="105"/>
      <c r="AE459" s="105"/>
      <c r="AF459" s="158"/>
      <c r="AG459" s="105"/>
      <c r="AH459" s="158"/>
      <c r="AI459" s="88"/>
      <c r="AJ459" s="88"/>
      <c r="AK459" s="131"/>
      <c r="AL459" s="131"/>
      <c r="AM459" s="131"/>
      <c r="AN459" s="131"/>
      <c r="AO459" s="131"/>
      <c r="AP459" s="88"/>
    </row>
    <row r="460">
      <c r="A460" s="155"/>
      <c r="B460" s="173"/>
      <c r="C460" s="174"/>
      <c r="D460" s="173"/>
      <c r="E460" s="155"/>
      <c r="F460" s="155"/>
      <c r="G460" s="88"/>
      <c r="H460" s="155"/>
      <c r="I460" s="155"/>
      <c r="J460" s="155"/>
      <c r="K460" s="15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58"/>
      <c r="AA460" s="105"/>
      <c r="AB460" s="105"/>
      <c r="AC460" s="105"/>
      <c r="AD460" s="105"/>
      <c r="AE460" s="105"/>
      <c r="AF460" s="158"/>
      <c r="AG460" s="105"/>
      <c r="AH460" s="158"/>
      <c r="AI460" s="88"/>
      <c r="AJ460" s="88"/>
      <c r="AK460" s="131"/>
      <c r="AL460" s="131"/>
      <c r="AM460" s="131"/>
      <c r="AN460" s="131"/>
      <c r="AO460" s="131"/>
      <c r="AP460" s="88"/>
    </row>
    <row r="461">
      <c r="A461" s="155"/>
      <c r="B461" s="173"/>
      <c r="C461" s="174"/>
      <c r="D461" s="173"/>
      <c r="E461" s="155"/>
      <c r="F461" s="155"/>
      <c r="G461" s="88"/>
      <c r="H461" s="155"/>
      <c r="I461" s="155"/>
      <c r="J461" s="155"/>
      <c r="K461" s="15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58"/>
      <c r="AA461" s="105"/>
      <c r="AB461" s="105"/>
      <c r="AC461" s="105"/>
      <c r="AD461" s="105"/>
      <c r="AE461" s="105"/>
      <c r="AF461" s="158"/>
      <c r="AG461" s="105"/>
      <c r="AH461" s="158"/>
      <c r="AI461" s="88"/>
      <c r="AJ461" s="88"/>
      <c r="AK461" s="131"/>
      <c r="AL461" s="131"/>
      <c r="AM461" s="131"/>
      <c r="AN461" s="131"/>
      <c r="AO461" s="131"/>
      <c r="AP461" s="88"/>
    </row>
    <row r="462">
      <c r="A462" s="155"/>
      <c r="B462" s="173"/>
      <c r="C462" s="174"/>
      <c r="D462" s="173"/>
      <c r="E462" s="155"/>
      <c r="F462" s="155"/>
      <c r="G462" s="88"/>
      <c r="H462" s="155"/>
      <c r="I462" s="155"/>
      <c r="J462" s="155"/>
      <c r="K462" s="15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58"/>
      <c r="AA462" s="105"/>
      <c r="AB462" s="105"/>
      <c r="AC462" s="105"/>
      <c r="AD462" s="105"/>
      <c r="AE462" s="105"/>
      <c r="AF462" s="158"/>
      <c r="AG462" s="105"/>
      <c r="AH462" s="158"/>
      <c r="AI462" s="88"/>
      <c r="AJ462" s="88"/>
      <c r="AK462" s="131"/>
      <c r="AL462" s="131"/>
      <c r="AM462" s="131"/>
      <c r="AN462" s="131"/>
      <c r="AO462" s="131"/>
      <c r="AP462" s="88"/>
    </row>
    <row r="463">
      <c r="A463" s="155"/>
      <c r="B463" s="173"/>
      <c r="C463" s="174"/>
      <c r="D463" s="173"/>
      <c r="E463" s="155"/>
      <c r="F463" s="155"/>
      <c r="G463" s="88"/>
      <c r="H463" s="155"/>
      <c r="I463" s="155"/>
      <c r="J463" s="155"/>
      <c r="K463" s="15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58"/>
      <c r="AA463" s="105"/>
      <c r="AB463" s="105"/>
      <c r="AC463" s="105"/>
      <c r="AD463" s="105"/>
      <c r="AE463" s="105"/>
      <c r="AF463" s="158"/>
      <c r="AG463" s="105"/>
      <c r="AH463" s="158"/>
      <c r="AI463" s="88"/>
      <c r="AJ463" s="88"/>
      <c r="AK463" s="131"/>
      <c r="AL463" s="131"/>
      <c r="AM463" s="131"/>
      <c r="AN463" s="131"/>
      <c r="AO463" s="131"/>
      <c r="AP463" s="88"/>
    </row>
    <row r="464">
      <c r="A464" s="155"/>
      <c r="B464" s="173"/>
      <c r="C464" s="174"/>
      <c r="D464" s="173"/>
      <c r="E464" s="155"/>
      <c r="F464" s="155"/>
      <c r="G464" s="88"/>
      <c r="H464" s="155"/>
      <c r="I464" s="155"/>
      <c r="J464" s="155"/>
      <c r="K464" s="15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58"/>
      <c r="AA464" s="105"/>
      <c r="AB464" s="105"/>
      <c r="AC464" s="105"/>
      <c r="AD464" s="105"/>
      <c r="AE464" s="105"/>
      <c r="AF464" s="158"/>
      <c r="AG464" s="105"/>
      <c r="AH464" s="158"/>
      <c r="AI464" s="88"/>
      <c r="AJ464" s="88"/>
      <c r="AK464" s="131"/>
      <c r="AL464" s="131"/>
      <c r="AM464" s="131"/>
      <c r="AN464" s="131"/>
      <c r="AO464" s="131"/>
      <c r="AP464" s="88"/>
    </row>
    <row r="465">
      <c r="A465" s="155"/>
      <c r="B465" s="173"/>
      <c r="C465" s="174"/>
      <c r="D465" s="173"/>
      <c r="E465" s="155"/>
      <c r="F465" s="155"/>
      <c r="G465" s="88"/>
      <c r="H465" s="155"/>
      <c r="I465" s="155"/>
      <c r="J465" s="155"/>
      <c r="K465" s="15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58"/>
      <c r="AA465" s="105"/>
      <c r="AB465" s="105"/>
      <c r="AC465" s="105"/>
      <c r="AD465" s="105"/>
      <c r="AE465" s="105"/>
      <c r="AF465" s="158"/>
      <c r="AG465" s="105"/>
      <c r="AH465" s="158"/>
      <c r="AI465" s="88"/>
      <c r="AJ465" s="88"/>
      <c r="AK465" s="131"/>
      <c r="AL465" s="131"/>
      <c r="AM465" s="131"/>
      <c r="AN465" s="131"/>
      <c r="AO465" s="131"/>
      <c r="AP465" s="88"/>
    </row>
    <row r="466">
      <c r="A466" s="155"/>
      <c r="B466" s="173"/>
      <c r="C466" s="174"/>
      <c r="D466" s="173"/>
      <c r="E466" s="155"/>
      <c r="F466" s="155"/>
      <c r="G466" s="88"/>
      <c r="H466" s="155"/>
      <c r="I466" s="155"/>
      <c r="J466" s="155"/>
      <c r="K466" s="15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58"/>
      <c r="AA466" s="105"/>
      <c r="AB466" s="105"/>
      <c r="AC466" s="105"/>
      <c r="AD466" s="105"/>
      <c r="AE466" s="105"/>
      <c r="AF466" s="158"/>
      <c r="AG466" s="105"/>
      <c r="AH466" s="158"/>
      <c r="AI466" s="88"/>
      <c r="AJ466" s="88"/>
      <c r="AK466" s="131"/>
      <c r="AL466" s="131"/>
      <c r="AM466" s="131"/>
      <c r="AN466" s="131"/>
      <c r="AO466" s="131"/>
      <c r="AP466" s="88"/>
    </row>
    <row r="467">
      <c r="A467" s="155"/>
      <c r="B467" s="173"/>
      <c r="C467" s="174"/>
      <c r="D467" s="173"/>
      <c r="E467" s="155"/>
      <c r="F467" s="155"/>
      <c r="G467" s="88"/>
      <c r="H467" s="155"/>
      <c r="I467" s="155"/>
      <c r="J467" s="155"/>
      <c r="K467" s="15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58"/>
      <c r="AA467" s="105"/>
      <c r="AB467" s="105"/>
      <c r="AC467" s="105"/>
      <c r="AD467" s="105"/>
      <c r="AE467" s="105"/>
      <c r="AF467" s="158"/>
      <c r="AG467" s="105"/>
      <c r="AH467" s="158"/>
      <c r="AI467" s="88"/>
      <c r="AJ467" s="88"/>
      <c r="AK467" s="131"/>
      <c r="AL467" s="131"/>
      <c r="AM467" s="131"/>
      <c r="AN467" s="131"/>
      <c r="AO467" s="131"/>
      <c r="AP467" s="88"/>
    </row>
    <row r="468">
      <c r="A468" s="155"/>
      <c r="B468" s="173"/>
      <c r="C468" s="174"/>
      <c r="D468" s="173"/>
      <c r="E468" s="155"/>
      <c r="F468" s="155"/>
      <c r="G468" s="88"/>
      <c r="H468" s="155"/>
      <c r="I468" s="155"/>
      <c r="J468" s="155"/>
      <c r="K468" s="15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58"/>
      <c r="AA468" s="105"/>
      <c r="AB468" s="105"/>
      <c r="AC468" s="105"/>
      <c r="AD468" s="105"/>
      <c r="AE468" s="105"/>
      <c r="AF468" s="158"/>
      <c r="AG468" s="105"/>
      <c r="AH468" s="158"/>
      <c r="AI468" s="88"/>
      <c r="AJ468" s="88"/>
      <c r="AK468" s="131"/>
      <c r="AL468" s="131"/>
      <c r="AM468" s="131"/>
      <c r="AN468" s="131"/>
      <c r="AO468" s="131"/>
      <c r="AP468" s="88"/>
    </row>
    <row r="469">
      <c r="A469" s="155"/>
      <c r="B469" s="173"/>
      <c r="C469" s="174"/>
      <c r="D469" s="173"/>
      <c r="E469" s="155"/>
      <c r="F469" s="155"/>
      <c r="G469" s="88"/>
      <c r="H469" s="155"/>
      <c r="I469" s="155"/>
      <c r="J469" s="155"/>
      <c r="K469" s="15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58"/>
      <c r="AA469" s="105"/>
      <c r="AB469" s="105"/>
      <c r="AC469" s="105"/>
      <c r="AD469" s="105"/>
      <c r="AE469" s="105"/>
      <c r="AF469" s="158"/>
      <c r="AG469" s="105"/>
      <c r="AH469" s="158"/>
      <c r="AI469" s="88"/>
      <c r="AJ469" s="88"/>
      <c r="AK469" s="131"/>
      <c r="AL469" s="131"/>
      <c r="AM469" s="131"/>
      <c r="AN469" s="131"/>
      <c r="AO469" s="131"/>
      <c r="AP469" s="88"/>
    </row>
    <row r="470">
      <c r="A470" s="155"/>
      <c r="B470" s="173"/>
      <c r="C470" s="174"/>
      <c r="D470" s="173"/>
      <c r="E470" s="155"/>
      <c r="F470" s="155"/>
      <c r="G470" s="88"/>
      <c r="H470" s="155"/>
      <c r="I470" s="155"/>
      <c r="J470" s="155"/>
      <c r="K470" s="15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58"/>
      <c r="AA470" s="105"/>
      <c r="AB470" s="105"/>
      <c r="AC470" s="105"/>
      <c r="AD470" s="105"/>
      <c r="AE470" s="105"/>
      <c r="AF470" s="158"/>
      <c r="AG470" s="105"/>
      <c r="AH470" s="158"/>
      <c r="AI470" s="88"/>
      <c r="AJ470" s="88"/>
      <c r="AK470" s="131"/>
      <c r="AL470" s="131"/>
      <c r="AM470" s="131"/>
      <c r="AN470" s="131"/>
      <c r="AO470" s="131"/>
      <c r="AP470" s="88"/>
    </row>
    <row r="471">
      <c r="A471" s="155"/>
      <c r="B471" s="173"/>
      <c r="C471" s="174"/>
      <c r="D471" s="173"/>
      <c r="E471" s="155"/>
      <c r="F471" s="155"/>
      <c r="G471" s="88"/>
      <c r="H471" s="155"/>
      <c r="I471" s="155"/>
      <c r="J471" s="155"/>
      <c r="K471" s="15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58"/>
      <c r="AA471" s="105"/>
      <c r="AB471" s="105"/>
      <c r="AC471" s="105"/>
      <c r="AD471" s="105"/>
      <c r="AE471" s="105"/>
      <c r="AF471" s="158"/>
      <c r="AG471" s="105"/>
      <c r="AH471" s="158"/>
      <c r="AI471" s="88"/>
      <c r="AJ471" s="88"/>
      <c r="AK471" s="131"/>
      <c r="AL471" s="131"/>
      <c r="AM471" s="131"/>
      <c r="AN471" s="131"/>
      <c r="AO471" s="131"/>
      <c r="AP471" s="88"/>
    </row>
    <row r="472">
      <c r="A472" s="155"/>
      <c r="B472" s="173"/>
      <c r="C472" s="174"/>
      <c r="D472" s="173"/>
      <c r="E472" s="155"/>
      <c r="F472" s="155"/>
      <c r="G472" s="88"/>
      <c r="H472" s="155"/>
      <c r="I472" s="155"/>
      <c r="J472" s="155"/>
      <c r="K472" s="15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58"/>
      <c r="AA472" s="105"/>
      <c r="AB472" s="105"/>
      <c r="AC472" s="105"/>
      <c r="AD472" s="105"/>
      <c r="AE472" s="105"/>
      <c r="AF472" s="158"/>
      <c r="AG472" s="105"/>
      <c r="AH472" s="158"/>
      <c r="AI472" s="88"/>
      <c r="AJ472" s="88"/>
      <c r="AK472" s="131"/>
      <c r="AL472" s="131"/>
      <c r="AM472" s="131"/>
      <c r="AN472" s="131"/>
      <c r="AO472" s="131"/>
      <c r="AP472" s="88"/>
    </row>
    <row r="473">
      <c r="A473" s="155"/>
      <c r="B473" s="173"/>
      <c r="C473" s="174"/>
      <c r="D473" s="173"/>
      <c r="E473" s="155"/>
      <c r="F473" s="155"/>
      <c r="G473" s="88"/>
      <c r="H473" s="155"/>
      <c r="I473" s="155"/>
      <c r="J473" s="155"/>
      <c r="K473" s="15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58"/>
      <c r="AA473" s="105"/>
      <c r="AB473" s="105"/>
      <c r="AC473" s="105"/>
      <c r="AD473" s="105"/>
      <c r="AE473" s="105"/>
      <c r="AF473" s="158"/>
      <c r="AG473" s="105"/>
      <c r="AH473" s="158"/>
      <c r="AI473" s="88"/>
      <c r="AJ473" s="88"/>
      <c r="AK473" s="131"/>
      <c r="AL473" s="131"/>
      <c r="AM473" s="131"/>
      <c r="AN473" s="131"/>
      <c r="AO473" s="131"/>
      <c r="AP473" s="88"/>
    </row>
    <row r="474">
      <c r="A474" s="155"/>
      <c r="B474" s="173"/>
      <c r="C474" s="174"/>
      <c r="D474" s="173"/>
      <c r="E474" s="155"/>
      <c r="F474" s="155"/>
      <c r="G474" s="88"/>
      <c r="H474" s="155"/>
      <c r="I474" s="155"/>
      <c r="J474" s="155"/>
      <c r="K474" s="15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58"/>
      <c r="AA474" s="105"/>
      <c r="AB474" s="105"/>
      <c r="AC474" s="105"/>
      <c r="AD474" s="105"/>
      <c r="AE474" s="105"/>
      <c r="AF474" s="158"/>
      <c r="AG474" s="105"/>
      <c r="AH474" s="158"/>
      <c r="AI474" s="88"/>
      <c r="AJ474" s="88"/>
      <c r="AK474" s="131"/>
      <c r="AL474" s="131"/>
      <c r="AM474" s="131"/>
      <c r="AN474" s="131"/>
      <c r="AO474" s="131"/>
      <c r="AP474" s="88"/>
    </row>
    <row r="475">
      <c r="A475" s="155"/>
      <c r="B475" s="173"/>
      <c r="C475" s="174"/>
      <c r="D475" s="173"/>
      <c r="E475" s="155"/>
      <c r="F475" s="155"/>
      <c r="G475" s="88"/>
      <c r="H475" s="155"/>
      <c r="I475" s="155"/>
      <c r="J475" s="155"/>
      <c r="K475" s="15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58"/>
      <c r="AA475" s="105"/>
      <c r="AB475" s="105"/>
      <c r="AC475" s="105"/>
      <c r="AD475" s="105"/>
      <c r="AE475" s="105"/>
      <c r="AF475" s="158"/>
      <c r="AG475" s="105"/>
      <c r="AH475" s="158"/>
      <c r="AI475" s="88"/>
      <c r="AJ475" s="88"/>
      <c r="AK475" s="131"/>
      <c r="AL475" s="131"/>
      <c r="AM475" s="131"/>
      <c r="AN475" s="131"/>
      <c r="AO475" s="131"/>
      <c r="AP475" s="88"/>
    </row>
    <row r="476">
      <c r="A476" s="155"/>
      <c r="B476" s="173"/>
      <c r="C476" s="174"/>
      <c r="D476" s="173"/>
      <c r="E476" s="155"/>
      <c r="F476" s="155"/>
      <c r="G476" s="88"/>
      <c r="H476" s="155"/>
      <c r="I476" s="155"/>
      <c r="J476" s="155"/>
      <c r="K476" s="15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58"/>
      <c r="AA476" s="105"/>
      <c r="AB476" s="105"/>
      <c r="AC476" s="105"/>
      <c r="AD476" s="105"/>
      <c r="AE476" s="105"/>
      <c r="AF476" s="158"/>
      <c r="AG476" s="105"/>
      <c r="AH476" s="158"/>
      <c r="AI476" s="88"/>
      <c r="AJ476" s="88"/>
      <c r="AK476" s="131"/>
      <c r="AL476" s="131"/>
      <c r="AM476" s="131"/>
      <c r="AN476" s="131"/>
      <c r="AO476" s="131"/>
      <c r="AP476" s="88"/>
    </row>
    <row r="477">
      <c r="A477" s="155"/>
      <c r="B477" s="173"/>
      <c r="C477" s="174"/>
      <c r="D477" s="173"/>
      <c r="E477" s="155"/>
      <c r="F477" s="155"/>
      <c r="G477" s="88"/>
      <c r="H477" s="155"/>
      <c r="I477" s="155"/>
      <c r="J477" s="155"/>
      <c r="K477" s="15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58"/>
      <c r="AA477" s="105"/>
      <c r="AB477" s="105"/>
      <c r="AC477" s="105"/>
      <c r="AD477" s="105"/>
      <c r="AE477" s="105"/>
      <c r="AF477" s="158"/>
      <c r="AG477" s="105"/>
      <c r="AH477" s="158"/>
      <c r="AI477" s="88"/>
      <c r="AJ477" s="88"/>
      <c r="AK477" s="131"/>
      <c r="AL477" s="131"/>
      <c r="AM477" s="131"/>
      <c r="AN477" s="131"/>
      <c r="AO477" s="131"/>
      <c r="AP477" s="88"/>
    </row>
    <row r="478">
      <c r="A478" s="155"/>
      <c r="B478" s="173"/>
      <c r="C478" s="174"/>
      <c r="D478" s="173"/>
      <c r="E478" s="155"/>
      <c r="F478" s="155"/>
      <c r="G478" s="88"/>
      <c r="H478" s="155"/>
      <c r="I478" s="155"/>
      <c r="J478" s="155"/>
      <c r="K478" s="15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58"/>
      <c r="AA478" s="105"/>
      <c r="AB478" s="105"/>
      <c r="AC478" s="105"/>
      <c r="AD478" s="105"/>
      <c r="AE478" s="105"/>
      <c r="AF478" s="158"/>
      <c r="AG478" s="105"/>
      <c r="AH478" s="158"/>
      <c r="AI478" s="88"/>
      <c r="AJ478" s="88"/>
      <c r="AK478" s="131"/>
      <c r="AL478" s="131"/>
      <c r="AM478" s="131"/>
      <c r="AN478" s="131"/>
      <c r="AO478" s="131"/>
      <c r="AP478" s="88"/>
    </row>
    <row r="479">
      <c r="A479" s="155"/>
      <c r="B479" s="173"/>
      <c r="C479" s="174"/>
      <c r="D479" s="173"/>
      <c r="E479" s="155"/>
      <c r="F479" s="155"/>
      <c r="G479" s="88"/>
      <c r="H479" s="155"/>
      <c r="I479" s="155"/>
      <c r="J479" s="155"/>
      <c r="K479" s="15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58"/>
      <c r="AA479" s="105"/>
      <c r="AB479" s="105"/>
      <c r="AC479" s="105"/>
      <c r="AD479" s="105"/>
      <c r="AE479" s="105"/>
      <c r="AF479" s="158"/>
      <c r="AG479" s="105"/>
      <c r="AH479" s="158"/>
      <c r="AI479" s="88"/>
      <c r="AJ479" s="88"/>
      <c r="AK479" s="131"/>
      <c r="AL479" s="131"/>
      <c r="AM479" s="131"/>
      <c r="AN479" s="131"/>
      <c r="AO479" s="131"/>
      <c r="AP479" s="88"/>
    </row>
    <row r="480">
      <c r="A480" s="155"/>
      <c r="B480" s="173"/>
      <c r="C480" s="174"/>
      <c r="D480" s="173"/>
      <c r="E480" s="155"/>
      <c r="F480" s="155"/>
      <c r="G480" s="88"/>
      <c r="H480" s="155"/>
      <c r="I480" s="155"/>
      <c r="J480" s="155"/>
      <c r="K480" s="15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58"/>
      <c r="AA480" s="105"/>
      <c r="AB480" s="105"/>
      <c r="AC480" s="105"/>
      <c r="AD480" s="105"/>
      <c r="AE480" s="105"/>
      <c r="AF480" s="158"/>
      <c r="AG480" s="105"/>
      <c r="AH480" s="158"/>
      <c r="AI480" s="88"/>
      <c r="AJ480" s="88"/>
      <c r="AK480" s="131"/>
      <c r="AL480" s="131"/>
      <c r="AM480" s="131"/>
      <c r="AN480" s="131"/>
      <c r="AO480" s="131"/>
      <c r="AP480" s="88"/>
    </row>
    <row r="481">
      <c r="A481" s="155"/>
      <c r="B481" s="173"/>
      <c r="C481" s="174"/>
      <c r="D481" s="173"/>
      <c r="E481" s="155"/>
      <c r="F481" s="155"/>
      <c r="G481" s="88"/>
      <c r="H481" s="155"/>
      <c r="I481" s="155"/>
      <c r="J481" s="155"/>
      <c r="K481" s="15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58"/>
      <c r="AA481" s="105"/>
      <c r="AB481" s="105"/>
      <c r="AC481" s="105"/>
      <c r="AD481" s="105"/>
      <c r="AE481" s="105"/>
      <c r="AF481" s="158"/>
      <c r="AG481" s="105"/>
      <c r="AH481" s="158"/>
      <c r="AI481" s="88"/>
      <c r="AJ481" s="88"/>
      <c r="AK481" s="131"/>
      <c r="AL481" s="131"/>
      <c r="AM481" s="131"/>
      <c r="AN481" s="131"/>
      <c r="AO481" s="131"/>
      <c r="AP481" s="88"/>
    </row>
    <row r="482">
      <c r="A482" s="155"/>
      <c r="B482" s="173"/>
      <c r="C482" s="174"/>
      <c r="D482" s="173"/>
      <c r="E482" s="155"/>
      <c r="F482" s="155"/>
      <c r="G482" s="88"/>
      <c r="H482" s="155"/>
      <c r="I482" s="155"/>
      <c r="J482" s="155"/>
      <c r="K482" s="15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58"/>
      <c r="AA482" s="105"/>
      <c r="AB482" s="105"/>
      <c r="AC482" s="105"/>
      <c r="AD482" s="105"/>
      <c r="AE482" s="105"/>
      <c r="AF482" s="158"/>
      <c r="AG482" s="105"/>
      <c r="AH482" s="158"/>
      <c r="AI482" s="88"/>
      <c r="AJ482" s="88"/>
      <c r="AK482" s="131"/>
      <c r="AL482" s="131"/>
      <c r="AM482" s="131"/>
      <c r="AN482" s="131"/>
      <c r="AO482" s="131"/>
      <c r="AP482" s="88"/>
    </row>
    <row r="483">
      <c r="A483" s="155"/>
      <c r="B483" s="173"/>
      <c r="C483" s="174"/>
      <c r="D483" s="173"/>
      <c r="E483" s="155"/>
      <c r="F483" s="155"/>
      <c r="G483" s="88"/>
      <c r="H483" s="155"/>
      <c r="I483" s="155"/>
      <c r="J483" s="155"/>
      <c r="K483" s="15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58"/>
      <c r="AA483" s="105"/>
      <c r="AB483" s="105"/>
      <c r="AC483" s="105"/>
      <c r="AD483" s="105"/>
      <c r="AE483" s="105"/>
      <c r="AF483" s="158"/>
      <c r="AG483" s="105"/>
      <c r="AH483" s="158"/>
      <c r="AI483" s="88"/>
      <c r="AJ483" s="88"/>
      <c r="AK483" s="131"/>
      <c r="AL483" s="131"/>
      <c r="AM483" s="131"/>
      <c r="AN483" s="131"/>
      <c r="AO483" s="131"/>
      <c r="AP483" s="88"/>
    </row>
    <row r="484">
      <c r="A484" s="155"/>
      <c r="B484" s="173"/>
      <c r="C484" s="174"/>
      <c r="D484" s="173"/>
      <c r="E484" s="155"/>
      <c r="F484" s="155"/>
      <c r="G484" s="88"/>
      <c r="H484" s="155"/>
      <c r="I484" s="155"/>
      <c r="J484" s="155"/>
      <c r="K484" s="15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58"/>
      <c r="AA484" s="105"/>
      <c r="AB484" s="105"/>
      <c r="AC484" s="105"/>
      <c r="AD484" s="105"/>
      <c r="AE484" s="105"/>
      <c r="AF484" s="158"/>
      <c r="AG484" s="105"/>
      <c r="AH484" s="158"/>
      <c r="AI484" s="88"/>
      <c r="AJ484" s="88"/>
      <c r="AK484" s="131"/>
      <c r="AL484" s="131"/>
      <c r="AM484" s="131"/>
      <c r="AN484" s="131"/>
      <c r="AO484" s="131"/>
      <c r="AP484" s="88"/>
    </row>
    <row r="485">
      <c r="A485" s="155"/>
      <c r="B485" s="173"/>
      <c r="C485" s="174"/>
      <c r="D485" s="173"/>
      <c r="E485" s="155"/>
      <c r="F485" s="155"/>
      <c r="G485" s="88"/>
      <c r="H485" s="155"/>
      <c r="I485" s="155"/>
      <c r="J485" s="155"/>
      <c r="K485" s="15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58"/>
      <c r="AA485" s="105"/>
      <c r="AB485" s="105"/>
      <c r="AC485" s="105"/>
      <c r="AD485" s="105"/>
      <c r="AE485" s="105"/>
      <c r="AF485" s="158"/>
      <c r="AG485" s="105"/>
      <c r="AH485" s="158"/>
      <c r="AI485" s="88"/>
      <c r="AJ485" s="88"/>
      <c r="AK485" s="131"/>
      <c r="AL485" s="131"/>
      <c r="AM485" s="131"/>
      <c r="AN485" s="131"/>
      <c r="AO485" s="131"/>
      <c r="AP485" s="88"/>
    </row>
    <row r="486">
      <c r="A486" s="155"/>
      <c r="B486" s="173"/>
      <c r="C486" s="174"/>
      <c r="D486" s="173"/>
      <c r="E486" s="155"/>
      <c r="F486" s="155"/>
      <c r="G486" s="88"/>
      <c r="H486" s="155"/>
      <c r="I486" s="155"/>
      <c r="J486" s="155"/>
      <c r="K486" s="15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58"/>
      <c r="AA486" s="105"/>
      <c r="AB486" s="105"/>
      <c r="AC486" s="105"/>
      <c r="AD486" s="105"/>
      <c r="AE486" s="105"/>
      <c r="AF486" s="158"/>
      <c r="AG486" s="105"/>
      <c r="AH486" s="158"/>
      <c r="AI486" s="88"/>
      <c r="AJ486" s="88"/>
      <c r="AK486" s="131"/>
      <c r="AL486" s="131"/>
      <c r="AM486" s="131"/>
      <c r="AN486" s="131"/>
      <c r="AO486" s="131"/>
      <c r="AP486" s="88"/>
    </row>
    <row r="487">
      <c r="A487" s="155"/>
      <c r="B487" s="173"/>
      <c r="C487" s="174"/>
      <c r="D487" s="173"/>
      <c r="E487" s="155"/>
      <c r="F487" s="155"/>
      <c r="G487" s="88"/>
      <c r="H487" s="155"/>
      <c r="I487" s="155"/>
      <c r="J487" s="155"/>
      <c r="K487" s="15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58"/>
      <c r="AA487" s="105"/>
      <c r="AB487" s="105"/>
      <c r="AC487" s="105"/>
      <c r="AD487" s="105"/>
      <c r="AE487" s="105"/>
      <c r="AF487" s="158"/>
      <c r="AG487" s="105"/>
      <c r="AH487" s="158"/>
      <c r="AI487" s="88"/>
      <c r="AJ487" s="88"/>
      <c r="AK487" s="131"/>
      <c r="AL487" s="131"/>
      <c r="AM487" s="131"/>
      <c r="AN487" s="131"/>
      <c r="AO487" s="131"/>
      <c r="AP487" s="88"/>
    </row>
    <row r="488">
      <c r="A488" s="155"/>
      <c r="B488" s="173"/>
      <c r="C488" s="174"/>
      <c r="D488" s="173"/>
      <c r="E488" s="155"/>
      <c r="F488" s="155"/>
      <c r="G488" s="88"/>
      <c r="H488" s="155"/>
      <c r="I488" s="155"/>
      <c r="J488" s="155"/>
      <c r="K488" s="15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58"/>
      <c r="AA488" s="105"/>
      <c r="AB488" s="105"/>
      <c r="AC488" s="105"/>
      <c r="AD488" s="105"/>
      <c r="AE488" s="105"/>
      <c r="AF488" s="158"/>
      <c r="AG488" s="105"/>
      <c r="AH488" s="158"/>
      <c r="AI488" s="88"/>
      <c r="AJ488" s="88"/>
      <c r="AK488" s="131"/>
      <c r="AL488" s="131"/>
      <c r="AM488" s="131"/>
      <c r="AN488" s="131"/>
      <c r="AO488" s="131"/>
      <c r="AP488" s="88"/>
    </row>
    <row r="489">
      <c r="A489" s="155"/>
      <c r="B489" s="173"/>
      <c r="C489" s="174"/>
      <c r="D489" s="173"/>
      <c r="E489" s="155"/>
      <c r="F489" s="155"/>
      <c r="G489" s="88"/>
      <c r="H489" s="155"/>
      <c r="I489" s="155"/>
      <c r="J489" s="155"/>
      <c r="K489" s="15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58"/>
      <c r="AA489" s="105"/>
      <c r="AB489" s="105"/>
      <c r="AC489" s="105"/>
      <c r="AD489" s="105"/>
      <c r="AE489" s="105"/>
      <c r="AF489" s="158"/>
      <c r="AG489" s="105"/>
      <c r="AH489" s="158"/>
      <c r="AI489" s="88"/>
      <c r="AJ489" s="88"/>
      <c r="AK489" s="131"/>
      <c r="AL489" s="131"/>
      <c r="AM489" s="131"/>
      <c r="AN489" s="131"/>
      <c r="AO489" s="131"/>
      <c r="AP489" s="88"/>
    </row>
    <row r="490">
      <c r="A490" s="155"/>
      <c r="B490" s="173"/>
      <c r="C490" s="174"/>
      <c r="D490" s="173"/>
      <c r="E490" s="155"/>
      <c r="F490" s="155"/>
      <c r="G490" s="88"/>
      <c r="H490" s="155"/>
      <c r="I490" s="155"/>
      <c r="J490" s="155"/>
      <c r="K490" s="15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58"/>
      <c r="AA490" s="105"/>
      <c r="AB490" s="105"/>
      <c r="AC490" s="105"/>
      <c r="AD490" s="105"/>
      <c r="AE490" s="105"/>
      <c r="AF490" s="158"/>
      <c r="AG490" s="105"/>
      <c r="AH490" s="158"/>
      <c r="AI490" s="88"/>
      <c r="AJ490" s="88"/>
      <c r="AK490" s="131"/>
      <c r="AL490" s="131"/>
      <c r="AM490" s="131"/>
      <c r="AN490" s="131"/>
      <c r="AO490" s="131"/>
      <c r="AP490" s="88"/>
    </row>
    <row r="491">
      <c r="A491" s="155"/>
      <c r="B491" s="173"/>
      <c r="C491" s="174"/>
      <c r="D491" s="173"/>
      <c r="E491" s="155"/>
      <c r="F491" s="155"/>
      <c r="G491" s="88"/>
      <c r="H491" s="155"/>
      <c r="I491" s="155"/>
      <c r="J491" s="155"/>
      <c r="K491" s="15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58"/>
      <c r="AA491" s="105"/>
      <c r="AB491" s="105"/>
      <c r="AC491" s="105"/>
      <c r="AD491" s="105"/>
      <c r="AE491" s="105"/>
      <c r="AF491" s="158"/>
      <c r="AG491" s="105"/>
      <c r="AH491" s="158"/>
      <c r="AI491" s="88"/>
      <c r="AJ491" s="88"/>
      <c r="AK491" s="131"/>
      <c r="AL491" s="131"/>
      <c r="AM491" s="131"/>
      <c r="AN491" s="131"/>
      <c r="AO491" s="131"/>
      <c r="AP491" s="88"/>
    </row>
    <row r="492">
      <c r="A492" s="155"/>
      <c r="B492" s="173"/>
      <c r="C492" s="174"/>
      <c r="D492" s="173"/>
      <c r="E492" s="155"/>
      <c r="F492" s="155"/>
      <c r="G492" s="88"/>
      <c r="H492" s="155"/>
      <c r="I492" s="155"/>
      <c r="J492" s="155"/>
      <c r="K492" s="15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58"/>
      <c r="AA492" s="105"/>
      <c r="AB492" s="105"/>
      <c r="AC492" s="105"/>
      <c r="AD492" s="105"/>
      <c r="AE492" s="105"/>
      <c r="AF492" s="158"/>
      <c r="AG492" s="105"/>
      <c r="AH492" s="158"/>
      <c r="AI492" s="88"/>
      <c r="AJ492" s="88"/>
      <c r="AK492" s="131"/>
      <c r="AL492" s="131"/>
      <c r="AM492" s="131"/>
      <c r="AN492" s="131"/>
      <c r="AO492" s="131"/>
      <c r="AP492" s="88"/>
    </row>
    <row r="493">
      <c r="A493" s="155"/>
      <c r="B493" s="173"/>
      <c r="C493" s="174"/>
      <c r="D493" s="173"/>
      <c r="E493" s="155"/>
      <c r="F493" s="155"/>
      <c r="G493" s="88"/>
      <c r="H493" s="155"/>
      <c r="I493" s="155"/>
      <c r="J493" s="155"/>
      <c r="K493" s="15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58"/>
      <c r="AA493" s="105"/>
      <c r="AB493" s="105"/>
      <c r="AC493" s="105"/>
      <c r="AD493" s="105"/>
      <c r="AE493" s="105"/>
      <c r="AF493" s="158"/>
      <c r="AG493" s="105"/>
      <c r="AH493" s="158"/>
      <c r="AI493" s="88"/>
      <c r="AJ493" s="88"/>
      <c r="AK493" s="131"/>
      <c r="AL493" s="131"/>
      <c r="AM493" s="131"/>
      <c r="AN493" s="131"/>
      <c r="AO493" s="131"/>
      <c r="AP493" s="88"/>
    </row>
    <row r="494">
      <c r="A494" s="155"/>
      <c r="B494" s="173"/>
      <c r="C494" s="174"/>
      <c r="D494" s="173"/>
      <c r="E494" s="155"/>
      <c r="F494" s="155"/>
      <c r="G494" s="88"/>
      <c r="H494" s="155"/>
      <c r="I494" s="155"/>
      <c r="J494" s="155"/>
      <c r="K494" s="15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58"/>
      <c r="AA494" s="105"/>
      <c r="AB494" s="105"/>
      <c r="AC494" s="105"/>
      <c r="AD494" s="105"/>
      <c r="AE494" s="105"/>
      <c r="AF494" s="158"/>
      <c r="AG494" s="105"/>
      <c r="AH494" s="158"/>
      <c r="AI494" s="88"/>
      <c r="AJ494" s="88"/>
      <c r="AK494" s="131"/>
      <c r="AL494" s="131"/>
      <c r="AM494" s="131"/>
      <c r="AN494" s="131"/>
      <c r="AO494" s="131"/>
      <c r="AP494" s="88"/>
    </row>
    <row r="495">
      <c r="A495" s="155"/>
      <c r="B495" s="173"/>
      <c r="C495" s="174"/>
      <c r="D495" s="173"/>
      <c r="E495" s="155"/>
      <c r="F495" s="155"/>
      <c r="G495" s="88"/>
      <c r="H495" s="155"/>
      <c r="I495" s="155"/>
      <c r="J495" s="155"/>
      <c r="K495" s="15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58"/>
      <c r="AA495" s="105"/>
      <c r="AB495" s="105"/>
      <c r="AC495" s="105"/>
      <c r="AD495" s="105"/>
      <c r="AE495" s="105"/>
      <c r="AF495" s="158"/>
      <c r="AG495" s="105"/>
      <c r="AH495" s="158"/>
      <c r="AI495" s="88"/>
      <c r="AJ495" s="88"/>
      <c r="AK495" s="131"/>
      <c r="AL495" s="131"/>
      <c r="AM495" s="131"/>
      <c r="AN495" s="131"/>
      <c r="AO495" s="131"/>
      <c r="AP495" s="88"/>
    </row>
    <row r="496">
      <c r="A496" s="155"/>
      <c r="B496" s="173"/>
      <c r="C496" s="174"/>
      <c r="D496" s="173"/>
      <c r="E496" s="155"/>
      <c r="F496" s="155"/>
      <c r="G496" s="88"/>
      <c r="H496" s="155"/>
      <c r="I496" s="155"/>
      <c r="J496" s="155"/>
      <c r="K496" s="15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58"/>
      <c r="AA496" s="105"/>
      <c r="AB496" s="105"/>
      <c r="AC496" s="105"/>
      <c r="AD496" s="105"/>
      <c r="AE496" s="105"/>
      <c r="AF496" s="158"/>
      <c r="AG496" s="105"/>
      <c r="AH496" s="158"/>
      <c r="AI496" s="88"/>
      <c r="AJ496" s="88"/>
      <c r="AK496" s="131"/>
      <c r="AL496" s="131"/>
      <c r="AM496" s="131"/>
      <c r="AN496" s="131"/>
      <c r="AO496" s="131"/>
      <c r="AP496" s="88"/>
    </row>
    <row r="497">
      <c r="A497" s="155"/>
      <c r="B497" s="173"/>
      <c r="C497" s="174"/>
      <c r="D497" s="173"/>
      <c r="E497" s="155"/>
      <c r="F497" s="155"/>
      <c r="G497" s="88"/>
      <c r="H497" s="155"/>
      <c r="I497" s="155"/>
      <c r="J497" s="155"/>
      <c r="K497" s="15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58"/>
      <c r="AA497" s="105"/>
      <c r="AB497" s="105"/>
      <c r="AC497" s="105"/>
      <c r="AD497" s="105"/>
      <c r="AE497" s="105"/>
      <c r="AF497" s="158"/>
      <c r="AG497" s="105"/>
      <c r="AH497" s="158"/>
      <c r="AI497" s="88"/>
      <c r="AJ497" s="88"/>
      <c r="AK497" s="131"/>
      <c r="AL497" s="131"/>
      <c r="AM497" s="131"/>
      <c r="AN497" s="131"/>
      <c r="AO497" s="131"/>
      <c r="AP497" s="88"/>
    </row>
    <row r="498">
      <c r="A498" s="155"/>
      <c r="B498" s="173"/>
      <c r="C498" s="174"/>
      <c r="D498" s="173"/>
      <c r="E498" s="155"/>
      <c r="F498" s="155"/>
      <c r="G498" s="88"/>
      <c r="H498" s="155"/>
      <c r="I498" s="155"/>
      <c r="J498" s="155"/>
      <c r="K498" s="15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58"/>
      <c r="AA498" s="105"/>
      <c r="AB498" s="105"/>
      <c r="AC498" s="105"/>
      <c r="AD498" s="105"/>
      <c r="AE498" s="105"/>
      <c r="AF498" s="158"/>
      <c r="AG498" s="105"/>
      <c r="AH498" s="158"/>
      <c r="AI498" s="88"/>
      <c r="AJ498" s="88"/>
      <c r="AK498" s="131"/>
      <c r="AL498" s="131"/>
      <c r="AM498" s="131"/>
      <c r="AN498" s="131"/>
      <c r="AO498" s="131"/>
      <c r="AP498" s="88"/>
    </row>
    <row r="499">
      <c r="A499" s="155"/>
      <c r="B499" s="173"/>
      <c r="C499" s="174"/>
      <c r="D499" s="173"/>
      <c r="E499" s="155"/>
      <c r="F499" s="155"/>
      <c r="G499" s="88"/>
      <c r="H499" s="155"/>
      <c r="I499" s="155"/>
      <c r="J499" s="155"/>
      <c r="K499" s="15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58"/>
      <c r="AA499" s="105"/>
      <c r="AB499" s="105"/>
      <c r="AC499" s="105"/>
      <c r="AD499" s="105"/>
      <c r="AE499" s="105"/>
      <c r="AF499" s="158"/>
      <c r="AG499" s="105"/>
      <c r="AH499" s="158"/>
      <c r="AI499" s="88"/>
      <c r="AJ499" s="88"/>
      <c r="AK499" s="131"/>
      <c r="AL499" s="131"/>
      <c r="AM499" s="131"/>
      <c r="AN499" s="131"/>
      <c r="AO499" s="131"/>
      <c r="AP499" s="88"/>
    </row>
    <row r="500">
      <c r="A500" s="155"/>
      <c r="B500" s="173"/>
      <c r="C500" s="174"/>
      <c r="D500" s="173"/>
      <c r="E500" s="155"/>
      <c r="F500" s="155"/>
      <c r="G500" s="88"/>
      <c r="H500" s="155"/>
      <c r="I500" s="155"/>
      <c r="J500" s="155"/>
      <c r="K500" s="15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58"/>
      <c r="AA500" s="105"/>
      <c r="AB500" s="105"/>
      <c r="AC500" s="105"/>
      <c r="AD500" s="105"/>
      <c r="AE500" s="105"/>
      <c r="AF500" s="158"/>
      <c r="AG500" s="105"/>
      <c r="AH500" s="158"/>
      <c r="AI500" s="88"/>
      <c r="AJ500" s="88"/>
      <c r="AK500" s="131"/>
      <c r="AL500" s="131"/>
      <c r="AM500" s="131"/>
      <c r="AN500" s="131"/>
      <c r="AO500" s="131"/>
      <c r="AP500" s="88"/>
    </row>
    <row r="501">
      <c r="A501" s="155"/>
      <c r="B501" s="173"/>
      <c r="C501" s="174"/>
      <c r="D501" s="173"/>
      <c r="E501" s="155"/>
      <c r="F501" s="155"/>
      <c r="G501" s="88"/>
      <c r="H501" s="155"/>
      <c r="I501" s="155"/>
      <c r="J501" s="155"/>
      <c r="K501" s="15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58"/>
      <c r="AA501" s="105"/>
      <c r="AB501" s="105"/>
      <c r="AC501" s="105"/>
      <c r="AD501" s="105"/>
      <c r="AE501" s="105"/>
      <c r="AF501" s="158"/>
      <c r="AG501" s="105"/>
      <c r="AH501" s="158"/>
      <c r="AI501" s="88"/>
      <c r="AJ501" s="88"/>
      <c r="AK501" s="131"/>
      <c r="AL501" s="131"/>
      <c r="AM501" s="131"/>
      <c r="AN501" s="131"/>
      <c r="AO501" s="131"/>
      <c r="AP501" s="88"/>
    </row>
    <row r="502">
      <c r="A502" s="155"/>
      <c r="B502" s="173"/>
      <c r="C502" s="174"/>
      <c r="D502" s="173"/>
      <c r="E502" s="155"/>
      <c r="F502" s="155"/>
      <c r="G502" s="88"/>
      <c r="H502" s="155"/>
      <c r="I502" s="155"/>
      <c r="J502" s="155"/>
      <c r="K502" s="15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58"/>
      <c r="AA502" s="105"/>
      <c r="AB502" s="105"/>
      <c r="AC502" s="105"/>
      <c r="AD502" s="105"/>
      <c r="AE502" s="105"/>
      <c r="AF502" s="158"/>
      <c r="AG502" s="105"/>
      <c r="AH502" s="158"/>
      <c r="AI502" s="88"/>
      <c r="AJ502" s="88"/>
      <c r="AK502" s="131"/>
      <c r="AL502" s="131"/>
      <c r="AM502" s="131"/>
      <c r="AN502" s="131"/>
      <c r="AO502" s="131"/>
      <c r="AP502" s="88"/>
    </row>
    <row r="503">
      <c r="A503" s="155"/>
      <c r="B503" s="173"/>
      <c r="C503" s="174"/>
      <c r="D503" s="173"/>
      <c r="E503" s="155"/>
      <c r="F503" s="155"/>
      <c r="G503" s="88"/>
      <c r="H503" s="155"/>
      <c r="I503" s="155"/>
      <c r="J503" s="155"/>
      <c r="K503" s="15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58"/>
      <c r="AA503" s="105"/>
      <c r="AB503" s="105"/>
      <c r="AC503" s="105"/>
      <c r="AD503" s="105"/>
      <c r="AE503" s="105"/>
      <c r="AF503" s="158"/>
      <c r="AG503" s="105"/>
      <c r="AH503" s="158"/>
      <c r="AI503" s="88"/>
      <c r="AJ503" s="88"/>
      <c r="AK503" s="131"/>
      <c r="AL503" s="131"/>
      <c r="AM503" s="131"/>
      <c r="AN503" s="131"/>
      <c r="AO503" s="131"/>
      <c r="AP503" s="88"/>
    </row>
    <row r="504">
      <c r="A504" s="155"/>
      <c r="B504" s="173"/>
      <c r="C504" s="174"/>
      <c r="D504" s="173"/>
      <c r="E504" s="155"/>
      <c r="F504" s="155"/>
      <c r="G504" s="88"/>
      <c r="H504" s="155"/>
      <c r="I504" s="155"/>
      <c r="J504" s="155"/>
      <c r="K504" s="15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58"/>
      <c r="AA504" s="105"/>
      <c r="AB504" s="105"/>
      <c r="AC504" s="105"/>
      <c r="AD504" s="105"/>
      <c r="AE504" s="105"/>
      <c r="AF504" s="158"/>
      <c r="AG504" s="105"/>
      <c r="AH504" s="158"/>
      <c r="AI504" s="88"/>
      <c r="AJ504" s="88"/>
      <c r="AK504" s="131"/>
      <c r="AL504" s="131"/>
      <c r="AM504" s="131"/>
      <c r="AN504" s="131"/>
      <c r="AO504" s="131"/>
      <c r="AP504" s="88"/>
    </row>
    <row r="505">
      <c r="A505" s="155"/>
      <c r="B505" s="173"/>
      <c r="C505" s="174"/>
      <c r="D505" s="173"/>
      <c r="E505" s="155"/>
      <c r="F505" s="155"/>
      <c r="G505" s="88"/>
      <c r="H505" s="155"/>
      <c r="I505" s="155"/>
      <c r="J505" s="155"/>
      <c r="K505" s="15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58"/>
      <c r="AA505" s="105"/>
      <c r="AB505" s="105"/>
      <c r="AC505" s="105"/>
      <c r="AD505" s="105"/>
      <c r="AE505" s="105"/>
      <c r="AF505" s="158"/>
      <c r="AG505" s="105"/>
      <c r="AH505" s="158"/>
      <c r="AI505" s="88"/>
      <c r="AJ505" s="88"/>
      <c r="AK505" s="131"/>
      <c r="AL505" s="131"/>
      <c r="AM505" s="131"/>
      <c r="AN505" s="131"/>
      <c r="AO505" s="131"/>
      <c r="AP505" s="88"/>
    </row>
    <row r="506">
      <c r="A506" s="155"/>
      <c r="B506" s="173"/>
      <c r="C506" s="174"/>
      <c r="D506" s="173"/>
      <c r="E506" s="155"/>
      <c r="F506" s="155"/>
      <c r="G506" s="88"/>
      <c r="H506" s="155"/>
      <c r="I506" s="155"/>
      <c r="J506" s="155"/>
      <c r="K506" s="15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58"/>
      <c r="AA506" s="105"/>
      <c r="AB506" s="105"/>
      <c r="AC506" s="105"/>
      <c r="AD506" s="105"/>
      <c r="AE506" s="105"/>
      <c r="AF506" s="158"/>
      <c r="AG506" s="105"/>
      <c r="AH506" s="158"/>
      <c r="AI506" s="88"/>
      <c r="AJ506" s="88"/>
      <c r="AK506" s="131"/>
      <c r="AL506" s="131"/>
      <c r="AM506" s="131"/>
      <c r="AN506" s="131"/>
      <c r="AO506" s="131"/>
      <c r="AP506" s="88"/>
    </row>
    <row r="507">
      <c r="A507" s="155"/>
      <c r="B507" s="173"/>
      <c r="C507" s="174"/>
      <c r="D507" s="173"/>
      <c r="E507" s="155"/>
      <c r="F507" s="155"/>
      <c r="G507" s="88"/>
      <c r="H507" s="155"/>
      <c r="I507" s="155"/>
      <c r="J507" s="155"/>
      <c r="K507" s="15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58"/>
      <c r="AA507" s="105"/>
      <c r="AB507" s="105"/>
      <c r="AC507" s="105"/>
      <c r="AD507" s="105"/>
      <c r="AE507" s="105"/>
      <c r="AF507" s="158"/>
      <c r="AG507" s="105"/>
      <c r="AH507" s="158"/>
      <c r="AI507" s="88"/>
      <c r="AJ507" s="88"/>
      <c r="AK507" s="131"/>
      <c r="AL507" s="131"/>
      <c r="AM507" s="131"/>
      <c r="AN507" s="131"/>
      <c r="AO507" s="131"/>
      <c r="AP507" s="88"/>
    </row>
    <row r="508">
      <c r="A508" s="155"/>
      <c r="B508" s="173"/>
      <c r="C508" s="174"/>
      <c r="D508" s="173"/>
      <c r="E508" s="155"/>
      <c r="F508" s="155"/>
      <c r="G508" s="88"/>
      <c r="H508" s="155"/>
      <c r="I508" s="155"/>
      <c r="J508" s="155"/>
      <c r="K508" s="15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58"/>
      <c r="AA508" s="105"/>
      <c r="AB508" s="105"/>
      <c r="AC508" s="105"/>
      <c r="AD508" s="105"/>
      <c r="AE508" s="105"/>
      <c r="AF508" s="158"/>
      <c r="AG508" s="105"/>
      <c r="AH508" s="158"/>
      <c r="AI508" s="88"/>
      <c r="AJ508" s="88"/>
      <c r="AK508" s="131"/>
      <c r="AL508" s="131"/>
      <c r="AM508" s="131"/>
      <c r="AN508" s="131"/>
      <c r="AO508" s="131"/>
      <c r="AP508" s="88"/>
    </row>
    <row r="509">
      <c r="A509" s="155"/>
      <c r="B509" s="173"/>
      <c r="C509" s="174"/>
      <c r="D509" s="173"/>
      <c r="E509" s="155"/>
      <c r="F509" s="155"/>
      <c r="G509" s="88"/>
      <c r="H509" s="155"/>
      <c r="I509" s="155"/>
      <c r="J509" s="155"/>
      <c r="K509" s="15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58"/>
      <c r="AA509" s="105"/>
      <c r="AB509" s="105"/>
      <c r="AC509" s="105"/>
      <c r="AD509" s="105"/>
      <c r="AE509" s="105"/>
      <c r="AF509" s="158"/>
      <c r="AG509" s="105"/>
      <c r="AH509" s="158"/>
      <c r="AI509" s="88"/>
      <c r="AJ509" s="88"/>
      <c r="AK509" s="131"/>
      <c r="AL509" s="131"/>
      <c r="AM509" s="131"/>
      <c r="AN509" s="131"/>
      <c r="AO509" s="131"/>
      <c r="AP509" s="88"/>
    </row>
    <row r="510">
      <c r="A510" s="155"/>
      <c r="B510" s="173"/>
      <c r="C510" s="174"/>
      <c r="D510" s="173"/>
      <c r="E510" s="155"/>
      <c r="F510" s="155"/>
      <c r="G510" s="88"/>
      <c r="H510" s="155"/>
      <c r="I510" s="155"/>
      <c r="J510" s="155"/>
      <c r="K510" s="15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58"/>
      <c r="AA510" s="105"/>
      <c r="AB510" s="105"/>
      <c r="AC510" s="105"/>
      <c r="AD510" s="105"/>
      <c r="AE510" s="105"/>
      <c r="AF510" s="158"/>
      <c r="AG510" s="105"/>
      <c r="AH510" s="158"/>
      <c r="AI510" s="88"/>
      <c r="AJ510" s="88"/>
      <c r="AK510" s="131"/>
      <c r="AL510" s="131"/>
      <c r="AM510" s="131"/>
      <c r="AN510" s="131"/>
      <c r="AO510" s="131"/>
      <c r="AP510" s="88"/>
    </row>
    <row r="511">
      <c r="A511" s="155"/>
      <c r="B511" s="173"/>
      <c r="C511" s="174"/>
      <c r="D511" s="173"/>
      <c r="E511" s="155"/>
      <c r="F511" s="155"/>
      <c r="G511" s="88"/>
      <c r="H511" s="155"/>
      <c r="I511" s="155"/>
      <c r="J511" s="155"/>
      <c r="K511" s="15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58"/>
      <c r="AA511" s="105"/>
      <c r="AB511" s="105"/>
      <c r="AC511" s="105"/>
      <c r="AD511" s="105"/>
      <c r="AE511" s="105"/>
      <c r="AF511" s="158"/>
      <c r="AG511" s="105"/>
      <c r="AH511" s="158"/>
      <c r="AI511" s="88"/>
      <c r="AJ511" s="88"/>
      <c r="AK511" s="131"/>
      <c r="AL511" s="131"/>
      <c r="AM511" s="131"/>
      <c r="AN511" s="131"/>
      <c r="AO511" s="131"/>
      <c r="AP511" s="88"/>
    </row>
    <row r="512">
      <c r="A512" s="155"/>
      <c r="B512" s="173"/>
      <c r="C512" s="174"/>
      <c r="D512" s="173"/>
      <c r="E512" s="155"/>
      <c r="F512" s="155"/>
      <c r="G512" s="88"/>
      <c r="H512" s="155"/>
      <c r="I512" s="155"/>
      <c r="J512" s="155"/>
      <c r="K512" s="15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58"/>
      <c r="AA512" s="105"/>
      <c r="AB512" s="105"/>
      <c r="AC512" s="105"/>
      <c r="AD512" s="105"/>
      <c r="AE512" s="105"/>
      <c r="AF512" s="158"/>
      <c r="AG512" s="105"/>
      <c r="AH512" s="158"/>
      <c r="AI512" s="88"/>
      <c r="AJ512" s="88"/>
      <c r="AK512" s="131"/>
      <c r="AL512" s="131"/>
      <c r="AM512" s="131"/>
      <c r="AN512" s="131"/>
      <c r="AO512" s="131"/>
      <c r="AP512" s="88"/>
    </row>
    <row r="513">
      <c r="A513" s="155"/>
      <c r="B513" s="173"/>
      <c r="C513" s="174"/>
      <c r="D513" s="173"/>
      <c r="E513" s="155"/>
      <c r="F513" s="155"/>
      <c r="G513" s="88"/>
      <c r="H513" s="155"/>
      <c r="I513" s="155"/>
      <c r="J513" s="155"/>
      <c r="K513" s="15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58"/>
      <c r="AA513" s="105"/>
      <c r="AB513" s="105"/>
      <c r="AC513" s="105"/>
      <c r="AD513" s="105"/>
      <c r="AE513" s="105"/>
      <c r="AF513" s="158"/>
      <c r="AG513" s="105"/>
      <c r="AH513" s="158"/>
      <c r="AI513" s="88"/>
      <c r="AJ513" s="88"/>
      <c r="AK513" s="131"/>
      <c r="AL513" s="131"/>
      <c r="AM513" s="131"/>
      <c r="AN513" s="131"/>
      <c r="AO513" s="131"/>
      <c r="AP513" s="88"/>
    </row>
    <row r="514">
      <c r="A514" s="155"/>
      <c r="B514" s="173"/>
      <c r="C514" s="174"/>
      <c r="D514" s="173"/>
      <c r="E514" s="155"/>
      <c r="F514" s="155"/>
      <c r="G514" s="88"/>
      <c r="H514" s="155"/>
      <c r="I514" s="155"/>
      <c r="J514" s="155"/>
      <c r="K514" s="15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58"/>
      <c r="AA514" s="105"/>
      <c r="AB514" s="105"/>
      <c r="AC514" s="105"/>
      <c r="AD514" s="105"/>
      <c r="AE514" s="105"/>
      <c r="AF514" s="158"/>
      <c r="AG514" s="105"/>
      <c r="AH514" s="158"/>
      <c r="AI514" s="88"/>
      <c r="AJ514" s="88"/>
      <c r="AK514" s="131"/>
      <c r="AL514" s="131"/>
      <c r="AM514" s="131"/>
      <c r="AN514" s="131"/>
      <c r="AO514" s="131"/>
      <c r="AP514" s="88"/>
    </row>
    <row r="515">
      <c r="A515" s="155"/>
      <c r="B515" s="173"/>
      <c r="C515" s="174"/>
      <c r="D515" s="173"/>
      <c r="E515" s="155"/>
      <c r="F515" s="155"/>
      <c r="G515" s="88"/>
      <c r="H515" s="155"/>
      <c r="I515" s="155"/>
      <c r="J515" s="155"/>
      <c r="K515" s="15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58"/>
      <c r="AA515" s="105"/>
      <c r="AB515" s="105"/>
      <c r="AC515" s="105"/>
      <c r="AD515" s="105"/>
      <c r="AE515" s="105"/>
      <c r="AF515" s="158"/>
      <c r="AG515" s="105"/>
      <c r="AH515" s="158"/>
      <c r="AI515" s="88"/>
      <c r="AJ515" s="88"/>
      <c r="AK515" s="131"/>
      <c r="AL515" s="131"/>
      <c r="AM515" s="131"/>
      <c r="AN515" s="131"/>
      <c r="AO515" s="131"/>
      <c r="AP515" s="88"/>
    </row>
    <row r="516">
      <c r="A516" s="155"/>
      <c r="B516" s="173"/>
      <c r="C516" s="174"/>
      <c r="D516" s="173"/>
      <c r="E516" s="155"/>
      <c r="F516" s="155"/>
      <c r="G516" s="88"/>
      <c r="H516" s="155"/>
      <c r="I516" s="155"/>
      <c r="J516" s="155"/>
      <c r="K516" s="15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58"/>
      <c r="AA516" s="105"/>
      <c r="AB516" s="105"/>
      <c r="AC516" s="105"/>
      <c r="AD516" s="105"/>
      <c r="AE516" s="105"/>
      <c r="AF516" s="158"/>
      <c r="AG516" s="105"/>
      <c r="AH516" s="158"/>
      <c r="AI516" s="88"/>
      <c r="AJ516" s="88"/>
      <c r="AK516" s="131"/>
      <c r="AL516" s="131"/>
      <c r="AM516" s="131"/>
      <c r="AN516" s="131"/>
      <c r="AO516" s="131"/>
      <c r="AP516" s="88"/>
    </row>
    <row r="517">
      <c r="A517" s="155"/>
      <c r="B517" s="173"/>
      <c r="C517" s="174"/>
      <c r="D517" s="173"/>
      <c r="E517" s="155"/>
      <c r="F517" s="155"/>
      <c r="G517" s="88"/>
      <c r="H517" s="155"/>
      <c r="I517" s="155"/>
      <c r="J517" s="155"/>
      <c r="K517" s="15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58"/>
      <c r="AA517" s="105"/>
      <c r="AB517" s="105"/>
      <c r="AC517" s="105"/>
      <c r="AD517" s="105"/>
      <c r="AE517" s="105"/>
      <c r="AF517" s="158"/>
      <c r="AG517" s="105"/>
      <c r="AH517" s="158"/>
      <c r="AI517" s="88"/>
      <c r="AJ517" s="88"/>
      <c r="AK517" s="131"/>
      <c r="AL517" s="131"/>
      <c r="AM517" s="131"/>
      <c r="AN517" s="131"/>
      <c r="AO517" s="131"/>
      <c r="AP517" s="88"/>
    </row>
    <row r="518">
      <c r="A518" s="155"/>
      <c r="B518" s="173"/>
      <c r="C518" s="174"/>
      <c r="D518" s="173"/>
      <c r="E518" s="155"/>
      <c r="F518" s="155"/>
      <c r="G518" s="88"/>
      <c r="H518" s="155"/>
      <c r="I518" s="155"/>
      <c r="J518" s="155"/>
      <c r="K518" s="15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58"/>
      <c r="AA518" s="105"/>
      <c r="AB518" s="105"/>
      <c r="AC518" s="105"/>
      <c r="AD518" s="105"/>
      <c r="AE518" s="105"/>
      <c r="AF518" s="158"/>
      <c r="AG518" s="105"/>
      <c r="AH518" s="158"/>
      <c r="AI518" s="88"/>
      <c r="AJ518" s="88"/>
      <c r="AK518" s="131"/>
      <c r="AL518" s="131"/>
      <c r="AM518" s="131"/>
      <c r="AN518" s="131"/>
      <c r="AO518" s="131"/>
      <c r="AP518" s="88"/>
    </row>
    <row r="519">
      <c r="A519" s="155"/>
      <c r="B519" s="173"/>
      <c r="C519" s="174"/>
      <c r="D519" s="173"/>
      <c r="E519" s="155"/>
      <c r="F519" s="155"/>
      <c r="G519" s="88"/>
      <c r="H519" s="155"/>
      <c r="I519" s="155"/>
      <c r="J519" s="155"/>
      <c r="K519" s="15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58"/>
      <c r="AA519" s="105"/>
      <c r="AB519" s="105"/>
      <c r="AC519" s="105"/>
      <c r="AD519" s="105"/>
      <c r="AE519" s="105"/>
      <c r="AF519" s="158"/>
      <c r="AG519" s="105"/>
      <c r="AH519" s="158"/>
      <c r="AI519" s="88"/>
      <c r="AJ519" s="88"/>
      <c r="AK519" s="131"/>
      <c r="AL519" s="131"/>
      <c r="AM519" s="131"/>
      <c r="AN519" s="131"/>
      <c r="AO519" s="131"/>
      <c r="AP519" s="88"/>
    </row>
    <row r="520">
      <c r="A520" s="155"/>
      <c r="B520" s="173"/>
      <c r="C520" s="174"/>
      <c r="D520" s="173"/>
      <c r="E520" s="155"/>
      <c r="F520" s="155"/>
      <c r="G520" s="88"/>
      <c r="H520" s="155"/>
      <c r="I520" s="155"/>
      <c r="J520" s="155"/>
      <c r="K520" s="15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58"/>
      <c r="AA520" s="105"/>
      <c r="AB520" s="105"/>
      <c r="AC520" s="105"/>
      <c r="AD520" s="105"/>
      <c r="AE520" s="105"/>
      <c r="AF520" s="158"/>
      <c r="AG520" s="105"/>
      <c r="AH520" s="158"/>
      <c r="AI520" s="88"/>
      <c r="AJ520" s="88"/>
      <c r="AK520" s="131"/>
      <c r="AL520" s="131"/>
      <c r="AM520" s="131"/>
      <c r="AN520" s="131"/>
      <c r="AO520" s="131"/>
      <c r="AP520" s="88"/>
    </row>
    <row r="521">
      <c r="A521" s="155"/>
      <c r="B521" s="173"/>
      <c r="C521" s="174"/>
      <c r="D521" s="173"/>
      <c r="E521" s="155"/>
      <c r="F521" s="155"/>
      <c r="G521" s="88"/>
      <c r="H521" s="155"/>
      <c r="I521" s="155"/>
      <c r="J521" s="155"/>
      <c r="K521" s="15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58"/>
      <c r="AA521" s="105"/>
      <c r="AB521" s="105"/>
      <c r="AC521" s="105"/>
      <c r="AD521" s="105"/>
      <c r="AE521" s="105"/>
      <c r="AF521" s="158"/>
      <c r="AG521" s="105"/>
      <c r="AH521" s="158"/>
      <c r="AI521" s="88"/>
      <c r="AJ521" s="88"/>
      <c r="AK521" s="131"/>
      <c r="AL521" s="131"/>
      <c r="AM521" s="131"/>
      <c r="AN521" s="131"/>
      <c r="AO521" s="131"/>
      <c r="AP521" s="88"/>
    </row>
    <row r="522">
      <c r="A522" s="155"/>
      <c r="B522" s="173"/>
      <c r="C522" s="174"/>
      <c r="D522" s="173"/>
      <c r="E522" s="155"/>
      <c r="F522" s="155"/>
      <c r="G522" s="88"/>
      <c r="H522" s="155"/>
      <c r="I522" s="155"/>
      <c r="J522" s="155"/>
      <c r="K522" s="15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58"/>
      <c r="AA522" s="105"/>
      <c r="AB522" s="105"/>
      <c r="AC522" s="105"/>
      <c r="AD522" s="105"/>
      <c r="AE522" s="105"/>
      <c r="AF522" s="158"/>
      <c r="AG522" s="105"/>
      <c r="AH522" s="158"/>
      <c r="AI522" s="88"/>
      <c r="AJ522" s="88"/>
      <c r="AK522" s="131"/>
      <c r="AL522" s="131"/>
      <c r="AM522" s="131"/>
      <c r="AN522" s="131"/>
      <c r="AO522" s="131"/>
      <c r="AP522" s="88"/>
    </row>
    <row r="523">
      <c r="A523" s="155"/>
      <c r="B523" s="173"/>
      <c r="C523" s="174"/>
      <c r="D523" s="173"/>
      <c r="E523" s="155"/>
      <c r="F523" s="155"/>
      <c r="G523" s="88"/>
      <c r="H523" s="155"/>
      <c r="I523" s="155"/>
      <c r="J523" s="155"/>
      <c r="K523" s="15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58"/>
      <c r="AA523" s="105"/>
      <c r="AB523" s="105"/>
      <c r="AC523" s="105"/>
      <c r="AD523" s="105"/>
      <c r="AE523" s="105"/>
      <c r="AF523" s="158"/>
      <c r="AG523" s="105"/>
      <c r="AH523" s="158"/>
      <c r="AI523" s="88"/>
      <c r="AJ523" s="88"/>
      <c r="AK523" s="131"/>
      <c r="AL523" s="131"/>
      <c r="AM523" s="131"/>
      <c r="AN523" s="131"/>
      <c r="AO523" s="131"/>
      <c r="AP523" s="88"/>
    </row>
    <row r="524">
      <c r="A524" s="155"/>
      <c r="B524" s="173"/>
      <c r="C524" s="174"/>
      <c r="D524" s="173"/>
      <c r="E524" s="155"/>
      <c r="F524" s="155"/>
      <c r="G524" s="88"/>
      <c r="H524" s="155"/>
      <c r="I524" s="155"/>
      <c r="J524" s="155"/>
      <c r="K524" s="15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58"/>
      <c r="AA524" s="105"/>
      <c r="AB524" s="105"/>
      <c r="AC524" s="105"/>
      <c r="AD524" s="105"/>
      <c r="AE524" s="105"/>
      <c r="AF524" s="158"/>
      <c r="AG524" s="105"/>
      <c r="AH524" s="158"/>
      <c r="AI524" s="88"/>
      <c r="AJ524" s="88"/>
      <c r="AK524" s="131"/>
      <c r="AL524" s="131"/>
      <c r="AM524" s="131"/>
      <c r="AN524" s="131"/>
      <c r="AO524" s="131"/>
      <c r="AP524" s="88"/>
    </row>
    <row r="525">
      <c r="A525" s="155"/>
      <c r="B525" s="173"/>
      <c r="C525" s="174"/>
      <c r="D525" s="173"/>
      <c r="E525" s="155"/>
      <c r="F525" s="155"/>
      <c r="G525" s="88"/>
      <c r="H525" s="155"/>
      <c r="I525" s="155"/>
      <c r="J525" s="155"/>
      <c r="K525" s="15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58"/>
      <c r="AA525" s="105"/>
      <c r="AB525" s="105"/>
      <c r="AC525" s="105"/>
      <c r="AD525" s="105"/>
      <c r="AE525" s="105"/>
      <c r="AF525" s="158"/>
      <c r="AG525" s="105"/>
      <c r="AH525" s="158"/>
      <c r="AI525" s="88"/>
      <c r="AJ525" s="88"/>
      <c r="AK525" s="131"/>
      <c r="AL525" s="131"/>
      <c r="AM525" s="131"/>
      <c r="AN525" s="131"/>
      <c r="AO525" s="131"/>
      <c r="AP525" s="88"/>
    </row>
    <row r="526">
      <c r="A526" s="155"/>
      <c r="B526" s="173"/>
      <c r="C526" s="174"/>
      <c r="D526" s="173"/>
      <c r="E526" s="155"/>
      <c r="F526" s="155"/>
      <c r="G526" s="88"/>
      <c r="H526" s="155"/>
      <c r="I526" s="155"/>
      <c r="J526" s="155"/>
      <c r="K526" s="15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58"/>
      <c r="AA526" s="105"/>
      <c r="AB526" s="105"/>
      <c r="AC526" s="105"/>
      <c r="AD526" s="105"/>
      <c r="AE526" s="105"/>
      <c r="AF526" s="158"/>
      <c r="AG526" s="105"/>
      <c r="AH526" s="158"/>
      <c r="AI526" s="88"/>
      <c r="AJ526" s="88"/>
      <c r="AK526" s="131"/>
      <c r="AL526" s="131"/>
      <c r="AM526" s="131"/>
      <c r="AN526" s="131"/>
      <c r="AO526" s="131"/>
      <c r="AP526" s="88"/>
    </row>
    <row r="527">
      <c r="A527" s="155"/>
      <c r="B527" s="173"/>
      <c r="C527" s="174"/>
      <c r="D527" s="173"/>
      <c r="E527" s="155"/>
      <c r="F527" s="155"/>
      <c r="G527" s="88"/>
      <c r="H527" s="155"/>
      <c r="I527" s="155"/>
      <c r="J527" s="155"/>
      <c r="K527" s="15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58"/>
      <c r="AA527" s="105"/>
      <c r="AB527" s="105"/>
      <c r="AC527" s="105"/>
      <c r="AD527" s="105"/>
      <c r="AE527" s="105"/>
      <c r="AF527" s="158"/>
      <c r="AG527" s="105"/>
      <c r="AH527" s="158"/>
      <c r="AI527" s="88"/>
      <c r="AJ527" s="88"/>
      <c r="AK527" s="131"/>
      <c r="AL527" s="131"/>
      <c r="AM527" s="131"/>
      <c r="AN527" s="131"/>
      <c r="AO527" s="131"/>
      <c r="AP527" s="88"/>
    </row>
    <row r="528">
      <c r="A528" s="155"/>
      <c r="B528" s="173"/>
      <c r="C528" s="174"/>
      <c r="D528" s="173"/>
      <c r="E528" s="155"/>
      <c r="F528" s="155"/>
      <c r="G528" s="88"/>
      <c r="H528" s="155"/>
      <c r="I528" s="155"/>
      <c r="J528" s="155"/>
      <c r="K528" s="15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58"/>
      <c r="AA528" s="105"/>
      <c r="AB528" s="105"/>
      <c r="AC528" s="105"/>
      <c r="AD528" s="105"/>
      <c r="AE528" s="105"/>
      <c r="AF528" s="158"/>
      <c r="AG528" s="105"/>
      <c r="AH528" s="158"/>
      <c r="AI528" s="88"/>
      <c r="AJ528" s="88"/>
      <c r="AK528" s="131"/>
      <c r="AL528" s="131"/>
      <c r="AM528" s="131"/>
      <c r="AN528" s="131"/>
      <c r="AO528" s="131"/>
      <c r="AP528" s="88"/>
    </row>
    <row r="529">
      <c r="A529" s="155"/>
      <c r="B529" s="173"/>
      <c r="C529" s="174"/>
      <c r="D529" s="173"/>
      <c r="E529" s="155"/>
      <c r="F529" s="155"/>
      <c r="G529" s="88"/>
      <c r="H529" s="155"/>
      <c r="I529" s="155"/>
      <c r="J529" s="155"/>
      <c r="K529" s="15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58"/>
      <c r="AA529" s="105"/>
      <c r="AB529" s="105"/>
      <c r="AC529" s="105"/>
      <c r="AD529" s="105"/>
      <c r="AE529" s="105"/>
      <c r="AF529" s="158"/>
      <c r="AG529" s="105"/>
      <c r="AH529" s="158"/>
      <c r="AI529" s="88"/>
      <c r="AJ529" s="88"/>
      <c r="AK529" s="131"/>
      <c r="AL529" s="131"/>
      <c r="AM529" s="131"/>
      <c r="AN529" s="131"/>
      <c r="AO529" s="131"/>
      <c r="AP529" s="88"/>
    </row>
    <row r="530">
      <c r="A530" s="155"/>
      <c r="B530" s="173"/>
      <c r="C530" s="174"/>
      <c r="D530" s="173"/>
      <c r="E530" s="155"/>
      <c r="F530" s="155"/>
      <c r="G530" s="88"/>
      <c r="H530" s="155"/>
      <c r="I530" s="155"/>
      <c r="J530" s="155"/>
      <c r="K530" s="15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58"/>
      <c r="AA530" s="105"/>
      <c r="AB530" s="105"/>
      <c r="AC530" s="105"/>
      <c r="AD530" s="105"/>
      <c r="AE530" s="105"/>
      <c r="AF530" s="158"/>
      <c r="AG530" s="105"/>
      <c r="AH530" s="158"/>
      <c r="AI530" s="88"/>
      <c r="AJ530" s="88"/>
      <c r="AK530" s="131"/>
      <c r="AL530" s="131"/>
      <c r="AM530" s="131"/>
      <c r="AN530" s="131"/>
      <c r="AO530" s="131"/>
      <c r="AP530" s="88"/>
    </row>
    <row r="531">
      <c r="A531" s="155"/>
      <c r="B531" s="173"/>
      <c r="C531" s="174"/>
      <c r="D531" s="173"/>
      <c r="E531" s="155"/>
      <c r="F531" s="155"/>
      <c r="G531" s="88"/>
      <c r="H531" s="155"/>
      <c r="I531" s="155"/>
      <c r="J531" s="155"/>
      <c r="K531" s="15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58"/>
      <c r="AA531" s="105"/>
      <c r="AB531" s="105"/>
      <c r="AC531" s="105"/>
      <c r="AD531" s="105"/>
      <c r="AE531" s="105"/>
      <c r="AF531" s="158"/>
      <c r="AG531" s="105"/>
      <c r="AH531" s="158"/>
      <c r="AI531" s="88"/>
      <c r="AJ531" s="88"/>
      <c r="AK531" s="131"/>
      <c r="AL531" s="131"/>
      <c r="AM531" s="131"/>
      <c r="AN531" s="131"/>
      <c r="AO531" s="131"/>
      <c r="AP531" s="88"/>
    </row>
    <row r="532">
      <c r="A532" s="155"/>
      <c r="B532" s="173"/>
      <c r="C532" s="174"/>
      <c r="D532" s="173"/>
      <c r="E532" s="155"/>
      <c r="F532" s="155"/>
      <c r="G532" s="88"/>
      <c r="H532" s="155"/>
      <c r="I532" s="155"/>
      <c r="J532" s="155"/>
      <c r="K532" s="15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58"/>
      <c r="AA532" s="105"/>
      <c r="AB532" s="105"/>
      <c r="AC532" s="105"/>
      <c r="AD532" s="105"/>
      <c r="AE532" s="105"/>
      <c r="AF532" s="158"/>
      <c r="AG532" s="105"/>
      <c r="AH532" s="158"/>
      <c r="AI532" s="88"/>
      <c r="AJ532" s="88"/>
      <c r="AK532" s="131"/>
      <c r="AL532" s="131"/>
      <c r="AM532" s="131"/>
      <c r="AN532" s="131"/>
      <c r="AO532" s="131"/>
      <c r="AP532" s="88"/>
    </row>
    <row r="533">
      <c r="A533" s="155"/>
      <c r="B533" s="173"/>
      <c r="C533" s="174"/>
      <c r="D533" s="173"/>
      <c r="E533" s="155"/>
      <c r="F533" s="155"/>
      <c r="G533" s="88"/>
      <c r="H533" s="155"/>
      <c r="I533" s="155"/>
      <c r="J533" s="155"/>
      <c r="K533" s="15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58"/>
      <c r="AA533" s="105"/>
      <c r="AB533" s="105"/>
      <c r="AC533" s="105"/>
      <c r="AD533" s="105"/>
      <c r="AE533" s="105"/>
      <c r="AF533" s="158"/>
      <c r="AG533" s="105"/>
      <c r="AH533" s="158"/>
      <c r="AI533" s="88"/>
      <c r="AJ533" s="88"/>
      <c r="AK533" s="131"/>
      <c r="AL533" s="131"/>
      <c r="AM533" s="131"/>
      <c r="AN533" s="131"/>
      <c r="AO533" s="131"/>
      <c r="AP533" s="88"/>
    </row>
    <row r="534">
      <c r="A534" s="155"/>
      <c r="B534" s="173"/>
      <c r="C534" s="174"/>
      <c r="D534" s="173"/>
      <c r="E534" s="155"/>
      <c r="F534" s="155"/>
      <c r="G534" s="88"/>
      <c r="H534" s="155"/>
      <c r="I534" s="155"/>
      <c r="J534" s="155"/>
      <c r="K534" s="15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58"/>
      <c r="AA534" s="105"/>
      <c r="AB534" s="105"/>
      <c r="AC534" s="105"/>
      <c r="AD534" s="105"/>
      <c r="AE534" s="105"/>
      <c r="AF534" s="158"/>
      <c r="AG534" s="105"/>
      <c r="AH534" s="158"/>
      <c r="AI534" s="88"/>
      <c r="AJ534" s="88"/>
      <c r="AK534" s="131"/>
      <c r="AL534" s="131"/>
      <c r="AM534" s="131"/>
      <c r="AN534" s="131"/>
      <c r="AO534" s="131"/>
      <c r="AP534" s="88"/>
    </row>
    <row r="535">
      <c r="A535" s="155"/>
      <c r="B535" s="173"/>
      <c r="C535" s="174"/>
      <c r="D535" s="173"/>
      <c r="E535" s="155"/>
      <c r="F535" s="155"/>
      <c r="G535" s="88"/>
      <c r="H535" s="155"/>
      <c r="I535" s="155"/>
      <c r="J535" s="155"/>
      <c r="K535" s="15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58"/>
      <c r="AA535" s="105"/>
      <c r="AB535" s="105"/>
      <c r="AC535" s="105"/>
      <c r="AD535" s="105"/>
      <c r="AE535" s="105"/>
      <c r="AF535" s="158"/>
      <c r="AG535" s="105"/>
      <c r="AH535" s="158"/>
      <c r="AI535" s="88"/>
      <c r="AJ535" s="88"/>
      <c r="AK535" s="131"/>
      <c r="AL535" s="131"/>
      <c r="AM535" s="131"/>
      <c r="AN535" s="131"/>
      <c r="AO535" s="131"/>
      <c r="AP535" s="88"/>
    </row>
    <row r="536">
      <c r="A536" s="155"/>
      <c r="B536" s="173"/>
      <c r="C536" s="174"/>
      <c r="D536" s="173"/>
      <c r="E536" s="155"/>
      <c r="F536" s="155"/>
      <c r="G536" s="88"/>
      <c r="H536" s="155"/>
      <c r="I536" s="155"/>
      <c r="J536" s="155"/>
      <c r="K536" s="15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58"/>
      <c r="AA536" s="105"/>
      <c r="AB536" s="105"/>
      <c r="AC536" s="105"/>
      <c r="AD536" s="105"/>
      <c r="AE536" s="105"/>
      <c r="AF536" s="158"/>
      <c r="AG536" s="105"/>
      <c r="AH536" s="158"/>
      <c r="AI536" s="88"/>
      <c r="AJ536" s="88"/>
      <c r="AK536" s="131"/>
      <c r="AL536" s="131"/>
      <c r="AM536" s="131"/>
      <c r="AN536" s="131"/>
      <c r="AO536" s="131"/>
      <c r="AP536" s="88"/>
    </row>
    <row r="537">
      <c r="A537" s="155"/>
      <c r="B537" s="173"/>
      <c r="C537" s="174"/>
      <c r="D537" s="173"/>
      <c r="E537" s="155"/>
      <c r="F537" s="155"/>
      <c r="G537" s="88"/>
      <c r="H537" s="155"/>
      <c r="I537" s="155"/>
      <c r="J537" s="155"/>
      <c r="K537" s="15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58"/>
      <c r="AA537" s="105"/>
      <c r="AB537" s="105"/>
      <c r="AC537" s="105"/>
      <c r="AD537" s="105"/>
      <c r="AE537" s="105"/>
      <c r="AF537" s="158"/>
      <c r="AG537" s="105"/>
      <c r="AH537" s="158"/>
      <c r="AI537" s="88"/>
      <c r="AJ537" s="88"/>
      <c r="AK537" s="131"/>
      <c r="AL537" s="131"/>
      <c r="AM537" s="131"/>
      <c r="AN537" s="131"/>
      <c r="AO537" s="131"/>
      <c r="AP537" s="88"/>
    </row>
    <row r="538">
      <c r="A538" s="155"/>
      <c r="B538" s="173"/>
      <c r="C538" s="174"/>
      <c r="D538" s="173"/>
      <c r="E538" s="155"/>
      <c r="F538" s="155"/>
      <c r="G538" s="88"/>
      <c r="H538" s="155"/>
      <c r="I538" s="155"/>
      <c r="J538" s="155"/>
      <c r="K538" s="15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58"/>
      <c r="AA538" s="105"/>
      <c r="AB538" s="105"/>
      <c r="AC538" s="105"/>
      <c r="AD538" s="105"/>
      <c r="AE538" s="105"/>
      <c r="AF538" s="158"/>
      <c r="AG538" s="105"/>
      <c r="AH538" s="158"/>
      <c r="AI538" s="88"/>
      <c r="AJ538" s="88"/>
      <c r="AK538" s="131"/>
      <c r="AL538" s="131"/>
      <c r="AM538" s="131"/>
      <c r="AN538" s="131"/>
      <c r="AO538" s="131"/>
      <c r="AP538" s="88"/>
    </row>
    <row r="539">
      <c r="A539" s="155"/>
      <c r="B539" s="173"/>
      <c r="C539" s="174"/>
      <c r="D539" s="173"/>
      <c r="E539" s="155"/>
      <c r="F539" s="155"/>
      <c r="G539" s="88"/>
      <c r="H539" s="155"/>
      <c r="I539" s="155"/>
      <c r="J539" s="155"/>
      <c r="K539" s="15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58"/>
      <c r="AA539" s="105"/>
      <c r="AB539" s="105"/>
      <c r="AC539" s="105"/>
      <c r="AD539" s="105"/>
      <c r="AE539" s="105"/>
      <c r="AF539" s="158"/>
      <c r="AG539" s="105"/>
      <c r="AH539" s="158"/>
      <c r="AI539" s="88"/>
      <c r="AJ539" s="88"/>
      <c r="AK539" s="131"/>
      <c r="AL539" s="131"/>
      <c r="AM539" s="131"/>
      <c r="AN539" s="131"/>
      <c r="AO539" s="131"/>
      <c r="AP539" s="88"/>
    </row>
    <row r="540">
      <c r="A540" s="155"/>
      <c r="B540" s="173"/>
      <c r="C540" s="174"/>
      <c r="D540" s="173"/>
      <c r="E540" s="155"/>
      <c r="F540" s="155"/>
      <c r="G540" s="88"/>
      <c r="H540" s="155"/>
      <c r="I540" s="155"/>
      <c r="J540" s="155"/>
      <c r="K540" s="15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58"/>
      <c r="AA540" s="105"/>
      <c r="AB540" s="105"/>
      <c r="AC540" s="105"/>
      <c r="AD540" s="105"/>
      <c r="AE540" s="105"/>
      <c r="AF540" s="158"/>
      <c r="AG540" s="105"/>
      <c r="AH540" s="158"/>
      <c r="AI540" s="88"/>
      <c r="AJ540" s="88"/>
      <c r="AK540" s="131"/>
      <c r="AL540" s="131"/>
      <c r="AM540" s="131"/>
      <c r="AN540" s="131"/>
      <c r="AO540" s="131"/>
      <c r="AP540" s="88"/>
    </row>
    <row r="541">
      <c r="A541" s="155"/>
      <c r="B541" s="173"/>
      <c r="C541" s="174"/>
      <c r="D541" s="173"/>
      <c r="E541" s="155"/>
      <c r="F541" s="155"/>
      <c r="G541" s="88"/>
      <c r="H541" s="155"/>
      <c r="I541" s="155"/>
      <c r="J541" s="155"/>
      <c r="K541" s="15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58"/>
      <c r="AA541" s="105"/>
      <c r="AB541" s="105"/>
      <c r="AC541" s="105"/>
      <c r="AD541" s="105"/>
      <c r="AE541" s="105"/>
      <c r="AF541" s="158"/>
      <c r="AG541" s="105"/>
      <c r="AH541" s="158"/>
      <c r="AI541" s="88"/>
      <c r="AJ541" s="88"/>
      <c r="AK541" s="131"/>
      <c r="AL541" s="131"/>
      <c r="AM541" s="131"/>
      <c r="AN541" s="131"/>
      <c r="AO541" s="131"/>
      <c r="AP541" s="88"/>
    </row>
    <row r="542">
      <c r="A542" s="155"/>
      <c r="B542" s="173"/>
      <c r="C542" s="174"/>
      <c r="D542" s="173"/>
      <c r="E542" s="155"/>
      <c r="F542" s="155"/>
      <c r="G542" s="88"/>
      <c r="H542" s="155"/>
      <c r="I542" s="155"/>
      <c r="J542" s="155"/>
      <c r="K542" s="15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58"/>
      <c r="AA542" s="105"/>
      <c r="AB542" s="105"/>
      <c r="AC542" s="105"/>
      <c r="AD542" s="105"/>
      <c r="AE542" s="105"/>
      <c r="AF542" s="158"/>
      <c r="AG542" s="105"/>
      <c r="AH542" s="158"/>
      <c r="AI542" s="88"/>
      <c r="AJ542" s="88"/>
      <c r="AK542" s="131"/>
      <c r="AL542" s="131"/>
      <c r="AM542" s="131"/>
      <c r="AN542" s="131"/>
      <c r="AO542" s="131"/>
      <c r="AP542" s="88"/>
    </row>
    <row r="543">
      <c r="A543" s="155"/>
      <c r="B543" s="173"/>
      <c r="C543" s="174"/>
      <c r="D543" s="173"/>
      <c r="E543" s="155"/>
      <c r="F543" s="155"/>
      <c r="G543" s="88"/>
      <c r="H543" s="155"/>
      <c r="I543" s="155"/>
      <c r="J543" s="155"/>
      <c r="K543" s="15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58"/>
      <c r="AA543" s="105"/>
      <c r="AB543" s="105"/>
      <c r="AC543" s="105"/>
      <c r="AD543" s="105"/>
      <c r="AE543" s="105"/>
      <c r="AF543" s="158"/>
      <c r="AG543" s="105"/>
      <c r="AH543" s="158"/>
      <c r="AI543" s="88"/>
      <c r="AJ543" s="88"/>
      <c r="AK543" s="131"/>
      <c r="AL543" s="131"/>
      <c r="AM543" s="131"/>
      <c r="AN543" s="131"/>
      <c r="AO543" s="131"/>
      <c r="AP543" s="88"/>
    </row>
    <row r="544">
      <c r="A544" s="155"/>
      <c r="B544" s="173"/>
      <c r="C544" s="174"/>
      <c r="D544" s="173"/>
      <c r="E544" s="155"/>
      <c r="F544" s="155"/>
      <c r="G544" s="88"/>
      <c r="H544" s="155"/>
      <c r="I544" s="155"/>
      <c r="J544" s="155"/>
      <c r="K544" s="15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58"/>
      <c r="AA544" s="105"/>
      <c r="AB544" s="105"/>
      <c r="AC544" s="105"/>
      <c r="AD544" s="105"/>
      <c r="AE544" s="105"/>
      <c r="AF544" s="158"/>
      <c r="AG544" s="105"/>
      <c r="AH544" s="158"/>
      <c r="AI544" s="88"/>
      <c r="AJ544" s="88"/>
      <c r="AK544" s="131"/>
      <c r="AL544" s="131"/>
      <c r="AM544" s="131"/>
      <c r="AN544" s="131"/>
      <c r="AO544" s="131"/>
      <c r="AP544" s="88"/>
    </row>
    <row r="545">
      <c r="A545" s="155"/>
      <c r="B545" s="173"/>
      <c r="C545" s="174"/>
      <c r="D545" s="173"/>
      <c r="E545" s="155"/>
      <c r="F545" s="155"/>
      <c r="G545" s="88"/>
      <c r="H545" s="155"/>
      <c r="I545" s="155"/>
      <c r="J545" s="155"/>
      <c r="K545" s="15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58"/>
      <c r="AA545" s="105"/>
      <c r="AB545" s="105"/>
      <c r="AC545" s="105"/>
      <c r="AD545" s="105"/>
      <c r="AE545" s="105"/>
      <c r="AF545" s="158"/>
      <c r="AG545" s="105"/>
      <c r="AH545" s="158"/>
      <c r="AI545" s="88"/>
      <c r="AJ545" s="88"/>
      <c r="AK545" s="131"/>
      <c r="AL545" s="131"/>
      <c r="AM545" s="131"/>
      <c r="AN545" s="131"/>
      <c r="AO545" s="131"/>
      <c r="AP545" s="88"/>
    </row>
    <row r="546">
      <c r="A546" s="155"/>
      <c r="B546" s="173"/>
      <c r="C546" s="174"/>
      <c r="D546" s="173"/>
      <c r="E546" s="155"/>
      <c r="F546" s="155"/>
      <c r="G546" s="88"/>
      <c r="H546" s="155"/>
      <c r="I546" s="155"/>
      <c r="J546" s="155"/>
      <c r="K546" s="15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58"/>
      <c r="AA546" s="105"/>
      <c r="AB546" s="105"/>
      <c r="AC546" s="105"/>
      <c r="AD546" s="105"/>
      <c r="AE546" s="105"/>
      <c r="AF546" s="158"/>
      <c r="AG546" s="105"/>
      <c r="AH546" s="158"/>
      <c r="AI546" s="88"/>
      <c r="AJ546" s="88"/>
      <c r="AK546" s="131"/>
      <c r="AL546" s="131"/>
      <c r="AM546" s="131"/>
      <c r="AN546" s="131"/>
      <c r="AO546" s="131"/>
      <c r="AP546" s="88"/>
    </row>
    <row r="547">
      <c r="A547" s="155"/>
      <c r="B547" s="173"/>
      <c r="C547" s="174"/>
      <c r="D547" s="173"/>
      <c r="E547" s="155"/>
      <c r="F547" s="155"/>
      <c r="G547" s="88"/>
      <c r="H547" s="155"/>
      <c r="I547" s="155"/>
      <c r="J547" s="155"/>
      <c r="K547" s="15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58"/>
      <c r="AA547" s="105"/>
      <c r="AB547" s="105"/>
      <c r="AC547" s="105"/>
      <c r="AD547" s="105"/>
      <c r="AE547" s="105"/>
      <c r="AF547" s="158"/>
      <c r="AG547" s="105"/>
      <c r="AH547" s="158"/>
      <c r="AI547" s="88"/>
      <c r="AJ547" s="88"/>
      <c r="AK547" s="131"/>
      <c r="AL547" s="131"/>
      <c r="AM547" s="131"/>
      <c r="AN547" s="131"/>
      <c r="AO547" s="131"/>
      <c r="AP547" s="88"/>
    </row>
    <row r="548">
      <c r="A548" s="155"/>
      <c r="B548" s="173"/>
      <c r="C548" s="174"/>
      <c r="D548" s="173"/>
      <c r="E548" s="155"/>
      <c r="F548" s="155"/>
      <c r="G548" s="88"/>
      <c r="H548" s="155"/>
      <c r="I548" s="155"/>
      <c r="J548" s="155"/>
      <c r="K548" s="15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58"/>
      <c r="AA548" s="105"/>
      <c r="AB548" s="105"/>
      <c r="AC548" s="105"/>
      <c r="AD548" s="105"/>
      <c r="AE548" s="105"/>
      <c r="AF548" s="158"/>
      <c r="AG548" s="105"/>
      <c r="AH548" s="158"/>
      <c r="AI548" s="88"/>
      <c r="AJ548" s="88"/>
      <c r="AK548" s="131"/>
      <c r="AL548" s="131"/>
      <c r="AM548" s="131"/>
      <c r="AN548" s="131"/>
      <c r="AO548" s="131"/>
      <c r="AP548" s="88"/>
    </row>
    <row r="549">
      <c r="A549" s="155"/>
      <c r="B549" s="173"/>
      <c r="C549" s="174"/>
      <c r="D549" s="173"/>
      <c r="E549" s="155"/>
      <c r="F549" s="155"/>
      <c r="G549" s="88"/>
      <c r="H549" s="155"/>
      <c r="I549" s="155"/>
      <c r="J549" s="155"/>
      <c r="K549" s="15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58"/>
      <c r="AA549" s="105"/>
      <c r="AB549" s="105"/>
      <c r="AC549" s="105"/>
      <c r="AD549" s="105"/>
      <c r="AE549" s="105"/>
      <c r="AF549" s="158"/>
      <c r="AG549" s="105"/>
      <c r="AH549" s="158"/>
      <c r="AI549" s="88"/>
      <c r="AJ549" s="88"/>
      <c r="AK549" s="131"/>
      <c r="AL549" s="131"/>
      <c r="AM549" s="131"/>
      <c r="AN549" s="131"/>
      <c r="AO549" s="131"/>
      <c r="AP549" s="88"/>
    </row>
    <row r="550">
      <c r="A550" s="155"/>
      <c r="B550" s="173"/>
      <c r="C550" s="174"/>
      <c r="D550" s="173"/>
      <c r="E550" s="155"/>
      <c r="F550" s="155"/>
      <c r="G550" s="88"/>
      <c r="H550" s="155"/>
      <c r="I550" s="155"/>
      <c r="J550" s="155"/>
      <c r="K550" s="15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58"/>
      <c r="AA550" s="105"/>
      <c r="AB550" s="105"/>
      <c r="AC550" s="105"/>
      <c r="AD550" s="105"/>
      <c r="AE550" s="105"/>
      <c r="AF550" s="158"/>
      <c r="AG550" s="105"/>
      <c r="AH550" s="158"/>
      <c r="AI550" s="88"/>
      <c r="AJ550" s="88"/>
      <c r="AK550" s="131"/>
      <c r="AL550" s="131"/>
      <c r="AM550" s="131"/>
      <c r="AN550" s="131"/>
      <c r="AO550" s="131"/>
      <c r="AP550" s="88"/>
    </row>
    <row r="551">
      <c r="A551" s="155"/>
      <c r="B551" s="173"/>
      <c r="C551" s="174"/>
      <c r="D551" s="173"/>
      <c r="E551" s="155"/>
      <c r="F551" s="155"/>
      <c r="G551" s="88"/>
      <c r="H551" s="155"/>
      <c r="I551" s="155"/>
      <c r="J551" s="155"/>
      <c r="K551" s="15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58"/>
      <c r="AA551" s="105"/>
      <c r="AB551" s="105"/>
      <c r="AC551" s="105"/>
      <c r="AD551" s="105"/>
      <c r="AE551" s="105"/>
      <c r="AF551" s="158"/>
      <c r="AG551" s="105"/>
      <c r="AH551" s="158"/>
      <c r="AI551" s="88"/>
      <c r="AJ551" s="88"/>
      <c r="AK551" s="131"/>
      <c r="AL551" s="131"/>
      <c r="AM551" s="131"/>
      <c r="AN551" s="131"/>
      <c r="AO551" s="131"/>
      <c r="AP551" s="88"/>
    </row>
    <row r="552">
      <c r="A552" s="155"/>
      <c r="B552" s="173"/>
      <c r="C552" s="174"/>
      <c r="D552" s="173"/>
      <c r="E552" s="155"/>
      <c r="F552" s="155"/>
      <c r="G552" s="88"/>
      <c r="H552" s="155"/>
      <c r="I552" s="155"/>
      <c r="J552" s="155"/>
      <c r="K552" s="15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58"/>
      <c r="AA552" s="105"/>
      <c r="AB552" s="105"/>
      <c r="AC552" s="105"/>
      <c r="AD552" s="105"/>
      <c r="AE552" s="105"/>
      <c r="AF552" s="158"/>
      <c r="AG552" s="105"/>
      <c r="AH552" s="158"/>
      <c r="AI552" s="88"/>
      <c r="AJ552" s="88"/>
      <c r="AK552" s="131"/>
      <c r="AL552" s="131"/>
      <c r="AM552" s="131"/>
      <c r="AN552" s="131"/>
      <c r="AO552" s="131"/>
      <c r="AP552" s="88"/>
    </row>
    <row r="553">
      <c r="A553" s="155"/>
      <c r="B553" s="173"/>
      <c r="C553" s="174"/>
      <c r="D553" s="173"/>
      <c r="E553" s="155"/>
      <c r="F553" s="155"/>
      <c r="G553" s="88"/>
      <c r="H553" s="155"/>
      <c r="I553" s="155"/>
      <c r="J553" s="155"/>
      <c r="K553" s="15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58"/>
      <c r="AA553" s="105"/>
      <c r="AB553" s="105"/>
      <c r="AC553" s="105"/>
      <c r="AD553" s="105"/>
      <c r="AE553" s="105"/>
      <c r="AF553" s="158"/>
      <c r="AG553" s="105"/>
      <c r="AH553" s="158"/>
      <c r="AI553" s="88"/>
      <c r="AJ553" s="88"/>
      <c r="AK553" s="131"/>
      <c r="AL553" s="131"/>
      <c r="AM553" s="131"/>
      <c r="AN553" s="131"/>
      <c r="AO553" s="131"/>
      <c r="AP553" s="88"/>
    </row>
    <row r="554">
      <c r="A554" s="155"/>
      <c r="B554" s="173"/>
      <c r="C554" s="174"/>
      <c r="D554" s="173"/>
      <c r="E554" s="155"/>
      <c r="F554" s="155"/>
      <c r="G554" s="88"/>
      <c r="H554" s="155"/>
      <c r="I554" s="155"/>
      <c r="J554" s="155"/>
      <c r="K554" s="15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58"/>
      <c r="AA554" s="105"/>
      <c r="AB554" s="105"/>
      <c r="AC554" s="105"/>
      <c r="AD554" s="105"/>
      <c r="AE554" s="105"/>
      <c r="AF554" s="158"/>
      <c r="AG554" s="105"/>
      <c r="AH554" s="158"/>
      <c r="AI554" s="88"/>
      <c r="AJ554" s="88"/>
      <c r="AK554" s="131"/>
      <c r="AL554" s="131"/>
      <c r="AM554" s="131"/>
      <c r="AN554" s="131"/>
      <c r="AO554" s="131"/>
      <c r="AP554" s="88"/>
    </row>
    <row r="555">
      <c r="A555" s="155"/>
      <c r="B555" s="173"/>
      <c r="C555" s="174"/>
      <c r="D555" s="173"/>
      <c r="E555" s="155"/>
      <c r="F555" s="155"/>
      <c r="G555" s="88"/>
      <c r="H555" s="155"/>
      <c r="I555" s="155"/>
      <c r="J555" s="155"/>
      <c r="K555" s="15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58"/>
      <c r="AA555" s="105"/>
      <c r="AB555" s="105"/>
      <c r="AC555" s="105"/>
      <c r="AD555" s="105"/>
      <c r="AE555" s="105"/>
      <c r="AF555" s="158"/>
      <c r="AG555" s="105"/>
      <c r="AH555" s="158"/>
      <c r="AI555" s="88"/>
      <c r="AJ555" s="88"/>
      <c r="AK555" s="131"/>
      <c r="AL555" s="131"/>
      <c r="AM555" s="131"/>
      <c r="AN555" s="131"/>
      <c r="AO555" s="131"/>
      <c r="AP555" s="88"/>
    </row>
    <row r="556">
      <c r="A556" s="155"/>
      <c r="B556" s="173"/>
      <c r="C556" s="174"/>
      <c r="D556" s="173"/>
      <c r="E556" s="155"/>
      <c r="F556" s="155"/>
      <c r="G556" s="88"/>
      <c r="H556" s="155"/>
      <c r="I556" s="155"/>
      <c r="J556" s="155"/>
      <c r="K556" s="15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58"/>
      <c r="AA556" s="105"/>
      <c r="AB556" s="105"/>
      <c r="AC556" s="105"/>
      <c r="AD556" s="105"/>
      <c r="AE556" s="105"/>
      <c r="AF556" s="158"/>
      <c r="AG556" s="105"/>
      <c r="AH556" s="158"/>
      <c r="AI556" s="88"/>
      <c r="AJ556" s="88"/>
      <c r="AK556" s="131"/>
      <c r="AL556" s="131"/>
      <c r="AM556" s="131"/>
      <c r="AN556" s="131"/>
      <c r="AO556" s="131"/>
      <c r="AP556" s="88"/>
    </row>
    <row r="557">
      <c r="A557" s="155"/>
      <c r="B557" s="173"/>
      <c r="C557" s="174"/>
      <c r="D557" s="173"/>
      <c r="E557" s="155"/>
      <c r="F557" s="155"/>
      <c r="G557" s="88"/>
      <c r="H557" s="155"/>
      <c r="I557" s="155"/>
      <c r="J557" s="155"/>
      <c r="K557" s="15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58"/>
      <c r="AA557" s="105"/>
      <c r="AB557" s="105"/>
      <c r="AC557" s="105"/>
      <c r="AD557" s="105"/>
      <c r="AE557" s="105"/>
      <c r="AF557" s="158"/>
      <c r="AG557" s="105"/>
      <c r="AH557" s="158"/>
      <c r="AI557" s="88"/>
      <c r="AJ557" s="88"/>
      <c r="AK557" s="131"/>
      <c r="AL557" s="131"/>
      <c r="AM557" s="131"/>
      <c r="AN557" s="131"/>
      <c r="AO557" s="131"/>
      <c r="AP557" s="88"/>
    </row>
    <row r="558">
      <c r="A558" s="155"/>
      <c r="B558" s="173"/>
      <c r="C558" s="174"/>
      <c r="D558" s="173"/>
      <c r="E558" s="155"/>
      <c r="F558" s="155"/>
      <c r="G558" s="88"/>
      <c r="H558" s="155"/>
      <c r="I558" s="155"/>
      <c r="J558" s="155"/>
      <c r="K558" s="15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58"/>
      <c r="AA558" s="105"/>
      <c r="AB558" s="105"/>
      <c r="AC558" s="105"/>
      <c r="AD558" s="105"/>
      <c r="AE558" s="105"/>
      <c r="AF558" s="158"/>
      <c r="AG558" s="105"/>
      <c r="AH558" s="158"/>
      <c r="AI558" s="88"/>
      <c r="AJ558" s="88"/>
      <c r="AK558" s="131"/>
      <c r="AL558" s="131"/>
      <c r="AM558" s="131"/>
      <c r="AN558" s="131"/>
      <c r="AO558" s="131"/>
      <c r="AP558" s="88"/>
    </row>
    <row r="559">
      <c r="A559" s="155"/>
      <c r="B559" s="173"/>
      <c r="C559" s="174"/>
      <c r="D559" s="173"/>
      <c r="E559" s="155"/>
      <c r="F559" s="155"/>
      <c r="G559" s="88"/>
      <c r="H559" s="155"/>
      <c r="I559" s="155"/>
      <c r="J559" s="155"/>
      <c r="K559" s="15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58"/>
      <c r="AA559" s="105"/>
      <c r="AB559" s="105"/>
      <c r="AC559" s="105"/>
      <c r="AD559" s="105"/>
      <c r="AE559" s="105"/>
      <c r="AF559" s="158"/>
      <c r="AG559" s="105"/>
      <c r="AH559" s="158"/>
      <c r="AI559" s="88"/>
      <c r="AJ559" s="88"/>
      <c r="AK559" s="131"/>
      <c r="AL559" s="131"/>
      <c r="AM559" s="131"/>
      <c r="AN559" s="131"/>
      <c r="AO559" s="131"/>
      <c r="AP559" s="88"/>
    </row>
    <row r="560">
      <c r="A560" s="155"/>
      <c r="B560" s="173"/>
      <c r="C560" s="174"/>
      <c r="D560" s="173"/>
      <c r="E560" s="155"/>
      <c r="F560" s="155"/>
      <c r="G560" s="88"/>
      <c r="H560" s="155"/>
      <c r="I560" s="155"/>
      <c r="J560" s="155"/>
      <c r="K560" s="15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58"/>
      <c r="AA560" s="105"/>
      <c r="AB560" s="105"/>
      <c r="AC560" s="105"/>
      <c r="AD560" s="105"/>
      <c r="AE560" s="105"/>
      <c r="AF560" s="158"/>
      <c r="AG560" s="105"/>
      <c r="AH560" s="158"/>
      <c r="AI560" s="88"/>
      <c r="AJ560" s="88"/>
      <c r="AK560" s="131"/>
      <c r="AL560" s="131"/>
      <c r="AM560" s="131"/>
      <c r="AN560" s="131"/>
      <c r="AO560" s="131"/>
      <c r="AP560" s="88"/>
    </row>
    <row r="561">
      <c r="A561" s="155"/>
      <c r="B561" s="173"/>
      <c r="C561" s="174"/>
      <c r="D561" s="173"/>
      <c r="E561" s="155"/>
      <c r="F561" s="155"/>
      <c r="G561" s="88"/>
      <c r="H561" s="155"/>
      <c r="I561" s="155"/>
      <c r="J561" s="155"/>
      <c r="K561" s="15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58"/>
      <c r="AA561" s="105"/>
      <c r="AB561" s="105"/>
      <c r="AC561" s="105"/>
      <c r="AD561" s="105"/>
      <c r="AE561" s="105"/>
      <c r="AF561" s="158"/>
      <c r="AG561" s="105"/>
      <c r="AH561" s="158"/>
      <c r="AI561" s="88"/>
      <c r="AJ561" s="88"/>
      <c r="AK561" s="131"/>
      <c r="AL561" s="131"/>
      <c r="AM561" s="131"/>
      <c r="AN561" s="131"/>
      <c r="AO561" s="131"/>
      <c r="AP561" s="88"/>
    </row>
    <row r="562">
      <c r="A562" s="155"/>
      <c r="B562" s="173"/>
      <c r="C562" s="174"/>
      <c r="D562" s="173"/>
      <c r="E562" s="155"/>
      <c r="F562" s="155"/>
      <c r="G562" s="88"/>
      <c r="H562" s="155"/>
      <c r="I562" s="155"/>
      <c r="J562" s="155"/>
      <c r="K562" s="15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58"/>
      <c r="AA562" s="105"/>
      <c r="AB562" s="105"/>
      <c r="AC562" s="105"/>
      <c r="AD562" s="105"/>
      <c r="AE562" s="105"/>
      <c r="AF562" s="158"/>
      <c r="AG562" s="105"/>
      <c r="AH562" s="158"/>
      <c r="AI562" s="88"/>
      <c r="AJ562" s="88"/>
      <c r="AK562" s="131"/>
      <c r="AL562" s="131"/>
      <c r="AM562" s="131"/>
      <c r="AN562" s="131"/>
      <c r="AO562" s="131"/>
      <c r="AP562" s="88"/>
    </row>
    <row r="563">
      <c r="A563" s="155"/>
      <c r="B563" s="173"/>
      <c r="C563" s="174"/>
      <c r="D563" s="173"/>
      <c r="E563" s="155"/>
      <c r="F563" s="155"/>
      <c r="G563" s="88"/>
      <c r="H563" s="155"/>
      <c r="I563" s="155"/>
      <c r="J563" s="155"/>
      <c r="K563" s="15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58"/>
      <c r="AA563" s="105"/>
      <c r="AB563" s="105"/>
      <c r="AC563" s="105"/>
      <c r="AD563" s="105"/>
      <c r="AE563" s="105"/>
      <c r="AF563" s="158"/>
      <c r="AG563" s="105"/>
      <c r="AH563" s="158"/>
      <c r="AI563" s="88"/>
      <c r="AJ563" s="88"/>
      <c r="AK563" s="131"/>
      <c r="AL563" s="131"/>
      <c r="AM563" s="131"/>
      <c r="AN563" s="131"/>
      <c r="AO563" s="131"/>
      <c r="AP563" s="88"/>
    </row>
    <row r="564">
      <c r="A564" s="155"/>
      <c r="B564" s="173"/>
      <c r="C564" s="174"/>
      <c r="D564" s="173"/>
      <c r="E564" s="155"/>
      <c r="F564" s="155"/>
      <c r="G564" s="88"/>
      <c r="H564" s="155"/>
      <c r="I564" s="155"/>
      <c r="J564" s="155"/>
      <c r="K564" s="15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58"/>
      <c r="AA564" s="105"/>
      <c r="AB564" s="105"/>
      <c r="AC564" s="105"/>
      <c r="AD564" s="105"/>
      <c r="AE564" s="105"/>
      <c r="AF564" s="158"/>
      <c r="AG564" s="105"/>
      <c r="AH564" s="158"/>
      <c r="AI564" s="88"/>
      <c r="AJ564" s="88"/>
      <c r="AK564" s="131"/>
      <c r="AL564" s="131"/>
      <c r="AM564" s="131"/>
      <c r="AN564" s="131"/>
      <c r="AO564" s="131"/>
      <c r="AP564" s="88"/>
    </row>
    <row r="565">
      <c r="A565" s="155"/>
      <c r="B565" s="173"/>
      <c r="C565" s="174"/>
      <c r="D565" s="173"/>
      <c r="E565" s="155"/>
      <c r="F565" s="155"/>
      <c r="G565" s="88"/>
      <c r="H565" s="155"/>
      <c r="I565" s="155"/>
      <c r="J565" s="155"/>
      <c r="K565" s="15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58"/>
      <c r="AA565" s="105"/>
      <c r="AB565" s="105"/>
      <c r="AC565" s="105"/>
      <c r="AD565" s="105"/>
      <c r="AE565" s="105"/>
      <c r="AF565" s="158"/>
      <c r="AG565" s="105"/>
      <c r="AH565" s="158"/>
      <c r="AI565" s="88"/>
      <c r="AJ565" s="88"/>
      <c r="AK565" s="131"/>
      <c r="AL565" s="131"/>
      <c r="AM565" s="131"/>
      <c r="AN565" s="131"/>
      <c r="AO565" s="131"/>
      <c r="AP565" s="88"/>
    </row>
    <row r="566">
      <c r="A566" s="155"/>
      <c r="B566" s="173"/>
      <c r="C566" s="174"/>
      <c r="D566" s="173"/>
      <c r="E566" s="155"/>
      <c r="F566" s="155"/>
      <c r="G566" s="88"/>
      <c r="H566" s="155"/>
      <c r="I566" s="155"/>
      <c r="J566" s="155"/>
      <c r="K566" s="15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58"/>
      <c r="AA566" s="105"/>
      <c r="AB566" s="105"/>
      <c r="AC566" s="105"/>
      <c r="AD566" s="105"/>
      <c r="AE566" s="105"/>
      <c r="AF566" s="158"/>
      <c r="AG566" s="105"/>
      <c r="AH566" s="158"/>
      <c r="AI566" s="88"/>
      <c r="AJ566" s="88"/>
      <c r="AK566" s="131"/>
      <c r="AL566" s="131"/>
      <c r="AM566" s="131"/>
      <c r="AN566" s="131"/>
      <c r="AO566" s="131"/>
      <c r="AP566" s="88"/>
    </row>
    <row r="567">
      <c r="A567" s="155"/>
      <c r="B567" s="173"/>
      <c r="C567" s="174"/>
      <c r="D567" s="173"/>
      <c r="E567" s="155"/>
      <c r="F567" s="155"/>
      <c r="G567" s="88"/>
      <c r="H567" s="155"/>
      <c r="I567" s="155"/>
      <c r="J567" s="155"/>
      <c r="K567" s="15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58"/>
      <c r="AA567" s="105"/>
      <c r="AB567" s="105"/>
      <c r="AC567" s="105"/>
      <c r="AD567" s="105"/>
      <c r="AE567" s="105"/>
      <c r="AF567" s="158"/>
      <c r="AG567" s="105"/>
      <c r="AH567" s="158"/>
      <c r="AI567" s="88"/>
      <c r="AJ567" s="88"/>
      <c r="AK567" s="131"/>
      <c r="AL567" s="131"/>
      <c r="AM567" s="131"/>
      <c r="AN567" s="131"/>
      <c r="AO567" s="131"/>
      <c r="AP567" s="88"/>
    </row>
    <row r="568">
      <c r="A568" s="155"/>
      <c r="B568" s="173"/>
      <c r="C568" s="174"/>
      <c r="D568" s="173"/>
      <c r="E568" s="155"/>
      <c r="F568" s="155"/>
      <c r="G568" s="88"/>
      <c r="H568" s="155"/>
      <c r="I568" s="155"/>
      <c r="J568" s="155"/>
      <c r="K568" s="15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58"/>
      <c r="AA568" s="105"/>
      <c r="AB568" s="105"/>
      <c r="AC568" s="105"/>
      <c r="AD568" s="105"/>
      <c r="AE568" s="105"/>
      <c r="AF568" s="158"/>
      <c r="AG568" s="105"/>
      <c r="AH568" s="158"/>
      <c r="AI568" s="88"/>
      <c r="AJ568" s="88"/>
      <c r="AK568" s="131"/>
      <c r="AL568" s="131"/>
      <c r="AM568" s="131"/>
      <c r="AN568" s="131"/>
      <c r="AO568" s="131"/>
      <c r="AP568" s="88"/>
    </row>
    <row r="569">
      <c r="A569" s="155"/>
      <c r="B569" s="173"/>
      <c r="C569" s="174"/>
      <c r="D569" s="173"/>
      <c r="E569" s="155"/>
      <c r="F569" s="155"/>
      <c r="G569" s="88"/>
      <c r="H569" s="155"/>
      <c r="I569" s="155"/>
      <c r="J569" s="155"/>
      <c r="K569" s="15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58"/>
      <c r="AA569" s="105"/>
      <c r="AB569" s="105"/>
      <c r="AC569" s="105"/>
      <c r="AD569" s="105"/>
      <c r="AE569" s="105"/>
      <c r="AF569" s="158"/>
      <c r="AG569" s="105"/>
      <c r="AH569" s="158"/>
      <c r="AI569" s="88"/>
      <c r="AJ569" s="88"/>
      <c r="AK569" s="131"/>
      <c r="AL569" s="131"/>
      <c r="AM569" s="131"/>
      <c r="AN569" s="131"/>
      <c r="AO569" s="131"/>
      <c r="AP569" s="88"/>
    </row>
    <row r="570">
      <c r="A570" s="155"/>
      <c r="B570" s="173"/>
      <c r="C570" s="174"/>
      <c r="D570" s="173"/>
      <c r="E570" s="155"/>
      <c r="F570" s="155"/>
      <c r="G570" s="88"/>
      <c r="H570" s="155"/>
      <c r="I570" s="155"/>
      <c r="J570" s="155"/>
      <c r="K570" s="15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58"/>
      <c r="AA570" s="105"/>
      <c r="AB570" s="105"/>
      <c r="AC570" s="105"/>
      <c r="AD570" s="105"/>
      <c r="AE570" s="105"/>
      <c r="AF570" s="158"/>
      <c r="AG570" s="105"/>
      <c r="AH570" s="158"/>
      <c r="AI570" s="88"/>
      <c r="AJ570" s="88"/>
      <c r="AK570" s="131"/>
      <c r="AL570" s="131"/>
      <c r="AM570" s="131"/>
      <c r="AN570" s="131"/>
      <c r="AO570" s="131"/>
      <c r="AP570" s="88"/>
    </row>
    <row r="571">
      <c r="A571" s="155"/>
      <c r="B571" s="173"/>
      <c r="C571" s="174"/>
      <c r="D571" s="173"/>
      <c r="E571" s="155"/>
      <c r="F571" s="155"/>
      <c r="G571" s="88"/>
      <c r="H571" s="155"/>
      <c r="I571" s="155"/>
      <c r="J571" s="155"/>
      <c r="K571" s="15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58"/>
      <c r="AA571" s="105"/>
      <c r="AB571" s="105"/>
      <c r="AC571" s="105"/>
      <c r="AD571" s="105"/>
      <c r="AE571" s="105"/>
      <c r="AF571" s="158"/>
      <c r="AG571" s="105"/>
      <c r="AH571" s="158"/>
      <c r="AI571" s="88"/>
      <c r="AJ571" s="88"/>
      <c r="AK571" s="131"/>
      <c r="AL571" s="131"/>
      <c r="AM571" s="131"/>
      <c r="AN571" s="131"/>
      <c r="AO571" s="131"/>
      <c r="AP571" s="88"/>
    </row>
    <row r="572">
      <c r="A572" s="155"/>
      <c r="B572" s="173"/>
      <c r="C572" s="174"/>
      <c r="D572" s="173"/>
      <c r="E572" s="155"/>
      <c r="F572" s="155"/>
      <c r="G572" s="88"/>
      <c r="H572" s="155"/>
      <c r="I572" s="155"/>
      <c r="J572" s="155"/>
      <c r="K572" s="15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58"/>
      <c r="AA572" s="105"/>
      <c r="AB572" s="105"/>
      <c r="AC572" s="105"/>
      <c r="AD572" s="105"/>
      <c r="AE572" s="105"/>
      <c r="AF572" s="158"/>
      <c r="AG572" s="105"/>
      <c r="AH572" s="158"/>
      <c r="AI572" s="88"/>
      <c r="AJ572" s="88"/>
      <c r="AK572" s="131"/>
      <c r="AL572" s="131"/>
      <c r="AM572" s="131"/>
      <c r="AN572" s="131"/>
      <c r="AO572" s="131"/>
      <c r="AP572" s="88"/>
    </row>
    <row r="573">
      <c r="A573" s="155"/>
      <c r="B573" s="173"/>
      <c r="C573" s="174"/>
      <c r="D573" s="173"/>
      <c r="E573" s="155"/>
      <c r="F573" s="155"/>
      <c r="G573" s="88"/>
      <c r="H573" s="155"/>
      <c r="I573" s="155"/>
      <c r="J573" s="155"/>
      <c r="K573" s="15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58"/>
      <c r="AA573" s="105"/>
      <c r="AB573" s="105"/>
      <c r="AC573" s="105"/>
      <c r="AD573" s="105"/>
      <c r="AE573" s="105"/>
      <c r="AF573" s="158"/>
      <c r="AG573" s="105"/>
      <c r="AH573" s="158"/>
      <c r="AI573" s="88"/>
      <c r="AJ573" s="88"/>
      <c r="AK573" s="131"/>
      <c r="AL573" s="131"/>
      <c r="AM573" s="131"/>
      <c r="AN573" s="131"/>
      <c r="AO573" s="131"/>
      <c r="AP573" s="88"/>
    </row>
    <row r="574">
      <c r="A574" s="155"/>
      <c r="B574" s="173"/>
      <c r="C574" s="174"/>
      <c r="D574" s="173"/>
      <c r="E574" s="155"/>
      <c r="F574" s="155"/>
      <c r="G574" s="88"/>
      <c r="H574" s="155"/>
      <c r="I574" s="155"/>
      <c r="J574" s="155"/>
      <c r="K574" s="15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58"/>
      <c r="AA574" s="105"/>
      <c r="AB574" s="105"/>
      <c r="AC574" s="105"/>
      <c r="AD574" s="105"/>
      <c r="AE574" s="105"/>
      <c r="AF574" s="158"/>
      <c r="AG574" s="105"/>
      <c r="AH574" s="158"/>
      <c r="AI574" s="88"/>
      <c r="AJ574" s="88"/>
      <c r="AK574" s="131"/>
      <c r="AL574" s="131"/>
      <c r="AM574" s="131"/>
      <c r="AN574" s="131"/>
      <c r="AO574" s="131"/>
      <c r="AP574" s="88"/>
    </row>
    <row r="575">
      <c r="A575" s="155"/>
      <c r="B575" s="173"/>
      <c r="C575" s="174"/>
      <c r="D575" s="173"/>
      <c r="E575" s="155"/>
      <c r="F575" s="155"/>
      <c r="G575" s="88"/>
      <c r="H575" s="155"/>
      <c r="I575" s="155"/>
      <c r="J575" s="155"/>
      <c r="K575" s="15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58"/>
      <c r="AA575" s="105"/>
      <c r="AB575" s="105"/>
      <c r="AC575" s="105"/>
      <c r="AD575" s="105"/>
      <c r="AE575" s="105"/>
      <c r="AF575" s="158"/>
      <c r="AG575" s="105"/>
      <c r="AH575" s="158"/>
      <c r="AI575" s="88"/>
      <c r="AJ575" s="88"/>
      <c r="AK575" s="131"/>
      <c r="AL575" s="131"/>
      <c r="AM575" s="131"/>
      <c r="AN575" s="131"/>
      <c r="AO575" s="131"/>
      <c r="AP575" s="88"/>
    </row>
    <row r="576">
      <c r="A576" s="155"/>
      <c r="B576" s="173"/>
      <c r="C576" s="174"/>
      <c r="D576" s="173"/>
      <c r="E576" s="155"/>
      <c r="F576" s="155"/>
      <c r="G576" s="88"/>
      <c r="H576" s="155"/>
      <c r="I576" s="155"/>
      <c r="J576" s="155"/>
      <c r="K576" s="15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58"/>
      <c r="AA576" s="105"/>
      <c r="AB576" s="105"/>
      <c r="AC576" s="105"/>
      <c r="AD576" s="105"/>
      <c r="AE576" s="105"/>
      <c r="AF576" s="158"/>
      <c r="AG576" s="105"/>
      <c r="AH576" s="158"/>
      <c r="AI576" s="88"/>
      <c r="AJ576" s="88"/>
      <c r="AK576" s="131"/>
      <c r="AL576" s="131"/>
      <c r="AM576" s="131"/>
      <c r="AN576" s="131"/>
      <c r="AO576" s="131"/>
      <c r="AP576" s="88"/>
    </row>
    <row r="577">
      <c r="A577" s="155"/>
      <c r="B577" s="173"/>
      <c r="C577" s="174"/>
      <c r="D577" s="173"/>
      <c r="E577" s="155"/>
      <c r="F577" s="155"/>
      <c r="G577" s="88"/>
      <c r="H577" s="155"/>
      <c r="I577" s="155"/>
      <c r="J577" s="155"/>
      <c r="K577" s="15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58"/>
      <c r="AA577" s="105"/>
      <c r="AB577" s="105"/>
      <c r="AC577" s="105"/>
      <c r="AD577" s="105"/>
      <c r="AE577" s="105"/>
      <c r="AF577" s="158"/>
      <c r="AG577" s="105"/>
      <c r="AH577" s="158"/>
      <c r="AI577" s="88"/>
      <c r="AJ577" s="88"/>
      <c r="AK577" s="131"/>
      <c r="AL577" s="131"/>
      <c r="AM577" s="131"/>
      <c r="AN577" s="131"/>
      <c r="AO577" s="131"/>
      <c r="AP577" s="88"/>
    </row>
    <row r="578">
      <c r="A578" s="155"/>
      <c r="B578" s="173"/>
      <c r="C578" s="174"/>
      <c r="D578" s="173"/>
      <c r="E578" s="155"/>
      <c r="F578" s="155"/>
      <c r="G578" s="88"/>
      <c r="H578" s="155"/>
      <c r="I578" s="155"/>
      <c r="J578" s="155"/>
      <c r="K578" s="15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58"/>
      <c r="AA578" s="105"/>
      <c r="AB578" s="105"/>
      <c r="AC578" s="105"/>
      <c r="AD578" s="105"/>
      <c r="AE578" s="105"/>
      <c r="AF578" s="158"/>
      <c r="AG578" s="105"/>
      <c r="AH578" s="158"/>
      <c r="AI578" s="88"/>
      <c r="AJ578" s="88"/>
      <c r="AK578" s="131"/>
      <c r="AL578" s="131"/>
      <c r="AM578" s="131"/>
      <c r="AN578" s="131"/>
      <c r="AO578" s="131"/>
      <c r="AP578" s="88"/>
    </row>
    <row r="579">
      <c r="A579" s="155"/>
      <c r="B579" s="173"/>
      <c r="C579" s="174"/>
      <c r="D579" s="173"/>
      <c r="E579" s="155"/>
      <c r="F579" s="155"/>
      <c r="G579" s="88"/>
      <c r="H579" s="155"/>
      <c r="I579" s="155"/>
      <c r="J579" s="155"/>
      <c r="K579" s="15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58"/>
      <c r="AA579" s="105"/>
      <c r="AB579" s="105"/>
      <c r="AC579" s="105"/>
      <c r="AD579" s="105"/>
      <c r="AE579" s="105"/>
      <c r="AF579" s="158"/>
      <c r="AG579" s="105"/>
      <c r="AH579" s="158"/>
      <c r="AI579" s="88"/>
      <c r="AJ579" s="88"/>
      <c r="AK579" s="131"/>
      <c r="AL579" s="131"/>
      <c r="AM579" s="131"/>
      <c r="AN579" s="131"/>
      <c r="AO579" s="131"/>
      <c r="AP579" s="88"/>
    </row>
    <row r="580">
      <c r="A580" s="155"/>
      <c r="B580" s="173"/>
      <c r="C580" s="174"/>
      <c r="D580" s="173"/>
      <c r="E580" s="155"/>
      <c r="F580" s="155"/>
      <c r="G580" s="88"/>
      <c r="H580" s="155"/>
      <c r="I580" s="155"/>
      <c r="J580" s="155"/>
      <c r="K580" s="15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58"/>
      <c r="AA580" s="105"/>
      <c r="AB580" s="105"/>
      <c r="AC580" s="105"/>
      <c r="AD580" s="105"/>
      <c r="AE580" s="105"/>
      <c r="AF580" s="158"/>
      <c r="AG580" s="105"/>
      <c r="AH580" s="158"/>
      <c r="AI580" s="88"/>
      <c r="AJ580" s="88"/>
      <c r="AK580" s="131"/>
      <c r="AL580" s="131"/>
      <c r="AM580" s="131"/>
      <c r="AN580" s="131"/>
      <c r="AO580" s="131"/>
      <c r="AP580" s="88"/>
    </row>
    <row r="581">
      <c r="A581" s="155"/>
      <c r="B581" s="173"/>
      <c r="C581" s="174"/>
      <c r="D581" s="173"/>
      <c r="E581" s="155"/>
      <c r="F581" s="155"/>
      <c r="G581" s="88"/>
      <c r="H581" s="155"/>
      <c r="I581" s="155"/>
      <c r="J581" s="155"/>
      <c r="K581" s="15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58"/>
      <c r="AA581" s="105"/>
      <c r="AB581" s="105"/>
      <c r="AC581" s="105"/>
      <c r="AD581" s="105"/>
      <c r="AE581" s="105"/>
      <c r="AF581" s="158"/>
      <c r="AG581" s="105"/>
      <c r="AH581" s="158"/>
      <c r="AI581" s="88"/>
      <c r="AJ581" s="88"/>
      <c r="AK581" s="131"/>
      <c r="AL581" s="131"/>
      <c r="AM581" s="131"/>
      <c r="AN581" s="131"/>
      <c r="AO581" s="131"/>
      <c r="AP581" s="88"/>
    </row>
    <row r="582">
      <c r="A582" s="155"/>
      <c r="B582" s="173"/>
      <c r="C582" s="174"/>
      <c r="D582" s="173"/>
      <c r="E582" s="155"/>
      <c r="F582" s="155"/>
      <c r="G582" s="88"/>
      <c r="H582" s="155"/>
      <c r="I582" s="155"/>
      <c r="J582" s="155"/>
      <c r="K582" s="15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58"/>
      <c r="AA582" s="105"/>
      <c r="AB582" s="105"/>
      <c r="AC582" s="105"/>
      <c r="AD582" s="105"/>
      <c r="AE582" s="105"/>
      <c r="AF582" s="158"/>
      <c r="AG582" s="105"/>
      <c r="AH582" s="158"/>
      <c r="AI582" s="88"/>
      <c r="AJ582" s="88"/>
      <c r="AK582" s="131"/>
      <c r="AL582" s="131"/>
      <c r="AM582" s="131"/>
      <c r="AN582" s="131"/>
      <c r="AO582" s="131"/>
      <c r="AP582" s="88"/>
    </row>
    <row r="583">
      <c r="A583" s="155"/>
      <c r="B583" s="173"/>
      <c r="C583" s="174"/>
      <c r="D583" s="173"/>
      <c r="E583" s="155"/>
      <c r="F583" s="155"/>
      <c r="G583" s="88"/>
      <c r="H583" s="155"/>
      <c r="I583" s="155"/>
      <c r="J583" s="155"/>
      <c r="K583" s="15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58"/>
      <c r="AA583" s="105"/>
      <c r="AB583" s="105"/>
      <c r="AC583" s="105"/>
      <c r="AD583" s="105"/>
      <c r="AE583" s="105"/>
      <c r="AF583" s="158"/>
      <c r="AG583" s="105"/>
      <c r="AH583" s="158"/>
      <c r="AI583" s="88"/>
      <c r="AJ583" s="88"/>
      <c r="AK583" s="131"/>
      <c r="AL583" s="131"/>
      <c r="AM583" s="131"/>
      <c r="AN583" s="131"/>
      <c r="AO583" s="131"/>
      <c r="AP583" s="88"/>
    </row>
    <row r="584">
      <c r="A584" s="155"/>
      <c r="B584" s="173"/>
      <c r="C584" s="174"/>
      <c r="D584" s="173"/>
      <c r="E584" s="155"/>
      <c r="F584" s="155"/>
      <c r="G584" s="88"/>
      <c r="H584" s="155"/>
      <c r="I584" s="155"/>
      <c r="J584" s="155"/>
      <c r="K584" s="15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58"/>
      <c r="AA584" s="105"/>
      <c r="AB584" s="105"/>
      <c r="AC584" s="105"/>
      <c r="AD584" s="105"/>
      <c r="AE584" s="105"/>
      <c r="AF584" s="158"/>
      <c r="AG584" s="105"/>
      <c r="AH584" s="158"/>
      <c r="AI584" s="88"/>
      <c r="AJ584" s="88"/>
      <c r="AK584" s="131"/>
      <c r="AL584" s="131"/>
      <c r="AM584" s="131"/>
      <c r="AN584" s="131"/>
      <c r="AO584" s="131"/>
      <c r="AP584" s="88"/>
    </row>
    <row r="585">
      <c r="A585" s="155"/>
      <c r="B585" s="173"/>
      <c r="C585" s="174"/>
      <c r="D585" s="173"/>
      <c r="E585" s="155"/>
      <c r="F585" s="155"/>
      <c r="G585" s="88"/>
      <c r="H585" s="155"/>
      <c r="I585" s="155"/>
      <c r="J585" s="155"/>
      <c r="K585" s="15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58"/>
      <c r="AA585" s="105"/>
      <c r="AB585" s="105"/>
      <c r="AC585" s="105"/>
      <c r="AD585" s="105"/>
      <c r="AE585" s="105"/>
      <c r="AF585" s="158"/>
      <c r="AG585" s="105"/>
      <c r="AH585" s="158"/>
      <c r="AI585" s="88"/>
      <c r="AJ585" s="88"/>
      <c r="AK585" s="131"/>
      <c r="AL585" s="131"/>
      <c r="AM585" s="131"/>
      <c r="AN585" s="131"/>
      <c r="AO585" s="131"/>
      <c r="AP585" s="88"/>
    </row>
    <row r="586">
      <c r="A586" s="155"/>
      <c r="B586" s="173"/>
      <c r="C586" s="174"/>
      <c r="D586" s="173"/>
      <c r="E586" s="155"/>
      <c r="F586" s="155"/>
      <c r="G586" s="88"/>
      <c r="H586" s="155"/>
      <c r="I586" s="155"/>
      <c r="J586" s="155"/>
      <c r="K586" s="15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58"/>
      <c r="AA586" s="105"/>
      <c r="AB586" s="105"/>
      <c r="AC586" s="105"/>
      <c r="AD586" s="105"/>
      <c r="AE586" s="105"/>
      <c r="AF586" s="158"/>
      <c r="AG586" s="105"/>
      <c r="AH586" s="158"/>
      <c r="AI586" s="88"/>
      <c r="AJ586" s="88"/>
      <c r="AK586" s="131"/>
      <c r="AL586" s="131"/>
      <c r="AM586" s="131"/>
      <c r="AN586" s="131"/>
      <c r="AO586" s="131"/>
      <c r="AP586" s="88"/>
    </row>
    <row r="587">
      <c r="A587" s="155"/>
      <c r="B587" s="173"/>
      <c r="C587" s="174"/>
      <c r="D587" s="173"/>
      <c r="E587" s="155"/>
      <c r="F587" s="155"/>
      <c r="G587" s="88"/>
      <c r="H587" s="155"/>
      <c r="I587" s="155"/>
      <c r="J587" s="155"/>
      <c r="K587" s="15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58"/>
      <c r="AA587" s="105"/>
      <c r="AB587" s="105"/>
      <c r="AC587" s="105"/>
      <c r="AD587" s="105"/>
      <c r="AE587" s="105"/>
      <c r="AF587" s="158"/>
      <c r="AG587" s="105"/>
      <c r="AH587" s="158"/>
      <c r="AI587" s="88"/>
      <c r="AJ587" s="88"/>
      <c r="AK587" s="131"/>
      <c r="AL587" s="131"/>
      <c r="AM587" s="131"/>
      <c r="AN587" s="131"/>
      <c r="AO587" s="131"/>
      <c r="AP587" s="88"/>
    </row>
    <row r="588">
      <c r="A588" s="155"/>
      <c r="B588" s="173"/>
      <c r="C588" s="174"/>
      <c r="D588" s="173"/>
      <c r="E588" s="155"/>
      <c r="F588" s="155"/>
      <c r="G588" s="88"/>
      <c r="H588" s="155"/>
      <c r="I588" s="155"/>
      <c r="J588" s="155"/>
      <c r="K588" s="15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58"/>
      <c r="AA588" s="105"/>
      <c r="AB588" s="105"/>
      <c r="AC588" s="105"/>
      <c r="AD588" s="105"/>
      <c r="AE588" s="105"/>
      <c r="AF588" s="158"/>
      <c r="AG588" s="105"/>
      <c r="AH588" s="158"/>
      <c r="AI588" s="88"/>
      <c r="AJ588" s="88"/>
      <c r="AK588" s="131"/>
      <c r="AL588" s="131"/>
      <c r="AM588" s="131"/>
      <c r="AN588" s="131"/>
      <c r="AO588" s="131"/>
      <c r="AP588" s="88"/>
    </row>
    <row r="589">
      <c r="A589" s="155"/>
      <c r="B589" s="173"/>
      <c r="C589" s="174"/>
      <c r="D589" s="173"/>
      <c r="E589" s="155"/>
      <c r="F589" s="155"/>
      <c r="G589" s="88"/>
      <c r="H589" s="155"/>
      <c r="I589" s="155"/>
      <c r="J589" s="155"/>
      <c r="K589" s="15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58"/>
      <c r="AA589" s="105"/>
      <c r="AB589" s="105"/>
      <c r="AC589" s="105"/>
      <c r="AD589" s="105"/>
      <c r="AE589" s="105"/>
      <c r="AF589" s="158"/>
      <c r="AG589" s="105"/>
      <c r="AH589" s="158"/>
      <c r="AI589" s="88"/>
      <c r="AJ589" s="88"/>
      <c r="AK589" s="131"/>
      <c r="AL589" s="131"/>
      <c r="AM589" s="131"/>
      <c r="AN589" s="131"/>
      <c r="AO589" s="131"/>
      <c r="AP589" s="88"/>
    </row>
    <row r="590">
      <c r="A590" s="155"/>
      <c r="B590" s="173"/>
      <c r="C590" s="174"/>
      <c r="D590" s="173"/>
      <c r="E590" s="155"/>
      <c r="F590" s="155"/>
      <c r="G590" s="88"/>
      <c r="H590" s="155"/>
      <c r="I590" s="155"/>
      <c r="J590" s="155"/>
      <c r="K590" s="15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58"/>
      <c r="AA590" s="105"/>
      <c r="AB590" s="105"/>
      <c r="AC590" s="105"/>
      <c r="AD590" s="105"/>
      <c r="AE590" s="105"/>
      <c r="AF590" s="158"/>
      <c r="AG590" s="105"/>
      <c r="AH590" s="158"/>
      <c r="AI590" s="88"/>
      <c r="AJ590" s="88"/>
      <c r="AK590" s="131"/>
      <c r="AL590" s="131"/>
      <c r="AM590" s="131"/>
      <c r="AN590" s="131"/>
      <c r="AO590" s="131"/>
      <c r="AP590" s="88"/>
    </row>
    <row r="591">
      <c r="A591" s="155"/>
      <c r="B591" s="173"/>
      <c r="C591" s="174"/>
      <c r="D591" s="173"/>
      <c r="E591" s="155"/>
      <c r="F591" s="155"/>
      <c r="G591" s="88"/>
      <c r="H591" s="155"/>
      <c r="I591" s="155"/>
      <c r="J591" s="155"/>
      <c r="K591" s="15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58"/>
      <c r="AA591" s="105"/>
      <c r="AB591" s="105"/>
      <c r="AC591" s="105"/>
      <c r="AD591" s="105"/>
      <c r="AE591" s="105"/>
      <c r="AF591" s="158"/>
      <c r="AG591" s="105"/>
      <c r="AH591" s="158"/>
      <c r="AI591" s="88"/>
      <c r="AJ591" s="88"/>
      <c r="AK591" s="131"/>
      <c r="AL591" s="131"/>
      <c r="AM591" s="131"/>
      <c r="AN591" s="131"/>
      <c r="AO591" s="131"/>
      <c r="AP591" s="88"/>
    </row>
    <row r="592">
      <c r="A592" s="155"/>
      <c r="B592" s="173"/>
      <c r="C592" s="174"/>
      <c r="D592" s="173"/>
      <c r="E592" s="155"/>
      <c r="F592" s="155"/>
      <c r="G592" s="88"/>
      <c r="H592" s="155"/>
      <c r="I592" s="155"/>
      <c r="J592" s="155"/>
      <c r="K592" s="15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58"/>
      <c r="AA592" s="105"/>
      <c r="AB592" s="105"/>
      <c r="AC592" s="105"/>
      <c r="AD592" s="105"/>
      <c r="AE592" s="105"/>
      <c r="AF592" s="158"/>
      <c r="AG592" s="105"/>
      <c r="AH592" s="158"/>
      <c r="AI592" s="88"/>
      <c r="AJ592" s="88"/>
      <c r="AK592" s="131"/>
      <c r="AL592" s="131"/>
      <c r="AM592" s="131"/>
      <c r="AN592" s="131"/>
      <c r="AO592" s="131"/>
      <c r="AP592" s="88"/>
    </row>
    <row r="593">
      <c r="A593" s="155"/>
      <c r="B593" s="173"/>
      <c r="C593" s="174"/>
      <c r="D593" s="173"/>
      <c r="E593" s="155"/>
      <c r="F593" s="155"/>
      <c r="G593" s="88"/>
      <c r="H593" s="155"/>
      <c r="I593" s="155"/>
      <c r="J593" s="155"/>
      <c r="K593" s="15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58"/>
      <c r="AA593" s="105"/>
      <c r="AB593" s="105"/>
      <c r="AC593" s="105"/>
      <c r="AD593" s="105"/>
      <c r="AE593" s="105"/>
      <c r="AF593" s="158"/>
      <c r="AG593" s="105"/>
      <c r="AH593" s="158"/>
      <c r="AI593" s="88"/>
      <c r="AJ593" s="88"/>
      <c r="AK593" s="131"/>
      <c r="AL593" s="131"/>
      <c r="AM593" s="131"/>
      <c r="AN593" s="131"/>
      <c r="AO593" s="131"/>
      <c r="AP593" s="88"/>
    </row>
    <row r="594">
      <c r="A594" s="155"/>
      <c r="B594" s="173"/>
      <c r="C594" s="174"/>
      <c r="D594" s="173"/>
      <c r="E594" s="155"/>
      <c r="F594" s="155"/>
      <c r="G594" s="88"/>
      <c r="H594" s="155"/>
      <c r="I594" s="155"/>
      <c r="J594" s="155"/>
      <c r="K594" s="15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58"/>
      <c r="AA594" s="105"/>
      <c r="AB594" s="105"/>
      <c r="AC594" s="105"/>
      <c r="AD594" s="105"/>
      <c r="AE594" s="105"/>
      <c r="AF594" s="158"/>
      <c r="AG594" s="105"/>
      <c r="AH594" s="158"/>
      <c r="AI594" s="88"/>
      <c r="AJ594" s="88"/>
      <c r="AK594" s="131"/>
      <c r="AL594" s="131"/>
      <c r="AM594" s="131"/>
      <c r="AN594" s="131"/>
      <c r="AO594" s="131"/>
      <c r="AP594" s="88"/>
    </row>
    <row r="595">
      <c r="A595" s="155"/>
      <c r="B595" s="173"/>
      <c r="C595" s="174"/>
      <c r="D595" s="173"/>
      <c r="E595" s="155"/>
      <c r="F595" s="155"/>
      <c r="G595" s="88"/>
      <c r="H595" s="155"/>
      <c r="I595" s="155"/>
      <c r="J595" s="155"/>
      <c r="K595" s="15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58"/>
      <c r="AA595" s="105"/>
      <c r="AB595" s="105"/>
      <c r="AC595" s="105"/>
      <c r="AD595" s="105"/>
      <c r="AE595" s="105"/>
      <c r="AF595" s="158"/>
      <c r="AG595" s="105"/>
      <c r="AH595" s="158"/>
      <c r="AI595" s="88"/>
      <c r="AJ595" s="88"/>
      <c r="AK595" s="131"/>
      <c r="AL595" s="131"/>
      <c r="AM595" s="131"/>
      <c r="AN595" s="131"/>
      <c r="AO595" s="131"/>
      <c r="AP595" s="88"/>
    </row>
    <row r="596">
      <c r="A596" s="155"/>
      <c r="B596" s="173"/>
      <c r="C596" s="174"/>
      <c r="D596" s="173"/>
      <c r="E596" s="155"/>
      <c r="F596" s="155"/>
      <c r="G596" s="88"/>
      <c r="H596" s="155"/>
      <c r="I596" s="155"/>
      <c r="J596" s="155"/>
      <c r="K596" s="15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58"/>
      <c r="AA596" s="105"/>
      <c r="AB596" s="105"/>
      <c r="AC596" s="105"/>
      <c r="AD596" s="105"/>
      <c r="AE596" s="105"/>
      <c r="AF596" s="158"/>
      <c r="AG596" s="105"/>
      <c r="AH596" s="158"/>
      <c r="AI596" s="88"/>
      <c r="AJ596" s="88"/>
      <c r="AK596" s="131"/>
      <c r="AL596" s="131"/>
      <c r="AM596" s="131"/>
      <c r="AN596" s="131"/>
      <c r="AO596" s="131"/>
      <c r="AP596" s="88"/>
    </row>
    <row r="597">
      <c r="A597" s="155"/>
      <c r="B597" s="173"/>
      <c r="C597" s="174"/>
      <c r="D597" s="173"/>
      <c r="E597" s="155"/>
      <c r="F597" s="155"/>
      <c r="G597" s="88"/>
      <c r="H597" s="155"/>
      <c r="I597" s="155"/>
      <c r="J597" s="155"/>
      <c r="K597" s="15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58"/>
      <c r="AA597" s="105"/>
      <c r="AB597" s="105"/>
      <c r="AC597" s="105"/>
      <c r="AD597" s="105"/>
      <c r="AE597" s="105"/>
      <c r="AF597" s="158"/>
      <c r="AG597" s="105"/>
      <c r="AH597" s="158"/>
      <c r="AI597" s="88"/>
      <c r="AJ597" s="88"/>
      <c r="AK597" s="131"/>
      <c r="AL597" s="131"/>
      <c r="AM597" s="131"/>
      <c r="AN597" s="131"/>
      <c r="AO597" s="131"/>
      <c r="AP597" s="88"/>
    </row>
    <row r="598">
      <c r="A598" s="155"/>
      <c r="B598" s="173"/>
      <c r="C598" s="174"/>
      <c r="D598" s="173"/>
      <c r="E598" s="155"/>
      <c r="F598" s="155"/>
      <c r="G598" s="88"/>
      <c r="H598" s="155"/>
      <c r="I598" s="155"/>
      <c r="J598" s="155"/>
      <c r="K598" s="15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58"/>
      <c r="AA598" s="105"/>
      <c r="AB598" s="105"/>
      <c r="AC598" s="105"/>
      <c r="AD598" s="105"/>
      <c r="AE598" s="105"/>
      <c r="AF598" s="158"/>
      <c r="AG598" s="105"/>
      <c r="AH598" s="158"/>
      <c r="AI598" s="88"/>
      <c r="AJ598" s="88"/>
      <c r="AK598" s="131"/>
      <c r="AL598" s="131"/>
      <c r="AM598" s="131"/>
      <c r="AN598" s="131"/>
      <c r="AO598" s="131"/>
      <c r="AP598" s="88"/>
    </row>
    <row r="599">
      <c r="A599" s="155"/>
      <c r="B599" s="173"/>
      <c r="C599" s="174"/>
      <c r="D599" s="173"/>
      <c r="E599" s="155"/>
      <c r="F599" s="155"/>
      <c r="G599" s="88"/>
      <c r="H599" s="155"/>
      <c r="I599" s="155"/>
      <c r="J599" s="155"/>
      <c r="K599" s="15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58"/>
      <c r="AA599" s="105"/>
      <c r="AB599" s="105"/>
      <c r="AC599" s="105"/>
      <c r="AD599" s="105"/>
      <c r="AE599" s="105"/>
      <c r="AF599" s="158"/>
      <c r="AG599" s="105"/>
      <c r="AH599" s="158"/>
      <c r="AI599" s="88"/>
      <c r="AJ599" s="88"/>
      <c r="AK599" s="131"/>
      <c r="AL599" s="131"/>
      <c r="AM599" s="131"/>
      <c r="AN599" s="131"/>
      <c r="AO599" s="131"/>
      <c r="AP599" s="88"/>
    </row>
    <row r="600">
      <c r="A600" s="155"/>
      <c r="B600" s="173"/>
      <c r="C600" s="174"/>
      <c r="D600" s="173"/>
      <c r="E600" s="155"/>
      <c r="F600" s="155"/>
      <c r="G600" s="88"/>
      <c r="H600" s="155"/>
      <c r="I600" s="155"/>
      <c r="J600" s="155"/>
      <c r="K600" s="15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58"/>
      <c r="AA600" s="105"/>
      <c r="AB600" s="105"/>
      <c r="AC600" s="105"/>
      <c r="AD600" s="105"/>
      <c r="AE600" s="105"/>
      <c r="AF600" s="158"/>
      <c r="AG600" s="105"/>
      <c r="AH600" s="158"/>
      <c r="AI600" s="88"/>
      <c r="AJ600" s="88"/>
      <c r="AK600" s="131"/>
      <c r="AL600" s="131"/>
      <c r="AM600" s="131"/>
      <c r="AN600" s="131"/>
      <c r="AO600" s="131"/>
      <c r="AP600" s="88"/>
    </row>
    <row r="601">
      <c r="A601" s="155"/>
      <c r="B601" s="173"/>
      <c r="C601" s="174"/>
      <c r="D601" s="173"/>
      <c r="E601" s="155"/>
      <c r="F601" s="155"/>
      <c r="G601" s="88"/>
      <c r="H601" s="155"/>
      <c r="I601" s="155"/>
      <c r="J601" s="155"/>
      <c r="K601" s="15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58"/>
      <c r="AA601" s="105"/>
      <c r="AB601" s="105"/>
      <c r="AC601" s="105"/>
      <c r="AD601" s="105"/>
      <c r="AE601" s="105"/>
      <c r="AF601" s="158"/>
      <c r="AG601" s="105"/>
      <c r="AH601" s="158"/>
      <c r="AI601" s="88"/>
      <c r="AJ601" s="88"/>
      <c r="AK601" s="131"/>
      <c r="AL601" s="131"/>
      <c r="AM601" s="131"/>
      <c r="AN601" s="131"/>
      <c r="AO601" s="131"/>
      <c r="AP601" s="88"/>
    </row>
    <row r="602">
      <c r="A602" s="155"/>
      <c r="B602" s="173"/>
      <c r="C602" s="174"/>
      <c r="D602" s="173"/>
      <c r="E602" s="155"/>
      <c r="F602" s="155"/>
      <c r="G602" s="88"/>
      <c r="H602" s="155"/>
      <c r="I602" s="155"/>
      <c r="J602" s="155"/>
      <c r="K602" s="15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58"/>
      <c r="AA602" s="105"/>
      <c r="AB602" s="105"/>
      <c r="AC602" s="105"/>
      <c r="AD602" s="105"/>
      <c r="AE602" s="105"/>
      <c r="AF602" s="158"/>
      <c r="AG602" s="105"/>
      <c r="AH602" s="158"/>
      <c r="AI602" s="88"/>
      <c r="AJ602" s="88"/>
      <c r="AK602" s="131"/>
      <c r="AL602" s="131"/>
      <c r="AM602" s="131"/>
      <c r="AN602" s="131"/>
      <c r="AO602" s="131"/>
      <c r="AP602" s="88"/>
    </row>
    <row r="603">
      <c r="A603" s="155"/>
      <c r="B603" s="173"/>
      <c r="C603" s="174"/>
      <c r="D603" s="173"/>
      <c r="E603" s="155"/>
      <c r="F603" s="155"/>
      <c r="G603" s="88"/>
      <c r="H603" s="155"/>
      <c r="I603" s="155"/>
      <c r="J603" s="155"/>
      <c r="K603" s="15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58"/>
      <c r="AA603" s="105"/>
      <c r="AB603" s="105"/>
      <c r="AC603" s="105"/>
      <c r="AD603" s="105"/>
      <c r="AE603" s="105"/>
      <c r="AF603" s="158"/>
      <c r="AG603" s="105"/>
      <c r="AH603" s="158"/>
      <c r="AI603" s="88"/>
      <c r="AJ603" s="88"/>
      <c r="AK603" s="131"/>
      <c r="AL603" s="131"/>
      <c r="AM603" s="131"/>
      <c r="AN603" s="131"/>
      <c r="AO603" s="131"/>
      <c r="AP603" s="88"/>
    </row>
    <row r="604">
      <c r="A604" s="155"/>
      <c r="B604" s="173"/>
      <c r="C604" s="174"/>
      <c r="D604" s="173"/>
      <c r="E604" s="155"/>
      <c r="F604" s="155"/>
      <c r="G604" s="88"/>
      <c r="H604" s="155"/>
      <c r="I604" s="155"/>
      <c r="J604" s="155"/>
      <c r="K604" s="15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58"/>
      <c r="AA604" s="105"/>
      <c r="AB604" s="105"/>
      <c r="AC604" s="105"/>
      <c r="AD604" s="105"/>
      <c r="AE604" s="105"/>
      <c r="AF604" s="158"/>
      <c r="AG604" s="105"/>
      <c r="AH604" s="158"/>
      <c r="AI604" s="88"/>
      <c r="AJ604" s="88"/>
      <c r="AK604" s="131"/>
      <c r="AL604" s="131"/>
      <c r="AM604" s="131"/>
      <c r="AN604" s="131"/>
      <c r="AO604" s="131"/>
      <c r="AP604" s="88"/>
    </row>
    <row r="605">
      <c r="A605" s="155"/>
      <c r="B605" s="173"/>
      <c r="C605" s="174"/>
      <c r="D605" s="173"/>
      <c r="E605" s="155"/>
      <c r="F605" s="155"/>
      <c r="G605" s="88"/>
      <c r="H605" s="155"/>
      <c r="I605" s="155"/>
      <c r="J605" s="155"/>
      <c r="K605" s="15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58"/>
      <c r="AA605" s="105"/>
      <c r="AB605" s="105"/>
      <c r="AC605" s="105"/>
      <c r="AD605" s="105"/>
      <c r="AE605" s="105"/>
      <c r="AF605" s="158"/>
      <c r="AG605" s="105"/>
      <c r="AH605" s="158"/>
      <c r="AI605" s="88"/>
      <c r="AJ605" s="88"/>
      <c r="AK605" s="131"/>
      <c r="AL605" s="131"/>
      <c r="AM605" s="131"/>
      <c r="AN605" s="131"/>
      <c r="AO605" s="131"/>
      <c r="AP605" s="88"/>
    </row>
    <row r="606">
      <c r="A606" s="155"/>
      <c r="B606" s="173"/>
      <c r="C606" s="174"/>
      <c r="D606" s="173"/>
      <c r="E606" s="155"/>
      <c r="F606" s="155"/>
      <c r="G606" s="88"/>
      <c r="H606" s="155"/>
      <c r="I606" s="155"/>
      <c r="J606" s="155"/>
      <c r="K606" s="15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58"/>
      <c r="AA606" s="105"/>
      <c r="AB606" s="105"/>
      <c r="AC606" s="105"/>
      <c r="AD606" s="105"/>
      <c r="AE606" s="105"/>
      <c r="AF606" s="158"/>
      <c r="AG606" s="105"/>
      <c r="AH606" s="158"/>
      <c r="AI606" s="88"/>
      <c r="AJ606" s="88"/>
      <c r="AK606" s="131"/>
      <c r="AL606" s="131"/>
      <c r="AM606" s="131"/>
      <c r="AN606" s="131"/>
      <c r="AO606" s="131"/>
      <c r="AP606" s="88"/>
    </row>
    <row r="607">
      <c r="A607" s="155"/>
      <c r="B607" s="173"/>
      <c r="C607" s="174"/>
      <c r="D607" s="173"/>
      <c r="E607" s="155"/>
      <c r="F607" s="155"/>
      <c r="G607" s="88"/>
      <c r="H607" s="155"/>
      <c r="I607" s="155"/>
      <c r="J607" s="155"/>
      <c r="K607" s="15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58"/>
      <c r="AA607" s="105"/>
      <c r="AB607" s="105"/>
      <c r="AC607" s="105"/>
      <c r="AD607" s="105"/>
      <c r="AE607" s="105"/>
      <c r="AF607" s="158"/>
      <c r="AG607" s="105"/>
      <c r="AH607" s="158"/>
      <c r="AI607" s="88"/>
      <c r="AJ607" s="88"/>
      <c r="AK607" s="131"/>
      <c r="AL607" s="131"/>
      <c r="AM607" s="131"/>
      <c r="AN607" s="131"/>
      <c r="AO607" s="131"/>
      <c r="AP607" s="88"/>
    </row>
    <row r="608">
      <c r="A608" s="155"/>
      <c r="B608" s="173"/>
      <c r="C608" s="174"/>
      <c r="D608" s="173"/>
      <c r="E608" s="155"/>
      <c r="F608" s="155"/>
      <c r="G608" s="88"/>
      <c r="H608" s="155"/>
      <c r="I608" s="155"/>
      <c r="J608" s="155"/>
      <c r="K608" s="15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58"/>
      <c r="AA608" s="105"/>
      <c r="AB608" s="105"/>
      <c r="AC608" s="105"/>
      <c r="AD608" s="105"/>
      <c r="AE608" s="105"/>
      <c r="AF608" s="158"/>
      <c r="AG608" s="105"/>
      <c r="AH608" s="158"/>
      <c r="AI608" s="88"/>
      <c r="AJ608" s="88"/>
      <c r="AK608" s="131"/>
      <c r="AL608" s="131"/>
      <c r="AM608" s="131"/>
      <c r="AN608" s="131"/>
      <c r="AO608" s="131"/>
      <c r="AP608" s="88"/>
    </row>
    <row r="609">
      <c r="A609" s="155"/>
      <c r="B609" s="173"/>
      <c r="C609" s="174"/>
      <c r="D609" s="173"/>
      <c r="E609" s="155"/>
      <c r="F609" s="155"/>
      <c r="G609" s="88"/>
      <c r="H609" s="155"/>
      <c r="I609" s="155"/>
      <c r="J609" s="155"/>
      <c r="K609" s="15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58"/>
      <c r="AA609" s="105"/>
      <c r="AB609" s="105"/>
      <c r="AC609" s="105"/>
      <c r="AD609" s="105"/>
      <c r="AE609" s="105"/>
      <c r="AF609" s="158"/>
      <c r="AG609" s="105"/>
      <c r="AH609" s="158"/>
      <c r="AI609" s="88"/>
      <c r="AJ609" s="88"/>
      <c r="AK609" s="131"/>
      <c r="AL609" s="131"/>
      <c r="AM609" s="131"/>
      <c r="AN609" s="131"/>
      <c r="AO609" s="131"/>
      <c r="AP609" s="88"/>
    </row>
    <row r="610">
      <c r="A610" s="155"/>
      <c r="B610" s="173"/>
      <c r="C610" s="174"/>
      <c r="D610" s="173"/>
      <c r="E610" s="155"/>
      <c r="F610" s="155"/>
      <c r="G610" s="88"/>
      <c r="H610" s="155"/>
      <c r="I610" s="155"/>
      <c r="J610" s="155"/>
      <c r="K610" s="15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58"/>
      <c r="AA610" s="105"/>
      <c r="AB610" s="105"/>
      <c r="AC610" s="105"/>
      <c r="AD610" s="105"/>
      <c r="AE610" s="105"/>
      <c r="AF610" s="158"/>
      <c r="AG610" s="105"/>
      <c r="AH610" s="158"/>
      <c r="AI610" s="88"/>
      <c r="AJ610" s="88"/>
      <c r="AK610" s="131"/>
      <c r="AL610" s="131"/>
      <c r="AM610" s="131"/>
      <c r="AN610" s="131"/>
      <c r="AO610" s="131"/>
      <c r="AP610" s="88"/>
    </row>
    <row r="611">
      <c r="A611" s="155"/>
      <c r="B611" s="173"/>
      <c r="C611" s="174"/>
      <c r="D611" s="173"/>
      <c r="E611" s="155"/>
      <c r="F611" s="155"/>
      <c r="G611" s="88"/>
      <c r="H611" s="155"/>
      <c r="I611" s="155"/>
      <c r="J611" s="155"/>
      <c r="K611" s="15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58"/>
      <c r="AA611" s="105"/>
      <c r="AB611" s="105"/>
      <c r="AC611" s="105"/>
      <c r="AD611" s="105"/>
      <c r="AE611" s="105"/>
      <c r="AF611" s="158"/>
      <c r="AG611" s="105"/>
      <c r="AH611" s="158"/>
      <c r="AI611" s="88"/>
      <c r="AJ611" s="88"/>
      <c r="AK611" s="131"/>
      <c r="AL611" s="131"/>
      <c r="AM611" s="131"/>
      <c r="AN611" s="131"/>
      <c r="AO611" s="131"/>
      <c r="AP611" s="88"/>
    </row>
    <row r="612">
      <c r="A612" s="155"/>
      <c r="B612" s="173"/>
      <c r="C612" s="174"/>
      <c r="D612" s="173"/>
      <c r="E612" s="155"/>
      <c r="F612" s="155"/>
      <c r="G612" s="88"/>
      <c r="H612" s="155"/>
      <c r="I612" s="155"/>
      <c r="J612" s="155"/>
      <c r="K612" s="15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58"/>
      <c r="AA612" s="105"/>
      <c r="AB612" s="105"/>
      <c r="AC612" s="105"/>
      <c r="AD612" s="105"/>
      <c r="AE612" s="105"/>
      <c r="AF612" s="158"/>
      <c r="AG612" s="105"/>
      <c r="AH612" s="158"/>
      <c r="AI612" s="88"/>
      <c r="AJ612" s="88"/>
      <c r="AK612" s="131"/>
      <c r="AL612" s="131"/>
      <c r="AM612" s="131"/>
      <c r="AN612" s="131"/>
      <c r="AO612" s="131"/>
      <c r="AP612" s="88"/>
    </row>
    <row r="613">
      <c r="A613" s="155"/>
      <c r="B613" s="173"/>
      <c r="C613" s="174"/>
      <c r="D613" s="173"/>
      <c r="E613" s="155"/>
      <c r="F613" s="155"/>
      <c r="G613" s="88"/>
      <c r="H613" s="155"/>
      <c r="I613" s="155"/>
      <c r="J613" s="155"/>
      <c r="K613" s="15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58"/>
      <c r="AA613" s="105"/>
      <c r="AB613" s="105"/>
      <c r="AC613" s="105"/>
      <c r="AD613" s="105"/>
      <c r="AE613" s="105"/>
      <c r="AF613" s="158"/>
      <c r="AG613" s="105"/>
      <c r="AH613" s="158"/>
      <c r="AI613" s="88"/>
      <c r="AJ613" s="88"/>
      <c r="AK613" s="131"/>
      <c r="AL613" s="131"/>
      <c r="AM613" s="131"/>
      <c r="AN613" s="131"/>
      <c r="AO613" s="131"/>
      <c r="AP613" s="88"/>
    </row>
    <row r="614">
      <c r="A614" s="155"/>
      <c r="B614" s="173"/>
      <c r="C614" s="174"/>
      <c r="D614" s="173"/>
      <c r="E614" s="155"/>
      <c r="F614" s="155"/>
      <c r="G614" s="88"/>
      <c r="H614" s="155"/>
      <c r="I614" s="155"/>
      <c r="J614" s="155"/>
      <c r="K614" s="15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58"/>
      <c r="AA614" s="105"/>
      <c r="AB614" s="105"/>
      <c r="AC614" s="105"/>
      <c r="AD614" s="105"/>
      <c r="AE614" s="105"/>
      <c r="AF614" s="158"/>
      <c r="AG614" s="105"/>
      <c r="AH614" s="158"/>
      <c r="AI614" s="88"/>
      <c r="AJ614" s="88"/>
      <c r="AK614" s="131"/>
      <c r="AL614" s="131"/>
      <c r="AM614" s="131"/>
      <c r="AN614" s="131"/>
      <c r="AO614" s="131"/>
      <c r="AP614" s="88"/>
    </row>
    <row r="615">
      <c r="A615" s="155"/>
      <c r="B615" s="173"/>
      <c r="C615" s="174"/>
      <c r="D615" s="173"/>
      <c r="E615" s="155"/>
      <c r="F615" s="155"/>
      <c r="G615" s="88"/>
      <c r="H615" s="155"/>
      <c r="I615" s="155"/>
      <c r="J615" s="155"/>
      <c r="K615" s="15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58"/>
      <c r="AA615" s="105"/>
      <c r="AB615" s="105"/>
      <c r="AC615" s="105"/>
      <c r="AD615" s="105"/>
      <c r="AE615" s="105"/>
      <c r="AF615" s="158"/>
      <c r="AG615" s="105"/>
      <c r="AH615" s="158"/>
      <c r="AI615" s="88"/>
      <c r="AJ615" s="88"/>
      <c r="AK615" s="131"/>
      <c r="AL615" s="131"/>
      <c r="AM615" s="131"/>
      <c r="AN615" s="131"/>
      <c r="AO615" s="131"/>
      <c r="AP615" s="88"/>
    </row>
    <row r="616">
      <c r="A616" s="155"/>
      <c r="B616" s="173"/>
      <c r="C616" s="174"/>
      <c r="D616" s="173"/>
      <c r="E616" s="155"/>
      <c r="F616" s="155"/>
      <c r="G616" s="88"/>
      <c r="H616" s="155"/>
      <c r="I616" s="155"/>
      <c r="J616" s="155"/>
      <c r="K616" s="15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58"/>
      <c r="AA616" s="105"/>
      <c r="AB616" s="105"/>
      <c r="AC616" s="105"/>
      <c r="AD616" s="105"/>
      <c r="AE616" s="105"/>
      <c r="AF616" s="158"/>
      <c r="AG616" s="105"/>
      <c r="AH616" s="158"/>
      <c r="AI616" s="88"/>
      <c r="AJ616" s="88"/>
      <c r="AK616" s="131"/>
      <c r="AL616" s="131"/>
      <c r="AM616" s="131"/>
      <c r="AN616" s="131"/>
      <c r="AO616" s="131"/>
      <c r="AP616" s="88"/>
    </row>
    <row r="617">
      <c r="A617" s="155"/>
      <c r="B617" s="173"/>
      <c r="C617" s="174"/>
      <c r="D617" s="173"/>
      <c r="E617" s="155"/>
      <c r="F617" s="155"/>
      <c r="G617" s="88"/>
      <c r="H617" s="155"/>
      <c r="I617" s="155"/>
      <c r="J617" s="155"/>
      <c r="K617" s="15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58"/>
      <c r="AA617" s="105"/>
      <c r="AB617" s="105"/>
      <c r="AC617" s="105"/>
      <c r="AD617" s="105"/>
      <c r="AE617" s="105"/>
      <c r="AF617" s="158"/>
      <c r="AG617" s="105"/>
      <c r="AH617" s="158"/>
      <c r="AI617" s="88"/>
      <c r="AJ617" s="88"/>
      <c r="AK617" s="131"/>
      <c r="AL617" s="131"/>
      <c r="AM617" s="131"/>
      <c r="AN617" s="131"/>
      <c r="AO617" s="131"/>
      <c r="AP617" s="88"/>
    </row>
    <row r="618">
      <c r="A618" s="155"/>
      <c r="B618" s="173"/>
      <c r="C618" s="174"/>
      <c r="D618" s="173"/>
      <c r="E618" s="155"/>
      <c r="F618" s="155"/>
      <c r="G618" s="88"/>
      <c r="H618" s="155"/>
      <c r="I618" s="155"/>
      <c r="J618" s="155"/>
      <c r="K618" s="15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58"/>
      <c r="AA618" s="105"/>
      <c r="AB618" s="105"/>
      <c r="AC618" s="105"/>
      <c r="AD618" s="105"/>
      <c r="AE618" s="105"/>
      <c r="AF618" s="158"/>
      <c r="AG618" s="105"/>
      <c r="AH618" s="158"/>
      <c r="AI618" s="88"/>
      <c r="AJ618" s="88"/>
      <c r="AK618" s="131"/>
      <c r="AL618" s="131"/>
      <c r="AM618" s="131"/>
      <c r="AN618" s="131"/>
      <c r="AO618" s="131"/>
      <c r="AP618" s="88"/>
    </row>
    <row r="619">
      <c r="A619" s="155"/>
      <c r="B619" s="173"/>
      <c r="C619" s="174"/>
      <c r="D619" s="173"/>
      <c r="E619" s="155"/>
      <c r="F619" s="155"/>
      <c r="G619" s="88"/>
      <c r="H619" s="155"/>
      <c r="I619" s="155"/>
      <c r="J619" s="155"/>
      <c r="K619" s="15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58"/>
      <c r="AA619" s="105"/>
      <c r="AB619" s="105"/>
      <c r="AC619" s="105"/>
      <c r="AD619" s="105"/>
      <c r="AE619" s="105"/>
      <c r="AF619" s="158"/>
      <c r="AG619" s="105"/>
      <c r="AH619" s="158"/>
      <c r="AI619" s="88"/>
      <c r="AJ619" s="88"/>
      <c r="AK619" s="131"/>
      <c r="AL619" s="131"/>
      <c r="AM619" s="131"/>
      <c r="AN619" s="131"/>
      <c r="AO619" s="131"/>
      <c r="AP619" s="88"/>
    </row>
    <row r="620">
      <c r="A620" s="155"/>
      <c r="B620" s="173"/>
      <c r="C620" s="174"/>
      <c r="D620" s="173"/>
      <c r="E620" s="155"/>
      <c r="F620" s="155"/>
      <c r="G620" s="88"/>
      <c r="H620" s="155"/>
      <c r="I620" s="155"/>
      <c r="J620" s="155"/>
      <c r="K620" s="15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58"/>
      <c r="AA620" s="105"/>
      <c r="AB620" s="105"/>
      <c r="AC620" s="105"/>
      <c r="AD620" s="105"/>
      <c r="AE620" s="105"/>
      <c r="AF620" s="158"/>
      <c r="AG620" s="105"/>
      <c r="AH620" s="158"/>
      <c r="AI620" s="88"/>
      <c r="AJ620" s="88"/>
      <c r="AK620" s="131"/>
      <c r="AL620" s="131"/>
      <c r="AM620" s="131"/>
      <c r="AN620" s="131"/>
      <c r="AO620" s="131"/>
      <c r="AP620" s="88"/>
    </row>
    <row r="621">
      <c r="A621" s="155"/>
      <c r="B621" s="173"/>
      <c r="C621" s="174"/>
      <c r="D621" s="173"/>
      <c r="E621" s="155"/>
      <c r="F621" s="155"/>
      <c r="G621" s="88"/>
      <c r="H621" s="155"/>
      <c r="I621" s="155"/>
      <c r="J621" s="155"/>
      <c r="K621" s="15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58"/>
      <c r="AA621" s="105"/>
      <c r="AB621" s="105"/>
      <c r="AC621" s="105"/>
      <c r="AD621" s="105"/>
      <c r="AE621" s="105"/>
      <c r="AF621" s="158"/>
      <c r="AG621" s="105"/>
      <c r="AH621" s="158"/>
      <c r="AI621" s="88"/>
      <c r="AJ621" s="88"/>
      <c r="AK621" s="131"/>
      <c r="AL621" s="131"/>
      <c r="AM621" s="131"/>
      <c r="AN621" s="131"/>
      <c r="AO621" s="131"/>
      <c r="AP621" s="88"/>
    </row>
    <row r="622">
      <c r="A622" s="155"/>
      <c r="B622" s="173"/>
      <c r="C622" s="174"/>
      <c r="D622" s="173"/>
      <c r="E622" s="155"/>
      <c r="F622" s="155"/>
      <c r="G622" s="88"/>
      <c r="H622" s="155"/>
      <c r="I622" s="155"/>
      <c r="J622" s="155"/>
      <c r="K622" s="15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58"/>
      <c r="AA622" s="105"/>
      <c r="AB622" s="105"/>
      <c r="AC622" s="105"/>
      <c r="AD622" s="105"/>
      <c r="AE622" s="105"/>
      <c r="AF622" s="158"/>
      <c r="AG622" s="105"/>
      <c r="AH622" s="158"/>
      <c r="AI622" s="88"/>
      <c r="AJ622" s="88"/>
      <c r="AK622" s="131"/>
      <c r="AL622" s="131"/>
      <c r="AM622" s="131"/>
      <c r="AN622" s="131"/>
      <c r="AO622" s="131"/>
      <c r="AP622" s="88"/>
    </row>
    <row r="623">
      <c r="A623" s="155"/>
      <c r="B623" s="173"/>
      <c r="C623" s="174"/>
      <c r="D623" s="173"/>
      <c r="E623" s="155"/>
      <c r="F623" s="155"/>
      <c r="G623" s="88"/>
      <c r="H623" s="155"/>
      <c r="I623" s="155"/>
      <c r="J623" s="155"/>
      <c r="K623" s="15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58"/>
      <c r="AA623" s="105"/>
      <c r="AB623" s="105"/>
      <c r="AC623" s="105"/>
      <c r="AD623" s="105"/>
      <c r="AE623" s="105"/>
      <c r="AF623" s="158"/>
      <c r="AG623" s="105"/>
      <c r="AH623" s="158"/>
      <c r="AI623" s="88"/>
      <c r="AJ623" s="88"/>
      <c r="AK623" s="131"/>
      <c r="AL623" s="131"/>
      <c r="AM623" s="131"/>
      <c r="AN623" s="131"/>
      <c r="AO623" s="131"/>
      <c r="AP623" s="88"/>
    </row>
    <row r="624">
      <c r="A624" s="155"/>
      <c r="B624" s="173"/>
      <c r="C624" s="174"/>
      <c r="D624" s="173"/>
      <c r="E624" s="155"/>
      <c r="F624" s="155"/>
      <c r="G624" s="88"/>
      <c r="H624" s="155"/>
      <c r="I624" s="155"/>
      <c r="J624" s="155"/>
      <c r="K624" s="15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58"/>
      <c r="AA624" s="105"/>
      <c r="AB624" s="105"/>
      <c r="AC624" s="105"/>
      <c r="AD624" s="105"/>
      <c r="AE624" s="105"/>
      <c r="AF624" s="158"/>
      <c r="AG624" s="105"/>
      <c r="AH624" s="158"/>
      <c r="AI624" s="88"/>
      <c r="AJ624" s="88"/>
      <c r="AK624" s="131"/>
      <c r="AL624" s="131"/>
      <c r="AM624" s="131"/>
      <c r="AN624" s="131"/>
      <c r="AO624" s="131"/>
      <c r="AP624" s="88"/>
    </row>
    <row r="625">
      <c r="A625" s="155"/>
      <c r="B625" s="173"/>
      <c r="C625" s="174"/>
      <c r="D625" s="173"/>
      <c r="E625" s="155"/>
      <c r="F625" s="155"/>
      <c r="G625" s="88"/>
      <c r="H625" s="155"/>
      <c r="I625" s="155"/>
      <c r="J625" s="155"/>
      <c r="K625" s="15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58"/>
      <c r="AA625" s="105"/>
      <c r="AB625" s="105"/>
      <c r="AC625" s="105"/>
      <c r="AD625" s="105"/>
      <c r="AE625" s="105"/>
      <c r="AF625" s="158"/>
      <c r="AG625" s="105"/>
      <c r="AH625" s="158"/>
      <c r="AI625" s="88"/>
      <c r="AJ625" s="88"/>
      <c r="AK625" s="131"/>
      <c r="AL625" s="131"/>
      <c r="AM625" s="131"/>
      <c r="AN625" s="131"/>
      <c r="AO625" s="131"/>
      <c r="AP625" s="88"/>
    </row>
    <row r="626">
      <c r="A626" s="155"/>
      <c r="B626" s="173"/>
      <c r="C626" s="174"/>
      <c r="D626" s="173"/>
      <c r="E626" s="155"/>
      <c r="F626" s="155"/>
      <c r="G626" s="88"/>
      <c r="H626" s="155"/>
      <c r="I626" s="155"/>
      <c r="J626" s="155"/>
      <c r="K626" s="15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58"/>
      <c r="AA626" s="105"/>
      <c r="AB626" s="105"/>
      <c r="AC626" s="105"/>
      <c r="AD626" s="105"/>
      <c r="AE626" s="105"/>
      <c r="AF626" s="158"/>
      <c r="AG626" s="105"/>
      <c r="AH626" s="158"/>
      <c r="AI626" s="88"/>
      <c r="AJ626" s="88"/>
      <c r="AK626" s="131"/>
      <c r="AL626" s="131"/>
      <c r="AM626" s="131"/>
      <c r="AN626" s="131"/>
      <c r="AO626" s="131"/>
      <c r="AP626" s="88"/>
    </row>
    <row r="627">
      <c r="A627" s="155"/>
      <c r="B627" s="173"/>
      <c r="C627" s="174"/>
      <c r="D627" s="173"/>
      <c r="E627" s="155"/>
      <c r="F627" s="155"/>
      <c r="G627" s="88"/>
      <c r="H627" s="155"/>
      <c r="I627" s="155"/>
      <c r="J627" s="155"/>
      <c r="K627" s="15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58"/>
      <c r="AA627" s="105"/>
      <c r="AB627" s="105"/>
      <c r="AC627" s="105"/>
      <c r="AD627" s="105"/>
      <c r="AE627" s="105"/>
      <c r="AF627" s="158"/>
      <c r="AG627" s="105"/>
      <c r="AH627" s="158"/>
      <c r="AI627" s="88"/>
      <c r="AJ627" s="88"/>
      <c r="AK627" s="131"/>
      <c r="AL627" s="131"/>
      <c r="AM627" s="131"/>
      <c r="AN627" s="131"/>
      <c r="AO627" s="131"/>
      <c r="AP627" s="88"/>
    </row>
    <row r="628">
      <c r="A628" s="155"/>
      <c r="B628" s="173"/>
      <c r="C628" s="174"/>
      <c r="D628" s="173"/>
      <c r="E628" s="155"/>
      <c r="F628" s="155"/>
      <c r="G628" s="88"/>
      <c r="H628" s="155"/>
      <c r="I628" s="155"/>
      <c r="J628" s="155"/>
      <c r="K628" s="15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58"/>
      <c r="AA628" s="105"/>
      <c r="AB628" s="105"/>
      <c r="AC628" s="105"/>
      <c r="AD628" s="105"/>
      <c r="AE628" s="105"/>
      <c r="AF628" s="158"/>
      <c r="AG628" s="105"/>
      <c r="AH628" s="158"/>
      <c r="AI628" s="88"/>
      <c r="AJ628" s="88"/>
      <c r="AK628" s="131"/>
      <c r="AL628" s="131"/>
      <c r="AM628" s="131"/>
      <c r="AN628" s="131"/>
      <c r="AO628" s="131"/>
      <c r="AP628" s="88"/>
    </row>
    <row r="629">
      <c r="A629" s="155"/>
      <c r="B629" s="173"/>
      <c r="C629" s="174"/>
      <c r="D629" s="173"/>
      <c r="E629" s="155"/>
      <c r="F629" s="155"/>
      <c r="G629" s="88"/>
      <c r="H629" s="155"/>
      <c r="I629" s="155"/>
      <c r="J629" s="155"/>
      <c r="K629" s="15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58"/>
      <c r="AA629" s="105"/>
      <c r="AB629" s="105"/>
      <c r="AC629" s="105"/>
      <c r="AD629" s="105"/>
      <c r="AE629" s="105"/>
      <c r="AF629" s="158"/>
      <c r="AG629" s="105"/>
      <c r="AH629" s="158"/>
      <c r="AI629" s="88"/>
      <c r="AJ629" s="88"/>
      <c r="AK629" s="131"/>
      <c r="AL629" s="131"/>
      <c r="AM629" s="131"/>
      <c r="AN629" s="131"/>
      <c r="AO629" s="131"/>
      <c r="AP629" s="88"/>
    </row>
    <row r="630">
      <c r="A630" s="155"/>
      <c r="B630" s="173"/>
      <c r="C630" s="174"/>
      <c r="D630" s="173"/>
      <c r="E630" s="155"/>
      <c r="F630" s="155"/>
      <c r="G630" s="88"/>
      <c r="H630" s="155"/>
      <c r="I630" s="155"/>
      <c r="J630" s="155"/>
      <c r="K630" s="15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58"/>
      <c r="AA630" s="105"/>
      <c r="AB630" s="105"/>
      <c r="AC630" s="105"/>
      <c r="AD630" s="105"/>
      <c r="AE630" s="105"/>
      <c r="AF630" s="158"/>
      <c r="AG630" s="105"/>
      <c r="AH630" s="158"/>
      <c r="AI630" s="88"/>
      <c r="AJ630" s="88"/>
      <c r="AK630" s="131"/>
      <c r="AL630" s="131"/>
      <c r="AM630" s="131"/>
      <c r="AN630" s="131"/>
      <c r="AO630" s="131"/>
      <c r="AP630" s="88"/>
    </row>
    <row r="631">
      <c r="A631" s="155"/>
      <c r="B631" s="173"/>
      <c r="C631" s="174"/>
      <c r="D631" s="173"/>
      <c r="E631" s="155"/>
      <c r="F631" s="155"/>
      <c r="G631" s="88"/>
      <c r="H631" s="155"/>
      <c r="I631" s="155"/>
      <c r="J631" s="155"/>
      <c r="K631" s="15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58"/>
      <c r="AA631" s="105"/>
      <c r="AB631" s="105"/>
      <c r="AC631" s="105"/>
      <c r="AD631" s="105"/>
      <c r="AE631" s="105"/>
      <c r="AF631" s="158"/>
      <c r="AG631" s="105"/>
      <c r="AH631" s="158"/>
      <c r="AI631" s="88"/>
      <c r="AJ631" s="88"/>
      <c r="AK631" s="131"/>
      <c r="AL631" s="131"/>
      <c r="AM631" s="131"/>
      <c r="AN631" s="131"/>
      <c r="AO631" s="131"/>
      <c r="AP631" s="88"/>
    </row>
    <row r="632">
      <c r="A632" s="155"/>
      <c r="B632" s="173"/>
      <c r="C632" s="174"/>
      <c r="D632" s="173"/>
      <c r="E632" s="155"/>
      <c r="F632" s="155"/>
      <c r="G632" s="88"/>
      <c r="H632" s="155"/>
      <c r="I632" s="155"/>
      <c r="J632" s="155"/>
      <c r="K632" s="15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58"/>
      <c r="AA632" s="105"/>
      <c r="AB632" s="105"/>
      <c r="AC632" s="105"/>
      <c r="AD632" s="105"/>
      <c r="AE632" s="105"/>
      <c r="AF632" s="158"/>
      <c r="AG632" s="105"/>
      <c r="AH632" s="158"/>
      <c r="AI632" s="88"/>
      <c r="AJ632" s="88"/>
      <c r="AK632" s="131"/>
      <c r="AL632" s="131"/>
      <c r="AM632" s="131"/>
      <c r="AN632" s="131"/>
      <c r="AO632" s="131"/>
      <c r="AP632" s="88"/>
    </row>
    <row r="633">
      <c r="A633" s="155"/>
      <c r="B633" s="173"/>
      <c r="C633" s="174"/>
      <c r="D633" s="173"/>
      <c r="E633" s="155"/>
      <c r="F633" s="155"/>
      <c r="G633" s="88"/>
      <c r="H633" s="155"/>
      <c r="I633" s="155"/>
      <c r="J633" s="155"/>
      <c r="K633" s="15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58"/>
      <c r="AA633" s="105"/>
      <c r="AB633" s="105"/>
      <c r="AC633" s="105"/>
      <c r="AD633" s="105"/>
      <c r="AE633" s="105"/>
      <c r="AF633" s="158"/>
      <c r="AG633" s="105"/>
      <c r="AH633" s="158"/>
      <c r="AI633" s="88"/>
      <c r="AJ633" s="88"/>
      <c r="AK633" s="131"/>
      <c r="AL633" s="131"/>
      <c r="AM633" s="131"/>
      <c r="AN633" s="131"/>
      <c r="AO633" s="131"/>
      <c r="AP633" s="88"/>
    </row>
    <row r="634">
      <c r="A634" s="155"/>
      <c r="B634" s="173"/>
      <c r="C634" s="174"/>
      <c r="D634" s="173"/>
      <c r="E634" s="155"/>
      <c r="F634" s="155"/>
      <c r="G634" s="88"/>
      <c r="H634" s="155"/>
      <c r="I634" s="155"/>
      <c r="J634" s="155"/>
      <c r="K634" s="15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58"/>
      <c r="AA634" s="105"/>
      <c r="AB634" s="105"/>
      <c r="AC634" s="105"/>
      <c r="AD634" s="105"/>
      <c r="AE634" s="105"/>
      <c r="AF634" s="158"/>
      <c r="AG634" s="105"/>
      <c r="AH634" s="158"/>
      <c r="AI634" s="88"/>
      <c r="AJ634" s="88"/>
      <c r="AK634" s="131"/>
      <c r="AL634" s="131"/>
      <c r="AM634" s="131"/>
      <c r="AN634" s="131"/>
      <c r="AO634" s="131"/>
      <c r="AP634" s="88"/>
    </row>
    <row r="635">
      <c r="A635" s="155"/>
      <c r="B635" s="173"/>
      <c r="C635" s="174"/>
      <c r="D635" s="173"/>
      <c r="E635" s="155"/>
      <c r="F635" s="155"/>
      <c r="G635" s="88"/>
      <c r="H635" s="155"/>
      <c r="I635" s="155"/>
      <c r="J635" s="155"/>
      <c r="K635" s="15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58"/>
      <c r="AA635" s="105"/>
      <c r="AB635" s="105"/>
      <c r="AC635" s="105"/>
      <c r="AD635" s="105"/>
      <c r="AE635" s="105"/>
      <c r="AF635" s="158"/>
      <c r="AG635" s="105"/>
      <c r="AH635" s="158"/>
      <c r="AI635" s="88"/>
      <c r="AJ635" s="88"/>
      <c r="AK635" s="131"/>
      <c r="AL635" s="131"/>
      <c r="AM635" s="131"/>
      <c r="AN635" s="131"/>
      <c r="AO635" s="131"/>
      <c r="AP635" s="88"/>
    </row>
    <row r="636">
      <c r="A636" s="155"/>
      <c r="B636" s="173"/>
      <c r="C636" s="174"/>
      <c r="D636" s="173"/>
      <c r="E636" s="155"/>
      <c r="F636" s="155"/>
      <c r="G636" s="88"/>
      <c r="H636" s="155"/>
      <c r="I636" s="155"/>
      <c r="J636" s="155"/>
      <c r="K636" s="15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58"/>
      <c r="AA636" s="105"/>
      <c r="AB636" s="105"/>
      <c r="AC636" s="105"/>
      <c r="AD636" s="105"/>
      <c r="AE636" s="105"/>
      <c r="AF636" s="158"/>
      <c r="AG636" s="105"/>
      <c r="AH636" s="158"/>
      <c r="AI636" s="88"/>
      <c r="AJ636" s="88"/>
      <c r="AK636" s="131"/>
      <c r="AL636" s="131"/>
      <c r="AM636" s="131"/>
      <c r="AN636" s="131"/>
      <c r="AO636" s="131"/>
      <c r="AP636" s="88"/>
    </row>
    <row r="637">
      <c r="A637" s="155"/>
      <c r="B637" s="173"/>
      <c r="C637" s="174"/>
      <c r="D637" s="173"/>
      <c r="E637" s="155"/>
      <c r="F637" s="155"/>
      <c r="G637" s="88"/>
      <c r="H637" s="155"/>
      <c r="I637" s="155"/>
      <c r="J637" s="155"/>
      <c r="K637" s="15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58"/>
      <c r="AA637" s="105"/>
      <c r="AB637" s="105"/>
      <c r="AC637" s="105"/>
      <c r="AD637" s="105"/>
      <c r="AE637" s="105"/>
      <c r="AF637" s="158"/>
      <c r="AG637" s="105"/>
      <c r="AH637" s="158"/>
      <c r="AI637" s="88"/>
      <c r="AJ637" s="88"/>
      <c r="AK637" s="131"/>
      <c r="AL637" s="131"/>
      <c r="AM637" s="131"/>
      <c r="AN637" s="131"/>
      <c r="AO637" s="131"/>
      <c r="AP637" s="88"/>
    </row>
    <row r="638">
      <c r="A638" s="155"/>
      <c r="B638" s="173"/>
      <c r="C638" s="174"/>
      <c r="D638" s="173"/>
      <c r="E638" s="155"/>
      <c r="F638" s="155"/>
      <c r="G638" s="88"/>
      <c r="H638" s="155"/>
      <c r="I638" s="155"/>
      <c r="J638" s="155"/>
      <c r="K638" s="15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58"/>
      <c r="AA638" s="105"/>
      <c r="AB638" s="105"/>
      <c r="AC638" s="105"/>
      <c r="AD638" s="105"/>
      <c r="AE638" s="105"/>
      <c r="AF638" s="158"/>
      <c r="AG638" s="105"/>
      <c r="AH638" s="158"/>
      <c r="AI638" s="88"/>
      <c r="AJ638" s="88"/>
      <c r="AK638" s="131"/>
      <c r="AL638" s="131"/>
      <c r="AM638" s="131"/>
      <c r="AN638" s="131"/>
      <c r="AO638" s="131"/>
      <c r="AP638" s="88"/>
    </row>
    <row r="639">
      <c r="A639" s="155"/>
      <c r="B639" s="173"/>
      <c r="C639" s="174"/>
      <c r="D639" s="173"/>
      <c r="E639" s="155"/>
      <c r="F639" s="155"/>
      <c r="G639" s="88"/>
      <c r="H639" s="155"/>
      <c r="I639" s="155"/>
      <c r="J639" s="155"/>
      <c r="K639" s="15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58"/>
      <c r="AA639" s="105"/>
      <c r="AB639" s="105"/>
      <c r="AC639" s="105"/>
      <c r="AD639" s="105"/>
      <c r="AE639" s="105"/>
      <c r="AF639" s="158"/>
      <c r="AG639" s="105"/>
      <c r="AH639" s="158"/>
      <c r="AI639" s="88"/>
      <c r="AJ639" s="88"/>
      <c r="AK639" s="131"/>
      <c r="AL639" s="131"/>
      <c r="AM639" s="131"/>
      <c r="AN639" s="131"/>
      <c r="AO639" s="131"/>
      <c r="AP639" s="88"/>
    </row>
    <row r="640">
      <c r="A640" s="155"/>
      <c r="B640" s="173"/>
      <c r="C640" s="174"/>
      <c r="D640" s="173"/>
      <c r="E640" s="155"/>
      <c r="F640" s="155"/>
      <c r="G640" s="88"/>
      <c r="H640" s="155"/>
      <c r="I640" s="155"/>
      <c r="J640" s="155"/>
      <c r="K640" s="15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58"/>
      <c r="AA640" s="105"/>
      <c r="AB640" s="105"/>
      <c r="AC640" s="105"/>
      <c r="AD640" s="105"/>
      <c r="AE640" s="105"/>
      <c r="AF640" s="158"/>
      <c r="AG640" s="105"/>
      <c r="AH640" s="158"/>
      <c r="AI640" s="88"/>
      <c r="AJ640" s="88"/>
      <c r="AK640" s="131"/>
      <c r="AL640" s="131"/>
      <c r="AM640" s="131"/>
      <c r="AN640" s="131"/>
      <c r="AO640" s="131"/>
      <c r="AP640" s="88"/>
    </row>
    <row r="641">
      <c r="A641" s="155"/>
      <c r="B641" s="173"/>
      <c r="C641" s="174"/>
      <c r="D641" s="173"/>
      <c r="E641" s="155"/>
      <c r="F641" s="155"/>
      <c r="G641" s="88"/>
      <c r="H641" s="155"/>
      <c r="I641" s="155"/>
      <c r="J641" s="155"/>
      <c r="K641" s="15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58"/>
      <c r="AA641" s="105"/>
      <c r="AB641" s="105"/>
      <c r="AC641" s="105"/>
      <c r="AD641" s="105"/>
      <c r="AE641" s="105"/>
      <c r="AF641" s="158"/>
      <c r="AG641" s="105"/>
      <c r="AH641" s="158"/>
      <c r="AI641" s="88"/>
      <c r="AJ641" s="88"/>
      <c r="AK641" s="131"/>
      <c r="AL641" s="131"/>
      <c r="AM641" s="131"/>
      <c r="AN641" s="131"/>
      <c r="AO641" s="131"/>
      <c r="AP641" s="88"/>
    </row>
    <row r="642">
      <c r="A642" s="155"/>
      <c r="B642" s="173"/>
      <c r="C642" s="174"/>
      <c r="D642" s="173"/>
      <c r="E642" s="155"/>
      <c r="F642" s="155"/>
      <c r="G642" s="88"/>
      <c r="H642" s="155"/>
      <c r="I642" s="155"/>
      <c r="J642" s="155"/>
      <c r="K642" s="15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58"/>
      <c r="AA642" s="105"/>
      <c r="AB642" s="105"/>
      <c r="AC642" s="105"/>
      <c r="AD642" s="105"/>
      <c r="AE642" s="105"/>
      <c r="AF642" s="158"/>
      <c r="AG642" s="105"/>
      <c r="AH642" s="158"/>
      <c r="AI642" s="88"/>
      <c r="AJ642" s="88"/>
      <c r="AK642" s="131"/>
      <c r="AL642" s="131"/>
      <c r="AM642" s="131"/>
      <c r="AN642" s="131"/>
      <c r="AO642" s="131"/>
      <c r="AP642" s="88"/>
    </row>
    <row r="643">
      <c r="A643" s="155"/>
      <c r="B643" s="173"/>
      <c r="C643" s="174"/>
      <c r="D643" s="173"/>
      <c r="E643" s="155"/>
      <c r="F643" s="155"/>
      <c r="G643" s="88"/>
      <c r="H643" s="155"/>
      <c r="I643" s="155"/>
      <c r="J643" s="155"/>
      <c r="K643" s="15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58"/>
      <c r="AA643" s="105"/>
      <c r="AB643" s="105"/>
      <c r="AC643" s="105"/>
      <c r="AD643" s="105"/>
      <c r="AE643" s="105"/>
      <c r="AF643" s="158"/>
      <c r="AG643" s="105"/>
      <c r="AH643" s="158"/>
      <c r="AI643" s="88"/>
      <c r="AJ643" s="88"/>
      <c r="AK643" s="131"/>
      <c r="AL643" s="131"/>
      <c r="AM643" s="131"/>
      <c r="AN643" s="131"/>
      <c r="AO643" s="131"/>
      <c r="AP643" s="88"/>
    </row>
    <row r="644">
      <c r="A644" s="155"/>
      <c r="B644" s="173"/>
      <c r="C644" s="174"/>
      <c r="D644" s="173"/>
      <c r="E644" s="155"/>
      <c r="F644" s="155"/>
      <c r="G644" s="88"/>
      <c r="H644" s="155"/>
      <c r="I644" s="155"/>
      <c r="J644" s="155"/>
      <c r="K644" s="15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58"/>
      <c r="AA644" s="105"/>
      <c r="AB644" s="105"/>
      <c r="AC644" s="105"/>
      <c r="AD644" s="105"/>
      <c r="AE644" s="105"/>
      <c r="AF644" s="158"/>
      <c r="AG644" s="105"/>
      <c r="AH644" s="158"/>
      <c r="AI644" s="88"/>
      <c r="AJ644" s="88"/>
      <c r="AK644" s="131"/>
      <c r="AL644" s="131"/>
      <c r="AM644" s="131"/>
      <c r="AN644" s="131"/>
      <c r="AO644" s="131"/>
      <c r="AP644" s="88"/>
    </row>
    <row r="645">
      <c r="A645" s="155"/>
      <c r="B645" s="173"/>
      <c r="C645" s="174"/>
      <c r="D645" s="173"/>
      <c r="E645" s="155"/>
      <c r="F645" s="155"/>
      <c r="G645" s="88"/>
      <c r="H645" s="155"/>
      <c r="I645" s="155"/>
      <c r="J645" s="155"/>
      <c r="K645" s="15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58"/>
      <c r="AA645" s="105"/>
      <c r="AB645" s="105"/>
      <c r="AC645" s="105"/>
      <c r="AD645" s="105"/>
      <c r="AE645" s="105"/>
      <c r="AF645" s="158"/>
      <c r="AG645" s="105"/>
      <c r="AH645" s="158"/>
      <c r="AI645" s="88"/>
      <c r="AJ645" s="88"/>
      <c r="AK645" s="131"/>
      <c r="AL645" s="131"/>
      <c r="AM645" s="131"/>
      <c r="AN645" s="131"/>
      <c r="AO645" s="131"/>
      <c r="AP645" s="88"/>
    </row>
    <row r="646">
      <c r="A646" s="155"/>
      <c r="B646" s="173"/>
      <c r="C646" s="174"/>
      <c r="D646" s="173"/>
      <c r="E646" s="155"/>
      <c r="F646" s="155"/>
      <c r="G646" s="88"/>
      <c r="H646" s="155"/>
      <c r="I646" s="155"/>
      <c r="J646" s="155"/>
      <c r="K646" s="15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58"/>
      <c r="AA646" s="105"/>
      <c r="AB646" s="105"/>
      <c r="AC646" s="105"/>
      <c r="AD646" s="105"/>
      <c r="AE646" s="105"/>
      <c r="AF646" s="158"/>
      <c r="AG646" s="105"/>
      <c r="AH646" s="158"/>
      <c r="AI646" s="88"/>
      <c r="AJ646" s="88"/>
      <c r="AK646" s="131"/>
      <c r="AL646" s="131"/>
      <c r="AM646" s="131"/>
      <c r="AN646" s="131"/>
      <c r="AO646" s="131"/>
      <c r="AP646" s="88"/>
    </row>
    <row r="647">
      <c r="A647" s="155"/>
      <c r="B647" s="173"/>
      <c r="C647" s="174"/>
      <c r="D647" s="173"/>
      <c r="E647" s="155"/>
      <c r="F647" s="155"/>
      <c r="G647" s="88"/>
      <c r="H647" s="155"/>
      <c r="I647" s="155"/>
      <c r="J647" s="155"/>
      <c r="K647" s="15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58"/>
      <c r="AA647" s="105"/>
      <c r="AB647" s="105"/>
      <c r="AC647" s="105"/>
      <c r="AD647" s="105"/>
      <c r="AE647" s="105"/>
      <c r="AF647" s="158"/>
      <c r="AG647" s="105"/>
      <c r="AH647" s="158"/>
      <c r="AI647" s="88"/>
      <c r="AJ647" s="88"/>
      <c r="AK647" s="131"/>
      <c r="AL647" s="131"/>
      <c r="AM647" s="131"/>
      <c r="AN647" s="131"/>
      <c r="AO647" s="131"/>
      <c r="AP647" s="88"/>
    </row>
    <row r="648">
      <c r="A648" s="155"/>
      <c r="B648" s="173"/>
      <c r="C648" s="174"/>
      <c r="D648" s="173"/>
      <c r="E648" s="155"/>
      <c r="F648" s="155"/>
      <c r="G648" s="88"/>
      <c r="H648" s="155"/>
      <c r="I648" s="155"/>
      <c r="J648" s="155"/>
      <c r="K648" s="15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58"/>
      <c r="AA648" s="105"/>
      <c r="AB648" s="105"/>
      <c r="AC648" s="105"/>
      <c r="AD648" s="105"/>
      <c r="AE648" s="105"/>
      <c r="AF648" s="158"/>
      <c r="AG648" s="105"/>
      <c r="AH648" s="158"/>
      <c r="AI648" s="88"/>
      <c r="AJ648" s="88"/>
      <c r="AK648" s="131"/>
      <c r="AL648" s="131"/>
      <c r="AM648" s="131"/>
      <c r="AN648" s="131"/>
      <c r="AO648" s="131"/>
      <c r="AP648" s="88"/>
    </row>
    <row r="649">
      <c r="A649" s="155"/>
      <c r="B649" s="173"/>
      <c r="C649" s="174"/>
      <c r="D649" s="173"/>
      <c r="E649" s="155"/>
      <c r="F649" s="155"/>
      <c r="G649" s="88"/>
      <c r="H649" s="155"/>
      <c r="I649" s="155"/>
      <c r="J649" s="155"/>
      <c r="K649" s="15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58"/>
      <c r="AA649" s="105"/>
      <c r="AB649" s="105"/>
      <c r="AC649" s="105"/>
      <c r="AD649" s="105"/>
      <c r="AE649" s="105"/>
      <c r="AF649" s="158"/>
      <c r="AG649" s="105"/>
      <c r="AH649" s="158"/>
      <c r="AI649" s="88"/>
      <c r="AJ649" s="88"/>
      <c r="AK649" s="131"/>
      <c r="AL649" s="131"/>
      <c r="AM649" s="131"/>
      <c r="AN649" s="131"/>
      <c r="AO649" s="131"/>
      <c r="AP649" s="88"/>
    </row>
  </sheetData>
  <mergeCells count="12">
    <mergeCell ref="D1:D2"/>
    <mergeCell ref="B3:D3"/>
    <mergeCell ref="E3:G3"/>
    <mergeCell ref="B4:D4"/>
    <mergeCell ref="E4:G4"/>
    <mergeCell ref="F1:F2"/>
    <mergeCell ref="G1:G2"/>
    <mergeCell ref="H1:K1"/>
    <mergeCell ref="L1:O1"/>
    <mergeCell ref="P1:R1"/>
    <mergeCell ref="T1:Z1"/>
    <mergeCell ref="AA1:AH1"/>
  </mergeCells>
  <hyperlinks>
    <hyperlink r:id="rId1" ref="A1"/>
  </hyperlinks>
  <drawing r:id="rId2"/>
  <tableParts count="1">
    <tablePart r:id="rId4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4.0" topLeftCell="H5" activePane="bottomRight" state="frozen"/>
      <selection activeCell="H1" sqref="H1" pane="topRight"/>
      <selection activeCell="A5" sqref="A5" pane="bottomLeft"/>
      <selection activeCell="H5" sqref="H5" pane="bottomRight"/>
    </sheetView>
  </sheetViews>
  <sheetFormatPr customHeight="1" defaultColWidth="12.63" defaultRowHeight="15.75"/>
  <cols>
    <col customWidth="1" min="1" max="7" width="12.13"/>
    <col customWidth="1" min="42" max="42" width="12.13"/>
  </cols>
  <sheetData>
    <row r="1" ht="41.25" customHeight="1">
      <c r="A1" s="183" t="s">
        <v>3808</v>
      </c>
      <c r="B1" s="544" t="s">
        <v>2409</v>
      </c>
      <c r="C1" s="73" t="s">
        <v>2410</v>
      </c>
      <c r="D1" s="74" t="s">
        <v>2411</v>
      </c>
      <c r="E1" s="545" t="s">
        <v>2412</v>
      </c>
      <c r="F1" s="76" t="s">
        <v>2413</v>
      </c>
      <c r="G1" s="74" t="s">
        <v>2414</v>
      </c>
      <c r="H1" s="77" t="s">
        <v>2415</v>
      </c>
      <c r="I1" s="78"/>
      <c r="J1" s="78"/>
      <c r="K1" s="79"/>
      <c r="L1" s="80" t="s">
        <v>2416</v>
      </c>
      <c r="M1" s="78"/>
      <c r="N1" s="78"/>
      <c r="O1" s="79"/>
      <c r="P1" s="81" t="s">
        <v>3809</v>
      </c>
      <c r="Q1" s="78"/>
      <c r="R1" s="78"/>
      <c r="S1" s="79"/>
      <c r="T1" s="83"/>
      <c r="U1" s="78"/>
      <c r="V1" s="78"/>
      <c r="W1" s="78"/>
      <c r="X1" s="78"/>
      <c r="Y1" s="79"/>
      <c r="Z1" s="83" t="str">
        <f>'UG-CSE'!Z1</f>
        <v/>
      </c>
      <c r="AA1" s="546" t="s">
        <v>2419</v>
      </c>
      <c r="AB1" s="78"/>
      <c r="AC1" s="78"/>
      <c r="AD1" s="78"/>
      <c r="AE1" s="78"/>
      <c r="AF1" s="78"/>
      <c r="AG1" s="79"/>
      <c r="AH1" s="547"/>
      <c r="AI1" s="548"/>
      <c r="AJ1" s="75"/>
      <c r="AK1" s="86" t="s">
        <v>2420</v>
      </c>
      <c r="AL1" s="86" t="s">
        <v>2421</v>
      </c>
      <c r="AM1" s="86" t="s">
        <v>2422</v>
      </c>
      <c r="AN1" s="86" t="s">
        <v>2423</v>
      </c>
      <c r="AO1" s="87" t="s">
        <v>2424</v>
      </c>
      <c r="AP1" s="76" t="s">
        <v>2413</v>
      </c>
    </row>
    <row r="2" ht="42.0" customHeight="1">
      <c r="A2" s="187"/>
      <c r="B2" s="544" t="s">
        <v>2425</v>
      </c>
      <c r="C2" s="73" t="s">
        <v>2426</v>
      </c>
      <c r="D2" s="89"/>
      <c r="E2" s="545" t="s">
        <v>2427</v>
      </c>
      <c r="F2" s="549"/>
      <c r="G2" s="550"/>
      <c r="H2" s="189" t="s">
        <v>2428</v>
      </c>
      <c r="I2" s="189" t="s">
        <v>2429</v>
      </c>
      <c r="J2" s="189" t="s">
        <v>2430</v>
      </c>
      <c r="K2" s="189" t="s">
        <v>2431</v>
      </c>
      <c r="L2" s="190" t="s">
        <v>2432</v>
      </c>
      <c r="M2" s="190" t="s">
        <v>2433</v>
      </c>
      <c r="N2" s="190" t="s">
        <v>2434</v>
      </c>
      <c r="O2" s="190" t="s">
        <v>2435</v>
      </c>
      <c r="P2" s="191" t="s">
        <v>2436</v>
      </c>
      <c r="Q2" s="191" t="s">
        <v>2437</v>
      </c>
      <c r="R2" s="191" t="s">
        <v>2438</v>
      </c>
      <c r="S2" s="191" t="s">
        <v>2439</v>
      </c>
      <c r="T2" s="192" t="str">
        <f>'UG-CSE'!T2</f>
        <v>C2 Odd</v>
      </c>
      <c r="U2" s="192" t="str">
        <f>'UG-CSE'!U2</f>
        <v>C2 Full</v>
      </c>
      <c r="V2" s="192" t="str">
        <f>'UG-CSE'!V2</f>
        <v>C3 Odd</v>
      </c>
      <c r="W2" s="192" t="str">
        <f>'UG-CSE'!W2</f>
        <v>C3 Full</v>
      </c>
      <c r="X2" s="192" t="str">
        <f>'UG-CSE'!X2</f>
        <v>C4 Odd</v>
      </c>
      <c r="Y2" s="192" t="str">
        <f>'UG-CSE'!Y2</f>
        <v>C4 Full</v>
      </c>
      <c r="Z2" s="192" t="str">
        <f>'UG-CSE'!Z2</f>
        <v>C5 Full</v>
      </c>
      <c r="AA2" s="94" t="str">
        <f>'UG-CSE'!AA2</f>
        <v>P1-C</v>
      </c>
      <c r="AB2" s="94" t="str">
        <f>'UG-CSE'!AB2</f>
        <v>P2-Python</v>
      </c>
      <c r="AC2" s="94" t="str">
        <f>'UG-CSE'!AC2</f>
        <v>P3-Python</v>
      </c>
      <c r="AD2" s="94" t="str">
        <f>'UG-CSE'!AD2</f>
        <v>P3-Java </v>
      </c>
      <c r="AE2" s="94" t="str">
        <f>'UG-CSE'!AE2</f>
        <v>P4-Programming part 1</v>
      </c>
      <c r="AF2" s="94" t="str">
        <f>'UG-CSE'!AF2</f>
        <v>P4-Programming part 2</v>
      </c>
      <c r="AG2" s="193" t="str">
        <f>'UG-CSE'!AG2</f>
        <v>P4-MAD/FSD</v>
      </c>
      <c r="AH2" s="193" t="str">
        <f>'UG-CSE'!AH2</f>
        <v>P4-DS</v>
      </c>
      <c r="AI2" s="94" t="s">
        <v>2455</v>
      </c>
      <c r="AJ2" s="95" t="s">
        <v>2456</v>
      </c>
      <c r="AK2" s="96" t="s">
        <v>2457</v>
      </c>
      <c r="AL2" s="96" t="s">
        <v>2457</v>
      </c>
      <c r="AM2" s="96" t="s">
        <v>2457</v>
      </c>
      <c r="AN2" s="96" t="s">
        <v>2457</v>
      </c>
      <c r="AO2" s="96" t="s">
        <v>2457</v>
      </c>
      <c r="AP2" s="549"/>
    </row>
    <row r="3">
      <c r="A3" s="194"/>
      <c r="B3" s="551" t="s">
        <v>2458</v>
      </c>
      <c r="C3" s="196"/>
      <c r="D3" s="197"/>
      <c r="E3" s="552"/>
      <c r="F3" s="199"/>
      <c r="G3" s="200"/>
      <c r="H3" s="272">
        <v>100.0</v>
      </c>
      <c r="I3" s="272">
        <v>100.0</v>
      </c>
      <c r="J3" s="272">
        <v>100.0</v>
      </c>
      <c r="K3" s="272">
        <v>100.0</v>
      </c>
      <c r="L3" s="272">
        <v>100.0</v>
      </c>
      <c r="M3" s="272">
        <v>100.0</v>
      </c>
      <c r="N3" s="272">
        <v>100.0</v>
      </c>
      <c r="O3" s="272">
        <v>100.0</v>
      </c>
      <c r="P3" s="272">
        <v>100.0</v>
      </c>
      <c r="Q3" s="272">
        <v>100.0</v>
      </c>
      <c r="R3" s="272">
        <v>100.0</v>
      </c>
      <c r="S3" s="272">
        <v>100.0</v>
      </c>
      <c r="T3" s="102">
        <v>25.0</v>
      </c>
      <c r="U3" s="273">
        <v>100.0</v>
      </c>
      <c r="V3" s="272">
        <v>100.0</v>
      </c>
      <c r="W3" s="272">
        <v>100.0</v>
      </c>
      <c r="X3" s="272">
        <v>100.0</v>
      </c>
      <c r="Y3" s="272">
        <v>100.0</v>
      </c>
      <c r="Z3" s="272">
        <v>100.0</v>
      </c>
      <c r="AA3" s="272">
        <v>100.0</v>
      </c>
      <c r="AB3" s="102">
        <v>100.0</v>
      </c>
      <c r="AC3" s="102">
        <v>100.0</v>
      </c>
      <c r="AD3" s="102">
        <v>100.0</v>
      </c>
      <c r="AE3" s="102">
        <v>100.0</v>
      </c>
      <c r="AF3" s="102">
        <v>100.0</v>
      </c>
      <c r="AG3" s="274">
        <v>100.0</v>
      </c>
      <c r="AH3" s="274">
        <v>100.0</v>
      </c>
      <c r="AI3" s="105">
        <v>100.0</v>
      </c>
      <c r="AJ3" s="105"/>
      <c r="AK3" s="553"/>
      <c r="AL3" s="553"/>
      <c r="AM3" s="553"/>
      <c r="AN3" s="553"/>
      <c r="AO3" s="553"/>
    </row>
    <row r="4">
      <c r="A4" s="194"/>
      <c r="B4" s="554" t="s">
        <v>2459</v>
      </c>
      <c r="C4" s="204"/>
      <c r="D4" s="205"/>
      <c r="E4" s="552"/>
      <c r="F4" s="199"/>
      <c r="G4" s="200"/>
      <c r="H4" s="100">
        <v>65.0</v>
      </c>
      <c r="I4" s="100">
        <v>65.0</v>
      </c>
      <c r="J4" s="100">
        <v>70.0</v>
      </c>
      <c r="K4" s="100">
        <v>70.0</v>
      </c>
      <c r="L4" s="107">
        <v>50.0</v>
      </c>
      <c r="M4" s="107">
        <v>50.0</v>
      </c>
      <c r="N4" s="107">
        <v>50.0</v>
      </c>
      <c r="O4" s="279">
        <v>65.0</v>
      </c>
      <c r="P4" s="107">
        <v>50.0</v>
      </c>
      <c r="Q4" s="107">
        <v>50.0</v>
      </c>
      <c r="R4" s="107">
        <v>50.0</v>
      </c>
      <c r="S4" s="109">
        <v>50.0</v>
      </c>
      <c r="T4" s="110">
        <v>10.0</v>
      </c>
      <c r="U4" s="281">
        <v>50.0</v>
      </c>
      <c r="V4" s="108">
        <v>50.0</v>
      </c>
      <c r="W4" s="107">
        <v>50.0</v>
      </c>
      <c r="X4" s="107">
        <v>50.0</v>
      </c>
      <c r="Y4" s="111">
        <v>50.0</v>
      </c>
      <c r="Z4" s="107">
        <v>50.0</v>
      </c>
      <c r="AA4" s="107">
        <v>50.0</v>
      </c>
      <c r="AB4" s="112">
        <v>60.0</v>
      </c>
      <c r="AC4" s="112">
        <v>60.0</v>
      </c>
      <c r="AD4" s="112">
        <v>100.0</v>
      </c>
      <c r="AE4" s="112">
        <v>100.0</v>
      </c>
      <c r="AF4" s="110">
        <v>70.0</v>
      </c>
      <c r="AG4" s="207">
        <v>70.0</v>
      </c>
      <c r="AH4" s="207">
        <v>70.0</v>
      </c>
      <c r="AI4" s="105">
        <v>50.0</v>
      </c>
      <c r="AJ4" s="105"/>
      <c r="AK4" s="553"/>
      <c r="AL4" s="553"/>
      <c r="AM4" s="553"/>
      <c r="AN4" s="553"/>
      <c r="AO4" s="553"/>
    </row>
    <row r="5">
      <c r="A5" s="555">
        <f>IFERROR(__xludf.DUMMYFUNCTION("QUERY({'UG-CSE'!A5:AO1290;'UG-ISE'!A5:AO1290;'UG-CSDS'!A5:AO1290;'UG-AIML'!A5:AO1290;'UG-CSAIML'!A5:AO1290;'UG-AIDS'!A5:AO1290;'UG-ECE'!A5:AO1290},""select * where Col1 is not null"",0)"),1.0)</f>
        <v>1</v>
      </c>
      <c r="B5" s="556" t="str">
        <f>IFERROR(__xludf.DUMMYFUNCTION("""COMPUTED_VALUE"""),"avre23cs@cmrit.ac.in")</f>
        <v>avre23cs@cmrit.ac.in</v>
      </c>
      <c r="C5" s="557" t="str">
        <f>IFERROR(__xludf.DUMMYFUNCTION("""COMPUTED_VALUE"""),"A VENKATA NAVADEEP REDDY")</f>
        <v>A VENKATA NAVADEEP REDDY</v>
      </c>
      <c r="D5" s="261" t="str">
        <f>IFERROR(__xludf.DUMMYFUNCTION("""COMPUTED_VALUE"""),"1CR23CS001")</f>
        <v>1CR23CS001</v>
      </c>
      <c r="E5" s="558">
        <f>IFERROR(__xludf.DUMMYFUNCTION("""COMPUTED_VALUE"""),9.663561099E9)</f>
        <v>9663561099</v>
      </c>
      <c r="F5" s="155" t="str">
        <f>IFERROR(__xludf.DUMMYFUNCTION("""COMPUTED_VALUE"""),"CSE")</f>
        <v>CSE</v>
      </c>
      <c r="G5" s="158"/>
      <c r="H5" s="559">
        <f>IFERROR(__xludf.DUMMYFUNCTION("""COMPUTED_VALUE"""),72.0)</f>
        <v>72</v>
      </c>
      <c r="I5" s="559">
        <f>IFERROR(__xludf.DUMMYFUNCTION("""COMPUTED_VALUE"""),77.0)</f>
        <v>77</v>
      </c>
      <c r="J5" s="559">
        <f>IFERROR(__xludf.DUMMYFUNCTION("""COMPUTED_VALUE"""),70.0)</f>
        <v>70</v>
      </c>
      <c r="K5" s="559">
        <f>IFERROR(__xludf.DUMMYFUNCTION("""COMPUTED_VALUE"""),71.0)</f>
        <v>71</v>
      </c>
      <c r="L5" s="560">
        <f>IFERROR(__xludf.DUMMYFUNCTION("""COMPUTED_VALUE"""),50.0)</f>
        <v>50</v>
      </c>
      <c r="M5" s="561">
        <f>IFERROR(__xludf.DUMMYFUNCTION("""COMPUTED_VALUE"""),13.0)</f>
        <v>13</v>
      </c>
      <c r="N5" s="561">
        <f>IFERROR(__xludf.DUMMYFUNCTION("""COMPUTED_VALUE"""),50.0)</f>
        <v>50</v>
      </c>
      <c r="O5" s="560"/>
      <c r="P5" s="562">
        <f>IFERROR(__xludf.DUMMYFUNCTION("""COMPUTED_VALUE"""),50.0)</f>
        <v>50</v>
      </c>
      <c r="Q5" s="562">
        <f>IFERROR(__xludf.DUMMYFUNCTION("""COMPUTED_VALUE"""),50.0)</f>
        <v>50</v>
      </c>
      <c r="R5" s="562">
        <f>IFERROR(__xludf.DUMMYFUNCTION("""COMPUTED_VALUE"""),88.0)</f>
        <v>88</v>
      </c>
      <c r="S5" s="562"/>
      <c r="T5" s="217">
        <f>IFERROR(__xludf.DUMMYFUNCTION("""COMPUTED_VALUE"""),17.0)</f>
        <v>17</v>
      </c>
      <c r="U5" s="217">
        <f>IFERROR(__xludf.DUMMYFUNCTION("""COMPUTED_VALUE"""),12.0)</f>
        <v>12</v>
      </c>
      <c r="V5" s="217">
        <f>IFERROR(__xludf.DUMMYFUNCTION("""COMPUTED_VALUE"""),84.0)</f>
        <v>84</v>
      </c>
      <c r="W5" s="217"/>
      <c r="X5" s="217">
        <f>IFERROR(__xludf.DUMMYFUNCTION("""COMPUTED_VALUE"""),80.0)</f>
        <v>80</v>
      </c>
      <c r="Y5" s="217"/>
      <c r="Z5" s="217"/>
      <c r="AA5" s="481">
        <f>IFERROR(__xludf.DUMMYFUNCTION("""COMPUTED_VALUE"""),40.0)</f>
        <v>40</v>
      </c>
      <c r="AB5" s="481">
        <f>IFERROR(__xludf.DUMMYFUNCTION("""COMPUTED_VALUE"""),100.0)</f>
        <v>100</v>
      </c>
      <c r="AC5" s="481">
        <f>IFERROR(__xludf.DUMMYFUNCTION("""COMPUTED_VALUE"""),96.5)</f>
        <v>96.5</v>
      </c>
      <c r="AD5" s="481">
        <f>IFERROR(__xludf.DUMMYFUNCTION("""COMPUTED_VALUE"""),100.0)</f>
        <v>100</v>
      </c>
      <c r="AE5" s="481">
        <f>IFERROR(__xludf.DUMMYFUNCTION("""COMPUTED_VALUE"""),70.0)</f>
        <v>70</v>
      </c>
      <c r="AF5" s="481"/>
      <c r="AG5" s="481">
        <f>IFERROR(__xludf.DUMMYFUNCTION("""COMPUTED_VALUE"""),61.0)</f>
        <v>61</v>
      </c>
      <c r="AH5" s="481"/>
      <c r="AI5" s="158"/>
      <c r="AJ5" s="158"/>
      <c r="AK5" s="133">
        <f>IFERROR(__xludf.DUMMYFUNCTION("""COMPUTED_VALUE"""),4.0)</f>
        <v>4</v>
      </c>
      <c r="AL5" s="133">
        <f>IFERROR(__xludf.DUMMYFUNCTION("""COMPUTED_VALUE"""),1.0)</f>
        <v>1</v>
      </c>
      <c r="AM5" s="133">
        <f>IFERROR(__xludf.DUMMYFUNCTION("""COMPUTED_VALUE"""),2.0)</f>
        <v>2</v>
      </c>
      <c r="AN5" s="133" t="str">
        <f>IFERROR(__xludf.DUMMYFUNCTION("""COMPUTED_VALUE"""),"3.5")</f>
        <v>3.5</v>
      </c>
      <c r="AO5" s="133">
        <f>IFERROR(__xludf.DUMMYFUNCTION("""COMPUTED_VALUE"""),3.0)</f>
        <v>3</v>
      </c>
      <c r="AP5" s="155" t="s">
        <v>2461</v>
      </c>
    </row>
    <row r="6">
      <c r="A6" s="555">
        <f>IFERROR(__xludf.DUMMYFUNCTION("""COMPUTED_VALUE"""),2.0)</f>
        <v>2</v>
      </c>
      <c r="B6" s="555" t="str">
        <f>IFERROR(__xludf.DUMMYFUNCTION("""COMPUTED_VALUE"""),"aagu23cs@cmrit.ac.in")</f>
        <v>aagu23cs@cmrit.ac.in</v>
      </c>
      <c r="C6" s="174" t="str">
        <f>IFERROR(__xludf.DUMMYFUNCTION("""COMPUTED_VALUE"""),"AADITYA GUPTA")</f>
        <v>AADITYA GUPTA</v>
      </c>
      <c r="D6" s="261" t="str">
        <f>IFERROR(__xludf.DUMMYFUNCTION("""COMPUTED_VALUE"""),"1CR23CS002")</f>
        <v>1CR23CS002</v>
      </c>
      <c r="E6" s="563">
        <f>IFERROR(__xludf.DUMMYFUNCTION("""COMPUTED_VALUE"""),8.527939636E9)</f>
        <v>8527939636</v>
      </c>
      <c r="F6" s="155" t="str">
        <f>IFERROR(__xludf.DUMMYFUNCTION("""COMPUTED_VALUE"""),"CSE")</f>
        <v>CSE</v>
      </c>
      <c r="G6" s="158"/>
      <c r="H6" s="559">
        <f>IFERROR(__xludf.DUMMYFUNCTION("""COMPUTED_VALUE"""),76.0)</f>
        <v>76</v>
      </c>
      <c r="I6" s="559">
        <f>IFERROR(__xludf.DUMMYFUNCTION("""COMPUTED_VALUE"""),90.0)</f>
        <v>90</v>
      </c>
      <c r="J6" s="559">
        <f>IFERROR(__xludf.DUMMYFUNCTION("""COMPUTED_VALUE"""),82.0)</f>
        <v>82</v>
      </c>
      <c r="K6" s="559">
        <f>IFERROR(__xludf.DUMMYFUNCTION("""COMPUTED_VALUE"""),73.0)</f>
        <v>73</v>
      </c>
      <c r="L6" s="560">
        <f>IFERROR(__xludf.DUMMYFUNCTION("""COMPUTED_VALUE"""),60.0)</f>
        <v>60</v>
      </c>
      <c r="M6" s="561">
        <f>IFERROR(__xludf.DUMMYFUNCTION("""COMPUTED_VALUE"""),50.0)</f>
        <v>50</v>
      </c>
      <c r="N6" s="561">
        <f>IFERROR(__xludf.DUMMYFUNCTION("""COMPUTED_VALUE"""),50.0)</f>
        <v>50</v>
      </c>
      <c r="O6" s="560"/>
      <c r="P6" s="562">
        <f>IFERROR(__xludf.DUMMYFUNCTION("""COMPUTED_VALUE"""),75.0)</f>
        <v>75</v>
      </c>
      <c r="Q6" s="562">
        <f>IFERROR(__xludf.DUMMYFUNCTION("""COMPUTED_VALUE"""),50.0)</f>
        <v>50</v>
      </c>
      <c r="R6" s="562">
        <f>IFERROR(__xludf.DUMMYFUNCTION("""COMPUTED_VALUE"""),74.0)</f>
        <v>74</v>
      </c>
      <c r="S6" s="562"/>
      <c r="T6" s="217">
        <f>IFERROR(__xludf.DUMMYFUNCTION("""COMPUTED_VALUE"""),22.0)</f>
        <v>22</v>
      </c>
      <c r="U6" s="217">
        <f>IFERROR(__xludf.DUMMYFUNCTION("""COMPUTED_VALUE"""),17.0)</f>
        <v>17</v>
      </c>
      <c r="V6" s="217">
        <f>IFERROR(__xludf.DUMMYFUNCTION("""COMPUTED_VALUE"""),64.0)</f>
        <v>64</v>
      </c>
      <c r="W6" s="217">
        <f>IFERROR(__xludf.DUMMYFUNCTION("""COMPUTED_VALUE"""),52.0)</f>
        <v>52</v>
      </c>
      <c r="X6" s="217">
        <f>IFERROR(__xludf.DUMMYFUNCTION("""COMPUTED_VALUE"""),72.0)</f>
        <v>72</v>
      </c>
      <c r="Y6" s="217"/>
      <c r="Z6" s="217"/>
      <c r="AA6" s="481">
        <f>IFERROR(__xludf.DUMMYFUNCTION("""COMPUTED_VALUE"""),80.0)</f>
        <v>80</v>
      </c>
      <c r="AB6" s="481">
        <f>IFERROR(__xludf.DUMMYFUNCTION("""COMPUTED_VALUE"""),96.25)</f>
        <v>96.25</v>
      </c>
      <c r="AC6" s="481">
        <f>IFERROR(__xludf.DUMMYFUNCTION("""COMPUTED_VALUE"""),60.0)</f>
        <v>60</v>
      </c>
      <c r="AD6" s="481">
        <f>IFERROR(__xludf.DUMMYFUNCTION("""COMPUTED_VALUE"""),18.0)</f>
        <v>18</v>
      </c>
      <c r="AE6" s="481">
        <f>IFERROR(__xludf.DUMMYFUNCTION("""COMPUTED_VALUE"""),23.0)</f>
        <v>23</v>
      </c>
      <c r="AF6" s="481"/>
      <c r="AG6" s="481">
        <f>IFERROR(__xludf.DUMMYFUNCTION("""COMPUTED_VALUE"""),20.0)</f>
        <v>20</v>
      </c>
      <c r="AH6" s="481"/>
      <c r="AI6" s="158"/>
      <c r="AJ6" s="158"/>
      <c r="AK6" s="133">
        <f>IFERROR(__xludf.DUMMYFUNCTION("""COMPUTED_VALUE"""),4.0)</f>
        <v>4</v>
      </c>
      <c r="AL6" s="133">
        <f>IFERROR(__xludf.DUMMYFUNCTION("""COMPUTED_VALUE"""),3.0)</f>
        <v>3</v>
      </c>
      <c r="AM6" s="133">
        <f>IFERROR(__xludf.DUMMYFUNCTION("""COMPUTED_VALUE"""),3.0)</f>
        <v>3</v>
      </c>
      <c r="AN6" s="133" t="str">
        <f>IFERROR(__xludf.DUMMYFUNCTION("""COMPUTED_VALUE"""),"3")</f>
        <v>3</v>
      </c>
      <c r="AO6" s="133">
        <f>IFERROR(__xludf.DUMMYFUNCTION("""COMPUTED_VALUE"""),3.0)</f>
        <v>3</v>
      </c>
      <c r="AP6" s="155" t="s">
        <v>2461</v>
      </c>
    </row>
    <row r="7">
      <c r="A7" s="555">
        <f>IFERROR(__xludf.DUMMYFUNCTION("""COMPUTED_VALUE"""),3.0)</f>
        <v>3</v>
      </c>
      <c r="B7" s="555" t="str">
        <f>IFERROR(__xludf.DUMMYFUNCTION("""COMPUTED_VALUE"""),"aadgu23cs@cmrit.ac.in")</f>
        <v>aadgu23cs@cmrit.ac.in</v>
      </c>
      <c r="C7" s="564" t="str">
        <f>IFERROR(__xludf.DUMMYFUNCTION("""COMPUTED_VALUE"""),"AADITYA GUPTA")</f>
        <v>AADITYA GUPTA</v>
      </c>
      <c r="D7" s="261" t="str">
        <f>IFERROR(__xludf.DUMMYFUNCTION("""COMPUTED_VALUE"""),"1CR23CS003")</f>
        <v>1CR23CS003</v>
      </c>
      <c r="E7" s="563">
        <f>IFERROR(__xludf.DUMMYFUNCTION("""COMPUTED_VALUE"""),9.77982E12)</f>
        <v>9779820000000</v>
      </c>
      <c r="F7" s="155" t="str">
        <f>IFERROR(__xludf.DUMMYFUNCTION("""COMPUTED_VALUE"""),"CSE")</f>
        <v>CSE</v>
      </c>
      <c r="G7" s="158"/>
      <c r="H7" s="559">
        <f>IFERROR(__xludf.DUMMYFUNCTION("""COMPUTED_VALUE"""),81.0)</f>
        <v>81</v>
      </c>
      <c r="I7" s="559">
        <f>IFERROR(__xludf.DUMMYFUNCTION("""COMPUTED_VALUE"""),86.0)</f>
        <v>86</v>
      </c>
      <c r="J7" s="559">
        <f>IFERROR(__xludf.DUMMYFUNCTION("""COMPUTED_VALUE"""),70.0)</f>
        <v>70</v>
      </c>
      <c r="K7" s="559">
        <f>IFERROR(__xludf.DUMMYFUNCTION("""COMPUTED_VALUE"""),70.0)</f>
        <v>70</v>
      </c>
      <c r="L7" s="560">
        <f>IFERROR(__xludf.DUMMYFUNCTION("""COMPUTED_VALUE"""),60.0)</f>
        <v>60</v>
      </c>
      <c r="M7" s="561">
        <f>IFERROR(__xludf.DUMMYFUNCTION("""COMPUTED_VALUE"""),50.0)</f>
        <v>50</v>
      </c>
      <c r="N7" s="561">
        <f>IFERROR(__xludf.DUMMYFUNCTION("""COMPUTED_VALUE"""),50.0)</f>
        <v>50</v>
      </c>
      <c r="O7" s="560"/>
      <c r="P7" s="562">
        <f>IFERROR(__xludf.DUMMYFUNCTION("""COMPUTED_VALUE"""),72.0)</f>
        <v>72</v>
      </c>
      <c r="Q7" s="562">
        <f>IFERROR(__xludf.DUMMYFUNCTION("""COMPUTED_VALUE"""),63.0)</f>
        <v>63</v>
      </c>
      <c r="R7" s="562">
        <f>IFERROR(__xludf.DUMMYFUNCTION("""COMPUTED_VALUE"""),90.0)</f>
        <v>90</v>
      </c>
      <c r="S7" s="562"/>
      <c r="T7" s="217">
        <f>IFERROR(__xludf.DUMMYFUNCTION("""COMPUTED_VALUE"""),20.0)</f>
        <v>20</v>
      </c>
      <c r="U7" s="217">
        <f>IFERROR(__xludf.DUMMYFUNCTION("""COMPUTED_VALUE"""),21.0)</f>
        <v>21</v>
      </c>
      <c r="V7" s="217">
        <f>IFERROR(__xludf.DUMMYFUNCTION("""COMPUTED_VALUE"""),72.0)</f>
        <v>72</v>
      </c>
      <c r="W7" s="217">
        <f>IFERROR(__xludf.DUMMYFUNCTION("""COMPUTED_VALUE"""),24.0)</f>
        <v>24</v>
      </c>
      <c r="X7" s="217">
        <f>IFERROR(__xludf.DUMMYFUNCTION("""COMPUTED_VALUE"""),80.0)</f>
        <v>80</v>
      </c>
      <c r="Y7" s="217"/>
      <c r="Z7" s="217"/>
      <c r="AA7" s="481">
        <f>IFERROR(__xludf.DUMMYFUNCTION("""COMPUTED_VALUE"""),94.0)</f>
        <v>94</v>
      </c>
      <c r="AB7" s="481">
        <f>IFERROR(__xludf.DUMMYFUNCTION("""COMPUTED_VALUE"""),97.5)</f>
        <v>97.5</v>
      </c>
      <c r="AC7" s="481">
        <f>IFERROR(__xludf.DUMMYFUNCTION("""COMPUTED_VALUE"""),75.0)</f>
        <v>75</v>
      </c>
      <c r="AD7" s="481">
        <f>IFERROR(__xludf.DUMMYFUNCTION("""COMPUTED_VALUE"""),60.0)</f>
        <v>60</v>
      </c>
      <c r="AE7" s="481">
        <f>IFERROR(__xludf.DUMMYFUNCTION("""COMPUTED_VALUE"""),70.0)</f>
        <v>70</v>
      </c>
      <c r="AF7" s="481"/>
      <c r="AG7" s="481">
        <f>IFERROR(__xludf.DUMMYFUNCTION("""COMPUTED_VALUE"""),88.0)</f>
        <v>88</v>
      </c>
      <c r="AH7" s="481"/>
      <c r="AI7" s="158"/>
      <c r="AJ7" s="158"/>
      <c r="AK7" s="133">
        <f>IFERROR(__xludf.DUMMYFUNCTION("""COMPUTED_VALUE"""),4.0)</f>
        <v>4</v>
      </c>
      <c r="AL7" s="133">
        <f>IFERROR(__xludf.DUMMYFUNCTION("""COMPUTED_VALUE"""),3.0)</f>
        <v>3</v>
      </c>
      <c r="AM7" s="133">
        <f>IFERROR(__xludf.DUMMYFUNCTION("""COMPUTED_VALUE"""),2.0)</f>
        <v>2</v>
      </c>
      <c r="AN7" s="133" t="str">
        <f>IFERROR(__xludf.DUMMYFUNCTION("""COMPUTED_VALUE"""),"3.5")</f>
        <v>3.5</v>
      </c>
      <c r="AO7" s="133">
        <f>IFERROR(__xludf.DUMMYFUNCTION("""COMPUTED_VALUE"""),3.0)</f>
        <v>3</v>
      </c>
      <c r="AP7" s="155" t="s">
        <v>2461</v>
      </c>
    </row>
    <row r="8">
      <c r="A8" s="555">
        <f>IFERROR(__xludf.DUMMYFUNCTION("""COMPUTED_VALUE"""),4.0)</f>
        <v>4</v>
      </c>
      <c r="B8" s="555" t="str">
        <f>IFERROR(__xludf.DUMMYFUNCTION("""COMPUTED_VALUE"""),"aagup23cs@cmrit.ac.in")</f>
        <v>aagup23cs@cmrit.ac.in</v>
      </c>
      <c r="C8" s="172" t="str">
        <f>IFERROR(__xludf.DUMMYFUNCTION("""COMPUTED_VALUE"""),"Aakash Gupta")</f>
        <v>Aakash Gupta</v>
      </c>
      <c r="D8" s="261" t="str">
        <f>IFERROR(__xludf.DUMMYFUNCTION("""COMPUTED_VALUE"""),"1CR23CS004")</f>
        <v>1CR23CS004</v>
      </c>
      <c r="E8" s="563">
        <f>IFERROR(__xludf.DUMMYFUNCTION("""COMPUTED_VALUE"""),7.033933902E9)</f>
        <v>7033933902</v>
      </c>
      <c r="F8" s="155" t="str">
        <f>IFERROR(__xludf.DUMMYFUNCTION("""COMPUTED_VALUE"""),"CSE")</f>
        <v>CSE</v>
      </c>
      <c r="G8" s="158"/>
      <c r="H8" s="559">
        <f>IFERROR(__xludf.DUMMYFUNCTION("""COMPUTED_VALUE"""),78.0)</f>
        <v>78</v>
      </c>
      <c r="I8" s="559">
        <f>IFERROR(__xludf.DUMMYFUNCTION("""COMPUTED_VALUE"""),85.0)</f>
        <v>85</v>
      </c>
      <c r="J8" s="559">
        <f>IFERROR(__xludf.DUMMYFUNCTION("""COMPUTED_VALUE"""),49.0)</f>
        <v>49</v>
      </c>
      <c r="K8" s="559">
        <f>IFERROR(__xludf.DUMMYFUNCTION("""COMPUTED_VALUE"""),70.0)</f>
        <v>70</v>
      </c>
      <c r="L8" s="560">
        <f>IFERROR(__xludf.DUMMYFUNCTION("""COMPUTED_VALUE"""),34.0)</f>
        <v>34</v>
      </c>
      <c r="M8" s="561">
        <f>IFERROR(__xludf.DUMMYFUNCTION("""COMPUTED_VALUE"""),18.0)</f>
        <v>18</v>
      </c>
      <c r="N8" s="561">
        <f>IFERROR(__xludf.DUMMYFUNCTION("""COMPUTED_VALUE"""),40.0)</f>
        <v>40</v>
      </c>
      <c r="O8" s="560"/>
      <c r="P8" s="562">
        <f>IFERROR(__xludf.DUMMYFUNCTION("""COMPUTED_VALUE"""),50.0)</f>
        <v>50</v>
      </c>
      <c r="Q8" s="562">
        <f>IFERROR(__xludf.DUMMYFUNCTION("""COMPUTED_VALUE"""),63.0)</f>
        <v>63</v>
      </c>
      <c r="R8" s="562">
        <f>IFERROR(__xludf.DUMMYFUNCTION("""COMPUTED_VALUE"""),86.0)</f>
        <v>86</v>
      </c>
      <c r="S8" s="562"/>
      <c r="T8" s="217">
        <f>IFERROR(__xludf.DUMMYFUNCTION("""COMPUTED_VALUE"""),20.0)</f>
        <v>20</v>
      </c>
      <c r="U8" s="217">
        <f>IFERROR(__xludf.DUMMYFUNCTION("""COMPUTED_VALUE"""),12.0)</f>
        <v>12</v>
      </c>
      <c r="V8" s="217">
        <f>IFERROR(__xludf.DUMMYFUNCTION("""COMPUTED_VALUE"""),56.0)</f>
        <v>56</v>
      </c>
      <c r="W8" s="217">
        <f>IFERROR(__xludf.DUMMYFUNCTION("""COMPUTED_VALUE"""),32.0)</f>
        <v>32</v>
      </c>
      <c r="X8" s="217">
        <f>IFERROR(__xludf.DUMMYFUNCTION("""COMPUTED_VALUE"""),76.0)</f>
        <v>76</v>
      </c>
      <c r="Y8" s="217"/>
      <c r="Z8" s="217"/>
      <c r="AA8" s="481">
        <f>IFERROR(__xludf.DUMMYFUNCTION("""COMPUTED_VALUE"""),0.0)</f>
        <v>0</v>
      </c>
      <c r="AB8" s="481">
        <f>IFERROR(__xludf.DUMMYFUNCTION("""COMPUTED_VALUE"""),93.75)</f>
        <v>93.75</v>
      </c>
      <c r="AC8" s="481">
        <f>IFERROR(__xludf.DUMMYFUNCTION("""COMPUTED_VALUE"""),22.0)</f>
        <v>22</v>
      </c>
      <c r="AD8" s="481">
        <f>IFERROR(__xludf.DUMMYFUNCTION("""COMPUTED_VALUE"""),70.0)</f>
        <v>70</v>
      </c>
      <c r="AE8" s="481">
        <f>IFERROR(__xludf.DUMMYFUNCTION("""COMPUTED_VALUE"""),35.0)</f>
        <v>35</v>
      </c>
      <c r="AF8" s="481"/>
      <c r="AG8" s="481">
        <f>IFERROR(__xludf.DUMMYFUNCTION("""COMPUTED_VALUE"""),26.0)</f>
        <v>26</v>
      </c>
      <c r="AH8" s="481"/>
      <c r="AI8" s="158"/>
      <c r="AJ8" s="158"/>
      <c r="AK8" s="133">
        <f>IFERROR(__xludf.DUMMYFUNCTION("""COMPUTED_VALUE"""),2.0)</f>
        <v>2</v>
      </c>
      <c r="AL8" s="133">
        <f>IFERROR(__xludf.DUMMYFUNCTION("""COMPUTED_VALUE"""),0.0)</f>
        <v>0</v>
      </c>
      <c r="AM8" s="133">
        <f>IFERROR(__xludf.DUMMYFUNCTION("""COMPUTED_VALUE"""),2.0)</f>
        <v>2</v>
      </c>
      <c r="AN8" s="133" t="str">
        <f>IFERROR(__xludf.DUMMYFUNCTION("""COMPUTED_VALUE"""),"3")</f>
        <v>3</v>
      </c>
      <c r="AO8" s="133">
        <f>IFERROR(__xludf.DUMMYFUNCTION("""COMPUTED_VALUE"""),3.0)</f>
        <v>3</v>
      </c>
      <c r="AP8" s="155" t="s">
        <v>2461</v>
      </c>
    </row>
    <row r="9">
      <c r="A9" s="555">
        <f>IFERROR(__xludf.DUMMYFUNCTION("""COMPUTED_VALUE"""),5.0)</f>
        <v>5</v>
      </c>
      <c r="B9" s="555" t="str">
        <f>IFERROR(__xludf.DUMMYFUNCTION("""COMPUTED_VALUE"""),"aaru23cs@cmrit.ac.in")</f>
        <v>aaru23cs@cmrit.ac.in</v>
      </c>
      <c r="C9" s="174" t="str">
        <f>IFERROR(__xludf.DUMMYFUNCTION("""COMPUTED_VALUE"""),"AARUHI")</f>
        <v>AARUHI</v>
      </c>
      <c r="D9" s="261" t="str">
        <f>IFERROR(__xludf.DUMMYFUNCTION("""COMPUTED_VALUE"""),"1CR23CS005")</f>
        <v>1CR23CS005</v>
      </c>
      <c r="E9" s="563">
        <f>IFERROR(__xludf.DUMMYFUNCTION("""COMPUTED_VALUE"""),9.508931008E9)</f>
        <v>9508931008</v>
      </c>
      <c r="F9" s="155" t="str">
        <f>IFERROR(__xludf.DUMMYFUNCTION("""COMPUTED_VALUE"""),"CSE")</f>
        <v>CSE</v>
      </c>
      <c r="G9" s="158"/>
      <c r="H9" s="559">
        <f>IFERROR(__xludf.DUMMYFUNCTION("""COMPUTED_VALUE"""),75.0)</f>
        <v>75</v>
      </c>
      <c r="I9" s="559">
        <f>IFERROR(__xludf.DUMMYFUNCTION("""COMPUTED_VALUE"""),83.0)</f>
        <v>83</v>
      </c>
      <c r="J9" s="559">
        <f>IFERROR(__xludf.DUMMYFUNCTION("""COMPUTED_VALUE"""),70.0)</f>
        <v>70</v>
      </c>
      <c r="K9" s="559">
        <f>IFERROR(__xludf.DUMMYFUNCTION("""COMPUTED_VALUE"""),70.0)</f>
        <v>70</v>
      </c>
      <c r="L9" s="560">
        <f>IFERROR(__xludf.DUMMYFUNCTION("""COMPUTED_VALUE"""),50.0)</f>
        <v>50</v>
      </c>
      <c r="M9" s="561">
        <f>IFERROR(__xludf.DUMMYFUNCTION("""COMPUTED_VALUE"""),50.0)</f>
        <v>50</v>
      </c>
      <c r="N9" s="561">
        <f>IFERROR(__xludf.DUMMYFUNCTION("""COMPUTED_VALUE"""),51.0)</f>
        <v>51</v>
      </c>
      <c r="O9" s="560"/>
      <c r="P9" s="562">
        <f>IFERROR(__xludf.DUMMYFUNCTION("""COMPUTED_VALUE"""),82.0)</f>
        <v>82</v>
      </c>
      <c r="Q9" s="562">
        <f>IFERROR(__xludf.DUMMYFUNCTION("""COMPUTED_VALUE"""),63.0)</f>
        <v>63</v>
      </c>
      <c r="R9" s="562">
        <f>IFERROR(__xludf.DUMMYFUNCTION("""COMPUTED_VALUE"""),86.0)</f>
        <v>86</v>
      </c>
      <c r="S9" s="562"/>
      <c r="T9" s="217">
        <f>IFERROR(__xludf.DUMMYFUNCTION("""COMPUTED_VALUE"""),12.0)</f>
        <v>12</v>
      </c>
      <c r="U9" s="217">
        <f>IFERROR(__xludf.DUMMYFUNCTION("""COMPUTED_VALUE"""),21.0)</f>
        <v>21</v>
      </c>
      <c r="V9" s="217">
        <f>IFERROR(__xludf.DUMMYFUNCTION("""COMPUTED_VALUE"""),72.0)</f>
        <v>72</v>
      </c>
      <c r="W9" s="217">
        <f>IFERROR(__xludf.DUMMYFUNCTION("""COMPUTED_VALUE"""),32.0)</f>
        <v>32</v>
      </c>
      <c r="X9" s="217">
        <f>IFERROR(__xludf.DUMMYFUNCTION("""COMPUTED_VALUE"""),80.0)</f>
        <v>80</v>
      </c>
      <c r="Y9" s="217"/>
      <c r="Z9" s="217"/>
      <c r="AA9" s="481">
        <f>IFERROR(__xludf.DUMMYFUNCTION("""COMPUTED_VALUE"""),94.0)</f>
        <v>94</v>
      </c>
      <c r="AB9" s="481">
        <f>IFERROR(__xludf.DUMMYFUNCTION("""COMPUTED_VALUE"""),97.5)</f>
        <v>97.5</v>
      </c>
      <c r="AC9" s="481">
        <f>IFERROR(__xludf.DUMMYFUNCTION("""COMPUTED_VALUE"""),80.0)</f>
        <v>80</v>
      </c>
      <c r="AD9" s="481">
        <f>IFERROR(__xludf.DUMMYFUNCTION("""COMPUTED_VALUE"""),60.0)</f>
        <v>60</v>
      </c>
      <c r="AE9" s="481">
        <f>IFERROR(__xludf.DUMMYFUNCTION("""COMPUTED_VALUE"""),70.0)</f>
        <v>70</v>
      </c>
      <c r="AF9" s="481"/>
      <c r="AG9" s="481">
        <f>IFERROR(__xludf.DUMMYFUNCTION("""COMPUTED_VALUE"""),86.0)</f>
        <v>86</v>
      </c>
      <c r="AH9" s="481"/>
      <c r="AI9" s="158"/>
      <c r="AJ9" s="158"/>
      <c r="AK9" s="133">
        <f>IFERROR(__xludf.DUMMYFUNCTION("""COMPUTED_VALUE"""),4.0)</f>
        <v>4</v>
      </c>
      <c r="AL9" s="133">
        <f>IFERROR(__xludf.DUMMYFUNCTION("""COMPUTED_VALUE"""),3.0)</f>
        <v>3</v>
      </c>
      <c r="AM9" s="133">
        <f>IFERROR(__xludf.DUMMYFUNCTION("""COMPUTED_VALUE"""),2.0)</f>
        <v>2</v>
      </c>
      <c r="AN9" s="133" t="str">
        <f>IFERROR(__xludf.DUMMYFUNCTION("""COMPUTED_VALUE"""),"3.5")</f>
        <v>3.5</v>
      </c>
      <c r="AO9" s="133">
        <f>IFERROR(__xludf.DUMMYFUNCTION("""COMPUTED_VALUE"""),3.0)</f>
        <v>3</v>
      </c>
      <c r="AP9" s="155" t="s">
        <v>2461</v>
      </c>
    </row>
    <row r="10">
      <c r="A10" s="555">
        <f>IFERROR(__xludf.DUMMYFUNCTION("""COMPUTED_VALUE"""),6.0)</f>
        <v>6</v>
      </c>
      <c r="B10" s="555" t="str">
        <f>IFERROR(__xludf.DUMMYFUNCTION("""COMPUTED_VALUE"""),"aaup23cs@cmrit.ac.in")</f>
        <v>aaup23cs@cmrit.ac.in</v>
      </c>
      <c r="C10" s="174" t="str">
        <f>IFERROR(__xludf.DUMMYFUNCTION("""COMPUTED_VALUE"""),"AARYAN UPADHYAY")</f>
        <v>AARYAN UPADHYAY</v>
      </c>
      <c r="D10" s="261" t="str">
        <f>IFERROR(__xludf.DUMMYFUNCTION("""COMPUTED_VALUE"""),"1CR23CS006")</f>
        <v>1CR23CS006</v>
      </c>
      <c r="E10" s="563">
        <f>IFERROR(__xludf.DUMMYFUNCTION("""COMPUTED_VALUE"""),7.624945805E9)</f>
        <v>7624945805</v>
      </c>
      <c r="F10" s="155" t="str">
        <f>IFERROR(__xludf.DUMMYFUNCTION("""COMPUTED_VALUE"""),"CSE")</f>
        <v>CSE</v>
      </c>
      <c r="G10" s="158"/>
      <c r="H10" s="559">
        <f>IFERROR(__xludf.DUMMYFUNCTION("""COMPUTED_VALUE"""),85.0)</f>
        <v>85</v>
      </c>
      <c r="I10" s="559">
        <f>IFERROR(__xludf.DUMMYFUNCTION("""COMPUTED_VALUE"""),83.0)</f>
        <v>83</v>
      </c>
      <c r="J10" s="559">
        <f>IFERROR(__xludf.DUMMYFUNCTION("""COMPUTED_VALUE"""),54.0)</f>
        <v>54</v>
      </c>
      <c r="K10" s="559">
        <f>IFERROR(__xludf.DUMMYFUNCTION("""COMPUTED_VALUE"""),70.0)</f>
        <v>70</v>
      </c>
      <c r="L10" s="560">
        <f>IFERROR(__xludf.DUMMYFUNCTION("""COMPUTED_VALUE"""),69.0)</f>
        <v>69</v>
      </c>
      <c r="M10" s="561">
        <f>IFERROR(__xludf.DUMMYFUNCTION("""COMPUTED_VALUE"""),64.0)</f>
        <v>64</v>
      </c>
      <c r="N10" s="561">
        <f>IFERROR(__xludf.DUMMYFUNCTION("""COMPUTED_VALUE"""),50.0)</f>
        <v>50</v>
      </c>
      <c r="O10" s="560"/>
      <c r="P10" s="562">
        <f>IFERROR(__xludf.DUMMYFUNCTION("""COMPUTED_VALUE"""),75.0)</f>
        <v>75</v>
      </c>
      <c r="Q10" s="562">
        <f>IFERROR(__xludf.DUMMYFUNCTION("""COMPUTED_VALUE"""),62.0)</f>
        <v>62</v>
      </c>
      <c r="R10" s="562">
        <f>IFERROR(__xludf.DUMMYFUNCTION("""COMPUTED_VALUE"""),50.0)</f>
        <v>50</v>
      </c>
      <c r="S10" s="562"/>
      <c r="T10" s="217">
        <f>IFERROR(__xludf.DUMMYFUNCTION("""COMPUTED_VALUE"""),12.0)</f>
        <v>12</v>
      </c>
      <c r="U10" s="217">
        <f>IFERROR(__xludf.DUMMYFUNCTION("""COMPUTED_VALUE"""),17.0)</f>
        <v>17</v>
      </c>
      <c r="V10" s="217">
        <f>IFERROR(__xludf.DUMMYFUNCTION("""COMPUTED_VALUE"""),95.0)</f>
        <v>95</v>
      </c>
      <c r="W10" s="217">
        <f>IFERROR(__xludf.DUMMYFUNCTION("""COMPUTED_VALUE"""),40.0)</f>
        <v>40</v>
      </c>
      <c r="X10" s="217">
        <f>IFERROR(__xludf.DUMMYFUNCTION("""COMPUTED_VALUE"""),84.0)</f>
        <v>84</v>
      </c>
      <c r="Y10" s="217"/>
      <c r="Z10" s="217"/>
      <c r="AA10" s="481">
        <f>IFERROR(__xludf.DUMMYFUNCTION("""COMPUTED_VALUE"""),88.0)</f>
        <v>88</v>
      </c>
      <c r="AB10" s="481">
        <f>IFERROR(__xludf.DUMMYFUNCTION("""COMPUTED_VALUE"""),100.0)</f>
        <v>100</v>
      </c>
      <c r="AC10" s="481">
        <f>IFERROR(__xludf.DUMMYFUNCTION("""COMPUTED_VALUE"""),0.0)</f>
        <v>0</v>
      </c>
      <c r="AD10" s="481">
        <f>IFERROR(__xludf.DUMMYFUNCTION("""COMPUTED_VALUE"""),90.0)</f>
        <v>90</v>
      </c>
      <c r="AE10" s="481">
        <f>IFERROR(__xludf.DUMMYFUNCTION("""COMPUTED_VALUE"""),70.0)</f>
        <v>70</v>
      </c>
      <c r="AF10" s="481"/>
      <c r="AG10" s="481">
        <f>IFERROR(__xludf.DUMMYFUNCTION("""COMPUTED_VALUE"""),19.0)</f>
        <v>19</v>
      </c>
      <c r="AH10" s="481"/>
      <c r="AI10" s="158"/>
      <c r="AJ10" s="158"/>
      <c r="AK10" s="133">
        <f>IFERROR(__xludf.DUMMYFUNCTION("""COMPUTED_VALUE"""),2.0)</f>
        <v>2</v>
      </c>
      <c r="AL10" s="133">
        <f>IFERROR(__xludf.DUMMYFUNCTION("""COMPUTED_VALUE"""),3.0)</f>
        <v>3</v>
      </c>
      <c r="AM10" s="133">
        <f>IFERROR(__xludf.DUMMYFUNCTION("""COMPUTED_VALUE"""),2.0)</f>
        <v>2</v>
      </c>
      <c r="AN10" s="133" t="str">
        <f>IFERROR(__xludf.DUMMYFUNCTION("""COMPUTED_VALUE"""),"3.5")</f>
        <v>3.5</v>
      </c>
      <c r="AO10" s="133">
        <f>IFERROR(__xludf.DUMMYFUNCTION("""COMPUTED_VALUE"""),3.0)</f>
        <v>3</v>
      </c>
      <c r="AP10" s="155" t="s">
        <v>2461</v>
      </c>
    </row>
    <row r="11">
      <c r="A11" s="555">
        <f>IFERROR(__xludf.DUMMYFUNCTION("""COMPUTED_VALUE"""),7.0)</f>
        <v>7</v>
      </c>
      <c r="B11" s="555" t="str">
        <f>IFERROR(__xludf.DUMMYFUNCTION("""COMPUTED_VALUE"""),"aaku23cs@cmrit.ac.in")</f>
        <v>aaku23cs@cmrit.ac.in</v>
      </c>
      <c r="C11" s="174" t="str">
        <f>IFERROR(__xludf.DUMMYFUNCTION("""COMPUTED_VALUE"""),"AASISH KUMAR SAH ")</f>
        <v>AASISH KUMAR SAH </v>
      </c>
      <c r="D11" s="261" t="str">
        <f>IFERROR(__xludf.DUMMYFUNCTION("""COMPUTED_VALUE"""),"1CR23CS007")</f>
        <v>1CR23CS007</v>
      </c>
      <c r="E11" s="563">
        <f>IFERROR(__xludf.DUMMYFUNCTION("""COMPUTED_VALUE"""),9.955584833E9)</f>
        <v>9955584833</v>
      </c>
      <c r="F11" s="155" t="str">
        <f>IFERROR(__xludf.DUMMYFUNCTION("""COMPUTED_VALUE"""),"CSE")</f>
        <v>CSE</v>
      </c>
      <c r="G11" s="158"/>
      <c r="H11" s="559">
        <f>IFERROR(__xludf.DUMMYFUNCTION("""COMPUTED_VALUE"""),75.0)</f>
        <v>75</v>
      </c>
      <c r="I11" s="559">
        <f>IFERROR(__xludf.DUMMYFUNCTION("""COMPUTED_VALUE"""),70.0)</f>
        <v>70</v>
      </c>
      <c r="J11" s="559">
        <f>IFERROR(__xludf.DUMMYFUNCTION("""COMPUTED_VALUE"""),70.0)</f>
        <v>70</v>
      </c>
      <c r="K11" s="559">
        <f>IFERROR(__xludf.DUMMYFUNCTION("""COMPUTED_VALUE"""),70.0)</f>
        <v>70</v>
      </c>
      <c r="L11" s="560">
        <f>IFERROR(__xludf.DUMMYFUNCTION("""COMPUTED_VALUE"""),12.0)</f>
        <v>12</v>
      </c>
      <c r="M11" s="561">
        <f>IFERROR(__xludf.DUMMYFUNCTION("""COMPUTED_VALUE"""),35.0)</f>
        <v>35</v>
      </c>
      <c r="N11" s="561">
        <f>IFERROR(__xludf.DUMMYFUNCTION("""COMPUTED_VALUE"""),45.0)</f>
        <v>45</v>
      </c>
      <c r="O11" s="560"/>
      <c r="P11" s="562">
        <f>IFERROR(__xludf.DUMMYFUNCTION("""COMPUTED_VALUE"""),0.0)</f>
        <v>0</v>
      </c>
      <c r="Q11" s="562">
        <f>IFERROR(__xludf.DUMMYFUNCTION("""COMPUTED_VALUE"""),50.0)</f>
        <v>50</v>
      </c>
      <c r="R11" s="562">
        <f>IFERROR(__xludf.DUMMYFUNCTION("""COMPUTED_VALUE"""),0.0)</f>
        <v>0</v>
      </c>
      <c r="S11" s="562"/>
      <c r="T11" s="217">
        <f>IFERROR(__xludf.DUMMYFUNCTION("""COMPUTED_VALUE"""),18.0)</f>
        <v>18</v>
      </c>
      <c r="U11" s="217">
        <f>IFERROR(__xludf.DUMMYFUNCTION("""COMPUTED_VALUE"""),22.0)</f>
        <v>22</v>
      </c>
      <c r="V11" s="217">
        <f>IFERROR(__xludf.DUMMYFUNCTION("""COMPUTED_VALUE"""),84.0)</f>
        <v>84</v>
      </c>
      <c r="W11" s="217">
        <f>IFERROR(__xludf.DUMMYFUNCTION("""COMPUTED_VALUE"""),40.0)</f>
        <v>40</v>
      </c>
      <c r="X11" s="217">
        <f>IFERROR(__xludf.DUMMYFUNCTION("""COMPUTED_VALUE"""),86.0)</f>
        <v>86</v>
      </c>
      <c r="Y11" s="217"/>
      <c r="Z11" s="217"/>
      <c r="AA11" s="481">
        <f>IFERROR(__xludf.DUMMYFUNCTION("""COMPUTED_VALUE"""),79.6)</f>
        <v>79.6</v>
      </c>
      <c r="AB11" s="481">
        <f>IFERROR(__xludf.DUMMYFUNCTION("""COMPUTED_VALUE"""),78.0)</f>
        <v>78</v>
      </c>
      <c r="AC11" s="481">
        <f>IFERROR(__xludf.DUMMYFUNCTION("""COMPUTED_VALUE"""),70.5)</f>
        <v>70.5</v>
      </c>
      <c r="AD11" s="481">
        <f>IFERROR(__xludf.DUMMYFUNCTION("""COMPUTED_VALUE"""),60.0)</f>
        <v>60</v>
      </c>
      <c r="AE11" s="481">
        <f>IFERROR(__xludf.DUMMYFUNCTION("""COMPUTED_VALUE"""),73.0)</f>
        <v>73</v>
      </c>
      <c r="AF11" s="481"/>
      <c r="AG11" s="481">
        <f>IFERROR(__xludf.DUMMYFUNCTION("""COMPUTED_VALUE"""),48.0)</f>
        <v>48</v>
      </c>
      <c r="AH11" s="481"/>
      <c r="AI11" s="158"/>
      <c r="AJ11" s="158"/>
      <c r="AK11" s="133">
        <f>IFERROR(__xludf.DUMMYFUNCTION("""COMPUTED_VALUE"""),4.0)</f>
        <v>4</v>
      </c>
      <c r="AL11" s="133">
        <f>IFERROR(__xludf.DUMMYFUNCTION("""COMPUTED_VALUE"""),0.0)</f>
        <v>0</v>
      </c>
      <c r="AM11" s="133">
        <f>IFERROR(__xludf.DUMMYFUNCTION("""COMPUTED_VALUE"""),2.0)</f>
        <v>2</v>
      </c>
      <c r="AN11" s="133" t="str">
        <f>IFERROR(__xludf.DUMMYFUNCTION("""COMPUTED_VALUE"""),"3.5")</f>
        <v>3.5</v>
      </c>
      <c r="AO11" s="133">
        <f>IFERROR(__xludf.DUMMYFUNCTION("""COMPUTED_VALUE"""),0.0)</f>
        <v>0</v>
      </c>
      <c r="AP11" s="155" t="s">
        <v>2461</v>
      </c>
    </row>
    <row r="12">
      <c r="A12" s="555">
        <f>IFERROR(__xludf.DUMMYFUNCTION("""COMPUTED_VALUE"""),8.0)</f>
        <v>8</v>
      </c>
      <c r="B12" s="555" t="str">
        <f>IFERROR(__xludf.DUMMYFUNCTION("""COMPUTED_VALUE"""),"aaoj23cs@cmrit.ac.in")</f>
        <v>aaoj23cs@cmrit.ac.in</v>
      </c>
      <c r="C12" s="564" t="str">
        <f>IFERROR(__xludf.DUMMYFUNCTION("""COMPUTED_VALUE"""),"Aastha Ojha")</f>
        <v>Aastha Ojha</v>
      </c>
      <c r="D12" s="261" t="str">
        <f>IFERROR(__xludf.DUMMYFUNCTION("""COMPUTED_VALUE"""),"1CR23CS008")</f>
        <v>1CR23CS008</v>
      </c>
      <c r="E12" s="563">
        <f>IFERROR(__xludf.DUMMYFUNCTION("""COMPUTED_VALUE"""),7.483247816E9)</f>
        <v>7483247816</v>
      </c>
      <c r="F12" s="155" t="str">
        <f>IFERROR(__xludf.DUMMYFUNCTION("""COMPUTED_VALUE"""),"CSE")</f>
        <v>CSE</v>
      </c>
      <c r="G12" s="158"/>
      <c r="H12" s="559">
        <f>IFERROR(__xludf.DUMMYFUNCTION("""COMPUTED_VALUE"""),85.0)</f>
        <v>85</v>
      </c>
      <c r="I12" s="559">
        <f>IFERROR(__xludf.DUMMYFUNCTION("""COMPUTED_VALUE"""),82.0)</f>
        <v>82</v>
      </c>
      <c r="J12" s="559">
        <f>IFERROR(__xludf.DUMMYFUNCTION("""COMPUTED_VALUE"""),70.0)</f>
        <v>70</v>
      </c>
      <c r="K12" s="559">
        <f>IFERROR(__xludf.DUMMYFUNCTION("""COMPUTED_VALUE"""),70.0)</f>
        <v>70</v>
      </c>
      <c r="L12" s="560">
        <f>IFERROR(__xludf.DUMMYFUNCTION("""COMPUTED_VALUE"""),45.0)</f>
        <v>45</v>
      </c>
      <c r="M12" s="561">
        <f>IFERROR(__xludf.DUMMYFUNCTION("""COMPUTED_VALUE"""),19.0)</f>
        <v>19</v>
      </c>
      <c r="N12" s="561">
        <f>IFERROR(__xludf.DUMMYFUNCTION("""COMPUTED_VALUE"""),0.0)</f>
        <v>0</v>
      </c>
      <c r="O12" s="560"/>
      <c r="P12" s="562">
        <f>IFERROR(__xludf.DUMMYFUNCTION("""COMPUTED_VALUE"""),87.0)</f>
        <v>87</v>
      </c>
      <c r="Q12" s="562">
        <f>IFERROR(__xludf.DUMMYFUNCTION("""COMPUTED_VALUE"""),63.0)</f>
        <v>63</v>
      </c>
      <c r="R12" s="562">
        <f>IFERROR(__xludf.DUMMYFUNCTION("""COMPUTED_VALUE"""),0.0)</f>
        <v>0</v>
      </c>
      <c r="S12" s="562"/>
      <c r="T12" s="217">
        <f>IFERROR(__xludf.DUMMYFUNCTION("""COMPUTED_VALUE"""),19.0)</f>
        <v>19</v>
      </c>
      <c r="U12" s="217">
        <f>IFERROR(__xludf.DUMMYFUNCTION("""COMPUTED_VALUE"""),17.0)</f>
        <v>17</v>
      </c>
      <c r="V12" s="217">
        <f>IFERROR(__xludf.DUMMYFUNCTION("""COMPUTED_VALUE"""),72.0)</f>
        <v>72</v>
      </c>
      <c r="W12" s="217"/>
      <c r="X12" s="217"/>
      <c r="Y12" s="217"/>
      <c r="Z12" s="217"/>
      <c r="AA12" s="481">
        <f>IFERROR(__xludf.DUMMYFUNCTION("""COMPUTED_VALUE"""),15.0)</f>
        <v>15</v>
      </c>
      <c r="AB12" s="481">
        <f>IFERROR(__xludf.DUMMYFUNCTION("""COMPUTED_VALUE"""),98.75)</f>
        <v>98.75</v>
      </c>
      <c r="AC12" s="481">
        <f>IFERROR(__xludf.DUMMYFUNCTION("""COMPUTED_VALUE"""),82.5)</f>
        <v>82.5</v>
      </c>
      <c r="AD12" s="481">
        <f>IFERROR(__xludf.DUMMYFUNCTION("""COMPUTED_VALUE"""),60.0)</f>
        <v>60</v>
      </c>
      <c r="AE12" s="481">
        <f>IFERROR(__xludf.DUMMYFUNCTION("""COMPUTED_VALUE"""),10.0)</f>
        <v>10</v>
      </c>
      <c r="AF12" s="481"/>
      <c r="AG12" s="481">
        <f>IFERROR(__xludf.DUMMYFUNCTION("""COMPUTED_VALUE"""),5.0)</f>
        <v>5</v>
      </c>
      <c r="AH12" s="481"/>
      <c r="AI12" s="158"/>
      <c r="AJ12" s="158"/>
      <c r="AK12" s="133">
        <f>IFERROR(__xludf.DUMMYFUNCTION("""COMPUTED_VALUE"""),4.0)</f>
        <v>4</v>
      </c>
      <c r="AL12" s="133">
        <f>IFERROR(__xludf.DUMMYFUNCTION("""COMPUTED_VALUE"""),0.0)</f>
        <v>0</v>
      </c>
      <c r="AM12" s="133">
        <f>IFERROR(__xludf.DUMMYFUNCTION("""COMPUTED_VALUE"""),2.0)</f>
        <v>2</v>
      </c>
      <c r="AN12" s="133" t="str">
        <f>IFERROR(__xludf.DUMMYFUNCTION("""COMPUTED_VALUE"""),"3")</f>
        <v>3</v>
      </c>
      <c r="AO12" s="133">
        <f>IFERROR(__xludf.DUMMYFUNCTION("""COMPUTED_VALUE"""),2.0)</f>
        <v>2</v>
      </c>
      <c r="AP12" s="155" t="s">
        <v>2461</v>
      </c>
    </row>
    <row r="13">
      <c r="A13" s="555">
        <f>IFERROR(__xludf.DUMMYFUNCTION("""COMPUTED_VALUE"""),9.0)</f>
        <v>9</v>
      </c>
      <c r="B13" s="555" t="str">
        <f>IFERROR(__xludf.DUMMYFUNCTION("""COMPUTED_VALUE"""),"aach23cs@cmrit.ac.in")</f>
        <v>aach23cs@cmrit.ac.in</v>
      </c>
      <c r="C13" s="172" t="str">
        <f>IFERROR(__xludf.DUMMYFUNCTION("""COMPUTED_VALUE"""),"Aayush Chaudhary")</f>
        <v>Aayush Chaudhary</v>
      </c>
      <c r="D13" s="261" t="str">
        <f>IFERROR(__xludf.DUMMYFUNCTION("""COMPUTED_VALUE"""),"1CR23CS009")</f>
        <v>1CR23CS009</v>
      </c>
      <c r="E13" s="563">
        <f>IFERROR(__xludf.DUMMYFUNCTION("""COMPUTED_VALUE"""),9.811541341E9)</f>
        <v>9811541341</v>
      </c>
      <c r="F13" s="155" t="str">
        <f>IFERROR(__xludf.DUMMYFUNCTION("""COMPUTED_VALUE"""),"CSE")</f>
        <v>CSE</v>
      </c>
      <c r="G13" s="158"/>
      <c r="H13" s="559">
        <f>IFERROR(__xludf.DUMMYFUNCTION("""COMPUTED_VALUE"""),75.0)</f>
        <v>75</v>
      </c>
      <c r="I13" s="559">
        <f>IFERROR(__xludf.DUMMYFUNCTION("""COMPUTED_VALUE"""),83.0)</f>
        <v>83</v>
      </c>
      <c r="J13" s="559">
        <f>IFERROR(__xludf.DUMMYFUNCTION("""COMPUTED_VALUE"""),70.0)</f>
        <v>70</v>
      </c>
      <c r="K13" s="559">
        <f>IFERROR(__xludf.DUMMYFUNCTION("""COMPUTED_VALUE"""),70.0)</f>
        <v>70</v>
      </c>
      <c r="L13" s="560">
        <f>IFERROR(__xludf.DUMMYFUNCTION("""COMPUTED_VALUE"""),50.0)</f>
        <v>50</v>
      </c>
      <c r="M13" s="561">
        <f>IFERROR(__xludf.DUMMYFUNCTION("""COMPUTED_VALUE"""),50.0)</f>
        <v>50</v>
      </c>
      <c r="N13" s="561">
        <f>IFERROR(__xludf.DUMMYFUNCTION("""COMPUTED_VALUE"""),50.0)</f>
        <v>50</v>
      </c>
      <c r="O13" s="560"/>
      <c r="P13" s="562">
        <f>IFERROR(__xludf.DUMMYFUNCTION("""COMPUTED_VALUE"""),50.0)</f>
        <v>50</v>
      </c>
      <c r="Q13" s="562">
        <f>IFERROR(__xludf.DUMMYFUNCTION("""COMPUTED_VALUE"""),50.0)</f>
        <v>50</v>
      </c>
      <c r="R13" s="562">
        <f>IFERROR(__xludf.DUMMYFUNCTION("""COMPUTED_VALUE"""),50.0)</f>
        <v>50</v>
      </c>
      <c r="S13" s="562"/>
      <c r="T13" s="217">
        <f>IFERROR(__xludf.DUMMYFUNCTION("""COMPUTED_VALUE"""),18.0)</f>
        <v>18</v>
      </c>
      <c r="U13" s="217">
        <f>IFERROR(__xludf.DUMMYFUNCTION("""COMPUTED_VALUE"""),19.0)</f>
        <v>19</v>
      </c>
      <c r="V13" s="217">
        <f>IFERROR(__xludf.DUMMYFUNCTION("""COMPUTED_VALUE"""),84.0)</f>
        <v>84</v>
      </c>
      <c r="W13" s="217">
        <f>IFERROR(__xludf.DUMMYFUNCTION("""COMPUTED_VALUE"""),40.0)</f>
        <v>40</v>
      </c>
      <c r="X13" s="217">
        <f>IFERROR(__xludf.DUMMYFUNCTION("""COMPUTED_VALUE"""),84.0)</f>
        <v>84</v>
      </c>
      <c r="Y13" s="217"/>
      <c r="Z13" s="217"/>
      <c r="AA13" s="481">
        <f>IFERROR(__xludf.DUMMYFUNCTION("""COMPUTED_VALUE"""),83.19999999999999)</f>
        <v>83.2</v>
      </c>
      <c r="AB13" s="481">
        <f>IFERROR(__xludf.DUMMYFUNCTION("""COMPUTED_VALUE"""),50.0)</f>
        <v>50</v>
      </c>
      <c r="AC13" s="481">
        <f>IFERROR(__xludf.DUMMYFUNCTION("""COMPUTED_VALUE"""),80.5)</f>
        <v>80.5</v>
      </c>
      <c r="AD13" s="481">
        <f>IFERROR(__xludf.DUMMYFUNCTION("""COMPUTED_VALUE"""),60.0)</f>
        <v>60</v>
      </c>
      <c r="AE13" s="481">
        <f>IFERROR(__xludf.DUMMYFUNCTION("""COMPUTED_VALUE"""),82.0)</f>
        <v>82</v>
      </c>
      <c r="AF13" s="481"/>
      <c r="AG13" s="481">
        <f>IFERROR(__xludf.DUMMYFUNCTION("""COMPUTED_VALUE"""),76.0)</f>
        <v>76</v>
      </c>
      <c r="AH13" s="481"/>
      <c r="AI13" s="158"/>
      <c r="AJ13" s="158"/>
      <c r="AK13" s="133">
        <f>IFERROR(__xludf.DUMMYFUNCTION("""COMPUTED_VALUE"""),4.0)</f>
        <v>4</v>
      </c>
      <c r="AL13" s="133">
        <f>IFERROR(__xludf.DUMMYFUNCTION("""COMPUTED_VALUE"""),3.0)</f>
        <v>3</v>
      </c>
      <c r="AM13" s="133">
        <f>IFERROR(__xludf.DUMMYFUNCTION("""COMPUTED_VALUE"""),2.0)</f>
        <v>2</v>
      </c>
      <c r="AN13" s="133" t="str">
        <f>IFERROR(__xludf.DUMMYFUNCTION("""COMPUTED_VALUE"""),"3.5")</f>
        <v>3.5</v>
      </c>
      <c r="AO13" s="133">
        <f>IFERROR(__xludf.DUMMYFUNCTION("""COMPUTED_VALUE"""),3.0)</f>
        <v>3</v>
      </c>
      <c r="AP13" s="155" t="s">
        <v>2461</v>
      </c>
    </row>
    <row r="14">
      <c r="A14" s="555">
        <f>IFERROR(__xludf.DUMMYFUNCTION("""COMPUTED_VALUE"""),10.0)</f>
        <v>10</v>
      </c>
      <c r="B14" s="555" t="str">
        <f>IFERROR(__xludf.DUMMYFUNCTION("""COMPUTED_VALUE"""),"abba23cs@cmrit.ac.in")</f>
        <v>abba23cs@cmrit.ac.in</v>
      </c>
      <c r="C14" s="174" t="str">
        <f>IFERROR(__xludf.DUMMYFUNCTION("""COMPUTED_VALUE"""),"Abhisekh Baniya")</f>
        <v>Abhisekh Baniya</v>
      </c>
      <c r="D14" s="261" t="str">
        <f>IFERROR(__xludf.DUMMYFUNCTION("""COMPUTED_VALUE"""),"1CR23CS010")</f>
        <v>1CR23CS010</v>
      </c>
      <c r="E14" s="563">
        <f>IFERROR(__xludf.DUMMYFUNCTION("""COMPUTED_VALUE"""),9.76686964E9)</f>
        <v>9766869640</v>
      </c>
      <c r="F14" s="155" t="str">
        <f>IFERROR(__xludf.DUMMYFUNCTION("""COMPUTED_VALUE"""),"CSE")</f>
        <v>CSE</v>
      </c>
      <c r="G14" s="158"/>
      <c r="H14" s="559">
        <f>IFERROR(__xludf.DUMMYFUNCTION("""COMPUTED_VALUE"""),85.0)</f>
        <v>85</v>
      </c>
      <c r="I14" s="559">
        <f>IFERROR(__xludf.DUMMYFUNCTION("""COMPUTED_VALUE"""),84.0)</f>
        <v>84</v>
      </c>
      <c r="J14" s="559">
        <f>IFERROR(__xludf.DUMMYFUNCTION("""COMPUTED_VALUE"""),78.0)</f>
        <v>78</v>
      </c>
      <c r="K14" s="559">
        <f>IFERROR(__xludf.DUMMYFUNCTION("""COMPUTED_VALUE"""),80.0)</f>
        <v>80</v>
      </c>
      <c r="L14" s="560">
        <f>IFERROR(__xludf.DUMMYFUNCTION("""COMPUTED_VALUE"""),70.0)</f>
        <v>70</v>
      </c>
      <c r="M14" s="561">
        <f>IFERROR(__xludf.DUMMYFUNCTION("""COMPUTED_VALUE"""),50.0)</f>
        <v>50</v>
      </c>
      <c r="N14" s="561">
        <f>IFERROR(__xludf.DUMMYFUNCTION("""COMPUTED_VALUE"""),56.0)</f>
        <v>56</v>
      </c>
      <c r="O14" s="560"/>
      <c r="P14" s="562">
        <f>IFERROR(__xludf.DUMMYFUNCTION("""COMPUTED_VALUE"""),50.0)</f>
        <v>50</v>
      </c>
      <c r="Q14" s="562">
        <f>IFERROR(__xludf.DUMMYFUNCTION("""COMPUTED_VALUE"""),68.0)</f>
        <v>68</v>
      </c>
      <c r="R14" s="562">
        <f>IFERROR(__xludf.DUMMYFUNCTION("""COMPUTED_VALUE"""),87.0)</f>
        <v>87</v>
      </c>
      <c r="S14" s="562"/>
      <c r="T14" s="217">
        <f>IFERROR(__xludf.DUMMYFUNCTION("""COMPUTED_VALUE"""),20.0)</f>
        <v>20</v>
      </c>
      <c r="U14" s="217">
        <f>IFERROR(__xludf.DUMMYFUNCTION("""COMPUTED_VALUE"""),22.0)</f>
        <v>22</v>
      </c>
      <c r="V14" s="217">
        <f>IFERROR(__xludf.DUMMYFUNCTION("""COMPUTED_VALUE"""),72.0)</f>
        <v>72</v>
      </c>
      <c r="W14" s="217">
        <f>IFERROR(__xludf.DUMMYFUNCTION("""COMPUTED_VALUE"""),36.0)</f>
        <v>36</v>
      </c>
      <c r="X14" s="217">
        <f>IFERROR(__xludf.DUMMYFUNCTION("""COMPUTED_VALUE"""),86.0)</f>
        <v>86</v>
      </c>
      <c r="Y14" s="217"/>
      <c r="Z14" s="217"/>
      <c r="AA14" s="481">
        <f>IFERROR(__xludf.DUMMYFUNCTION("""COMPUTED_VALUE"""),100.0)</f>
        <v>100</v>
      </c>
      <c r="AB14" s="481">
        <f>IFERROR(__xludf.DUMMYFUNCTION("""COMPUTED_VALUE"""),100.0)</f>
        <v>100</v>
      </c>
      <c r="AC14" s="481">
        <f>IFERROR(__xludf.DUMMYFUNCTION("""COMPUTED_VALUE"""),99.0)</f>
        <v>99</v>
      </c>
      <c r="AD14" s="481">
        <f>IFERROR(__xludf.DUMMYFUNCTION("""COMPUTED_VALUE"""),100.0)</f>
        <v>100</v>
      </c>
      <c r="AE14" s="481">
        <f>IFERROR(__xludf.DUMMYFUNCTION("""COMPUTED_VALUE"""),70.0)</f>
        <v>70</v>
      </c>
      <c r="AF14" s="481"/>
      <c r="AG14" s="481">
        <f>IFERROR(__xludf.DUMMYFUNCTION("""COMPUTED_VALUE"""),70.0)</f>
        <v>70</v>
      </c>
      <c r="AH14" s="481"/>
      <c r="AI14" s="158"/>
      <c r="AJ14" s="158"/>
      <c r="AK14" s="133">
        <f>IFERROR(__xludf.DUMMYFUNCTION("""COMPUTED_VALUE"""),4.0)</f>
        <v>4</v>
      </c>
      <c r="AL14" s="133">
        <f>IFERROR(__xludf.DUMMYFUNCTION("""COMPUTED_VALUE"""),3.0)</f>
        <v>3</v>
      </c>
      <c r="AM14" s="133">
        <f>IFERROR(__xludf.DUMMYFUNCTION("""COMPUTED_VALUE"""),2.0)</f>
        <v>2</v>
      </c>
      <c r="AN14" s="133" t="str">
        <f>IFERROR(__xludf.DUMMYFUNCTION("""COMPUTED_VALUE"""),"3.5")</f>
        <v>3.5</v>
      </c>
      <c r="AO14" s="133">
        <f>IFERROR(__xludf.DUMMYFUNCTION("""COMPUTED_VALUE"""),3.0)</f>
        <v>3</v>
      </c>
      <c r="AP14" s="155" t="s">
        <v>2461</v>
      </c>
    </row>
    <row r="15">
      <c r="A15" s="555">
        <f>IFERROR(__xludf.DUMMYFUNCTION("""COMPUTED_VALUE"""),11.0)</f>
        <v>11</v>
      </c>
      <c r="B15" s="555" t="str">
        <f>IFERROR(__xludf.DUMMYFUNCTION("""COMPUTED_VALUE"""),"abch23cs@cmrit.ac.in")</f>
        <v>abch23cs@cmrit.ac.in</v>
      </c>
      <c r="C15" s="174" t="str">
        <f>IFERROR(__xludf.DUMMYFUNCTION("""COMPUTED_VALUE"""),"Abhishek Chataut")</f>
        <v>Abhishek Chataut</v>
      </c>
      <c r="D15" s="261" t="str">
        <f>IFERROR(__xludf.DUMMYFUNCTION("""COMPUTED_VALUE"""),"1CR23CS011")</f>
        <v>1CR23CS011</v>
      </c>
      <c r="E15" s="563"/>
      <c r="F15" s="155" t="str">
        <f>IFERROR(__xludf.DUMMYFUNCTION("""COMPUTED_VALUE"""),"CSE")</f>
        <v>CSE</v>
      </c>
      <c r="G15" s="158"/>
      <c r="H15" s="559">
        <f>IFERROR(__xludf.DUMMYFUNCTION("""COMPUTED_VALUE"""),88.0)</f>
        <v>88</v>
      </c>
      <c r="I15" s="559">
        <f>IFERROR(__xludf.DUMMYFUNCTION("""COMPUTED_VALUE"""),88.0)</f>
        <v>88</v>
      </c>
      <c r="J15" s="559">
        <f>IFERROR(__xludf.DUMMYFUNCTION("""COMPUTED_VALUE"""),6.0)</f>
        <v>6</v>
      </c>
      <c r="K15" s="559">
        <f>IFERROR(__xludf.DUMMYFUNCTION("""COMPUTED_VALUE"""),70.0)</f>
        <v>70</v>
      </c>
      <c r="L15" s="560">
        <f>IFERROR(__xludf.DUMMYFUNCTION("""COMPUTED_VALUE"""),64.0)</f>
        <v>64</v>
      </c>
      <c r="M15" s="561">
        <f>IFERROR(__xludf.DUMMYFUNCTION("""COMPUTED_VALUE"""),0.0)</f>
        <v>0</v>
      </c>
      <c r="N15" s="561">
        <f>IFERROR(__xludf.DUMMYFUNCTION("""COMPUTED_VALUE"""),18.0)</f>
        <v>18</v>
      </c>
      <c r="O15" s="560"/>
      <c r="P15" s="562">
        <f>IFERROR(__xludf.DUMMYFUNCTION("""COMPUTED_VALUE"""),50.0)</f>
        <v>50</v>
      </c>
      <c r="Q15" s="562">
        <f>IFERROR(__xludf.DUMMYFUNCTION("""COMPUTED_VALUE"""),50.0)</f>
        <v>50</v>
      </c>
      <c r="R15" s="562">
        <f>IFERROR(__xludf.DUMMYFUNCTION("""COMPUTED_VALUE"""),0.0)</f>
        <v>0</v>
      </c>
      <c r="S15" s="562"/>
      <c r="T15" s="217">
        <f>IFERROR(__xludf.DUMMYFUNCTION("""COMPUTED_VALUE"""),10.0)</f>
        <v>10</v>
      </c>
      <c r="U15" s="217">
        <f>IFERROR(__xludf.DUMMYFUNCTION("""COMPUTED_VALUE"""),20.0)</f>
        <v>20</v>
      </c>
      <c r="V15" s="217"/>
      <c r="W15" s="217">
        <f>IFERROR(__xludf.DUMMYFUNCTION("""COMPUTED_VALUE"""),32.0)</f>
        <v>32</v>
      </c>
      <c r="X15" s="217"/>
      <c r="Y15" s="217"/>
      <c r="Z15" s="217"/>
      <c r="AA15" s="481">
        <f>IFERROR(__xludf.DUMMYFUNCTION("""COMPUTED_VALUE"""),97.6)</f>
        <v>97.6</v>
      </c>
      <c r="AB15" s="481">
        <f>IFERROR(__xludf.DUMMYFUNCTION("""COMPUTED_VALUE"""),84.0)</f>
        <v>84</v>
      </c>
      <c r="AC15" s="481">
        <f>IFERROR(__xludf.DUMMYFUNCTION("""COMPUTED_VALUE"""),50.0)</f>
        <v>50</v>
      </c>
      <c r="AD15" s="481">
        <f>IFERROR(__xludf.DUMMYFUNCTION("""COMPUTED_VALUE"""),60.0)</f>
        <v>60</v>
      </c>
      <c r="AE15" s="481">
        <f>IFERROR(__xludf.DUMMYFUNCTION("""COMPUTED_VALUE"""),15.0)</f>
        <v>15</v>
      </c>
      <c r="AF15" s="481"/>
      <c r="AG15" s="481">
        <f>IFERROR(__xludf.DUMMYFUNCTION("""COMPUTED_VALUE"""),10.0)</f>
        <v>10</v>
      </c>
      <c r="AH15" s="481"/>
      <c r="AI15" s="158"/>
      <c r="AJ15" s="158"/>
      <c r="AK15" s="133">
        <f>IFERROR(__xludf.DUMMYFUNCTION("""COMPUTED_VALUE"""),2.0)</f>
        <v>2</v>
      </c>
      <c r="AL15" s="133">
        <f>IFERROR(__xludf.DUMMYFUNCTION("""COMPUTED_VALUE"""),1.0)</f>
        <v>1</v>
      </c>
      <c r="AM15" s="133">
        <f>IFERROR(__xludf.DUMMYFUNCTION("""COMPUTED_VALUE"""),2.0)</f>
        <v>2</v>
      </c>
      <c r="AN15" s="133" t="str">
        <f>IFERROR(__xludf.DUMMYFUNCTION("""COMPUTED_VALUE"""),"3")</f>
        <v>3</v>
      </c>
      <c r="AO15" s="133">
        <f>IFERROR(__xludf.DUMMYFUNCTION("""COMPUTED_VALUE"""),2.0)</f>
        <v>2</v>
      </c>
      <c r="AP15" s="155" t="s">
        <v>2461</v>
      </c>
    </row>
    <row r="16">
      <c r="A16" s="555">
        <f>IFERROR(__xludf.DUMMYFUNCTION("""COMPUTED_VALUE"""),12.0)</f>
        <v>12</v>
      </c>
      <c r="B16" s="555" t="str">
        <f>IFERROR(__xludf.DUMMYFUNCTION("""COMPUTED_VALUE"""),"abhi23cs@cmrit.ac.in")</f>
        <v>abhi23cs@cmrit.ac.in</v>
      </c>
      <c r="C16" s="564" t="str">
        <f>IFERROR(__xludf.DUMMYFUNCTION("""COMPUTED_VALUE"""),"ABHISHEK SOMESHWAR HIREMATH ")</f>
        <v>ABHISHEK SOMESHWAR HIREMATH </v>
      </c>
      <c r="D16" s="261" t="str">
        <f>IFERROR(__xludf.DUMMYFUNCTION("""COMPUTED_VALUE"""),"1CR23CS012")</f>
        <v>1CR23CS012</v>
      </c>
      <c r="E16" s="563">
        <f>IFERROR(__xludf.DUMMYFUNCTION("""COMPUTED_VALUE"""),8.217585639E9)</f>
        <v>8217585639</v>
      </c>
      <c r="F16" s="155" t="str">
        <f>IFERROR(__xludf.DUMMYFUNCTION("""COMPUTED_VALUE"""),"CSE")</f>
        <v>CSE</v>
      </c>
      <c r="G16" s="158"/>
      <c r="H16" s="559">
        <f>IFERROR(__xludf.DUMMYFUNCTION("""COMPUTED_VALUE"""),80.0)</f>
        <v>80</v>
      </c>
      <c r="I16" s="559">
        <f>IFERROR(__xludf.DUMMYFUNCTION("""COMPUTED_VALUE"""),79.0)</f>
        <v>79</v>
      </c>
      <c r="J16" s="559">
        <f>IFERROR(__xludf.DUMMYFUNCTION("""COMPUTED_VALUE"""),72.0)</f>
        <v>72</v>
      </c>
      <c r="K16" s="559">
        <f>IFERROR(__xludf.DUMMYFUNCTION("""COMPUTED_VALUE"""),70.0)</f>
        <v>70</v>
      </c>
      <c r="L16" s="560">
        <f>IFERROR(__xludf.DUMMYFUNCTION("""COMPUTED_VALUE"""),53.0)</f>
        <v>53</v>
      </c>
      <c r="M16" s="561">
        <f>IFERROR(__xludf.DUMMYFUNCTION("""COMPUTED_VALUE"""),50.0)</f>
        <v>50</v>
      </c>
      <c r="N16" s="561">
        <f>IFERROR(__xludf.DUMMYFUNCTION("""COMPUTED_VALUE"""),50.0)</f>
        <v>50</v>
      </c>
      <c r="O16" s="560"/>
      <c r="P16" s="562">
        <f>IFERROR(__xludf.DUMMYFUNCTION("""COMPUTED_VALUE"""),72.0)</f>
        <v>72</v>
      </c>
      <c r="Q16" s="562">
        <f>IFERROR(__xludf.DUMMYFUNCTION("""COMPUTED_VALUE"""),50.0)</f>
        <v>50</v>
      </c>
      <c r="R16" s="562">
        <f>IFERROR(__xludf.DUMMYFUNCTION("""COMPUTED_VALUE"""),74.0)</f>
        <v>74</v>
      </c>
      <c r="S16" s="562"/>
      <c r="T16" s="217">
        <f>IFERROR(__xludf.DUMMYFUNCTION("""COMPUTED_VALUE"""),21.0)</f>
        <v>21</v>
      </c>
      <c r="U16" s="217">
        <f>IFERROR(__xludf.DUMMYFUNCTION("""COMPUTED_VALUE"""),22.0)</f>
        <v>22</v>
      </c>
      <c r="V16" s="217">
        <f>IFERROR(__xludf.DUMMYFUNCTION("""COMPUTED_VALUE"""),80.0)</f>
        <v>80</v>
      </c>
      <c r="W16" s="217">
        <f>IFERROR(__xludf.DUMMYFUNCTION("""COMPUTED_VALUE"""),72.0)</f>
        <v>72</v>
      </c>
      <c r="X16" s="217">
        <f>IFERROR(__xludf.DUMMYFUNCTION("""COMPUTED_VALUE"""),88.0)</f>
        <v>88</v>
      </c>
      <c r="Y16" s="217"/>
      <c r="Z16" s="217"/>
      <c r="AA16" s="481">
        <f>IFERROR(__xludf.DUMMYFUNCTION("""COMPUTED_VALUE"""),50.0)</f>
        <v>50</v>
      </c>
      <c r="AB16" s="481">
        <f>IFERROR(__xludf.DUMMYFUNCTION("""COMPUTED_VALUE"""),82.5)</f>
        <v>82.5</v>
      </c>
      <c r="AC16" s="481">
        <f>IFERROR(__xludf.DUMMYFUNCTION("""COMPUTED_VALUE"""),100.0)</f>
        <v>100</v>
      </c>
      <c r="AD16" s="481">
        <f>IFERROR(__xludf.DUMMYFUNCTION("""COMPUTED_VALUE"""),81.0)</f>
        <v>81</v>
      </c>
      <c r="AE16" s="481">
        <f>IFERROR(__xludf.DUMMYFUNCTION("""COMPUTED_VALUE"""),70.0)</f>
        <v>70</v>
      </c>
      <c r="AF16" s="481"/>
      <c r="AG16" s="481">
        <f>IFERROR(__xludf.DUMMYFUNCTION("""COMPUTED_VALUE"""),73.0)</f>
        <v>73</v>
      </c>
      <c r="AH16" s="481"/>
      <c r="AI16" s="158"/>
      <c r="AJ16" s="158"/>
      <c r="AK16" s="133">
        <f>IFERROR(__xludf.DUMMYFUNCTION("""COMPUTED_VALUE"""),4.0)</f>
        <v>4</v>
      </c>
      <c r="AL16" s="133">
        <f>IFERROR(__xludf.DUMMYFUNCTION("""COMPUTED_VALUE"""),3.0)</f>
        <v>3</v>
      </c>
      <c r="AM16" s="133">
        <f>IFERROR(__xludf.DUMMYFUNCTION("""COMPUTED_VALUE"""),3.0)</f>
        <v>3</v>
      </c>
      <c r="AN16" s="133" t="str">
        <f>IFERROR(__xludf.DUMMYFUNCTION("""COMPUTED_VALUE"""),"3.5")</f>
        <v>3.5</v>
      </c>
      <c r="AO16" s="133">
        <f>IFERROR(__xludf.DUMMYFUNCTION("""COMPUTED_VALUE"""),3.0)</f>
        <v>3</v>
      </c>
      <c r="AP16" s="155" t="s">
        <v>2461</v>
      </c>
    </row>
    <row r="17">
      <c r="A17" s="555">
        <f>IFERROR(__xludf.DUMMYFUNCTION("""COMPUTED_VALUE"""),13.0)</f>
        <v>13</v>
      </c>
      <c r="B17" s="555" t="str">
        <f>IFERROR(__xludf.DUMMYFUNCTION("""COMPUTED_VALUE"""),"abmi23cs@cmrit.ac.in")</f>
        <v>abmi23cs@cmrit.ac.in</v>
      </c>
      <c r="C17" s="174" t="str">
        <f>IFERROR(__xludf.DUMMYFUNCTION("""COMPUTED_VALUE"""),"ABINASH MISHRA")</f>
        <v>ABINASH MISHRA</v>
      </c>
      <c r="D17" s="261" t="str">
        <f>IFERROR(__xludf.DUMMYFUNCTION("""COMPUTED_VALUE"""),"1CR23CS014")</f>
        <v>1CR23CS014</v>
      </c>
      <c r="E17" s="563">
        <f>IFERROR(__xludf.DUMMYFUNCTION("""COMPUTED_VALUE"""),7.328048027E9)</f>
        <v>7328048027</v>
      </c>
      <c r="F17" s="155" t="str">
        <f>IFERROR(__xludf.DUMMYFUNCTION("""COMPUTED_VALUE"""),"CSE")</f>
        <v>CSE</v>
      </c>
      <c r="G17" s="158"/>
      <c r="H17" s="559">
        <f>IFERROR(__xludf.DUMMYFUNCTION("""COMPUTED_VALUE"""),86.0)</f>
        <v>86</v>
      </c>
      <c r="I17" s="559">
        <f>IFERROR(__xludf.DUMMYFUNCTION("""COMPUTED_VALUE"""),87.0)</f>
        <v>87</v>
      </c>
      <c r="J17" s="559">
        <f>IFERROR(__xludf.DUMMYFUNCTION("""COMPUTED_VALUE"""),75.0)</f>
        <v>75</v>
      </c>
      <c r="K17" s="559">
        <f>IFERROR(__xludf.DUMMYFUNCTION("""COMPUTED_VALUE"""),70.0)</f>
        <v>70</v>
      </c>
      <c r="L17" s="560">
        <f>IFERROR(__xludf.DUMMYFUNCTION("""COMPUTED_VALUE"""),50.0)</f>
        <v>50</v>
      </c>
      <c r="M17" s="561">
        <f>IFERROR(__xludf.DUMMYFUNCTION("""COMPUTED_VALUE"""),50.0)</f>
        <v>50</v>
      </c>
      <c r="N17" s="561">
        <f>IFERROR(__xludf.DUMMYFUNCTION("""COMPUTED_VALUE"""),61.0)</f>
        <v>61</v>
      </c>
      <c r="O17" s="560"/>
      <c r="P17" s="562">
        <f>IFERROR(__xludf.DUMMYFUNCTION("""COMPUTED_VALUE"""),81.0)</f>
        <v>81</v>
      </c>
      <c r="Q17" s="562">
        <f>IFERROR(__xludf.DUMMYFUNCTION("""COMPUTED_VALUE"""),50.0)</f>
        <v>50</v>
      </c>
      <c r="R17" s="562">
        <f>IFERROR(__xludf.DUMMYFUNCTION("""COMPUTED_VALUE"""),86.0)</f>
        <v>86</v>
      </c>
      <c r="S17" s="562"/>
      <c r="T17" s="217">
        <f>IFERROR(__xludf.DUMMYFUNCTION("""COMPUTED_VALUE"""),13.0)</f>
        <v>13</v>
      </c>
      <c r="U17" s="217">
        <f>IFERROR(__xludf.DUMMYFUNCTION("""COMPUTED_VALUE"""),19.0)</f>
        <v>19</v>
      </c>
      <c r="V17" s="217">
        <f>IFERROR(__xludf.DUMMYFUNCTION("""COMPUTED_VALUE"""),44.0)</f>
        <v>44</v>
      </c>
      <c r="W17" s="217">
        <f>IFERROR(__xludf.DUMMYFUNCTION("""COMPUTED_VALUE"""),40.0)</f>
        <v>40</v>
      </c>
      <c r="X17" s="217">
        <f>IFERROR(__xludf.DUMMYFUNCTION("""COMPUTED_VALUE"""),50.0)</f>
        <v>50</v>
      </c>
      <c r="Y17" s="217"/>
      <c r="Z17" s="217"/>
      <c r="AA17" s="481">
        <f>IFERROR(__xludf.DUMMYFUNCTION("""COMPUTED_VALUE"""),100.0)</f>
        <v>100</v>
      </c>
      <c r="AB17" s="481">
        <f>IFERROR(__xludf.DUMMYFUNCTION("""COMPUTED_VALUE"""),100.0)</f>
        <v>100</v>
      </c>
      <c r="AC17" s="481">
        <f>IFERROR(__xludf.DUMMYFUNCTION("""COMPUTED_VALUE"""),0.0)</f>
        <v>0</v>
      </c>
      <c r="AD17" s="481">
        <f>IFERROR(__xludf.DUMMYFUNCTION("""COMPUTED_VALUE"""),60.0)</f>
        <v>60</v>
      </c>
      <c r="AE17" s="481">
        <f>IFERROR(__xludf.DUMMYFUNCTION("""COMPUTED_VALUE"""),23.0)</f>
        <v>23</v>
      </c>
      <c r="AF17" s="481"/>
      <c r="AG17" s="481">
        <f>IFERROR(__xludf.DUMMYFUNCTION("""COMPUTED_VALUE"""),36.0)</f>
        <v>36</v>
      </c>
      <c r="AH17" s="481"/>
      <c r="AI17" s="158"/>
      <c r="AJ17" s="158"/>
      <c r="AK17" s="133">
        <f>IFERROR(__xludf.DUMMYFUNCTION("""COMPUTED_VALUE"""),4.0)</f>
        <v>4</v>
      </c>
      <c r="AL17" s="133">
        <f>IFERROR(__xludf.DUMMYFUNCTION("""COMPUTED_VALUE"""),3.0)</f>
        <v>3</v>
      </c>
      <c r="AM17" s="133">
        <f>IFERROR(__xludf.DUMMYFUNCTION("""COMPUTED_VALUE"""),2.0)</f>
        <v>2</v>
      </c>
      <c r="AN17" s="133" t="str">
        <f>IFERROR(__xludf.DUMMYFUNCTION("""COMPUTED_VALUE"""),"3")</f>
        <v>3</v>
      </c>
      <c r="AO17" s="133">
        <f>IFERROR(__xludf.DUMMYFUNCTION("""COMPUTED_VALUE"""),3.0)</f>
        <v>3</v>
      </c>
      <c r="AP17" s="155" t="s">
        <v>2461</v>
      </c>
    </row>
    <row r="18">
      <c r="A18" s="555">
        <f>IFERROR(__xludf.DUMMYFUNCTION("""COMPUTED_VALUE"""),14.0)</f>
        <v>14</v>
      </c>
      <c r="B18" s="555" t="str">
        <f>IFERROR(__xludf.DUMMYFUNCTION("""COMPUTED_VALUE"""),"adsy23cs@cmrit.ac.in")</f>
        <v>adsy23cs@cmrit.ac.in</v>
      </c>
      <c r="C18" s="174" t="str">
        <f>IFERROR(__xludf.DUMMYFUNCTION("""COMPUTED_VALUE"""),"ADITHYASY")</f>
        <v>ADITHYASY</v>
      </c>
      <c r="D18" s="261" t="str">
        <f>IFERROR(__xludf.DUMMYFUNCTION("""COMPUTED_VALUE"""),"1CR23CS015")</f>
        <v>1CR23CS015</v>
      </c>
      <c r="E18" s="563">
        <f>IFERROR(__xludf.DUMMYFUNCTION("""COMPUTED_VALUE"""),9.008729574E9)</f>
        <v>9008729574</v>
      </c>
      <c r="F18" s="155" t="str">
        <f>IFERROR(__xludf.DUMMYFUNCTION("""COMPUTED_VALUE"""),"CSE")</f>
        <v>CSE</v>
      </c>
      <c r="G18" s="158"/>
      <c r="H18" s="559">
        <f>IFERROR(__xludf.DUMMYFUNCTION("""COMPUTED_VALUE"""),76.0)</f>
        <v>76</v>
      </c>
      <c r="I18" s="559">
        <f>IFERROR(__xludf.DUMMYFUNCTION("""COMPUTED_VALUE"""),74.0)</f>
        <v>74</v>
      </c>
      <c r="J18" s="559">
        <f>IFERROR(__xludf.DUMMYFUNCTION("""COMPUTED_VALUE"""),71.0)</f>
        <v>71</v>
      </c>
      <c r="K18" s="559">
        <f>IFERROR(__xludf.DUMMYFUNCTION("""COMPUTED_VALUE"""),78.0)</f>
        <v>78</v>
      </c>
      <c r="L18" s="560">
        <f>IFERROR(__xludf.DUMMYFUNCTION("""COMPUTED_VALUE"""),50.0)</f>
        <v>50</v>
      </c>
      <c r="M18" s="561">
        <f>IFERROR(__xludf.DUMMYFUNCTION("""COMPUTED_VALUE"""),50.0)</f>
        <v>50</v>
      </c>
      <c r="N18" s="561">
        <f>IFERROR(__xludf.DUMMYFUNCTION("""COMPUTED_VALUE"""),54.0)</f>
        <v>54</v>
      </c>
      <c r="O18" s="560"/>
      <c r="P18" s="562">
        <f>IFERROR(__xludf.DUMMYFUNCTION("""COMPUTED_VALUE"""),77.0)</f>
        <v>77</v>
      </c>
      <c r="Q18" s="562">
        <f>IFERROR(__xludf.DUMMYFUNCTION("""COMPUTED_VALUE"""),65.0)</f>
        <v>65</v>
      </c>
      <c r="R18" s="562">
        <f>IFERROR(__xludf.DUMMYFUNCTION("""COMPUTED_VALUE"""),91.0)</f>
        <v>91</v>
      </c>
      <c r="S18" s="562"/>
      <c r="T18" s="217">
        <f>IFERROR(__xludf.DUMMYFUNCTION("""COMPUTED_VALUE"""),14.0)</f>
        <v>14</v>
      </c>
      <c r="U18" s="217">
        <f>IFERROR(__xludf.DUMMYFUNCTION("""COMPUTED_VALUE"""),16.0)</f>
        <v>16</v>
      </c>
      <c r="V18" s="217">
        <f>IFERROR(__xludf.DUMMYFUNCTION("""COMPUTED_VALUE"""),68.0)</f>
        <v>68</v>
      </c>
      <c r="W18" s="217">
        <f>IFERROR(__xludf.DUMMYFUNCTION("""COMPUTED_VALUE"""),56.0)</f>
        <v>56</v>
      </c>
      <c r="X18" s="217">
        <f>IFERROR(__xludf.DUMMYFUNCTION("""COMPUTED_VALUE"""),82.0)</f>
        <v>82</v>
      </c>
      <c r="Y18" s="217"/>
      <c r="Z18" s="217"/>
      <c r="AA18" s="481">
        <f>IFERROR(__xludf.DUMMYFUNCTION("""COMPUTED_VALUE"""),78.0)</f>
        <v>78</v>
      </c>
      <c r="AB18" s="481">
        <f>IFERROR(__xludf.DUMMYFUNCTION("""COMPUTED_VALUE"""),95.0)</f>
        <v>95</v>
      </c>
      <c r="AC18" s="481">
        <f>IFERROR(__xludf.DUMMYFUNCTION("""COMPUTED_VALUE"""),98.0)</f>
        <v>98</v>
      </c>
      <c r="AD18" s="481">
        <f>IFERROR(__xludf.DUMMYFUNCTION("""COMPUTED_VALUE"""),100.0)</f>
        <v>100</v>
      </c>
      <c r="AE18" s="481">
        <f>IFERROR(__xludf.DUMMYFUNCTION("""COMPUTED_VALUE"""),81.0)</f>
        <v>81</v>
      </c>
      <c r="AF18" s="481"/>
      <c r="AG18" s="481">
        <f>IFERROR(__xludf.DUMMYFUNCTION("""COMPUTED_VALUE"""),78.0)</f>
        <v>78</v>
      </c>
      <c r="AH18" s="481"/>
      <c r="AI18" s="158"/>
      <c r="AJ18" s="158"/>
      <c r="AK18" s="133">
        <f>IFERROR(__xludf.DUMMYFUNCTION("""COMPUTED_VALUE"""),4.0)</f>
        <v>4</v>
      </c>
      <c r="AL18" s="133">
        <f>IFERROR(__xludf.DUMMYFUNCTION("""COMPUTED_VALUE"""),3.0)</f>
        <v>3</v>
      </c>
      <c r="AM18" s="133">
        <f>IFERROR(__xludf.DUMMYFUNCTION("""COMPUTED_VALUE"""),3.0)</f>
        <v>3</v>
      </c>
      <c r="AN18" s="133" t="str">
        <f>IFERROR(__xludf.DUMMYFUNCTION("""COMPUTED_VALUE"""),"3.5")</f>
        <v>3.5</v>
      </c>
      <c r="AO18" s="133">
        <f>IFERROR(__xludf.DUMMYFUNCTION("""COMPUTED_VALUE"""),3.0)</f>
        <v>3</v>
      </c>
      <c r="AP18" s="155" t="s">
        <v>2461</v>
      </c>
    </row>
    <row r="19">
      <c r="A19" s="555">
        <f>IFERROR(__xludf.DUMMYFUNCTION("""COMPUTED_VALUE"""),15.0)</f>
        <v>15</v>
      </c>
      <c r="B19" s="555" t="str">
        <f>IFERROR(__xludf.DUMMYFUNCTION("""COMPUTED_VALUE"""),"adbh23cs@cmrit.ac.in")</f>
        <v>adbh23cs@cmrit.ac.in</v>
      </c>
      <c r="C19" s="564" t="str">
        <f>IFERROR(__xludf.DUMMYFUNCTION("""COMPUTED_VALUE"""),"Aditya Bhusal")</f>
        <v>Aditya Bhusal</v>
      </c>
      <c r="D19" s="261" t="str">
        <f>IFERROR(__xludf.DUMMYFUNCTION("""COMPUTED_VALUE"""),"1CR23CS016")</f>
        <v>1CR23CS016</v>
      </c>
      <c r="E19" s="563">
        <f>IFERROR(__xludf.DUMMYFUNCTION("""COMPUTED_VALUE"""),9.779765503446E12)</f>
        <v>9779765503446</v>
      </c>
      <c r="F19" s="155" t="str">
        <f>IFERROR(__xludf.DUMMYFUNCTION("""COMPUTED_VALUE"""),"CSE")</f>
        <v>CSE</v>
      </c>
      <c r="G19" s="158"/>
      <c r="H19" s="559">
        <f>IFERROR(__xludf.DUMMYFUNCTION("""COMPUTED_VALUE"""),79.0)</f>
        <v>79</v>
      </c>
      <c r="I19" s="559">
        <f>IFERROR(__xludf.DUMMYFUNCTION("""COMPUTED_VALUE"""),72.0)</f>
        <v>72</v>
      </c>
      <c r="J19" s="559">
        <f>IFERROR(__xludf.DUMMYFUNCTION("""COMPUTED_VALUE"""),33.0)</f>
        <v>33</v>
      </c>
      <c r="K19" s="559">
        <f>IFERROR(__xludf.DUMMYFUNCTION("""COMPUTED_VALUE"""),6.0)</f>
        <v>6</v>
      </c>
      <c r="L19" s="560">
        <f>IFERROR(__xludf.DUMMYFUNCTION("""COMPUTED_VALUE"""),11.0)</f>
        <v>11</v>
      </c>
      <c r="M19" s="561">
        <f>IFERROR(__xludf.DUMMYFUNCTION("""COMPUTED_VALUE"""),7.0)</f>
        <v>7</v>
      </c>
      <c r="N19" s="561">
        <f>IFERROR(__xludf.DUMMYFUNCTION("""COMPUTED_VALUE"""),0.0)</f>
        <v>0</v>
      </c>
      <c r="O19" s="560"/>
      <c r="P19" s="562">
        <f>IFERROR(__xludf.DUMMYFUNCTION("""COMPUTED_VALUE"""),0.0)</f>
        <v>0</v>
      </c>
      <c r="Q19" s="562">
        <f>IFERROR(__xludf.DUMMYFUNCTION("""COMPUTED_VALUE"""),0.0)</f>
        <v>0</v>
      </c>
      <c r="R19" s="562">
        <f>IFERROR(__xludf.DUMMYFUNCTION("""COMPUTED_VALUE"""),0.0)</f>
        <v>0</v>
      </c>
      <c r="S19" s="562"/>
      <c r="T19" s="217">
        <f>IFERROR(__xludf.DUMMYFUNCTION("""COMPUTED_VALUE"""),11.0)</f>
        <v>11</v>
      </c>
      <c r="U19" s="217"/>
      <c r="V19" s="217">
        <f>IFERROR(__xludf.DUMMYFUNCTION("""COMPUTED_VALUE"""),76.0)</f>
        <v>76</v>
      </c>
      <c r="W19" s="217"/>
      <c r="X19" s="217"/>
      <c r="Y19" s="217"/>
      <c r="Z19" s="217"/>
      <c r="AA19" s="481">
        <f>IFERROR(__xludf.DUMMYFUNCTION("""COMPUTED_VALUE"""),0.0)</f>
        <v>0</v>
      </c>
      <c r="AB19" s="481">
        <f>IFERROR(__xludf.DUMMYFUNCTION("""COMPUTED_VALUE"""),38.0)</f>
        <v>38</v>
      </c>
      <c r="AC19" s="481">
        <f>IFERROR(__xludf.DUMMYFUNCTION("""COMPUTED_VALUE"""),0.0)</f>
        <v>0</v>
      </c>
      <c r="AD19" s="481">
        <f>IFERROR(__xludf.DUMMYFUNCTION("""COMPUTED_VALUE"""),0.0)</f>
        <v>0</v>
      </c>
      <c r="AE19" s="481">
        <f>IFERROR(__xludf.DUMMYFUNCTION("""COMPUTED_VALUE"""),10.0)</f>
        <v>10</v>
      </c>
      <c r="AF19" s="481"/>
      <c r="AG19" s="481">
        <f>IFERROR(__xludf.DUMMYFUNCTION("""COMPUTED_VALUE"""),10.0)</f>
        <v>10</v>
      </c>
      <c r="AH19" s="481"/>
      <c r="AI19" s="158"/>
      <c r="AJ19" s="158"/>
      <c r="AK19" s="133">
        <f>IFERROR(__xludf.DUMMYFUNCTION("""COMPUTED_VALUE"""),2.0)</f>
        <v>2</v>
      </c>
      <c r="AL19" s="133">
        <f>IFERROR(__xludf.DUMMYFUNCTION("""COMPUTED_VALUE"""),0.0)</f>
        <v>0</v>
      </c>
      <c r="AM19" s="133">
        <f>IFERROR(__xludf.DUMMYFUNCTION("""COMPUTED_VALUE"""),2.0)</f>
        <v>2</v>
      </c>
      <c r="AN19" s="133" t="str">
        <f>IFERROR(__xludf.DUMMYFUNCTION("""COMPUTED_VALUE"""),"0")</f>
        <v>0</v>
      </c>
      <c r="AO19" s="133">
        <f>IFERROR(__xludf.DUMMYFUNCTION("""COMPUTED_VALUE"""),0.0)</f>
        <v>0</v>
      </c>
      <c r="AP19" s="155" t="s">
        <v>2461</v>
      </c>
    </row>
    <row r="20">
      <c r="A20" s="555">
        <f>IFERROR(__xludf.DUMMYFUNCTION("""COMPUTED_VALUE"""),16.0)</f>
        <v>16</v>
      </c>
      <c r="B20" s="555" t="str">
        <f>IFERROR(__xludf.DUMMYFUNCTION("""COMPUTED_VALUE"""),"adpr23cs@cmrit.ac.in")</f>
        <v>adpr23cs@cmrit.ac.in</v>
      </c>
      <c r="C20" s="172" t="str">
        <f>IFERROR(__xludf.DUMMYFUNCTION("""COMPUTED_VALUE"""),"Aditya Prakash ")</f>
        <v>Aditya Prakash </v>
      </c>
      <c r="D20" s="261" t="str">
        <f>IFERROR(__xludf.DUMMYFUNCTION("""COMPUTED_VALUE"""),"1CR23CS017")</f>
        <v>1CR23CS017</v>
      </c>
      <c r="E20" s="563">
        <f>IFERROR(__xludf.DUMMYFUNCTION("""COMPUTED_VALUE"""),8.969143681E9)</f>
        <v>8969143681</v>
      </c>
      <c r="F20" s="155" t="str">
        <f>IFERROR(__xludf.DUMMYFUNCTION("""COMPUTED_VALUE"""),"CSE")</f>
        <v>CSE</v>
      </c>
      <c r="G20" s="158"/>
      <c r="H20" s="559">
        <f>IFERROR(__xludf.DUMMYFUNCTION("""COMPUTED_VALUE"""),79.0)</f>
        <v>79</v>
      </c>
      <c r="I20" s="559">
        <f>IFERROR(__xludf.DUMMYFUNCTION("""COMPUTED_VALUE"""),83.0)</f>
        <v>83</v>
      </c>
      <c r="J20" s="559">
        <f>IFERROR(__xludf.DUMMYFUNCTION("""COMPUTED_VALUE"""),70.0)</f>
        <v>70</v>
      </c>
      <c r="K20" s="559">
        <f>IFERROR(__xludf.DUMMYFUNCTION("""COMPUTED_VALUE"""),70.0)</f>
        <v>70</v>
      </c>
      <c r="L20" s="560">
        <f>IFERROR(__xludf.DUMMYFUNCTION("""COMPUTED_VALUE"""),72.0)</f>
        <v>72</v>
      </c>
      <c r="M20" s="561">
        <f>IFERROR(__xludf.DUMMYFUNCTION("""COMPUTED_VALUE"""),4.0)</f>
        <v>4</v>
      </c>
      <c r="N20" s="561">
        <f>IFERROR(__xludf.DUMMYFUNCTION("""COMPUTED_VALUE"""),52.0)</f>
        <v>52</v>
      </c>
      <c r="O20" s="560"/>
      <c r="P20" s="562">
        <f>IFERROR(__xludf.DUMMYFUNCTION("""COMPUTED_VALUE"""),0.0)</f>
        <v>0</v>
      </c>
      <c r="Q20" s="562">
        <f>IFERROR(__xludf.DUMMYFUNCTION("""COMPUTED_VALUE"""),63.0)</f>
        <v>63</v>
      </c>
      <c r="R20" s="562">
        <f>IFERROR(__xludf.DUMMYFUNCTION("""COMPUTED_VALUE"""),80.0)</f>
        <v>80</v>
      </c>
      <c r="S20" s="562"/>
      <c r="T20" s="217">
        <f>IFERROR(__xludf.DUMMYFUNCTION("""COMPUTED_VALUE"""),10.0)</f>
        <v>10</v>
      </c>
      <c r="U20" s="217">
        <f>IFERROR(__xludf.DUMMYFUNCTION("""COMPUTED_VALUE"""),22.0)</f>
        <v>22</v>
      </c>
      <c r="V20" s="217">
        <f>IFERROR(__xludf.DUMMYFUNCTION("""COMPUTED_VALUE"""),84.0)</f>
        <v>84</v>
      </c>
      <c r="W20" s="217">
        <f>IFERROR(__xludf.DUMMYFUNCTION("""COMPUTED_VALUE"""),32.0)</f>
        <v>32</v>
      </c>
      <c r="X20" s="217">
        <f>IFERROR(__xludf.DUMMYFUNCTION("""COMPUTED_VALUE"""),78.0)</f>
        <v>78</v>
      </c>
      <c r="Y20" s="217"/>
      <c r="Z20" s="217"/>
      <c r="AA20" s="481">
        <f>IFERROR(__xludf.DUMMYFUNCTION("""COMPUTED_VALUE"""),74.0)</f>
        <v>74</v>
      </c>
      <c r="AB20" s="481">
        <f>IFERROR(__xludf.DUMMYFUNCTION("""COMPUTED_VALUE"""),100.0)</f>
        <v>100</v>
      </c>
      <c r="AC20" s="481">
        <f>IFERROR(__xludf.DUMMYFUNCTION("""COMPUTED_VALUE"""),75.0)</f>
        <v>75</v>
      </c>
      <c r="AD20" s="481">
        <f>IFERROR(__xludf.DUMMYFUNCTION("""COMPUTED_VALUE"""),75.0)</f>
        <v>75</v>
      </c>
      <c r="AE20" s="481">
        <f>IFERROR(__xludf.DUMMYFUNCTION("""COMPUTED_VALUE"""),72.0)</f>
        <v>72</v>
      </c>
      <c r="AF20" s="481"/>
      <c r="AG20" s="481">
        <f>IFERROR(__xludf.DUMMYFUNCTION("""COMPUTED_VALUE"""),40.0)</f>
        <v>40</v>
      </c>
      <c r="AH20" s="481"/>
      <c r="AI20" s="158"/>
      <c r="AJ20" s="158"/>
      <c r="AK20" s="133">
        <f>IFERROR(__xludf.DUMMYFUNCTION("""COMPUTED_VALUE"""),4.0)</f>
        <v>4</v>
      </c>
      <c r="AL20" s="133">
        <f>IFERROR(__xludf.DUMMYFUNCTION("""COMPUTED_VALUE"""),1.0)</f>
        <v>1</v>
      </c>
      <c r="AM20" s="133">
        <f>IFERROR(__xludf.DUMMYFUNCTION("""COMPUTED_VALUE"""),2.0)</f>
        <v>2</v>
      </c>
      <c r="AN20" s="133" t="str">
        <f>IFERROR(__xludf.DUMMYFUNCTION("""COMPUTED_VALUE"""),"3.5")</f>
        <v>3.5</v>
      </c>
      <c r="AO20" s="133">
        <f>IFERROR(__xludf.DUMMYFUNCTION("""COMPUTED_VALUE"""),0.0)</f>
        <v>0</v>
      </c>
      <c r="AP20" s="155" t="s">
        <v>2461</v>
      </c>
    </row>
    <row r="21">
      <c r="A21" s="555">
        <f>IFERROR(__xludf.DUMMYFUNCTION("""COMPUTED_VALUE"""),17.0)</f>
        <v>17</v>
      </c>
      <c r="B21" s="555" t="str">
        <f>IFERROR(__xludf.DUMMYFUNCTION("""COMPUTED_VALUE"""),"adha23cs@cmrit.ac.in")</f>
        <v>adha23cs@cmrit.ac.in</v>
      </c>
      <c r="C21" s="564" t="str">
        <f>IFERROR(__xludf.DUMMYFUNCTION("""COMPUTED_VALUE"""),"Advait Harish")</f>
        <v>Advait Harish</v>
      </c>
      <c r="D21" s="261" t="str">
        <f>IFERROR(__xludf.DUMMYFUNCTION("""COMPUTED_VALUE"""),"1CR23CS018")</f>
        <v>1CR23CS018</v>
      </c>
      <c r="E21" s="563">
        <f>IFERROR(__xludf.DUMMYFUNCTION("""COMPUTED_VALUE"""),9.686313405E9)</f>
        <v>9686313405</v>
      </c>
      <c r="F21" s="155" t="str">
        <f>IFERROR(__xludf.DUMMYFUNCTION("""COMPUTED_VALUE"""),"CSE")</f>
        <v>CSE</v>
      </c>
      <c r="G21" s="158"/>
      <c r="H21" s="559">
        <f>IFERROR(__xludf.DUMMYFUNCTION("""COMPUTED_VALUE"""),89.0)</f>
        <v>89</v>
      </c>
      <c r="I21" s="559">
        <f>IFERROR(__xludf.DUMMYFUNCTION("""COMPUTED_VALUE"""),89.0)</f>
        <v>89</v>
      </c>
      <c r="J21" s="559">
        <f>IFERROR(__xludf.DUMMYFUNCTION("""COMPUTED_VALUE"""),88.0)</f>
        <v>88</v>
      </c>
      <c r="K21" s="559">
        <f>IFERROR(__xludf.DUMMYFUNCTION("""COMPUTED_VALUE"""),72.0)</f>
        <v>72</v>
      </c>
      <c r="L21" s="560">
        <f>IFERROR(__xludf.DUMMYFUNCTION("""COMPUTED_VALUE"""),72.0)</f>
        <v>72</v>
      </c>
      <c r="M21" s="561">
        <f>IFERROR(__xludf.DUMMYFUNCTION("""COMPUTED_VALUE"""),50.0)</f>
        <v>50</v>
      </c>
      <c r="N21" s="561">
        <f>IFERROR(__xludf.DUMMYFUNCTION("""COMPUTED_VALUE"""),50.0)</f>
        <v>50</v>
      </c>
      <c r="O21" s="560"/>
      <c r="P21" s="562">
        <f>IFERROR(__xludf.DUMMYFUNCTION("""COMPUTED_VALUE"""),78.0)</f>
        <v>78</v>
      </c>
      <c r="Q21" s="562">
        <f>IFERROR(__xludf.DUMMYFUNCTION("""COMPUTED_VALUE"""),73.0)</f>
        <v>73</v>
      </c>
      <c r="R21" s="562">
        <f>IFERROR(__xludf.DUMMYFUNCTION("""COMPUTED_VALUE"""),84.0)</f>
        <v>84</v>
      </c>
      <c r="S21" s="562"/>
      <c r="T21" s="217">
        <f>IFERROR(__xludf.DUMMYFUNCTION("""COMPUTED_VALUE"""),14.0)</f>
        <v>14</v>
      </c>
      <c r="U21" s="217">
        <f>IFERROR(__xludf.DUMMYFUNCTION("""COMPUTED_VALUE"""),18.0)</f>
        <v>18</v>
      </c>
      <c r="V21" s="217">
        <f>IFERROR(__xludf.DUMMYFUNCTION("""COMPUTED_VALUE"""),75.0)</f>
        <v>75</v>
      </c>
      <c r="W21" s="217">
        <f>IFERROR(__xludf.DUMMYFUNCTION("""COMPUTED_VALUE"""),56.0)</f>
        <v>56</v>
      </c>
      <c r="X21" s="217">
        <f>IFERROR(__xludf.DUMMYFUNCTION("""COMPUTED_VALUE"""),86.0)</f>
        <v>86</v>
      </c>
      <c r="Y21" s="217"/>
      <c r="Z21" s="217"/>
      <c r="AA21" s="481">
        <f>IFERROR(__xludf.DUMMYFUNCTION("""COMPUTED_VALUE"""),99.0)</f>
        <v>99</v>
      </c>
      <c r="AB21" s="481">
        <f>IFERROR(__xludf.DUMMYFUNCTION("""COMPUTED_VALUE"""),100.0)</f>
        <v>100</v>
      </c>
      <c r="AC21" s="481">
        <f>IFERROR(__xludf.DUMMYFUNCTION("""COMPUTED_VALUE"""),98.5)</f>
        <v>98.5</v>
      </c>
      <c r="AD21" s="481">
        <f>IFERROR(__xludf.DUMMYFUNCTION("""COMPUTED_VALUE"""),74.0)</f>
        <v>74</v>
      </c>
      <c r="AE21" s="481">
        <f>IFERROR(__xludf.DUMMYFUNCTION("""COMPUTED_VALUE"""),87.0)</f>
        <v>87</v>
      </c>
      <c r="AF21" s="481"/>
      <c r="AG21" s="481">
        <f>IFERROR(__xludf.DUMMYFUNCTION("""COMPUTED_VALUE"""),73.0)</f>
        <v>73</v>
      </c>
      <c r="AH21" s="481"/>
      <c r="AI21" s="158"/>
      <c r="AJ21" s="158"/>
      <c r="AK21" s="133">
        <f>IFERROR(__xludf.DUMMYFUNCTION("""COMPUTED_VALUE"""),4.0)</f>
        <v>4</v>
      </c>
      <c r="AL21" s="133">
        <f>IFERROR(__xludf.DUMMYFUNCTION("""COMPUTED_VALUE"""),3.0)</f>
        <v>3</v>
      </c>
      <c r="AM21" s="133">
        <f>IFERROR(__xludf.DUMMYFUNCTION("""COMPUTED_VALUE"""),3.0)</f>
        <v>3</v>
      </c>
      <c r="AN21" s="133" t="str">
        <f>IFERROR(__xludf.DUMMYFUNCTION("""COMPUTED_VALUE"""),"3.5")</f>
        <v>3.5</v>
      </c>
      <c r="AO21" s="133">
        <f>IFERROR(__xludf.DUMMYFUNCTION("""COMPUTED_VALUE"""),3.0)</f>
        <v>3</v>
      </c>
      <c r="AP21" s="155" t="s">
        <v>2461</v>
      </c>
    </row>
    <row r="22">
      <c r="A22" s="555">
        <f>IFERROR(__xludf.DUMMYFUNCTION("""COMPUTED_VALUE"""),18.0)</f>
        <v>18</v>
      </c>
      <c r="B22" s="555" t="str">
        <f>IFERROR(__xludf.DUMMYFUNCTION("""COMPUTED_VALUE"""),"adsa23cs@cmrit.ac.in")</f>
        <v>adsa23cs@cmrit.ac.in</v>
      </c>
      <c r="C22" s="564" t="str">
        <f>IFERROR(__xludf.DUMMYFUNCTION("""COMPUTED_VALUE"""),"ADVAIT SACHIN KESKAR")</f>
        <v>ADVAIT SACHIN KESKAR</v>
      </c>
      <c r="D22" s="261" t="str">
        <f>IFERROR(__xludf.DUMMYFUNCTION("""COMPUTED_VALUE"""),"1CR23CS019")</f>
        <v>1CR23CS019</v>
      </c>
      <c r="E22" s="563">
        <f>IFERROR(__xludf.DUMMYFUNCTION("""COMPUTED_VALUE"""),8.792477272E9)</f>
        <v>8792477272</v>
      </c>
      <c r="F22" s="155" t="str">
        <f>IFERROR(__xludf.DUMMYFUNCTION("""COMPUTED_VALUE"""),"CSE")</f>
        <v>CSE</v>
      </c>
      <c r="G22" s="158"/>
      <c r="H22" s="559">
        <f>IFERROR(__xludf.DUMMYFUNCTION("""COMPUTED_VALUE"""),89.0)</f>
        <v>89</v>
      </c>
      <c r="I22" s="559">
        <f>IFERROR(__xludf.DUMMYFUNCTION("""COMPUTED_VALUE"""),78.0)</f>
        <v>78</v>
      </c>
      <c r="J22" s="559">
        <f>IFERROR(__xludf.DUMMYFUNCTION("""COMPUTED_VALUE"""),60.0)</f>
        <v>60</v>
      </c>
      <c r="K22" s="559">
        <f>IFERROR(__xludf.DUMMYFUNCTION("""COMPUTED_VALUE"""),37.0)</f>
        <v>37</v>
      </c>
      <c r="L22" s="560">
        <f>IFERROR(__xludf.DUMMYFUNCTION("""COMPUTED_VALUE"""),33.0)</f>
        <v>33</v>
      </c>
      <c r="M22" s="561">
        <f>IFERROR(__xludf.DUMMYFUNCTION("""COMPUTED_VALUE"""),0.0)</f>
        <v>0</v>
      </c>
      <c r="N22" s="561">
        <f>IFERROR(__xludf.DUMMYFUNCTION("""COMPUTED_VALUE"""),6.0)</f>
        <v>6</v>
      </c>
      <c r="O22" s="560"/>
      <c r="P22" s="562">
        <f>IFERROR(__xludf.DUMMYFUNCTION("""COMPUTED_VALUE"""),0.0)</f>
        <v>0</v>
      </c>
      <c r="Q22" s="562">
        <f>IFERROR(__xludf.DUMMYFUNCTION("""COMPUTED_VALUE"""),0.0)</f>
        <v>0</v>
      </c>
      <c r="R22" s="562">
        <f>IFERROR(__xludf.DUMMYFUNCTION("""COMPUTED_VALUE"""),0.0)</f>
        <v>0</v>
      </c>
      <c r="S22" s="562"/>
      <c r="T22" s="217">
        <f>IFERROR(__xludf.DUMMYFUNCTION("""COMPUTED_VALUE"""),14.0)</f>
        <v>14</v>
      </c>
      <c r="U22" s="217">
        <f>IFERROR(__xludf.DUMMYFUNCTION("""COMPUTED_VALUE"""),15.0)</f>
        <v>15</v>
      </c>
      <c r="V22" s="217">
        <f>IFERROR(__xludf.DUMMYFUNCTION("""COMPUTED_VALUE"""),32.0)</f>
        <v>32</v>
      </c>
      <c r="W22" s="217">
        <f>IFERROR(__xludf.DUMMYFUNCTION("""COMPUTED_VALUE"""),44.0)</f>
        <v>44</v>
      </c>
      <c r="X22" s="217"/>
      <c r="Y22" s="217"/>
      <c r="Z22" s="217"/>
      <c r="AA22" s="481">
        <f>IFERROR(__xludf.DUMMYFUNCTION("""COMPUTED_VALUE"""),54.0)</f>
        <v>54</v>
      </c>
      <c r="AB22" s="481">
        <f>IFERROR(__xludf.DUMMYFUNCTION("""COMPUTED_VALUE"""),35.0)</f>
        <v>35</v>
      </c>
      <c r="AC22" s="481">
        <f>IFERROR(__xludf.DUMMYFUNCTION("""COMPUTED_VALUE"""),0.0)</f>
        <v>0</v>
      </c>
      <c r="AD22" s="481">
        <f>IFERROR(__xludf.DUMMYFUNCTION("""COMPUTED_VALUE"""),0.0)</f>
        <v>0</v>
      </c>
      <c r="AE22" s="481">
        <f>IFERROR(__xludf.DUMMYFUNCTION("""COMPUTED_VALUE"""),10.0)</f>
        <v>10</v>
      </c>
      <c r="AF22" s="481"/>
      <c r="AG22" s="481">
        <f>IFERROR(__xludf.DUMMYFUNCTION("""COMPUTED_VALUE"""),0.0)</f>
        <v>0</v>
      </c>
      <c r="AH22" s="481"/>
      <c r="AI22" s="158"/>
      <c r="AJ22" s="158"/>
      <c r="AK22" s="133">
        <f>IFERROR(__xludf.DUMMYFUNCTION("""COMPUTED_VALUE"""),2.0)</f>
        <v>2</v>
      </c>
      <c r="AL22" s="133">
        <f>IFERROR(__xludf.DUMMYFUNCTION("""COMPUTED_VALUE"""),0.0)</f>
        <v>0</v>
      </c>
      <c r="AM22" s="133">
        <f>IFERROR(__xludf.DUMMYFUNCTION("""COMPUTED_VALUE"""),2.0)</f>
        <v>2</v>
      </c>
      <c r="AN22" s="133" t="str">
        <f>IFERROR(__xludf.DUMMYFUNCTION("""COMPUTED_VALUE"""),"0")</f>
        <v>0</v>
      </c>
      <c r="AO22" s="133">
        <f>IFERROR(__xludf.DUMMYFUNCTION("""COMPUTED_VALUE"""),0.0)</f>
        <v>0</v>
      </c>
      <c r="AP22" s="155" t="s">
        <v>2461</v>
      </c>
    </row>
    <row r="23">
      <c r="A23" s="555">
        <f>IFERROR(__xludf.DUMMYFUNCTION("""COMPUTED_VALUE"""),19.0)</f>
        <v>19</v>
      </c>
      <c r="B23" s="555" t="str">
        <f>IFERROR(__xludf.DUMMYFUNCTION("""COMPUTED_VALUE"""),"aish23cs@cmrit.ac.in")</f>
        <v>aish23cs@cmrit.ac.in</v>
      </c>
      <c r="C23" s="174" t="str">
        <f>IFERROR(__xludf.DUMMYFUNCTION("""COMPUTED_VALUE"""),"AISHWARYA SHARABANNAGOUDA MALIPATIL")</f>
        <v>AISHWARYA SHARABANNAGOUDA MALIPATIL</v>
      </c>
      <c r="D23" s="261" t="str">
        <f>IFERROR(__xludf.DUMMYFUNCTION("""COMPUTED_VALUE"""),"1CR23CS020")</f>
        <v>1CR23CS020</v>
      </c>
      <c r="E23" s="563">
        <f>IFERROR(__xludf.DUMMYFUNCTION("""COMPUTED_VALUE"""),9.01910593E9)</f>
        <v>9019105930</v>
      </c>
      <c r="F23" s="155" t="str">
        <f>IFERROR(__xludf.DUMMYFUNCTION("""COMPUTED_VALUE"""),"CSE")</f>
        <v>CSE</v>
      </c>
      <c r="G23" s="158"/>
      <c r="H23" s="559">
        <f>IFERROR(__xludf.DUMMYFUNCTION("""COMPUTED_VALUE"""),71.0)</f>
        <v>71</v>
      </c>
      <c r="I23" s="559">
        <f>IFERROR(__xludf.DUMMYFUNCTION("""COMPUTED_VALUE"""),74.0)</f>
        <v>74</v>
      </c>
      <c r="J23" s="559">
        <f>IFERROR(__xludf.DUMMYFUNCTION("""COMPUTED_VALUE"""),70.0)</f>
        <v>70</v>
      </c>
      <c r="K23" s="559">
        <f>IFERROR(__xludf.DUMMYFUNCTION("""COMPUTED_VALUE"""),70.0)</f>
        <v>70</v>
      </c>
      <c r="L23" s="560">
        <f>IFERROR(__xludf.DUMMYFUNCTION("""COMPUTED_VALUE"""),50.0)</f>
        <v>50</v>
      </c>
      <c r="M23" s="561">
        <f>IFERROR(__xludf.DUMMYFUNCTION("""COMPUTED_VALUE"""),13.0)</f>
        <v>13</v>
      </c>
      <c r="N23" s="561">
        <f>IFERROR(__xludf.DUMMYFUNCTION("""COMPUTED_VALUE"""),50.0)</f>
        <v>50</v>
      </c>
      <c r="O23" s="560"/>
      <c r="P23" s="562">
        <f>IFERROR(__xludf.DUMMYFUNCTION("""COMPUTED_VALUE"""),87.0)</f>
        <v>87</v>
      </c>
      <c r="Q23" s="562">
        <f>IFERROR(__xludf.DUMMYFUNCTION("""COMPUTED_VALUE"""),66.0)</f>
        <v>66</v>
      </c>
      <c r="R23" s="562">
        <f>IFERROR(__xludf.DUMMYFUNCTION("""COMPUTED_VALUE"""),83.0)</f>
        <v>83</v>
      </c>
      <c r="S23" s="562"/>
      <c r="T23" s="217">
        <f>IFERROR(__xludf.DUMMYFUNCTION("""COMPUTED_VALUE"""),12.0)</f>
        <v>12</v>
      </c>
      <c r="U23" s="217">
        <f>IFERROR(__xludf.DUMMYFUNCTION("""COMPUTED_VALUE"""),17.0)</f>
        <v>17</v>
      </c>
      <c r="V23" s="217">
        <f>IFERROR(__xludf.DUMMYFUNCTION("""COMPUTED_VALUE"""),85.0)</f>
        <v>85</v>
      </c>
      <c r="W23" s="217">
        <f>IFERROR(__xludf.DUMMYFUNCTION("""COMPUTED_VALUE"""),40.0)</f>
        <v>40</v>
      </c>
      <c r="X23" s="217">
        <f>IFERROR(__xludf.DUMMYFUNCTION("""COMPUTED_VALUE"""),86.0)</f>
        <v>86</v>
      </c>
      <c r="Y23" s="217"/>
      <c r="Z23" s="217"/>
      <c r="AA23" s="481">
        <f>IFERROR(__xludf.DUMMYFUNCTION("""COMPUTED_VALUE"""),100.0)</f>
        <v>100</v>
      </c>
      <c r="AB23" s="481">
        <f>IFERROR(__xludf.DUMMYFUNCTION("""COMPUTED_VALUE"""),97.5)</f>
        <v>97.5</v>
      </c>
      <c r="AC23" s="481">
        <f>IFERROR(__xludf.DUMMYFUNCTION("""COMPUTED_VALUE"""),62.5)</f>
        <v>62.5</v>
      </c>
      <c r="AD23" s="481">
        <f>IFERROR(__xludf.DUMMYFUNCTION("""COMPUTED_VALUE"""),100.0)</f>
        <v>100</v>
      </c>
      <c r="AE23" s="481">
        <f>IFERROR(__xludf.DUMMYFUNCTION("""COMPUTED_VALUE"""),25.0)</f>
        <v>25</v>
      </c>
      <c r="AF23" s="481"/>
      <c r="AG23" s="481">
        <f>IFERROR(__xludf.DUMMYFUNCTION("""COMPUTED_VALUE"""),71.0)</f>
        <v>71</v>
      </c>
      <c r="AH23" s="481"/>
      <c r="AI23" s="158"/>
      <c r="AJ23" s="158"/>
      <c r="AK23" s="133">
        <f>IFERROR(__xludf.DUMMYFUNCTION("""COMPUTED_VALUE"""),4.0)</f>
        <v>4</v>
      </c>
      <c r="AL23" s="133">
        <f>IFERROR(__xludf.DUMMYFUNCTION("""COMPUTED_VALUE"""),1.0)</f>
        <v>1</v>
      </c>
      <c r="AM23" s="133">
        <f>IFERROR(__xludf.DUMMYFUNCTION("""COMPUTED_VALUE"""),2.0)</f>
        <v>2</v>
      </c>
      <c r="AN23" s="133" t="str">
        <f>IFERROR(__xludf.DUMMYFUNCTION("""COMPUTED_VALUE"""),"3")</f>
        <v>3</v>
      </c>
      <c r="AO23" s="133">
        <f>IFERROR(__xludf.DUMMYFUNCTION("""COMPUTED_VALUE"""),3.0)</f>
        <v>3</v>
      </c>
      <c r="AP23" s="155" t="s">
        <v>2461</v>
      </c>
    </row>
    <row r="24">
      <c r="A24" s="555">
        <f>IFERROR(__xludf.DUMMYFUNCTION("""COMPUTED_VALUE"""),20.0)</f>
        <v>20</v>
      </c>
      <c r="B24" s="555" t="str">
        <f>IFERROR(__xludf.DUMMYFUNCTION("""COMPUTED_VALUE"""),"aiai23cs@cmrit.ac.in")</f>
        <v>aiai23cs@cmrit.ac.in</v>
      </c>
      <c r="C24" s="172" t="str">
        <f>IFERROR(__xludf.DUMMYFUNCTION("""COMPUTED_VALUE"""),"Aishwarya sujan")</f>
        <v>Aishwarya sujan</v>
      </c>
      <c r="D24" s="261" t="str">
        <f>IFERROR(__xludf.DUMMYFUNCTION("""COMPUTED_VALUE"""),"1CR23CS021")</f>
        <v>1CR23CS021</v>
      </c>
      <c r="E24" s="563">
        <f>IFERROR(__xludf.DUMMYFUNCTION("""COMPUTED_VALUE"""),8.296162379E9)</f>
        <v>8296162379</v>
      </c>
      <c r="F24" s="155" t="str">
        <f>IFERROR(__xludf.DUMMYFUNCTION("""COMPUTED_VALUE"""),"CSE")</f>
        <v>CSE</v>
      </c>
      <c r="G24" s="158"/>
      <c r="H24" s="559">
        <f>IFERROR(__xludf.DUMMYFUNCTION("""COMPUTED_VALUE"""),88.0)</f>
        <v>88</v>
      </c>
      <c r="I24" s="559">
        <f>IFERROR(__xludf.DUMMYFUNCTION("""COMPUTED_VALUE"""),90.0)</f>
        <v>90</v>
      </c>
      <c r="J24" s="559">
        <f>IFERROR(__xludf.DUMMYFUNCTION("""COMPUTED_VALUE"""),92.0)</f>
        <v>92</v>
      </c>
      <c r="K24" s="559">
        <f>IFERROR(__xludf.DUMMYFUNCTION("""COMPUTED_VALUE"""),77.0)</f>
        <v>77</v>
      </c>
      <c r="L24" s="560">
        <f>IFERROR(__xludf.DUMMYFUNCTION("""COMPUTED_VALUE"""),50.0)</f>
        <v>50</v>
      </c>
      <c r="M24" s="561">
        <f>IFERROR(__xludf.DUMMYFUNCTION("""COMPUTED_VALUE"""),28.0)</f>
        <v>28</v>
      </c>
      <c r="N24" s="561">
        <f>IFERROR(__xludf.DUMMYFUNCTION("""COMPUTED_VALUE"""),50.0)</f>
        <v>50</v>
      </c>
      <c r="O24" s="560"/>
      <c r="P24" s="562">
        <f>IFERROR(__xludf.DUMMYFUNCTION("""COMPUTED_VALUE"""),77.0)</f>
        <v>77</v>
      </c>
      <c r="Q24" s="562">
        <f>IFERROR(__xludf.DUMMYFUNCTION("""COMPUTED_VALUE"""),73.0)</f>
        <v>73</v>
      </c>
      <c r="R24" s="562">
        <f>IFERROR(__xludf.DUMMYFUNCTION("""COMPUTED_VALUE"""),93.0)</f>
        <v>93</v>
      </c>
      <c r="S24" s="562"/>
      <c r="T24" s="217">
        <f>IFERROR(__xludf.DUMMYFUNCTION("""COMPUTED_VALUE"""),10.0)</f>
        <v>10</v>
      </c>
      <c r="U24" s="217">
        <f>IFERROR(__xludf.DUMMYFUNCTION("""COMPUTED_VALUE"""),20.0)</f>
        <v>20</v>
      </c>
      <c r="V24" s="217">
        <f>IFERROR(__xludf.DUMMYFUNCTION("""COMPUTED_VALUE"""),80.0)</f>
        <v>80</v>
      </c>
      <c r="W24" s="217">
        <f>IFERROR(__xludf.DUMMYFUNCTION("""COMPUTED_VALUE"""),56.0)</f>
        <v>56</v>
      </c>
      <c r="X24" s="217">
        <f>IFERROR(__xludf.DUMMYFUNCTION("""COMPUTED_VALUE"""),88.0)</f>
        <v>88</v>
      </c>
      <c r="Y24" s="217"/>
      <c r="Z24" s="217"/>
      <c r="AA24" s="481">
        <f>IFERROR(__xludf.DUMMYFUNCTION("""COMPUTED_VALUE"""),94.0)</f>
        <v>94</v>
      </c>
      <c r="AB24" s="481">
        <f>IFERROR(__xludf.DUMMYFUNCTION("""COMPUTED_VALUE"""),100.0)</f>
        <v>100</v>
      </c>
      <c r="AC24" s="481">
        <f>IFERROR(__xludf.DUMMYFUNCTION("""COMPUTED_VALUE"""),63.5)</f>
        <v>63.5</v>
      </c>
      <c r="AD24" s="481">
        <f>IFERROR(__xludf.DUMMYFUNCTION("""COMPUTED_VALUE"""),68.0)</f>
        <v>68</v>
      </c>
      <c r="AE24" s="481">
        <f>IFERROR(__xludf.DUMMYFUNCTION("""COMPUTED_VALUE"""),77.0)</f>
        <v>77</v>
      </c>
      <c r="AF24" s="481"/>
      <c r="AG24" s="481">
        <f>IFERROR(__xludf.DUMMYFUNCTION("""COMPUTED_VALUE"""),63.0)</f>
        <v>63</v>
      </c>
      <c r="AH24" s="481"/>
      <c r="AI24" s="158"/>
      <c r="AJ24" s="158"/>
      <c r="AK24" s="133">
        <f>IFERROR(__xludf.DUMMYFUNCTION("""COMPUTED_VALUE"""),4.0)</f>
        <v>4</v>
      </c>
      <c r="AL24" s="133">
        <f>IFERROR(__xludf.DUMMYFUNCTION("""COMPUTED_VALUE"""),1.0)</f>
        <v>1</v>
      </c>
      <c r="AM24" s="133">
        <f>IFERROR(__xludf.DUMMYFUNCTION("""COMPUTED_VALUE"""),3.0)</f>
        <v>3</v>
      </c>
      <c r="AN24" s="133" t="str">
        <f>IFERROR(__xludf.DUMMYFUNCTION("""COMPUTED_VALUE"""),"3.5")</f>
        <v>3.5</v>
      </c>
      <c r="AO24" s="133">
        <f>IFERROR(__xludf.DUMMYFUNCTION("""COMPUTED_VALUE"""),3.0)</f>
        <v>3</v>
      </c>
      <c r="AP24" s="155" t="s">
        <v>2461</v>
      </c>
    </row>
    <row r="25">
      <c r="A25" s="555">
        <f>IFERROR(__xludf.DUMMYFUNCTION("""COMPUTED_VALUE"""),21.0)</f>
        <v>21</v>
      </c>
      <c r="B25" s="555" t="str">
        <f>IFERROR(__xludf.DUMMYFUNCTION("""COMPUTED_VALUE"""),"aj23cs@cmrit.ac.in")</f>
        <v>aj23cs@cmrit.ac.in</v>
      </c>
      <c r="C25" s="564" t="str">
        <f>IFERROR(__xludf.DUMMYFUNCTION("""COMPUTED_VALUE"""),"Ajay")</f>
        <v>Ajay</v>
      </c>
      <c r="D25" s="261" t="str">
        <f>IFERROR(__xludf.DUMMYFUNCTION("""COMPUTED_VALUE"""),"1CR23CS022")</f>
        <v>1CR23CS022</v>
      </c>
      <c r="E25" s="563">
        <f>IFERROR(__xludf.DUMMYFUNCTION("""COMPUTED_VALUE"""),8.830894731E9)</f>
        <v>8830894731</v>
      </c>
      <c r="F25" s="155" t="str">
        <f>IFERROR(__xludf.DUMMYFUNCTION("""COMPUTED_VALUE"""),"CSE")</f>
        <v>CSE</v>
      </c>
      <c r="G25" s="158"/>
      <c r="H25" s="559">
        <f>IFERROR(__xludf.DUMMYFUNCTION("""COMPUTED_VALUE"""),73.0)</f>
        <v>73</v>
      </c>
      <c r="I25" s="559">
        <f>IFERROR(__xludf.DUMMYFUNCTION("""COMPUTED_VALUE"""),75.0)</f>
        <v>75</v>
      </c>
      <c r="J25" s="559">
        <f>IFERROR(__xludf.DUMMYFUNCTION("""COMPUTED_VALUE"""),61.0)</f>
        <v>61</v>
      </c>
      <c r="K25" s="559">
        <f>IFERROR(__xludf.DUMMYFUNCTION("""COMPUTED_VALUE"""),70.0)</f>
        <v>70</v>
      </c>
      <c r="L25" s="560">
        <f>IFERROR(__xludf.DUMMYFUNCTION("""COMPUTED_VALUE"""),58.0)</f>
        <v>58</v>
      </c>
      <c r="M25" s="561">
        <f>IFERROR(__xludf.DUMMYFUNCTION("""COMPUTED_VALUE"""),25.0)</f>
        <v>25</v>
      </c>
      <c r="N25" s="561">
        <f>IFERROR(__xludf.DUMMYFUNCTION("""COMPUTED_VALUE"""),13.0)</f>
        <v>13</v>
      </c>
      <c r="O25" s="560"/>
      <c r="P25" s="562">
        <f>IFERROR(__xludf.DUMMYFUNCTION("""COMPUTED_VALUE"""),50.0)</f>
        <v>50</v>
      </c>
      <c r="Q25" s="562">
        <f>IFERROR(__xludf.DUMMYFUNCTION("""COMPUTED_VALUE"""),0.0)</f>
        <v>0</v>
      </c>
      <c r="R25" s="562">
        <f>IFERROR(__xludf.DUMMYFUNCTION("""COMPUTED_VALUE"""),50.0)</f>
        <v>50</v>
      </c>
      <c r="S25" s="562"/>
      <c r="T25" s="217">
        <f>IFERROR(__xludf.DUMMYFUNCTION("""COMPUTED_VALUE"""),20.0)</f>
        <v>20</v>
      </c>
      <c r="U25" s="217">
        <f>IFERROR(__xludf.DUMMYFUNCTION("""COMPUTED_VALUE"""),17.0)</f>
        <v>17</v>
      </c>
      <c r="V25" s="217">
        <f>IFERROR(__xludf.DUMMYFUNCTION("""COMPUTED_VALUE"""),68.0)</f>
        <v>68</v>
      </c>
      <c r="W25" s="217">
        <f>IFERROR(__xludf.DUMMYFUNCTION("""COMPUTED_VALUE"""),40.0)</f>
        <v>40</v>
      </c>
      <c r="X25" s="217">
        <f>IFERROR(__xludf.DUMMYFUNCTION("""COMPUTED_VALUE"""),88.0)</f>
        <v>88</v>
      </c>
      <c r="Y25" s="217"/>
      <c r="Z25" s="217"/>
      <c r="AA25" s="481">
        <f>IFERROR(__xludf.DUMMYFUNCTION("""COMPUTED_VALUE"""),42.0)</f>
        <v>42</v>
      </c>
      <c r="AB25" s="481">
        <f>IFERROR(__xludf.DUMMYFUNCTION("""COMPUTED_VALUE"""),55.0)</f>
        <v>55</v>
      </c>
      <c r="AC25" s="481">
        <f>IFERROR(__xludf.DUMMYFUNCTION("""COMPUTED_VALUE"""),12.5)</f>
        <v>12.5</v>
      </c>
      <c r="AD25" s="481">
        <f>IFERROR(__xludf.DUMMYFUNCTION("""COMPUTED_VALUE"""),70.0)</f>
        <v>70</v>
      </c>
      <c r="AE25" s="481">
        <f>IFERROR(__xludf.DUMMYFUNCTION("""COMPUTED_VALUE"""),24.0)</f>
        <v>24</v>
      </c>
      <c r="AF25" s="481"/>
      <c r="AG25" s="481">
        <f>IFERROR(__xludf.DUMMYFUNCTION("""COMPUTED_VALUE"""),5.0)</f>
        <v>5</v>
      </c>
      <c r="AH25" s="481"/>
      <c r="AI25" s="158"/>
      <c r="AJ25" s="158"/>
      <c r="AK25" s="133">
        <f>IFERROR(__xludf.DUMMYFUNCTION("""COMPUTED_VALUE"""),2.0)</f>
        <v>2</v>
      </c>
      <c r="AL25" s="133">
        <f>IFERROR(__xludf.DUMMYFUNCTION("""COMPUTED_VALUE"""),1.0)</f>
        <v>1</v>
      </c>
      <c r="AM25" s="133">
        <f>IFERROR(__xludf.DUMMYFUNCTION("""COMPUTED_VALUE"""),2.0)</f>
        <v>2</v>
      </c>
      <c r="AN25" s="133" t="str">
        <f>IFERROR(__xludf.DUMMYFUNCTION("""COMPUTED_VALUE"""),"3")</f>
        <v>3</v>
      </c>
      <c r="AO25" s="133">
        <f>IFERROR(__xludf.DUMMYFUNCTION("""COMPUTED_VALUE"""),1.0)</f>
        <v>1</v>
      </c>
      <c r="AP25" s="155" t="s">
        <v>2461</v>
      </c>
    </row>
    <row r="26">
      <c r="A26" s="555">
        <f>IFERROR(__xludf.DUMMYFUNCTION("""COMPUTED_VALUE"""),22.0)</f>
        <v>22</v>
      </c>
      <c r="B26" s="555" t="str">
        <f>IFERROR(__xludf.DUMMYFUNCTION("""COMPUTED_VALUE"""),"ajk23cs@cmrit.ac.in")</f>
        <v>ajk23cs@cmrit.ac.in</v>
      </c>
      <c r="C26" s="564" t="str">
        <f>IFERROR(__xludf.DUMMYFUNCTION("""COMPUTED_VALUE"""),"AJEYA KUMARA K")</f>
        <v>AJEYA KUMARA K</v>
      </c>
      <c r="D26" s="261" t="str">
        <f>IFERROR(__xludf.DUMMYFUNCTION("""COMPUTED_VALUE"""),"1CR23CS023")</f>
        <v>1CR23CS023</v>
      </c>
      <c r="E26" s="563">
        <f>IFERROR(__xludf.DUMMYFUNCTION("""COMPUTED_VALUE"""),9.019841504E9)</f>
        <v>9019841504</v>
      </c>
      <c r="F26" s="155" t="str">
        <f>IFERROR(__xludf.DUMMYFUNCTION("""COMPUTED_VALUE"""),"CSE")</f>
        <v>CSE</v>
      </c>
      <c r="G26" s="158"/>
      <c r="H26" s="559">
        <f>IFERROR(__xludf.DUMMYFUNCTION("""COMPUTED_VALUE"""),74.0)</f>
        <v>74</v>
      </c>
      <c r="I26" s="559">
        <f>IFERROR(__xludf.DUMMYFUNCTION("""COMPUTED_VALUE"""),76.0)</f>
        <v>76</v>
      </c>
      <c r="J26" s="559">
        <f>IFERROR(__xludf.DUMMYFUNCTION("""COMPUTED_VALUE"""),70.0)</f>
        <v>70</v>
      </c>
      <c r="K26" s="559">
        <f>IFERROR(__xludf.DUMMYFUNCTION("""COMPUTED_VALUE"""),75.0)</f>
        <v>75</v>
      </c>
      <c r="L26" s="560">
        <f>IFERROR(__xludf.DUMMYFUNCTION("""COMPUTED_VALUE"""),53.0)</f>
        <v>53</v>
      </c>
      <c r="M26" s="561">
        <f>IFERROR(__xludf.DUMMYFUNCTION("""COMPUTED_VALUE"""),50.0)</f>
        <v>50</v>
      </c>
      <c r="N26" s="561">
        <f>IFERROR(__xludf.DUMMYFUNCTION("""COMPUTED_VALUE"""),52.0)</f>
        <v>52</v>
      </c>
      <c r="O26" s="560"/>
      <c r="P26" s="562">
        <f>IFERROR(__xludf.DUMMYFUNCTION("""COMPUTED_VALUE"""),75.0)</f>
        <v>75</v>
      </c>
      <c r="Q26" s="562">
        <f>IFERROR(__xludf.DUMMYFUNCTION("""COMPUTED_VALUE"""),62.0)</f>
        <v>62</v>
      </c>
      <c r="R26" s="562">
        <f>IFERROR(__xludf.DUMMYFUNCTION("""COMPUTED_VALUE"""),80.0)</f>
        <v>80</v>
      </c>
      <c r="S26" s="562"/>
      <c r="T26" s="217">
        <f>IFERROR(__xludf.DUMMYFUNCTION("""COMPUTED_VALUE"""),20.0)</f>
        <v>20</v>
      </c>
      <c r="U26" s="217">
        <f>IFERROR(__xludf.DUMMYFUNCTION("""COMPUTED_VALUE"""),18.0)</f>
        <v>18</v>
      </c>
      <c r="V26" s="217">
        <f>IFERROR(__xludf.DUMMYFUNCTION("""COMPUTED_VALUE"""),64.0)</f>
        <v>64</v>
      </c>
      <c r="W26" s="217">
        <f>IFERROR(__xludf.DUMMYFUNCTION("""COMPUTED_VALUE"""),64.0)</f>
        <v>64</v>
      </c>
      <c r="X26" s="217">
        <f>IFERROR(__xludf.DUMMYFUNCTION("""COMPUTED_VALUE"""),86.0)</f>
        <v>86</v>
      </c>
      <c r="Y26" s="217"/>
      <c r="Z26" s="217"/>
      <c r="AA26" s="481">
        <f>IFERROR(__xludf.DUMMYFUNCTION("""COMPUTED_VALUE"""),100.0)</f>
        <v>100</v>
      </c>
      <c r="AB26" s="481">
        <f>IFERROR(__xludf.DUMMYFUNCTION("""COMPUTED_VALUE"""),60.0)</f>
        <v>60</v>
      </c>
      <c r="AC26" s="481">
        <f>IFERROR(__xludf.DUMMYFUNCTION("""COMPUTED_VALUE"""),100.0)</f>
        <v>100</v>
      </c>
      <c r="AD26" s="481">
        <f>IFERROR(__xludf.DUMMYFUNCTION("""COMPUTED_VALUE"""),88.0)</f>
        <v>88</v>
      </c>
      <c r="AE26" s="481">
        <f>IFERROR(__xludf.DUMMYFUNCTION("""COMPUTED_VALUE"""),80.0)</f>
        <v>80</v>
      </c>
      <c r="AF26" s="481"/>
      <c r="AG26" s="481">
        <f>IFERROR(__xludf.DUMMYFUNCTION("""COMPUTED_VALUE"""),76.0)</f>
        <v>76</v>
      </c>
      <c r="AH26" s="481"/>
      <c r="AI26" s="158"/>
      <c r="AJ26" s="158"/>
      <c r="AK26" s="133">
        <f>IFERROR(__xludf.DUMMYFUNCTION("""COMPUTED_VALUE"""),4.0)</f>
        <v>4</v>
      </c>
      <c r="AL26" s="133">
        <f>IFERROR(__xludf.DUMMYFUNCTION("""COMPUTED_VALUE"""),3.0)</f>
        <v>3</v>
      </c>
      <c r="AM26" s="133">
        <f>IFERROR(__xludf.DUMMYFUNCTION("""COMPUTED_VALUE"""),3.0)</f>
        <v>3</v>
      </c>
      <c r="AN26" s="133" t="str">
        <f>IFERROR(__xludf.DUMMYFUNCTION("""COMPUTED_VALUE"""),"3.5")</f>
        <v>3.5</v>
      </c>
      <c r="AO26" s="133">
        <f>IFERROR(__xludf.DUMMYFUNCTION("""COMPUTED_VALUE"""),3.0)</f>
        <v>3</v>
      </c>
      <c r="AP26" s="155" t="s">
        <v>2461</v>
      </c>
    </row>
    <row r="27">
      <c r="A27" s="555">
        <f>IFERROR(__xludf.DUMMYFUNCTION("""COMPUTED_VALUE"""),23.0)</f>
        <v>23</v>
      </c>
      <c r="B27" s="555" t="str">
        <f>IFERROR(__xludf.DUMMYFUNCTION("""COMPUTED_VALUE"""),"akbv23cs@cmrit.ac.in")</f>
        <v>akbv23cs@cmrit.ac.in</v>
      </c>
      <c r="C27" s="564" t="str">
        <f>IFERROR(__xludf.DUMMYFUNCTION("""COMPUTED_VALUE"""),"AKASH B V")</f>
        <v>AKASH B V</v>
      </c>
      <c r="D27" s="261" t="str">
        <f>IFERROR(__xludf.DUMMYFUNCTION("""COMPUTED_VALUE"""),"1CR23CS024")</f>
        <v>1CR23CS024</v>
      </c>
      <c r="E27" s="563">
        <f>IFERROR(__xludf.DUMMYFUNCTION("""COMPUTED_VALUE"""),7.022615568E9)</f>
        <v>7022615568</v>
      </c>
      <c r="F27" s="155" t="str">
        <f>IFERROR(__xludf.DUMMYFUNCTION("""COMPUTED_VALUE"""),"CSE")</f>
        <v>CSE</v>
      </c>
      <c r="G27" s="158"/>
      <c r="H27" s="559">
        <f>IFERROR(__xludf.DUMMYFUNCTION("""COMPUTED_VALUE"""),77.0)</f>
        <v>77</v>
      </c>
      <c r="I27" s="559">
        <f>IFERROR(__xludf.DUMMYFUNCTION("""COMPUTED_VALUE"""),82.0)</f>
        <v>82</v>
      </c>
      <c r="J27" s="559">
        <f>IFERROR(__xludf.DUMMYFUNCTION("""COMPUTED_VALUE"""),70.0)</f>
        <v>70</v>
      </c>
      <c r="K27" s="559">
        <f>IFERROR(__xludf.DUMMYFUNCTION("""COMPUTED_VALUE"""),75.0)</f>
        <v>75</v>
      </c>
      <c r="L27" s="560">
        <f>IFERROR(__xludf.DUMMYFUNCTION("""COMPUTED_VALUE"""),59.0)</f>
        <v>59</v>
      </c>
      <c r="M27" s="561">
        <f>IFERROR(__xludf.DUMMYFUNCTION("""COMPUTED_VALUE"""),25.0)</f>
        <v>25</v>
      </c>
      <c r="N27" s="561">
        <f>IFERROR(__xludf.DUMMYFUNCTION("""COMPUTED_VALUE"""),0.0)</f>
        <v>0</v>
      </c>
      <c r="O27" s="560"/>
      <c r="P27" s="562">
        <f>IFERROR(__xludf.DUMMYFUNCTION("""COMPUTED_VALUE"""),77.0)</f>
        <v>77</v>
      </c>
      <c r="Q27" s="562">
        <f>IFERROR(__xludf.DUMMYFUNCTION("""COMPUTED_VALUE"""),62.0)</f>
        <v>62</v>
      </c>
      <c r="R27" s="562">
        <f>IFERROR(__xludf.DUMMYFUNCTION("""COMPUTED_VALUE"""),0.0)</f>
        <v>0</v>
      </c>
      <c r="S27" s="562"/>
      <c r="T27" s="217">
        <f>IFERROR(__xludf.DUMMYFUNCTION("""COMPUTED_VALUE"""),12.0)</f>
        <v>12</v>
      </c>
      <c r="U27" s="217">
        <f>IFERROR(__xludf.DUMMYFUNCTION("""COMPUTED_VALUE"""),17.0)</f>
        <v>17</v>
      </c>
      <c r="V27" s="217">
        <f>IFERROR(__xludf.DUMMYFUNCTION("""COMPUTED_VALUE"""),68.0)</f>
        <v>68</v>
      </c>
      <c r="W27" s="217">
        <f>IFERROR(__xludf.DUMMYFUNCTION("""COMPUTED_VALUE"""),48.0)</f>
        <v>48</v>
      </c>
      <c r="X27" s="217"/>
      <c r="Y27" s="217"/>
      <c r="Z27" s="217"/>
      <c r="AA27" s="481">
        <f>IFERROR(__xludf.DUMMYFUNCTION("""COMPUTED_VALUE"""),98.0)</f>
        <v>98</v>
      </c>
      <c r="AB27" s="481">
        <f>IFERROR(__xludf.DUMMYFUNCTION("""COMPUTED_VALUE"""),100.0)</f>
        <v>100</v>
      </c>
      <c r="AC27" s="481">
        <f>IFERROR(__xludf.DUMMYFUNCTION("""COMPUTED_VALUE"""),60.0)</f>
        <v>60</v>
      </c>
      <c r="AD27" s="481">
        <f>IFERROR(__xludf.DUMMYFUNCTION("""COMPUTED_VALUE"""),62.0)</f>
        <v>62</v>
      </c>
      <c r="AE27" s="481">
        <f>IFERROR(__xludf.DUMMYFUNCTION("""COMPUTED_VALUE"""),10.0)</f>
        <v>10</v>
      </c>
      <c r="AF27" s="481"/>
      <c r="AG27" s="481">
        <f>IFERROR(__xludf.DUMMYFUNCTION("""COMPUTED_VALUE"""),5.0)</f>
        <v>5</v>
      </c>
      <c r="AH27" s="481"/>
      <c r="AI27" s="158"/>
      <c r="AJ27" s="158"/>
      <c r="AK27" s="133">
        <f>IFERROR(__xludf.DUMMYFUNCTION("""COMPUTED_VALUE"""),4.0)</f>
        <v>4</v>
      </c>
      <c r="AL27" s="133">
        <f>IFERROR(__xludf.DUMMYFUNCTION("""COMPUTED_VALUE"""),1.0)</f>
        <v>1</v>
      </c>
      <c r="AM27" s="133">
        <f>IFERROR(__xludf.DUMMYFUNCTION("""COMPUTED_VALUE"""),2.0)</f>
        <v>2</v>
      </c>
      <c r="AN27" s="133" t="str">
        <f>IFERROR(__xludf.DUMMYFUNCTION("""COMPUTED_VALUE"""),"3")</f>
        <v>3</v>
      </c>
      <c r="AO27" s="133">
        <f>IFERROR(__xludf.DUMMYFUNCTION("""COMPUTED_VALUE"""),2.0)</f>
        <v>2</v>
      </c>
      <c r="AP27" s="155" t="s">
        <v>2461</v>
      </c>
    </row>
    <row r="28">
      <c r="A28" s="555">
        <f>IFERROR(__xludf.DUMMYFUNCTION("""COMPUTED_VALUE"""),24.0)</f>
        <v>24</v>
      </c>
      <c r="B28" s="555" t="str">
        <f>IFERROR(__xludf.DUMMYFUNCTION("""COMPUTED_VALUE"""),"akj23cs@cmrit.ac.in")</f>
        <v>akj23cs@cmrit.ac.in</v>
      </c>
      <c r="C28" s="564" t="str">
        <f>IFERROR(__xludf.DUMMYFUNCTION("""COMPUTED_VALUE"""),"AKASH J")</f>
        <v>AKASH J</v>
      </c>
      <c r="D28" s="261" t="str">
        <f>IFERROR(__xludf.DUMMYFUNCTION("""COMPUTED_VALUE"""),"1CR23CS025")</f>
        <v>1CR23CS025</v>
      </c>
      <c r="E28" s="563">
        <f>IFERROR(__xludf.DUMMYFUNCTION("""COMPUTED_VALUE"""),7.349119348E9)</f>
        <v>7349119348</v>
      </c>
      <c r="F28" s="155" t="str">
        <f>IFERROR(__xludf.DUMMYFUNCTION("""COMPUTED_VALUE"""),"CSE")</f>
        <v>CSE</v>
      </c>
      <c r="G28" s="158"/>
      <c r="H28" s="559">
        <f>IFERROR(__xludf.DUMMYFUNCTION("""COMPUTED_VALUE"""),71.0)</f>
        <v>71</v>
      </c>
      <c r="I28" s="559">
        <f>IFERROR(__xludf.DUMMYFUNCTION("""COMPUTED_VALUE"""),69.0)</f>
        <v>69</v>
      </c>
      <c r="J28" s="559">
        <f>IFERROR(__xludf.DUMMYFUNCTION("""COMPUTED_VALUE"""),45.0)</f>
        <v>45</v>
      </c>
      <c r="K28" s="559">
        <f>IFERROR(__xludf.DUMMYFUNCTION("""COMPUTED_VALUE"""),24.0)</f>
        <v>24</v>
      </c>
      <c r="L28" s="560">
        <f>IFERROR(__xludf.DUMMYFUNCTION("""COMPUTED_VALUE"""),34.0)</f>
        <v>34</v>
      </c>
      <c r="M28" s="561">
        <f>IFERROR(__xludf.DUMMYFUNCTION("""COMPUTED_VALUE"""),15.0)</f>
        <v>15</v>
      </c>
      <c r="N28" s="561">
        <f>IFERROR(__xludf.DUMMYFUNCTION("""COMPUTED_VALUE"""),0.0)</f>
        <v>0</v>
      </c>
      <c r="O28" s="560"/>
      <c r="P28" s="562">
        <f>IFERROR(__xludf.DUMMYFUNCTION("""COMPUTED_VALUE"""),0.0)</f>
        <v>0</v>
      </c>
      <c r="Q28" s="562">
        <f>IFERROR(__xludf.DUMMYFUNCTION("""COMPUTED_VALUE"""),0.0)</f>
        <v>0</v>
      </c>
      <c r="R28" s="562">
        <f>IFERROR(__xludf.DUMMYFUNCTION("""COMPUTED_VALUE"""),0.0)</f>
        <v>0</v>
      </c>
      <c r="S28" s="562"/>
      <c r="T28" s="217">
        <f>IFERROR(__xludf.DUMMYFUNCTION("""COMPUTED_VALUE"""),18.0)</f>
        <v>18</v>
      </c>
      <c r="U28" s="217">
        <f>IFERROR(__xludf.DUMMYFUNCTION("""COMPUTED_VALUE"""),20.0)</f>
        <v>20</v>
      </c>
      <c r="V28" s="217">
        <f>IFERROR(__xludf.DUMMYFUNCTION("""COMPUTED_VALUE"""),76.0)</f>
        <v>76</v>
      </c>
      <c r="W28" s="217">
        <f>IFERROR(__xludf.DUMMYFUNCTION("""COMPUTED_VALUE"""),28.0)</f>
        <v>28</v>
      </c>
      <c r="X28" s="217">
        <f>IFERROR(__xludf.DUMMYFUNCTION("""COMPUTED_VALUE"""),82.0)</f>
        <v>82</v>
      </c>
      <c r="Y28" s="217"/>
      <c r="Z28" s="217"/>
      <c r="AA28" s="481">
        <f>IFERROR(__xludf.DUMMYFUNCTION("""COMPUTED_VALUE"""),20.0)</f>
        <v>20</v>
      </c>
      <c r="AB28" s="481">
        <f>IFERROR(__xludf.DUMMYFUNCTION("""COMPUTED_VALUE"""),78.75)</f>
        <v>78.75</v>
      </c>
      <c r="AC28" s="481">
        <f>IFERROR(__xludf.DUMMYFUNCTION("""COMPUTED_VALUE"""),0.0)</f>
        <v>0</v>
      </c>
      <c r="AD28" s="481">
        <f>IFERROR(__xludf.DUMMYFUNCTION("""COMPUTED_VALUE"""),76.0)</f>
        <v>76</v>
      </c>
      <c r="AE28" s="481">
        <f>IFERROR(__xludf.DUMMYFUNCTION("""COMPUTED_VALUE"""),10.0)</f>
        <v>10</v>
      </c>
      <c r="AF28" s="481"/>
      <c r="AG28" s="481">
        <f>IFERROR(__xludf.DUMMYFUNCTION("""COMPUTED_VALUE"""),0.0)</f>
        <v>0</v>
      </c>
      <c r="AH28" s="481"/>
      <c r="AI28" s="158"/>
      <c r="AJ28" s="158"/>
      <c r="AK28" s="133">
        <f>IFERROR(__xludf.DUMMYFUNCTION("""COMPUTED_VALUE"""),2.0)</f>
        <v>2</v>
      </c>
      <c r="AL28" s="133">
        <f>IFERROR(__xludf.DUMMYFUNCTION("""COMPUTED_VALUE"""),0.0)</f>
        <v>0</v>
      </c>
      <c r="AM28" s="133">
        <f>IFERROR(__xludf.DUMMYFUNCTION("""COMPUTED_VALUE"""),2.0)</f>
        <v>2</v>
      </c>
      <c r="AN28" s="133" t="str">
        <f>IFERROR(__xludf.DUMMYFUNCTION("""COMPUTED_VALUE"""),"3")</f>
        <v>3</v>
      </c>
      <c r="AO28" s="133">
        <f>IFERROR(__xludf.DUMMYFUNCTION("""COMPUTED_VALUE"""),0.0)</f>
        <v>0</v>
      </c>
      <c r="AP28" s="155" t="s">
        <v>2461</v>
      </c>
    </row>
    <row r="29">
      <c r="A29" s="555">
        <f>IFERROR(__xludf.DUMMYFUNCTION("""COMPUTED_VALUE"""),25.0)</f>
        <v>25</v>
      </c>
      <c r="B29" s="555" t="str">
        <f>IFERROR(__xludf.DUMMYFUNCTION("""COMPUTED_VALUE"""),"ak23cs@cmrit.ac.in")</f>
        <v>ak23cs@cmrit.ac.in</v>
      </c>
      <c r="C29" s="174" t="str">
        <f>IFERROR(__xludf.DUMMYFUNCTION("""COMPUTED_VALUE"""),"Akshaya")</f>
        <v>Akshaya</v>
      </c>
      <c r="D29" s="261" t="str">
        <f>IFERROR(__xludf.DUMMYFUNCTION("""COMPUTED_VALUE"""),"1CR23CS026")</f>
        <v>1CR23CS026</v>
      </c>
      <c r="E29" s="563">
        <f>IFERROR(__xludf.DUMMYFUNCTION("""COMPUTED_VALUE"""),9.916845777E9)</f>
        <v>9916845777</v>
      </c>
      <c r="F29" s="155" t="str">
        <f>IFERROR(__xludf.DUMMYFUNCTION("""COMPUTED_VALUE"""),"CSE")</f>
        <v>CSE</v>
      </c>
      <c r="G29" s="158"/>
      <c r="H29" s="559">
        <f>IFERROR(__xludf.DUMMYFUNCTION("""COMPUTED_VALUE"""),83.0)</f>
        <v>83</v>
      </c>
      <c r="I29" s="559">
        <f>IFERROR(__xludf.DUMMYFUNCTION("""COMPUTED_VALUE"""),89.0)</f>
        <v>89</v>
      </c>
      <c r="J29" s="559">
        <f>IFERROR(__xludf.DUMMYFUNCTION("""COMPUTED_VALUE"""),70.0)</f>
        <v>70</v>
      </c>
      <c r="K29" s="559">
        <f>IFERROR(__xludf.DUMMYFUNCTION("""COMPUTED_VALUE"""),73.0)</f>
        <v>73</v>
      </c>
      <c r="L29" s="560">
        <f>IFERROR(__xludf.DUMMYFUNCTION("""COMPUTED_VALUE"""),50.0)</f>
        <v>50</v>
      </c>
      <c r="M29" s="561">
        <f>IFERROR(__xludf.DUMMYFUNCTION("""COMPUTED_VALUE"""),50.0)</f>
        <v>50</v>
      </c>
      <c r="N29" s="561">
        <f>IFERROR(__xludf.DUMMYFUNCTION("""COMPUTED_VALUE"""),50.0)</f>
        <v>50</v>
      </c>
      <c r="O29" s="560"/>
      <c r="P29" s="562">
        <f>IFERROR(__xludf.DUMMYFUNCTION("""COMPUTED_VALUE"""),78.0)</f>
        <v>78</v>
      </c>
      <c r="Q29" s="562">
        <f>IFERROR(__xludf.DUMMYFUNCTION("""COMPUTED_VALUE"""),66.0)</f>
        <v>66</v>
      </c>
      <c r="R29" s="562">
        <f>IFERROR(__xludf.DUMMYFUNCTION("""COMPUTED_VALUE"""),89.0)</f>
        <v>89</v>
      </c>
      <c r="S29" s="562"/>
      <c r="T29" s="217">
        <f>IFERROR(__xludf.DUMMYFUNCTION("""COMPUTED_VALUE"""),18.0)</f>
        <v>18</v>
      </c>
      <c r="U29" s="217">
        <f>IFERROR(__xludf.DUMMYFUNCTION("""COMPUTED_VALUE"""),22.0)</f>
        <v>22</v>
      </c>
      <c r="V29" s="217">
        <f>IFERROR(__xludf.DUMMYFUNCTION("""COMPUTED_VALUE"""),72.0)</f>
        <v>72</v>
      </c>
      <c r="W29" s="217">
        <f>IFERROR(__xludf.DUMMYFUNCTION("""COMPUTED_VALUE"""),40.0)</f>
        <v>40</v>
      </c>
      <c r="X29" s="217">
        <f>IFERROR(__xludf.DUMMYFUNCTION("""COMPUTED_VALUE"""),82.0)</f>
        <v>82</v>
      </c>
      <c r="Y29" s="217"/>
      <c r="Z29" s="217"/>
      <c r="AA29" s="481">
        <f>IFERROR(__xludf.DUMMYFUNCTION("""COMPUTED_VALUE"""),100.0)</f>
        <v>100</v>
      </c>
      <c r="AB29" s="481">
        <f>IFERROR(__xludf.DUMMYFUNCTION("""COMPUTED_VALUE"""),100.0)</f>
        <v>100</v>
      </c>
      <c r="AC29" s="481">
        <f>IFERROR(__xludf.DUMMYFUNCTION("""COMPUTED_VALUE"""),80.0)</f>
        <v>80</v>
      </c>
      <c r="AD29" s="481">
        <f>IFERROR(__xludf.DUMMYFUNCTION("""COMPUTED_VALUE"""),100.0)</f>
        <v>100</v>
      </c>
      <c r="AE29" s="481">
        <f>IFERROR(__xludf.DUMMYFUNCTION("""COMPUTED_VALUE"""),76.0)</f>
        <v>76</v>
      </c>
      <c r="AF29" s="481"/>
      <c r="AG29" s="481">
        <f>IFERROR(__xludf.DUMMYFUNCTION("""COMPUTED_VALUE"""),78.0)</f>
        <v>78</v>
      </c>
      <c r="AH29" s="481"/>
      <c r="AI29" s="158"/>
      <c r="AJ29" s="158"/>
      <c r="AK29" s="133">
        <f>IFERROR(__xludf.DUMMYFUNCTION("""COMPUTED_VALUE"""),4.0)</f>
        <v>4</v>
      </c>
      <c r="AL29" s="133">
        <f>IFERROR(__xludf.DUMMYFUNCTION("""COMPUTED_VALUE"""),3.0)</f>
        <v>3</v>
      </c>
      <c r="AM29" s="133">
        <f>IFERROR(__xludf.DUMMYFUNCTION("""COMPUTED_VALUE"""),2.0)</f>
        <v>2</v>
      </c>
      <c r="AN29" s="133" t="str">
        <f>IFERROR(__xludf.DUMMYFUNCTION("""COMPUTED_VALUE"""),"3.5")</f>
        <v>3.5</v>
      </c>
      <c r="AO29" s="133">
        <f>IFERROR(__xludf.DUMMYFUNCTION("""COMPUTED_VALUE"""),3.0)</f>
        <v>3</v>
      </c>
      <c r="AP29" s="155" t="s">
        <v>2461</v>
      </c>
    </row>
    <row r="30">
      <c r="A30" s="555">
        <f>IFERROR(__xludf.DUMMYFUNCTION("""COMPUTED_VALUE"""),26.0)</f>
        <v>26</v>
      </c>
      <c r="B30" s="555" t="str">
        <f>IFERROR(__xludf.DUMMYFUNCTION("""COMPUTED_VALUE"""),"akri23cs@cmrit.ac.in")</f>
        <v>akri23cs@cmrit.ac.in</v>
      </c>
      <c r="C30" s="564" t="str">
        <f>IFERROR(__xludf.DUMMYFUNCTION("""COMPUTED_VALUE"""),"AKUMALLA RITHEESHA")</f>
        <v>AKUMALLA RITHEESHA</v>
      </c>
      <c r="D30" s="261" t="str">
        <f>IFERROR(__xludf.DUMMYFUNCTION("""COMPUTED_VALUE"""),"1CR23CS027")</f>
        <v>1CR23CS027</v>
      </c>
      <c r="E30" s="563">
        <f>IFERROR(__xludf.DUMMYFUNCTION("""COMPUTED_VALUE"""),8.885303717E9)</f>
        <v>8885303717</v>
      </c>
      <c r="F30" s="155" t="str">
        <f>IFERROR(__xludf.DUMMYFUNCTION("""COMPUTED_VALUE"""),"CSE")</f>
        <v>CSE</v>
      </c>
      <c r="G30" s="158"/>
      <c r="H30" s="559">
        <f>IFERROR(__xludf.DUMMYFUNCTION("""COMPUTED_VALUE"""),87.0)</f>
        <v>87</v>
      </c>
      <c r="I30" s="559">
        <f>IFERROR(__xludf.DUMMYFUNCTION("""COMPUTED_VALUE"""),89.0)</f>
        <v>89</v>
      </c>
      <c r="J30" s="559">
        <f>IFERROR(__xludf.DUMMYFUNCTION("""COMPUTED_VALUE"""),79.0)</f>
        <v>79</v>
      </c>
      <c r="K30" s="559">
        <f>IFERROR(__xludf.DUMMYFUNCTION("""COMPUTED_VALUE"""),70.0)</f>
        <v>70</v>
      </c>
      <c r="L30" s="560">
        <f>IFERROR(__xludf.DUMMYFUNCTION("""COMPUTED_VALUE"""),78.0)</f>
        <v>78</v>
      </c>
      <c r="M30" s="561">
        <f>IFERROR(__xludf.DUMMYFUNCTION("""COMPUTED_VALUE"""),50.0)</f>
        <v>50</v>
      </c>
      <c r="N30" s="561">
        <f>IFERROR(__xludf.DUMMYFUNCTION("""COMPUTED_VALUE"""),50.0)</f>
        <v>50</v>
      </c>
      <c r="O30" s="560"/>
      <c r="P30" s="562">
        <f>IFERROR(__xludf.DUMMYFUNCTION("""COMPUTED_VALUE"""),83.0)</f>
        <v>83</v>
      </c>
      <c r="Q30" s="562">
        <f>IFERROR(__xludf.DUMMYFUNCTION("""COMPUTED_VALUE"""),65.0)</f>
        <v>65</v>
      </c>
      <c r="R30" s="562">
        <f>IFERROR(__xludf.DUMMYFUNCTION("""COMPUTED_VALUE"""),92.0)</f>
        <v>92</v>
      </c>
      <c r="S30" s="562"/>
      <c r="T30" s="217">
        <f>IFERROR(__xludf.DUMMYFUNCTION("""COMPUTED_VALUE"""),11.0)</f>
        <v>11</v>
      </c>
      <c r="U30" s="217">
        <f>IFERROR(__xludf.DUMMYFUNCTION("""COMPUTED_VALUE"""),22.0)</f>
        <v>22</v>
      </c>
      <c r="V30" s="217">
        <f>IFERROR(__xludf.DUMMYFUNCTION("""COMPUTED_VALUE"""),72.0)</f>
        <v>72</v>
      </c>
      <c r="W30" s="217">
        <f>IFERROR(__xludf.DUMMYFUNCTION("""COMPUTED_VALUE"""),28.0)</f>
        <v>28</v>
      </c>
      <c r="X30" s="217">
        <f>IFERROR(__xludf.DUMMYFUNCTION("""COMPUTED_VALUE"""),92.0)</f>
        <v>92</v>
      </c>
      <c r="Y30" s="217"/>
      <c r="Z30" s="217"/>
      <c r="AA30" s="481">
        <f>IFERROR(__xludf.DUMMYFUNCTION("""COMPUTED_VALUE"""),50.0)</f>
        <v>50</v>
      </c>
      <c r="AB30" s="481">
        <f>IFERROR(__xludf.DUMMYFUNCTION("""COMPUTED_VALUE"""),77.5)</f>
        <v>77.5</v>
      </c>
      <c r="AC30" s="481">
        <f>IFERROR(__xludf.DUMMYFUNCTION("""COMPUTED_VALUE"""),60.0)</f>
        <v>60</v>
      </c>
      <c r="AD30" s="481">
        <f>IFERROR(__xludf.DUMMYFUNCTION("""COMPUTED_VALUE"""),75.0)</f>
        <v>75</v>
      </c>
      <c r="AE30" s="481">
        <f>IFERROR(__xludf.DUMMYFUNCTION("""COMPUTED_VALUE"""),33.0)</f>
        <v>33</v>
      </c>
      <c r="AF30" s="481"/>
      <c r="AG30" s="481">
        <f>IFERROR(__xludf.DUMMYFUNCTION("""COMPUTED_VALUE"""),46.0)</f>
        <v>46</v>
      </c>
      <c r="AH30" s="481"/>
      <c r="AI30" s="158"/>
      <c r="AJ30" s="158"/>
      <c r="AK30" s="133">
        <f>IFERROR(__xludf.DUMMYFUNCTION("""COMPUTED_VALUE"""),4.0)</f>
        <v>4</v>
      </c>
      <c r="AL30" s="133">
        <f>IFERROR(__xludf.DUMMYFUNCTION("""COMPUTED_VALUE"""),3.0)</f>
        <v>3</v>
      </c>
      <c r="AM30" s="133">
        <f>IFERROR(__xludf.DUMMYFUNCTION("""COMPUTED_VALUE"""),2.0)</f>
        <v>2</v>
      </c>
      <c r="AN30" s="133" t="str">
        <f>IFERROR(__xludf.DUMMYFUNCTION("""COMPUTED_VALUE"""),"3")</f>
        <v>3</v>
      </c>
      <c r="AO30" s="133">
        <f>IFERROR(__xludf.DUMMYFUNCTION("""COMPUTED_VALUE"""),3.0)</f>
        <v>3</v>
      </c>
      <c r="AP30" s="155" t="s">
        <v>2461</v>
      </c>
    </row>
    <row r="31">
      <c r="A31" s="555">
        <f>IFERROR(__xludf.DUMMYFUNCTION("""COMPUTED_VALUE"""),27.0)</f>
        <v>27</v>
      </c>
      <c r="B31" s="555" t="str">
        <f>IFERROR(__xludf.DUMMYFUNCTION("""COMPUTED_VALUE"""),"alja23cs@cmrit.ac.in")</f>
        <v>alja23cs@cmrit.ac.in</v>
      </c>
      <c r="C31" s="174" t="str">
        <f>IFERROR(__xludf.DUMMYFUNCTION("""COMPUTED_VALUE"""),"ALLAMPRABHU S JANGAMASHETTI")</f>
        <v>ALLAMPRABHU S JANGAMASHETTI</v>
      </c>
      <c r="D31" s="261" t="str">
        <f>IFERROR(__xludf.DUMMYFUNCTION("""COMPUTED_VALUE"""),"1CR23CS028")</f>
        <v>1CR23CS028</v>
      </c>
      <c r="E31" s="563">
        <f>IFERROR(__xludf.DUMMYFUNCTION("""COMPUTED_VALUE"""),9.620590906E9)</f>
        <v>9620590906</v>
      </c>
      <c r="F31" s="155" t="str">
        <f>IFERROR(__xludf.DUMMYFUNCTION("""COMPUTED_VALUE"""),"CSE")</f>
        <v>CSE</v>
      </c>
      <c r="G31" s="158"/>
      <c r="H31" s="559">
        <f>IFERROR(__xludf.DUMMYFUNCTION("""COMPUTED_VALUE"""),75.0)</f>
        <v>75</v>
      </c>
      <c r="I31" s="559">
        <f>IFERROR(__xludf.DUMMYFUNCTION("""COMPUTED_VALUE"""),80.0)</f>
        <v>80</v>
      </c>
      <c r="J31" s="559">
        <f>IFERROR(__xludf.DUMMYFUNCTION("""COMPUTED_VALUE"""),48.0)</f>
        <v>48</v>
      </c>
      <c r="K31" s="559">
        <f>IFERROR(__xludf.DUMMYFUNCTION("""COMPUTED_VALUE"""),70.0)</f>
        <v>70</v>
      </c>
      <c r="L31" s="560">
        <f>IFERROR(__xludf.DUMMYFUNCTION("""COMPUTED_VALUE"""),50.0)</f>
        <v>50</v>
      </c>
      <c r="M31" s="561">
        <f>IFERROR(__xludf.DUMMYFUNCTION("""COMPUTED_VALUE"""),50.0)</f>
        <v>50</v>
      </c>
      <c r="N31" s="561">
        <f>IFERROR(__xludf.DUMMYFUNCTION("""COMPUTED_VALUE"""),0.0)</f>
        <v>0</v>
      </c>
      <c r="O31" s="560"/>
      <c r="P31" s="562">
        <f>IFERROR(__xludf.DUMMYFUNCTION("""COMPUTED_VALUE"""),50.0)</f>
        <v>50</v>
      </c>
      <c r="Q31" s="562">
        <f>IFERROR(__xludf.DUMMYFUNCTION("""COMPUTED_VALUE"""),0.0)</f>
        <v>0</v>
      </c>
      <c r="R31" s="562">
        <f>IFERROR(__xludf.DUMMYFUNCTION("""COMPUTED_VALUE"""),0.0)</f>
        <v>0</v>
      </c>
      <c r="S31" s="562"/>
      <c r="T31" s="217">
        <f>IFERROR(__xludf.DUMMYFUNCTION("""COMPUTED_VALUE"""),18.0)</f>
        <v>18</v>
      </c>
      <c r="U31" s="217">
        <f>IFERROR(__xludf.DUMMYFUNCTION("""COMPUTED_VALUE"""),19.0)</f>
        <v>19</v>
      </c>
      <c r="V31" s="217"/>
      <c r="W31" s="217">
        <f>IFERROR(__xludf.DUMMYFUNCTION("""COMPUTED_VALUE"""),24.0)</f>
        <v>24</v>
      </c>
      <c r="X31" s="217">
        <f>IFERROR(__xludf.DUMMYFUNCTION("""COMPUTED_VALUE"""),80.0)</f>
        <v>80</v>
      </c>
      <c r="Y31" s="217"/>
      <c r="Z31" s="217"/>
      <c r="AA31" s="481">
        <f>IFERROR(__xludf.DUMMYFUNCTION("""COMPUTED_VALUE"""),30.0)</f>
        <v>30</v>
      </c>
      <c r="AB31" s="481">
        <f>IFERROR(__xludf.DUMMYFUNCTION("""COMPUTED_VALUE"""),17.5)</f>
        <v>17.5</v>
      </c>
      <c r="AC31" s="481">
        <f>IFERROR(__xludf.DUMMYFUNCTION("""COMPUTED_VALUE"""),80.0)</f>
        <v>80</v>
      </c>
      <c r="AD31" s="481">
        <f>IFERROR(__xludf.DUMMYFUNCTION("""COMPUTED_VALUE"""),100.0)</f>
        <v>100</v>
      </c>
      <c r="AE31" s="481">
        <f>IFERROR(__xludf.DUMMYFUNCTION("""COMPUTED_VALUE"""),14.0)</f>
        <v>14</v>
      </c>
      <c r="AF31" s="481"/>
      <c r="AG31" s="481">
        <f>IFERROR(__xludf.DUMMYFUNCTION("""COMPUTED_VALUE"""),0.0)</f>
        <v>0</v>
      </c>
      <c r="AH31" s="481"/>
      <c r="AI31" s="158"/>
      <c r="AJ31" s="158"/>
      <c r="AK31" s="133">
        <f>IFERROR(__xludf.DUMMYFUNCTION("""COMPUTED_VALUE"""),2.0)</f>
        <v>2</v>
      </c>
      <c r="AL31" s="133">
        <f>IFERROR(__xludf.DUMMYFUNCTION("""COMPUTED_VALUE"""),2.0)</f>
        <v>2</v>
      </c>
      <c r="AM31" s="133">
        <f>IFERROR(__xludf.DUMMYFUNCTION("""COMPUTED_VALUE"""),2.0)</f>
        <v>2</v>
      </c>
      <c r="AN31" s="133" t="str">
        <f>IFERROR(__xludf.DUMMYFUNCTION("""COMPUTED_VALUE"""),"0")</f>
        <v>0</v>
      </c>
      <c r="AO31" s="133">
        <f>IFERROR(__xludf.DUMMYFUNCTION("""COMPUTED_VALUE"""),1.0)</f>
        <v>1</v>
      </c>
      <c r="AP31" s="155" t="s">
        <v>2461</v>
      </c>
    </row>
    <row r="32">
      <c r="A32" s="555">
        <f>IFERROR(__xludf.DUMMYFUNCTION("""COMPUTED_VALUE"""),28.0)</f>
        <v>28</v>
      </c>
      <c r="B32" s="555" t="str">
        <f>IFERROR(__xludf.DUMMYFUNCTION("""COMPUTED_VALUE"""),"amku23cs@cmrit.ac.in")</f>
        <v>amku23cs@cmrit.ac.in</v>
      </c>
      <c r="C32" s="174" t="str">
        <f>IFERROR(__xludf.DUMMYFUNCTION("""COMPUTED_VALUE"""),"Aman kumar  pathak ")</f>
        <v>Aman kumar  pathak </v>
      </c>
      <c r="D32" s="261" t="str">
        <f>IFERROR(__xludf.DUMMYFUNCTION("""COMPUTED_VALUE"""),"1CR23CS029")</f>
        <v>1CR23CS029</v>
      </c>
      <c r="E32" s="563"/>
      <c r="F32" s="155" t="str">
        <f>IFERROR(__xludf.DUMMYFUNCTION("""COMPUTED_VALUE"""),"CSE")</f>
        <v>CSE</v>
      </c>
      <c r="G32" s="158"/>
      <c r="H32" s="559">
        <f>IFERROR(__xludf.DUMMYFUNCTION("""COMPUTED_VALUE"""),72.0)</f>
        <v>72</v>
      </c>
      <c r="I32" s="559">
        <f>IFERROR(__xludf.DUMMYFUNCTION("""COMPUTED_VALUE"""),70.0)</f>
        <v>70</v>
      </c>
      <c r="J32" s="559">
        <f>IFERROR(__xludf.DUMMYFUNCTION("""COMPUTED_VALUE"""),31.0)</f>
        <v>31</v>
      </c>
      <c r="K32" s="559">
        <f>IFERROR(__xludf.DUMMYFUNCTION("""COMPUTED_VALUE"""),70.0)</f>
        <v>70</v>
      </c>
      <c r="L32" s="560">
        <f>IFERROR(__xludf.DUMMYFUNCTION("""COMPUTED_VALUE"""),53.0)</f>
        <v>53</v>
      </c>
      <c r="M32" s="561">
        <f>IFERROR(__xludf.DUMMYFUNCTION("""COMPUTED_VALUE"""),15.0)</f>
        <v>15</v>
      </c>
      <c r="N32" s="561">
        <f>IFERROR(__xludf.DUMMYFUNCTION("""COMPUTED_VALUE"""),9.0)</f>
        <v>9</v>
      </c>
      <c r="O32" s="560"/>
      <c r="P32" s="562">
        <f>IFERROR(__xludf.DUMMYFUNCTION("""COMPUTED_VALUE"""),0.0)</f>
        <v>0</v>
      </c>
      <c r="Q32" s="562">
        <f>IFERROR(__xludf.DUMMYFUNCTION("""COMPUTED_VALUE"""),0.0)</f>
        <v>0</v>
      </c>
      <c r="R32" s="562">
        <f>IFERROR(__xludf.DUMMYFUNCTION("""COMPUTED_VALUE"""),0.0)</f>
        <v>0</v>
      </c>
      <c r="S32" s="562"/>
      <c r="T32" s="217">
        <f>IFERROR(__xludf.DUMMYFUNCTION("""COMPUTED_VALUE"""),19.0)</f>
        <v>19</v>
      </c>
      <c r="U32" s="217">
        <f>IFERROR(__xludf.DUMMYFUNCTION("""COMPUTED_VALUE"""),17.0)</f>
        <v>17</v>
      </c>
      <c r="V32" s="217"/>
      <c r="W32" s="217">
        <f>IFERROR(__xludf.DUMMYFUNCTION("""COMPUTED_VALUE"""),20.0)</f>
        <v>20</v>
      </c>
      <c r="X32" s="217">
        <f>IFERROR(__xludf.DUMMYFUNCTION("""COMPUTED_VALUE"""),90.0)</f>
        <v>90</v>
      </c>
      <c r="Y32" s="217"/>
      <c r="Z32" s="217"/>
      <c r="AA32" s="481">
        <f>IFERROR(__xludf.DUMMYFUNCTION("""COMPUTED_VALUE"""),28.0)</f>
        <v>28</v>
      </c>
      <c r="AB32" s="481">
        <f>IFERROR(__xludf.DUMMYFUNCTION("""COMPUTED_VALUE"""),85.0)</f>
        <v>85</v>
      </c>
      <c r="AC32" s="481">
        <f>IFERROR(__xludf.DUMMYFUNCTION("""COMPUTED_VALUE"""),0.0)</f>
        <v>0</v>
      </c>
      <c r="AD32" s="481">
        <f>IFERROR(__xludf.DUMMYFUNCTION("""COMPUTED_VALUE"""),26.0)</f>
        <v>26</v>
      </c>
      <c r="AE32" s="481">
        <f>IFERROR(__xludf.DUMMYFUNCTION("""COMPUTED_VALUE"""),10.0)</f>
        <v>10</v>
      </c>
      <c r="AF32" s="481"/>
      <c r="AG32" s="481">
        <f>IFERROR(__xludf.DUMMYFUNCTION("""COMPUTED_VALUE"""),18.0)</f>
        <v>18</v>
      </c>
      <c r="AH32" s="481"/>
      <c r="AI32" s="158"/>
      <c r="AJ32" s="158"/>
      <c r="AK32" s="133">
        <f>IFERROR(__xludf.DUMMYFUNCTION("""COMPUTED_VALUE"""),2.0)</f>
        <v>2</v>
      </c>
      <c r="AL32" s="133">
        <f>IFERROR(__xludf.DUMMYFUNCTION("""COMPUTED_VALUE"""),1.0)</f>
        <v>1</v>
      </c>
      <c r="AM32" s="133">
        <f>IFERROR(__xludf.DUMMYFUNCTION("""COMPUTED_VALUE"""),2.0)</f>
        <v>2</v>
      </c>
      <c r="AN32" s="133" t="str">
        <f>IFERROR(__xludf.DUMMYFUNCTION("""COMPUTED_VALUE"""),"2")</f>
        <v>2</v>
      </c>
      <c r="AO32" s="133">
        <f>IFERROR(__xludf.DUMMYFUNCTION("""COMPUTED_VALUE"""),0.0)</f>
        <v>0</v>
      </c>
      <c r="AP32" s="155" t="s">
        <v>2461</v>
      </c>
    </row>
    <row r="33">
      <c r="A33" s="555">
        <f>IFERROR(__xludf.DUMMYFUNCTION("""COMPUTED_VALUE"""),29.0)</f>
        <v>29</v>
      </c>
      <c r="B33" s="555" t="str">
        <f>IFERROR(__xludf.DUMMYFUNCTION("""COMPUTED_VALUE"""),"anki23cs@cmrit.ac.in")</f>
        <v>anki23cs@cmrit.ac.in</v>
      </c>
      <c r="C33" s="174" t="str">
        <f>IFERROR(__xludf.DUMMYFUNCTION("""COMPUTED_VALUE"""),"ANAND KISHOR")</f>
        <v>ANAND KISHOR</v>
      </c>
      <c r="D33" s="261" t="str">
        <f>IFERROR(__xludf.DUMMYFUNCTION("""COMPUTED_VALUE"""),"1CR23CS030")</f>
        <v>1CR23CS030</v>
      </c>
      <c r="E33" s="563">
        <f>IFERROR(__xludf.DUMMYFUNCTION("""COMPUTED_VALUE"""),9.546969009E9)</f>
        <v>9546969009</v>
      </c>
      <c r="F33" s="155" t="str">
        <f>IFERROR(__xludf.DUMMYFUNCTION("""COMPUTED_VALUE"""),"CSE")</f>
        <v>CSE</v>
      </c>
      <c r="G33" s="158"/>
      <c r="H33" s="559">
        <f>IFERROR(__xludf.DUMMYFUNCTION("""COMPUTED_VALUE"""),85.0)</f>
        <v>85</v>
      </c>
      <c r="I33" s="559">
        <f>IFERROR(__xludf.DUMMYFUNCTION("""COMPUTED_VALUE"""),79.0)</f>
        <v>79</v>
      </c>
      <c r="J33" s="559">
        <f>IFERROR(__xludf.DUMMYFUNCTION("""COMPUTED_VALUE"""),61.0)</f>
        <v>61</v>
      </c>
      <c r="K33" s="559">
        <f>IFERROR(__xludf.DUMMYFUNCTION("""COMPUTED_VALUE"""),70.0)</f>
        <v>70</v>
      </c>
      <c r="L33" s="560">
        <f>IFERROR(__xludf.DUMMYFUNCTION("""COMPUTED_VALUE"""),68.0)</f>
        <v>68</v>
      </c>
      <c r="M33" s="561">
        <f>IFERROR(__xludf.DUMMYFUNCTION("""COMPUTED_VALUE"""),53.0)</f>
        <v>53</v>
      </c>
      <c r="N33" s="561">
        <f>IFERROR(__xludf.DUMMYFUNCTION("""COMPUTED_VALUE"""),0.0)</f>
        <v>0</v>
      </c>
      <c r="O33" s="560"/>
      <c r="P33" s="562">
        <f>IFERROR(__xludf.DUMMYFUNCTION("""COMPUTED_VALUE"""),50.0)</f>
        <v>50</v>
      </c>
      <c r="Q33" s="562">
        <f>IFERROR(__xludf.DUMMYFUNCTION("""COMPUTED_VALUE"""),68.0)</f>
        <v>68</v>
      </c>
      <c r="R33" s="562">
        <f>IFERROR(__xludf.DUMMYFUNCTION("""COMPUTED_VALUE"""),50.0)</f>
        <v>50</v>
      </c>
      <c r="S33" s="562"/>
      <c r="T33" s="217">
        <f>IFERROR(__xludf.DUMMYFUNCTION("""COMPUTED_VALUE"""),10.0)</f>
        <v>10</v>
      </c>
      <c r="U33" s="217">
        <f>IFERROR(__xludf.DUMMYFUNCTION("""COMPUTED_VALUE"""),18.0)</f>
        <v>18</v>
      </c>
      <c r="V33" s="217">
        <f>IFERROR(__xludf.DUMMYFUNCTION("""COMPUTED_VALUE"""),64.0)</f>
        <v>64</v>
      </c>
      <c r="W33" s="217"/>
      <c r="X33" s="217"/>
      <c r="Y33" s="217"/>
      <c r="Z33" s="217"/>
      <c r="AA33" s="481">
        <f>IFERROR(__xludf.DUMMYFUNCTION("""COMPUTED_VALUE"""),50.0)</f>
        <v>50</v>
      </c>
      <c r="AB33" s="481">
        <f>IFERROR(__xludf.DUMMYFUNCTION("""COMPUTED_VALUE"""),75.0)</f>
        <v>75</v>
      </c>
      <c r="AC33" s="481">
        <f>IFERROR(__xludf.DUMMYFUNCTION("""COMPUTED_VALUE"""),0.0)</f>
        <v>0</v>
      </c>
      <c r="AD33" s="481">
        <f>IFERROR(__xludf.DUMMYFUNCTION("""COMPUTED_VALUE"""),4.0)</f>
        <v>4</v>
      </c>
      <c r="AE33" s="481">
        <f>IFERROR(__xludf.DUMMYFUNCTION("""COMPUTED_VALUE"""),10.0)</f>
        <v>10</v>
      </c>
      <c r="AF33" s="481"/>
      <c r="AG33" s="481">
        <f>IFERROR(__xludf.DUMMYFUNCTION("""COMPUTED_VALUE"""),0.0)</f>
        <v>0</v>
      </c>
      <c r="AH33" s="481"/>
      <c r="AI33" s="158"/>
      <c r="AJ33" s="158"/>
      <c r="AK33" s="133">
        <f>IFERROR(__xludf.DUMMYFUNCTION("""COMPUTED_VALUE"""),2.0)</f>
        <v>2</v>
      </c>
      <c r="AL33" s="133">
        <f>IFERROR(__xludf.DUMMYFUNCTION("""COMPUTED_VALUE"""),2.0)</f>
        <v>2</v>
      </c>
      <c r="AM33" s="133">
        <f>IFERROR(__xludf.DUMMYFUNCTION("""COMPUTED_VALUE"""),2.0)</f>
        <v>2</v>
      </c>
      <c r="AN33" s="133" t="str">
        <f>IFERROR(__xludf.DUMMYFUNCTION("""COMPUTED_VALUE"""),"2")</f>
        <v>2</v>
      </c>
      <c r="AO33" s="133">
        <f>IFERROR(__xludf.DUMMYFUNCTION("""COMPUTED_VALUE"""),3.0)</f>
        <v>3</v>
      </c>
      <c r="AP33" s="155" t="s">
        <v>2461</v>
      </c>
    </row>
    <row r="34">
      <c r="A34" s="555">
        <f>IFERROR(__xludf.DUMMYFUNCTION("""COMPUTED_VALUE"""),30.0)</f>
        <v>30</v>
      </c>
      <c r="B34" s="555" t="str">
        <f>IFERROR(__xludf.DUMMYFUNCTION("""COMPUTED_VALUE"""),"anku23cs@cmrit.ac.in")</f>
        <v>anku23cs@cmrit.ac.in</v>
      </c>
      <c r="C34" s="174" t="str">
        <f>IFERROR(__xludf.DUMMYFUNCTION("""COMPUTED_VALUE"""),"ANANYA KULKARNI ")</f>
        <v>ANANYA KULKARNI </v>
      </c>
      <c r="D34" s="261" t="str">
        <f>IFERROR(__xludf.DUMMYFUNCTION("""COMPUTED_VALUE"""),"1CR23CS031")</f>
        <v>1CR23CS031</v>
      </c>
      <c r="E34" s="563">
        <f>IFERROR(__xludf.DUMMYFUNCTION("""COMPUTED_VALUE"""),9.148696928E9)</f>
        <v>9148696928</v>
      </c>
      <c r="F34" s="155" t="str">
        <f>IFERROR(__xludf.DUMMYFUNCTION("""COMPUTED_VALUE"""),"CSE")</f>
        <v>CSE</v>
      </c>
      <c r="G34" s="158"/>
      <c r="H34" s="559">
        <f>IFERROR(__xludf.DUMMYFUNCTION("""COMPUTED_VALUE"""),88.0)</f>
        <v>88</v>
      </c>
      <c r="I34" s="559">
        <f>IFERROR(__xludf.DUMMYFUNCTION("""COMPUTED_VALUE"""),94.0)</f>
        <v>94</v>
      </c>
      <c r="J34" s="559">
        <f>IFERROR(__xludf.DUMMYFUNCTION("""COMPUTED_VALUE"""),89.0)</f>
        <v>89</v>
      </c>
      <c r="K34" s="559">
        <f>IFERROR(__xludf.DUMMYFUNCTION("""COMPUTED_VALUE"""),78.0)</f>
        <v>78</v>
      </c>
      <c r="L34" s="560">
        <f>IFERROR(__xludf.DUMMYFUNCTION("""COMPUTED_VALUE"""),44.0)</f>
        <v>44</v>
      </c>
      <c r="M34" s="561">
        <f>IFERROR(__xludf.DUMMYFUNCTION("""COMPUTED_VALUE"""),14.0)</f>
        <v>14</v>
      </c>
      <c r="N34" s="561">
        <f>IFERROR(__xludf.DUMMYFUNCTION("""COMPUTED_VALUE"""),12.0)</f>
        <v>12</v>
      </c>
      <c r="O34" s="560"/>
      <c r="P34" s="562">
        <f>IFERROR(__xludf.DUMMYFUNCTION("""COMPUTED_VALUE"""),76.0)</f>
        <v>76</v>
      </c>
      <c r="Q34" s="562">
        <f>IFERROR(__xludf.DUMMYFUNCTION("""COMPUTED_VALUE"""),73.0)</f>
        <v>73</v>
      </c>
      <c r="R34" s="562">
        <f>IFERROR(__xludf.DUMMYFUNCTION("""COMPUTED_VALUE"""),0.0)</f>
        <v>0</v>
      </c>
      <c r="S34" s="562"/>
      <c r="T34" s="217">
        <f>IFERROR(__xludf.DUMMYFUNCTION("""COMPUTED_VALUE"""),12.0)</f>
        <v>12</v>
      </c>
      <c r="U34" s="217">
        <f>IFERROR(__xludf.DUMMYFUNCTION("""COMPUTED_VALUE"""),19.0)</f>
        <v>19</v>
      </c>
      <c r="V34" s="217"/>
      <c r="W34" s="217">
        <f>IFERROR(__xludf.DUMMYFUNCTION("""COMPUTED_VALUE"""),52.0)</f>
        <v>52</v>
      </c>
      <c r="X34" s="217">
        <f>IFERROR(__xludf.DUMMYFUNCTION("""COMPUTED_VALUE"""),50.0)</f>
        <v>50</v>
      </c>
      <c r="Y34" s="217"/>
      <c r="Z34" s="217"/>
      <c r="AA34" s="481">
        <f>IFERROR(__xludf.DUMMYFUNCTION("""COMPUTED_VALUE"""),70.0)</f>
        <v>70</v>
      </c>
      <c r="AB34" s="481">
        <f>IFERROR(__xludf.DUMMYFUNCTION("""COMPUTED_VALUE"""),92.5)</f>
        <v>92.5</v>
      </c>
      <c r="AC34" s="481">
        <f>IFERROR(__xludf.DUMMYFUNCTION("""COMPUTED_VALUE"""),15.0)</f>
        <v>15</v>
      </c>
      <c r="AD34" s="481">
        <f>IFERROR(__xludf.DUMMYFUNCTION("""COMPUTED_VALUE"""),0.0)</f>
        <v>0</v>
      </c>
      <c r="AE34" s="481">
        <f>IFERROR(__xludf.DUMMYFUNCTION("""COMPUTED_VALUE"""),10.0)</f>
        <v>10</v>
      </c>
      <c r="AF34" s="481"/>
      <c r="AG34" s="481">
        <f>IFERROR(__xludf.DUMMYFUNCTION("""COMPUTED_VALUE"""),5.0)</f>
        <v>5</v>
      </c>
      <c r="AH34" s="481"/>
      <c r="AI34" s="158"/>
      <c r="AJ34" s="158"/>
      <c r="AK34" s="133">
        <f>IFERROR(__xludf.DUMMYFUNCTION("""COMPUTED_VALUE"""),4.0)</f>
        <v>4</v>
      </c>
      <c r="AL34" s="133">
        <f>IFERROR(__xludf.DUMMYFUNCTION("""COMPUTED_VALUE"""),0.0)</f>
        <v>0</v>
      </c>
      <c r="AM34" s="133">
        <f>IFERROR(__xludf.DUMMYFUNCTION("""COMPUTED_VALUE"""),3.0)</f>
        <v>3</v>
      </c>
      <c r="AN34" s="133" t="str">
        <f>IFERROR(__xludf.DUMMYFUNCTION("""COMPUTED_VALUE"""),"2")</f>
        <v>2</v>
      </c>
      <c r="AO34" s="133">
        <f>IFERROR(__xludf.DUMMYFUNCTION("""COMPUTED_VALUE"""),2.0)</f>
        <v>2</v>
      </c>
      <c r="AP34" s="155" t="s">
        <v>2461</v>
      </c>
    </row>
    <row r="35">
      <c r="A35" s="555">
        <f>IFERROR(__xludf.DUMMYFUNCTION("""COMPUTED_VALUE"""),31.0)</f>
        <v>31</v>
      </c>
      <c r="B35" s="555" t="str">
        <f>IFERROR(__xludf.DUMMYFUNCTION("""COMPUTED_VALUE"""),"anvi23cs@cmrit.ac.in")</f>
        <v>anvi23cs@cmrit.ac.in</v>
      </c>
      <c r="C35" s="174" t="str">
        <f>IFERROR(__xludf.DUMMYFUNCTION("""COMPUTED_VALUE"""),"ANANYA VIJETHA")</f>
        <v>ANANYA VIJETHA</v>
      </c>
      <c r="D35" s="261" t="str">
        <f>IFERROR(__xludf.DUMMYFUNCTION("""COMPUTED_VALUE"""),"1CR23CS032")</f>
        <v>1CR23CS032</v>
      </c>
      <c r="E35" s="563">
        <f>IFERROR(__xludf.DUMMYFUNCTION("""COMPUTED_VALUE"""),9.986266664E9)</f>
        <v>9986266664</v>
      </c>
      <c r="F35" s="155" t="str">
        <f>IFERROR(__xludf.DUMMYFUNCTION("""COMPUTED_VALUE"""),"CSE")</f>
        <v>CSE</v>
      </c>
      <c r="G35" s="158"/>
      <c r="H35" s="559">
        <f>IFERROR(__xludf.DUMMYFUNCTION("""COMPUTED_VALUE"""),88.0)</f>
        <v>88</v>
      </c>
      <c r="I35" s="559">
        <f>IFERROR(__xludf.DUMMYFUNCTION("""COMPUTED_VALUE"""),89.0)</f>
        <v>89</v>
      </c>
      <c r="J35" s="559">
        <f>IFERROR(__xludf.DUMMYFUNCTION("""COMPUTED_VALUE"""),80.0)</f>
        <v>80</v>
      </c>
      <c r="K35" s="559">
        <f>IFERROR(__xludf.DUMMYFUNCTION("""COMPUTED_VALUE"""),82.0)</f>
        <v>82</v>
      </c>
      <c r="L35" s="560">
        <f>IFERROR(__xludf.DUMMYFUNCTION("""COMPUTED_VALUE"""),57.0)</f>
        <v>57</v>
      </c>
      <c r="M35" s="561">
        <f>IFERROR(__xludf.DUMMYFUNCTION("""COMPUTED_VALUE"""),17.0)</f>
        <v>17</v>
      </c>
      <c r="N35" s="561">
        <f>IFERROR(__xludf.DUMMYFUNCTION("""COMPUTED_VALUE"""),50.0)</f>
        <v>50</v>
      </c>
      <c r="O35" s="560"/>
      <c r="P35" s="562">
        <f>IFERROR(__xludf.DUMMYFUNCTION("""COMPUTED_VALUE"""),74.0)</f>
        <v>74</v>
      </c>
      <c r="Q35" s="562">
        <f>IFERROR(__xludf.DUMMYFUNCTION("""COMPUTED_VALUE"""),90.0)</f>
        <v>90</v>
      </c>
      <c r="R35" s="562">
        <f>IFERROR(__xludf.DUMMYFUNCTION("""COMPUTED_VALUE"""),96.0)</f>
        <v>96</v>
      </c>
      <c r="S35" s="562"/>
      <c r="T35" s="217">
        <f>IFERROR(__xludf.DUMMYFUNCTION("""COMPUTED_VALUE"""),14.0)</f>
        <v>14</v>
      </c>
      <c r="U35" s="217">
        <f>IFERROR(__xludf.DUMMYFUNCTION("""COMPUTED_VALUE"""),18.0)</f>
        <v>18</v>
      </c>
      <c r="V35" s="217">
        <f>IFERROR(__xludf.DUMMYFUNCTION("""COMPUTED_VALUE"""),52.0)</f>
        <v>52</v>
      </c>
      <c r="W35" s="217">
        <f>IFERROR(__xludf.DUMMYFUNCTION("""COMPUTED_VALUE"""),44.0)</f>
        <v>44</v>
      </c>
      <c r="X35" s="217">
        <f>IFERROR(__xludf.DUMMYFUNCTION("""COMPUTED_VALUE"""),84.0)</f>
        <v>84</v>
      </c>
      <c r="Y35" s="217"/>
      <c r="Z35" s="217"/>
      <c r="AA35" s="481">
        <f>IFERROR(__xludf.DUMMYFUNCTION("""COMPUTED_VALUE"""),90.0)</f>
        <v>90</v>
      </c>
      <c r="AB35" s="481">
        <f>IFERROR(__xludf.DUMMYFUNCTION("""COMPUTED_VALUE"""),100.0)</f>
        <v>100</v>
      </c>
      <c r="AC35" s="481">
        <f>IFERROR(__xludf.DUMMYFUNCTION("""COMPUTED_VALUE"""),83.5)</f>
        <v>83.5</v>
      </c>
      <c r="AD35" s="481">
        <f>IFERROR(__xludf.DUMMYFUNCTION("""COMPUTED_VALUE"""),100.0)</f>
        <v>100</v>
      </c>
      <c r="AE35" s="481">
        <f>IFERROR(__xludf.DUMMYFUNCTION("""COMPUTED_VALUE"""),88.0)</f>
        <v>88</v>
      </c>
      <c r="AF35" s="481"/>
      <c r="AG35" s="481">
        <f>IFERROR(__xludf.DUMMYFUNCTION("""COMPUTED_VALUE"""),61.0)</f>
        <v>61</v>
      </c>
      <c r="AH35" s="481"/>
      <c r="AI35" s="158"/>
      <c r="AJ35" s="158"/>
      <c r="AK35" s="133">
        <f>IFERROR(__xludf.DUMMYFUNCTION("""COMPUTED_VALUE"""),4.0)</f>
        <v>4</v>
      </c>
      <c r="AL35" s="133">
        <f>IFERROR(__xludf.DUMMYFUNCTION("""COMPUTED_VALUE"""),1.0)</f>
        <v>1</v>
      </c>
      <c r="AM35" s="133">
        <f>IFERROR(__xludf.DUMMYFUNCTION("""COMPUTED_VALUE"""),2.0)</f>
        <v>2</v>
      </c>
      <c r="AN35" s="133" t="str">
        <f>IFERROR(__xludf.DUMMYFUNCTION("""COMPUTED_VALUE"""),"3.5")</f>
        <v>3.5</v>
      </c>
      <c r="AO35" s="133">
        <f>IFERROR(__xludf.DUMMYFUNCTION("""COMPUTED_VALUE"""),3.0)</f>
        <v>3</v>
      </c>
      <c r="AP35" s="155" t="s">
        <v>2461</v>
      </c>
    </row>
    <row r="36">
      <c r="A36" s="555">
        <f>IFERROR(__xludf.DUMMYFUNCTION("""COMPUTED_VALUE"""),32.0)</f>
        <v>32</v>
      </c>
      <c r="B36" s="555" t="str">
        <f>IFERROR(__xludf.DUMMYFUNCTION("""COMPUTED_VALUE"""),"anch23cs@cmrit.ac.in")</f>
        <v>anch23cs@cmrit.ac.in</v>
      </c>
      <c r="C36" s="174" t="str">
        <f>IFERROR(__xludf.DUMMYFUNCTION("""COMPUTED_VALUE"""),"ANASUYA CHAKRABORTY ")</f>
        <v>ANASUYA CHAKRABORTY </v>
      </c>
      <c r="D36" s="261" t="str">
        <f>IFERROR(__xludf.DUMMYFUNCTION("""COMPUTED_VALUE"""),"1CR23CS033")</f>
        <v>1CR23CS033</v>
      </c>
      <c r="E36" s="563">
        <f>IFERROR(__xludf.DUMMYFUNCTION("""COMPUTED_VALUE"""),6.362495768E9)</f>
        <v>6362495768</v>
      </c>
      <c r="F36" s="155" t="str">
        <f>IFERROR(__xludf.DUMMYFUNCTION("""COMPUTED_VALUE"""),"CSE")</f>
        <v>CSE</v>
      </c>
      <c r="G36" s="158"/>
      <c r="H36" s="559">
        <f>IFERROR(__xludf.DUMMYFUNCTION("""COMPUTED_VALUE"""),80.0)</f>
        <v>80</v>
      </c>
      <c r="I36" s="559">
        <f>IFERROR(__xludf.DUMMYFUNCTION("""COMPUTED_VALUE"""),85.0)</f>
        <v>85</v>
      </c>
      <c r="J36" s="559">
        <f>IFERROR(__xludf.DUMMYFUNCTION("""COMPUTED_VALUE"""),83.0)</f>
        <v>83</v>
      </c>
      <c r="K36" s="559">
        <f>IFERROR(__xludf.DUMMYFUNCTION("""COMPUTED_VALUE"""),78.0)</f>
        <v>78</v>
      </c>
      <c r="L36" s="560">
        <f>IFERROR(__xludf.DUMMYFUNCTION("""COMPUTED_VALUE"""),52.0)</f>
        <v>52</v>
      </c>
      <c r="M36" s="561">
        <f>IFERROR(__xludf.DUMMYFUNCTION("""COMPUTED_VALUE"""),23.0)</f>
        <v>23</v>
      </c>
      <c r="N36" s="561">
        <f>IFERROR(__xludf.DUMMYFUNCTION("""COMPUTED_VALUE"""),27.0)</f>
        <v>27</v>
      </c>
      <c r="O36" s="560"/>
      <c r="P36" s="562">
        <f>IFERROR(__xludf.DUMMYFUNCTION("""COMPUTED_VALUE"""),87.0)</f>
        <v>87</v>
      </c>
      <c r="Q36" s="562">
        <f>IFERROR(__xludf.DUMMYFUNCTION("""COMPUTED_VALUE"""),90.0)</f>
        <v>90</v>
      </c>
      <c r="R36" s="562">
        <f>IFERROR(__xludf.DUMMYFUNCTION("""COMPUTED_VALUE"""),96.0)</f>
        <v>96</v>
      </c>
      <c r="S36" s="562"/>
      <c r="T36" s="217">
        <f>IFERROR(__xludf.DUMMYFUNCTION("""COMPUTED_VALUE"""),13.0)</f>
        <v>13</v>
      </c>
      <c r="U36" s="217">
        <f>IFERROR(__xludf.DUMMYFUNCTION("""COMPUTED_VALUE"""),20.0)</f>
        <v>20</v>
      </c>
      <c r="V36" s="217">
        <f>IFERROR(__xludf.DUMMYFUNCTION("""COMPUTED_VALUE"""),75.0)</f>
        <v>75</v>
      </c>
      <c r="W36" s="217">
        <f>IFERROR(__xludf.DUMMYFUNCTION("""COMPUTED_VALUE"""),32.0)</f>
        <v>32</v>
      </c>
      <c r="X36" s="217">
        <f>IFERROR(__xludf.DUMMYFUNCTION("""COMPUTED_VALUE"""),82.0)</f>
        <v>82</v>
      </c>
      <c r="Y36" s="217"/>
      <c r="Z36" s="217"/>
      <c r="AA36" s="481">
        <f>IFERROR(__xludf.DUMMYFUNCTION("""COMPUTED_VALUE"""),85.0)</f>
        <v>85</v>
      </c>
      <c r="AB36" s="481">
        <f>IFERROR(__xludf.DUMMYFUNCTION("""COMPUTED_VALUE"""),90.0)</f>
        <v>90</v>
      </c>
      <c r="AC36" s="481">
        <f>IFERROR(__xludf.DUMMYFUNCTION("""COMPUTED_VALUE"""),84.0)</f>
        <v>84</v>
      </c>
      <c r="AD36" s="481">
        <f>IFERROR(__xludf.DUMMYFUNCTION("""COMPUTED_VALUE"""),100.0)</f>
        <v>100</v>
      </c>
      <c r="AE36" s="481">
        <f>IFERROR(__xludf.DUMMYFUNCTION("""COMPUTED_VALUE"""),71.0)</f>
        <v>71</v>
      </c>
      <c r="AF36" s="481"/>
      <c r="AG36" s="481">
        <f>IFERROR(__xludf.DUMMYFUNCTION("""COMPUTED_VALUE"""),70.0)</f>
        <v>70</v>
      </c>
      <c r="AH36" s="481"/>
      <c r="AI36" s="158"/>
      <c r="AJ36" s="158"/>
      <c r="AK36" s="133">
        <f>IFERROR(__xludf.DUMMYFUNCTION("""COMPUTED_VALUE"""),4.0)</f>
        <v>4</v>
      </c>
      <c r="AL36" s="133">
        <f>IFERROR(__xludf.DUMMYFUNCTION("""COMPUTED_VALUE"""),1.0)</f>
        <v>1</v>
      </c>
      <c r="AM36" s="133">
        <f>IFERROR(__xludf.DUMMYFUNCTION("""COMPUTED_VALUE"""),2.0)</f>
        <v>2</v>
      </c>
      <c r="AN36" s="133" t="str">
        <f>IFERROR(__xludf.DUMMYFUNCTION("""COMPUTED_VALUE"""),"3.5")</f>
        <v>3.5</v>
      </c>
      <c r="AO36" s="133">
        <f>IFERROR(__xludf.DUMMYFUNCTION("""COMPUTED_VALUE"""),3.0)</f>
        <v>3</v>
      </c>
      <c r="AP36" s="155" t="s">
        <v>2461</v>
      </c>
    </row>
    <row r="37">
      <c r="A37" s="555">
        <f>IFERROR(__xludf.DUMMYFUNCTION("""COMPUTED_VALUE"""),33.0)</f>
        <v>33</v>
      </c>
      <c r="B37" s="555" t="str">
        <f>IFERROR(__xludf.DUMMYFUNCTION("""COMPUTED_VALUE"""),"anho23cs@cmrit.ac.in")</f>
        <v>anho23cs@cmrit.ac.in</v>
      </c>
      <c r="C37" s="174" t="str">
        <f>IFERROR(__xludf.DUMMYFUNCTION("""COMPUTED_VALUE"""),"ANIRUDDHA S HOLLA")</f>
        <v>ANIRUDDHA S HOLLA</v>
      </c>
      <c r="D37" s="261" t="str">
        <f>IFERROR(__xludf.DUMMYFUNCTION("""COMPUTED_VALUE"""),"1CR23CS034")</f>
        <v>1CR23CS034</v>
      </c>
      <c r="E37" s="563">
        <f>IFERROR(__xludf.DUMMYFUNCTION("""COMPUTED_VALUE"""),7.619415579E9)</f>
        <v>7619415579</v>
      </c>
      <c r="F37" s="155" t="str">
        <f>IFERROR(__xludf.DUMMYFUNCTION("""COMPUTED_VALUE"""),"CSE")</f>
        <v>CSE</v>
      </c>
      <c r="G37" s="158"/>
      <c r="H37" s="559">
        <f>IFERROR(__xludf.DUMMYFUNCTION("""COMPUTED_VALUE"""),86.0)</f>
        <v>86</v>
      </c>
      <c r="I37" s="559">
        <f>IFERROR(__xludf.DUMMYFUNCTION("""COMPUTED_VALUE"""),86.0)</f>
        <v>86</v>
      </c>
      <c r="J37" s="559">
        <f>IFERROR(__xludf.DUMMYFUNCTION("""COMPUTED_VALUE"""),80.0)</f>
        <v>80</v>
      </c>
      <c r="K37" s="559">
        <f>IFERROR(__xludf.DUMMYFUNCTION("""COMPUTED_VALUE"""),70.0)</f>
        <v>70</v>
      </c>
      <c r="L37" s="560">
        <f>IFERROR(__xludf.DUMMYFUNCTION("""COMPUTED_VALUE"""),62.0)</f>
        <v>62</v>
      </c>
      <c r="M37" s="561">
        <f>IFERROR(__xludf.DUMMYFUNCTION("""COMPUTED_VALUE"""),50.0)</f>
        <v>50</v>
      </c>
      <c r="N37" s="561">
        <f>IFERROR(__xludf.DUMMYFUNCTION("""COMPUTED_VALUE"""),61.0)</f>
        <v>61</v>
      </c>
      <c r="O37" s="560"/>
      <c r="P37" s="562">
        <f>IFERROR(__xludf.DUMMYFUNCTION("""COMPUTED_VALUE"""),50.0)</f>
        <v>50</v>
      </c>
      <c r="Q37" s="562">
        <f>IFERROR(__xludf.DUMMYFUNCTION("""COMPUTED_VALUE"""),65.0)</f>
        <v>65</v>
      </c>
      <c r="R37" s="562">
        <f>IFERROR(__xludf.DUMMYFUNCTION("""COMPUTED_VALUE"""),75.0)</f>
        <v>75</v>
      </c>
      <c r="S37" s="562"/>
      <c r="T37" s="217">
        <f>IFERROR(__xludf.DUMMYFUNCTION("""COMPUTED_VALUE"""),15.0)</f>
        <v>15</v>
      </c>
      <c r="U37" s="217">
        <f>IFERROR(__xludf.DUMMYFUNCTION("""COMPUTED_VALUE"""),18.0)</f>
        <v>18</v>
      </c>
      <c r="V37" s="217">
        <f>IFERROR(__xludf.DUMMYFUNCTION("""COMPUTED_VALUE"""),56.0)</f>
        <v>56</v>
      </c>
      <c r="W37" s="217">
        <f>IFERROR(__xludf.DUMMYFUNCTION("""COMPUTED_VALUE"""),44.0)</f>
        <v>44</v>
      </c>
      <c r="X37" s="217">
        <f>IFERROR(__xludf.DUMMYFUNCTION("""COMPUTED_VALUE"""),84.0)</f>
        <v>84</v>
      </c>
      <c r="Y37" s="217"/>
      <c r="Z37" s="217"/>
      <c r="AA37" s="481">
        <f>IFERROR(__xludf.DUMMYFUNCTION("""COMPUTED_VALUE"""),82.0)</f>
        <v>82</v>
      </c>
      <c r="AB37" s="481">
        <f>IFERROR(__xludf.DUMMYFUNCTION("""COMPUTED_VALUE"""),96.25)</f>
        <v>96.25</v>
      </c>
      <c r="AC37" s="481">
        <f>IFERROR(__xludf.DUMMYFUNCTION("""COMPUTED_VALUE"""),100.0)</f>
        <v>100</v>
      </c>
      <c r="AD37" s="481">
        <f>IFERROR(__xludf.DUMMYFUNCTION("""COMPUTED_VALUE"""),100.0)</f>
        <v>100</v>
      </c>
      <c r="AE37" s="481">
        <f>IFERROR(__xludf.DUMMYFUNCTION("""COMPUTED_VALUE"""),70.0)</f>
        <v>70</v>
      </c>
      <c r="AF37" s="481"/>
      <c r="AG37" s="481">
        <f>IFERROR(__xludf.DUMMYFUNCTION("""COMPUTED_VALUE"""),27.0)</f>
        <v>27</v>
      </c>
      <c r="AH37" s="481"/>
      <c r="AI37" s="158"/>
      <c r="AJ37" s="158"/>
      <c r="AK37" s="133">
        <f>IFERROR(__xludf.DUMMYFUNCTION("""COMPUTED_VALUE"""),4.0)</f>
        <v>4</v>
      </c>
      <c r="AL37" s="133">
        <f>IFERROR(__xludf.DUMMYFUNCTION("""COMPUTED_VALUE"""),3.0)</f>
        <v>3</v>
      </c>
      <c r="AM37" s="133">
        <f>IFERROR(__xludf.DUMMYFUNCTION("""COMPUTED_VALUE"""),2.0)</f>
        <v>2</v>
      </c>
      <c r="AN37" s="133" t="str">
        <f>IFERROR(__xludf.DUMMYFUNCTION("""COMPUTED_VALUE"""),"3.5")</f>
        <v>3.5</v>
      </c>
      <c r="AO37" s="133">
        <f>IFERROR(__xludf.DUMMYFUNCTION("""COMPUTED_VALUE"""),3.0)</f>
        <v>3</v>
      </c>
      <c r="AP37" s="155" t="s">
        <v>2461</v>
      </c>
    </row>
    <row r="38">
      <c r="A38" s="555">
        <f>IFERROR(__xludf.DUMMYFUNCTION("""COMPUTED_VALUE"""),34.0)</f>
        <v>34</v>
      </c>
      <c r="B38" s="555" t="str">
        <f>IFERROR(__xludf.DUMMYFUNCTION("""COMPUTED_VALUE"""),"ankr23cs@cmrit.ac.in")</f>
        <v>ankr23cs@cmrit.ac.in</v>
      </c>
      <c r="C38" s="564" t="str">
        <f>IFERROR(__xludf.DUMMYFUNCTION("""COMPUTED_VALUE"""),"Ankitha K R")</f>
        <v>Ankitha K R</v>
      </c>
      <c r="D38" s="261" t="str">
        <f>IFERROR(__xludf.DUMMYFUNCTION("""COMPUTED_VALUE"""),"1CR23CS035")</f>
        <v>1CR23CS035</v>
      </c>
      <c r="E38" s="563">
        <f>IFERROR(__xludf.DUMMYFUNCTION("""COMPUTED_VALUE"""),8.792061225E9)</f>
        <v>8792061225</v>
      </c>
      <c r="F38" s="155" t="str">
        <f>IFERROR(__xludf.DUMMYFUNCTION("""COMPUTED_VALUE"""),"CSE")</f>
        <v>CSE</v>
      </c>
      <c r="G38" s="158"/>
      <c r="H38" s="559">
        <f>IFERROR(__xludf.DUMMYFUNCTION("""COMPUTED_VALUE"""),87.0)</f>
        <v>87</v>
      </c>
      <c r="I38" s="559">
        <f>IFERROR(__xludf.DUMMYFUNCTION("""COMPUTED_VALUE"""),85.0)</f>
        <v>85</v>
      </c>
      <c r="J38" s="559">
        <f>IFERROR(__xludf.DUMMYFUNCTION("""COMPUTED_VALUE"""),70.0)</f>
        <v>70</v>
      </c>
      <c r="K38" s="559">
        <f>IFERROR(__xludf.DUMMYFUNCTION("""COMPUTED_VALUE"""),70.0)</f>
        <v>70</v>
      </c>
      <c r="L38" s="560">
        <f>IFERROR(__xludf.DUMMYFUNCTION("""COMPUTED_VALUE"""),50.0)</f>
        <v>50</v>
      </c>
      <c r="M38" s="561">
        <f>IFERROR(__xludf.DUMMYFUNCTION("""COMPUTED_VALUE"""),17.0)</f>
        <v>17</v>
      </c>
      <c r="N38" s="561">
        <f>IFERROR(__xludf.DUMMYFUNCTION("""COMPUTED_VALUE"""),50.0)</f>
        <v>50</v>
      </c>
      <c r="O38" s="560"/>
      <c r="P38" s="562">
        <f>IFERROR(__xludf.DUMMYFUNCTION("""COMPUTED_VALUE"""),76.0)</f>
        <v>76</v>
      </c>
      <c r="Q38" s="562">
        <f>IFERROR(__xludf.DUMMYFUNCTION("""COMPUTED_VALUE"""),66.0)</f>
        <v>66</v>
      </c>
      <c r="R38" s="562">
        <f>IFERROR(__xludf.DUMMYFUNCTION("""COMPUTED_VALUE"""),85.0)</f>
        <v>85</v>
      </c>
      <c r="S38" s="562"/>
      <c r="T38" s="217">
        <f>IFERROR(__xludf.DUMMYFUNCTION("""COMPUTED_VALUE"""),10.0)</f>
        <v>10</v>
      </c>
      <c r="U38" s="217">
        <f>IFERROR(__xludf.DUMMYFUNCTION("""COMPUTED_VALUE"""),23.0)</f>
        <v>23</v>
      </c>
      <c r="V38" s="217">
        <f>IFERROR(__xludf.DUMMYFUNCTION("""COMPUTED_VALUE"""),64.0)</f>
        <v>64</v>
      </c>
      <c r="W38" s="217">
        <f>IFERROR(__xludf.DUMMYFUNCTION("""COMPUTED_VALUE"""),52.0)</f>
        <v>52</v>
      </c>
      <c r="X38" s="217">
        <f>IFERROR(__xludf.DUMMYFUNCTION("""COMPUTED_VALUE"""),86.0)</f>
        <v>86</v>
      </c>
      <c r="Y38" s="217"/>
      <c r="Z38" s="217"/>
      <c r="AA38" s="481">
        <f>IFERROR(__xludf.DUMMYFUNCTION("""COMPUTED_VALUE"""),80.0)</f>
        <v>80</v>
      </c>
      <c r="AB38" s="481">
        <f>IFERROR(__xludf.DUMMYFUNCTION("""COMPUTED_VALUE"""),91.25)</f>
        <v>91.25</v>
      </c>
      <c r="AC38" s="481">
        <f>IFERROR(__xludf.DUMMYFUNCTION("""COMPUTED_VALUE"""),60.0)</f>
        <v>60</v>
      </c>
      <c r="AD38" s="481">
        <f>IFERROR(__xludf.DUMMYFUNCTION("""COMPUTED_VALUE"""),100.0)</f>
        <v>100</v>
      </c>
      <c r="AE38" s="481">
        <f>IFERROR(__xludf.DUMMYFUNCTION("""COMPUTED_VALUE"""),70.0)</f>
        <v>70</v>
      </c>
      <c r="AF38" s="481"/>
      <c r="AG38" s="481">
        <f>IFERROR(__xludf.DUMMYFUNCTION("""COMPUTED_VALUE"""),71.0)</f>
        <v>71</v>
      </c>
      <c r="AH38" s="481"/>
      <c r="AI38" s="158"/>
      <c r="AJ38" s="158"/>
      <c r="AK38" s="133">
        <f>IFERROR(__xludf.DUMMYFUNCTION("""COMPUTED_VALUE"""),4.0)</f>
        <v>4</v>
      </c>
      <c r="AL38" s="133">
        <f>IFERROR(__xludf.DUMMYFUNCTION("""COMPUTED_VALUE"""),1.0)</f>
        <v>1</v>
      </c>
      <c r="AM38" s="133">
        <f>IFERROR(__xludf.DUMMYFUNCTION("""COMPUTED_VALUE"""),3.0)</f>
        <v>3</v>
      </c>
      <c r="AN38" s="133" t="str">
        <f>IFERROR(__xludf.DUMMYFUNCTION("""COMPUTED_VALUE"""),"3.5")</f>
        <v>3.5</v>
      </c>
      <c r="AO38" s="133">
        <f>IFERROR(__xludf.DUMMYFUNCTION("""COMPUTED_VALUE"""),3.0)</f>
        <v>3</v>
      </c>
      <c r="AP38" s="155" t="s">
        <v>2461</v>
      </c>
    </row>
    <row r="39">
      <c r="A39" s="555">
        <f>IFERROR(__xludf.DUMMYFUNCTION("""COMPUTED_VALUE"""),35.0)</f>
        <v>35</v>
      </c>
      <c r="B39" s="555" t="str">
        <f>IFERROR(__xludf.DUMMYFUNCTION("""COMPUTED_VALUE"""),"ansu23cs@cmrit.ac.in")</f>
        <v>ansu23cs@cmrit.ac.in</v>
      </c>
      <c r="C39" s="174" t="str">
        <f>IFERROR(__xludf.DUMMYFUNCTION("""COMPUTED_VALUE"""),"ANSHIKA SUPRIYA")</f>
        <v>ANSHIKA SUPRIYA</v>
      </c>
      <c r="D39" s="261" t="str">
        <f>IFERROR(__xludf.DUMMYFUNCTION("""COMPUTED_VALUE"""),"1CR23CS036")</f>
        <v>1CR23CS036</v>
      </c>
      <c r="E39" s="563">
        <f>IFERROR(__xludf.DUMMYFUNCTION("""COMPUTED_VALUE"""),8.210060969E9)</f>
        <v>8210060969</v>
      </c>
      <c r="F39" s="155" t="str">
        <f>IFERROR(__xludf.DUMMYFUNCTION("""COMPUTED_VALUE"""),"CSE")</f>
        <v>CSE</v>
      </c>
      <c r="G39" s="158"/>
      <c r="H39" s="559">
        <f>IFERROR(__xludf.DUMMYFUNCTION("""COMPUTED_VALUE"""),86.0)</f>
        <v>86</v>
      </c>
      <c r="I39" s="559">
        <f>IFERROR(__xludf.DUMMYFUNCTION("""COMPUTED_VALUE"""),88.0)</f>
        <v>88</v>
      </c>
      <c r="J39" s="559">
        <f>IFERROR(__xludf.DUMMYFUNCTION("""COMPUTED_VALUE"""),70.0)</f>
        <v>70</v>
      </c>
      <c r="K39" s="559">
        <f>IFERROR(__xludf.DUMMYFUNCTION("""COMPUTED_VALUE"""),70.0)</f>
        <v>70</v>
      </c>
      <c r="L39" s="560">
        <f>IFERROR(__xludf.DUMMYFUNCTION("""COMPUTED_VALUE"""),83.0)</f>
        <v>83</v>
      </c>
      <c r="M39" s="561">
        <f>IFERROR(__xludf.DUMMYFUNCTION("""COMPUTED_VALUE"""),50.0)</f>
        <v>50</v>
      </c>
      <c r="N39" s="561">
        <f>IFERROR(__xludf.DUMMYFUNCTION("""COMPUTED_VALUE"""),53.0)</f>
        <v>53</v>
      </c>
      <c r="O39" s="560"/>
      <c r="P39" s="562">
        <f>IFERROR(__xludf.DUMMYFUNCTION("""COMPUTED_VALUE"""),82.0)</f>
        <v>82</v>
      </c>
      <c r="Q39" s="562">
        <f>IFERROR(__xludf.DUMMYFUNCTION("""COMPUTED_VALUE"""),63.0)</f>
        <v>63</v>
      </c>
      <c r="R39" s="562">
        <f>IFERROR(__xludf.DUMMYFUNCTION("""COMPUTED_VALUE"""),88.0)</f>
        <v>88</v>
      </c>
      <c r="S39" s="562"/>
      <c r="T39" s="217">
        <f>IFERROR(__xludf.DUMMYFUNCTION("""COMPUTED_VALUE"""),11.0)</f>
        <v>11</v>
      </c>
      <c r="U39" s="217">
        <f>IFERROR(__xludf.DUMMYFUNCTION("""COMPUTED_VALUE"""),19.0)</f>
        <v>19</v>
      </c>
      <c r="V39" s="217">
        <f>IFERROR(__xludf.DUMMYFUNCTION("""COMPUTED_VALUE"""),72.0)</f>
        <v>72</v>
      </c>
      <c r="W39" s="217">
        <f>IFERROR(__xludf.DUMMYFUNCTION("""COMPUTED_VALUE"""),52.0)</f>
        <v>52</v>
      </c>
      <c r="X39" s="217">
        <f>IFERROR(__xludf.DUMMYFUNCTION("""COMPUTED_VALUE"""),86.0)</f>
        <v>86</v>
      </c>
      <c r="Y39" s="217"/>
      <c r="Z39" s="217"/>
      <c r="AA39" s="481">
        <f>IFERROR(__xludf.DUMMYFUNCTION("""COMPUTED_VALUE"""),100.0)</f>
        <v>100</v>
      </c>
      <c r="AB39" s="481">
        <f>IFERROR(__xludf.DUMMYFUNCTION("""COMPUTED_VALUE"""),100.0)</f>
        <v>100</v>
      </c>
      <c r="AC39" s="481">
        <f>IFERROR(__xludf.DUMMYFUNCTION("""COMPUTED_VALUE"""),84.0)</f>
        <v>84</v>
      </c>
      <c r="AD39" s="481">
        <f>IFERROR(__xludf.DUMMYFUNCTION("""COMPUTED_VALUE"""),60.0)</f>
        <v>60</v>
      </c>
      <c r="AE39" s="481">
        <f>IFERROR(__xludf.DUMMYFUNCTION("""COMPUTED_VALUE"""),80.0)</f>
        <v>80</v>
      </c>
      <c r="AF39" s="481"/>
      <c r="AG39" s="481">
        <f>IFERROR(__xludf.DUMMYFUNCTION("""COMPUTED_VALUE"""),70.0)</f>
        <v>70</v>
      </c>
      <c r="AH39" s="481"/>
      <c r="AI39" s="158"/>
      <c r="AJ39" s="158"/>
      <c r="AK39" s="133">
        <f>IFERROR(__xludf.DUMMYFUNCTION("""COMPUTED_VALUE"""),4.0)</f>
        <v>4</v>
      </c>
      <c r="AL39" s="133">
        <f>IFERROR(__xludf.DUMMYFUNCTION("""COMPUTED_VALUE"""),3.0)</f>
        <v>3</v>
      </c>
      <c r="AM39" s="133">
        <f>IFERROR(__xludf.DUMMYFUNCTION("""COMPUTED_VALUE"""),3.0)</f>
        <v>3</v>
      </c>
      <c r="AN39" s="133" t="str">
        <f>IFERROR(__xludf.DUMMYFUNCTION("""COMPUTED_VALUE"""),"3.5")</f>
        <v>3.5</v>
      </c>
      <c r="AO39" s="133">
        <f>IFERROR(__xludf.DUMMYFUNCTION("""COMPUTED_VALUE"""),3.0)</f>
        <v>3</v>
      </c>
      <c r="AP39" s="155" t="s">
        <v>2461</v>
      </c>
    </row>
    <row r="40">
      <c r="A40" s="555">
        <f>IFERROR(__xludf.DUMMYFUNCTION("""COMPUTED_VALUE"""),36.0)</f>
        <v>36</v>
      </c>
      <c r="B40" s="555" t="str">
        <f>IFERROR(__xludf.DUMMYFUNCTION("""COMPUTED_VALUE"""),"ansi23cs@cmrit.ac.in")</f>
        <v>ansi23cs@cmrit.ac.in</v>
      </c>
      <c r="C40" s="564" t="str">
        <f>IFERROR(__xludf.DUMMYFUNCTION("""COMPUTED_VALUE"""),"ANURAG SINGH")</f>
        <v>ANURAG SINGH</v>
      </c>
      <c r="D40" s="261" t="str">
        <f>IFERROR(__xludf.DUMMYFUNCTION("""COMPUTED_VALUE"""),"1CR23CS037")</f>
        <v>1CR23CS037</v>
      </c>
      <c r="E40" s="563">
        <f>IFERROR(__xludf.DUMMYFUNCTION("""COMPUTED_VALUE"""),9.986689394E9)</f>
        <v>9986689394</v>
      </c>
      <c r="F40" s="155" t="str">
        <f>IFERROR(__xludf.DUMMYFUNCTION("""COMPUTED_VALUE"""),"CSE")</f>
        <v>CSE</v>
      </c>
      <c r="G40" s="158"/>
      <c r="H40" s="559">
        <f>IFERROR(__xludf.DUMMYFUNCTION("""COMPUTED_VALUE"""),80.0)</f>
        <v>80</v>
      </c>
      <c r="I40" s="559">
        <f>IFERROR(__xludf.DUMMYFUNCTION("""COMPUTED_VALUE"""),86.0)</f>
        <v>86</v>
      </c>
      <c r="J40" s="559">
        <f>IFERROR(__xludf.DUMMYFUNCTION("""COMPUTED_VALUE"""),78.0)</f>
        <v>78</v>
      </c>
      <c r="K40" s="559">
        <f>IFERROR(__xludf.DUMMYFUNCTION("""COMPUTED_VALUE"""),79.0)</f>
        <v>79</v>
      </c>
      <c r="L40" s="560">
        <f>IFERROR(__xludf.DUMMYFUNCTION("""COMPUTED_VALUE"""),50.0)</f>
        <v>50</v>
      </c>
      <c r="M40" s="561">
        <f>IFERROR(__xludf.DUMMYFUNCTION("""COMPUTED_VALUE"""),50.0)</f>
        <v>50</v>
      </c>
      <c r="N40" s="561">
        <f>IFERROR(__xludf.DUMMYFUNCTION("""COMPUTED_VALUE"""),66.0)</f>
        <v>66</v>
      </c>
      <c r="O40" s="560"/>
      <c r="P40" s="562">
        <f>IFERROR(__xludf.DUMMYFUNCTION("""COMPUTED_VALUE"""),77.0)</f>
        <v>77</v>
      </c>
      <c r="Q40" s="562">
        <f>IFERROR(__xludf.DUMMYFUNCTION("""COMPUTED_VALUE"""),65.0)</f>
        <v>65</v>
      </c>
      <c r="R40" s="562">
        <f>IFERROR(__xludf.DUMMYFUNCTION("""COMPUTED_VALUE"""),88.0)</f>
        <v>88</v>
      </c>
      <c r="S40" s="562"/>
      <c r="T40" s="217">
        <f>IFERROR(__xludf.DUMMYFUNCTION("""COMPUTED_VALUE"""),22.0)</f>
        <v>22</v>
      </c>
      <c r="U40" s="217">
        <f>IFERROR(__xludf.DUMMYFUNCTION("""COMPUTED_VALUE"""),18.0)</f>
        <v>18</v>
      </c>
      <c r="V40" s="217">
        <f>IFERROR(__xludf.DUMMYFUNCTION("""COMPUTED_VALUE"""),84.0)</f>
        <v>84</v>
      </c>
      <c r="W40" s="217">
        <f>IFERROR(__xludf.DUMMYFUNCTION("""COMPUTED_VALUE"""),36.0)</f>
        <v>36</v>
      </c>
      <c r="X40" s="217">
        <f>IFERROR(__xludf.DUMMYFUNCTION("""COMPUTED_VALUE"""),86.0)</f>
        <v>86</v>
      </c>
      <c r="Y40" s="217"/>
      <c r="Z40" s="217"/>
      <c r="AA40" s="481">
        <f>IFERROR(__xludf.DUMMYFUNCTION("""COMPUTED_VALUE"""),97.6)</f>
        <v>97.6</v>
      </c>
      <c r="AB40" s="481">
        <f>IFERROR(__xludf.DUMMYFUNCTION("""COMPUTED_VALUE"""),99.25)</f>
        <v>99.25</v>
      </c>
      <c r="AC40" s="481">
        <f>IFERROR(__xludf.DUMMYFUNCTION("""COMPUTED_VALUE"""),95.0)</f>
        <v>95</v>
      </c>
      <c r="AD40" s="481">
        <f>IFERROR(__xludf.DUMMYFUNCTION("""COMPUTED_VALUE"""),88.0)</f>
        <v>88</v>
      </c>
      <c r="AE40" s="481">
        <f>IFERROR(__xludf.DUMMYFUNCTION("""COMPUTED_VALUE"""),92.0)</f>
        <v>92</v>
      </c>
      <c r="AF40" s="481"/>
      <c r="AG40" s="481">
        <f>IFERROR(__xludf.DUMMYFUNCTION("""COMPUTED_VALUE"""),37.0)</f>
        <v>37</v>
      </c>
      <c r="AH40" s="481"/>
      <c r="AI40" s="158"/>
      <c r="AJ40" s="158"/>
      <c r="AK40" s="133">
        <f>IFERROR(__xludf.DUMMYFUNCTION("""COMPUTED_VALUE"""),4.0)</f>
        <v>4</v>
      </c>
      <c r="AL40" s="133">
        <f>IFERROR(__xludf.DUMMYFUNCTION("""COMPUTED_VALUE"""),3.0)</f>
        <v>3</v>
      </c>
      <c r="AM40" s="133">
        <f>IFERROR(__xludf.DUMMYFUNCTION("""COMPUTED_VALUE"""),2.0)</f>
        <v>2</v>
      </c>
      <c r="AN40" s="133" t="str">
        <f>IFERROR(__xludf.DUMMYFUNCTION("""COMPUTED_VALUE"""),"3.5")</f>
        <v>3.5</v>
      </c>
      <c r="AO40" s="133">
        <f>IFERROR(__xludf.DUMMYFUNCTION("""COMPUTED_VALUE"""),3.0)</f>
        <v>3</v>
      </c>
      <c r="AP40" s="155" t="s">
        <v>2461</v>
      </c>
    </row>
    <row r="41">
      <c r="A41" s="555">
        <f>IFERROR(__xludf.DUMMYFUNCTION("""COMPUTED_VALUE"""),37.0)</f>
        <v>37</v>
      </c>
      <c r="B41" s="555" t="str">
        <f>IFERROR(__xludf.DUMMYFUNCTION("""COMPUTED_VALUE"""),"as23cs@cmrit.ac.in")</f>
        <v>as23cs@cmrit.ac.in</v>
      </c>
      <c r="C41" s="172" t="str">
        <f>IFERROR(__xludf.DUMMYFUNCTION("""COMPUTED_VALUE"""),"Ashutosh Karki")</f>
        <v>Ashutosh Karki</v>
      </c>
      <c r="D41" s="261" t="str">
        <f>IFERROR(__xludf.DUMMYFUNCTION("""COMPUTED_VALUE"""),"1CR23CS039")</f>
        <v>1CR23CS039</v>
      </c>
      <c r="E41" s="563">
        <f>IFERROR(__xludf.DUMMYFUNCTION("""COMPUTED_VALUE"""),8.10543512E9)</f>
        <v>8105435120</v>
      </c>
      <c r="F41" s="155" t="str">
        <f>IFERROR(__xludf.DUMMYFUNCTION("""COMPUTED_VALUE"""),"CSE")</f>
        <v>CSE</v>
      </c>
      <c r="G41" s="158"/>
      <c r="H41" s="559">
        <f>IFERROR(__xludf.DUMMYFUNCTION("""COMPUTED_VALUE"""),77.0)</f>
        <v>77</v>
      </c>
      <c r="I41" s="559">
        <f>IFERROR(__xludf.DUMMYFUNCTION("""COMPUTED_VALUE"""),77.0)</f>
        <v>77</v>
      </c>
      <c r="J41" s="559">
        <f>IFERROR(__xludf.DUMMYFUNCTION("""COMPUTED_VALUE"""),3.0)</f>
        <v>3</v>
      </c>
      <c r="K41" s="559">
        <f>IFERROR(__xludf.DUMMYFUNCTION("""COMPUTED_VALUE"""),6.0)</f>
        <v>6</v>
      </c>
      <c r="L41" s="560">
        <f>IFERROR(__xludf.DUMMYFUNCTION("""COMPUTED_VALUE"""),20.0)</f>
        <v>20</v>
      </c>
      <c r="M41" s="561">
        <f>IFERROR(__xludf.DUMMYFUNCTION("""COMPUTED_VALUE"""),0.0)</f>
        <v>0</v>
      </c>
      <c r="N41" s="561">
        <f>IFERROR(__xludf.DUMMYFUNCTION("""COMPUTED_VALUE"""),0.0)</f>
        <v>0</v>
      </c>
      <c r="O41" s="560"/>
      <c r="P41" s="562">
        <f>IFERROR(__xludf.DUMMYFUNCTION("""COMPUTED_VALUE"""),0.0)</f>
        <v>0</v>
      </c>
      <c r="Q41" s="562">
        <f>IFERROR(__xludf.DUMMYFUNCTION("""COMPUTED_VALUE"""),0.0)</f>
        <v>0</v>
      </c>
      <c r="R41" s="562">
        <f>IFERROR(__xludf.DUMMYFUNCTION("""COMPUTED_VALUE"""),0.0)</f>
        <v>0</v>
      </c>
      <c r="S41" s="562"/>
      <c r="T41" s="217">
        <f>IFERROR(__xludf.DUMMYFUNCTION("""COMPUTED_VALUE"""),20.0)</f>
        <v>20</v>
      </c>
      <c r="U41" s="217">
        <f>IFERROR(__xludf.DUMMYFUNCTION("""COMPUTED_VALUE"""),20.0)</f>
        <v>20</v>
      </c>
      <c r="V41" s="217"/>
      <c r="W41" s="217"/>
      <c r="X41" s="217"/>
      <c r="Y41" s="217"/>
      <c r="Z41" s="217"/>
      <c r="AA41" s="481">
        <f>IFERROR(__xludf.DUMMYFUNCTION("""COMPUTED_VALUE"""),0.0)</f>
        <v>0</v>
      </c>
      <c r="AB41" s="481">
        <f>IFERROR(__xludf.DUMMYFUNCTION("""COMPUTED_VALUE"""),78.75)</f>
        <v>78.75</v>
      </c>
      <c r="AC41" s="481">
        <f>IFERROR(__xludf.DUMMYFUNCTION("""COMPUTED_VALUE"""),0.0)</f>
        <v>0</v>
      </c>
      <c r="AD41" s="481">
        <f>IFERROR(__xludf.DUMMYFUNCTION("""COMPUTED_VALUE"""),0.0)</f>
        <v>0</v>
      </c>
      <c r="AE41" s="481">
        <f>IFERROR(__xludf.DUMMYFUNCTION("""COMPUTED_VALUE"""),10.0)</f>
        <v>10</v>
      </c>
      <c r="AF41" s="481"/>
      <c r="AG41" s="481">
        <f>IFERROR(__xludf.DUMMYFUNCTION("""COMPUTED_VALUE"""),0.0)</f>
        <v>0</v>
      </c>
      <c r="AH41" s="481"/>
      <c r="AI41" s="158"/>
      <c r="AJ41" s="158"/>
      <c r="AK41" s="133">
        <f>IFERROR(__xludf.DUMMYFUNCTION("""COMPUTED_VALUE"""),2.0)</f>
        <v>2</v>
      </c>
      <c r="AL41" s="133">
        <f>IFERROR(__xludf.DUMMYFUNCTION("""COMPUTED_VALUE"""),0.0)</f>
        <v>0</v>
      </c>
      <c r="AM41" s="133">
        <f>IFERROR(__xludf.DUMMYFUNCTION("""COMPUTED_VALUE"""),2.0)</f>
        <v>2</v>
      </c>
      <c r="AN41" s="133" t="str">
        <f>IFERROR(__xludf.DUMMYFUNCTION("""COMPUTED_VALUE"""),"2")</f>
        <v>2</v>
      </c>
      <c r="AO41" s="133">
        <f>IFERROR(__xludf.DUMMYFUNCTION("""COMPUTED_VALUE"""),0.0)</f>
        <v>0</v>
      </c>
      <c r="AP41" s="155" t="s">
        <v>2461</v>
      </c>
    </row>
    <row r="42">
      <c r="A42" s="555">
        <f>IFERROR(__xludf.DUMMYFUNCTION("""COMPUTED_VALUE"""),38.0)</f>
        <v>38</v>
      </c>
      <c r="B42" s="555" t="str">
        <f>IFERROR(__xludf.DUMMYFUNCTION("""COMPUTED_VALUE"""),"aywa23cs@cmrit.ac.in")</f>
        <v>aywa23cs@cmrit.ac.in</v>
      </c>
      <c r="C42" s="174" t="str">
        <f>IFERROR(__xludf.DUMMYFUNCTION("""COMPUTED_VALUE"""),"AYAN JAVEED WATT")</f>
        <v>AYAN JAVEED WATT</v>
      </c>
      <c r="D42" s="261" t="str">
        <f>IFERROR(__xludf.DUMMYFUNCTION("""COMPUTED_VALUE"""),"1CR23CS040")</f>
        <v>1CR23CS040</v>
      </c>
      <c r="E42" s="563">
        <f>IFERROR(__xludf.DUMMYFUNCTION("""COMPUTED_VALUE"""),7.676603265E9)</f>
        <v>7676603265</v>
      </c>
      <c r="F42" s="155" t="str">
        <f>IFERROR(__xludf.DUMMYFUNCTION("""COMPUTED_VALUE"""),"CSE")</f>
        <v>CSE</v>
      </c>
      <c r="G42" s="158"/>
      <c r="H42" s="559">
        <f>IFERROR(__xludf.DUMMYFUNCTION("""COMPUTED_VALUE"""),76.0)</f>
        <v>76</v>
      </c>
      <c r="I42" s="559">
        <f>IFERROR(__xludf.DUMMYFUNCTION("""COMPUTED_VALUE"""),67.0)</f>
        <v>67</v>
      </c>
      <c r="J42" s="559">
        <f>IFERROR(__xludf.DUMMYFUNCTION("""COMPUTED_VALUE"""),47.0)</f>
        <v>47</v>
      </c>
      <c r="K42" s="559">
        <f>IFERROR(__xludf.DUMMYFUNCTION("""COMPUTED_VALUE"""),40.0)</f>
        <v>40</v>
      </c>
      <c r="L42" s="560">
        <f>IFERROR(__xludf.DUMMYFUNCTION("""COMPUTED_VALUE"""),50.0)</f>
        <v>50</v>
      </c>
      <c r="M42" s="561">
        <f>IFERROR(__xludf.DUMMYFUNCTION("""COMPUTED_VALUE"""),26.0)</f>
        <v>26</v>
      </c>
      <c r="N42" s="561">
        <f>IFERROR(__xludf.DUMMYFUNCTION("""COMPUTED_VALUE"""),0.0)</f>
        <v>0</v>
      </c>
      <c r="O42" s="560"/>
      <c r="P42" s="562">
        <f>IFERROR(__xludf.DUMMYFUNCTION("""COMPUTED_VALUE"""),0.0)</f>
        <v>0</v>
      </c>
      <c r="Q42" s="562">
        <f>IFERROR(__xludf.DUMMYFUNCTION("""COMPUTED_VALUE"""),50.0)</f>
        <v>50</v>
      </c>
      <c r="R42" s="562">
        <f>IFERROR(__xludf.DUMMYFUNCTION("""COMPUTED_VALUE"""),0.0)</f>
        <v>0</v>
      </c>
      <c r="S42" s="562"/>
      <c r="T42" s="217">
        <f>IFERROR(__xludf.DUMMYFUNCTION("""COMPUTED_VALUE"""),20.0)</f>
        <v>20</v>
      </c>
      <c r="U42" s="217">
        <f>IFERROR(__xludf.DUMMYFUNCTION("""COMPUTED_VALUE"""),16.0)</f>
        <v>16</v>
      </c>
      <c r="V42" s="217">
        <f>IFERROR(__xludf.DUMMYFUNCTION("""COMPUTED_VALUE"""),76.0)</f>
        <v>76</v>
      </c>
      <c r="W42" s="217">
        <f>IFERROR(__xludf.DUMMYFUNCTION("""COMPUTED_VALUE"""),36.0)</f>
        <v>36</v>
      </c>
      <c r="X42" s="217"/>
      <c r="Y42" s="217"/>
      <c r="Z42" s="217"/>
      <c r="AA42" s="481">
        <f>IFERROR(__xludf.DUMMYFUNCTION("""COMPUTED_VALUE"""),0.0)</f>
        <v>0</v>
      </c>
      <c r="AB42" s="481">
        <f>IFERROR(__xludf.DUMMYFUNCTION("""COMPUTED_VALUE"""),65.0)</f>
        <v>65</v>
      </c>
      <c r="AC42" s="481">
        <f>IFERROR(__xludf.DUMMYFUNCTION("""COMPUTED_VALUE"""),21.0)</f>
        <v>21</v>
      </c>
      <c r="AD42" s="481">
        <f>IFERROR(__xludf.DUMMYFUNCTION("""COMPUTED_VALUE"""),100.0)</f>
        <v>100</v>
      </c>
      <c r="AE42" s="481">
        <f>IFERROR(__xludf.DUMMYFUNCTION("""COMPUTED_VALUE"""),15.0)</f>
        <v>15</v>
      </c>
      <c r="AF42" s="481"/>
      <c r="AG42" s="481">
        <f>IFERROR(__xludf.DUMMYFUNCTION("""COMPUTED_VALUE"""),0.0)</f>
        <v>0</v>
      </c>
      <c r="AH42" s="481"/>
      <c r="AI42" s="158"/>
      <c r="AJ42" s="158"/>
      <c r="AK42" s="133">
        <f>IFERROR(__xludf.DUMMYFUNCTION("""COMPUTED_VALUE"""),2.0)</f>
        <v>2</v>
      </c>
      <c r="AL42" s="133">
        <f>IFERROR(__xludf.DUMMYFUNCTION("""COMPUTED_VALUE"""),1.0)</f>
        <v>1</v>
      </c>
      <c r="AM42" s="133">
        <f>IFERROR(__xludf.DUMMYFUNCTION("""COMPUTED_VALUE"""),2.0)</f>
        <v>2</v>
      </c>
      <c r="AN42" s="133" t="str">
        <f>IFERROR(__xludf.DUMMYFUNCTION("""COMPUTED_VALUE"""),"3")</f>
        <v>3</v>
      </c>
      <c r="AO42" s="133">
        <f>IFERROR(__xludf.DUMMYFUNCTION("""COMPUTED_VALUE"""),0.0)</f>
        <v>0</v>
      </c>
      <c r="AP42" s="155" t="s">
        <v>2461</v>
      </c>
    </row>
    <row r="43">
      <c r="A43" s="555">
        <f>IFERROR(__xludf.DUMMYFUNCTION("""COMPUTED_VALUE"""),39.0)</f>
        <v>39</v>
      </c>
      <c r="B43" s="555" t="str">
        <f>IFERROR(__xludf.DUMMYFUNCTION("""COMPUTED_VALUE"""),"bkra23cs@cmrit.ac.in")</f>
        <v>bkra23cs@cmrit.ac.in</v>
      </c>
      <c r="C43" s="564" t="str">
        <f>IFERROR(__xludf.DUMMYFUNCTION("""COMPUTED_VALUE"""),"B K RAKSHITA")</f>
        <v>B K RAKSHITA</v>
      </c>
      <c r="D43" s="261" t="str">
        <f>IFERROR(__xludf.DUMMYFUNCTION("""COMPUTED_VALUE"""),"1CR23CS041")</f>
        <v>1CR23CS041</v>
      </c>
      <c r="E43" s="563">
        <f>IFERROR(__xludf.DUMMYFUNCTION("""COMPUTED_VALUE"""),9.113031549E9)</f>
        <v>9113031549</v>
      </c>
      <c r="F43" s="155" t="str">
        <f>IFERROR(__xludf.DUMMYFUNCTION("""COMPUTED_VALUE"""),"CSE")</f>
        <v>CSE</v>
      </c>
      <c r="G43" s="158"/>
      <c r="H43" s="559">
        <f>IFERROR(__xludf.DUMMYFUNCTION("""COMPUTED_VALUE"""),82.0)</f>
        <v>82</v>
      </c>
      <c r="I43" s="559">
        <f>IFERROR(__xludf.DUMMYFUNCTION("""COMPUTED_VALUE"""),93.0)</f>
        <v>93</v>
      </c>
      <c r="J43" s="559">
        <f>IFERROR(__xludf.DUMMYFUNCTION("""COMPUTED_VALUE"""),82.0)</f>
        <v>82</v>
      </c>
      <c r="K43" s="559">
        <f>IFERROR(__xludf.DUMMYFUNCTION("""COMPUTED_VALUE"""),81.0)</f>
        <v>81</v>
      </c>
      <c r="L43" s="560">
        <f>IFERROR(__xludf.DUMMYFUNCTION("""COMPUTED_VALUE"""),64.0)</f>
        <v>64</v>
      </c>
      <c r="M43" s="561">
        <f>IFERROR(__xludf.DUMMYFUNCTION("""COMPUTED_VALUE"""),23.0)</f>
        <v>23</v>
      </c>
      <c r="N43" s="561">
        <f>IFERROR(__xludf.DUMMYFUNCTION("""COMPUTED_VALUE"""),50.0)</f>
        <v>50</v>
      </c>
      <c r="O43" s="560"/>
      <c r="P43" s="562">
        <f>IFERROR(__xludf.DUMMYFUNCTION("""COMPUTED_VALUE"""),76.0)</f>
        <v>76</v>
      </c>
      <c r="Q43" s="562">
        <f>IFERROR(__xludf.DUMMYFUNCTION("""COMPUTED_VALUE"""),90.0)</f>
        <v>90</v>
      </c>
      <c r="R43" s="562">
        <f>IFERROR(__xludf.DUMMYFUNCTION("""COMPUTED_VALUE"""),93.0)</f>
        <v>93</v>
      </c>
      <c r="S43" s="562"/>
      <c r="T43" s="217">
        <f>IFERROR(__xludf.DUMMYFUNCTION("""COMPUTED_VALUE"""),14.0)</f>
        <v>14</v>
      </c>
      <c r="U43" s="217">
        <f>IFERROR(__xludf.DUMMYFUNCTION("""COMPUTED_VALUE"""),14.0)</f>
        <v>14</v>
      </c>
      <c r="V43" s="217">
        <f>IFERROR(__xludf.DUMMYFUNCTION("""COMPUTED_VALUE"""),60.0)</f>
        <v>60</v>
      </c>
      <c r="W43" s="217">
        <f>IFERROR(__xludf.DUMMYFUNCTION("""COMPUTED_VALUE"""),52.0)</f>
        <v>52</v>
      </c>
      <c r="X43" s="217">
        <f>IFERROR(__xludf.DUMMYFUNCTION("""COMPUTED_VALUE"""),66.0)</f>
        <v>66</v>
      </c>
      <c r="Y43" s="217"/>
      <c r="Z43" s="217"/>
      <c r="AA43" s="481">
        <f>IFERROR(__xludf.DUMMYFUNCTION("""COMPUTED_VALUE"""),93.4)</f>
        <v>93.4</v>
      </c>
      <c r="AB43" s="481">
        <f>IFERROR(__xludf.DUMMYFUNCTION("""COMPUTED_VALUE"""),100.0)</f>
        <v>100</v>
      </c>
      <c r="AC43" s="481">
        <f>IFERROR(__xludf.DUMMYFUNCTION("""COMPUTED_VALUE"""),98.0)</f>
        <v>98</v>
      </c>
      <c r="AD43" s="481">
        <f>IFERROR(__xludf.DUMMYFUNCTION("""COMPUTED_VALUE"""),60.0)</f>
        <v>60</v>
      </c>
      <c r="AE43" s="481">
        <f>IFERROR(__xludf.DUMMYFUNCTION("""COMPUTED_VALUE"""),90.0)</f>
        <v>90</v>
      </c>
      <c r="AF43" s="481"/>
      <c r="AG43" s="481">
        <f>IFERROR(__xludf.DUMMYFUNCTION("""COMPUTED_VALUE"""),70.0)</f>
        <v>70</v>
      </c>
      <c r="AH43" s="481"/>
      <c r="AI43" s="158"/>
      <c r="AJ43" s="158"/>
      <c r="AK43" s="133">
        <f>IFERROR(__xludf.DUMMYFUNCTION("""COMPUTED_VALUE"""),4.0)</f>
        <v>4</v>
      </c>
      <c r="AL43" s="133">
        <f>IFERROR(__xludf.DUMMYFUNCTION("""COMPUTED_VALUE"""),1.0)</f>
        <v>1</v>
      </c>
      <c r="AM43" s="133">
        <f>IFERROR(__xludf.DUMMYFUNCTION("""COMPUTED_VALUE"""),3.0)</f>
        <v>3</v>
      </c>
      <c r="AN43" s="133" t="str">
        <f>IFERROR(__xludf.DUMMYFUNCTION("""COMPUTED_VALUE"""),"3.5")</f>
        <v>3.5</v>
      </c>
      <c r="AO43" s="133">
        <f>IFERROR(__xludf.DUMMYFUNCTION("""COMPUTED_VALUE"""),3.0)</f>
        <v>3</v>
      </c>
      <c r="AP43" s="155" t="s">
        <v>2461</v>
      </c>
    </row>
    <row r="44">
      <c r="A44" s="555">
        <f>IFERROR(__xludf.DUMMYFUNCTION("""COMPUTED_VALUE"""),40.0)</f>
        <v>40</v>
      </c>
      <c r="B44" s="555" t="str">
        <f>IFERROR(__xludf.DUMMYFUNCTION("""COMPUTED_VALUE"""),"bka23cs@cmrit.ac.in")</f>
        <v>bka23cs@cmrit.ac.in</v>
      </c>
      <c r="C44" s="174" t="str">
        <f>IFERROR(__xludf.DUMMYFUNCTION("""COMPUTED_VALUE"""),"B Karna")</f>
        <v>B Karna</v>
      </c>
      <c r="D44" s="261" t="str">
        <f>IFERROR(__xludf.DUMMYFUNCTION("""COMPUTED_VALUE"""),"1CR23CS042")</f>
        <v>1CR23CS042</v>
      </c>
      <c r="E44" s="563">
        <f>IFERROR(__xludf.DUMMYFUNCTION("""COMPUTED_VALUE"""),9.866290733E9)</f>
        <v>9866290733</v>
      </c>
      <c r="F44" s="155" t="str">
        <f>IFERROR(__xludf.DUMMYFUNCTION("""COMPUTED_VALUE"""),"CSE")</f>
        <v>CSE</v>
      </c>
      <c r="G44" s="158"/>
      <c r="H44" s="559">
        <f>IFERROR(__xludf.DUMMYFUNCTION("""COMPUTED_VALUE"""),78.0)</f>
        <v>78</v>
      </c>
      <c r="I44" s="559">
        <f>IFERROR(__xludf.DUMMYFUNCTION("""COMPUTED_VALUE"""),72.0)</f>
        <v>72</v>
      </c>
      <c r="J44" s="559">
        <f>IFERROR(__xludf.DUMMYFUNCTION("""COMPUTED_VALUE"""),70.0)</f>
        <v>70</v>
      </c>
      <c r="K44" s="559">
        <f>IFERROR(__xludf.DUMMYFUNCTION("""COMPUTED_VALUE"""),76.0)</f>
        <v>76</v>
      </c>
      <c r="L44" s="560">
        <f>IFERROR(__xludf.DUMMYFUNCTION("""COMPUTED_VALUE"""),50.0)</f>
        <v>50</v>
      </c>
      <c r="M44" s="561">
        <f>IFERROR(__xludf.DUMMYFUNCTION("""COMPUTED_VALUE"""),20.0)</f>
        <v>20</v>
      </c>
      <c r="N44" s="561">
        <f>IFERROR(__xludf.DUMMYFUNCTION("""COMPUTED_VALUE"""),50.0)</f>
        <v>50</v>
      </c>
      <c r="O44" s="560"/>
      <c r="P44" s="562">
        <f>IFERROR(__xludf.DUMMYFUNCTION("""COMPUTED_VALUE"""),50.0)</f>
        <v>50</v>
      </c>
      <c r="Q44" s="562">
        <f>IFERROR(__xludf.DUMMYFUNCTION("""COMPUTED_VALUE"""),65.0)</f>
        <v>65</v>
      </c>
      <c r="R44" s="562">
        <f>IFERROR(__xludf.DUMMYFUNCTION("""COMPUTED_VALUE"""),67.0)</f>
        <v>67</v>
      </c>
      <c r="S44" s="562"/>
      <c r="T44" s="217">
        <f>IFERROR(__xludf.DUMMYFUNCTION("""COMPUTED_VALUE"""),12.0)</f>
        <v>12</v>
      </c>
      <c r="U44" s="217">
        <f>IFERROR(__xludf.DUMMYFUNCTION("""COMPUTED_VALUE"""),20.0)</f>
        <v>20</v>
      </c>
      <c r="V44" s="217">
        <f>IFERROR(__xludf.DUMMYFUNCTION("""COMPUTED_VALUE"""),64.0)</f>
        <v>64</v>
      </c>
      <c r="W44" s="217">
        <f>IFERROR(__xludf.DUMMYFUNCTION("""COMPUTED_VALUE"""),60.0)</f>
        <v>60</v>
      </c>
      <c r="X44" s="217">
        <f>IFERROR(__xludf.DUMMYFUNCTION("""COMPUTED_VALUE"""),90.0)</f>
        <v>90</v>
      </c>
      <c r="Y44" s="217"/>
      <c r="Z44" s="217"/>
      <c r="AA44" s="481">
        <f>IFERROR(__xludf.DUMMYFUNCTION("""COMPUTED_VALUE"""),100.0)</f>
        <v>100</v>
      </c>
      <c r="AB44" s="481">
        <f>IFERROR(__xludf.DUMMYFUNCTION("""COMPUTED_VALUE"""),72.0)</f>
        <v>72</v>
      </c>
      <c r="AC44" s="481">
        <f>IFERROR(__xludf.DUMMYFUNCTION("""COMPUTED_VALUE"""),60.0)</f>
        <v>60</v>
      </c>
      <c r="AD44" s="481">
        <f>IFERROR(__xludf.DUMMYFUNCTION("""COMPUTED_VALUE"""),100.0)</f>
        <v>100</v>
      </c>
      <c r="AE44" s="481">
        <f>IFERROR(__xludf.DUMMYFUNCTION("""COMPUTED_VALUE"""),100.0)</f>
        <v>100</v>
      </c>
      <c r="AF44" s="481"/>
      <c r="AG44" s="481">
        <f>IFERROR(__xludf.DUMMYFUNCTION("""COMPUTED_VALUE"""),70.0)</f>
        <v>70</v>
      </c>
      <c r="AH44" s="481"/>
      <c r="AI44" s="158"/>
      <c r="AJ44" s="158"/>
      <c r="AK44" s="133">
        <f>IFERROR(__xludf.DUMMYFUNCTION("""COMPUTED_VALUE"""),4.0)</f>
        <v>4</v>
      </c>
      <c r="AL44" s="133">
        <f>IFERROR(__xludf.DUMMYFUNCTION("""COMPUTED_VALUE"""),1.0)</f>
        <v>1</v>
      </c>
      <c r="AM44" s="133">
        <f>IFERROR(__xludf.DUMMYFUNCTION("""COMPUTED_VALUE"""),3.0)</f>
        <v>3</v>
      </c>
      <c r="AN44" s="133" t="str">
        <f>IFERROR(__xludf.DUMMYFUNCTION("""COMPUTED_VALUE"""),"3.5")</f>
        <v>3.5</v>
      </c>
      <c r="AO44" s="133">
        <f>IFERROR(__xludf.DUMMYFUNCTION("""COMPUTED_VALUE"""),3.0)</f>
        <v>3</v>
      </c>
      <c r="AP44" s="155" t="s">
        <v>2461</v>
      </c>
    </row>
    <row r="45">
      <c r="A45" s="555">
        <f>IFERROR(__xludf.DUMMYFUNCTION("""COMPUTED_VALUE"""),41.0)</f>
        <v>41</v>
      </c>
      <c r="B45" s="555" t="str">
        <f>IFERROR(__xludf.DUMMYFUNCTION("""COMPUTED_VALUE"""),"bama23cs@cmrit.ac.in")</f>
        <v>bama23cs@cmrit.ac.in</v>
      </c>
      <c r="C45" s="172" t="str">
        <f>IFERROR(__xludf.DUMMYFUNCTION("""COMPUTED_VALUE"""),"BACHU MAHITA")</f>
        <v>BACHU MAHITA</v>
      </c>
      <c r="D45" s="261" t="str">
        <f>IFERROR(__xludf.DUMMYFUNCTION("""COMPUTED_VALUE"""),"1CR23CS043")</f>
        <v>1CR23CS043</v>
      </c>
      <c r="E45" s="563">
        <f>IFERROR(__xludf.DUMMYFUNCTION("""COMPUTED_VALUE"""),8.07338051E9)</f>
        <v>8073380510</v>
      </c>
      <c r="F45" s="155" t="str">
        <f>IFERROR(__xludf.DUMMYFUNCTION("""COMPUTED_VALUE"""),"CSE")</f>
        <v>CSE</v>
      </c>
      <c r="G45" s="158"/>
      <c r="H45" s="559">
        <f>IFERROR(__xludf.DUMMYFUNCTION("""COMPUTED_VALUE"""),88.0)</f>
        <v>88</v>
      </c>
      <c r="I45" s="559">
        <f>IFERROR(__xludf.DUMMYFUNCTION("""COMPUTED_VALUE"""),88.0)</f>
        <v>88</v>
      </c>
      <c r="J45" s="559">
        <f>IFERROR(__xludf.DUMMYFUNCTION("""COMPUTED_VALUE"""),86.0)</f>
        <v>86</v>
      </c>
      <c r="K45" s="559">
        <f>IFERROR(__xludf.DUMMYFUNCTION("""COMPUTED_VALUE"""),88.0)</f>
        <v>88</v>
      </c>
      <c r="L45" s="560">
        <f>IFERROR(__xludf.DUMMYFUNCTION("""COMPUTED_VALUE"""),60.0)</f>
        <v>60</v>
      </c>
      <c r="M45" s="561">
        <f>IFERROR(__xludf.DUMMYFUNCTION("""COMPUTED_VALUE"""),14.0)</f>
        <v>14</v>
      </c>
      <c r="N45" s="561">
        <f>IFERROR(__xludf.DUMMYFUNCTION("""COMPUTED_VALUE"""),50.0)</f>
        <v>50</v>
      </c>
      <c r="O45" s="560"/>
      <c r="P45" s="562">
        <f>IFERROR(__xludf.DUMMYFUNCTION("""COMPUTED_VALUE"""),87.0)</f>
        <v>87</v>
      </c>
      <c r="Q45" s="562">
        <f>IFERROR(__xludf.DUMMYFUNCTION("""COMPUTED_VALUE"""),90.0)</f>
        <v>90</v>
      </c>
      <c r="R45" s="562">
        <f>IFERROR(__xludf.DUMMYFUNCTION("""COMPUTED_VALUE"""),94.0)</f>
        <v>94</v>
      </c>
      <c r="S45" s="562"/>
      <c r="T45" s="217">
        <f>IFERROR(__xludf.DUMMYFUNCTION("""COMPUTED_VALUE"""),12.0)</f>
        <v>12</v>
      </c>
      <c r="U45" s="217">
        <f>IFERROR(__xludf.DUMMYFUNCTION("""COMPUTED_VALUE"""),20.0)</f>
        <v>20</v>
      </c>
      <c r="V45" s="217">
        <f>IFERROR(__xludf.DUMMYFUNCTION("""COMPUTED_VALUE"""),56.0)</f>
        <v>56</v>
      </c>
      <c r="W45" s="217">
        <f>IFERROR(__xludf.DUMMYFUNCTION("""COMPUTED_VALUE"""),56.0)</f>
        <v>56</v>
      </c>
      <c r="X45" s="217">
        <f>IFERROR(__xludf.DUMMYFUNCTION("""COMPUTED_VALUE"""),86.0)</f>
        <v>86</v>
      </c>
      <c r="Y45" s="217"/>
      <c r="Z45" s="217"/>
      <c r="AA45" s="481">
        <f>IFERROR(__xludf.DUMMYFUNCTION("""COMPUTED_VALUE"""),86.0)</f>
        <v>86</v>
      </c>
      <c r="AB45" s="481">
        <f>IFERROR(__xludf.DUMMYFUNCTION("""COMPUTED_VALUE"""),92.5)</f>
        <v>92.5</v>
      </c>
      <c r="AC45" s="481">
        <f>IFERROR(__xludf.DUMMYFUNCTION("""COMPUTED_VALUE"""),64.0)</f>
        <v>64</v>
      </c>
      <c r="AD45" s="481">
        <f>IFERROR(__xludf.DUMMYFUNCTION("""COMPUTED_VALUE"""),100.0)</f>
        <v>100</v>
      </c>
      <c r="AE45" s="481">
        <f>IFERROR(__xludf.DUMMYFUNCTION("""COMPUTED_VALUE"""),76.0)</f>
        <v>76</v>
      </c>
      <c r="AF45" s="481"/>
      <c r="AG45" s="481">
        <f>IFERROR(__xludf.DUMMYFUNCTION("""COMPUTED_VALUE"""),71.0)</f>
        <v>71</v>
      </c>
      <c r="AH45" s="481"/>
      <c r="AI45" s="158"/>
      <c r="AJ45" s="158"/>
      <c r="AK45" s="133">
        <f>IFERROR(__xludf.DUMMYFUNCTION("""COMPUTED_VALUE"""),4.0)</f>
        <v>4</v>
      </c>
      <c r="AL45" s="133">
        <f>IFERROR(__xludf.DUMMYFUNCTION("""COMPUTED_VALUE"""),1.0)</f>
        <v>1</v>
      </c>
      <c r="AM45" s="133">
        <f>IFERROR(__xludf.DUMMYFUNCTION("""COMPUTED_VALUE"""),3.0)</f>
        <v>3</v>
      </c>
      <c r="AN45" s="133" t="str">
        <f>IFERROR(__xludf.DUMMYFUNCTION("""COMPUTED_VALUE"""),"3.5")</f>
        <v>3.5</v>
      </c>
      <c r="AO45" s="133">
        <f>IFERROR(__xludf.DUMMYFUNCTION("""COMPUTED_VALUE"""),3.0)</f>
        <v>3</v>
      </c>
      <c r="AP45" s="155" t="s">
        <v>2461</v>
      </c>
    </row>
    <row r="46">
      <c r="A46" s="555">
        <f>IFERROR(__xludf.DUMMYFUNCTION("""COMPUTED_VALUE"""),42.0)</f>
        <v>42</v>
      </c>
      <c r="B46" s="555" t="str">
        <f>IFERROR(__xludf.DUMMYFUNCTION("""COMPUTED_VALUE"""),"bhya23cs@cmrit.ac.in")</f>
        <v>bhya23cs@cmrit.ac.in</v>
      </c>
      <c r="C46" s="172" t="str">
        <f>IFERROR(__xludf.DUMMYFUNCTION("""COMPUTED_VALUE"""),"Bhola Yadav")</f>
        <v>Bhola Yadav</v>
      </c>
      <c r="D46" s="261" t="str">
        <f>IFERROR(__xludf.DUMMYFUNCTION("""COMPUTED_VALUE"""),"1CR23CS044")</f>
        <v>1CR23CS044</v>
      </c>
      <c r="E46" s="563">
        <f>IFERROR(__xludf.DUMMYFUNCTION("""COMPUTED_VALUE"""),9.198709984E9)</f>
        <v>9198709984</v>
      </c>
      <c r="F46" s="155" t="str">
        <f>IFERROR(__xludf.DUMMYFUNCTION("""COMPUTED_VALUE"""),"CSE")</f>
        <v>CSE</v>
      </c>
      <c r="G46" s="158"/>
      <c r="H46" s="559">
        <f>IFERROR(__xludf.DUMMYFUNCTION("""COMPUTED_VALUE"""),70.0)</f>
        <v>70</v>
      </c>
      <c r="I46" s="559">
        <f>IFERROR(__xludf.DUMMYFUNCTION("""COMPUTED_VALUE"""),71.0)</f>
        <v>71</v>
      </c>
      <c r="J46" s="559">
        <f>IFERROR(__xludf.DUMMYFUNCTION("""COMPUTED_VALUE"""),70.0)</f>
        <v>70</v>
      </c>
      <c r="K46" s="559">
        <f>IFERROR(__xludf.DUMMYFUNCTION("""COMPUTED_VALUE"""),70.0)</f>
        <v>70</v>
      </c>
      <c r="L46" s="560">
        <f>IFERROR(__xludf.DUMMYFUNCTION("""COMPUTED_VALUE"""),50.0)</f>
        <v>50</v>
      </c>
      <c r="M46" s="561">
        <f>IFERROR(__xludf.DUMMYFUNCTION("""COMPUTED_VALUE"""),13.0)</f>
        <v>13</v>
      </c>
      <c r="N46" s="561">
        <f>IFERROR(__xludf.DUMMYFUNCTION("""COMPUTED_VALUE"""),4.0)</f>
        <v>4</v>
      </c>
      <c r="O46" s="560"/>
      <c r="P46" s="562">
        <f>IFERROR(__xludf.DUMMYFUNCTION("""COMPUTED_VALUE"""),72.0)</f>
        <v>72</v>
      </c>
      <c r="Q46" s="562">
        <f>IFERROR(__xludf.DUMMYFUNCTION("""COMPUTED_VALUE"""),50.0)</f>
        <v>50</v>
      </c>
      <c r="R46" s="562">
        <f>IFERROR(__xludf.DUMMYFUNCTION("""COMPUTED_VALUE"""),88.0)</f>
        <v>88</v>
      </c>
      <c r="S46" s="562"/>
      <c r="T46" s="217">
        <f>IFERROR(__xludf.DUMMYFUNCTION("""COMPUTED_VALUE"""),19.0)</f>
        <v>19</v>
      </c>
      <c r="U46" s="217">
        <f>IFERROR(__xludf.DUMMYFUNCTION("""COMPUTED_VALUE"""),15.0)</f>
        <v>15</v>
      </c>
      <c r="V46" s="217">
        <f>IFERROR(__xludf.DUMMYFUNCTION("""COMPUTED_VALUE"""),80.0)</f>
        <v>80</v>
      </c>
      <c r="W46" s="217">
        <f>IFERROR(__xludf.DUMMYFUNCTION("""COMPUTED_VALUE"""),32.0)</f>
        <v>32</v>
      </c>
      <c r="X46" s="217">
        <f>IFERROR(__xludf.DUMMYFUNCTION("""COMPUTED_VALUE"""),90.0)</f>
        <v>90</v>
      </c>
      <c r="Y46" s="217"/>
      <c r="Z46" s="217"/>
      <c r="AA46" s="481">
        <f>IFERROR(__xludf.DUMMYFUNCTION("""COMPUTED_VALUE"""),100.0)</f>
        <v>100</v>
      </c>
      <c r="AB46" s="481">
        <f>IFERROR(__xludf.DUMMYFUNCTION("""COMPUTED_VALUE"""),67.5)</f>
        <v>67.5</v>
      </c>
      <c r="AC46" s="481">
        <f>IFERROR(__xludf.DUMMYFUNCTION("""COMPUTED_VALUE"""),80.0)</f>
        <v>80</v>
      </c>
      <c r="AD46" s="481">
        <f>IFERROR(__xludf.DUMMYFUNCTION("""COMPUTED_VALUE"""),100.0)</f>
        <v>100</v>
      </c>
      <c r="AE46" s="481">
        <f>IFERROR(__xludf.DUMMYFUNCTION("""COMPUTED_VALUE"""),20.0)</f>
        <v>20</v>
      </c>
      <c r="AF46" s="481"/>
      <c r="AG46" s="481">
        <f>IFERROR(__xludf.DUMMYFUNCTION("""COMPUTED_VALUE"""),37.0)</f>
        <v>37</v>
      </c>
      <c r="AH46" s="481"/>
      <c r="AI46" s="158"/>
      <c r="AJ46" s="158"/>
      <c r="AK46" s="133">
        <f>IFERROR(__xludf.DUMMYFUNCTION("""COMPUTED_VALUE"""),4.0)</f>
        <v>4</v>
      </c>
      <c r="AL46" s="133">
        <f>IFERROR(__xludf.DUMMYFUNCTION("""COMPUTED_VALUE"""),1.0)</f>
        <v>1</v>
      </c>
      <c r="AM46" s="133">
        <f>IFERROR(__xludf.DUMMYFUNCTION("""COMPUTED_VALUE"""),2.0)</f>
        <v>2</v>
      </c>
      <c r="AN46" s="133" t="str">
        <f>IFERROR(__xludf.DUMMYFUNCTION("""COMPUTED_VALUE"""),"3")</f>
        <v>3</v>
      </c>
      <c r="AO46" s="133">
        <f>IFERROR(__xludf.DUMMYFUNCTION("""COMPUTED_VALUE"""),3.0)</f>
        <v>3</v>
      </c>
      <c r="AP46" s="155" t="s">
        <v>2461</v>
      </c>
    </row>
    <row r="47">
      <c r="A47" s="555">
        <f>IFERROR(__xludf.DUMMYFUNCTION("""COMPUTED_VALUE"""),43.0)</f>
        <v>43</v>
      </c>
      <c r="B47" s="555" t="str">
        <f>IFERROR(__xludf.DUMMYFUNCTION("""COMPUTED_VALUE"""),"bide23cs@cmrit.ac.in")</f>
        <v>bide23cs@cmrit.ac.in</v>
      </c>
      <c r="C47" s="172" t="str">
        <f>IFERROR(__xludf.DUMMYFUNCTION("""COMPUTED_VALUE"""),"BIKASHITA DEB")</f>
        <v>BIKASHITA DEB</v>
      </c>
      <c r="D47" s="261" t="str">
        <f>IFERROR(__xludf.DUMMYFUNCTION("""COMPUTED_VALUE"""),"1CR23CS045")</f>
        <v>1CR23CS045</v>
      </c>
      <c r="E47" s="563">
        <f>IFERROR(__xludf.DUMMYFUNCTION("""COMPUTED_VALUE"""),8.837275757E9)</f>
        <v>8837275757</v>
      </c>
      <c r="F47" s="155" t="str">
        <f>IFERROR(__xludf.DUMMYFUNCTION("""COMPUTED_VALUE"""),"CSE")</f>
        <v>CSE</v>
      </c>
      <c r="G47" s="158"/>
      <c r="H47" s="559">
        <f>IFERROR(__xludf.DUMMYFUNCTION("""COMPUTED_VALUE"""),82.0)</f>
        <v>82</v>
      </c>
      <c r="I47" s="559">
        <f>IFERROR(__xludf.DUMMYFUNCTION("""COMPUTED_VALUE"""),78.0)</f>
        <v>78</v>
      </c>
      <c r="J47" s="559">
        <f>IFERROR(__xludf.DUMMYFUNCTION("""COMPUTED_VALUE"""),70.0)</f>
        <v>70</v>
      </c>
      <c r="K47" s="559">
        <f>IFERROR(__xludf.DUMMYFUNCTION("""COMPUTED_VALUE"""),70.0)</f>
        <v>70</v>
      </c>
      <c r="L47" s="560">
        <f>IFERROR(__xludf.DUMMYFUNCTION("""COMPUTED_VALUE"""),52.0)</f>
        <v>52</v>
      </c>
      <c r="M47" s="561">
        <f>IFERROR(__xludf.DUMMYFUNCTION("""COMPUTED_VALUE"""),17.0)</f>
        <v>17</v>
      </c>
      <c r="N47" s="561">
        <f>IFERROR(__xludf.DUMMYFUNCTION("""COMPUTED_VALUE"""),28.0)</f>
        <v>28</v>
      </c>
      <c r="O47" s="560"/>
      <c r="P47" s="562">
        <f>IFERROR(__xludf.DUMMYFUNCTION("""COMPUTED_VALUE"""),76.0)</f>
        <v>76</v>
      </c>
      <c r="Q47" s="562">
        <f>IFERROR(__xludf.DUMMYFUNCTION("""COMPUTED_VALUE"""),73.0)</f>
        <v>73</v>
      </c>
      <c r="R47" s="562">
        <f>IFERROR(__xludf.DUMMYFUNCTION("""COMPUTED_VALUE"""),65.0)</f>
        <v>65</v>
      </c>
      <c r="S47" s="562"/>
      <c r="T47" s="217">
        <f>IFERROR(__xludf.DUMMYFUNCTION("""COMPUTED_VALUE"""),11.0)</f>
        <v>11</v>
      </c>
      <c r="U47" s="217">
        <f>IFERROR(__xludf.DUMMYFUNCTION("""COMPUTED_VALUE"""),16.0)</f>
        <v>16</v>
      </c>
      <c r="V47" s="217">
        <f>IFERROR(__xludf.DUMMYFUNCTION("""COMPUTED_VALUE"""),80.0)</f>
        <v>80</v>
      </c>
      <c r="W47" s="217">
        <f>IFERROR(__xludf.DUMMYFUNCTION("""COMPUTED_VALUE"""),40.0)</f>
        <v>40</v>
      </c>
      <c r="X47" s="217">
        <f>IFERROR(__xludf.DUMMYFUNCTION("""COMPUTED_VALUE"""),82.0)</f>
        <v>82</v>
      </c>
      <c r="Y47" s="217"/>
      <c r="Z47" s="217"/>
      <c r="AA47" s="481">
        <f>IFERROR(__xludf.DUMMYFUNCTION("""COMPUTED_VALUE"""),62.0)</f>
        <v>62</v>
      </c>
      <c r="AB47" s="481">
        <f>IFERROR(__xludf.DUMMYFUNCTION("""COMPUTED_VALUE"""),97.5)</f>
        <v>97.5</v>
      </c>
      <c r="AC47" s="481">
        <f>IFERROR(__xludf.DUMMYFUNCTION("""COMPUTED_VALUE"""),0.0)</f>
        <v>0</v>
      </c>
      <c r="AD47" s="481">
        <f>IFERROR(__xludf.DUMMYFUNCTION("""COMPUTED_VALUE"""),100.0)</f>
        <v>100</v>
      </c>
      <c r="AE47" s="481">
        <f>IFERROR(__xludf.DUMMYFUNCTION("""COMPUTED_VALUE"""),17.0)</f>
        <v>17</v>
      </c>
      <c r="AF47" s="481"/>
      <c r="AG47" s="481">
        <f>IFERROR(__xludf.DUMMYFUNCTION("""COMPUTED_VALUE"""),38.0)</f>
        <v>38</v>
      </c>
      <c r="AH47" s="481"/>
      <c r="AI47" s="158"/>
      <c r="AJ47" s="158"/>
      <c r="AK47" s="133">
        <f>IFERROR(__xludf.DUMMYFUNCTION("""COMPUTED_VALUE"""),4.0)</f>
        <v>4</v>
      </c>
      <c r="AL47" s="133">
        <f>IFERROR(__xludf.DUMMYFUNCTION("""COMPUTED_VALUE"""),1.0)</f>
        <v>1</v>
      </c>
      <c r="AM47" s="133">
        <f>IFERROR(__xludf.DUMMYFUNCTION("""COMPUTED_VALUE"""),2.0)</f>
        <v>2</v>
      </c>
      <c r="AN47" s="133" t="str">
        <f>IFERROR(__xludf.DUMMYFUNCTION("""COMPUTED_VALUE"""),"3")</f>
        <v>3</v>
      </c>
      <c r="AO47" s="133">
        <f>IFERROR(__xludf.DUMMYFUNCTION("""COMPUTED_VALUE"""),3.0)</f>
        <v>3</v>
      </c>
      <c r="AP47" s="155" t="s">
        <v>2461</v>
      </c>
    </row>
    <row r="48">
      <c r="A48" s="555">
        <f>IFERROR(__xludf.DUMMYFUNCTION("""COMPUTED_VALUE"""),44.0)</f>
        <v>44</v>
      </c>
      <c r="B48" s="555" t="str">
        <f>IFERROR(__xludf.DUMMYFUNCTION("""COMPUTED_VALUE"""),"chs23cs@cmrit.ac.in")</f>
        <v>chs23cs@cmrit.ac.in</v>
      </c>
      <c r="C48" s="172" t="str">
        <f>IFERROR(__xludf.DUMMYFUNCTION("""COMPUTED_VALUE"""),"CHANDANA S")</f>
        <v>CHANDANA S</v>
      </c>
      <c r="D48" s="261" t="str">
        <f>IFERROR(__xludf.DUMMYFUNCTION("""COMPUTED_VALUE"""),"1CR23CS046")</f>
        <v>1CR23CS046</v>
      </c>
      <c r="E48" s="563">
        <f>IFERROR(__xludf.DUMMYFUNCTION("""COMPUTED_VALUE"""),9.353765503E9)</f>
        <v>9353765503</v>
      </c>
      <c r="F48" s="155" t="str">
        <f>IFERROR(__xludf.DUMMYFUNCTION("""COMPUTED_VALUE"""),"CSE")</f>
        <v>CSE</v>
      </c>
      <c r="G48" s="158"/>
      <c r="H48" s="559">
        <f>IFERROR(__xludf.DUMMYFUNCTION("""COMPUTED_VALUE"""),73.0)</f>
        <v>73</v>
      </c>
      <c r="I48" s="559">
        <f>IFERROR(__xludf.DUMMYFUNCTION("""COMPUTED_VALUE"""),77.0)</f>
        <v>77</v>
      </c>
      <c r="J48" s="559">
        <f>IFERROR(__xludf.DUMMYFUNCTION("""COMPUTED_VALUE"""),70.0)</f>
        <v>70</v>
      </c>
      <c r="K48" s="559">
        <f>IFERROR(__xludf.DUMMYFUNCTION("""COMPUTED_VALUE"""),79.0)</f>
        <v>79</v>
      </c>
      <c r="L48" s="560">
        <f>IFERROR(__xludf.DUMMYFUNCTION("""COMPUTED_VALUE"""),50.0)</f>
        <v>50</v>
      </c>
      <c r="M48" s="561">
        <f>IFERROR(__xludf.DUMMYFUNCTION("""COMPUTED_VALUE"""),16.0)</f>
        <v>16</v>
      </c>
      <c r="N48" s="561">
        <f>IFERROR(__xludf.DUMMYFUNCTION("""COMPUTED_VALUE"""),55.0)</f>
        <v>55</v>
      </c>
      <c r="O48" s="560"/>
      <c r="P48" s="562">
        <f>IFERROR(__xludf.DUMMYFUNCTION("""COMPUTED_VALUE"""),74.0)</f>
        <v>74</v>
      </c>
      <c r="Q48" s="562">
        <f>IFERROR(__xludf.DUMMYFUNCTION("""COMPUTED_VALUE"""),66.0)</f>
        <v>66</v>
      </c>
      <c r="R48" s="562">
        <f>IFERROR(__xludf.DUMMYFUNCTION("""COMPUTED_VALUE"""),94.0)</f>
        <v>94</v>
      </c>
      <c r="S48" s="562"/>
      <c r="T48" s="217">
        <f>IFERROR(__xludf.DUMMYFUNCTION("""COMPUTED_VALUE"""),20.0)</f>
        <v>20</v>
      </c>
      <c r="U48" s="217">
        <f>IFERROR(__xludf.DUMMYFUNCTION("""COMPUTED_VALUE"""),22.0)</f>
        <v>22</v>
      </c>
      <c r="V48" s="217">
        <f>IFERROR(__xludf.DUMMYFUNCTION("""COMPUTED_VALUE"""),92.0)</f>
        <v>92</v>
      </c>
      <c r="W48" s="217"/>
      <c r="X48" s="217">
        <f>IFERROR(__xludf.DUMMYFUNCTION("""COMPUTED_VALUE"""),86.0)</f>
        <v>86</v>
      </c>
      <c r="Y48" s="217"/>
      <c r="Z48" s="217"/>
      <c r="AA48" s="481">
        <f>IFERROR(__xludf.DUMMYFUNCTION("""COMPUTED_VALUE"""),96.0)</f>
        <v>96</v>
      </c>
      <c r="AB48" s="481">
        <f>IFERROR(__xludf.DUMMYFUNCTION("""COMPUTED_VALUE"""),93.0)</f>
        <v>93</v>
      </c>
      <c r="AC48" s="481">
        <f>IFERROR(__xludf.DUMMYFUNCTION("""COMPUTED_VALUE"""),68.5)</f>
        <v>68.5</v>
      </c>
      <c r="AD48" s="481">
        <f>IFERROR(__xludf.DUMMYFUNCTION("""COMPUTED_VALUE"""),100.0)</f>
        <v>100</v>
      </c>
      <c r="AE48" s="481">
        <f>IFERROR(__xludf.DUMMYFUNCTION("""COMPUTED_VALUE"""),80.0)</f>
        <v>80</v>
      </c>
      <c r="AF48" s="481"/>
      <c r="AG48" s="481">
        <f>IFERROR(__xludf.DUMMYFUNCTION("""COMPUTED_VALUE"""),74.0)</f>
        <v>74</v>
      </c>
      <c r="AH48" s="481"/>
      <c r="AI48" s="158"/>
      <c r="AJ48" s="158"/>
      <c r="AK48" s="133">
        <f>IFERROR(__xludf.DUMMYFUNCTION("""COMPUTED_VALUE"""),4.0)</f>
        <v>4</v>
      </c>
      <c r="AL48" s="133">
        <f>IFERROR(__xludf.DUMMYFUNCTION("""COMPUTED_VALUE"""),1.0)</f>
        <v>1</v>
      </c>
      <c r="AM48" s="133">
        <f>IFERROR(__xludf.DUMMYFUNCTION("""COMPUTED_VALUE"""),2.0)</f>
        <v>2</v>
      </c>
      <c r="AN48" s="133" t="str">
        <f>IFERROR(__xludf.DUMMYFUNCTION("""COMPUTED_VALUE"""),"3.5")</f>
        <v>3.5</v>
      </c>
      <c r="AO48" s="133">
        <f>IFERROR(__xludf.DUMMYFUNCTION("""COMPUTED_VALUE"""),3.0)</f>
        <v>3</v>
      </c>
      <c r="AP48" s="155" t="s">
        <v>2461</v>
      </c>
    </row>
    <row r="49">
      <c r="A49" s="555">
        <f>IFERROR(__xludf.DUMMYFUNCTION("""COMPUTED_VALUE"""),45.0)</f>
        <v>45</v>
      </c>
      <c r="B49" s="555" t="str">
        <f>IFERROR(__xludf.DUMMYFUNCTION("""COMPUTED_VALUE"""),"chr 23cs@cmrit.ac.in")</f>
        <v>chr 23cs@cmrit.ac.in</v>
      </c>
      <c r="C49" s="564" t="str">
        <f>IFERROR(__xludf.DUMMYFUNCTION("""COMPUTED_VALUE"""),"Charan R A ")</f>
        <v>Charan R A </v>
      </c>
      <c r="D49" s="261" t="str">
        <f>IFERROR(__xludf.DUMMYFUNCTION("""COMPUTED_VALUE"""),"1CR23CS047")</f>
        <v>1CR23CS047</v>
      </c>
      <c r="E49" s="563">
        <f>IFERROR(__xludf.DUMMYFUNCTION("""COMPUTED_VALUE"""),8.618726599E9)</f>
        <v>8618726599</v>
      </c>
      <c r="F49" s="155" t="str">
        <f>IFERROR(__xludf.DUMMYFUNCTION("""COMPUTED_VALUE"""),"CSE")</f>
        <v>CSE</v>
      </c>
      <c r="G49" s="158"/>
      <c r="H49" s="559">
        <f>IFERROR(__xludf.DUMMYFUNCTION("""COMPUTED_VALUE"""),78.0)</f>
        <v>78</v>
      </c>
      <c r="I49" s="559">
        <f>IFERROR(__xludf.DUMMYFUNCTION("""COMPUTED_VALUE"""),70.0)</f>
        <v>70</v>
      </c>
      <c r="J49" s="559">
        <f>IFERROR(__xludf.DUMMYFUNCTION("""COMPUTED_VALUE"""),15.0)</f>
        <v>15</v>
      </c>
      <c r="K49" s="559">
        <f>IFERROR(__xludf.DUMMYFUNCTION("""COMPUTED_VALUE"""),70.0)</f>
        <v>70</v>
      </c>
      <c r="L49" s="560">
        <f>IFERROR(__xludf.DUMMYFUNCTION("""COMPUTED_VALUE"""),20.0)</f>
        <v>20</v>
      </c>
      <c r="M49" s="561">
        <f>IFERROR(__xludf.DUMMYFUNCTION("""COMPUTED_VALUE"""),0.0)</f>
        <v>0</v>
      </c>
      <c r="N49" s="561">
        <f>IFERROR(__xludf.DUMMYFUNCTION("""COMPUTED_VALUE"""),0.0)</f>
        <v>0</v>
      </c>
      <c r="O49" s="560"/>
      <c r="P49" s="562">
        <f>IFERROR(__xludf.DUMMYFUNCTION("""COMPUTED_VALUE"""),0.0)</f>
        <v>0</v>
      </c>
      <c r="Q49" s="562">
        <f>IFERROR(__xludf.DUMMYFUNCTION("""COMPUTED_VALUE"""),0.0)</f>
        <v>0</v>
      </c>
      <c r="R49" s="562">
        <f>IFERROR(__xludf.DUMMYFUNCTION("""COMPUTED_VALUE"""),0.0)</f>
        <v>0</v>
      </c>
      <c r="S49" s="562"/>
      <c r="T49" s="217">
        <f>IFERROR(__xludf.DUMMYFUNCTION("""COMPUTED_VALUE"""),14.0)</f>
        <v>14</v>
      </c>
      <c r="U49" s="217"/>
      <c r="V49" s="217"/>
      <c r="W49" s="217"/>
      <c r="X49" s="217">
        <f>IFERROR(__xludf.DUMMYFUNCTION("""COMPUTED_VALUE"""),78.0)</f>
        <v>78</v>
      </c>
      <c r="Y49" s="217"/>
      <c r="Z49" s="217"/>
      <c r="AA49" s="481">
        <f>IFERROR(__xludf.DUMMYFUNCTION("""COMPUTED_VALUE"""),0.0)</f>
        <v>0</v>
      </c>
      <c r="AB49" s="481">
        <f>IFERROR(__xludf.DUMMYFUNCTION("""COMPUTED_VALUE"""),15.0)</f>
        <v>15</v>
      </c>
      <c r="AC49" s="481">
        <f>IFERROR(__xludf.DUMMYFUNCTION("""COMPUTED_VALUE"""),0.0)</f>
        <v>0</v>
      </c>
      <c r="AD49" s="481">
        <f>IFERROR(__xludf.DUMMYFUNCTION("""COMPUTED_VALUE"""),0.0)</f>
        <v>0</v>
      </c>
      <c r="AE49" s="481">
        <f>IFERROR(__xludf.DUMMYFUNCTION("""COMPUTED_VALUE"""),10.0)</f>
        <v>10</v>
      </c>
      <c r="AF49" s="481"/>
      <c r="AG49" s="481">
        <f>IFERROR(__xludf.DUMMYFUNCTION("""COMPUTED_VALUE"""),0.0)</f>
        <v>0</v>
      </c>
      <c r="AH49" s="481"/>
      <c r="AI49" s="158"/>
      <c r="AJ49" s="158"/>
      <c r="AK49" s="133">
        <f>IFERROR(__xludf.DUMMYFUNCTION("""COMPUTED_VALUE"""),2.0)</f>
        <v>2</v>
      </c>
      <c r="AL49" s="133">
        <f>IFERROR(__xludf.DUMMYFUNCTION("""COMPUTED_VALUE"""),0.0)</f>
        <v>0</v>
      </c>
      <c r="AM49" s="133">
        <f>IFERROR(__xludf.DUMMYFUNCTION("""COMPUTED_VALUE"""),2.0)</f>
        <v>2</v>
      </c>
      <c r="AN49" s="133" t="str">
        <f>IFERROR(__xludf.DUMMYFUNCTION("""COMPUTED_VALUE"""),"0")</f>
        <v>0</v>
      </c>
      <c r="AO49" s="133">
        <f>IFERROR(__xludf.DUMMYFUNCTION("""COMPUTED_VALUE"""),0.0)</f>
        <v>0</v>
      </c>
      <c r="AP49" s="155" t="s">
        <v>2461</v>
      </c>
    </row>
    <row r="50">
      <c r="A50" s="555">
        <f>IFERROR(__xludf.DUMMYFUNCTION("""COMPUTED_VALUE"""),46.0)</f>
        <v>46</v>
      </c>
      <c r="B50" s="555" t="str">
        <f>IFERROR(__xludf.DUMMYFUNCTION("""COMPUTED_VALUE"""),"chta23cs@cmrit.ac.in")</f>
        <v>chta23cs@cmrit.ac.in</v>
      </c>
      <c r="C50" s="172" t="str">
        <f>IFERROR(__xludf.DUMMYFUNCTION("""COMPUTED_VALUE"""),"CHINMAY TALNIKAR")</f>
        <v>CHINMAY TALNIKAR</v>
      </c>
      <c r="D50" s="261" t="str">
        <f>IFERROR(__xludf.DUMMYFUNCTION("""COMPUTED_VALUE"""),"1CR23CS048")</f>
        <v>1CR23CS048</v>
      </c>
      <c r="E50" s="563">
        <f>IFERROR(__xludf.DUMMYFUNCTION("""COMPUTED_VALUE"""),9.148058186E9)</f>
        <v>9148058186</v>
      </c>
      <c r="F50" s="155" t="str">
        <f>IFERROR(__xludf.DUMMYFUNCTION("""COMPUTED_VALUE"""),"CSE")</f>
        <v>CSE</v>
      </c>
      <c r="G50" s="158"/>
      <c r="H50" s="559">
        <f>IFERROR(__xludf.DUMMYFUNCTION("""COMPUTED_VALUE"""),83.0)</f>
        <v>83</v>
      </c>
      <c r="I50" s="559">
        <f>IFERROR(__xludf.DUMMYFUNCTION("""COMPUTED_VALUE"""),82.0)</f>
        <v>82</v>
      </c>
      <c r="J50" s="559">
        <f>IFERROR(__xludf.DUMMYFUNCTION("""COMPUTED_VALUE"""),73.0)</f>
        <v>73</v>
      </c>
      <c r="K50" s="559">
        <f>IFERROR(__xludf.DUMMYFUNCTION("""COMPUTED_VALUE"""),70.0)</f>
        <v>70</v>
      </c>
      <c r="L50" s="560">
        <f>IFERROR(__xludf.DUMMYFUNCTION("""COMPUTED_VALUE"""),50.0)</f>
        <v>50</v>
      </c>
      <c r="M50" s="561">
        <f>IFERROR(__xludf.DUMMYFUNCTION("""COMPUTED_VALUE"""),27.0)</f>
        <v>27</v>
      </c>
      <c r="N50" s="561">
        <f>IFERROR(__xludf.DUMMYFUNCTION("""COMPUTED_VALUE"""),22.0)</f>
        <v>22</v>
      </c>
      <c r="O50" s="560"/>
      <c r="P50" s="562">
        <f>IFERROR(__xludf.DUMMYFUNCTION("""COMPUTED_VALUE"""),83.0)</f>
        <v>83</v>
      </c>
      <c r="Q50" s="562">
        <f>IFERROR(__xludf.DUMMYFUNCTION("""COMPUTED_VALUE"""),73.0)</f>
        <v>73</v>
      </c>
      <c r="R50" s="562">
        <f>IFERROR(__xludf.DUMMYFUNCTION("""COMPUTED_VALUE"""),0.0)</f>
        <v>0</v>
      </c>
      <c r="S50" s="562"/>
      <c r="T50" s="217">
        <f>IFERROR(__xludf.DUMMYFUNCTION("""COMPUTED_VALUE"""),15.0)</f>
        <v>15</v>
      </c>
      <c r="U50" s="217">
        <f>IFERROR(__xludf.DUMMYFUNCTION("""COMPUTED_VALUE"""),20.0)</f>
        <v>20</v>
      </c>
      <c r="V50" s="217">
        <f>IFERROR(__xludf.DUMMYFUNCTION("""COMPUTED_VALUE"""),36.0)</f>
        <v>36</v>
      </c>
      <c r="W50" s="217">
        <f>IFERROR(__xludf.DUMMYFUNCTION("""COMPUTED_VALUE"""),20.0)</f>
        <v>20</v>
      </c>
      <c r="X50" s="217"/>
      <c r="Y50" s="217"/>
      <c r="Z50" s="217"/>
      <c r="AA50" s="481">
        <f>IFERROR(__xludf.DUMMYFUNCTION("""COMPUTED_VALUE"""),93.0)</f>
        <v>93</v>
      </c>
      <c r="AB50" s="481">
        <f>IFERROR(__xludf.DUMMYFUNCTION("""COMPUTED_VALUE"""),100.0)</f>
        <v>100</v>
      </c>
      <c r="AC50" s="481">
        <f>IFERROR(__xludf.DUMMYFUNCTION("""COMPUTED_VALUE"""),90.0)</f>
        <v>90</v>
      </c>
      <c r="AD50" s="481">
        <f>IFERROR(__xludf.DUMMYFUNCTION("""COMPUTED_VALUE"""),85.0)</f>
        <v>85</v>
      </c>
      <c r="AE50" s="481">
        <f>IFERROR(__xludf.DUMMYFUNCTION("""COMPUTED_VALUE"""),56.0)</f>
        <v>56</v>
      </c>
      <c r="AF50" s="481"/>
      <c r="AG50" s="481">
        <f>IFERROR(__xludf.DUMMYFUNCTION("""COMPUTED_VALUE"""),35.0)</f>
        <v>35</v>
      </c>
      <c r="AH50" s="481"/>
      <c r="AI50" s="158"/>
      <c r="AJ50" s="158"/>
      <c r="AK50" s="133">
        <f>IFERROR(__xludf.DUMMYFUNCTION("""COMPUTED_VALUE"""),4.0)</f>
        <v>4</v>
      </c>
      <c r="AL50" s="133">
        <f>IFERROR(__xludf.DUMMYFUNCTION("""COMPUTED_VALUE"""),1.0)</f>
        <v>1</v>
      </c>
      <c r="AM50" s="133">
        <f>IFERROR(__xludf.DUMMYFUNCTION("""COMPUTED_VALUE"""),2.0)</f>
        <v>2</v>
      </c>
      <c r="AN50" s="133" t="str">
        <f>IFERROR(__xludf.DUMMYFUNCTION("""COMPUTED_VALUE"""),"3")</f>
        <v>3</v>
      </c>
      <c r="AO50" s="133">
        <f>IFERROR(__xludf.DUMMYFUNCTION("""COMPUTED_VALUE"""),2.0)</f>
        <v>2</v>
      </c>
      <c r="AP50" s="155" t="s">
        <v>2461</v>
      </c>
    </row>
    <row r="51">
      <c r="A51" s="555">
        <f>IFERROR(__xludf.DUMMYFUNCTION("""COMPUTED_VALUE"""),47.0)</f>
        <v>47</v>
      </c>
      <c r="B51" s="555" t="str">
        <f>IFERROR(__xludf.DUMMYFUNCTION("""COMPUTED_VALUE"""),"debh23cs@cmrit.ac.in")</f>
        <v>debh23cs@cmrit.ac.in</v>
      </c>
      <c r="C51" s="564" t="str">
        <f>IFERROR(__xludf.DUMMYFUNCTION("""COMPUTED_VALUE"""),"DEEPAK RAVINDRA BHAT ")</f>
        <v>DEEPAK RAVINDRA BHAT </v>
      </c>
      <c r="D51" s="261" t="str">
        <f>IFERROR(__xludf.DUMMYFUNCTION("""COMPUTED_VALUE"""),"1CR23CS049")</f>
        <v>1CR23CS049</v>
      </c>
      <c r="E51" s="563">
        <f>IFERROR(__xludf.DUMMYFUNCTION("""COMPUTED_VALUE"""),9.964489913E9)</f>
        <v>9964489913</v>
      </c>
      <c r="F51" s="155" t="str">
        <f>IFERROR(__xludf.DUMMYFUNCTION("""COMPUTED_VALUE"""),"CSE")</f>
        <v>CSE</v>
      </c>
      <c r="G51" s="158"/>
      <c r="H51" s="559">
        <f>IFERROR(__xludf.DUMMYFUNCTION("""COMPUTED_VALUE"""),79.0)</f>
        <v>79</v>
      </c>
      <c r="I51" s="559">
        <f>IFERROR(__xludf.DUMMYFUNCTION("""COMPUTED_VALUE"""),72.0)</f>
        <v>72</v>
      </c>
      <c r="J51" s="559">
        <f>IFERROR(__xludf.DUMMYFUNCTION("""COMPUTED_VALUE"""),70.0)</f>
        <v>70</v>
      </c>
      <c r="K51" s="559">
        <f>IFERROR(__xludf.DUMMYFUNCTION("""COMPUTED_VALUE"""),70.0)</f>
        <v>70</v>
      </c>
      <c r="L51" s="560">
        <f>IFERROR(__xludf.DUMMYFUNCTION("""COMPUTED_VALUE"""),50.0)</f>
        <v>50</v>
      </c>
      <c r="M51" s="561">
        <f>IFERROR(__xludf.DUMMYFUNCTION("""COMPUTED_VALUE"""),50.0)</f>
        <v>50</v>
      </c>
      <c r="N51" s="561">
        <f>IFERROR(__xludf.DUMMYFUNCTION("""COMPUTED_VALUE"""),50.0)</f>
        <v>50</v>
      </c>
      <c r="O51" s="560"/>
      <c r="P51" s="562">
        <f>IFERROR(__xludf.DUMMYFUNCTION("""COMPUTED_VALUE"""),72.0)</f>
        <v>72</v>
      </c>
      <c r="Q51" s="562">
        <f>IFERROR(__xludf.DUMMYFUNCTION("""COMPUTED_VALUE"""),50.0)</f>
        <v>50</v>
      </c>
      <c r="R51" s="562">
        <f>IFERROR(__xludf.DUMMYFUNCTION("""COMPUTED_VALUE"""),83.0)</f>
        <v>83</v>
      </c>
      <c r="S51" s="562"/>
      <c r="T51" s="217">
        <f>IFERROR(__xludf.DUMMYFUNCTION("""COMPUTED_VALUE"""),12.0)</f>
        <v>12</v>
      </c>
      <c r="U51" s="217">
        <f>IFERROR(__xludf.DUMMYFUNCTION("""COMPUTED_VALUE"""),15.0)</f>
        <v>15</v>
      </c>
      <c r="V51" s="217">
        <f>IFERROR(__xludf.DUMMYFUNCTION("""COMPUTED_VALUE"""),44.0)</f>
        <v>44</v>
      </c>
      <c r="W51" s="217">
        <f>IFERROR(__xludf.DUMMYFUNCTION("""COMPUTED_VALUE"""),40.0)</f>
        <v>40</v>
      </c>
      <c r="X51" s="217">
        <f>IFERROR(__xludf.DUMMYFUNCTION("""COMPUTED_VALUE"""),86.0)</f>
        <v>86</v>
      </c>
      <c r="Y51" s="217"/>
      <c r="Z51" s="217"/>
      <c r="AA51" s="481">
        <f>IFERROR(__xludf.DUMMYFUNCTION("""COMPUTED_VALUE"""),84.0)</f>
        <v>84</v>
      </c>
      <c r="AB51" s="481">
        <f>IFERROR(__xludf.DUMMYFUNCTION("""COMPUTED_VALUE"""),73.75)</f>
        <v>73.75</v>
      </c>
      <c r="AC51" s="481">
        <f>IFERROR(__xludf.DUMMYFUNCTION("""COMPUTED_VALUE"""),67.0)</f>
        <v>67</v>
      </c>
      <c r="AD51" s="481">
        <f>IFERROR(__xludf.DUMMYFUNCTION("""COMPUTED_VALUE"""),100.0)</f>
        <v>100</v>
      </c>
      <c r="AE51" s="481">
        <f>IFERROR(__xludf.DUMMYFUNCTION("""COMPUTED_VALUE"""),98.0)</f>
        <v>98</v>
      </c>
      <c r="AF51" s="481"/>
      <c r="AG51" s="481">
        <f>IFERROR(__xludf.DUMMYFUNCTION("""COMPUTED_VALUE"""),72.0)</f>
        <v>72</v>
      </c>
      <c r="AH51" s="481"/>
      <c r="AI51" s="158"/>
      <c r="AJ51" s="158"/>
      <c r="AK51" s="133">
        <f>IFERROR(__xludf.DUMMYFUNCTION("""COMPUTED_VALUE"""),4.0)</f>
        <v>4</v>
      </c>
      <c r="AL51" s="133">
        <f>IFERROR(__xludf.DUMMYFUNCTION("""COMPUTED_VALUE"""),3.0)</f>
        <v>3</v>
      </c>
      <c r="AM51" s="133">
        <f>IFERROR(__xludf.DUMMYFUNCTION("""COMPUTED_VALUE"""),2.0)</f>
        <v>2</v>
      </c>
      <c r="AN51" s="133" t="str">
        <f>IFERROR(__xludf.DUMMYFUNCTION("""COMPUTED_VALUE"""),"3.5")</f>
        <v>3.5</v>
      </c>
      <c r="AO51" s="133">
        <f>IFERROR(__xludf.DUMMYFUNCTION("""COMPUTED_VALUE"""),3.0)</f>
        <v>3</v>
      </c>
      <c r="AP51" s="155" t="s">
        <v>2461</v>
      </c>
    </row>
    <row r="52">
      <c r="A52" s="555">
        <f>IFERROR(__xludf.DUMMYFUNCTION("""COMPUTED_VALUE"""),48.0)</f>
        <v>48</v>
      </c>
      <c r="B52" s="555" t="str">
        <f>IFERROR(__xludf.DUMMYFUNCTION("""COMPUTED_VALUE"""),"dedu23cs@cmrit.ac.in")</f>
        <v>dedu23cs@cmrit.ac.in</v>
      </c>
      <c r="C52" s="172" t="str">
        <f>IFERROR(__xludf.DUMMYFUNCTION("""COMPUTED_VALUE"""),"DEEPTANSHU DUTTA")</f>
        <v>DEEPTANSHU DUTTA</v>
      </c>
      <c r="D52" s="261" t="str">
        <f>IFERROR(__xludf.DUMMYFUNCTION("""COMPUTED_VALUE"""),"1CR23CS050")</f>
        <v>1CR23CS050</v>
      </c>
      <c r="E52" s="563">
        <f>IFERROR(__xludf.DUMMYFUNCTION("""COMPUTED_VALUE"""),9.064208721E9)</f>
        <v>9064208721</v>
      </c>
      <c r="F52" s="155" t="str">
        <f>IFERROR(__xludf.DUMMYFUNCTION("""COMPUTED_VALUE"""),"CSE")</f>
        <v>CSE</v>
      </c>
      <c r="G52" s="158"/>
      <c r="H52" s="559">
        <f>IFERROR(__xludf.DUMMYFUNCTION("""COMPUTED_VALUE"""),81.0)</f>
        <v>81</v>
      </c>
      <c r="I52" s="559">
        <f>IFERROR(__xludf.DUMMYFUNCTION("""COMPUTED_VALUE"""),85.0)</f>
        <v>85</v>
      </c>
      <c r="J52" s="559">
        <f>IFERROR(__xludf.DUMMYFUNCTION("""COMPUTED_VALUE"""),54.0)</f>
        <v>54</v>
      </c>
      <c r="K52" s="559">
        <f>IFERROR(__xludf.DUMMYFUNCTION("""COMPUTED_VALUE"""),70.0)</f>
        <v>70</v>
      </c>
      <c r="L52" s="560">
        <f>IFERROR(__xludf.DUMMYFUNCTION("""COMPUTED_VALUE"""),10.0)</f>
        <v>10</v>
      </c>
      <c r="M52" s="561">
        <f>IFERROR(__xludf.DUMMYFUNCTION("""COMPUTED_VALUE"""),27.0)</f>
        <v>27</v>
      </c>
      <c r="N52" s="561">
        <f>IFERROR(__xludf.DUMMYFUNCTION("""COMPUTED_VALUE"""),25.0)</f>
        <v>25</v>
      </c>
      <c r="O52" s="560"/>
      <c r="P52" s="562">
        <f>IFERROR(__xludf.DUMMYFUNCTION("""COMPUTED_VALUE"""),50.0)</f>
        <v>50</v>
      </c>
      <c r="Q52" s="562">
        <f>IFERROR(__xludf.DUMMYFUNCTION("""COMPUTED_VALUE"""),50.0)</f>
        <v>50</v>
      </c>
      <c r="R52" s="562">
        <f>IFERROR(__xludf.DUMMYFUNCTION("""COMPUTED_VALUE"""),85.0)</f>
        <v>85</v>
      </c>
      <c r="S52" s="562"/>
      <c r="T52" s="217">
        <f>IFERROR(__xludf.DUMMYFUNCTION("""COMPUTED_VALUE"""),21.0)</f>
        <v>21</v>
      </c>
      <c r="U52" s="217">
        <f>IFERROR(__xludf.DUMMYFUNCTION("""COMPUTED_VALUE"""),18.0)</f>
        <v>18</v>
      </c>
      <c r="V52" s="217">
        <f>IFERROR(__xludf.DUMMYFUNCTION("""COMPUTED_VALUE"""),56.0)</f>
        <v>56</v>
      </c>
      <c r="W52" s="217">
        <f>IFERROR(__xludf.DUMMYFUNCTION("""COMPUTED_VALUE"""),16.0)</f>
        <v>16</v>
      </c>
      <c r="X52" s="217">
        <f>IFERROR(__xludf.DUMMYFUNCTION("""COMPUTED_VALUE"""),86.0)</f>
        <v>86</v>
      </c>
      <c r="Y52" s="217"/>
      <c r="Z52" s="217"/>
      <c r="AA52" s="481">
        <f>IFERROR(__xludf.DUMMYFUNCTION("""COMPUTED_VALUE"""),0.0)</f>
        <v>0</v>
      </c>
      <c r="AB52" s="481">
        <f>IFERROR(__xludf.DUMMYFUNCTION("""COMPUTED_VALUE"""),99.5)</f>
        <v>99.5</v>
      </c>
      <c r="AC52" s="481">
        <f>IFERROR(__xludf.DUMMYFUNCTION("""COMPUTED_VALUE"""),0.0)</f>
        <v>0</v>
      </c>
      <c r="AD52" s="481">
        <f>IFERROR(__xludf.DUMMYFUNCTION("""COMPUTED_VALUE"""),38.0)</f>
        <v>38</v>
      </c>
      <c r="AE52" s="481">
        <f>IFERROR(__xludf.DUMMYFUNCTION("""COMPUTED_VALUE"""),63.0)</f>
        <v>63</v>
      </c>
      <c r="AF52" s="481"/>
      <c r="AG52" s="481">
        <f>IFERROR(__xludf.DUMMYFUNCTION("""COMPUTED_VALUE"""),10.0)</f>
        <v>10</v>
      </c>
      <c r="AH52" s="481"/>
      <c r="AI52" s="158"/>
      <c r="AJ52" s="158"/>
      <c r="AK52" s="133">
        <f>IFERROR(__xludf.DUMMYFUNCTION("""COMPUTED_VALUE"""),2.0)</f>
        <v>2</v>
      </c>
      <c r="AL52" s="133">
        <f>IFERROR(__xludf.DUMMYFUNCTION("""COMPUTED_VALUE"""),0.0)</f>
        <v>0</v>
      </c>
      <c r="AM52" s="133">
        <f>IFERROR(__xludf.DUMMYFUNCTION("""COMPUTED_VALUE"""),2.0)</f>
        <v>2</v>
      </c>
      <c r="AN52" s="133" t="str">
        <f>IFERROR(__xludf.DUMMYFUNCTION("""COMPUTED_VALUE"""),"2")</f>
        <v>2</v>
      </c>
      <c r="AO52" s="133">
        <f>IFERROR(__xludf.DUMMYFUNCTION("""COMPUTED_VALUE"""),3.0)</f>
        <v>3</v>
      </c>
      <c r="AP52" s="155" t="s">
        <v>2461</v>
      </c>
    </row>
    <row r="53">
      <c r="A53" s="555">
        <f>IFERROR(__xludf.DUMMYFUNCTION("""COMPUTED_VALUE"""),49.0)</f>
        <v>49</v>
      </c>
      <c r="B53" s="555" t="str">
        <f>IFERROR(__xludf.DUMMYFUNCTION("""COMPUTED_VALUE"""),"dere23cs@cmrit.ac.in")</f>
        <v>dere23cs@cmrit.ac.in</v>
      </c>
      <c r="C53" s="172" t="str">
        <f>IFERROR(__xludf.DUMMYFUNCTION("""COMPUTED_VALUE"""),"DEREDDY ABHILASH REDDY")</f>
        <v>DEREDDY ABHILASH REDDY</v>
      </c>
      <c r="D53" s="261" t="str">
        <f>IFERROR(__xludf.DUMMYFUNCTION("""COMPUTED_VALUE"""),"1CR23CS051")</f>
        <v>1CR23CS051</v>
      </c>
      <c r="E53" s="563">
        <f>IFERROR(__xludf.DUMMYFUNCTION("""COMPUTED_VALUE"""),6.30234517E9)</f>
        <v>6302345170</v>
      </c>
      <c r="F53" s="155" t="str">
        <f>IFERROR(__xludf.DUMMYFUNCTION("""COMPUTED_VALUE"""),"CSE")</f>
        <v>CSE</v>
      </c>
      <c r="G53" s="158"/>
      <c r="H53" s="559">
        <f>IFERROR(__xludf.DUMMYFUNCTION("""COMPUTED_VALUE"""),89.0)</f>
        <v>89</v>
      </c>
      <c r="I53" s="559">
        <f>IFERROR(__xludf.DUMMYFUNCTION("""COMPUTED_VALUE"""),85.0)</f>
        <v>85</v>
      </c>
      <c r="J53" s="559">
        <f>IFERROR(__xludf.DUMMYFUNCTION("""COMPUTED_VALUE"""),70.0)</f>
        <v>70</v>
      </c>
      <c r="K53" s="559">
        <f>IFERROR(__xludf.DUMMYFUNCTION("""COMPUTED_VALUE"""),70.0)</f>
        <v>70</v>
      </c>
      <c r="L53" s="560">
        <f>IFERROR(__xludf.DUMMYFUNCTION("""COMPUTED_VALUE"""),64.0)</f>
        <v>64</v>
      </c>
      <c r="M53" s="561">
        <f>IFERROR(__xludf.DUMMYFUNCTION("""COMPUTED_VALUE"""),54.0)</f>
        <v>54</v>
      </c>
      <c r="N53" s="561">
        <f>IFERROR(__xludf.DUMMYFUNCTION("""COMPUTED_VALUE"""),55.0)</f>
        <v>55</v>
      </c>
      <c r="O53" s="560"/>
      <c r="P53" s="562">
        <f>IFERROR(__xludf.DUMMYFUNCTION("""COMPUTED_VALUE"""),81.0)</f>
        <v>81</v>
      </c>
      <c r="Q53" s="562">
        <f>IFERROR(__xludf.DUMMYFUNCTION("""COMPUTED_VALUE"""),65.0)</f>
        <v>65</v>
      </c>
      <c r="R53" s="562">
        <f>IFERROR(__xludf.DUMMYFUNCTION("""COMPUTED_VALUE"""),93.0)</f>
        <v>93</v>
      </c>
      <c r="S53" s="562"/>
      <c r="T53" s="217">
        <f>IFERROR(__xludf.DUMMYFUNCTION("""COMPUTED_VALUE"""),18.0)</f>
        <v>18</v>
      </c>
      <c r="U53" s="217">
        <f>IFERROR(__xludf.DUMMYFUNCTION("""COMPUTED_VALUE"""),18.0)</f>
        <v>18</v>
      </c>
      <c r="V53" s="217">
        <f>IFERROR(__xludf.DUMMYFUNCTION("""COMPUTED_VALUE"""),76.0)</f>
        <v>76</v>
      </c>
      <c r="W53" s="217"/>
      <c r="X53" s="217">
        <f>IFERROR(__xludf.DUMMYFUNCTION("""COMPUTED_VALUE"""),52.0)</f>
        <v>52</v>
      </c>
      <c r="Y53" s="217"/>
      <c r="Z53" s="217"/>
      <c r="AA53" s="481">
        <f>IFERROR(__xludf.DUMMYFUNCTION("""COMPUTED_VALUE"""),0.0)</f>
        <v>0</v>
      </c>
      <c r="AB53" s="481">
        <f>IFERROR(__xludf.DUMMYFUNCTION("""COMPUTED_VALUE"""),83.75)</f>
        <v>83.75</v>
      </c>
      <c r="AC53" s="481">
        <f>IFERROR(__xludf.DUMMYFUNCTION("""COMPUTED_VALUE"""),100.0)</f>
        <v>100</v>
      </c>
      <c r="AD53" s="481">
        <f>IFERROR(__xludf.DUMMYFUNCTION("""COMPUTED_VALUE"""),80.0)</f>
        <v>80</v>
      </c>
      <c r="AE53" s="481">
        <f>IFERROR(__xludf.DUMMYFUNCTION("""COMPUTED_VALUE"""),82.0)</f>
        <v>82</v>
      </c>
      <c r="AF53" s="481"/>
      <c r="AG53" s="481">
        <f>IFERROR(__xludf.DUMMYFUNCTION("""COMPUTED_VALUE"""),38.0)</f>
        <v>38</v>
      </c>
      <c r="AH53" s="481"/>
      <c r="AI53" s="158"/>
      <c r="AJ53" s="158"/>
      <c r="AK53" s="133">
        <f>IFERROR(__xludf.DUMMYFUNCTION("""COMPUTED_VALUE"""),4.0)</f>
        <v>4</v>
      </c>
      <c r="AL53" s="133">
        <f>IFERROR(__xludf.DUMMYFUNCTION("""COMPUTED_VALUE"""),3.0)</f>
        <v>3</v>
      </c>
      <c r="AM53" s="133">
        <f>IFERROR(__xludf.DUMMYFUNCTION("""COMPUTED_VALUE"""),2.0)</f>
        <v>2</v>
      </c>
      <c r="AN53" s="133" t="str">
        <f>IFERROR(__xludf.DUMMYFUNCTION("""COMPUTED_VALUE"""),"3.5")</f>
        <v>3.5</v>
      </c>
      <c r="AO53" s="133">
        <f>IFERROR(__xludf.DUMMYFUNCTION("""COMPUTED_VALUE"""),3.0)</f>
        <v>3</v>
      </c>
      <c r="AP53" s="155" t="s">
        <v>2461</v>
      </c>
    </row>
    <row r="54">
      <c r="A54" s="555">
        <f>IFERROR(__xludf.DUMMYFUNCTION("""COMPUTED_VALUE"""),50.0)</f>
        <v>50</v>
      </c>
      <c r="B54" s="555" t="str">
        <f>IFERROR(__xludf.DUMMYFUNCTION("""COMPUTED_VALUE"""),"dhn23cs@cmrit.ac.in")</f>
        <v>dhn23cs@cmrit.ac.in</v>
      </c>
      <c r="C54" s="172" t="str">
        <f>IFERROR(__xludf.DUMMYFUNCTION("""COMPUTED_VALUE"""),"DHANUSHREE N")</f>
        <v>DHANUSHREE N</v>
      </c>
      <c r="D54" s="261" t="str">
        <f>IFERROR(__xludf.DUMMYFUNCTION("""COMPUTED_VALUE"""),"1CR23CS052")</f>
        <v>1CR23CS052</v>
      </c>
      <c r="E54" s="563">
        <f>IFERROR(__xludf.DUMMYFUNCTION("""COMPUTED_VALUE"""),7.411491488E9)</f>
        <v>7411491488</v>
      </c>
      <c r="F54" s="155" t="str">
        <f>IFERROR(__xludf.DUMMYFUNCTION("""COMPUTED_VALUE"""),"CSE")</f>
        <v>CSE</v>
      </c>
      <c r="G54" s="158"/>
      <c r="H54" s="559">
        <f>IFERROR(__xludf.DUMMYFUNCTION("""COMPUTED_VALUE"""),70.0)</f>
        <v>70</v>
      </c>
      <c r="I54" s="559">
        <f>IFERROR(__xludf.DUMMYFUNCTION("""COMPUTED_VALUE"""),66.0)</f>
        <v>66</v>
      </c>
      <c r="J54" s="559">
        <f>IFERROR(__xludf.DUMMYFUNCTION("""COMPUTED_VALUE"""),42.0)</f>
        <v>42</v>
      </c>
      <c r="K54" s="559">
        <f>IFERROR(__xludf.DUMMYFUNCTION("""COMPUTED_VALUE"""),29.0)</f>
        <v>29</v>
      </c>
      <c r="L54" s="560">
        <f>IFERROR(__xludf.DUMMYFUNCTION("""COMPUTED_VALUE"""),25.0)</f>
        <v>25</v>
      </c>
      <c r="M54" s="561">
        <f>IFERROR(__xludf.DUMMYFUNCTION("""COMPUTED_VALUE"""),10.0)</f>
        <v>10</v>
      </c>
      <c r="N54" s="561">
        <f>IFERROR(__xludf.DUMMYFUNCTION("""COMPUTED_VALUE"""),0.0)</f>
        <v>0</v>
      </c>
      <c r="O54" s="560"/>
      <c r="P54" s="562">
        <f>IFERROR(__xludf.DUMMYFUNCTION("""COMPUTED_VALUE"""),74.0)</f>
        <v>74</v>
      </c>
      <c r="Q54" s="562">
        <f>IFERROR(__xludf.DUMMYFUNCTION("""COMPUTED_VALUE"""),0.0)</f>
        <v>0</v>
      </c>
      <c r="R54" s="562">
        <f>IFERROR(__xludf.DUMMYFUNCTION("""COMPUTED_VALUE"""),0.0)</f>
        <v>0</v>
      </c>
      <c r="S54" s="562"/>
      <c r="T54" s="217">
        <f>IFERROR(__xludf.DUMMYFUNCTION("""COMPUTED_VALUE"""),14.0)</f>
        <v>14</v>
      </c>
      <c r="U54" s="217">
        <f>IFERROR(__xludf.DUMMYFUNCTION("""COMPUTED_VALUE"""),10.0)</f>
        <v>10</v>
      </c>
      <c r="V54" s="217">
        <f>IFERROR(__xludf.DUMMYFUNCTION("""COMPUTED_VALUE"""),72.0)</f>
        <v>72</v>
      </c>
      <c r="W54" s="217"/>
      <c r="X54" s="217"/>
      <c r="Y54" s="217"/>
      <c r="Z54" s="217"/>
      <c r="AA54" s="481">
        <f>IFERROR(__xludf.DUMMYFUNCTION("""COMPUTED_VALUE"""),36.0)</f>
        <v>36</v>
      </c>
      <c r="AB54" s="481">
        <f>IFERROR(__xludf.DUMMYFUNCTION("""COMPUTED_VALUE"""),18.75)</f>
        <v>18.75</v>
      </c>
      <c r="AC54" s="481">
        <f>IFERROR(__xludf.DUMMYFUNCTION("""COMPUTED_VALUE"""),0.0)</f>
        <v>0</v>
      </c>
      <c r="AD54" s="481">
        <f>IFERROR(__xludf.DUMMYFUNCTION("""COMPUTED_VALUE"""),0.0)</f>
        <v>0</v>
      </c>
      <c r="AE54" s="481">
        <f>IFERROR(__xludf.DUMMYFUNCTION("""COMPUTED_VALUE"""),10.0)</f>
        <v>10</v>
      </c>
      <c r="AF54" s="481"/>
      <c r="AG54" s="481">
        <f>IFERROR(__xludf.DUMMYFUNCTION("""COMPUTED_VALUE"""),0.0)</f>
        <v>0</v>
      </c>
      <c r="AH54" s="481"/>
      <c r="AI54" s="158"/>
      <c r="AJ54" s="158"/>
      <c r="AK54" s="133">
        <f>IFERROR(__xludf.DUMMYFUNCTION("""COMPUTED_VALUE"""),2.0)</f>
        <v>2</v>
      </c>
      <c r="AL54" s="133">
        <f>IFERROR(__xludf.DUMMYFUNCTION("""COMPUTED_VALUE"""),0.0)</f>
        <v>0</v>
      </c>
      <c r="AM54" s="133">
        <f>IFERROR(__xludf.DUMMYFUNCTION("""COMPUTED_VALUE"""),2.0)</f>
        <v>2</v>
      </c>
      <c r="AN54" s="133" t="str">
        <f>IFERROR(__xludf.DUMMYFUNCTION("""COMPUTED_VALUE"""),"0")</f>
        <v>0</v>
      </c>
      <c r="AO54" s="133">
        <f>IFERROR(__xludf.DUMMYFUNCTION("""COMPUTED_VALUE"""),1.0)</f>
        <v>1</v>
      </c>
      <c r="AP54" s="155" t="s">
        <v>2461</v>
      </c>
    </row>
    <row r="55">
      <c r="A55" s="555">
        <f>IFERROR(__xludf.DUMMYFUNCTION("""COMPUTED_VALUE"""),51.0)</f>
        <v>51</v>
      </c>
      <c r="B55" s="555" t="str">
        <f>IFERROR(__xludf.DUMMYFUNCTION("""COMPUTED_VALUE"""),"dhm23cs@cmrit.ac.in")</f>
        <v>dhm23cs@cmrit.ac.in</v>
      </c>
      <c r="C55" s="172" t="str">
        <f>IFERROR(__xludf.DUMMYFUNCTION("""COMPUTED_VALUE"""),"DHANYAASHRI M")</f>
        <v>DHANYAASHRI M</v>
      </c>
      <c r="D55" s="261" t="str">
        <f>IFERROR(__xludf.DUMMYFUNCTION("""COMPUTED_VALUE"""),"1CR23CS053")</f>
        <v>1CR23CS053</v>
      </c>
      <c r="E55" s="563">
        <f>IFERROR(__xludf.DUMMYFUNCTION("""COMPUTED_VALUE"""),9.663480082E9)</f>
        <v>9663480082</v>
      </c>
      <c r="F55" s="155" t="str">
        <f>IFERROR(__xludf.DUMMYFUNCTION("""COMPUTED_VALUE"""),"CSE")</f>
        <v>CSE</v>
      </c>
      <c r="G55" s="158"/>
      <c r="H55" s="559">
        <f>IFERROR(__xludf.DUMMYFUNCTION("""COMPUTED_VALUE"""),84.0)</f>
        <v>84</v>
      </c>
      <c r="I55" s="559">
        <f>IFERROR(__xludf.DUMMYFUNCTION("""COMPUTED_VALUE"""),87.0)</f>
        <v>87</v>
      </c>
      <c r="J55" s="559">
        <f>IFERROR(__xludf.DUMMYFUNCTION("""COMPUTED_VALUE"""),70.0)</f>
        <v>70</v>
      </c>
      <c r="K55" s="559">
        <f>IFERROR(__xludf.DUMMYFUNCTION("""COMPUTED_VALUE"""),90.0)</f>
        <v>90</v>
      </c>
      <c r="L55" s="560">
        <f>IFERROR(__xludf.DUMMYFUNCTION("""COMPUTED_VALUE"""),50.0)</f>
        <v>50</v>
      </c>
      <c r="M55" s="561">
        <f>IFERROR(__xludf.DUMMYFUNCTION("""COMPUTED_VALUE"""),22.0)</f>
        <v>22</v>
      </c>
      <c r="N55" s="561">
        <f>IFERROR(__xludf.DUMMYFUNCTION("""COMPUTED_VALUE"""),50.0)</f>
        <v>50</v>
      </c>
      <c r="O55" s="560"/>
      <c r="P55" s="562">
        <f>IFERROR(__xludf.DUMMYFUNCTION("""COMPUTED_VALUE"""),88.0)</f>
        <v>88</v>
      </c>
      <c r="Q55" s="562">
        <f>IFERROR(__xludf.DUMMYFUNCTION("""COMPUTED_VALUE"""),90.0)</f>
        <v>90</v>
      </c>
      <c r="R55" s="562">
        <f>IFERROR(__xludf.DUMMYFUNCTION("""COMPUTED_VALUE"""),100.0)</f>
        <v>100</v>
      </c>
      <c r="S55" s="562"/>
      <c r="T55" s="217">
        <f>IFERROR(__xludf.DUMMYFUNCTION("""COMPUTED_VALUE"""),13.0)</f>
        <v>13</v>
      </c>
      <c r="U55" s="217">
        <f>IFERROR(__xludf.DUMMYFUNCTION("""COMPUTED_VALUE"""),18.0)</f>
        <v>18</v>
      </c>
      <c r="V55" s="217">
        <f>IFERROR(__xludf.DUMMYFUNCTION("""COMPUTED_VALUE"""),80.0)</f>
        <v>80</v>
      </c>
      <c r="W55" s="217">
        <f>IFERROR(__xludf.DUMMYFUNCTION("""COMPUTED_VALUE"""),36.0)</f>
        <v>36</v>
      </c>
      <c r="X55" s="217">
        <f>IFERROR(__xludf.DUMMYFUNCTION("""COMPUTED_VALUE"""),64.0)</f>
        <v>64</v>
      </c>
      <c r="Y55" s="217"/>
      <c r="Z55" s="217"/>
      <c r="AA55" s="481">
        <f>IFERROR(__xludf.DUMMYFUNCTION("""COMPUTED_VALUE"""),82.0)</f>
        <v>82</v>
      </c>
      <c r="AB55" s="481">
        <f>IFERROR(__xludf.DUMMYFUNCTION("""COMPUTED_VALUE"""),92.5)</f>
        <v>92.5</v>
      </c>
      <c r="AC55" s="481">
        <f>IFERROR(__xludf.DUMMYFUNCTION("""COMPUTED_VALUE"""),72.0)</f>
        <v>72</v>
      </c>
      <c r="AD55" s="481">
        <f>IFERROR(__xludf.DUMMYFUNCTION("""COMPUTED_VALUE"""),100.0)</f>
        <v>100</v>
      </c>
      <c r="AE55" s="481">
        <f>IFERROR(__xludf.DUMMYFUNCTION("""COMPUTED_VALUE"""),83.0)</f>
        <v>83</v>
      </c>
      <c r="AF55" s="481"/>
      <c r="AG55" s="481">
        <f>IFERROR(__xludf.DUMMYFUNCTION("""COMPUTED_VALUE"""),71.0)</f>
        <v>71</v>
      </c>
      <c r="AH55" s="481"/>
      <c r="AI55" s="158"/>
      <c r="AJ55" s="158"/>
      <c r="AK55" s="133">
        <f>IFERROR(__xludf.DUMMYFUNCTION("""COMPUTED_VALUE"""),4.0)</f>
        <v>4</v>
      </c>
      <c r="AL55" s="133">
        <f>IFERROR(__xludf.DUMMYFUNCTION("""COMPUTED_VALUE"""),1.0)</f>
        <v>1</v>
      </c>
      <c r="AM55" s="133">
        <f>IFERROR(__xludf.DUMMYFUNCTION("""COMPUTED_VALUE"""),2.0)</f>
        <v>2</v>
      </c>
      <c r="AN55" s="133" t="str">
        <f>IFERROR(__xludf.DUMMYFUNCTION("""COMPUTED_VALUE"""),"3.5")</f>
        <v>3.5</v>
      </c>
      <c r="AO55" s="133">
        <f>IFERROR(__xludf.DUMMYFUNCTION("""COMPUTED_VALUE"""),3.0)</f>
        <v>3</v>
      </c>
      <c r="AP55" s="155" t="s">
        <v>2461</v>
      </c>
    </row>
    <row r="56">
      <c r="A56" s="555">
        <f>IFERROR(__xludf.DUMMYFUNCTION("""COMPUTED_VALUE"""),52.0)</f>
        <v>52</v>
      </c>
      <c r="B56" s="555" t="str">
        <f>IFERROR(__xludf.DUMMYFUNCTION("""COMPUTED_VALUE"""),"dhse23cs@cmrit.ac.in")</f>
        <v>dhse23cs@cmrit.ac.in</v>
      </c>
      <c r="C56" s="172" t="str">
        <f>IFERROR(__xludf.DUMMYFUNCTION("""COMPUTED_VALUE"""),"Dhyan M Setty")</f>
        <v>Dhyan M Setty</v>
      </c>
      <c r="D56" s="261" t="str">
        <f>IFERROR(__xludf.DUMMYFUNCTION("""COMPUTED_VALUE"""),"1CR23CS054")</f>
        <v>1CR23CS054</v>
      </c>
      <c r="E56" s="563">
        <f>IFERROR(__xludf.DUMMYFUNCTION("""COMPUTED_VALUE"""),9.380361373E9)</f>
        <v>9380361373</v>
      </c>
      <c r="F56" s="155" t="str">
        <f>IFERROR(__xludf.DUMMYFUNCTION("""COMPUTED_VALUE"""),"CSE")</f>
        <v>CSE</v>
      </c>
      <c r="G56" s="158"/>
      <c r="H56" s="559">
        <f>IFERROR(__xludf.DUMMYFUNCTION("""COMPUTED_VALUE"""),81.0)</f>
        <v>81</v>
      </c>
      <c r="I56" s="559">
        <f>IFERROR(__xludf.DUMMYFUNCTION("""COMPUTED_VALUE"""),90.0)</f>
        <v>90</v>
      </c>
      <c r="J56" s="559">
        <f>IFERROR(__xludf.DUMMYFUNCTION("""COMPUTED_VALUE"""),71.0)</f>
        <v>71</v>
      </c>
      <c r="K56" s="559">
        <f>IFERROR(__xludf.DUMMYFUNCTION("""COMPUTED_VALUE"""),72.0)</f>
        <v>72</v>
      </c>
      <c r="L56" s="560">
        <f>IFERROR(__xludf.DUMMYFUNCTION("""COMPUTED_VALUE"""),50.0)</f>
        <v>50</v>
      </c>
      <c r="M56" s="561">
        <f>IFERROR(__xludf.DUMMYFUNCTION("""COMPUTED_VALUE"""),50.0)</f>
        <v>50</v>
      </c>
      <c r="N56" s="561">
        <f>IFERROR(__xludf.DUMMYFUNCTION("""COMPUTED_VALUE"""),56.0)</f>
        <v>56</v>
      </c>
      <c r="O56" s="560"/>
      <c r="P56" s="562">
        <f>IFERROR(__xludf.DUMMYFUNCTION("""COMPUTED_VALUE"""),73.0)</f>
        <v>73</v>
      </c>
      <c r="Q56" s="562">
        <f>IFERROR(__xludf.DUMMYFUNCTION("""COMPUTED_VALUE"""),73.0)</f>
        <v>73</v>
      </c>
      <c r="R56" s="562">
        <f>IFERROR(__xludf.DUMMYFUNCTION("""COMPUTED_VALUE"""),92.0)</f>
        <v>92</v>
      </c>
      <c r="S56" s="562"/>
      <c r="T56" s="217">
        <f>IFERROR(__xludf.DUMMYFUNCTION("""COMPUTED_VALUE"""),13.0)</f>
        <v>13</v>
      </c>
      <c r="U56" s="217">
        <f>IFERROR(__xludf.DUMMYFUNCTION("""COMPUTED_VALUE"""),20.0)</f>
        <v>20</v>
      </c>
      <c r="V56" s="217">
        <f>IFERROR(__xludf.DUMMYFUNCTION("""COMPUTED_VALUE"""),84.0)</f>
        <v>84</v>
      </c>
      <c r="W56" s="217">
        <f>IFERROR(__xludf.DUMMYFUNCTION("""COMPUTED_VALUE"""),48.0)</f>
        <v>48</v>
      </c>
      <c r="X56" s="217">
        <f>IFERROR(__xludf.DUMMYFUNCTION("""COMPUTED_VALUE"""),60.0)</f>
        <v>60</v>
      </c>
      <c r="Y56" s="217"/>
      <c r="Z56" s="217"/>
      <c r="AA56" s="481">
        <f>IFERROR(__xludf.DUMMYFUNCTION("""COMPUTED_VALUE"""),78.0)</f>
        <v>78</v>
      </c>
      <c r="AB56" s="481">
        <f>IFERROR(__xludf.DUMMYFUNCTION("""COMPUTED_VALUE"""),85.0)</f>
        <v>85</v>
      </c>
      <c r="AC56" s="481">
        <f>IFERROR(__xludf.DUMMYFUNCTION("""COMPUTED_VALUE"""),60.0)</f>
        <v>60</v>
      </c>
      <c r="AD56" s="481">
        <f>IFERROR(__xludf.DUMMYFUNCTION("""COMPUTED_VALUE"""),63.0)</f>
        <v>63</v>
      </c>
      <c r="AE56" s="481">
        <f>IFERROR(__xludf.DUMMYFUNCTION("""COMPUTED_VALUE"""),91.0)</f>
        <v>91</v>
      </c>
      <c r="AF56" s="481"/>
      <c r="AG56" s="481">
        <f>IFERROR(__xludf.DUMMYFUNCTION("""COMPUTED_VALUE"""),63.0)</f>
        <v>63</v>
      </c>
      <c r="AH56" s="481"/>
      <c r="AI56" s="158"/>
      <c r="AJ56" s="158"/>
      <c r="AK56" s="133">
        <f>IFERROR(__xludf.DUMMYFUNCTION("""COMPUTED_VALUE"""),4.0)</f>
        <v>4</v>
      </c>
      <c r="AL56" s="133">
        <f>IFERROR(__xludf.DUMMYFUNCTION("""COMPUTED_VALUE"""),3.0)</f>
        <v>3</v>
      </c>
      <c r="AM56" s="133">
        <f>IFERROR(__xludf.DUMMYFUNCTION("""COMPUTED_VALUE"""),2.0)</f>
        <v>2</v>
      </c>
      <c r="AN56" s="133" t="str">
        <f>IFERROR(__xludf.DUMMYFUNCTION("""COMPUTED_VALUE"""),"3.5")</f>
        <v>3.5</v>
      </c>
      <c r="AO56" s="133">
        <f>IFERROR(__xludf.DUMMYFUNCTION("""COMPUTED_VALUE"""),3.0)</f>
        <v>3</v>
      </c>
      <c r="AP56" s="155" t="s">
        <v>2461</v>
      </c>
    </row>
    <row r="57">
      <c r="A57" s="555">
        <f>IFERROR(__xludf.DUMMYFUNCTION("""COMPUTED_VALUE"""),53.0)</f>
        <v>53</v>
      </c>
      <c r="B57" s="555" t="str">
        <f>IFERROR(__xludf.DUMMYFUNCTION("""COMPUTED_VALUE"""),"ndh23cs@cmrit.ac.in")</f>
        <v>ndh23cs@cmrit.ac.in</v>
      </c>
      <c r="C57" s="174" t="str">
        <f>IFERROR(__xludf.DUMMYFUNCTION("""COMPUTED_VALUE"""),"Dhyan N ")</f>
        <v>Dhyan N </v>
      </c>
      <c r="D57" s="261" t="str">
        <f>IFERROR(__xludf.DUMMYFUNCTION("""COMPUTED_VALUE"""),"1CR23CS055")</f>
        <v>1CR23CS055</v>
      </c>
      <c r="E57" s="563">
        <f>IFERROR(__xludf.DUMMYFUNCTION("""COMPUTED_VALUE"""),8.867163991E9)</f>
        <v>8867163991</v>
      </c>
      <c r="F57" s="155" t="str">
        <f>IFERROR(__xludf.DUMMYFUNCTION("""COMPUTED_VALUE"""),"CSE")</f>
        <v>CSE</v>
      </c>
      <c r="G57" s="158"/>
      <c r="H57" s="559">
        <f>IFERROR(__xludf.DUMMYFUNCTION("""COMPUTED_VALUE"""),87.0)</f>
        <v>87</v>
      </c>
      <c r="I57" s="559">
        <f>IFERROR(__xludf.DUMMYFUNCTION("""COMPUTED_VALUE"""),89.0)</f>
        <v>89</v>
      </c>
      <c r="J57" s="559">
        <f>IFERROR(__xludf.DUMMYFUNCTION("""COMPUTED_VALUE"""),82.0)</f>
        <v>82</v>
      </c>
      <c r="K57" s="559">
        <f>IFERROR(__xludf.DUMMYFUNCTION("""COMPUTED_VALUE"""),80.0)</f>
        <v>80</v>
      </c>
      <c r="L57" s="560">
        <f>IFERROR(__xludf.DUMMYFUNCTION("""COMPUTED_VALUE"""),56.0)</f>
        <v>56</v>
      </c>
      <c r="M57" s="561">
        <f>IFERROR(__xludf.DUMMYFUNCTION("""COMPUTED_VALUE"""),67.0)</f>
        <v>67</v>
      </c>
      <c r="N57" s="561">
        <f>IFERROR(__xludf.DUMMYFUNCTION("""COMPUTED_VALUE"""),66.0)</f>
        <v>66</v>
      </c>
      <c r="O57" s="560"/>
      <c r="P57" s="562">
        <f>IFERROR(__xludf.DUMMYFUNCTION("""COMPUTED_VALUE"""),78.0)</f>
        <v>78</v>
      </c>
      <c r="Q57" s="562">
        <f>IFERROR(__xludf.DUMMYFUNCTION("""COMPUTED_VALUE"""),62.0)</f>
        <v>62</v>
      </c>
      <c r="R57" s="562">
        <f>IFERROR(__xludf.DUMMYFUNCTION("""COMPUTED_VALUE"""),76.0)</f>
        <v>76</v>
      </c>
      <c r="S57" s="562"/>
      <c r="T57" s="217">
        <f>IFERROR(__xludf.DUMMYFUNCTION("""COMPUTED_VALUE"""),17.0)</f>
        <v>17</v>
      </c>
      <c r="U57" s="217">
        <f>IFERROR(__xludf.DUMMYFUNCTION("""COMPUTED_VALUE"""),19.0)</f>
        <v>19</v>
      </c>
      <c r="V57" s="217">
        <f>IFERROR(__xludf.DUMMYFUNCTION("""COMPUTED_VALUE"""),80.0)</f>
        <v>80</v>
      </c>
      <c r="W57" s="217">
        <f>IFERROR(__xludf.DUMMYFUNCTION("""COMPUTED_VALUE"""),48.0)</f>
        <v>48</v>
      </c>
      <c r="X57" s="217">
        <f>IFERROR(__xludf.DUMMYFUNCTION("""COMPUTED_VALUE"""),86.0)</f>
        <v>86</v>
      </c>
      <c r="Y57" s="217"/>
      <c r="Z57" s="217"/>
      <c r="AA57" s="481">
        <f>IFERROR(__xludf.DUMMYFUNCTION("""COMPUTED_VALUE"""),100.0)</f>
        <v>100</v>
      </c>
      <c r="AB57" s="481">
        <f>IFERROR(__xludf.DUMMYFUNCTION("""COMPUTED_VALUE"""),99.5)</f>
        <v>99.5</v>
      </c>
      <c r="AC57" s="481">
        <f>IFERROR(__xludf.DUMMYFUNCTION("""COMPUTED_VALUE"""),99.5)</f>
        <v>99.5</v>
      </c>
      <c r="AD57" s="481">
        <f>IFERROR(__xludf.DUMMYFUNCTION("""COMPUTED_VALUE"""),64.0)</f>
        <v>64</v>
      </c>
      <c r="AE57" s="481">
        <f>IFERROR(__xludf.DUMMYFUNCTION("""COMPUTED_VALUE"""),90.0)</f>
        <v>90</v>
      </c>
      <c r="AF57" s="481"/>
      <c r="AG57" s="481">
        <f>IFERROR(__xludf.DUMMYFUNCTION("""COMPUTED_VALUE"""),40.0)</f>
        <v>40</v>
      </c>
      <c r="AH57" s="481"/>
      <c r="AI57" s="158"/>
      <c r="AJ57" s="158"/>
      <c r="AK57" s="133">
        <f>IFERROR(__xludf.DUMMYFUNCTION("""COMPUTED_VALUE"""),4.0)</f>
        <v>4</v>
      </c>
      <c r="AL57" s="133">
        <f>IFERROR(__xludf.DUMMYFUNCTION("""COMPUTED_VALUE"""),3.0)</f>
        <v>3</v>
      </c>
      <c r="AM57" s="133">
        <f>IFERROR(__xludf.DUMMYFUNCTION("""COMPUTED_VALUE"""),2.0)</f>
        <v>2</v>
      </c>
      <c r="AN57" s="133" t="str">
        <f>IFERROR(__xludf.DUMMYFUNCTION("""COMPUTED_VALUE"""),"3.5")</f>
        <v>3.5</v>
      </c>
      <c r="AO57" s="133">
        <f>IFERROR(__xludf.DUMMYFUNCTION("""COMPUTED_VALUE"""),3.0)</f>
        <v>3</v>
      </c>
      <c r="AP57" s="155" t="s">
        <v>2461</v>
      </c>
    </row>
    <row r="58">
      <c r="A58" s="555">
        <f>IFERROR(__xludf.DUMMYFUNCTION("""COMPUTED_VALUE"""),54.0)</f>
        <v>54</v>
      </c>
      <c r="B58" s="555" t="str">
        <f>IFERROR(__xludf.DUMMYFUNCTION("""COMPUTED_VALUE"""),"didb23cs@cmrit.ac.in")</f>
        <v>didb23cs@cmrit.ac.in</v>
      </c>
      <c r="C58" s="172" t="str">
        <f>IFERROR(__xludf.DUMMYFUNCTION("""COMPUTED_VALUE"""),"Dimpana D B N")</f>
        <v>Dimpana D B N</v>
      </c>
      <c r="D58" s="261" t="str">
        <f>IFERROR(__xludf.DUMMYFUNCTION("""COMPUTED_VALUE"""),"1CR23CS056")</f>
        <v>1CR23CS056</v>
      </c>
      <c r="E58" s="563">
        <f>IFERROR(__xludf.DUMMYFUNCTION("""COMPUTED_VALUE"""),6.362579928E9)</f>
        <v>6362579928</v>
      </c>
      <c r="F58" s="155" t="str">
        <f>IFERROR(__xludf.DUMMYFUNCTION("""COMPUTED_VALUE"""),"CSE")</f>
        <v>CSE</v>
      </c>
      <c r="G58" s="158"/>
      <c r="H58" s="559">
        <f>IFERROR(__xludf.DUMMYFUNCTION("""COMPUTED_VALUE"""),76.0)</f>
        <v>76</v>
      </c>
      <c r="I58" s="559">
        <f>IFERROR(__xludf.DUMMYFUNCTION("""COMPUTED_VALUE"""),79.0)</f>
        <v>79</v>
      </c>
      <c r="J58" s="559">
        <f>IFERROR(__xludf.DUMMYFUNCTION("""COMPUTED_VALUE"""),77.0)</f>
        <v>77</v>
      </c>
      <c r="K58" s="559">
        <f>IFERROR(__xludf.DUMMYFUNCTION("""COMPUTED_VALUE"""),70.0)</f>
        <v>70</v>
      </c>
      <c r="L58" s="560">
        <f>IFERROR(__xludf.DUMMYFUNCTION("""COMPUTED_VALUE"""),50.0)</f>
        <v>50</v>
      </c>
      <c r="M58" s="561">
        <f>IFERROR(__xludf.DUMMYFUNCTION("""COMPUTED_VALUE"""),55.0)</f>
        <v>55</v>
      </c>
      <c r="N58" s="561">
        <f>IFERROR(__xludf.DUMMYFUNCTION("""COMPUTED_VALUE"""),55.0)</f>
        <v>55</v>
      </c>
      <c r="O58" s="560"/>
      <c r="P58" s="562">
        <f>IFERROR(__xludf.DUMMYFUNCTION("""COMPUTED_VALUE"""),82.0)</f>
        <v>82</v>
      </c>
      <c r="Q58" s="562">
        <f>IFERROR(__xludf.DUMMYFUNCTION("""COMPUTED_VALUE"""),66.0)</f>
        <v>66</v>
      </c>
      <c r="R58" s="562">
        <f>IFERROR(__xludf.DUMMYFUNCTION("""COMPUTED_VALUE"""),85.0)</f>
        <v>85</v>
      </c>
      <c r="S58" s="562"/>
      <c r="T58" s="217">
        <f>IFERROR(__xludf.DUMMYFUNCTION("""COMPUTED_VALUE"""),18.0)</f>
        <v>18</v>
      </c>
      <c r="U58" s="217">
        <f>IFERROR(__xludf.DUMMYFUNCTION("""COMPUTED_VALUE"""),18.0)</f>
        <v>18</v>
      </c>
      <c r="V58" s="217">
        <f>IFERROR(__xludf.DUMMYFUNCTION("""COMPUTED_VALUE"""),64.0)</f>
        <v>64</v>
      </c>
      <c r="W58" s="217">
        <f>IFERROR(__xludf.DUMMYFUNCTION("""COMPUTED_VALUE"""),76.0)</f>
        <v>76</v>
      </c>
      <c r="X58" s="217">
        <f>IFERROR(__xludf.DUMMYFUNCTION("""COMPUTED_VALUE"""),86.0)</f>
        <v>86</v>
      </c>
      <c r="Y58" s="217"/>
      <c r="Z58" s="217"/>
      <c r="AA58" s="481">
        <f>IFERROR(__xludf.DUMMYFUNCTION("""COMPUTED_VALUE"""),88.0)</f>
        <v>88</v>
      </c>
      <c r="AB58" s="481">
        <f>IFERROR(__xludf.DUMMYFUNCTION("""COMPUTED_VALUE"""),58.75)</f>
        <v>58.75</v>
      </c>
      <c r="AC58" s="481">
        <f>IFERROR(__xludf.DUMMYFUNCTION("""COMPUTED_VALUE"""),80.0)</f>
        <v>80</v>
      </c>
      <c r="AD58" s="481">
        <f>IFERROR(__xludf.DUMMYFUNCTION("""COMPUTED_VALUE"""),72.0)</f>
        <v>72</v>
      </c>
      <c r="AE58" s="481">
        <f>IFERROR(__xludf.DUMMYFUNCTION("""COMPUTED_VALUE"""),92.0)</f>
        <v>92</v>
      </c>
      <c r="AF58" s="481"/>
      <c r="AG58" s="481">
        <f>IFERROR(__xludf.DUMMYFUNCTION("""COMPUTED_VALUE"""),70.0)</f>
        <v>70</v>
      </c>
      <c r="AH58" s="481"/>
      <c r="AI58" s="158"/>
      <c r="AJ58" s="158"/>
      <c r="AK58" s="133">
        <f>IFERROR(__xludf.DUMMYFUNCTION("""COMPUTED_VALUE"""),4.0)</f>
        <v>4</v>
      </c>
      <c r="AL58" s="133">
        <f>IFERROR(__xludf.DUMMYFUNCTION("""COMPUTED_VALUE"""),3.0)</f>
        <v>3</v>
      </c>
      <c r="AM58" s="133">
        <f>IFERROR(__xludf.DUMMYFUNCTION("""COMPUTED_VALUE"""),3.0)</f>
        <v>3</v>
      </c>
      <c r="AN58" s="133" t="str">
        <f>IFERROR(__xludf.DUMMYFUNCTION("""COMPUTED_VALUE"""),"3.5")</f>
        <v>3.5</v>
      </c>
      <c r="AO58" s="133">
        <f>IFERROR(__xludf.DUMMYFUNCTION("""COMPUTED_VALUE"""),3.0)</f>
        <v>3</v>
      </c>
      <c r="AP58" s="155" t="s">
        <v>2461</v>
      </c>
    </row>
    <row r="59">
      <c r="A59" s="555">
        <f>IFERROR(__xludf.DUMMYFUNCTION("""COMPUTED_VALUE"""),55.0)</f>
        <v>55</v>
      </c>
      <c r="B59" s="555" t="str">
        <f>IFERROR(__xludf.DUMMYFUNCTION("""COMPUTED_VALUE"""),"dita23cs@cmrit.ac.in")</f>
        <v>dita23cs@cmrit.ac.in</v>
      </c>
      <c r="C59" s="172" t="str">
        <f>IFERROR(__xludf.DUMMYFUNCTION("""COMPUTED_VALUE"""),"DISHA CHANDRU TANDEL ")</f>
        <v>DISHA CHANDRU TANDEL </v>
      </c>
      <c r="D59" s="261" t="str">
        <f>IFERROR(__xludf.DUMMYFUNCTION("""COMPUTED_VALUE"""),"1CR23CS057")</f>
        <v>1CR23CS057</v>
      </c>
      <c r="E59" s="563">
        <f>IFERROR(__xludf.DUMMYFUNCTION("""COMPUTED_VALUE"""),8.050567206E9)</f>
        <v>8050567206</v>
      </c>
      <c r="F59" s="155" t="str">
        <f>IFERROR(__xludf.DUMMYFUNCTION("""COMPUTED_VALUE"""),"CSE")</f>
        <v>CSE</v>
      </c>
      <c r="G59" s="158"/>
      <c r="H59" s="559">
        <f>IFERROR(__xludf.DUMMYFUNCTION("""COMPUTED_VALUE"""),79.0)</f>
        <v>79</v>
      </c>
      <c r="I59" s="559">
        <f>IFERROR(__xludf.DUMMYFUNCTION("""COMPUTED_VALUE"""),79.0)</f>
        <v>79</v>
      </c>
      <c r="J59" s="559">
        <f>IFERROR(__xludf.DUMMYFUNCTION("""COMPUTED_VALUE"""),79.0)</f>
        <v>79</v>
      </c>
      <c r="K59" s="559">
        <f>IFERROR(__xludf.DUMMYFUNCTION("""COMPUTED_VALUE"""),72.0)</f>
        <v>72</v>
      </c>
      <c r="L59" s="560">
        <f>IFERROR(__xludf.DUMMYFUNCTION("""COMPUTED_VALUE"""),50.0)</f>
        <v>50</v>
      </c>
      <c r="M59" s="561">
        <f>IFERROR(__xludf.DUMMYFUNCTION("""COMPUTED_VALUE"""),50.0)</f>
        <v>50</v>
      </c>
      <c r="N59" s="561">
        <f>IFERROR(__xludf.DUMMYFUNCTION("""COMPUTED_VALUE"""),50.0)</f>
        <v>50</v>
      </c>
      <c r="O59" s="560"/>
      <c r="P59" s="562">
        <f>IFERROR(__xludf.DUMMYFUNCTION("""COMPUTED_VALUE"""),50.0)</f>
        <v>50</v>
      </c>
      <c r="Q59" s="562">
        <f>IFERROR(__xludf.DUMMYFUNCTION("""COMPUTED_VALUE"""),66.0)</f>
        <v>66</v>
      </c>
      <c r="R59" s="562">
        <f>IFERROR(__xludf.DUMMYFUNCTION("""COMPUTED_VALUE"""),86.0)</f>
        <v>86</v>
      </c>
      <c r="S59" s="562"/>
      <c r="T59" s="217">
        <f>IFERROR(__xludf.DUMMYFUNCTION("""COMPUTED_VALUE"""),14.0)</f>
        <v>14</v>
      </c>
      <c r="U59" s="217">
        <f>IFERROR(__xludf.DUMMYFUNCTION("""COMPUTED_VALUE"""),19.0)</f>
        <v>19</v>
      </c>
      <c r="V59" s="217">
        <f>IFERROR(__xludf.DUMMYFUNCTION("""COMPUTED_VALUE"""),68.0)</f>
        <v>68</v>
      </c>
      <c r="W59" s="217">
        <f>IFERROR(__xludf.DUMMYFUNCTION("""COMPUTED_VALUE"""),64.0)</f>
        <v>64</v>
      </c>
      <c r="X59" s="217">
        <f>IFERROR(__xludf.DUMMYFUNCTION("""COMPUTED_VALUE"""),84.0)</f>
        <v>84</v>
      </c>
      <c r="Y59" s="217"/>
      <c r="Z59" s="217"/>
      <c r="AA59" s="481">
        <f>IFERROR(__xludf.DUMMYFUNCTION("""COMPUTED_VALUE"""),40.0)</f>
        <v>40</v>
      </c>
      <c r="AB59" s="481">
        <f>IFERROR(__xludf.DUMMYFUNCTION("""COMPUTED_VALUE"""),59.0)</f>
        <v>59</v>
      </c>
      <c r="AC59" s="481">
        <f>IFERROR(__xludf.DUMMYFUNCTION("""COMPUTED_VALUE"""),60.0)</f>
        <v>60</v>
      </c>
      <c r="AD59" s="481">
        <f>IFERROR(__xludf.DUMMYFUNCTION("""COMPUTED_VALUE"""),100.0)</f>
        <v>100</v>
      </c>
      <c r="AE59" s="481">
        <f>IFERROR(__xludf.DUMMYFUNCTION("""COMPUTED_VALUE"""),72.0)</f>
        <v>72</v>
      </c>
      <c r="AF59" s="481"/>
      <c r="AG59" s="481">
        <f>IFERROR(__xludf.DUMMYFUNCTION("""COMPUTED_VALUE"""),70.0)</f>
        <v>70</v>
      </c>
      <c r="AH59" s="481"/>
      <c r="AI59" s="158"/>
      <c r="AJ59" s="158"/>
      <c r="AK59" s="133">
        <f>IFERROR(__xludf.DUMMYFUNCTION("""COMPUTED_VALUE"""),4.0)</f>
        <v>4</v>
      </c>
      <c r="AL59" s="133">
        <f>IFERROR(__xludf.DUMMYFUNCTION("""COMPUTED_VALUE"""),3.0)</f>
        <v>3</v>
      </c>
      <c r="AM59" s="133">
        <f>IFERROR(__xludf.DUMMYFUNCTION("""COMPUTED_VALUE"""),3.0)</f>
        <v>3</v>
      </c>
      <c r="AN59" s="133" t="str">
        <f>IFERROR(__xludf.DUMMYFUNCTION("""COMPUTED_VALUE"""),"3.5")</f>
        <v>3.5</v>
      </c>
      <c r="AO59" s="133">
        <f>IFERROR(__xludf.DUMMYFUNCTION("""COMPUTED_VALUE"""),3.0)</f>
        <v>3</v>
      </c>
      <c r="AP59" s="155" t="s">
        <v>2461</v>
      </c>
    </row>
    <row r="60">
      <c r="A60" s="555">
        <f>IFERROR(__xludf.DUMMYFUNCTION("""COMPUTED_VALUE"""),56.0)</f>
        <v>56</v>
      </c>
      <c r="B60" s="555" t="str">
        <f>IFERROR(__xludf.DUMMYFUNCTION("""COMPUTED_VALUE"""),"dire23cs@cmrit.ac.in")</f>
        <v>dire23cs@cmrit.ac.in</v>
      </c>
      <c r="C60" s="172" t="str">
        <f>IFERROR(__xludf.DUMMYFUNCTION("""COMPUTED_VALUE"""),"DIYASHREE REDDY Y")</f>
        <v>DIYASHREE REDDY Y</v>
      </c>
      <c r="D60" s="261" t="str">
        <f>IFERROR(__xludf.DUMMYFUNCTION("""COMPUTED_VALUE"""),"1CR23CS058")</f>
        <v>1CR23CS058</v>
      </c>
      <c r="E60" s="563">
        <f>IFERROR(__xludf.DUMMYFUNCTION("""COMPUTED_VALUE"""),8.088892754E9)</f>
        <v>8088892754</v>
      </c>
      <c r="F60" s="155" t="str">
        <f>IFERROR(__xludf.DUMMYFUNCTION("""COMPUTED_VALUE"""),"CSE")</f>
        <v>CSE</v>
      </c>
      <c r="G60" s="158"/>
      <c r="H60" s="559">
        <f>IFERROR(__xludf.DUMMYFUNCTION("""COMPUTED_VALUE"""),81.0)</f>
        <v>81</v>
      </c>
      <c r="I60" s="559">
        <f>IFERROR(__xludf.DUMMYFUNCTION("""COMPUTED_VALUE"""),80.0)</f>
        <v>80</v>
      </c>
      <c r="J60" s="559">
        <f>IFERROR(__xludf.DUMMYFUNCTION("""COMPUTED_VALUE"""),70.0)</f>
        <v>70</v>
      </c>
      <c r="K60" s="559">
        <f>IFERROR(__xludf.DUMMYFUNCTION("""COMPUTED_VALUE"""),49.0)</f>
        <v>49</v>
      </c>
      <c r="L60" s="560">
        <f>IFERROR(__xludf.DUMMYFUNCTION("""COMPUTED_VALUE"""),39.0)</f>
        <v>39</v>
      </c>
      <c r="M60" s="561">
        <f>IFERROR(__xludf.DUMMYFUNCTION("""COMPUTED_VALUE"""),15.0)</f>
        <v>15</v>
      </c>
      <c r="N60" s="561">
        <f>IFERROR(__xludf.DUMMYFUNCTION("""COMPUTED_VALUE"""),0.0)</f>
        <v>0</v>
      </c>
      <c r="O60" s="560"/>
      <c r="P60" s="562">
        <f>IFERROR(__xludf.DUMMYFUNCTION("""COMPUTED_VALUE"""),74.0)</f>
        <v>74</v>
      </c>
      <c r="Q60" s="562">
        <f>IFERROR(__xludf.DUMMYFUNCTION("""COMPUTED_VALUE"""),63.0)</f>
        <v>63</v>
      </c>
      <c r="R60" s="562">
        <f>IFERROR(__xludf.DUMMYFUNCTION("""COMPUTED_VALUE"""),0.0)</f>
        <v>0</v>
      </c>
      <c r="S60" s="562"/>
      <c r="T60" s="217">
        <f>IFERROR(__xludf.DUMMYFUNCTION("""COMPUTED_VALUE"""),11.0)</f>
        <v>11</v>
      </c>
      <c r="U60" s="217">
        <f>IFERROR(__xludf.DUMMYFUNCTION("""COMPUTED_VALUE"""),21.0)</f>
        <v>21</v>
      </c>
      <c r="V60" s="217">
        <f>IFERROR(__xludf.DUMMYFUNCTION("""COMPUTED_VALUE"""),76.0)</f>
        <v>76</v>
      </c>
      <c r="W60" s="217">
        <f>IFERROR(__xludf.DUMMYFUNCTION("""COMPUTED_VALUE"""),76.0)</f>
        <v>76</v>
      </c>
      <c r="X60" s="217">
        <f>IFERROR(__xludf.DUMMYFUNCTION("""COMPUTED_VALUE"""),88.0)</f>
        <v>88</v>
      </c>
      <c r="Y60" s="217"/>
      <c r="Z60" s="217"/>
      <c r="AA60" s="481">
        <f>IFERROR(__xludf.DUMMYFUNCTION("""COMPUTED_VALUE"""),66.0)</f>
        <v>66</v>
      </c>
      <c r="AB60" s="481">
        <f>IFERROR(__xludf.DUMMYFUNCTION("""COMPUTED_VALUE"""),40.0)</f>
        <v>40</v>
      </c>
      <c r="AC60" s="481">
        <f>IFERROR(__xludf.DUMMYFUNCTION("""COMPUTED_VALUE"""),0.0)</f>
        <v>0</v>
      </c>
      <c r="AD60" s="481">
        <f>IFERROR(__xludf.DUMMYFUNCTION("""COMPUTED_VALUE"""),0.0)</f>
        <v>0</v>
      </c>
      <c r="AE60" s="481">
        <f>IFERROR(__xludf.DUMMYFUNCTION("""COMPUTED_VALUE"""),10.0)</f>
        <v>10</v>
      </c>
      <c r="AF60" s="481"/>
      <c r="AG60" s="481">
        <f>IFERROR(__xludf.DUMMYFUNCTION("""COMPUTED_VALUE"""),0.0)</f>
        <v>0</v>
      </c>
      <c r="AH60" s="481"/>
      <c r="AI60" s="158"/>
      <c r="AJ60" s="158"/>
      <c r="AK60" s="133">
        <f>IFERROR(__xludf.DUMMYFUNCTION("""COMPUTED_VALUE"""),3.0)</f>
        <v>3</v>
      </c>
      <c r="AL60" s="133">
        <f>IFERROR(__xludf.DUMMYFUNCTION("""COMPUTED_VALUE"""),0.0)</f>
        <v>0</v>
      </c>
      <c r="AM60" s="133">
        <f>IFERROR(__xludf.DUMMYFUNCTION("""COMPUTED_VALUE"""),3.0)</f>
        <v>3</v>
      </c>
      <c r="AN60" s="133" t="str">
        <f>IFERROR(__xludf.DUMMYFUNCTION("""COMPUTED_VALUE"""),"0")</f>
        <v>0</v>
      </c>
      <c r="AO60" s="133">
        <f>IFERROR(__xludf.DUMMYFUNCTION("""COMPUTED_VALUE"""),2.0)</f>
        <v>2</v>
      </c>
      <c r="AP60" s="155" t="s">
        <v>2461</v>
      </c>
    </row>
    <row r="61">
      <c r="A61" s="555">
        <f>IFERROR(__xludf.DUMMYFUNCTION("""COMPUTED_VALUE"""),57.0)</f>
        <v>57</v>
      </c>
      <c r="B61" s="555" t="str">
        <f>IFERROR(__xludf.DUMMYFUNCTION("""COMPUTED_VALUE"""),"drar23cs@cmrit.ac.in")</f>
        <v>drar23cs@cmrit.ac.in</v>
      </c>
      <c r="C61" s="172" t="str">
        <f>IFERROR(__xludf.DUMMYFUNCTION("""COMPUTED_VALUE"""),"DRISHTI ARYA")</f>
        <v>DRISHTI ARYA</v>
      </c>
      <c r="D61" s="261" t="str">
        <f>IFERROR(__xludf.DUMMYFUNCTION("""COMPUTED_VALUE"""),"1CR23CS059")</f>
        <v>1CR23CS059</v>
      </c>
      <c r="E61" s="563">
        <f>IFERROR(__xludf.DUMMYFUNCTION("""COMPUTED_VALUE"""),8.603999883E9)</f>
        <v>8603999883</v>
      </c>
      <c r="F61" s="155" t="str">
        <f>IFERROR(__xludf.DUMMYFUNCTION("""COMPUTED_VALUE"""),"CSE")</f>
        <v>CSE</v>
      </c>
      <c r="G61" s="158"/>
      <c r="H61" s="559">
        <f>IFERROR(__xludf.DUMMYFUNCTION("""COMPUTED_VALUE"""),83.0)</f>
        <v>83</v>
      </c>
      <c r="I61" s="559">
        <f>IFERROR(__xludf.DUMMYFUNCTION("""COMPUTED_VALUE"""),86.0)</f>
        <v>86</v>
      </c>
      <c r="J61" s="559">
        <f>IFERROR(__xludf.DUMMYFUNCTION("""COMPUTED_VALUE"""),70.0)</f>
        <v>70</v>
      </c>
      <c r="K61" s="559">
        <f>IFERROR(__xludf.DUMMYFUNCTION("""COMPUTED_VALUE"""),79.0)</f>
        <v>79</v>
      </c>
      <c r="L61" s="560">
        <f>IFERROR(__xludf.DUMMYFUNCTION("""COMPUTED_VALUE"""),50.0)</f>
        <v>50</v>
      </c>
      <c r="M61" s="561">
        <f>IFERROR(__xludf.DUMMYFUNCTION("""COMPUTED_VALUE"""),50.0)</f>
        <v>50</v>
      </c>
      <c r="N61" s="561">
        <f>IFERROR(__xludf.DUMMYFUNCTION("""COMPUTED_VALUE"""),60.0)</f>
        <v>60</v>
      </c>
      <c r="O61" s="560"/>
      <c r="P61" s="562">
        <f>IFERROR(__xludf.DUMMYFUNCTION("""COMPUTED_VALUE"""),87.0)</f>
        <v>87</v>
      </c>
      <c r="Q61" s="562">
        <f>IFERROR(__xludf.DUMMYFUNCTION("""COMPUTED_VALUE"""),66.0)</f>
        <v>66</v>
      </c>
      <c r="R61" s="562">
        <f>IFERROR(__xludf.DUMMYFUNCTION("""COMPUTED_VALUE"""),84.0)</f>
        <v>84</v>
      </c>
      <c r="S61" s="562"/>
      <c r="T61" s="217">
        <f>IFERROR(__xludf.DUMMYFUNCTION("""COMPUTED_VALUE"""),16.0)</f>
        <v>16</v>
      </c>
      <c r="U61" s="217">
        <f>IFERROR(__xludf.DUMMYFUNCTION("""COMPUTED_VALUE"""),21.0)</f>
        <v>21</v>
      </c>
      <c r="V61" s="217">
        <f>IFERROR(__xludf.DUMMYFUNCTION("""COMPUTED_VALUE"""),76.0)</f>
        <v>76</v>
      </c>
      <c r="W61" s="217">
        <f>IFERROR(__xludf.DUMMYFUNCTION("""COMPUTED_VALUE"""),68.0)</f>
        <v>68</v>
      </c>
      <c r="X61" s="217">
        <f>IFERROR(__xludf.DUMMYFUNCTION("""COMPUTED_VALUE"""),86.0)</f>
        <v>86</v>
      </c>
      <c r="Y61" s="217"/>
      <c r="Z61" s="217"/>
      <c r="AA61" s="481">
        <f>IFERROR(__xludf.DUMMYFUNCTION("""COMPUTED_VALUE"""),84.0)</f>
        <v>84</v>
      </c>
      <c r="AB61" s="481">
        <f>IFERROR(__xludf.DUMMYFUNCTION("""COMPUTED_VALUE"""),82.75)</f>
        <v>82.75</v>
      </c>
      <c r="AC61" s="481">
        <f>IFERROR(__xludf.DUMMYFUNCTION("""COMPUTED_VALUE"""),80.0)</f>
        <v>80</v>
      </c>
      <c r="AD61" s="481">
        <f>IFERROR(__xludf.DUMMYFUNCTION("""COMPUTED_VALUE"""),100.0)</f>
        <v>100</v>
      </c>
      <c r="AE61" s="481">
        <f>IFERROR(__xludf.DUMMYFUNCTION("""COMPUTED_VALUE"""),91.0)</f>
        <v>91</v>
      </c>
      <c r="AF61" s="481"/>
      <c r="AG61" s="481">
        <f>IFERROR(__xludf.DUMMYFUNCTION("""COMPUTED_VALUE"""),34.0)</f>
        <v>34</v>
      </c>
      <c r="AH61" s="481"/>
      <c r="AI61" s="158"/>
      <c r="AJ61" s="158"/>
      <c r="AK61" s="133">
        <f>IFERROR(__xludf.DUMMYFUNCTION("""COMPUTED_VALUE"""),4.0)</f>
        <v>4</v>
      </c>
      <c r="AL61" s="133">
        <f>IFERROR(__xludf.DUMMYFUNCTION("""COMPUTED_VALUE"""),3.0)</f>
        <v>3</v>
      </c>
      <c r="AM61" s="133">
        <f>IFERROR(__xludf.DUMMYFUNCTION("""COMPUTED_VALUE"""),3.0)</f>
        <v>3</v>
      </c>
      <c r="AN61" s="133" t="str">
        <f>IFERROR(__xludf.DUMMYFUNCTION("""COMPUTED_VALUE"""),"3.5")</f>
        <v>3.5</v>
      </c>
      <c r="AO61" s="133">
        <f>IFERROR(__xludf.DUMMYFUNCTION("""COMPUTED_VALUE"""),3.0)</f>
        <v>3</v>
      </c>
      <c r="AP61" s="155" t="s">
        <v>2461</v>
      </c>
    </row>
    <row r="62">
      <c r="A62" s="555">
        <f>IFERROR(__xludf.DUMMYFUNCTION("""COMPUTED_VALUE"""),58.0)</f>
        <v>58</v>
      </c>
      <c r="B62" s="555" t="str">
        <f>IFERROR(__xludf.DUMMYFUNCTION("""COMPUTED_VALUE"""),"gbsa23cs@cmrit.ac.in")</f>
        <v>gbsa23cs@cmrit.ac.in</v>
      </c>
      <c r="C62" s="172" t="str">
        <f>IFERROR(__xludf.DUMMYFUNCTION("""COMPUTED_VALUE"""),"G BHARATH SAI")</f>
        <v>G BHARATH SAI</v>
      </c>
      <c r="D62" s="261" t="str">
        <f>IFERROR(__xludf.DUMMYFUNCTION("""COMPUTED_VALUE"""),"1CR23CS060")</f>
        <v>1CR23CS060</v>
      </c>
      <c r="E62" s="563">
        <f>IFERROR(__xludf.DUMMYFUNCTION("""COMPUTED_VALUE"""),8.150914707E9)</f>
        <v>8150914707</v>
      </c>
      <c r="F62" s="155" t="str">
        <f>IFERROR(__xludf.DUMMYFUNCTION("""COMPUTED_VALUE"""),"CSE")</f>
        <v>CSE</v>
      </c>
      <c r="G62" s="158"/>
      <c r="H62" s="559">
        <f>IFERROR(__xludf.DUMMYFUNCTION("""COMPUTED_VALUE"""),76.0)</f>
        <v>76</v>
      </c>
      <c r="I62" s="559">
        <f>IFERROR(__xludf.DUMMYFUNCTION("""COMPUTED_VALUE"""),77.0)</f>
        <v>77</v>
      </c>
      <c r="J62" s="559">
        <f>IFERROR(__xludf.DUMMYFUNCTION("""COMPUTED_VALUE"""),70.0)</f>
        <v>70</v>
      </c>
      <c r="K62" s="559">
        <f>IFERROR(__xludf.DUMMYFUNCTION("""COMPUTED_VALUE"""),70.0)</f>
        <v>70</v>
      </c>
      <c r="L62" s="560">
        <f>IFERROR(__xludf.DUMMYFUNCTION("""COMPUTED_VALUE"""),20.0)</f>
        <v>20</v>
      </c>
      <c r="M62" s="561">
        <f>IFERROR(__xludf.DUMMYFUNCTION("""COMPUTED_VALUE"""),50.0)</f>
        <v>50</v>
      </c>
      <c r="N62" s="561">
        <f>IFERROR(__xludf.DUMMYFUNCTION("""COMPUTED_VALUE"""),9.0)</f>
        <v>9</v>
      </c>
      <c r="O62" s="560"/>
      <c r="P62" s="562">
        <f>IFERROR(__xludf.DUMMYFUNCTION("""COMPUTED_VALUE"""),50.0)</f>
        <v>50</v>
      </c>
      <c r="Q62" s="562">
        <f>IFERROR(__xludf.DUMMYFUNCTION("""COMPUTED_VALUE"""),65.0)</f>
        <v>65</v>
      </c>
      <c r="R62" s="562">
        <f>IFERROR(__xludf.DUMMYFUNCTION("""COMPUTED_VALUE"""),86.0)</f>
        <v>86</v>
      </c>
      <c r="S62" s="562"/>
      <c r="T62" s="217">
        <f>IFERROR(__xludf.DUMMYFUNCTION("""COMPUTED_VALUE"""),13.0)</f>
        <v>13</v>
      </c>
      <c r="U62" s="217">
        <f>IFERROR(__xludf.DUMMYFUNCTION("""COMPUTED_VALUE"""),18.0)</f>
        <v>18</v>
      </c>
      <c r="V62" s="217">
        <f>IFERROR(__xludf.DUMMYFUNCTION("""COMPUTED_VALUE"""),68.0)</f>
        <v>68</v>
      </c>
      <c r="W62" s="217"/>
      <c r="X62" s="217">
        <f>IFERROR(__xludf.DUMMYFUNCTION("""COMPUTED_VALUE"""),68.0)</f>
        <v>68</v>
      </c>
      <c r="Y62" s="217"/>
      <c r="Z62" s="217"/>
      <c r="AA62" s="481">
        <f>IFERROR(__xludf.DUMMYFUNCTION("""COMPUTED_VALUE"""),12.0)</f>
        <v>12</v>
      </c>
      <c r="AB62" s="481">
        <f>IFERROR(__xludf.DUMMYFUNCTION("""COMPUTED_VALUE"""),42.5)</f>
        <v>42.5</v>
      </c>
      <c r="AC62" s="481">
        <f>IFERROR(__xludf.DUMMYFUNCTION("""COMPUTED_VALUE"""),37.5)</f>
        <v>37.5</v>
      </c>
      <c r="AD62" s="481">
        <f>IFERROR(__xludf.DUMMYFUNCTION("""COMPUTED_VALUE"""),10.0)</f>
        <v>10</v>
      </c>
      <c r="AE62" s="481">
        <f>IFERROR(__xludf.DUMMYFUNCTION("""COMPUTED_VALUE"""),13.0)</f>
        <v>13</v>
      </c>
      <c r="AF62" s="481"/>
      <c r="AG62" s="481">
        <f>IFERROR(__xludf.DUMMYFUNCTION("""COMPUTED_VALUE"""),0.0)</f>
        <v>0</v>
      </c>
      <c r="AH62" s="481"/>
      <c r="AI62" s="158"/>
      <c r="AJ62" s="158"/>
      <c r="AK62" s="133">
        <f>IFERROR(__xludf.DUMMYFUNCTION("""COMPUTED_VALUE"""),4.0)</f>
        <v>4</v>
      </c>
      <c r="AL62" s="133">
        <f>IFERROR(__xludf.DUMMYFUNCTION("""COMPUTED_VALUE"""),0.0)</f>
        <v>0</v>
      </c>
      <c r="AM62" s="133">
        <f>IFERROR(__xludf.DUMMYFUNCTION("""COMPUTED_VALUE"""),2.0)</f>
        <v>2</v>
      </c>
      <c r="AN62" s="133" t="str">
        <f>IFERROR(__xludf.DUMMYFUNCTION("""COMPUTED_VALUE"""),"0")</f>
        <v>0</v>
      </c>
      <c r="AO62" s="133">
        <f>IFERROR(__xludf.DUMMYFUNCTION("""COMPUTED_VALUE"""),3.0)</f>
        <v>3</v>
      </c>
      <c r="AP62" s="155" t="s">
        <v>2461</v>
      </c>
    </row>
    <row r="63">
      <c r="A63" s="555">
        <f>IFERROR(__xludf.DUMMYFUNCTION("""COMPUTED_VALUE"""),59.0)</f>
        <v>59</v>
      </c>
      <c r="B63" s="555" t="str">
        <f>IFERROR(__xludf.DUMMYFUNCTION("""COMPUTED_VALUE"""),"gav23cs@cmrit.ac.in")</f>
        <v>gav23cs@cmrit.ac.in</v>
      </c>
      <c r="C63" s="174" t="str">
        <f>IFERROR(__xludf.DUMMYFUNCTION("""COMPUTED_VALUE"""),"GAHANA V")</f>
        <v>GAHANA V</v>
      </c>
      <c r="D63" s="261" t="str">
        <f>IFERROR(__xludf.DUMMYFUNCTION("""COMPUTED_VALUE"""),"1CR23CS061")</f>
        <v>1CR23CS061</v>
      </c>
      <c r="E63" s="563">
        <f>IFERROR(__xludf.DUMMYFUNCTION("""COMPUTED_VALUE"""),9.113948829E9)</f>
        <v>9113948829</v>
      </c>
      <c r="F63" s="155" t="str">
        <f>IFERROR(__xludf.DUMMYFUNCTION("""COMPUTED_VALUE"""),"CSE")</f>
        <v>CSE</v>
      </c>
      <c r="G63" s="158"/>
      <c r="H63" s="559">
        <f>IFERROR(__xludf.DUMMYFUNCTION("""COMPUTED_VALUE"""),81.0)</f>
        <v>81</v>
      </c>
      <c r="I63" s="559">
        <f>IFERROR(__xludf.DUMMYFUNCTION("""COMPUTED_VALUE"""),82.0)</f>
        <v>82</v>
      </c>
      <c r="J63" s="559">
        <f>IFERROR(__xludf.DUMMYFUNCTION("""COMPUTED_VALUE"""),75.0)</f>
        <v>75</v>
      </c>
      <c r="K63" s="559">
        <f>IFERROR(__xludf.DUMMYFUNCTION("""COMPUTED_VALUE"""),83.0)</f>
        <v>83</v>
      </c>
      <c r="L63" s="560">
        <f>IFERROR(__xludf.DUMMYFUNCTION("""COMPUTED_VALUE"""),50.0)</f>
        <v>50</v>
      </c>
      <c r="M63" s="561">
        <f>IFERROR(__xludf.DUMMYFUNCTION("""COMPUTED_VALUE"""),13.0)</f>
        <v>13</v>
      </c>
      <c r="N63" s="561">
        <f>IFERROR(__xludf.DUMMYFUNCTION("""COMPUTED_VALUE"""),50.0)</f>
        <v>50</v>
      </c>
      <c r="O63" s="560"/>
      <c r="P63" s="562">
        <f>IFERROR(__xludf.DUMMYFUNCTION("""COMPUTED_VALUE"""),87.0)</f>
        <v>87</v>
      </c>
      <c r="Q63" s="562">
        <f>IFERROR(__xludf.DUMMYFUNCTION("""COMPUTED_VALUE"""),90.0)</f>
        <v>90</v>
      </c>
      <c r="R63" s="562">
        <f>IFERROR(__xludf.DUMMYFUNCTION("""COMPUTED_VALUE"""),96.0)</f>
        <v>96</v>
      </c>
      <c r="S63" s="562"/>
      <c r="T63" s="217">
        <f>IFERROR(__xludf.DUMMYFUNCTION("""COMPUTED_VALUE"""),10.0)</f>
        <v>10</v>
      </c>
      <c r="U63" s="217">
        <f>IFERROR(__xludf.DUMMYFUNCTION("""COMPUTED_VALUE"""),19.0)</f>
        <v>19</v>
      </c>
      <c r="V63" s="217">
        <f>IFERROR(__xludf.DUMMYFUNCTION("""COMPUTED_VALUE"""),68.0)</f>
        <v>68</v>
      </c>
      <c r="W63" s="217">
        <f>IFERROR(__xludf.DUMMYFUNCTION("""COMPUTED_VALUE"""),52.0)</f>
        <v>52</v>
      </c>
      <c r="X63" s="217">
        <f>IFERROR(__xludf.DUMMYFUNCTION("""COMPUTED_VALUE"""),54.0)</f>
        <v>54</v>
      </c>
      <c r="Y63" s="217"/>
      <c r="Z63" s="217"/>
      <c r="AA63" s="481">
        <f>IFERROR(__xludf.DUMMYFUNCTION("""COMPUTED_VALUE"""),88.0)</f>
        <v>88</v>
      </c>
      <c r="AB63" s="481">
        <f>IFERROR(__xludf.DUMMYFUNCTION("""COMPUTED_VALUE"""),98.75)</f>
        <v>98.75</v>
      </c>
      <c r="AC63" s="481">
        <f>IFERROR(__xludf.DUMMYFUNCTION("""COMPUTED_VALUE"""),100.0)</f>
        <v>100</v>
      </c>
      <c r="AD63" s="481">
        <f>IFERROR(__xludf.DUMMYFUNCTION("""COMPUTED_VALUE"""),100.0)</f>
        <v>100</v>
      </c>
      <c r="AE63" s="481">
        <f>IFERROR(__xludf.DUMMYFUNCTION("""COMPUTED_VALUE"""),72.0)</f>
        <v>72</v>
      </c>
      <c r="AF63" s="481"/>
      <c r="AG63" s="481">
        <f>IFERROR(__xludf.DUMMYFUNCTION("""COMPUTED_VALUE"""),74.0)</f>
        <v>74</v>
      </c>
      <c r="AH63" s="481"/>
      <c r="AI63" s="158"/>
      <c r="AJ63" s="158"/>
      <c r="AK63" s="133">
        <f>IFERROR(__xludf.DUMMYFUNCTION("""COMPUTED_VALUE"""),4.0)</f>
        <v>4</v>
      </c>
      <c r="AL63" s="133">
        <f>IFERROR(__xludf.DUMMYFUNCTION("""COMPUTED_VALUE"""),1.0)</f>
        <v>1</v>
      </c>
      <c r="AM63" s="133">
        <f>IFERROR(__xludf.DUMMYFUNCTION("""COMPUTED_VALUE"""),3.0)</f>
        <v>3</v>
      </c>
      <c r="AN63" s="133" t="str">
        <f>IFERROR(__xludf.DUMMYFUNCTION("""COMPUTED_VALUE"""),"3.5")</f>
        <v>3.5</v>
      </c>
      <c r="AO63" s="133">
        <f>IFERROR(__xludf.DUMMYFUNCTION("""COMPUTED_VALUE"""),3.0)</f>
        <v>3</v>
      </c>
      <c r="AP63" s="155" t="s">
        <v>2461</v>
      </c>
    </row>
    <row r="64">
      <c r="A64" s="555">
        <f>IFERROR(__xludf.DUMMYFUNCTION("""COMPUTED_VALUE"""),60.0)</f>
        <v>60</v>
      </c>
      <c r="B64" s="555" t="str">
        <f>IFERROR(__xludf.DUMMYFUNCTION("""COMPUTED_VALUE"""),"gasa23cs@cmrit.ac.in")</f>
        <v>gasa23cs@cmrit.ac.in</v>
      </c>
      <c r="C64" s="172" t="str">
        <f>IFERROR(__xludf.DUMMYFUNCTION("""COMPUTED_VALUE"""),"GAURY SHIBU SANKER")</f>
        <v>GAURY SHIBU SANKER</v>
      </c>
      <c r="D64" s="261" t="str">
        <f>IFERROR(__xludf.DUMMYFUNCTION("""COMPUTED_VALUE"""),"1CR23CS063")</f>
        <v>1CR23CS063</v>
      </c>
      <c r="E64" s="563">
        <f>IFERROR(__xludf.DUMMYFUNCTION("""COMPUTED_VALUE"""),8.296360268E9)</f>
        <v>8296360268</v>
      </c>
      <c r="F64" s="155" t="str">
        <f>IFERROR(__xludf.DUMMYFUNCTION("""COMPUTED_VALUE"""),"CSE")</f>
        <v>CSE</v>
      </c>
      <c r="G64" s="158"/>
      <c r="H64" s="559">
        <f>IFERROR(__xludf.DUMMYFUNCTION("""COMPUTED_VALUE"""),88.0)</f>
        <v>88</v>
      </c>
      <c r="I64" s="559">
        <f>IFERROR(__xludf.DUMMYFUNCTION("""COMPUTED_VALUE"""),85.0)</f>
        <v>85</v>
      </c>
      <c r="J64" s="559">
        <f>IFERROR(__xludf.DUMMYFUNCTION("""COMPUTED_VALUE"""),85.0)</f>
        <v>85</v>
      </c>
      <c r="K64" s="559">
        <f>IFERROR(__xludf.DUMMYFUNCTION("""COMPUTED_VALUE"""),70.0)</f>
        <v>70</v>
      </c>
      <c r="L64" s="560">
        <f>IFERROR(__xludf.DUMMYFUNCTION("""COMPUTED_VALUE"""),63.0)</f>
        <v>63</v>
      </c>
      <c r="M64" s="561">
        <f>IFERROR(__xludf.DUMMYFUNCTION("""COMPUTED_VALUE"""),20.0)</f>
        <v>20</v>
      </c>
      <c r="N64" s="561">
        <f>IFERROR(__xludf.DUMMYFUNCTION("""COMPUTED_VALUE"""),52.0)</f>
        <v>52</v>
      </c>
      <c r="O64" s="560"/>
      <c r="P64" s="562">
        <f>IFERROR(__xludf.DUMMYFUNCTION("""COMPUTED_VALUE"""),82.0)</f>
        <v>82</v>
      </c>
      <c r="Q64" s="562">
        <f>IFERROR(__xludf.DUMMYFUNCTION("""COMPUTED_VALUE"""),65.0)</f>
        <v>65</v>
      </c>
      <c r="R64" s="562">
        <f>IFERROR(__xludf.DUMMYFUNCTION("""COMPUTED_VALUE"""),94.0)</f>
        <v>94</v>
      </c>
      <c r="S64" s="562"/>
      <c r="T64" s="217">
        <f>IFERROR(__xludf.DUMMYFUNCTION("""COMPUTED_VALUE"""),14.0)</f>
        <v>14</v>
      </c>
      <c r="U64" s="217">
        <f>IFERROR(__xludf.DUMMYFUNCTION("""COMPUTED_VALUE"""),16.0)</f>
        <v>16</v>
      </c>
      <c r="V64" s="217">
        <f>IFERROR(__xludf.DUMMYFUNCTION("""COMPUTED_VALUE"""),76.0)</f>
        <v>76</v>
      </c>
      <c r="W64" s="217"/>
      <c r="X64" s="217">
        <f>IFERROR(__xludf.DUMMYFUNCTION("""COMPUTED_VALUE"""),68.0)</f>
        <v>68</v>
      </c>
      <c r="Y64" s="217"/>
      <c r="Z64" s="217"/>
      <c r="AA64" s="481">
        <f>IFERROR(__xludf.DUMMYFUNCTION("""COMPUTED_VALUE"""),96.0)</f>
        <v>96</v>
      </c>
      <c r="AB64" s="481">
        <f>IFERROR(__xludf.DUMMYFUNCTION("""COMPUTED_VALUE"""),99.5)</f>
        <v>99.5</v>
      </c>
      <c r="AC64" s="481">
        <f>IFERROR(__xludf.DUMMYFUNCTION("""COMPUTED_VALUE"""),98.5)</f>
        <v>98.5</v>
      </c>
      <c r="AD64" s="481">
        <f>IFERROR(__xludf.DUMMYFUNCTION("""COMPUTED_VALUE"""),67.0)</f>
        <v>67</v>
      </c>
      <c r="AE64" s="481">
        <f>IFERROR(__xludf.DUMMYFUNCTION("""COMPUTED_VALUE"""),81.0)</f>
        <v>81</v>
      </c>
      <c r="AF64" s="481"/>
      <c r="AG64" s="481">
        <f>IFERROR(__xludf.DUMMYFUNCTION("""COMPUTED_VALUE"""),71.0)</f>
        <v>71</v>
      </c>
      <c r="AH64" s="481"/>
      <c r="AI64" s="158"/>
      <c r="AJ64" s="158"/>
      <c r="AK64" s="133">
        <f>IFERROR(__xludf.DUMMYFUNCTION("""COMPUTED_VALUE"""),4.0)</f>
        <v>4</v>
      </c>
      <c r="AL64" s="133">
        <f>IFERROR(__xludf.DUMMYFUNCTION("""COMPUTED_VALUE"""),1.0)</f>
        <v>1</v>
      </c>
      <c r="AM64" s="133">
        <f>IFERROR(__xludf.DUMMYFUNCTION("""COMPUTED_VALUE"""),2.0)</f>
        <v>2</v>
      </c>
      <c r="AN64" s="133" t="str">
        <f>IFERROR(__xludf.DUMMYFUNCTION("""COMPUTED_VALUE"""),"3.5")</f>
        <v>3.5</v>
      </c>
      <c r="AO64" s="133">
        <f>IFERROR(__xludf.DUMMYFUNCTION("""COMPUTED_VALUE"""),3.0)</f>
        <v>3</v>
      </c>
      <c r="AP64" s="155" t="s">
        <v>2461</v>
      </c>
    </row>
    <row r="65">
      <c r="A65" s="555">
        <f>IFERROR(__xludf.DUMMYFUNCTION("""COMPUTED_VALUE"""),61.0)</f>
        <v>61</v>
      </c>
      <c r="B65" s="555" t="str">
        <f>IFERROR(__xludf.DUMMYFUNCTION("""COMPUTED_VALUE"""),"gosh23cs@cmrit.ac.in")</f>
        <v>gosh23cs@cmrit.ac.in</v>
      </c>
      <c r="C65" s="172" t="str">
        <f>IFERROR(__xludf.DUMMYFUNCTION("""COMPUTED_VALUE"""),"GORANTLA SAI SHANKAR")</f>
        <v>GORANTLA SAI SHANKAR</v>
      </c>
      <c r="D65" s="261" t="str">
        <f>IFERROR(__xludf.DUMMYFUNCTION("""COMPUTED_VALUE"""),"1CR23CS064")</f>
        <v>1CR23CS064</v>
      </c>
      <c r="E65" s="563">
        <f>IFERROR(__xludf.DUMMYFUNCTION("""COMPUTED_VALUE"""),8.976301477E9)</f>
        <v>8976301477</v>
      </c>
      <c r="F65" s="155" t="str">
        <f>IFERROR(__xludf.DUMMYFUNCTION("""COMPUTED_VALUE"""),"CSE")</f>
        <v>CSE</v>
      </c>
      <c r="G65" s="158"/>
      <c r="H65" s="559">
        <f>IFERROR(__xludf.DUMMYFUNCTION("""COMPUTED_VALUE"""),83.0)</f>
        <v>83</v>
      </c>
      <c r="I65" s="559">
        <f>IFERROR(__xludf.DUMMYFUNCTION("""COMPUTED_VALUE"""),82.0)</f>
        <v>82</v>
      </c>
      <c r="J65" s="559">
        <f>IFERROR(__xludf.DUMMYFUNCTION("""COMPUTED_VALUE"""),79.0)</f>
        <v>79</v>
      </c>
      <c r="K65" s="559">
        <f>IFERROR(__xludf.DUMMYFUNCTION("""COMPUTED_VALUE"""),70.0)</f>
        <v>70</v>
      </c>
      <c r="L65" s="560">
        <f>IFERROR(__xludf.DUMMYFUNCTION("""COMPUTED_VALUE"""),61.0)</f>
        <v>61</v>
      </c>
      <c r="M65" s="561">
        <f>IFERROR(__xludf.DUMMYFUNCTION("""COMPUTED_VALUE"""),8.0)</f>
        <v>8</v>
      </c>
      <c r="N65" s="561">
        <f>IFERROR(__xludf.DUMMYFUNCTION("""COMPUTED_VALUE"""),14.0)</f>
        <v>14</v>
      </c>
      <c r="O65" s="560"/>
      <c r="P65" s="562">
        <f>IFERROR(__xludf.DUMMYFUNCTION("""COMPUTED_VALUE"""),76.0)</f>
        <v>76</v>
      </c>
      <c r="Q65" s="562">
        <f>IFERROR(__xludf.DUMMYFUNCTION("""COMPUTED_VALUE"""),73.0)</f>
        <v>73</v>
      </c>
      <c r="R65" s="562">
        <f>IFERROR(__xludf.DUMMYFUNCTION("""COMPUTED_VALUE"""),0.0)</f>
        <v>0</v>
      </c>
      <c r="S65" s="562"/>
      <c r="T65" s="217">
        <f>IFERROR(__xludf.DUMMYFUNCTION("""COMPUTED_VALUE"""),20.0)</f>
        <v>20</v>
      </c>
      <c r="U65" s="217">
        <f>IFERROR(__xludf.DUMMYFUNCTION("""COMPUTED_VALUE"""),18.0)</f>
        <v>18</v>
      </c>
      <c r="V65" s="217">
        <f>IFERROR(__xludf.DUMMYFUNCTION("""COMPUTED_VALUE"""),56.0)</f>
        <v>56</v>
      </c>
      <c r="W65" s="217">
        <f>IFERROR(__xludf.DUMMYFUNCTION("""COMPUTED_VALUE"""),32.0)</f>
        <v>32</v>
      </c>
      <c r="X65" s="217"/>
      <c r="Y65" s="217"/>
      <c r="Z65" s="217"/>
      <c r="AA65" s="481">
        <f>IFERROR(__xludf.DUMMYFUNCTION("""COMPUTED_VALUE"""),20.0)</f>
        <v>20</v>
      </c>
      <c r="AB65" s="481">
        <f>IFERROR(__xludf.DUMMYFUNCTION("""COMPUTED_VALUE"""),100.0)</f>
        <v>100</v>
      </c>
      <c r="AC65" s="481">
        <f>IFERROR(__xludf.DUMMYFUNCTION("""COMPUTED_VALUE"""),83.0)</f>
        <v>83</v>
      </c>
      <c r="AD65" s="481">
        <f>IFERROR(__xludf.DUMMYFUNCTION("""COMPUTED_VALUE"""),69.0)</f>
        <v>69</v>
      </c>
      <c r="AE65" s="481">
        <f>IFERROR(__xludf.DUMMYFUNCTION("""COMPUTED_VALUE"""),36.0)</f>
        <v>36</v>
      </c>
      <c r="AF65" s="481"/>
      <c r="AG65" s="481">
        <f>IFERROR(__xludf.DUMMYFUNCTION("""COMPUTED_VALUE"""),57.0)</f>
        <v>57</v>
      </c>
      <c r="AH65" s="481"/>
      <c r="AI65" s="158"/>
      <c r="AJ65" s="158"/>
      <c r="AK65" s="133">
        <f>IFERROR(__xludf.DUMMYFUNCTION("""COMPUTED_VALUE"""),4.0)</f>
        <v>4</v>
      </c>
      <c r="AL65" s="133">
        <f>IFERROR(__xludf.DUMMYFUNCTION("""COMPUTED_VALUE"""),1.0)</f>
        <v>1</v>
      </c>
      <c r="AM65" s="133">
        <f>IFERROR(__xludf.DUMMYFUNCTION("""COMPUTED_VALUE"""),2.0)</f>
        <v>2</v>
      </c>
      <c r="AN65" s="133" t="str">
        <f>IFERROR(__xludf.DUMMYFUNCTION("""COMPUTED_VALUE"""),"3")</f>
        <v>3</v>
      </c>
      <c r="AO65" s="133">
        <f>IFERROR(__xludf.DUMMYFUNCTION("""COMPUTED_VALUE"""),2.0)</f>
        <v>2</v>
      </c>
      <c r="AP65" s="155" t="s">
        <v>2461</v>
      </c>
    </row>
    <row r="66">
      <c r="A66" s="555">
        <f>IFERROR(__xludf.DUMMYFUNCTION("""COMPUTED_VALUE"""),62.0)</f>
        <v>62</v>
      </c>
      <c r="B66" s="555" t="str">
        <f>IFERROR(__xludf.DUMMYFUNCTION("""COMPUTED_VALUE"""),"govu23cs@cmrit.ac.in")</f>
        <v>govu23cs@cmrit.ac.in</v>
      </c>
      <c r="C66" s="564" t="str">
        <f>IFERROR(__xludf.DUMMYFUNCTION("""COMPUTED_VALUE"""),"Gowtham V U")</f>
        <v>Gowtham V U</v>
      </c>
      <c r="D66" s="261" t="str">
        <f>IFERROR(__xludf.DUMMYFUNCTION("""COMPUTED_VALUE"""),"1CR23CS065")</f>
        <v>1CR23CS065</v>
      </c>
      <c r="E66" s="563">
        <f>IFERROR(__xludf.DUMMYFUNCTION("""COMPUTED_VALUE"""),6.363811577E9)</f>
        <v>6363811577</v>
      </c>
      <c r="F66" s="155" t="str">
        <f>IFERROR(__xludf.DUMMYFUNCTION("""COMPUTED_VALUE"""),"CSE")</f>
        <v>CSE</v>
      </c>
      <c r="G66" s="158"/>
      <c r="H66" s="559">
        <f>IFERROR(__xludf.DUMMYFUNCTION("""COMPUTED_VALUE"""),83.0)</f>
        <v>83</v>
      </c>
      <c r="I66" s="559">
        <f>IFERROR(__xludf.DUMMYFUNCTION("""COMPUTED_VALUE"""),82.0)</f>
        <v>82</v>
      </c>
      <c r="J66" s="559">
        <f>IFERROR(__xludf.DUMMYFUNCTION("""COMPUTED_VALUE"""),75.0)</f>
        <v>75</v>
      </c>
      <c r="K66" s="559">
        <f>IFERROR(__xludf.DUMMYFUNCTION("""COMPUTED_VALUE"""),80.0)</f>
        <v>80</v>
      </c>
      <c r="L66" s="560">
        <f>IFERROR(__xludf.DUMMYFUNCTION("""COMPUTED_VALUE"""),50.0)</f>
        <v>50</v>
      </c>
      <c r="M66" s="561">
        <f>IFERROR(__xludf.DUMMYFUNCTION("""COMPUTED_VALUE"""),50.0)</f>
        <v>50</v>
      </c>
      <c r="N66" s="561">
        <f>IFERROR(__xludf.DUMMYFUNCTION("""COMPUTED_VALUE"""),53.0)</f>
        <v>53</v>
      </c>
      <c r="O66" s="560"/>
      <c r="P66" s="562">
        <f>IFERROR(__xludf.DUMMYFUNCTION("""COMPUTED_VALUE"""),77.0)</f>
        <v>77</v>
      </c>
      <c r="Q66" s="562">
        <f>IFERROR(__xludf.DUMMYFUNCTION("""COMPUTED_VALUE"""),65.0)</f>
        <v>65</v>
      </c>
      <c r="R66" s="562">
        <f>IFERROR(__xludf.DUMMYFUNCTION("""COMPUTED_VALUE"""),75.0)</f>
        <v>75</v>
      </c>
      <c r="S66" s="562"/>
      <c r="T66" s="217">
        <f>IFERROR(__xludf.DUMMYFUNCTION("""COMPUTED_VALUE"""),12.0)</f>
        <v>12</v>
      </c>
      <c r="U66" s="217">
        <f>IFERROR(__xludf.DUMMYFUNCTION("""COMPUTED_VALUE"""),16.0)</f>
        <v>16</v>
      </c>
      <c r="V66" s="217">
        <f>IFERROR(__xludf.DUMMYFUNCTION("""COMPUTED_VALUE"""),84.0)</f>
        <v>84</v>
      </c>
      <c r="W66" s="217">
        <f>IFERROR(__xludf.DUMMYFUNCTION("""COMPUTED_VALUE"""),68.0)</f>
        <v>68</v>
      </c>
      <c r="X66" s="217">
        <f>IFERROR(__xludf.DUMMYFUNCTION("""COMPUTED_VALUE"""),82.0)</f>
        <v>82</v>
      </c>
      <c r="Y66" s="217"/>
      <c r="Z66" s="217"/>
      <c r="AA66" s="481">
        <f>IFERROR(__xludf.DUMMYFUNCTION("""COMPUTED_VALUE"""),80.0)</f>
        <v>80</v>
      </c>
      <c r="AB66" s="481">
        <f>IFERROR(__xludf.DUMMYFUNCTION("""COMPUTED_VALUE"""),73.75)</f>
        <v>73.75</v>
      </c>
      <c r="AC66" s="481">
        <f>IFERROR(__xludf.DUMMYFUNCTION("""COMPUTED_VALUE"""),78.5)</f>
        <v>78.5</v>
      </c>
      <c r="AD66" s="481">
        <f>IFERROR(__xludf.DUMMYFUNCTION("""COMPUTED_VALUE"""),64.0)</f>
        <v>64</v>
      </c>
      <c r="AE66" s="481">
        <f>IFERROR(__xludf.DUMMYFUNCTION("""COMPUTED_VALUE"""),92.0)</f>
        <v>92</v>
      </c>
      <c r="AF66" s="481"/>
      <c r="AG66" s="481">
        <f>IFERROR(__xludf.DUMMYFUNCTION("""COMPUTED_VALUE"""),33.0)</f>
        <v>33</v>
      </c>
      <c r="AH66" s="481"/>
      <c r="AI66" s="158"/>
      <c r="AJ66" s="158"/>
      <c r="AK66" s="133">
        <f>IFERROR(__xludf.DUMMYFUNCTION("""COMPUTED_VALUE"""),4.0)</f>
        <v>4</v>
      </c>
      <c r="AL66" s="133">
        <f>IFERROR(__xludf.DUMMYFUNCTION("""COMPUTED_VALUE"""),3.0)</f>
        <v>3</v>
      </c>
      <c r="AM66" s="133">
        <f>IFERROR(__xludf.DUMMYFUNCTION("""COMPUTED_VALUE"""),3.0)</f>
        <v>3</v>
      </c>
      <c r="AN66" s="133" t="str">
        <f>IFERROR(__xludf.DUMMYFUNCTION("""COMPUTED_VALUE"""),"3.5")</f>
        <v>3.5</v>
      </c>
      <c r="AO66" s="133">
        <f>IFERROR(__xludf.DUMMYFUNCTION("""COMPUTED_VALUE"""),3.0)</f>
        <v>3</v>
      </c>
      <c r="AP66" s="155" t="s">
        <v>2461</v>
      </c>
    </row>
    <row r="67">
      <c r="A67" s="555">
        <f>IFERROR(__xludf.DUMMYFUNCTION("""COMPUTED_VALUE"""),63.0)</f>
        <v>63</v>
      </c>
      <c r="B67" s="555" t="str">
        <f>IFERROR(__xludf.DUMMYFUNCTION("""COMPUTED_VALUE"""),"hava23cs@cmrit.ac.in")</f>
        <v>hava23cs@cmrit.ac.in</v>
      </c>
      <c r="C67" s="172" t="str">
        <f>IFERROR(__xludf.DUMMYFUNCTION("""COMPUTED_VALUE"""),"HARSH VAIDYA ")</f>
        <v>HARSH VAIDYA </v>
      </c>
      <c r="D67" s="261" t="str">
        <f>IFERROR(__xludf.DUMMYFUNCTION("""COMPUTED_VALUE"""),"1CR23CS066")</f>
        <v>1CR23CS066</v>
      </c>
      <c r="E67" s="563">
        <f>IFERROR(__xludf.DUMMYFUNCTION("""COMPUTED_VALUE"""),6.201697502E9)</f>
        <v>6201697502</v>
      </c>
      <c r="F67" s="155" t="str">
        <f>IFERROR(__xludf.DUMMYFUNCTION("""COMPUTED_VALUE"""),"CSE")</f>
        <v>CSE</v>
      </c>
      <c r="G67" s="158"/>
      <c r="H67" s="559">
        <f>IFERROR(__xludf.DUMMYFUNCTION("""COMPUTED_VALUE"""),86.0)</f>
        <v>86</v>
      </c>
      <c r="I67" s="559">
        <f>IFERROR(__xludf.DUMMYFUNCTION("""COMPUTED_VALUE"""),88.0)</f>
        <v>88</v>
      </c>
      <c r="J67" s="559">
        <f>IFERROR(__xludf.DUMMYFUNCTION("""COMPUTED_VALUE"""),70.0)</f>
        <v>70</v>
      </c>
      <c r="K67" s="559">
        <f>IFERROR(__xludf.DUMMYFUNCTION("""COMPUTED_VALUE"""),70.0)</f>
        <v>70</v>
      </c>
      <c r="L67" s="560">
        <f>IFERROR(__xludf.DUMMYFUNCTION("""COMPUTED_VALUE"""),67.0)</f>
        <v>67</v>
      </c>
      <c r="M67" s="561">
        <f>IFERROR(__xludf.DUMMYFUNCTION("""COMPUTED_VALUE"""),50.0)</f>
        <v>50</v>
      </c>
      <c r="N67" s="561">
        <f>IFERROR(__xludf.DUMMYFUNCTION("""COMPUTED_VALUE"""),50.0)</f>
        <v>50</v>
      </c>
      <c r="O67" s="560"/>
      <c r="P67" s="562">
        <f>IFERROR(__xludf.DUMMYFUNCTION("""COMPUTED_VALUE"""),50.0)</f>
        <v>50</v>
      </c>
      <c r="Q67" s="562">
        <f>IFERROR(__xludf.DUMMYFUNCTION("""COMPUTED_VALUE"""),63.0)</f>
        <v>63</v>
      </c>
      <c r="R67" s="562">
        <f>IFERROR(__xludf.DUMMYFUNCTION("""COMPUTED_VALUE"""),50.0)</f>
        <v>50</v>
      </c>
      <c r="S67" s="562"/>
      <c r="T67" s="217">
        <f>IFERROR(__xludf.DUMMYFUNCTION("""COMPUTED_VALUE"""),18.0)</f>
        <v>18</v>
      </c>
      <c r="U67" s="217">
        <f>IFERROR(__xludf.DUMMYFUNCTION("""COMPUTED_VALUE"""),22.0)</f>
        <v>22</v>
      </c>
      <c r="V67" s="217">
        <f>IFERROR(__xludf.DUMMYFUNCTION("""COMPUTED_VALUE"""),52.0)</f>
        <v>52</v>
      </c>
      <c r="W67" s="217">
        <f>IFERROR(__xludf.DUMMYFUNCTION("""COMPUTED_VALUE"""),48.0)</f>
        <v>48</v>
      </c>
      <c r="X67" s="217">
        <f>IFERROR(__xludf.DUMMYFUNCTION("""COMPUTED_VALUE"""),66.0)</f>
        <v>66</v>
      </c>
      <c r="Y67" s="217"/>
      <c r="Z67" s="217"/>
      <c r="AA67" s="481">
        <f>IFERROR(__xludf.DUMMYFUNCTION("""COMPUTED_VALUE"""),66.0)</f>
        <v>66</v>
      </c>
      <c r="AB67" s="481">
        <f>IFERROR(__xludf.DUMMYFUNCTION("""COMPUTED_VALUE"""),99.25)</f>
        <v>99.25</v>
      </c>
      <c r="AC67" s="481">
        <f>IFERROR(__xludf.DUMMYFUNCTION("""COMPUTED_VALUE"""),60.0)</f>
        <v>60</v>
      </c>
      <c r="AD67" s="481">
        <f>IFERROR(__xludf.DUMMYFUNCTION("""COMPUTED_VALUE"""),100.0)</f>
        <v>100</v>
      </c>
      <c r="AE67" s="481">
        <f>IFERROR(__xludf.DUMMYFUNCTION("""COMPUTED_VALUE"""),70.0)</f>
        <v>70</v>
      </c>
      <c r="AF67" s="481"/>
      <c r="AG67" s="481">
        <f>IFERROR(__xludf.DUMMYFUNCTION("""COMPUTED_VALUE"""),5.0)</f>
        <v>5</v>
      </c>
      <c r="AH67" s="481"/>
      <c r="AI67" s="158"/>
      <c r="AJ67" s="158"/>
      <c r="AK67" s="133">
        <f>IFERROR(__xludf.DUMMYFUNCTION("""COMPUTED_VALUE"""),4.0)</f>
        <v>4</v>
      </c>
      <c r="AL67" s="133">
        <f>IFERROR(__xludf.DUMMYFUNCTION("""COMPUTED_VALUE"""),3.0)</f>
        <v>3</v>
      </c>
      <c r="AM67" s="133">
        <f>IFERROR(__xludf.DUMMYFUNCTION("""COMPUTED_VALUE"""),2.0)</f>
        <v>2</v>
      </c>
      <c r="AN67" s="133" t="str">
        <f>IFERROR(__xludf.DUMMYFUNCTION("""COMPUTED_VALUE"""),"3.5")</f>
        <v>3.5</v>
      </c>
      <c r="AO67" s="133">
        <f>IFERROR(__xludf.DUMMYFUNCTION("""COMPUTED_VALUE"""),3.0)</f>
        <v>3</v>
      </c>
      <c r="AP67" s="155" t="s">
        <v>2461</v>
      </c>
    </row>
    <row r="68">
      <c r="A68" s="555">
        <f>IFERROR(__xludf.DUMMYFUNCTION("""COMPUTED_VALUE"""),64.0)</f>
        <v>64</v>
      </c>
      <c r="B68" s="555" t="str">
        <f>IFERROR(__xludf.DUMMYFUNCTION("""COMPUTED_VALUE"""),"hal23cs@cmrit.ac.in")</f>
        <v>hal23cs@cmrit.ac.in</v>
      </c>
      <c r="C68" s="172" t="str">
        <f>IFERROR(__xludf.DUMMYFUNCTION("""COMPUTED_VALUE"""),"Harsha L")</f>
        <v>Harsha L</v>
      </c>
      <c r="D68" s="261" t="str">
        <f>IFERROR(__xludf.DUMMYFUNCTION("""COMPUTED_VALUE"""),"1CR23CS067")</f>
        <v>1CR23CS067</v>
      </c>
      <c r="E68" s="563">
        <f>IFERROR(__xludf.DUMMYFUNCTION("""COMPUTED_VALUE"""),9.019722248E9)</f>
        <v>9019722248</v>
      </c>
      <c r="F68" s="155" t="str">
        <f>IFERROR(__xludf.DUMMYFUNCTION("""COMPUTED_VALUE"""),"CSE")</f>
        <v>CSE</v>
      </c>
      <c r="G68" s="158"/>
      <c r="H68" s="559">
        <f>IFERROR(__xludf.DUMMYFUNCTION("""COMPUTED_VALUE"""),77.0)</f>
        <v>77</v>
      </c>
      <c r="I68" s="559">
        <f>IFERROR(__xludf.DUMMYFUNCTION("""COMPUTED_VALUE"""),70.0)</f>
        <v>70</v>
      </c>
      <c r="J68" s="559">
        <f>IFERROR(__xludf.DUMMYFUNCTION("""COMPUTED_VALUE"""),67.0)</f>
        <v>67</v>
      </c>
      <c r="K68" s="559">
        <f>IFERROR(__xludf.DUMMYFUNCTION("""COMPUTED_VALUE"""),70.0)</f>
        <v>70</v>
      </c>
      <c r="L68" s="560">
        <f>IFERROR(__xludf.DUMMYFUNCTION("""COMPUTED_VALUE"""),50.0)</f>
        <v>50</v>
      </c>
      <c r="M68" s="561">
        <f>IFERROR(__xludf.DUMMYFUNCTION("""COMPUTED_VALUE"""),50.0)</f>
        <v>50</v>
      </c>
      <c r="N68" s="561">
        <f>IFERROR(__xludf.DUMMYFUNCTION("""COMPUTED_VALUE"""),50.0)</f>
        <v>50</v>
      </c>
      <c r="O68" s="560"/>
      <c r="P68" s="562">
        <f>IFERROR(__xludf.DUMMYFUNCTION("""COMPUTED_VALUE"""),50.0)</f>
        <v>50</v>
      </c>
      <c r="Q68" s="562">
        <f>IFERROR(__xludf.DUMMYFUNCTION("""COMPUTED_VALUE"""),65.0)</f>
        <v>65</v>
      </c>
      <c r="R68" s="562">
        <f>IFERROR(__xludf.DUMMYFUNCTION("""COMPUTED_VALUE"""),75.0)</f>
        <v>75</v>
      </c>
      <c r="S68" s="562"/>
      <c r="T68" s="217">
        <f>IFERROR(__xludf.DUMMYFUNCTION("""COMPUTED_VALUE"""),6.0)</f>
        <v>6</v>
      </c>
      <c r="U68" s="217">
        <f>IFERROR(__xludf.DUMMYFUNCTION("""COMPUTED_VALUE"""),18.0)</f>
        <v>18</v>
      </c>
      <c r="V68" s="217">
        <f>IFERROR(__xludf.DUMMYFUNCTION("""COMPUTED_VALUE"""),76.0)</f>
        <v>76</v>
      </c>
      <c r="W68" s="217">
        <f>IFERROR(__xludf.DUMMYFUNCTION("""COMPUTED_VALUE"""),32.0)</f>
        <v>32</v>
      </c>
      <c r="X68" s="217">
        <f>IFERROR(__xludf.DUMMYFUNCTION("""COMPUTED_VALUE"""),62.0)</f>
        <v>62</v>
      </c>
      <c r="Y68" s="217"/>
      <c r="Z68" s="217"/>
      <c r="AA68" s="481">
        <f>IFERROR(__xludf.DUMMYFUNCTION("""COMPUTED_VALUE"""),30.0)</f>
        <v>30</v>
      </c>
      <c r="AB68" s="481">
        <f>IFERROR(__xludf.DUMMYFUNCTION("""COMPUTED_VALUE"""),58.0)</f>
        <v>58</v>
      </c>
      <c r="AC68" s="481">
        <f>IFERROR(__xludf.DUMMYFUNCTION("""COMPUTED_VALUE"""),80.0)</f>
        <v>80</v>
      </c>
      <c r="AD68" s="481">
        <f>IFERROR(__xludf.DUMMYFUNCTION("""COMPUTED_VALUE"""),100.0)</f>
        <v>100</v>
      </c>
      <c r="AE68" s="481">
        <f>IFERROR(__xludf.DUMMYFUNCTION("""COMPUTED_VALUE"""),78.0)</f>
        <v>78</v>
      </c>
      <c r="AF68" s="481"/>
      <c r="AG68" s="481">
        <f>IFERROR(__xludf.DUMMYFUNCTION("""COMPUTED_VALUE"""),33.0)</f>
        <v>33</v>
      </c>
      <c r="AH68" s="481"/>
      <c r="AI68" s="158"/>
      <c r="AJ68" s="158"/>
      <c r="AK68" s="133">
        <f>IFERROR(__xludf.DUMMYFUNCTION("""COMPUTED_VALUE"""),2.0)</f>
        <v>2</v>
      </c>
      <c r="AL68" s="133">
        <f>IFERROR(__xludf.DUMMYFUNCTION("""COMPUTED_VALUE"""),3.0)</f>
        <v>3</v>
      </c>
      <c r="AM68" s="133">
        <f>IFERROR(__xludf.DUMMYFUNCTION("""COMPUTED_VALUE"""),0.0)</f>
        <v>0</v>
      </c>
      <c r="AN68" s="133" t="str">
        <f>IFERROR(__xludf.DUMMYFUNCTION("""COMPUTED_VALUE"""),"3.5")</f>
        <v>3.5</v>
      </c>
      <c r="AO68" s="133">
        <f>IFERROR(__xludf.DUMMYFUNCTION("""COMPUTED_VALUE"""),3.0)</f>
        <v>3</v>
      </c>
      <c r="AP68" s="155" t="s">
        <v>2461</v>
      </c>
    </row>
    <row r="69">
      <c r="A69" s="555">
        <f>IFERROR(__xludf.DUMMYFUNCTION("""COMPUTED_VALUE"""),65.0)</f>
        <v>65</v>
      </c>
      <c r="B69" s="555" t="str">
        <f>IFERROR(__xludf.DUMMYFUNCTION("""COMPUTED_VALUE"""),"hama23cs@cmrit.ac.in")</f>
        <v>hama23cs@cmrit.ac.in</v>
      </c>
      <c r="C69" s="564" t="str">
        <f>IFERROR(__xludf.DUMMYFUNCTION("""COMPUTED_VALUE"""),"HARSHINI MAMIDIPALLI")</f>
        <v>HARSHINI MAMIDIPALLI</v>
      </c>
      <c r="D69" s="261" t="str">
        <f>IFERROR(__xludf.DUMMYFUNCTION("""COMPUTED_VALUE"""),"1CR23CS068")</f>
        <v>1CR23CS068</v>
      </c>
      <c r="E69" s="563">
        <f>IFERROR(__xludf.DUMMYFUNCTION("""COMPUTED_VALUE"""),9.148381159E9)</f>
        <v>9148381159</v>
      </c>
      <c r="F69" s="155" t="str">
        <f>IFERROR(__xludf.DUMMYFUNCTION("""COMPUTED_VALUE"""),"CSE")</f>
        <v>CSE</v>
      </c>
      <c r="G69" s="158"/>
      <c r="H69" s="559">
        <f>IFERROR(__xludf.DUMMYFUNCTION("""COMPUTED_VALUE"""),90.0)</f>
        <v>90</v>
      </c>
      <c r="I69" s="559">
        <f>IFERROR(__xludf.DUMMYFUNCTION("""COMPUTED_VALUE"""),87.0)</f>
        <v>87</v>
      </c>
      <c r="J69" s="559">
        <f>IFERROR(__xludf.DUMMYFUNCTION("""COMPUTED_VALUE"""),83.0)</f>
        <v>83</v>
      </c>
      <c r="K69" s="559">
        <f>IFERROR(__xludf.DUMMYFUNCTION("""COMPUTED_VALUE"""),74.0)</f>
        <v>74</v>
      </c>
      <c r="L69" s="560">
        <f>IFERROR(__xludf.DUMMYFUNCTION("""COMPUTED_VALUE"""),60.0)</f>
        <v>60</v>
      </c>
      <c r="M69" s="561">
        <f>IFERROR(__xludf.DUMMYFUNCTION("""COMPUTED_VALUE"""),50.0)</f>
        <v>50</v>
      </c>
      <c r="N69" s="561">
        <f>IFERROR(__xludf.DUMMYFUNCTION("""COMPUTED_VALUE"""),50.0)</f>
        <v>50</v>
      </c>
      <c r="O69" s="560"/>
      <c r="P69" s="562">
        <f>IFERROR(__xludf.DUMMYFUNCTION("""COMPUTED_VALUE"""),82.0)</f>
        <v>82</v>
      </c>
      <c r="Q69" s="562">
        <f>IFERROR(__xludf.DUMMYFUNCTION("""COMPUTED_VALUE"""),90.0)</f>
        <v>90</v>
      </c>
      <c r="R69" s="562">
        <f>IFERROR(__xludf.DUMMYFUNCTION("""COMPUTED_VALUE"""),95.0)</f>
        <v>95</v>
      </c>
      <c r="S69" s="562"/>
      <c r="T69" s="217">
        <f>IFERROR(__xludf.DUMMYFUNCTION("""COMPUTED_VALUE"""),20.0)</f>
        <v>20</v>
      </c>
      <c r="U69" s="217">
        <f>IFERROR(__xludf.DUMMYFUNCTION("""COMPUTED_VALUE"""),18.0)</f>
        <v>18</v>
      </c>
      <c r="V69" s="217">
        <f>IFERROR(__xludf.DUMMYFUNCTION("""COMPUTED_VALUE"""),76.0)</f>
        <v>76</v>
      </c>
      <c r="W69" s="217">
        <f>IFERROR(__xludf.DUMMYFUNCTION("""COMPUTED_VALUE"""),56.0)</f>
        <v>56</v>
      </c>
      <c r="X69" s="217">
        <f>IFERROR(__xludf.DUMMYFUNCTION("""COMPUTED_VALUE"""),64.0)</f>
        <v>64</v>
      </c>
      <c r="Y69" s="217"/>
      <c r="Z69" s="217"/>
      <c r="AA69" s="481">
        <f>IFERROR(__xludf.DUMMYFUNCTION("""COMPUTED_VALUE"""),96.0)</f>
        <v>96</v>
      </c>
      <c r="AB69" s="481">
        <f>IFERROR(__xludf.DUMMYFUNCTION("""COMPUTED_VALUE"""),96.25)</f>
        <v>96.25</v>
      </c>
      <c r="AC69" s="481">
        <f>IFERROR(__xludf.DUMMYFUNCTION("""COMPUTED_VALUE"""),88.0)</f>
        <v>88</v>
      </c>
      <c r="AD69" s="481">
        <f>IFERROR(__xludf.DUMMYFUNCTION("""COMPUTED_VALUE"""),77.0)</f>
        <v>77</v>
      </c>
      <c r="AE69" s="481">
        <f>IFERROR(__xludf.DUMMYFUNCTION("""COMPUTED_VALUE"""),70.0)</f>
        <v>70</v>
      </c>
      <c r="AF69" s="481"/>
      <c r="AG69" s="481">
        <f>IFERROR(__xludf.DUMMYFUNCTION("""COMPUTED_VALUE"""),80.0)</f>
        <v>80</v>
      </c>
      <c r="AH69" s="481"/>
      <c r="AI69" s="158"/>
      <c r="AJ69" s="158"/>
      <c r="AK69" s="133">
        <f>IFERROR(__xludf.DUMMYFUNCTION("""COMPUTED_VALUE"""),4.0)</f>
        <v>4</v>
      </c>
      <c r="AL69" s="133">
        <f>IFERROR(__xludf.DUMMYFUNCTION("""COMPUTED_VALUE"""),3.0)</f>
        <v>3</v>
      </c>
      <c r="AM69" s="133">
        <f>IFERROR(__xludf.DUMMYFUNCTION("""COMPUTED_VALUE"""),3.0)</f>
        <v>3</v>
      </c>
      <c r="AN69" s="133" t="str">
        <f>IFERROR(__xludf.DUMMYFUNCTION("""COMPUTED_VALUE"""),"3.5")</f>
        <v>3.5</v>
      </c>
      <c r="AO69" s="133">
        <f>IFERROR(__xludf.DUMMYFUNCTION("""COMPUTED_VALUE"""),3.0)</f>
        <v>3</v>
      </c>
      <c r="AP69" s="155" t="s">
        <v>2461</v>
      </c>
    </row>
    <row r="70">
      <c r="A70" s="555">
        <f>IFERROR(__xludf.DUMMYFUNCTION("""COMPUTED_VALUE"""),66.0)</f>
        <v>66</v>
      </c>
      <c r="B70" s="555" t="str">
        <f>IFERROR(__xludf.DUMMYFUNCTION("""COMPUTED_VALUE"""),"hami23cs@cmrit.ac.in")</f>
        <v>hami23cs@cmrit.ac.in</v>
      </c>
      <c r="C70" s="564" t="str">
        <f>IFERROR(__xludf.DUMMYFUNCTION("""COMPUTED_VALUE"""),"HARSHIT MISHRA")</f>
        <v>HARSHIT MISHRA</v>
      </c>
      <c r="D70" s="261" t="str">
        <f>IFERROR(__xludf.DUMMYFUNCTION("""COMPUTED_VALUE"""),"1CR23CS069")</f>
        <v>1CR23CS069</v>
      </c>
      <c r="E70" s="563">
        <f>IFERROR(__xludf.DUMMYFUNCTION("""COMPUTED_VALUE"""),9.305639284E9)</f>
        <v>9305639284</v>
      </c>
      <c r="F70" s="155" t="str">
        <f>IFERROR(__xludf.DUMMYFUNCTION("""COMPUTED_VALUE"""),"CSE")</f>
        <v>CSE</v>
      </c>
      <c r="G70" s="158"/>
      <c r="H70" s="559">
        <f>IFERROR(__xludf.DUMMYFUNCTION("""COMPUTED_VALUE"""),84.0)</f>
        <v>84</v>
      </c>
      <c r="I70" s="559">
        <f>IFERROR(__xludf.DUMMYFUNCTION("""COMPUTED_VALUE"""),78.0)</f>
        <v>78</v>
      </c>
      <c r="J70" s="559">
        <f>IFERROR(__xludf.DUMMYFUNCTION("""COMPUTED_VALUE"""),35.0)</f>
        <v>35</v>
      </c>
      <c r="K70" s="559">
        <f>IFERROR(__xludf.DUMMYFUNCTION("""COMPUTED_VALUE"""),42.0)</f>
        <v>42</v>
      </c>
      <c r="L70" s="560">
        <f>IFERROR(__xludf.DUMMYFUNCTION("""COMPUTED_VALUE"""),25.0)</f>
        <v>25</v>
      </c>
      <c r="M70" s="561">
        <f>IFERROR(__xludf.DUMMYFUNCTION("""COMPUTED_VALUE"""),25.0)</f>
        <v>25</v>
      </c>
      <c r="N70" s="561">
        <f>IFERROR(__xludf.DUMMYFUNCTION("""COMPUTED_VALUE"""),0.0)</f>
        <v>0</v>
      </c>
      <c r="O70" s="560"/>
      <c r="P70" s="562">
        <f>IFERROR(__xludf.DUMMYFUNCTION("""COMPUTED_VALUE"""),0.0)</f>
        <v>0</v>
      </c>
      <c r="Q70" s="562">
        <f>IFERROR(__xludf.DUMMYFUNCTION("""COMPUTED_VALUE"""),0.0)</f>
        <v>0</v>
      </c>
      <c r="R70" s="562">
        <f>IFERROR(__xludf.DUMMYFUNCTION("""COMPUTED_VALUE"""),0.0)</f>
        <v>0</v>
      </c>
      <c r="S70" s="562"/>
      <c r="T70" s="217">
        <f>IFERROR(__xludf.DUMMYFUNCTION("""COMPUTED_VALUE"""),23.0)</f>
        <v>23</v>
      </c>
      <c r="U70" s="217">
        <f>IFERROR(__xludf.DUMMYFUNCTION("""COMPUTED_VALUE"""),17.0)</f>
        <v>17</v>
      </c>
      <c r="V70" s="217">
        <f>IFERROR(__xludf.DUMMYFUNCTION("""COMPUTED_VALUE"""),36.0)</f>
        <v>36</v>
      </c>
      <c r="W70" s="217">
        <f>IFERROR(__xludf.DUMMYFUNCTION("""COMPUTED_VALUE"""),48.0)</f>
        <v>48</v>
      </c>
      <c r="X70" s="217">
        <f>IFERROR(__xludf.DUMMYFUNCTION("""COMPUTED_VALUE"""),84.0)</f>
        <v>84</v>
      </c>
      <c r="Y70" s="217"/>
      <c r="Z70" s="217"/>
      <c r="AA70" s="481">
        <f>IFERROR(__xludf.DUMMYFUNCTION("""COMPUTED_VALUE"""),10.0)</f>
        <v>10</v>
      </c>
      <c r="AB70" s="481">
        <f>IFERROR(__xludf.DUMMYFUNCTION("""COMPUTED_VALUE"""),80.0)</f>
        <v>80</v>
      </c>
      <c r="AC70" s="481">
        <f>IFERROR(__xludf.DUMMYFUNCTION("""COMPUTED_VALUE"""),80.0)</f>
        <v>80</v>
      </c>
      <c r="AD70" s="481">
        <f>IFERROR(__xludf.DUMMYFUNCTION("""COMPUTED_VALUE"""),86.0)</f>
        <v>86</v>
      </c>
      <c r="AE70" s="481">
        <f>IFERROR(__xludf.DUMMYFUNCTION("""COMPUTED_VALUE"""),10.0)</f>
        <v>10</v>
      </c>
      <c r="AF70" s="481"/>
      <c r="AG70" s="481">
        <f>IFERROR(__xludf.DUMMYFUNCTION("""COMPUTED_VALUE"""),5.0)</f>
        <v>5</v>
      </c>
      <c r="AH70" s="481"/>
      <c r="AI70" s="158"/>
      <c r="AJ70" s="158"/>
      <c r="AK70" s="133">
        <f>IFERROR(__xludf.DUMMYFUNCTION("""COMPUTED_VALUE"""),2.0)</f>
        <v>2</v>
      </c>
      <c r="AL70" s="133">
        <f>IFERROR(__xludf.DUMMYFUNCTION("""COMPUTED_VALUE"""),0.0)</f>
        <v>0</v>
      </c>
      <c r="AM70" s="133">
        <f>IFERROR(__xludf.DUMMYFUNCTION("""COMPUTED_VALUE"""),2.0)</f>
        <v>2</v>
      </c>
      <c r="AN70" s="133" t="str">
        <f>IFERROR(__xludf.DUMMYFUNCTION("""COMPUTED_VALUE"""),"3")</f>
        <v>3</v>
      </c>
      <c r="AO70" s="133">
        <f>IFERROR(__xludf.DUMMYFUNCTION("""COMPUTED_VALUE"""),0.0)</f>
        <v>0</v>
      </c>
      <c r="AP70" s="155" t="s">
        <v>2461</v>
      </c>
    </row>
    <row r="71">
      <c r="A71" s="555">
        <f>IFERROR(__xludf.DUMMYFUNCTION("""COMPUTED_VALUE"""),67.0)</f>
        <v>67</v>
      </c>
      <c r="B71" s="555" t="str">
        <f>IFERROR(__xludf.DUMMYFUNCTION("""COMPUTED_VALUE"""),"hini23cs@cmrit.ac.in")</f>
        <v>hini23cs@cmrit.ac.in</v>
      </c>
      <c r="C71" s="564" t="str">
        <f>IFERROR(__xludf.DUMMYFUNCTION("""COMPUTED_VALUE"""),"HIMANSHU NIKAM")</f>
        <v>HIMANSHU NIKAM</v>
      </c>
      <c r="D71" s="261" t="str">
        <f>IFERROR(__xludf.DUMMYFUNCTION("""COMPUTED_VALUE"""),"1CR23CS070")</f>
        <v>1CR23CS070</v>
      </c>
      <c r="E71" s="563">
        <f>IFERROR(__xludf.DUMMYFUNCTION("""COMPUTED_VALUE"""),8.737923714E9)</f>
        <v>8737923714</v>
      </c>
      <c r="F71" s="155" t="str">
        <f>IFERROR(__xludf.DUMMYFUNCTION("""COMPUTED_VALUE"""),"CSE")</f>
        <v>CSE</v>
      </c>
      <c r="G71" s="158"/>
      <c r="H71" s="559">
        <f>IFERROR(__xludf.DUMMYFUNCTION("""COMPUTED_VALUE"""),81.0)</f>
        <v>81</v>
      </c>
      <c r="I71" s="559">
        <f>IFERROR(__xludf.DUMMYFUNCTION("""COMPUTED_VALUE"""),83.0)</f>
        <v>83</v>
      </c>
      <c r="J71" s="559">
        <f>IFERROR(__xludf.DUMMYFUNCTION("""COMPUTED_VALUE"""),70.0)</f>
        <v>70</v>
      </c>
      <c r="K71" s="559">
        <f>IFERROR(__xludf.DUMMYFUNCTION("""COMPUTED_VALUE"""),70.0)</f>
        <v>70</v>
      </c>
      <c r="L71" s="560">
        <f>IFERROR(__xludf.DUMMYFUNCTION("""COMPUTED_VALUE"""),64.0)</f>
        <v>64</v>
      </c>
      <c r="M71" s="561">
        <f>IFERROR(__xludf.DUMMYFUNCTION("""COMPUTED_VALUE"""),50.0)</f>
        <v>50</v>
      </c>
      <c r="N71" s="561">
        <f>IFERROR(__xludf.DUMMYFUNCTION("""COMPUTED_VALUE"""),56.0)</f>
        <v>56</v>
      </c>
      <c r="O71" s="560"/>
      <c r="P71" s="562">
        <f>IFERROR(__xludf.DUMMYFUNCTION("""COMPUTED_VALUE"""),0.0)</f>
        <v>0</v>
      </c>
      <c r="Q71" s="562">
        <f>IFERROR(__xludf.DUMMYFUNCTION("""COMPUTED_VALUE"""),63.0)</f>
        <v>63</v>
      </c>
      <c r="R71" s="562">
        <f>IFERROR(__xludf.DUMMYFUNCTION("""COMPUTED_VALUE"""),84.0)</f>
        <v>84</v>
      </c>
      <c r="S71" s="562"/>
      <c r="T71" s="217">
        <f>IFERROR(__xludf.DUMMYFUNCTION("""COMPUTED_VALUE"""),12.0)</f>
        <v>12</v>
      </c>
      <c r="U71" s="217">
        <f>IFERROR(__xludf.DUMMYFUNCTION("""COMPUTED_VALUE"""),18.0)</f>
        <v>18</v>
      </c>
      <c r="V71" s="217">
        <f>IFERROR(__xludf.DUMMYFUNCTION("""COMPUTED_VALUE"""),84.0)</f>
        <v>84</v>
      </c>
      <c r="W71" s="217">
        <f>IFERROR(__xludf.DUMMYFUNCTION("""COMPUTED_VALUE"""),40.0)</f>
        <v>40</v>
      </c>
      <c r="X71" s="217">
        <f>IFERROR(__xludf.DUMMYFUNCTION("""COMPUTED_VALUE"""),74.0)</f>
        <v>74</v>
      </c>
      <c r="Y71" s="217"/>
      <c r="Z71" s="217"/>
      <c r="AA71" s="481">
        <f>IFERROR(__xludf.DUMMYFUNCTION("""COMPUTED_VALUE"""),80.0)</f>
        <v>80</v>
      </c>
      <c r="AB71" s="481">
        <f>IFERROR(__xludf.DUMMYFUNCTION("""COMPUTED_VALUE"""),84.5)</f>
        <v>84.5</v>
      </c>
      <c r="AC71" s="481">
        <f>IFERROR(__xludf.DUMMYFUNCTION("""COMPUTED_VALUE"""),75.0)</f>
        <v>75</v>
      </c>
      <c r="AD71" s="481">
        <f>IFERROR(__xludf.DUMMYFUNCTION("""COMPUTED_VALUE"""),100.0)</f>
        <v>100</v>
      </c>
      <c r="AE71" s="481">
        <f>IFERROR(__xludf.DUMMYFUNCTION("""COMPUTED_VALUE"""),80.0)</f>
        <v>80</v>
      </c>
      <c r="AF71" s="481"/>
      <c r="AG71" s="481">
        <f>IFERROR(__xludf.DUMMYFUNCTION("""COMPUTED_VALUE"""),72.0)</f>
        <v>72</v>
      </c>
      <c r="AH71" s="481"/>
      <c r="AI71" s="158"/>
      <c r="AJ71" s="158"/>
      <c r="AK71" s="133">
        <f>IFERROR(__xludf.DUMMYFUNCTION("""COMPUTED_VALUE"""),4.0)</f>
        <v>4</v>
      </c>
      <c r="AL71" s="133">
        <f>IFERROR(__xludf.DUMMYFUNCTION("""COMPUTED_VALUE"""),3.0)</f>
        <v>3</v>
      </c>
      <c r="AM71" s="133">
        <f>IFERROR(__xludf.DUMMYFUNCTION("""COMPUTED_VALUE"""),2.0)</f>
        <v>2</v>
      </c>
      <c r="AN71" s="133" t="str">
        <f>IFERROR(__xludf.DUMMYFUNCTION("""COMPUTED_VALUE"""),"3.5")</f>
        <v>3.5</v>
      </c>
      <c r="AO71" s="133">
        <f>IFERROR(__xludf.DUMMYFUNCTION("""COMPUTED_VALUE"""),0.0)</f>
        <v>0</v>
      </c>
      <c r="AP71" s="155" t="s">
        <v>2461</v>
      </c>
    </row>
    <row r="72">
      <c r="A72" s="555">
        <f>IFERROR(__xludf.DUMMYFUNCTION("""COMPUTED_VALUE"""),68.0)</f>
        <v>68</v>
      </c>
      <c r="B72" s="555" t="str">
        <f>IFERROR(__xludf.DUMMYFUNCTION("""COMPUTED_VALUE"""),"hig23cs@cmrit.ac.in")</f>
        <v>hig23cs@cmrit.ac.in</v>
      </c>
      <c r="C72" s="564" t="str">
        <f>IFERROR(__xludf.DUMMYFUNCTION("""COMPUTED_VALUE"""),"Hitesh G")</f>
        <v>Hitesh G</v>
      </c>
      <c r="D72" s="261" t="str">
        <f>IFERROR(__xludf.DUMMYFUNCTION("""COMPUTED_VALUE"""),"1CR23CS071")</f>
        <v>1CR23CS071</v>
      </c>
      <c r="E72" s="563">
        <f>IFERROR(__xludf.DUMMYFUNCTION("""COMPUTED_VALUE"""),9.141933459E9)</f>
        <v>9141933459</v>
      </c>
      <c r="F72" s="155" t="str">
        <f>IFERROR(__xludf.DUMMYFUNCTION("""COMPUTED_VALUE"""),"CSE")</f>
        <v>CSE</v>
      </c>
      <c r="G72" s="158"/>
      <c r="H72" s="559">
        <f>IFERROR(__xludf.DUMMYFUNCTION("""COMPUTED_VALUE"""),79.0)</f>
        <v>79</v>
      </c>
      <c r="I72" s="559">
        <f>IFERROR(__xludf.DUMMYFUNCTION("""COMPUTED_VALUE"""),77.0)</f>
        <v>77</v>
      </c>
      <c r="J72" s="559">
        <f>IFERROR(__xludf.DUMMYFUNCTION("""COMPUTED_VALUE"""),54.0)</f>
        <v>54</v>
      </c>
      <c r="K72" s="559">
        <f>IFERROR(__xludf.DUMMYFUNCTION("""COMPUTED_VALUE"""),70.0)</f>
        <v>70</v>
      </c>
      <c r="L72" s="560">
        <f>IFERROR(__xludf.DUMMYFUNCTION("""COMPUTED_VALUE"""),50.0)</f>
        <v>50</v>
      </c>
      <c r="M72" s="561">
        <f>IFERROR(__xludf.DUMMYFUNCTION("""COMPUTED_VALUE"""),50.0)</f>
        <v>50</v>
      </c>
      <c r="N72" s="561">
        <f>IFERROR(__xludf.DUMMYFUNCTION("""COMPUTED_VALUE"""),39.0)</f>
        <v>39</v>
      </c>
      <c r="O72" s="560"/>
      <c r="P72" s="562">
        <f>IFERROR(__xludf.DUMMYFUNCTION("""COMPUTED_VALUE"""),72.0)</f>
        <v>72</v>
      </c>
      <c r="Q72" s="562">
        <f>IFERROR(__xludf.DUMMYFUNCTION("""COMPUTED_VALUE"""),65.0)</f>
        <v>65</v>
      </c>
      <c r="R72" s="562">
        <f>IFERROR(__xludf.DUMMYFUNCTION("""COMPUTED_VALUE"""),67.0)</f>
        <v>67</v>
      </c>
      <c r="S72" s="562"/>
      <c r="T72" s="217">
        <f>IFERROR(__xludf.DUMMYFUNCTION("""COMPUTED_VALUE"""),12.0)</f>
        <v>12</v>
      </c>
      <c r="U72" s="217">
        <f>IFERROR(__xludf.DUMMYFUNCTION("""COMPUTED_VALUE"""),19.0)</f>
        <v>19</v>
      </c>
      <c r="V72" s="217"/>
      <c r="W72" s="217">
        <f>IFERROR(__xludf.DUMMYFUNCTION("""COMPUTED_VALUE"""),36.0)</f>
        <v>36</v>
      </c>
      <c r="X72" s="217">
        <f>IFERROR(__xludf.DUMMYFUNCTION("""COMPUTED_VALUE"""),76.0)</f>
        <v>76</v>
      </c>
      <c r="Y72" s="217"/>
      <c r="Z72" s="217"/>
      <c r="AA72" s="481">
        <f>IFERROR(__xludf.DUMMYFUNCTION("""COMPUTED_VALUE"""),0.0)</f>
        <v>0</v>
      </c>
      <c r="AB72" s="481">
        <f>IFERROR(__xludf.DUMMYFUNCTION("""COMPUTED_VALUE"""),55.0)</f>
        <v>55</v>
      </c>
      <c r="AC72" s="481">
        <f>IFERROR(__xludf.DUMMYFUNCTION("""COMPUTED_VALUE"""),80.0)</f>
        <v>80</v>
      </c>
      <c r="AD72" s="481">
        <f>IFERROR(__xludf.DUMMYFUNCTION("""COMPUTED_VALUE"""),100.0)</f>
        <v>100</v>
      </c>
      <c r="AE72" s="481">
        <f>IFERROR(__xludf.DUMMYFUNCTION("""COMPUTED_VALUE"""),19.0)</f>
        <v>19</v>
      </c>
      <c r="AF72" s="481"/>
      <c r="AG72" s="481">
        <f>IFERROR(__xludf.DUMMYFUNCTION("""COMPUTED_VALUE"""),16.0)</f>
        <v>16</v>
      </c>
      <c r="AH72" s="481"/>
      <c r="AI72" s="158"/>
      <c r="AJ72" s="158"/>
      <c r="AK72" s="133">
        <f>IFERROR(__xludf.DUMMYFUNCTION("""COMPUTED_VALUE"""),2.0)</f>
        <v>2</v>
      </c>
      <c r="AL72" s="133">
        <f>IFERROR(__xludf.DUMMYFUNCTION("""COMPUTED_VALUE"""),2.0)</f>
        <v>2</v>
      </c>
      <c r="AM72" s="133">
        <f>IFERROR(__xludf.DUMMYFUNCTION("""COMPUTED_VALUE"""),2.0)</f>
        <v>2</v>
      </c>
      <c r="AN72" s="133" t="str">
        <f>IFERROR(__xludf.DUMMYFUNCTION("""COMPUTED_VALUE"""),"3")</f>
        <v>3</v>
      </c>
      <c r="AO72" s="133">
        <f>IFERROR(__xludf.DUMMYFUNCTION("""COMPUTED_VALUE"""),3.0)</f>
        <v>3</v>
      </c>
      <c r="AP72" s="155" t="s">
        <v>2461</v>
      </c>
    </row>
    <row r="73">
      <c r="A73" s="555">
        <f>IFERROR(__xludf.DUMMYFUNCTION("""COMPUTED_VALUE"""),69.0)</f>
        <v>69</v>
      </c>
      <c r="B73" s="555" t="str">
        <f>IFERROR(__xludf.DUMMYFUNCTION("""COMPUTED_VALUE"""),"iqha23cs@cmrit.ac.in")</f>
        <v>iqha23cs@cmrit.ac.in</v>
      </c>
      <c r="C73" s="564" t="str">
        <f>IFERROR(__xludf.DUMMYFUNCTION("""COMPUTED_VALUE"""),"IQBAL JAVAID HAKIM")</f>
        <v>IQBAL JAVAID HAKIM</v>
      </c>
      <c r="D73" s="261" t="str">
        <f>IFERROR(__xludf.DUMMYFUNCTION("""COMPUTED_VALUE"""),"1CR23CS072")</f>
        <v>1CR23CS072</v>
      </c>
      <c r="E73" s="563">
        <f>IFERROR(__xludf.DUMMYFUNCTION("""COMPUTED_VALUE"""),9.1481253E9)</f>
        <v>9148125300</v>
      </c>
      <c r="F73" s="155" t="str">
        <f>IFERROR(__xludf.DUMMYFUNCTION("""COMPUTED_VALUE"""),"CSE")</f>
        <v>CSE</v>
      </c>
      <c r="G73" s="158"/>
      <c r="H73" s="559">
        <f>IFERROR(__xludf.DUMMYFUNCTION("""COMPUTED_VALUE"""),83.0)</f>
        <v>83</v>
      </c>
      <c r="I73" s="559">
        <f>IFERROR(__xludf.DUMMYFUNCTION("""COMPUTED_VALUE"""),82.0)</f>
        <v>82</v>
      </c>
      <c r="J73" s="559">
        <f>IFERROR(__xludf.DUMMYFUNCTION("""COMPUTED_VALUE"""),39.0)</f>
        <v>39</v>
      </c>
      <c r="K73" s="559">
        <f>IFERROR(__xludf.DUMMYFUNCTION("""COMPUTED_VALUE"""),70.0)</f>
        <v>70</v>
      </c>
      <c r="L73" s="560">
        <f>IFERROR(__xludf.DUMMYFUNCTION("""COMPUTED_VALUE"""),31.0)</f>
        <v>31</v>
      </c>
      <c r="M73" s="561">
        <f>IFERROR(__xludf.DUMMYFUNCTION("""COMPUTED_VALUE"""),50.0)</f>
        <v>50</v>
      </c>
      <c r="N73" s="561">
        <f>IFERROR(__xludf.DUMMYFUNCTION("""COMPUTED_VALUE"""),3.0)</f>
        <v>3</v>
      </c>
      <c r="O73" s="560"/>
      <c r="P73" s="562">
        <f>IFERROR(__xludf.DUMMYFUNCTION("""COMPUTED_VALUE"""),0.0)</f>
        <v>0</v>
      </c>
      <c r="Q73" s="562">
        <f>IFERROR(__xludf.DUMMYFUNCTION("""COMPUTED_VALUE"""),50.0)</f>
        <v>50</v>
      </c>
      <c r="R73" s="562">
        <f>IFERROR(__xludf.DUMMYFUNCTION("""COMPUTED_VALUE"""),0.0)</f>
        <v>0</v>
      </c>
      <c r="S73" s="562"/>
      <c r="T73" s="217">
        <f>IFERROR(__xludf.DUMMYFUNCTION("""COMPUTED_VALUE"""),18.0)</f>
        <v>18</v>
      </c>
      <c r="U73" s="217">
        <f>IFERROR(__xludf.DUMMYFUNCTION("""COMPUTED_VALUE"""),20.0)</f>
        <v>20</v>
      </c>
      <c r="V73" s="217">
        <f>IFERROR(__xludf.DUMMYFUNCTION("""COMPUTED_VALUE"""),80.0)</f>
        <v>80</v>
      </c>
      <c r="W73" s="217">
        <f>IFERROR(__xludf.DUMMYFUNCTION("""COMPUTED_VALUE"""),60.0)</f>
        <v>60</v>
      </c>
      <c r="X73" s="217">
        <f>IFERROR(__xludf.DUMMYFUNCTION("""COMPUTED_VALUE"""),68.0)</f>
        <v>68</v>
      </c>
      <c r="Y73" s="217"/>
      <c r="Z73" s="217"/>
      <c r="AA73" s="481">
        <f>IFERROR(__xludf.DUMMYFUNCTION("""COMPUTED_VALUE"""),15.0)</f>
        <v>15</v>
      </c>
      <c r="AB73" s="481">
        <f>IFERROR(__xludf.DUMMYFUNCTION("""COMPUTED_VALUE"""),93.0)</f>
        <v>93</v>
      </c>
      <c r="AC73" s="481">
        <f>IFERROR(__xludf.DUMMYFUNCTION("""COMPUTED_VALUE"""),80.0)</f>
        <v>80</v>
      </c>
      <c r="AD73" s="481">
        <f>IFERROR(__xludf.DUMMYFUNCTION("""COMPUTED_VALUE"""),70.0)</f>
        <v>70</v>
      </c>
      <c r="AE73" s="481">
        <f>IFERROR(__xludf.DUMMYFUNCTION("""COMPUTED_VALUE"""),16.0)</f>
        <v>16</v>
      </c>
      <c r="AF73" s="481"/>
      <c r="AG73" s="481">
        <f>IFERROR(__xludf.DUMMYFUNCTION("""COMPUTED_VALUE"""),0.0)</f>
        <v>0</v>
      </c>
      <c r="AH73" s="481"/>
      <c r="AI73" s="158"/>
      <c r="AJ73" s="158"/>
      <c r="AK73" s="133">
        <f>IFERROR(__xludf.DUMMYFUNCTION("""COMPUTED_VALUE"""),2.0)</f>
        <v>2</v>
      </c>
      <c r="AL73" s="133">
        <f>IFERROR(__xludf.DUMMYFUNCTION("""COMPUTED_VALUE"""),0.0)</f>
        <v>0</v>
      </c>
      <c r="AM73" s="133">
        <f>IFERROR(__xludf.DUMMYFUNCTION("""COMPUTED_VALUE"""),3.0)</f>
        <v>3</v>
      </c>
      <c r="AN73" s="133" t="str">
        <f>IFERROR(__xludf.DUMMYFUNCTION("""COMPUTED_VALUE"""),"3")</f>
        <v>3</v>
      </c>
      <c r="AO73" s="133">
        <f>IFERROR(__xludf.DUMMYFUNCTION("""COMPUTED_VALUE"""),0.0)</f>
        <v>0</v>
      </c>
      <c r="AP73" s="155" t="s">
        <v>2461</v>
      </c>
    </row>
    <row r="74">
      <c r="A74" s="555">
        <f>IFERROR(__xludf.DUMMYFUNCTION("""COMPUTED_VALUE"""),70.0)</f>
        <v>70</v>
      </c>
      <c r="B74" s="555" t="str">
        <f>IFERROR(__xludf.DUMMYFUNCTION("""COMPUTED_VALUE"""),"isra23cs@cmrit.ac.in")</f>
        <v>isra23cs@cmrit.ac.in</v>
      </c>
      <c r="C74" s="564" t="str">
        <f>IFERROR(__xludf.DUMMYFUNCTION("""COMPUTED_VALUE"""),"ISHITA RANI")</f>
        <v>ISHITA RANI</v>
      </c>
      <c r="D74" s="261" t="str">
        <f>IFERROR(__xludf.DUMMYFUNCTION("""COMPUTED_VALUE"""),"1CR23CS073")</f>
        <v>1CR23CS073</v>
      </c>
      <c r="E74" s="563">
        <f>IFERROR(__xludf.DUMMYFUNCTION("""COMPUTED_VALUE"""),6.362858403E9)</f>
        <v>6362858403</v>
      </c>
      <c r="F74" s="155" t="str">
        <f>IFERROR(__xludf.DUMMYFUNCTION("""COMPUTED_VALUE"""),"CSE")</f>
        <v>CSE</v>
      </c>
      <c r="G74" s="158"/>
      <c r="H74" s="559">
        <f>IFERROR(__xludf.DUMMYFUNCTION("""COMPUTED_VALUE"""),77.0)</f>
        <v>77</v>
      </c>
      <c r="I74" s="559">
        <f>IFERROR(__xludf.DUMMYFUNCTION("""COMPUTED_VALUE"""),81.0)</f>
        <v>81</v>
      </c>
      <c r="J74" s="559">
        <f>IFERROR(__xludf.DUMMYFUNCTION("""COMPUTED_VALUE"""),80.0)</f>
        <v>80</v>
      </c>
      <c r="K74" s="559">
        <f>IFERROR(__xludf.DUMMYFUNCTION("""COMPUTED_VALUE"""),70.0)</f>
        <v>70</v>
      </c>
      <c r="L74" s="560">
        <f>IFERROR(__xludf.DUMMYFUNCTION("""COMPUTED_VALUE"""),30.0)</f>
        <v>30</v>
      </c>
      <c r="M74" s="561">
        <f>IFERROR(__xludf.DUMMYFUNCTION("""COMPUTED_VALUE"""),14.0)</f>
        <v>14</v>
      </c>
      <c r="N74" s="561">
        <f>IFERROR(__xludf.DUMMYFUNCTION("""COMPUTED_VALUE"""),26.0)</f>
        <v>26</v>
      </c>
      <c r="O74" s="560"/>
      <c r="P74" s="562">
        <f>IFERROR(__xludf.DUMMYFUNCTION("""COMPUTED_VALUE"""),74.0)</f>
        <v>74</v>
      </c>
      <c r="Q74" s="562">
        <f>IFERROR(__xludf.DUMMYFUNCTION("""COMPUTED_VALUE"""),66.0)</f>
        <v>66</v>
      </c>
      <c r="R74" s="562">
        <f>IFERROR(__xludf.DUMMYFUNCTION("""COMPUTED_VALUE"""),69.0)</f>
        <v>69</v>
      </c>
      <c r="S74" s="562"/>
      <c r="T74" s="217">
        <f>IFERROR(__xludf.DUMMYFUNCTION("""COMPUTED_VALUE"""),16.0)</f>
        <v>16</v>
      </c>
      <c r="U74" s="217">
        <f>IFERROR(__xludf.DUMMYFUNCTION("""COMPUTED_VALUE"""),15.0)</f>
        <v>15</v>
      </c>
      <c r="V74" s="217">
        <f>IFERROR(__xludf.DUMMYFUNCTION("""COMPUTED_VALUE"""),76.0)</f>
        <v>76</v>
      </c>
      <c r="W74" s="217">
        <f>IFERROR(__xludf.DUMMYFUNCTION("""COMPUTED_VALUE"""),80.0)</f>
        <v>80</v>
      </c>
      <c r="X74" s="217">
        <f>IFERROR(__xludf.DUMMYFUNCTION("""COMPUTED_VALUE"""),84.0)</f>
        <v>84</v>
      </c>
      <c r="Y74" s="217"/>
      <c r="Z74" s="217"/>
      <c r="AA74" s="481">
        <f>IFERROR(__xludf.DUMMYFUNCTION("""COMPUTED_VALUE"""),31.0)</f>
        <v>31</v>
      </c>
      <c r="AB74" s="481">
        <f>IFERROR(__xludf.DUMMYFUNCTION("""COMPUTED_VALUE"""),60.0)</f>
        <v>60</v>
      </c>
      <c r="AC74" s="481">
        <f>IFERROR(__xludf.DUMMYFUNCTION("""COMPUTED_VALUE"""),0.0)</f>
        <v>0</v>
      </c>
      <c r="AD74" s="481">
        <f>IFERROR(__xludf.DUMMYFUNCTION("""COMPUTED_VALUE"""),60.0)</f>
        <v>60</v>
      </c>
      <c r="AE74" s="481">
        <f>IFERROR(__xludf.DUMMYFUNCTION("""COMPUTED_VALUE"""),14.0)</f>
        <v>14</v>
      </c>
      <c r="AF74" s="481"/>
      <c r="AG74" s="481">
        <f>IFERROR(__xludf.DUMMYFUNCTION("""COMPUTED_VALUE"""),43.0)</f>
        <v>43</v>
      </c>
      <c r="AH74" s="481"/>
      <c r="AI74" s="158"/>
      <c r="AJ74" s="158"/>
      <c r="AK74" s="133">
        <f>IFERROR(__xludf.DUMMYFUNCTION("""COMPUTED_VALUE"""),4.0)</f>
        <v>4</v>
      </c>
      <c r="AL74" s="133">
        <f>IFERROR(__xludf.DUMMYFUNCTION("""COMPUTED_VALUE"""),0.0)</f>
        <v>0</v>
      </c>
      <c r="AM74" s="133">
        <f>IFERROR(__xludf.DUMMYFUNCTION("""COMPUTED_VALUE"""),3.0)</f>
        <v>3</v>
      </c>
      <c r="AN74" s="133" t="str">
        <f>IFERROR(__xludf.DUMMYFUNCTION("""COMPUTED_VALUE"""),"3")</f>
        <v>3</v>
      </c>
      <c r="AO74" s="133">
        <f>IFERROR(__xludf.DUMMYFUNCTION("""COMPUTED_VALUE"""),3.0)</f>
        <v>3</v>
      </c>
      <c r="AP74" s="155" t="s">
        <v>2461</v>
      </c>
    </row>
    <row r="75">
      <c r="A75" s="555">
        <f>IFERROR(__xludf.DUMMYFUNCTION("""COMPUTED_VALUE"""),71.0)</f>
        <v>71</v>
      </c>
      <c r="B75" s="555" t="str">
        <f>IFERROR(__xludf.DUMMYFUNCTION("""COMPUTED_VALUE"""),"jrra23cs@cmrit.ac.in")</f>
        <v>jrra23cs@cmrit.ac.in</v>
      </c>
      <c r="C75" s="172" t="str">
        <f>IFERROR(__xludf.DUMMYFUNCTION("""COMPUTED_VALUE"""),"J RISHAB RAO")</f>
        <v>J RISHAB RAO</v>
      </c>
      <c r="D75" s="261" t="str">
        <f>IFERROR(__xludf.DUMMYFUNCTION("""COMPUTED_VALUE"""),"1CR23CS074")</f>
        <v>1CR23CS074</v>
      </c>
      <c r="E75" s="563">
        <f>IFERROR(__xludf.DUMMYFUNCTION("""COMPUTED_VALUE"""),9.972477937E9)</f>
        <v>9972477937</v>
      </c>
      <c r="F75" s="155" t="str">
        <f>IFERROR(__xludf.DUMMYFUNCTION("""COMPUTED_VALUE"""),"CSE")</f>
        <v>CSE</v>
      </c>
      <c r="G75" s="158"/>
      <c r="H75" s="559">
        <f>IFERROR(__xludf.DUMMYFUNCTION("""COMPUTED_VALUE"""),83.0)</f>
        <v>83</v>
      </c>
      <c r="I75" s="559">
        <f>IFERROR(__xludf.DUMMYFUNCTION("""COMPUTED_VALUE"""),78.0)</f>
        <v>78</v>
      </c>
      <c r="J75" s="559">
        <f>IFERROR(__xludf.DUMMYFUNCTION("""COMPUTED_VALUE"""),68.0)</f>
        <v>68</v>
      </c>
      <c r="K75" s="559">
        <f>IFERROR(__xludf.DUMMYFUNCTION("""COMPUTED_VALUE"""),70.0)</f>
        <v>70</v>
      </c>
      <c r="L75" s="560">
        <f>IFERROR(__xludf.DUMMYFUNCTION("""COMPUTED_VALUE"""),62.0)</f>
        <v>62</v>
      </c>
      <c r="M75" s="561">
        <f>IFERROR(__xludf.DUMMYFUNCTION("""COMPUTED_VALUE"""),33.0)</f>
        <v>33</v>
      </c>
      <c r="N75" s="561">
        <f>IFERROR(__xludf.DUMMYFUNCTION("""COMPUTED_VALUE"""),38.0)</f>
        <v>38</v>
      </c>
      <c r="O75" s="560"/>
      <c r="P75" s="562">
        <f>IFERROR(__xludf.DUMMYFUNCTION("""COMPUTED_VALUE"""),0.0)</f>
        <v>0</v>
      </c>
      <c r="Q75" s="562">
        <f>IFERROR(__xludf.DUMMYFUNCTION("""COMPUTED_VALUE"""),65.0)</f>
        <v>65</v>
      </c>
      <c r="R75" s="562">
        <f>IFERROR(__xludf.DUMMYFUNCTION("""COMPUTED_VALUE"""),45.0)</f>
        <v>45</v>
      </c>
      <c r="S75" s="562"/>
      <c r="T75" s="217">
        <f>IFERROR(__xludf.DUMMYFUNCTION("""COMPUTED_VALUE"""),10.0)</f>
        <v>10</v>
      </c>
      <c r="U75" s="217"/>
      <c r="V75" s="217">
        <f>IFERROR(__xludf.DUMMYFUNCTION("""COMPUTED_VALUE"""),76.0)</f>
        <v>76</v>
      </c>
      <c r="W75" s="217"/>
      <c r="X75" s="217">
        <f>IFERROR(__xludf.DUMMYFUNCTION("""COMPUTED_VALUE"""),50.0)</f>
        <v>50</v>
      </c>
      <c r="Y75" s="217"/>
      <c r="Z75" s="217"/>
      <c r="AA75" s="481">
        <f>IFERROR(__xludf.DUMMYFUNCTION("""COMPUTED_VALUE"""),48.2)</f>
        <v>48.2</v>
      </c>
      <c r="AB75" s="481">
        <f>IFERROR(__xludf.DUMMYFUNCTION("""COMPUTED_VALUE"""),63.75)</f>
        <v>63.75</v>
      </c>
      <c r="AC75" s="481">
        <f>IFERROR(__xludf.DUMMYFUNCTION("""COMPUTED_VALUE"""),0.0)</f>
        <v>0</v>
      </c>
      <c r="AD75" s="481">
        <f>IFERROR(__xludf.DUMMYFUNCTION("""COMPUTED_VALUE"""),32.0)</f>
        <v>32</v>
      </c>
      <c r="AE75" s="481">
        <f>IFERROR(__xludf.DUMMYFUNCTION("""COMPUTED_VALUE"""),10.0)</f>
        <v>10</v>
      </c>
      <c r="AF75" s="481"/>
      <c r="AG75" s="481">
        <f>IFERROR(__xludf.DUMMYFUNCTION("""COMPUTED_VALUE"""),24.0)</f>
        <v>24</v>
      </c>
      <c r="AH75" s="481"/>
      <c r="AI75" s="158"/>
      <c r="AJ75" s="158"/>
      <c r="AK75" s="133">
        <f>IFERROR(__xludf.DUMMYFUNCTION("""COMPUTED_VALUE"""),2.0)</f>
        <v>2</v>
      </c>
      <c r="AL75" s="133">
        <f>IFERROR(__xludf.DUMMYFUNCTION("""COMPUTED_VALUE"""),1.0)</f>
        <v>1</v>
      </c>
      <c r="AM75" s="133">
        <f>IFERROR(__xludf.DUMMYFUNCTION("""COMPUTED_VALUE"""),2.0)</f>
        <v>2</v>
      </c>
      <c r="AN75" s="133" t="str">
        <f>IFERROR(__xludf.DUMMYFUNCTION("""COMPUTED_VALUE"""),"2")</f>
        <v>2</v>
      </c>
      <c r="AO75" s="133">
        <f>IFERROR(__xludf.DUMMYFUNCTION("""COMPUTED_VALUE"""),0.0)</f>
        <v>0</v>
      </c>
      <c r="AP75" s="155" t="s">
        <v>2461</v>
      </c>
    </row>
    <row r="76">
      <c r="A76" s="555">
        <f>IFERROR(__xludf.DUMMYFUNCTION("""COMPUTED_VALUE"""),72.0)</f>
        <v>72</v>
      </c>
      <c r="B76" s="555" t="str">
        <f>IFERROR(__xludf.DUMMYFUNCTION("""COMPUTED_VALUE"""),"jssr23cs@cmrit.ac.in")</f>
        <v>jssr23cs@cmrit.ac.in</v>
      </c>
      <c r="C76" s="564" t="str">
        <f>IFERROR(__xludf.DUMMYFUNCTION("""COMPUTED_VALUE"""),"J SAMRUTHA SRIE")</f>
        <v>J SAMRUTHA SRIE</v>
      </c>
      <c r="D76" s="261" t="str">
        <f>IFERROR(__xludf.DUMMYFUNCTION("""COMPUTED_VALUE"""),"1CR23CS075")</f>
        <v>1CR23CS075</v>
      </c>
      <c r="E76" s="563">
        <f>IFERROR(__xludf.DUMMYFUNCTION("""COMPUTED_VALUE"""),9.945661321E9)</f>
        <v>9945661321</v>
      </c>
      <c r="F76" s="155" t="str">
        <f>IFERROR(__xludf.DUMMYFUNCTION("""COMPUTED_VALUE"""),"CSE")</f>
        <v>CSE</v>
      </c>
      <c r="G76" s="158"/>
      <c r="H76" s="559">
        <f>IFERROR(__xludf.DUMMYFUNCTION("""COMPUTED_VALUE"""),84.0)</f>
        <v>84</v>
      </c>
      <c r="I76" s="559">
        <f>IFERROR(__xludf.DUMMYFUNCTION("""COMPUTED_VALUE"""),82.0)</f>
        <v>82</v>
      </c>
      <c r="J76" s="559">
        <f>IFERROR(__xludf.DUMMYFUNCTION("""COMPUTED_VALUE"""),73.0)</f>
        <v>73</v>
      </c>
      <c r="K76" s="559">
        <f>IFERROR(__xludf.DUMMYFUNCTION("""COMPUTED_VALUE"""),72.0)</f>
        <v>72</v>
      </c>
      <c r="L76" s="560">
        <f>IFERROR(__xludf.DUMMYFUNCTION("""COMPUTED_VALUE"""),6.0)</f>
        <v>6</v>
      </c>
      <c r="M76" s="561">
        <f>IFERROR(__xludf.DUMMYFUNCTION("""COMPUTED_VALUE"""),0.0)</f>
        <v>0</v>
      </c>
      <c r="N76" s="561">
        <f>IFERROR(__xludf.DUMMYFUNCTION("""COMPUTED_VALUE"""),0.0)</f>
        <v>0</v>
      </c>
      <c r="O76" s="560"/>
      <c r="P76" s="562">
        <f>IFERROR(__xludf.DUMMYFUNCTION("""COMPUTED_VALUE"""),0.0)</f>
        <v>0</v>
      </c>
      <c r="Q76" s="562">
        <f>IFERROR(__xludf.DUMMYFUNCTION("""COMPUTED_VALUE"""),73.0)</f>
        <v>73</v>
      </c>
      <c r="R76" s="562">
        <f>IFERROR(__xludf.DUMMYFUNCTION("""COMPUTED_VALUE"""),0.0)</f>
        <v>0</v>
      </c>
      <c r="S76" s="562"/>
      <c r="T76" s="217">
        <f>IFERROR(__xludf.DUMMYFUNCTION("""COMPUTED_VALUE"""),10.0)</f>
        <v>10</v>
      </c>
      <c r="U76" s="217">
        <f>IFERROR(__xludf.DUMMYFUNCTION("""COMPUTED_VALUE"""),15.0)</f>
        <v>15</v>
      </c>
      <c r="V76" s="217">
        <f>IFERROR(__xludf.DUMMYFUNCTION("""COMPUTED_VALUE"""),80.0)</f>
        <v>80</v>
      </c>
      <c r="W76" s="217"/>
      <c r="X76" s="217"/>
      <c r="Y76" s="217"/>
      <c r="Z76" s="217"/>
      <c r="AA76" s="481">
        <f>IFERROR(__xludf.DUMMYFUNCTION("""COMPUTED_VALUE"""),15.0)</f>
        <v>15</v>
      </c>
      <c r="AB76" s="481">
        <f>IFERROR(__xludf.DUMMYFUNCTION("""COMPUTED_VALUE"""),0.0)</f>
        <v>0</v>
      </c>
      <c r="AC76" s="481">
        <f>IFERROR(__xludf.DUMMYFUNCTION("""COMPUTED_VALUE"""),0.0)</f>
        <v>0</v>
      </c>
      <c r="AD76" s="481">
        <f>IFERROR(__xludf.DUMMYFUNCTION("""COMPUTED_VALUE"""),38.0)</f>
        <v>38</v>
      </c>
      <c r="AE76" s="481">
        <f>IFERROR(__xludf.DUMMYFUNCTION("""COMPUTED_VALUE"""),10.0)</f>
        <v>10</v>
      </c>
      <c r="AF76" s="481"/>
      <c r="AG76" s="481">
        <f>IFERROR(__xludf.DUMMYFUNCTION("""COMPUTED_VALUE"""),0.0)</f>
        <v>0</v>
      </c>
      <c r="AH76" s="481"/>
      <c r="AI76" s="158"/>
      <c r="AJ76" s="158"/>
      <c r="AK76" s="133">
        <f>IFERROR(__xludf.DUMMYFUNCTION("""COMPUTED_VALUE"""),4.0)</f>
        <v>4</v>
      </c>
      <c r="AL76" s="133">
        <f>IFERROR(__xludf.DUMMYFUNCTION("""COMPUTED_VALUE"""),0.0)</f>
        <v>0</v>
      </c>
      <c r="AM76" s="133">
        <f>IFERROR(__xludf.DUMMYFUNCTION("""COMPUTED_VALUE"""),2.0)</f>
        <v>2</v>
      </c>
      <c r="AN76" s="133" t="str">
        <f>IFERROR(__xludf.DUMMYFUNCTION("""COMPUTED_VALUE"""),"0")</f>
        <v>0</v>
      </c>
      <c r="AO76" s="133">
        <f>IFERROR(__xludf.DUMMYFUNCTION("""COMPUTED_VALUE"""),0.0)</f>
        <v>0</v>
      </c>
      <c r="AP76" s="155" t="s">
        <v>2461</v>
      </c>
    </row>
    <row r="77">
      <c r="A77" s="555">
        <f>IFERROR(__xludf.DUMMYFUNCTION("""COMPUTED_VALUE"""),73.0)</f>
        <v>73</v>
      </c>
      <c r="B77" s="555" t="str">
        <f>IFERROR(__xludf.DUMMYFUNCTION("""COMPUTED_VALUE"""),"jast23cs@cmrit.ac.in")</f>
        <v>jast23cs@cmrit.ac.in</v>
      </c>
      <c r="C77" s="564" t="str">
        <f>IFERROR(__xludf.DUMMYFUNCTION("""COMPUTED_VALUE"""),"JADEN STEVE SAMUEL")</f>
        <v>JADEN STEVE SAMUEL</v>
      </c>
      <c r="D77" s="261" t="str">
        <f>IFERROR(__xludf.DUMMYFUNCTION("""COMPUTED_VALUE"""),"1CR23CS076")</f>
        <v>1CR23CS076</v>
      </c>
      <c r="E77" s="563">
        <f>IFERROR(__xludf.DUMMYFUNCTION("""COMPUTED_VALUE"""),8.971020283E9)</f>
        <v>8971020283</v>
      </c>
      <c r="F77" s="155" t="str">
        <f>IFERROR(__xludf.DUMMYFUNCTION("""COMPUTED_VALUE"""),"CSE")</f>
        <v>CSE</v>
      </c>
      <c r="G77" s="158"/>
      <c r="H77" s="559">
        <f>IFERROR(__xludf.DUMMYFUNCTION("""COMPUTED_VALUE"""),85.0)</f>
        <v>85</v>
      </c>
      <c r="I77" s="559">
        <f>IFERROR(__xludf.DUMMYFUNCTION("""COMPUTED_VALUE"""),81.0)</f>
        <v>81</v>
      </c>
      <c r="J77" s="559">
        <f>IFERROR(__xludf.DUMMYFUNCTION("""COMPUTED_VALUE"""),79.0)</f>
        <v>79</v>
      </c>
      <c r="K77" s="559">
        <f>IFERROR(__xludf.DUMMYFUNCTION("""COMPUTED_VALUE"""),19.0)</f>
        <v>19</v>
      </c>
      <c r="L77" s="560">
        <f>IFERROR(__xludf.DUMMYFUNCTION("""COMPUTED_VALUE"""),77.0)</f>
        <v>77</v>
      </c>
      <c r="M77" s="561">
        <f>IFERROR(__xludf.DUMMYFUNCTION("""COMPUTED_VALUE"""),35.0)</f>
        <v>35</v>
      </c>
      <c r="N77" s="561">
        <f>IFERROR(__xludf.DUMMYFUNCTION("""COMPUTED_VALUE"""),0.0)</f>
        <v>0</v>
      </c>
      <c r="O77" s="560"/>
      <c r="P77" s="562">
        <f>IFERROR(__xludf.DUMMYFUNCTION("""COMPUTED_VALUE"""),0.0)</f>
        <v>0</v>
      </c>
      <c r="Q77" s="562">
        <f>IFERROR(__xludf.DUMMYFUNCTION("""COMPUTED_VALUE"""),0.0)</f>
        <v>0</v>
      </c>
      <c r="R77" s="562">
        <f>IFERROR(__xludf.DUMMYFUNCTION("""COMPUTED_VALUE"""),0.0)</f>
        <v>0</v>
      </c>
      <c r="S77" s="562"/>
      <c r="T77" s="217">
        <f>IFERROR(__xludf.DUMMYFUNCTION("""COMPUTED_VALUE"""),16.0)</f>
        <v>16</v>
      </c>
      <c r="U77" s="217">
        <f>IFERROR(__xludf.DUMMYFUNCTION("""COMPUTED_VALUE"""),21.0)</f>
        <v>21</v>
      </c>
      <c r="V77" s="217">
        <f>IFERROR(__xludf.DUMMYFUNCTION("""COMPUTED_VALUE"""),88.0)</f>
        <v>88</v>
      </c>
      <c r="W77" s="217">
        <f>IFERROR(__xludf.DUMMYFUNCTION("""COMPUTED_VALUE"""),48.0)</f>
        <v>48</v>
      </c>
      <c r="X77" s="217"/>
      <c r="Y77" s="217"/>
      <c r="Z77" s="217"/>
      <c r="AA77" s="481">
        <f>IFERROR(__xludf.DUMMYFUNCTION("""COMPUTED_VALUE"""),36.0)</f>
        <v>36</v>
      </c>
      <c r="AB77" s="481">
        <f>IFERROR(__xludf.DUMMYFUNCTION("""COMPUTED_VALUE"""),65.0)</f>
        <v>65</v>
      </c>
      <c r="AC77" s="481">
        <f>IFERROR(__xludf.DUMMYFUNCTION("""COMPUTED_VALUE"""),0.0)</f>
        <v>0</v>
      </c>
      <c r="AD77" s="481">
        <f>IFERROR(__xludf.DUMMYFUNCTION("""COMPUTED_VALUE"""),2.0)</f>
        <v>2</v>
      </c>
      <c r="AE77" s="481">
        <f>IFERROR(__xludf.DUMMYFUNCTION("""COMPUTED_VALUE"""),10.0)</f>
        <v>10</v>
      </c>
      <c r="AF77" s="481"/>
      <c r="AG77" s="481">
        <f>IFERROR(__xludf.DUMMYFUNCTION("""COMPUTED_VALUE"""),0.0)</f>
        <v>0</v>
      </c>
      <c r="AH77" s="481"/>
      <c r="AI77" s="158"/>
      <c r="AJ77" s="158"/>
      <c r="AK77" s="133">
        <f>IFERROR(__xludf.DUMMYFUNCTION("""COMPUTED_VALUE"""),3.0)</f>
        <v>3</v>
      </c>
      <c r="AL77" s="133">
        <f>IFERROR(__xludf.DUMMYFUNCTION("""COMPUTED_VALUE"""),1.0)</f>
        <v>1</v>
      </c>
      <c r="AM77" s="133">
        <f>IFERROR(__xludf.DUMMYFUNCTION("""COMPUTED_VALUE"""),2.0)</f>
        <v>2</v>
      </c>
      <c r="AN77" s="133" t="str">
        <f>IFERROR(__xludf.DUMMYFUNCTION("""COMPUTED_VALUE"""),"2")</f>
        <v>2</v>
      </c>
      <c r="AO77" s="133">
        <f>IFERROR(__xludf.DUMMYFUNCTION("""COMPUTED_VALUE"""),0.0)</f>
        <v>0</v>
      </c>
      <c r="AP77" s="155" t="s">
        <v>2461</v>
      </c>
    </row>
    <row r="78">
      <c r="A78" s="555">
        <f>IFERROR(__xludf.DUMMYFUNCTION("""COMPUTED_VALUE"""),74.0)</f>
        <v>74</v>
      </c>
      <c r="B78" s="555" t="str">
        <f>IFERROR(__xludf.DUMMYFUNCTION("""COMPUTED_VALUE"""),"japa23cs@cmrit.ac.in")</f>
        <v>japa23cs@cmrit.ac.in</v>
      </c>
      <c r="C78" s="172" t="str">
        <f>IFERROR(__xludf.DUMMYFUNCTION("""COMPUTED_VALUE"""),"JAMES C PATHADAN")</f>
        <v>JAMES C PATHADAN</v>
      </c>
      <c r="D78" s="261" t="str">
        <f>IFERROR(__xludf.DUMMYFUNCTION("""COMPUTED_VALUE"""),"1CR23CS077")</f>
        <v>1CR23CS077</v>
      </c>
      <c r="E78" s="563">
        <f>IFERROR(__xludf.DUMMYFUNCTION("""COMPUTED_VALUE"""),8.660115168E9)</f>
        <v>8660115168</v>
      </c>
      <c r="F78" s="155" t="str">
        <f>IFERROR(__xludf.DUMMYFUNCTION("""COMPUTED_VALUE"""),"CSE")</f>
        <v>CSE</v>
      </c>
      <c r="G78" s="158"/>
      <c r="H78" s="559">
        <f>IFERROR(__xludf.DUMMYFUNCTION("""COMPUTED_VALUE"""),89.0)</f>
        <v>89</v>
      </c>
      <c r="I78" s="559">
        <f>IFERROR(__xludf.DUMMYFUNCTION("""COMPUTED_VALUE"""),87.0)</f>
        <v>87</v>
      </c>
      <c r="J78" s="559">
        <f>IFERROR(__xludf.DUMMYFUNCTION("""COMPUTED_VALUE"""),70.0)</f>
        <v>70</v>
      </c>
      <c r="K78" s="559">
        <f>IFERROR(__xludf.DUMMYFUNCTION("""COMPUTED_VALUE"""),80.0)</f>
        <v>80</v>
      </c>
      <c r="L78" s="560">
        <f>IFERROR(__xludf.DUMMYFUNCTION("""COMPUTED_VALUE"""),58.0)</f>
        <v>58</v>
      </c>
      <c r="M78" s="561">
        <f>IFERROR(__xludf.DUMMYFUNCTION("""COMPUTED_VALUE"""),8.0)</f>
        <v>8</v>
      </c>
      <c r="N78" s="561">
        <f>IFERROR(__xludf.DUMMYFUNCTION("""COMPUTED_VALUE"""),14.0)</f>
        <v>14</v>
      </c>
      <c r="O78" s="560"/>
      <c r="P78" s="562">
        <f>IFERROR(__xludf.DUMMYFUNCTION("""COMPUTED_VALUE"""),70.0)</f>
        <v>70</v>
      </c>
      <c r="Q78" s="562">
        <f>IFERROR(__xludf.DUMMYFUNCTION("""COMPUTED_VALUE"""),75.0)</f>
        <v>75</v>
      </c>
      <c r="R78" s="562">
        <f>IFERROR(__xludf.DUMMYFUNCTION("""COMPUTED_VALUE"""),50.0)</f>
        <v>50</v>
      </c>
      <c r="S78" s="562"/>
      <c r="T78" s="217">
        <f>IFERROR(__xludf.DUMMYFUNCTION("""COMPUTED_VALUE"""),13.0)</f>
        <v>13</v>
      </c>
      <c r="U78" s="217">
        <f>IFERROR(__xludf.DUMMYFUNCTION("""COMPUTED_VALUE"""),16.0)</f>
        <v>16</v>
      </c>
      <c r="V78" s="217">
        <f>IFERROR(__xludf.DUMMYFUNCTION("""COMPUTED_VALUE"""),70.0)</f>
        <v>70</v>
      </c>
      <c r="W78" s="217"/>
      <c r="X78" s="217">
        <f>IFERROR(__xludf.DUMMYFUNCTION("""COMPUTED_VALUE"""),84.0)</f>
        <v>84</v>
      </c>
      <c r="Y78" s="217"/>
      <c r="Z78" s="217"/>
      <c r="AA78" s="481">
        <f>IFERROR(__xludf.DUMMYFUNCTION("""COMPUTED_VALUE"""),55.0)</f>
        <v>55</v>
      </c>
      <c r="AB78" s="481">
        <f>IFERROR(__xludf.DUMMYFUNCTION("""COMPUTED_VALUE"""),63.0)</f>
        <v>63</v>
      </c>
      <c r="AC78" s="481">
        <f>IFERROR(__xludf.DUMMYFUNCTION("""COMPUTED_VALUE"""),0.0)</f>
        <v>0</v>
      </c>
      <c r="AD78" s="481">
        <f>IFERROR(__xludf.DUMMYFUNCTION("""COMPUTED_VALUE"""),100.0)</f>
        <v>100</v>
      </c>
      <c r="AE78" s="481">
        <f>IFERROR(__xludf.DUMMYFUNCTION("""COMPUTED_VALUE"""),30.0)</f>
        <v>30</v>
      </c>
      <c r="AF78" s="481"/>
      <c r="AG78" s="481">
        <f>IFERROR(__xludf.DUMMYFUNCTION("""COMPUTED_VALUE"""),70.0)</f>
        <v>70</v>
      </c>
      <c r="AH78" s="481"/>
      <c r="AI78" s="158"/>
      <c r="AJ78" s="158"/>
      <c r="AK78" s="133">
        <f>IFERROR(__xludf.DUMMYFUNCTION("""COMPUTED_VALUE"""),4.0)</f>
        <v>4</v>
      </c>
      <c r="AL78" s="133">
        <f>IFERROR(__xludf.DUMMYFUNCTION("""COMPUTED_VALUE"""),1.0)</f>
        <v>1</v>
      </c>
      <c r="AM78" s="133">
        <f>IFERROR(__xludf.DUMMYFUNCTION("""COMPUTED_VALUE"""),2.0)</f>
        <v>2</v>
      </c>
      <c r="AN78" s="133" t="str">
        <f>IFERROR(__xludf.DUMMYFUNCTION("""COMPUTED_VALUE"""),"3")</f>
        <v>3</v>
      </c>
      <c r="AO78" s="133">
        <f>IFERROR(__xludf.DUMMYFUNCTION("""COMPUTED_VALUE"""),3.0)</f>
        <v>3</v>
      </c>
      <c r="AP78" s="155" t="s">
        <v>2461</v>
      </c>
    </row>
    <row r="79">
      <c r="A79" s="555">
        <f>IFERROR(__xludf.DUMMYFUNCTION("""COMPUTED_VALUE"""),75.0)</f>
        <v>75</v>
      </c>
      <c r="B79" s="555" t="str">
        <f>IFERROR(__xludf.DUMMYFUNCTION("""COMPUTED_VALUE"""),"jan23cs@cmrit.ac.in")</f>
        <v>jan23cs@cmrit.ac.in</v>
      </c>
      <c r="C79" s="172" t="str">
        <f>IFERROR(__xludf.DUMMYFUNCTION("""COMPUTED_VALUE"""),"JASHWANTH N")</f>
        <v>JASHWANTH N</v>
      </c>
      <c r="D79" s="261" t="str">
        <f>IFERROR(__xludf.DUMMYFUNCTION("""COMPUTED_VALUE"""),"1CR23CS078")</f>
        <v>1CR23CS078</v>
      </c>
      <c r="E79" s="563">
        <f>IFERROR(__xludf.DUMMYFUNCTION("""COMPUTED_VALUE"""),6.360894827E9)</f>
        <v>6360894827</v>
      </c>
      <c r="F79" s="155" t="str">
        <f>IFERROR(__xludf.DUMMYFUNCTION("""COMPUTED_VALUE"""),"CSE")</f>
        <v>CSE</v>
      </c>
      <c r="G79" s="158"/>
      <c r="H79" s="559">
        <f>IFERROR(__xludf.DUMMYFUNCTION("""COMPUTED_VALUE"""),81.0)</f>
        <v>81</v>
      </c>
      <c r="I79" s="559">
        <f>IFERROR(__xludf.DUMMYFUNCTION("""COMPUTED_VALUE"""),80.0)</f>
        <v>80</v>
      </c>
      <c r="J79" s="559">
        <f>IFERROR(__xludf.DUMMYFUNCTION("""COMPUTED_VALUE"""),83.0)</f>
        <v>83</v>
      </c>
      <c r="K79" s="559">
        <f>IFERROR(__xludf.DUMMYFUNCTION("""COMPUTED_VALUE"""),79.0)</f>
        <v>79</v>
      </c>
      <c r="L79" s="560">
        <f>IFERROR(__xludf.DUMMYFUNCTION("""COMPUTED_VALUE"""),53.0)</f>
        <v>53</v>
      </c>
      <c r="M79" s="561">
        <f>IFERROR(__xludf.DUMMYFUNCTION("""COMPUTED_VALUE"""),53.0)</f>
        <v>53</v>
      </c>
      <c r="N79" s="561">
        <f>IFERROR(__xludf.DUMMYFUNCTION("""COMPUTED_VALUE"""),51.0)</f>
        <v>51</v>
      </c>
      <c r="O79" s="560"/>
      <c r="P79" s="562">
        <f>IFERROR(__xludf.DUMMYFUNCTION("""COMPUTED_VALUE"""),76.0)</f>
        <v>76</v>
      </c>
      <c r="Q79" s="562">
        <f>IFERROR(__xludf.DUMMYFUNCTION("""COMPUTED_VALUE"""),65.0)</f>
        <v>65</v>
      </c>
      <c r="R79" s="562">
        <f>IFERROR(__xludf.DUMMYFUNCTION("""COMPUTED_VALUE"""),80.0)</f>
        <v>80</v>
      </c>
      <c r="S79" s="562"/>
      <c r="T79" s="217">
        <f>IFERROR(__xludf.DUMMYFUNCTION("""COMPUTED_VALUE"""),13.0)</f>
        <v>13</v>
      </c>
      <c r="U79" s="217">
        <f>IFERROR(__xludf.DUMMYFUNCTION("""COMPUTED_VALUE"""),15.0)</f>
        <v>15</v>
      </c>
      <c r="V79" s="217">
        <f>IFERROR(__xludf.DUMMYFUNCTION("""COMPUTED_VALUE"""),76.0)</f>
        <v>76</v>
      </c>
      <c r="W79" s="217">
        <f>IFERROR(__xludf.DUMMYFUNCTION("""COMPUTED_VALUE"""),64.0)</f>
        <v>64</v>
      </c>
      <c r="X79" s="217">
        <f>IFERROR(__xludf.DUMMYFUNCTION("""COMPUTED_VALUE"""),84.0)</f>
        <v>84</v>
      </c>
      <c r="Y79" s="217"/>
      <c r="Z79" s="217"/>
      <c r="AA79" s="481">
        <f>IFERROR(__xludf.DUMMYFUNCTION("""COMPUTED_VALUE"""),94.0)</f>
        <v>94</v>
      </c>
      <c r="AB79" s="481">
        <f>IFERROR(__xludf.DUMMYFUNCTION("""COMPUTED_VALUE"""),96.25)</f>
        <v>96.25</v>
      </c>
      <c r="AC79" s="481">
        <f>IFERROR(__xludf.DUMMYFUNCTION("""COMPUTED_VALUE"""),93.5)</f>
        <v>93.5</v>
      </c>
      <c r="AD79" s="481">
        <f>IFERROR(__xludf.DUMMYFUNCTION("""COMPUTED_VALUE"""),60.0)</f>
        <v>60</v>
      </c>
      <c r="AE79" s="481">
        <f>IFERROR(__xludf.DUMMYFUNCTION("""COMPUTED_VALUE"""),89.0)</f>
        <v>89</v>
      </c>
      <c r="AF79" s="481"/>
      <c r="AG79" s="481">
        <f>IFERROR(__xludf.DUMMYFUNCTION("""COMPUTED_VALUE"""),72.0)</f>
        <v>72</v>
      </c>
      <c r="AH79" s="481"/>
      <c r="AI79" s="158"/>
      <c r="AJ79" s="158"/>
      <c r="AK79" s="133">
        <f>IFERROR(__xludf.DUMMYFUNCTION("""COMPUTED_VALUE"""),4.0)</f>
        <v>4</v>
      </c>
      <c r="AL79" s="133">
        <f>IFERROR(__xludf.DUMMYFUNCTION("""COMPUTED_VALUE"""),3.0)</f>
        <v>3</v>
      </c>
      <c r="AM79" s="133">
        <f>IFERROR(__xludf.DUMMYFUNCTION("""COMPUTED_VALUE"""),3.0)</f>
        <v>3</v>
      </c>
      <c r="AN79" s="133" t="str">
        <f>IFERROR(__xludf.DUMMYFUNCTION("""COMPUTED_VALUE"""),"3.5")</f>
        <v>3.5</v>
      </c>
      <c r="AO79" s="133">
        <f>IFERROR(__xludf.DUMMYFUNCTION("""COMPUTED_VALUE"""),3.0)</f>
        <v>3</v>
      </c>
      <c r="AP79" s="155" t="s">
        <v>2461</v>
      </c>
    </row>
    <row r="80">
      <c r="A80" s="555">
        <f>IFERROR(__xludf.DUMMYFUNCTION("""COMPUTED_VALUE"""),76.0)</f>
        <v>76</v>
      </c>
      <c r="B80" s="555" t="str">
        <f>IFERROR(__xludf.DUMMYFUNCTION("""COMPUTED_VALUE"""),"jave23cs@cmrit.ac.in")</f>
        <v>jave23cs@cmrit.ac.in</v>
      </c>
      <c r="C80" s="172" t="str">
        <f>IFERROR(__xludf.DUMMYFUNCTION("""COMPUTED_VALUE"""),"JATIN VERMA")</f>
        <v>JATIN VERMA</v>
      </c>
      <c r="D80" s="261" t="str">
        <f>IFERROR(__xludf.DUMMYFUNCTION("""COMPUTED_VALUE"""),"1CR23CS079")</f>
        <v>1CR23CS079</v>
      </c>
      <c r="E80" s="563">
        <f>IFERROR(__xludf.DUMMYFUNCTION("""COMPUTED_VALUE"""),7.889415119E9)</f>
        <v>7889415119</v>
      </c>
      <c r="F80" s="155" t="str">
        <f>IFERROR(__xludf.DUMMYFUNCTION("""COMPUTED_VALUE"""),"CSE")</f>
        <v>CSE</v>
      </c>
      <c r="G80" s="158"/>
      <c r="H80" s="559">
        <f>IFERROR(__xludf.DUMMYFUNCTION("""COMPUTED_VALUE"""),70.0)</f>
        <v>70</v>
      </c>
      <c r="I80" s="559">
        <f>IFERROR(__xludf.DUMMYFUNCTION("""COMPUTED_VALUE"""),70.0)</f>
        <v>70</v>
      </c>
      <c r="J80" s="559">
        <f>IFERROR(__xludf.DUMMYFUNCTION("""COMPUTED_VALUE"""),36.0)</f>
        <v>36</v>
      </c>
      <c r="K80" s="559">
        <f>IFERROR(__xludf.DUMMYFUNCTION("""COMPUTED_VALUE"""),70.0)</f>
        <v>70</v>
      </c>
      <c r="L80" s="560">
        <f>IFERROR(__xludf.DUMMYFUNCTION("""COMPUTED_VALUE"""),37.0)</f>
        <v>37</v>
      </c>
      <c r="M80" s="561">
        <f>IFERROR(__xludf.DUMMYFUNCTION("""COMPUTED_VALUE"""),18.0)</f>
        <v>18</v>
      </c>
      <c r="N80" s="561">
        <f>IFERROR(__xludf.DUMMYFUNCTION("""COMPUTED_VALUE"""),0.0)</f>
        <v>0</v>
      </c>
      <c r="O80" s="560"/>
      <c r="P80" s="562">
        <f>IFERROR(__xludf.DUMMYFUNCTION("""COMPUTED_VALUE"""),50.0)</f>
        <v>50</v>
      </c>
      <c r="Q80" s="562">
        <f>IFERROR(__xludf.DUMMYFUNCTION("""COMPUTED_VALUE"""),50.0)</f>
        <v>50</v>
      </c>
      <c r="R80" s="562">
        <f>IFERROR(__xludf.DUMMYFUNCTION("""COMPUTED_VALUE"""),50.0)</f>
        <v>50</v>
      </c>
      <c r="S80" s="562"/>
      <c r="T80" s="217">
        <f>IFERROR(__xludf.DUMMYFUNCTION("""COMPUTED_VALUE"""),13.0)</f>
        <v>13</v>
      </c>
      <c r="U80" s="217">
        <f>IFERROR(__xludf.DUMMYFUNCTION("""COMPUTED_VALUE"""),16.0)</f>
        <v>16</v>
      </c>
      <c r="V80" s="217">
        <f>IFERROR(__xludf.DUMMYFUNCTION("""COMPUTED_VALUE"""),76.0)</f>
        <v>76</v>
      </c>
      <c r="W80" s="217"/>
      <c r="X80" s="217"/>
      <c r="Y80" s="217"/>
      <c r="Z80" s="217"/>
      <c r="AA80" s="481">
        <f>IFERROR(__xludf.DUMMYFUNCTION("""COMPUTED_VALUE"""),50.0)</f>
        <v>50</v>
      </c>
      <c r="AB80" s="481">
        <f>IFERROR(__xludf.DUMMYFUNCTION("""COMPUTED_VALUE"""),55.0)</f>
        <v>55</v>
      </c>
      <c r="AC80" s="481">
        <f>IFERROR(__xludf.DUMMYFUNCTION("""COMPUTED_VALUE"""),0.0)</f>
        <v>0</v>
      </c>
      <c r="AD80" s="481">
        <f>IFERROR(__xludf.DUMMYFUNCTION("""COMPUTED_VALUE"""),0.0)</f>
        <v>0</v>
      </c>
      <c r="AE80" s="481">
        <f>IFERROR(__xludf.DUMMYFUNCTION("""COMPUTED_VALUE"""),10.0)</f>
        <v>10</v>
      </c>
      <c r="AF80" s="481"/>
      <c r="AG80" s="481">
        <f>IFERROR(__xludf.DUMMYFUNCTION("""COMPUTED_VALUE"""),0.0)</f>
        <v>0</v>
      </c>
      <c r="AH80" s="481"/>
      <c r="AI80" s="158"/>
      <c r="AJ80" s="158"/>
      <c r="AK80" s="133">
        <f>IFERROR(__xludf.DUMMYFUNCTION("""COMPUTED_VALUE"""),2.0)</f>
        <v>2</v>
      </c>
      <c r="AL80" s="133">
        <f>IFERROR(__xludf.DUMMYFUNCTION("""COMPUTED_VALUE"""),0.0)</f>
        <v>0</v>
      </c>
      <c r="AM80" s="133">
        <f>IFERROR(__xludf.DUMMYFUNCTION("""COMPUTED_VALUE"""),2.0)</f>
        <v>2</v>
      </c>
      <c r="AN80" s="133" t="str">
        <f>IFERROR(__xludf.DUMMYFUNCTION("""COMPUTED_VALUE"""),"2")</f>
        <v>2</v>
      </c>
      <c r="AO80" s="133">
        <f>IFERROR(__xludf.DUMMYFUNCTION("""COMPUTED_VALUE"""),3.0)</f>
        <v>3</v>
      </c>
      <c r="AP80" s="155" t="s">
        <v>2461</v>
      </c>
    </row>
    <row r="81">
      <c r="A81" s="555">
        <f>IFERROR(__xludf.DUMMYFUNCTION("""COMPUTED_VALUE"""),77.0)</f>
        <v>77</v>
      </c>
      <c r="B81" s="555" t="str">
        <f>IFERROR(__xludf.DUMMYFUNCTION("""COMPUTED_VALUE"""),"jel23cs@cmrit.ac.in")</f>
        <v>jel23cs@cmrit.ac.in</v>
      </c>
      <c r="C81" s="172" t="str">
        <f>IFERROR(__xludf.DUMMYFUNCTION("""COMPUTED_VALUE"""),"JEEVAN L")</f>
        <v>JEEVAN L</v>
      </c>
      <c r="D81" s="261" t="str">
        <f>IFERROR(__xludf.DUMMYFUNCTION("""COMPUTED_VALUE"""),"1CR23CS080")</f>
        <v>1CR23CS080</v>
      </c>
      <c r="E81" s="563">
        <f>IFERROR(__xludf.DUMMYFUNCTION("""COMPUTED_VALUE"""),7.483841806E9)</f>
        <v>7483841806</v>
      </c>
      <c r="F81" s="155" t="str">
        <f>IFERROR(__xludf.DUMMYFUNCTION("""COMPUTED_VALUE"""),"CSE")</f>
        <v>CSE</v>
      </c>
      <c r="G81" s="158"/>
      <c r="H81" s="559">
        <f>IFERROR(__xludf.DUMMYFUNCTION("""COMPUTED_VALUE"""),72.0)</f>
        <v>72</v>
      </c>
      <c r="I81" s="559">
        <f>IFERROR(__xludf.DUMMYFUNCTION("""COMPUTED_VALUE"""),81.0)</f>
        <v>81</v>
      </c>
      <c r="J81" s="559">
        <f>IFERROR(__xludf.DUMMYFUNCTION("""COMPUTED_VALUE"""),70.0)</f>
        <v>70</v>
      </c>
      <c r="K81" s="559">
        <f>IFERROR(__xludf.DUMMYFUNCTION("""COMPUTED_VALUE"""),70.0)</f>
        <v>70</v>
      </c>
      <c r="L81" s="560">
        <f>IFERROR(__xludf.DUMMYFUNCTION("""COMPUTED_VALUE"""),50.0)</f>
        <v>50</v>
      </c>
      <c r="M81" s="561">
        <f>IFERROR(__xludf.DUMMYFUNCTION("""COMPUTED_VALUE"""),50.0)</f>
        <v>50</v>
      </c>
      <c r="N81" s="561">
        <f>IFERROR(__xludf.DUMMYFUNCTION("""COMPUTED_VALUE"""),50.0)</f>
        <v>50</v>
      </c>
      <c r="O81" s="560"/>
      <c r="P81" s="562">
        <f>IFERROR(__xludf.DUMMYFUNCTION("""COMPUTED_VALUE"""),50.0)</f>
        <v>50</v>
      </c>
      <c r="Q81" s="562">
        <f>IFERROR(__xludf.DUMMYFUNCTION("""COMPUTED_VALUE"""),65.0)</f>
        <v>65</v>
      </c>
      <c r="R81" s="562">
        <f>IFERROR(__xludf.DUMMYFUNCTION("""COMPUTED_VALUE"""),83.0)</f>
        <v>83</v>
      </c>
      <c r="S81" s="562"/>
      <c r="T81" s="217">
        <f>IFERROR(__xludf.DUMMYFUNCTION("""COMPUTED_VALUE"""),21.0)</f>
        <v>21</v>
      </c>
      <c r="U81" s="217">
        <f>IFERROR(__xludf.DUMMYFUNCTION("""COMPUTED_VALUE"""),20.0)</f>
        <v>20</v>
      </c>
      <c r="V81" s="217">
        <f>IFERROR(__xludf.DUMMYFUNCTION("""COMPUTED_VALUE"""),84.0)</f>
        <v>84</v>
      </c>
      <c r="W81" s="217">
        <f>IFERROR(__xludf.DUMMYFUNCTION("""COMPUTED_VALUE"""),72.0)</f>
        <v>72</v>
      </c>
      <c r="X81" s="217">
        <f>IFERROR(__xludf.DUMMYFUNCTION("""COMPUTED_VALUE"""),80.0)</f>
        <v>80</v>
      </c>
      <c r="Y81" s="217"/>
      <c r="Z81" s="217"/>
      <c r="AA81" s="481">
        <f>IFERROR(__xludf.DUMMYFUNCTION("""COMPUTED_VALUE"""),80.0)</f>
        <v>80</v>
      </c>
      <c r="AB81" s="481">
        <f>IFERROR(__xludf.DUMMYFUNCTION("""COMPUTED_VALUE"""),68.0)</f>
        <v>68</v>
      </c>
      <c r="AC81" s="481">
        <f>IFERROR(__xludf.DUMMYFUNCTION("""COMPUTED_VALUE"""),40.0)</f>
        <v>40</v>
      </c>
      <c r="AD81" s="481">
        <f>IFERROR(__xludf.DUMMYFUNCTION("""COMPUTED_VALUE"""),100.0)</f>
        <v>100</v>
      </c>
      <c r="AE81" s="481">
        <f>IFERROR(__xludf.DUMMYFUNCTION("""COMPUTED_VALUE"""),45.0)</f>
        <v>45</v>
      </c>
      <c r="AF81" s="481"/>
      <c r="AG81" s="481">
        <f>IFERROR(__xludf.DUMMYFUNCTION("""COMPUTED_VALUE"""),5.0)</f>
        <v>5</v>
      </c>
      <c r="AH81" s="481"/>
      <c r="AI81" s="158"/>
      <c r="AJ81" s="158"/>
      <c r="AK81" s="133">
        <f>IFERROR(__xludf.DUMMYFUNCTION("""COMPUTED_VALUE"""),4.0)</f>
        <v>4</v>
      </c>
      <c r="AL81" s="133">
        <f>IFERROR(__xludf.DUMMYFUNCTION("""COMPUTED_VALUE"""),3.0)</f>
        <v>3</v>
      </c>
      <c r="AM81" s="133">
        <f>IFERROR(__xludf.DUMMYFUNCTION("""COMPUTED_VALUE"""),3.0)</f>
        <v>3</v>
      </c>
      <c r="AN81" s="133" t="str">
        <f>IFERROR(__xludf.DUMMYFUNCTION("""COMPUTED_VALUE"""),"3")</f>
        <v>3</v>
      </c>
      <c r="AO81" s="133">
        <f>IFERROR(__xludf.DUMMYFUNCTION("""COMPUTED_VALUE"""),3.0)</f>
        <v>3</v>
      </c>
      <c r="AP81" s="155" t="s">
        <v>2461</v>
      </c>
    </row>
    <row r="82">
      <c r="A82" s="555">
        <f>IFERROR(__xludf.DUMMYFUNCTION("""COMPUTED_VALUE"""),78.0)</f>
        <v>78</v>
      </c>
      <c r="B82" s="555" t="str">
        <f>IFERROR(__xludf.DUMMYFUNCTION("""COMPUTED_VALUE"""),"jeb23cs@cmrit.ac.in")</f>
        <v>jeb23cs@cmrit.ac.in</v>
      </c>
      <c r="C82" s="172" t="str">
        <f>IFERROR(__xludf.DUMMYFUNCTION("""COMPUTED_VALUE"""),"JEYVARDAN B")</f>
        <v>JEYVARDAN B</v>
      </c>
      <c r="D82" s="261" t="str">
        <f>IFERROR(__xludf.DUMMYFUNCTION("""COMPUTED_VALUE"""),"1CR23CS081")</f>
        <v>1CR23CS081</v>
      </c>
      <c r="E82" s="563">
        <f>IFERROR(__xludf.DUMMYFUNCTION("""COMPUTED_VALUE"""),8.431034006E9)</f>
        <v>8431034006</v>
      </c>
      <c r="F82" s="155" t="str">
        <f>IFERROR(__xludf.DUMMYFUNCTION("""COMPUTED_VALUE"""),"CSE")</f>
        <v>CSE</v>
      </c>
      <c r="G82" s="158"/>
      <c r="H82" s="559">
        <f>IFERROR(__xludf.DUMMYFUNCTION("""COMPUTED_VALUE"""),84.0)</f>
        <v>84</v>
      </c>
      <c r="I82" s="559">
        <f>IFERROR(__xludf.DUMMYFUNCTION("""COMPUTED_VALUE"""),70.0)</f>
        <v>70</v>
      </c>
      <c r="J82" s="559">
        <f>IFERROR(__xludf.DUMMYFUNCTION("""COMPUTED_VALUE"""),80.0)</f>
        <v>80</v>
      </c>
      <c r="K82" s="559">
        <f>IFERROR(__xludf.DUMMYFUNCTION("""COMPUTED_VALUE"""),70.0)</f>
        <v>70</v>
      </c>
      <c r="L82" s="560">
        <f>IFERROR(__xludf.DUMMYFUNCTION("""COMPUTED_VALUE"""),46.0)</f>
        <v>46</v>
      </c>
      <c r="M82" s="561">
        <f>IFERROR(__xludf.DUMMYFUNCTION("""COMPUTED_VALUE"""),22.0)</f>
        <v>22</v>
      </c>
      <c r="N82" s="561">
        <f>IFERROR(__xludf.DUMMYFUNCTION("""COMPUTED_VALUE"""),33.0)</f>
        <v>33</v>
      </c>
      <c r="O82" s="560"/>
      <c r="P82" s="562">
        <f>IFERROR(__xludf.DUMMYFUNCTION("""COMPUTED_VALUE"""),77.0)</f>
        <v>77</v>
      </c>
      <c r="Q82" s="562">
        <f>IFERROR(__xludf.DUMMYFUNCTION("""COMPUTED_VALUE"""),75.0)</f>
        <v>75</v>
      </c>
      <c r="R82" s="562">
        <f>IFERROR(__xludf.DUMMYFUNCTION("""COMPUTED_VALUE"""),79.0)</f>
        <v>79</v>
      </c>
      <c r="S82" s="562"/>
      <c r="T82" s="217">
        <f>IFERROR(__xludf.DUMMYFUNCTION("""COMPUTED_VALUE"""),11.0)</f>
        <v>11</v>
      </c>
      <c r="U82" s="217">
        <f>IFERROR(__xludf.DUMMYFUNCTION("""COMPUTED_VALUE"""),21.0)</f>
        <v>21</v>
      </c>
      <c r="V82" s="217">
        <f>IFERROR(__xludf.DUMMYFUNCTION("""COMPUTED_VALUE"""),52.0)</f>
        <v>52</v>
      </c>
      <c r="W82" s="217">
        <f>IFERROR(__xludf.DUMMYFUNCTION("""COMPUTED_VALUE"""),28.0)</f>
        <v>28</v>
      </c>
      <c r="X82" s="217"/>
      <c r="Y82" s="217"/>
      <c r="Z82" s="217"/>
      <c r="AA82" s="481">
        <f>IFERROR(__xludf.DUMMYFUNCTION("""COMPUTED_VALUE"""),80.0)</f>
        <v>80</v>
      </c>
      <c r="AB82" s="481">
        <f>IFERROR(__xludf.DUMMYFUNCTION("""COMPUTED_VALUE"""),100.0)</f>
        <v>100</v>
      </c>
      <c r="AC82" s="481">
        <f>IFERROR(__xludf.DUMMYFUNCTION("""COMPUTED_VALUE"""),98.0)</f>
        <v>98</v>
      </c>
      <c r="AD82" s="481">
        <f>IFERROR(__xludf.DUMMYFUNCTION("""COMPUTED_VALUE"""),81.0)</f>
        <v>81</v>
      </c>
      <c r="AE82" s="481">
        <f>IFERROR(__xludf.DUMMYFUNCTION("""COMPUTED_VALUE"""),87.0)</f>
        <v>87</v>
      </c>
      <c r="AF82" s="481"/>
      <c r="AG82" s="481">
        <f>IFERROR(__xludf.DUMMYFUNCTION("""COMPUTED_VALUE"""),72.0)</f>
        <v>72</v>
      </c>
      <c r="AH82" s="481"/>
      <c r="AI82" s="158"/>
      <c r="AJ82" s="158"/>
      <c r="AK82" s="133">
        <f>IFERROR(__xludf.DUMMYFUNCTION("""COMPUTED_VALUE"""),4.0)</f>
        <v>4</v>
      </c>
      <c r="AL82" s="133">
        <f>IFERROR(__xludf.DUMMYFUNCTION("""COMPUTED_VALUE"""),0.0)</f>
        <v>0</v>
      </c>
      <c r="AM82" s="133">
        <f>IFERROR(__xludf.DUMMYFUNCTION("""COMPUTED_VALUE"""),2.0)</f>
        <v>2</v>
      </c>
      <c r="AN82" s="133" t="str">
        <f>IFERROR(__xludf.DUMMYFUNCTION("""COMPUTED_VALUE"""),"3.5")</f>
        <v>3.5</v>
      </c>
      <c r="AO82" s="133">
        <f>IFERROR(__xludf.DUMMYFUNCTION("""COMPUTED_VALUE"""),3.0)</f>
        <v>3</v>
      </c>
      <c r="AP82" s="155" t="s">
        <v>2461</v>
      </c>
    </row>
    <row r="83">
      <c r="A83" s="555">
        <f>IFERROR(__xludf.DUMMYFUNCTION("""COMPUTED_VALUE"""),79.0)</f>
        <v>79</v>
      </c>
      <c r="B83" s="555" t="str">
        <f>IFERROR(__xludf.DUMMYFUNCTION("""COMPUTED_VALUE"""),"krga23cs@cmrit.ac.in")</f>
        <v>krga23cs@cmrit.ac.in</v>
      </c>
      <c r="C83" s="172" t="str">
        <f>IFERROR(__xludf.DUMMYFUNCTION("""COMPUTED_VALUE"""),"K R GANESH SAI")</f>
        <v>K R GANESH SAI</v>
      </c>
      <c r="D83" s="261" t="str">
        <f>IFERROR(__xludf.DUMMYFUNCTION("""COMPUTED_VALUE"""),"1CR23CS082")</f>
        <v>1CR23CS082</v>
      </c>
      <c r="E83" s="563">
        <f>IFERROR(__xludf.DUMMYFUNCTION("""COMPUTED_VALUE"""),9.346659044E9)</f>
        <v>9346659044</v>
      </c>
      <c r="F83" s="155" t="str">
        <f>IFERROR(__xludf.DUMMYFUNCTION("""COMPUTED_VALUE"""),"CSE")</f>
        <v>CSE</v>
      </c>
      <c r="G83" s="158"/>
      <c r="H83" s="559">
        <f>IFERROR(__xludf.DUMMYFUNCTION("""COMPUTED_VALUE"""),78.0)</f>
        <v>78</v>
      </c>
      <c r="I83" s="559">
        <f>IFERROR(__xludf.DUMMYFUNCTION("""COMPUTED_VALUE"""),83.0)</f>
        <v>83</v>
      </c>
      <c r="J83" s="559">
        <f>IFERROR(__xludf.DUMMYFUNCTION("""COMPUTED_VALUE"""),70.0)</f>
        <v>70</v>
      </c>
      <c r="K83" s="559">
        <f>IFERROR(__xludf.DUMMYFUNCTION("""COMPUTED_VALUE"""),74.0)</f>
        <v>74</v>
      </c>
      <c r="L83" s="560">
        <f>IFERROR(__xludf.DUMMYFUNCTION("""COMPUTED_VALUE"""),50.0)</f>
        <v>50</v>
      </c>
      <c r="M83" s="561">
        <f>IFERROR(__xludf.DUMMYFUNCTION("""COMPUTED_VALUE"""),50.0)</f>
        <v>50</v>
      </c>
      <c r="N83" s="561">
        <f>IFERROR(__xludf.DUMMYFUNCTION("""COMPUTED_VALUE"""),50.0)</f>
        <v>50</v>
      </c>
      <c r="O83" s="560"/>
      <c r="P83" s="562">
        <f>IFERROR(__xludf.DUMMYFUNCTION("""COMPUTED_VALUE"""),71.0)</f>
        <v>71</v>
      </c>
      <c r="Q83" s="562">
        <f>IFERROR(__xludf.DUMMYFUNCTION("""COMPUTED_VALUE"""),62.0)</f>
        <v>62</v>
      </c>
      <c r="R83" s="562">
        <f>IFERROR(__xludf.DUMMYFUNCTION("""COMPUTED_VALUE"""),66.0)</f>
        <v>66</v>
      </c>
      <c r="S83" s="562"/>
      <c r="T83" s="217">
        <f>IFERROR(__xludf.DUMMYFUNCTION("""COMPUTED_VALUE"""),13.0)</f>
        <v>13</v>
      </c>
      <c r="U83" s="217"/>
      <c r="V83" s="217">
        <f>IFERROR(__xludf.DUMMYFUNCTION("""COMPUTED_VALUE"""),80.0)</f>
        <v>80</v>
      </c>
      <c r="W83" s="217">
        <f>IFERROR(__xludf.DUMMYFUNCTION("""COMPUTED_VALUE"""),44.0)</f>
        <v>44</v>
      </c>
      <c r="X83" s="217">
        <f>IFERROR(__xludf.DUMMYFUNCTION("""COMPUTED_VALUE"""),50.0)</f>
        <v>50</v>
      </c>
      <c r="Y83" s="217"/>
      <c r="Z83" s="217"/>
      <c r="AA83" s="481">
        <f>IFERROR(__xludf.DUMMYFUNCTION("""COMPUTED_VALUE"""),86.0)</f>
        <v>86</v>
      </c>
      <c r="AB83" s="481">
        <f>IFERROR(__xludf.DUMMYFUNCTION("""COMPUTED_VALUE"""),90.0)</f>
        <v>90</v>
      </c>
      <c r="AC83" s="481">
        <f>IFERROR(__xludf.DUMMYFUNCTION("""COMPUTED_VALUE"""),46.5)</f>
        <v>46.5</v>
      </c>
      <c r="AD83" s="481">
        <f>IFERROR(__xludf.DUMMYFUNCTION("""COMPUTED_VALUE"""),34.0)</f>
        <v>34</v>
      </c>
      <c r="AE83" s="481">
        <f>IFERROR(__xludf.DUMMYFUNCTION("""COMPUTED_VALUE"""),10.0)</f>
        <v>10</v>
      </c>
      <c r="AF83" s="481"/>
      <c r="AG83" s="481">
        <f>IFERROR(__xludf.DUMMYFUNCTION("""COMPUTED_VALUE"""),10.0)</f>
        <v>10</v>
      </c>
      <c r="AH83" s="481"/>
      <c r="AI83" s="158"/>
      <c r="AJ83" s="158"/>
      <c r="AK83" s="133">
        <f>IFERROR(__xludf.DUMMYFUNCTION("""COMPUTED_VALUE"""),4.0)</f>
        <v>4</v>
      </c>
      <c r="AL83" s="133">
        <f>IFERROR(__xludf.DUMMYFUNCTION("""COMPUTED_VALUE"""),3.0)</f>
        <v>3</v>
      </c>
      <c r="AM83" s="133">
        <f>IFERROR(__xludf.DUMMYFUNCTION("""COMPUTED_VALUE"""),2.0)</f>
        <v>2</v>
      </c>
      <c r="AN83" s="133" t="str">
        <f>IFERROR(__xludf.DUMMYFUNCTION("""COMPUTED_VALUE"""),"2")</f>
        <v>2</v>
      </c>
      <c r="AO83" s="133">
        <f>IFERROR(__xludf.DUMMYFUNCTION("""COMPUTED_VALUE"""),3.0)</f>
        <v>3</v>
      </c>
      <c r="AP83" s="155" t="s">
        <v>2461</v>
      </c>
    </row>
    <row r="84">
      <c r="A84" s="555">
        <f>IFERROR(__xludf.DUMMYFUNCTION("""COMPUTED_VALUE"""),80.0)</f>
        <v>80</v>
      </c>
      <c r="B84" s="555" t="str">
        <f>IFERROR(__xludf.DUMMYFUNCTION("""COMPUTED_VALUE"""),"ka23cs@cmrit.ac.in")</f>
        <v>ka23cs@cmrit.ac.in</v>
      </c>
      <c r="C84" s="172" t="str">
        <f>IFERROR(__xludf.DUMMYFUNCTION("""COMPUTED_VALUE"""),"Kalpa")</f>
        <v>Kalpa</v>
      </c>
      <c r="D84" s="261" t="str">
        <f>IFERROR(__xludf.DUMMYFUNCTION("""COMPUTED_VALUE"""),"1CR23CS083")</f>
        <v>1CR23CS083</v>
      </c>
      <c r="E84" s="563">
        <f>IFERROR(__xludf.DUMMYFUNCTION("""COMPUTED_VALUE"""),7.338407649E9)</f>
        <v>7338407649</v>
      </c>
      <c r="F84" s="155" t="str">
        <f>IFERROR(__xludf.DUMMYFUNCTION("""COMPUTED_VALUE"""),"CSE")</f>
        <v>CSE</v>
      </c>
      <c r="G84" s="158"/>
      <c r="H84" s="559">
        <f>IFERROR(__xludf.DUMMYFUNCTION("""COMPUTED_VALUE"""),70.0)</f>
        <v>70</v>
      </c>
      <c r="I84" s="559">
        <f>IFERROR(__xludf.DUMMYFUNCTION("""COMPUTED_VALUE"""),73.0)</f>
        <v>73</v>
      </c>
      <c r="J84" s="559">
        <f>IFERROR(__xludf.DUMMYFUNCTION("""COMPUTED_VALUE"""),70.0)</f>
        <v>70</v>
      </c>
      <c r="K84" s="559">
        <f>IFERROR(__xludf.DUMMYFUNCTION("""COMPUTED_VALUE"""),65.0)</f>
        <v>65</v>
      </c>
      <c r="L84" s="560">
        <f>IFERROR(__xludf.DUMMYFUNCTION("""COMPUTED_VALUE"""),41.0)</f>
        <v>41</v>
      </c>
      <c r="M84" s="561">
        <f>IFERROR(__xludf.DUMMYFUNCTION("""COMPUTED_VALUE"""),3.0)</f>
        <v>3</v>
      </c>
      <c r="N84" s="561">
        <f>IFERROR(__xludf.DUMMYFUNCTION("""COMPUTED_VALUE"""),19.0)</f>
        <v>19</v>
      </c>
      <c r="O84" s="560"/>
      <c r="P84" s="562">
        <f>IFERROR(__xludf.DUMMYFUNCTION("""COMPUTED_VALUE"""),82.0)</f>
        <v>82</v>
      </c>
      <c r="Q84" s="562">
        <f>IFERROR(__xludf.DUMMYFUNCTION("""COMPUTED_VALUE"""),66.0)</f>
        <v>66</v>
      </c>
      <c r="R84" s="562">
        <f>IFERROR(__xludf.DUMMYFUNCTION("""COMPUTED_VALUE"""),0.0)</f>
        <v>0</v>
      </c>
      <c r="S84" s="562"/>
      <c r="T84" s="217">
        <f>IFERROR(__xludf.DUMMYFUNCTION("""COMPUTED_VALUE"""),20.0)</f>
        <v>20</v>
      </c>
      <c r="U84" s="217">
        <f>IFERROR(__xludf.DUMMYFUNCTION("""COMPUTED_VALUE"""),17.0)</f>
        <v>17</v>
      </c>
      <c r="V84" s="217">
        <f>IFERROR(__xludf.DUMMYFUNCTION("""COMPUTED_VALUE"""),84.0)</f>
        <v>84</v>
      </c>
      <c r="W84" s="217"/>
      <c r="X84" s="217"/>
      <c r="Y84" s="217"/>
      <c r="Z84" s="217"/>
      <c r="AA84" s="481">
        <f>IFERROR(__xludf.DUMMYFUNCTION("""COMPUTED_VALUE"""),98.8)</f>
        <v>98.8</v>
      </c>
      <c r="AB84" s="481">
        <f>IFERROR(__xludf.DUMMYFUNCTION("""COMPUTED_VALUE"""),61.25)</f>
        <v>61.25</v>
      </c>
      <c r="AC84" s="481">
        <f>IFERROR(__xludf.DUMMYFUNCTION("""COMPUTED_VALUE"""),0.0)</f>
        <v>0</v>
      </c>
      <c r="AD84" s="481">
        <f>IFERROR(__xludf.DUMMYFUNCTION("""COMPUTED_VALUE"""),32.0)</f>
        <v>32</v>
      </c>
      <c r="AE84" s="481">
        <f>IFERROR(__xludf.DUMMYFUNCTION("""COMPUTED_VALUE"""),10.0)</f>
        <v>10</v>
      </c>
      <c r="AF84" s="481"/>
      <c r="AG84" s="481">
        <f>IFERROR(__xludf.DUMMYFUNCTION("""COMPUTED_VALUE"""),10.0)</f>
        <v>10</v>
      </c>
      <c r="AH84" s="481"/>
      <c r="AI84" s="158"/>
      <c r="AJ84" s="158"/>
      <c r="AK84" s="133">
        <f>IFERROR(__xludf.DUMMYFUNCTION("""COMPUTED_VALUE"""),3.0)</f>
        <v>3</v>
      </c>
      <c r="AL84" s="133">
        <f>IFERROR(__xludf.DUMMYFUNCTION("""COMPUTED_VALUE"""),0.0)</f>
        <v>0</v>
      </c>
      <c r="AM84" s="133">
        <f>IFERROR(__xludf.DUMMYFUNCTION("""COMPUTED_VALUE"""),2.0)</f>
        <v>2</v>
      </c>
      <c r="AN84" s="133" t="str">
        <f>IFERROR(__xludf.DUMMYFUNCTION("""COMPUTED_VALUE"""),"2")</f>
        <v>2</v>
      </c>
      <c r="AO84" s="133">
        <f>IFERROR(__xludf.DUMMYFUNCTION("""COMPUTED_VALUE"""),2.0)</f>
        <v>2</v>
      </c>
      <c r="AP84" s="155" t="s">
        <v>2461</v>
      </c>
    </row>
    <row r="85">
      <c r="A85" s="555">
        <f>IFERROR(__xludf.DUMMYFUNCTION("""COMPUTED_VALUE"""),81.0)</f>
        <v>81</v>
      </c>
      <c r="B85" s="555" t="str">
        <f>IFERROR(__xludf.DUMMYFUNCTION("""COMPUTED_VALUE"""),"kaku23cs@cmrit.ac.in")</f>
        <v>kaku23cs@cmrit.ac.in</v>
      </c>
      <c r="C85" s="172" t="str">
        <f>IFERROR(__xludf.DUMMYFUNCTION("""COMPUTED_VALUE"""),"KASTURI KUMARI ")</f>
        <v>KASTURI KUMARI </v>
      </c>
      <c r="D85" s="261" t="str">
        <f>IFERROR(__xludf.DUMMYFUNCTION("""COMPUTED_VALUE"""),"1CR23CS084")</f>
        <v>1CR23CS084</v>
      </c>
      <c r="E85" s="563">
        <f>IFERROR(__xludf.DUMMYFUNCTION("""COMPUTED_VALUE"""),8.595584105E9)</f>
        <v>8595584105</v>
      </c>
      <c r="F85" s="155" t="str">
        <f>IFERROR(__xludf.DUMMYFUNCTION("""COMPUTED_VALUE"""),"CSE")</f>
        <v>CSE</v>
      </c>
      <c r="G85" s="158"/>
      <c r="H85" s="559">
        <f>IFERROR(__xludf.DUMMYFUNCTION("""COMPUTED_VALUE"""),91.0)</f>
        <v>91</v>
      </c>
      <c r="I85" s="559">
        <f>IFERROR(__xludf.DUMMYFUNCTION("""COMPUTED_VALUE"""),93.0)</f>
        <v>93</v>
      </c>
      <c r="J85" s="559">
        <f>IFERROR(__xludf.DUMMYFUNCTION("""COMPUTED_VALUE"""),76.0)</f>
        <v>76</v>
      </c>
      <c r="K85" s="559">
        <f>IFERROR(__xludf.DUMMYFUNCTION("""COMPUTED_VALUE"""),79.0)</f>
        <v>79</v>
      </c>
      <c r="L85" s="560">
        <f>IFERROR(__xludf.DUMMYFUNCTION("""COMPUTED_VALUE"""),70.0)</f>
        <v>70</v>
      </c>
      <c r="M85" s="561">
        <f>IFERROR(__xludf.DUMMYFUNCTION("""COMPUTED_VALUE"""),50.0)</f>
        <v>50</v>
      </c>
      <c r="N85" s="561">
        <f>IFERROR(__xludf.DUMMYFUNCTION("""COMPUTED_VALUE"""),53.0)</f>
        <v>53</v>
      </c>
      <c r="O85" s="560"/>
      <c r="P85" s="562">
        <f>IFERROR(__xludf.DUMMYFUNCTION("""COMPUTED_VALUE"""),72.0)</f>
        <v>72</v>
      </c>
      <c r="Q85" s="562">
        <f>IFERROR(__xludf.DUMMYFUNCTION("""COMPUTED_VALUE"""),69.0)</f>
        <v>69</v>
      </c>
      <c r="R85" s="562">
        <f>IFERROR(__xludf.DUMMYFUNCTION("""COMPUTED_VALUE"""),78.0)</f>
        <v>78</v>
      </c>
      <c r="S85" s="562"/>
      <c r="T85" s="217">
        <f>IFERROR(__xludf.DUMMYFUNCTION("""COMPUTED_VALUE"""),10.0)</f>
        <v>10</v>
      </c>
      <c r="U85" s="217">
        <f>IFERROR(__xludf.DUMMYFUNCTION("""COMPUTED_VALUE"""),19.0)</f>
        <v>19</v>
      </c>
      <c r="V85" s="217">
        <f>IFERROR(__xludf.DUMMYFUNCTION("""COMPUTED_VALUE"""),52.0)</f>
        <v>52</v>
      </c>
      <c r="W85" s="217">
        <f>IFERROR(__xludf.DUMMYFUNCTION("""COMPUTED_VALUE"""),60.0)</f>
        <v>60</v>
      </c>
      <c r="X85" s="217">
        <f>IFERROR(__xludf.DUMMYFUNCTION("""COMPUTED_VALUE"""),50.0)</f>
        <v>50</v>
      </c>
      <c r="Y85" s="217"/>
      <c r="Z85" s="217"/>
      <c r="AA85" s="481">
        <f>IFERROR(__xludf.DUMMYFUNCTION("""COMPUTED_VALUE"""),77.0)</f>
        <v>77</v>
      </c>
      <c r="AB85" s="481">
        <f>IFERROR(__xludf.DUMMYFUNCTION("""COMPUTED_VALUE"""),95.0)</f>
        <v>95</v>
      </c>
      <c r="AC85" s="481">
        <f>IFERROR(__xludf.DUMMYFUNCTION("""COMPUTED_VALUE"""),70.0)</f>
        <v>70</v>
      </c>
      <c r="AD85" s="481">
        <f>IFERROR(__xludf.DUMMYFUNCTION("""COMPUTED_VALUE"""),90.0)</f>
        <v>90</v>
      </c>
      <c r="AE85" s="481">
        <f>IFERROR(__xludf.DUMMYFUNCTION("""COMPUTED_VALUE"""),76.0)</f>
        <v>76</v>
      </c>
      <c r="AF85" s="481"/>
      <c r="AG85" s="481">
        <f>IFERROR(__xludf.DUMMYFUNCTION("""COMPUTED_VALUE"""),21.0)</f>
        <v>21</v>
      </c>
      <c r="AH85" s="481"/>
      <c r="AI85" s="158"/>
      <c r="AJ85" s="158"/>
      <c r="AK85" s="133">
        <f>IFERROR(__xludf.DUMMYFUNCTION("""COMPUTED_VALUE"""),4.0)</f>
        <v>4</v>
      </c>
      <c r="AL85" s="133">
        <f>IFERROR(__xludf.DUMMYFUNCTION("""COMPUTED_VALUE"""),3.0)</f>
        <v>3</v>
      </c>
      <c r="AM85" s="133">
        <f>IFERROR(__xludf.DUMMYFUNCTION("""COMPUTED_VALUE"""),3.0)</f>
        <v>3</v>
      </c>
      <c r="AN85" s="133" t="str">
        <f>IFERROR(__xludf.DUMMYFUNCTION("""COMPUTED_VALUE"""),"3.5")</f>
        <v>3.5</v>
      </c>
      <c r="AO85" s="133">
        <f>IFERROR(__xludf.DUMMYFUNCTION("""COMPUTED_VALUE"""),3.0)</f>
        <v>3</v>
      </c>
      <c r="AP85" s="155" t="s">
        <v>2461</v>
      </c>
    </row>
    <row r="86">
      <c r="A86" s="555">
        <f>IFERROR(__xludf.DUMMYFUNCTION("""COMPUTED_VALUE"""),82.0)</f>
        <v>82</v>
      </c>
      <c r="B86" s="555" t="str">
        <f>IFERROR(__xludf.DUMMYFUNCTION("""COMPUTED_VALUE"""),"kata23cs@cmrit.ac.in")</f>
        <v>kata23cs@cmrit.ac.in</v>
      </c>
      <c r="C86" s="172" t="str">
        <f>IFERROR(__xludf.DUMMYFUNCTION("""COMPUTED_VALUE"""),"KAUSHITH T A")</f>
        <v>KAUSHITH T A</v>
      </c>
      <c r="D86" s="261" t="str">
        <f>IFERROR(__xludf.DUMMYFUNCTION("""COMPUTED_VALUE"""),"1CR23CS085")</f>
        <v>1CR23CS085</v>
      </c>
      <c r="E86" s="563">
        <f>IFERROR(__xludf.DUMMYFUNCTION("""COMPUTED_VALUE"""),8.217302427E9)</f>
        <v>8217302427</v>
      </c>
      <c r="F86" s="155" t="str">
        <f>IFERROR(__xludf.DUMMYFUNCTION("""COMPUTED_VALUE"""),"CSE")</f>
        <v>CSE</v>
      </c>
      <c r="G86" s="158"/>
      <c r="H86" s="559">
        <f>IFERROR(__xludf.DUMMYFUNCTION("""COMPUTED_VALUE"""),79.0)</f>
        <v>79</v>
      </c>
      <c r="I86" s="559">
        <f>IFERROR(__xludf.DUMMYFUNCTION("""COMPUTED_VALUE"""),83.0)</f>
        <v>83</v>
      </c>
      <c r="J86" s="559">
        <f>IFERROR(__xludf.DUMMYFUNCTION("""COMPUTED_VALUE"""),70.0)</f>
        <v>70</v>
      </c>
      <c r="K86" s="559">
        <f>IFERROR(__xludf.DUMMYFUNCTION("""COMPUTED_VALUE"""),58.0)</f>
        <v>58</v>
      </c>
      <c r="L86" s="560">
        <f>IFERROR(__xludf.DUMMYFUNCTION("""COMPUTED_VALUE"""),32.0)</f>
        <v>32</v>
      </c>
      <c r="M86" s="561">
        <f>IFERROR(__xludf.DUMMYFUNCTION("""COMPUTED_VALUE"""),33.0)</f>
        <v>33</v>
      </c>
      <c r="N86" s="561">
        <f>IFERROR(__xludf.DUMMYFUNCTION("""COMPUTED_VALUE"""),9.0)</f>
        <v>9</v>
      </c>
      <c r="O86" s="560"/>
      <c r="P86" s="562">
        <f>IFERROR(__xludf.DUMMYFUNCTION("""COMPUTED_VALUE"""),0.0)</f>
        <v>0</v>
      </c>
      <c r="Q86" s="562">
        <f>IFERROR(__xludf.DUMMYFUNCTION("""COMPUTED_VALUE"""),65.0)</f>
        <v>65</v>
      </c>
      <c r="R86" s="562">
        <f>IFERROR(__xludf.DUMMYFUNCTION("""COMPUTED_VALUE"""),0.0)</f>
        <v>0</v>
      </c>
      <c r="S86" s="562"/>
      <c r="T86" s="217">
        <f>IFERROR(__xludf.DUMMYFUNCTION("""COMPUTED_VALUE"""),19.0)</f>
        <v>19</v>
      </c>
      <c r="U86" s="217">
        <f>IFERROR(__xludf.DUMMYFUNCTION("""COMPUTED_VALUE"""),21.0)</f>
        <v>21</v>
      </c>
      <c r="V86" s="217">
        <f>IFERROR(__xludf.DUMMYFUNCTION("""COMPUTED_VALUE"""),80.0)</f>
        <v>80</v>
      </c>
      <c r="W86" s="217">
        <f>IFERROR(__xludf.DUMMYFUNCTION("""COMPUTED_VALUE"""),64.0)</f>
        <v>64</v>
      </c>
      <c r="X86" s="217"/>
      <c r="Y86" s="217"/>
      <c r="Z86" s="217"/>
      <c r="AA86" s="481">
        <f>IFERROR(__xludf.DUMMYFUNCTION("""COMPUTED_VALUE"""),50.0)</f>
        <v>50</v>
      </c>
      <c r="AB86" s="481">
        <f>IFERROR(__xludf.DUMMYFUNCTION("""COMPUTED_VALUE"""),65.0)</f>
        <v>65</v>
      </c>
      <c r="AC86" s="481">
        <f>IFERROR(__xludf.DUMMYFUNCTION("""COMPUTED_VALUE"""),70.0)</f>
        <v>70</v>
      </c>
      <c r="AD86" s="481">
        <f>IFERROR(__xludf.DUMMYFUNCTION("""COMPUTED_VALUE"""),60.0)</f>
        <v>60</v>
      </c>
      <c r="AE86" s="481">
        <f>IFERROR(__xludf.DUMMYFUNCTION("""COMPUTED_VALUE"""),57.0)</f>
        <v>57</v>
      </c>
      <c r="AF86" s="481"/>
      <c r="AG86" s="481">
        <f>IFERROR(__xludf.DUMMYFUNCTION("""COMPUTED_VALUE"""),0.0)</f>
        <v>0</v>
      </c>
      <c r="AH86" s="481"/>
      <c r="AI86" s="158"/>
      <c r="AJ86" s="158"/>
      <c r="AK86" s="133">
        <f>IFERROR(__xludf.DUMMYFUNCTION("""COMPUTED_VALUE"""),3.0)</f>
        <v>3</v>
      </c>
      <c r="AL86" s="133">
        <f>IFERROR(__xludf.DUMMYFUNCTION("""COMPUTED_VALUE"""),0.0)</f>
        <v>0</v>
      </c>
      <c r="AM86" s="133">
        <f>IFERROR(__xludf.DUMMYFUNCTION("""COMPUTED_VALUE"""),3.0)</f>
        <v>3</v>
      </c>
      <c r="AN86" s="133" t="str">
        <f>IFERROR(__xludf.DUMMYFUNCTION("""COMPUTED_VALUE"""),"3")</f>
        <v>3</v>
      </c>
      <c r="AO86" s="133">
        <f>IFERROR(__xludf.DUMMYFUNCTION("""COMPUTED_VALUE"""),0.0)</f>
        <v>0</v>
      </c>
      <c r="AP86" s="155" t="s">
        <v>2461</v>
      </c>
    </row>
    <row r="87">
      <c r="A87" s="555">
        <f>IFERROR(__xludf.DUMMYFUNCTION("""COMPUTED_VALUE"""),83.0)</f>
        <v>83</v>
      </c>
      <c r="B87" s="555" t="str">
        <f>IFERROR(__xludf.DUMMYFUNCTION("""COMPUTED_VALUE"""),"kakl23cs@cmrit.ac.in")</f>
        <v>kakl23cs@cmrit.ac.in</v>
      </c>
      <c r="C87" s="172" t="str">
        <f>IFERROR(__xludf.DUMMYFUNCTION("""COMPUTED_VALUE"""),"Kavin KL")</f>
        <v>Kavin KL</v>
      </c>
      <c r="D87" s="261" t="str">
        <f>IFERROR(__xludf.DUMMYFUNCTION("""COMPUTED_VALUE"""),"1CR23CS086")</f>
        <v>1CR23CS086</v>
      </c>
      <c r="E87" s="563">
        <f>IFERROR(__xludf.DUMMYFUNCTION("""COMPUTED_VALUE"""),8.939119549E9)</f>
        <v>8939119549</v>
      </c>
      <c r="F87" s="155" t="str">
        <f>IFERROR(__xludf.DUMMYFUNCTION("""COMPUTED_VALUE"""),"CSE")</f>
        <v>CSE</v>
      </c>
      <c r="G87" s="158"/>
      <c r="H87" s="559">
        <f>IFERROR(__xludf.DUMMYFUNCTION("""COMPUTED_VALUE"""),80.0)</f>
        <v>80</v>
      </c>
      <c r="I87" s="559">
        <f>IFERROR(__xludf.DUMMYFUNCTION("""COMPUTED_VALUE"""),86.0)</f>
        <v>86</v>
      </c>
      <c r="J87" s="559">
        <f>IFERROR(__xludf.DUMMYFUNCTION("""COMPUTED_VALUE"""),45.0)</f>
        <v>45</v>
      </c>
      <c r="K87" s="559">
        <f>IFERROR(__xludf.DUMMYFUNCTION("""COMPUTED_VALUE"""),55.0)</f>
        <v>55</v>
      </c>
      <c r="L87" s="560">
        <f>IFERROR(__xludf.DUMMYFUNCTION("""COMPUTED_VALUE"""),44.0)</f>
        <v>44</v>
      </c>
      <c r="M87" s="561">
        <f>IFERROR(__xludf.DUMMYFUNCTION("""COMPUTED_VALUE"""),25.0)</f>
        <v>25</v>
      </c>
      <c r="N87" s="561">
        <f>IFERROR(__xludf.DUMMYFUNCTION("""COMPUTED_VALUE"""),5.0)</f>
        <v>5</v>
      </c>
      <c r="O87" s="560"/>
      <c r="P87" s="562">
        <f>IFERROR(__xludf.DUMMYFUNCTION("""COMPUTED_VALUE"""),70.0)</f>
        <v>70</v>
      </c>
      <c r="Q87" s="562">
        <f>IFERROR(__xludf.DUMMYFUNCTION("""COMPUTED_VALUE"""),0.0)</f>
        <v>0</v>
      </c>
      <c r="R87" s="562">
        <f>IFERROR(__xludf.DUMMYFUNCTION("""COMPUTED_VALUE"""),0.0)</f>
        <v>0</v>
      </c>
      <c r="S87" s="562"/>
      <c r="T87" s="217">
        <f>IFERROR(__xludf.DUMMYFUNCTION("""COMPUTED_VALUE"""),12.0)</f>
        <v>12</v>
      </c>
      <c r="U87" s="217">
        <f>IFERROR(__xludf.DUMMYFUNCTION("""COMPUTED_VALUE"""),14.0)</f>
        <v>14</v>
      </c>
      <c r="V87" s="217">
        <f>IFERROR(__xludf.DUMMYFUNCTION("""COMPUTED_VALUE"""),32.0)</f>
        <v>32</v>
      </c>
      <c r="W87" s="217"/>
      <c r="X87" s="217"/>
      <c r="Y87" s="217"/>
      <c r="Z87" s="217"/>
      <c r="AA87" s="481">
        <f>IFERROR(__xludf.DUMMYFUNCTION("""COMPUTED_VALUE"""),84.0)</f>
        <v>84</v>
      </c>
      <c r="AB87" s="481">
        <f>IFERROR(__xludf.DUMMYFUNCTION("""COMPUTED_VALUE"""),98.0)</f>
        <v>98</v>
      </c>
      <c r="AC87" s="481">
        <f>IFERROR(__xludf.DUMMYFUNCTION("""COMPUTED_VALUE"""),0.0)</f>
        <v>0</v>
      </c>
      <c r="AD87" s="481">
        <f>IFERROR(__xludf.DUMMYFUNCTION("""COMPUTED_VALUE"""),7.0)</f>
        <v>7</v>
      </c>
      <c r="AE87" s="481">
        <f>IFERROR(__xludf.DUMMYFUNCTION("""COMPUTED_VALUE"""),10.0)</f>
        <v>10</v>
      </c>
      <c r="AF87" s="481"/>
      <c r="AG87" s="481">
        <f>IFERROR(__xludf.DUMMYFUNCTION("""COMPUTED_VALUE"""),31.0)</f>
        <v>31</v>
      </c>
      <c r="AH87" s="481"/>
      <c r="AI87" s="158"/>
      <c r="AJ87" s="158"/>
      <c r="AK87" s="133">
        <f>IFERROR(__xludf.DUMMYFUNCTION("""COMPUTED_VALUE"""),2.0)</f>
        <v>2</v>
      </c>
      <c r="AL87" s="133">
        <f>IFERROR(__xludf.DUMMYFUNCTION("""COMPUTED_VALUE"""),0.0)</f>
        <v>0</v>
      </c>
      <c r="AM87" s="133">
        <f>IFERROR(__xludf.DUMMYFUNCTION("""COMPUTED_VALUE"""),2.0)</f>
        <v>2</v>
      </c>
      <c r="AN87" s="133" t="str">
        <f>IFERROR(__xludf.DUMMYFUNCTION("""COMPUTED_VALUE"""),"2")</f>
        <v>2</v>
      </c>
      <c r="AO87" s="133">
        <f>IFERROR(__xludf.DUMMYFUNCTION("""COMPUTED_VALUE"""),1.0)</f>
        <v>1</v>
      </c>
      <c r="AP87" s="155" t="s">
        <v>2461</v>
      </c>
    </row>
    <row r="88">
      <c r="A88" s="555">
        <f>IFERROR(__xludf.DUMMYFUNCTION("""COMPUTED_VALUE"""),84.0)</f>
        <v>84</v>
      </c>
      <c r="B88" s="555" t="str">
        <f>IFERROR(__xludf.DUMMYFUNCTION("""COMPUTED_VALUE"""),"ke23cs@cmrit.ac.in")</f>
        <v>ke23cs@cmrit.ac.in</v>
      </c>
      <c r="C88" s="172" t="str">
        <f>IFERROR(__xludf.DUMMYFUNCTION("""COMPUTED_VALUE"""),"KEERTHANA KT")</f>
        <v>KEERTHANA KT</v>
      </c>
      <c r="D88" s="261" t="str">
        <f>IFERROR(__xludf.DUMMYFUNCTION("""COMPUTED_VALUE"""),"1CR23CS087")</f>
        <v>1CR23CS087</v>
      </c>
      <c r="E88" s="563">
        <f>IFERROR(__xludf.DUMMYFUNCTION("""COMPUTED_VALUE"""),9.686872417E9)</f>
        <v>9686872417</v>
      </c>
      <c r="F88" s="155" t="str">
        <f>IFERROR(__xludf.DUMMYFUNCTION("""COMPUTED_VALUE"""),"CSE")</f>
        <v>CSE</v>
      </c>
      <c r="G88" s="158"/>
      <c r="H88" s="559">
        <f>IFERROR(__xludf.DUMMYFUNCTION("""COMPUTED_VALUE"""),80.0)</f>
        <v>80</v>
      </c>
      <c r="I88" s="559">
        <f>IFERROR(__xludf.DUMMYFUNCTION("""COMPUTED_VALUE"""),77.0)</f>
        <v>77</v>
      </c>
      <c r="J88" s="559">
        <f>IFERROR(__xludf.DUMMYFUNCTION("""COMPUTED_VALUE"""),62.0)</f>
        <v>62</v>
      </c>
      <c r="K88" s="559">
        <f>IFERROR(__xludf.DUMMYFUNCTION("""COMPUTED_VALUE"""),40.0)</f>
        <v>40</v>
      </c>
      <c r="L88" s="560">
        <f>IFERROR(__xludf.DUMMYFUNCTION("""COMPUTED_VALUE"""),40.0)</f>
        <v>40</v>
      </c>
      <c r="M88" s="561">
        <f>IFERROR(__xludf.DUMMYFUNCTION("""COMPUTED_VALUE"""),6.0)</f>
        <v>6</v>
      </c>
      <c r="N88" s="561">
        <f>IFERROR(__xludf.DUMMYFUNCTION("""COMPUTED_VALUE"""),0.0)</f>
        <v>0</v>
      </c>
      <c r="O88" s="560"/>
      <c r="P88" s="562">
        <f>IFERROR(__xludf.DUMMYFUNCTION("""COMPUTED_VALUE"""),82.0)</f>
        <v>82</v>
      </c>
      <c r="Q88" s="562">
        <f>IFERROR(__xludf.DUMMYFUNCTION("""COMPUTED_VALUE"""),0.0)</f>
        <v>0</v>
      </c>
      <c r="R88" s="562">
        <f>IFERROR(__xludf.DUMMYFUNCTION("""COMPUTED_VALUE"""),0.0)</f>
        <v>0</v>
      </c>
      <c r="S88" s="562"/>
      <c r="T88" s="217">
        <f>IFERROR(__xludf.DUMMYFUNCTION("""COMPUTED_VALUE"""),11.0)</f>
        <v>11</v>
      </c>
      <c r="U88" s="217">
        <f>IFERROR(__xludf.DUMMYFUNCTION("""COMPUTED_VALUE"""),22.0)</f>
        <v>22</v>
      </c>
      <c r="V88" s="217">
        <f>IFERROR(__xludf.DUMMYFUNCTION("""COMPUTED_VALUE"""),60.0)</f>
        <v>60</v>
      </c>
      <c r="W88" s="217"/>
      <c r="X88" s="217"/>
      <c r="Y88" s="217"/>
      <c r="Z88" s="217"/>
      <c r="AA88" s="481">
        <f>IFERROR(__xludf.DUMMYFUNCTION("""COMPUTED_VALUE"""),76.0)</f>
        <v>76</v>
      </c>
      <c r="AB88" s="481">
        <f>IFERROR(__xludf.DUMMYFUNCTION("""COMPUTED_VALUE"""),65.0)</f>
        <v>65</v>
      </c>
      <c r="AC88" s="481">
        <f>IFERROR(__xludf.DUMMYFUNCTION("""COMPUTED_VALUE"""),0.0)</f>
        <v>0</v>
      </c>
      <c r="AD88" s="481">
        <f>IFERROR(__xludf.DUMMYFUNCTION("""COMPUTED_VALUE"""),0.0)</f>
        <v>0</v>
      </c>
      <c r="AE88" s="481">
        <f>IFERROR(__xludf.DUMMYFUNCTION("""COMPUTED_VALUE"""),10.0)</f>
        <v>10</v>
      </c>
      <c r="AF88" s="481"/>
      <c r="AG88" s="481">
        <f>IFERROR(__xludf.DUMMYFUNCTION("""COMPUTED_VALUE"""),0.0)</f>
        <v>0</v>
      </c>
      <c r="AH88" s="481"/>
      <c r="AI88" s="158"/>
      <c r="AJ88" s="158"/>
      <c r="AK88" s="133">
        <f>IFERROR(__xludf.DUMMYFUNCTION("""COMPUTED_VALUE"""),2.0)</f>
        <v>2</v>
      </c>
      <c r="AL88" s="133">
        <f>IFERROR(__xludf.DUMMYFUNCTION("""COMPUTED_VALUE"""),0.0)</f>
        <v>0</v>
      </c>
      <c r="AM88" s="133">
        <f>IFERROR(__xludf.DUMMYFUNCTION("""COMPUTED_VALUE"""),2.0)</f>
        <v>2</v>
      </c>
      <c r="AN88" s="133" t="str">
        <f>IFERROR(__xludf.DUMMYFUNCTION("""COMPUTED_VALUE"""),"2")</f>
        <v>2</v>
      </c>
      <c r="AO88" s="133">
        <f>IFERROR(__xludf.DUMMYFUNCTION("""COMPUTED_VALUE"""),1.0)</f>
        <v>1</v>
      </c>
      <c r="AP88" s="155" t="s">
        <v>2461</v>
      </c>
    </row>
    <row r="89">
      <c r="A89" s="555">
        <f>IFERROR(__xludf.DUMMYFUNCTION("""COMPUTED_VALUE"""),85.0)</f>
        <v>85</v>
      </c>
      <c r="B89" s="555" t="str">
        <f>IFERROR(__xludf.DUMMYFUNCTION("""COMPUTED_VALUE"""),"kepa23cs@cmrit.ac.in")</f>
        <v>kepa23cs@cmrit.ac.in</v>
      </c>
      <c r="C89" s="174" t="str">
        <f>IFERROR(__xludf.DUMMYFUNCTION("""COMPUTED_VALUE"""),"Keerti Uday Patil")</f>
        <v>Keerti Uday Patil</v>
      </c>
      <c r="D89" s="261" t="str">
        <f>IFERROR(__xludf.DUMMYFUNCTION("""COMPUTED_VALUE"""),"1CR23CS088")</f>
        <v>1CR23CS088</v>
      </c>
      <c r="E89" s="563">
        <f>IFERROR(__xludf.DUMMYFUNCTION("""COMPUTED_VALUE"""),7.89224086E9)</f>
        <v>7892240860</v>
      </c>
      <c r="F89" s="155" t="str">
        <f>IFERROR(__xludf.DUMMYFUNCTION("""COMPUTED_VALUE"""),"CSE")</f>
        <v>CSE</v>
      </c>
      <c r="G89" s="158"/>
      <c r="H89" s="559">
        <f>IFERROR(__xludf.DUMMYFUNCTION("""COMPUTED_VALUE"""),84.0)</f>
        <v>84</v>
      </c>
      <c r="I89" s="559">
        <f>IFERROR(__xludf.DUMMYFUNCTION("""COMPUTED_VALUE"""),93.0)</f>
        <v>93</v>
      </c>
      <c r="J89" s="559">
        <f>IFERROR(__xludf.DUMMYFUNCTION("""COMPUTED_VALUE"""),87.0)</f>
        <v>87</v>
      </c>
      <c r="K89" s="559">
        <f>IFERROR(__xludf.DUMMYFUNCTION("""COMPUTED_VALUE"""),86.0)</f>
        <v>86</v>
      </c>
      <c r="L89" s="560">
        <f>IFERROR(__xludf.DUMMYFUNCTION("""COMPUTED_VALUE"""),56.0)</f>
        <v>56</v>
      </c>
      <c r="M89" s="561">
        <f>IFERROR(__xludf.DUMMYFUNCTION("""COMPUTED_VALUE"""),50.0)</f>
        <v>50</v>
      </c>
      <c r="N89" s="561">
        <f>IFERROR(__xludf.DUMMYFUNCTION("""COMPUTED_VALUE"""),61.0)</f>
        <v>61</v>
      </c>
      <c r="O89" s="560"/>
      <c r="P89" s="562">
        <f>IFERROR(__xludf.DUMMYFUNCTION("""COMPUTED_VALUE"""),80.0)</f>
        <v>80</v>
      </c>
      <c r="Q89" s="562">
        <f>IFERROR(__xludf.DUMMYFUNCTION("""COMPUTED_VALUE"""),90.0)</f>
        <v>90</v>
      </c>
      <c r="R89" s="562">
        <f>IFERROR(__xludf.DUMMYFUNCTION("""COMPUTED_VALUE"""),85.0)</f>
        <v>85</v>
      </c>
      <c r="S89" s="562"/>
      <c r="T89" s="217">
        <f>IFERROR(__xludf.DUMMYFUNCTION("""COMPUTED_VALUE"""),18.0)</f>
        <v>18</v>
      </c>
      <c r="U89" s="217">
        <f>IFERROR(__xludf.DUMMYFUNCTION("""COMPUTED_VALUE"""),15.0)</f>
        <v>15</v>
      </c>
      <c r="V89" s="217">
        <f>IFERROR(__xludf.DUMMYFUNCTION("""COMPUTED_VALUE"""),76.0)</f>
        <v>76</v>
      </c>
      <c r="W89" s="217">
        <f>IFERROR(__xludf.DUMMYFUNCTION("""COMPUTED_VALUE"""),48.0)</f>
        <v>48</v>
      </c>
      <c r="X89" s="217">
        <f>IFERROR(__xludf.DUMMYFUNCTION("""COMPUTED_VALUE"""),88.0)</f>
        <v>88</v>
      </c>
      <c r="Y89" s="217"/>
      <c r="Z89" s="217"/>
      <c r="AA89" s="481">
        <f>IFERROR(__xludf.DUMMYFUNCTION("""COMPUTED_VALUE"""),100.0)</f>
        <v>100</v>
      </c>
      <c r="AB89" s="481">
        <f>IFERROR(__xludf.DUMMYFUNCTION("""COMPUTED_VALUE"""),100.0)</f>
        <v>100</v>
      </c>
      <c r="AC89" s="481">
        <f>IFERROR(__xludf.DUMMYFUNCTION("""COMPUTED_VALUE"""),91.5)</f>
        <v>91.5</v>
      </c>
      <c r="AD89" s="481">
        <f>IFERROR(__xludf.DUMMYFUNCTION("""COMPUTED_VALUE"""),100.0)</f>
        <v>100</v>
      </c>
      <c r="AE89" s="481">
        <f>IFERROR(__xludf.DUMMYFUNCTION("""COMPUTED_VALUE"""),88.0)</f>
        <v>88</v>
      </c>
      <c r="AF89" s="481"/>
      <c r="AG89" s="481">
        <f>IFERROR(__xludf.DUMMYFUNCTION("""COMPUTED_VALUE"""),86.0)</f>
        <v>86</v>
      </c>
      <c r="AH89" s="481"/>
      <c r="AI89" s="158"/>
      <c r="AJ89" s="158"/>
      <c r="AK89" s="133">
        <f>IFERROR(__xludf.DUMMYFUNCTION("""COMPUTED_VALUE"""),4.0)</f>
        <v>4</v>
      </c>
      <c r="AL89" s="133">
        <f>IFERROR(__xludf.DUMMYFUNCTION("""COMPUTED_VALUE"""),3.0)</f>
        <v>3</v>
      </c>
      <c r="AM89" s="133">
        <f>IFERROR(__xludf.DUMMYFUNCTION("""COMPUTED_VALUE"""),2.0)</f>
        <v>2</v>
      </c>
      <c r="AN89" s="133" t="str">
        <f>IFERROR(__xludf.DUMMYFUNCTION("""COMPUTED_VALUE"""),"3.5")</f>
        <v>3.5</v>
      </c>
      <c r="AO89" s="133">
        <f>IFERROR(__xludf.DUMMYFUNCTION("""COMPUTED_VALUE"""),3.0)</f>
        <v>3</v>
      </c>
      <c r="AP89" s="155" t="s">
        <v>2461</v>
      </c>
    </row>
    <row r="90">
      <c r="A90" s="555">
        <f>IFERROR(__xludf.DUMMYFUNCTION("""COMPUTED_VALUE"""),86.0)</f>
        <v>86</v>
      </c>
      <c r="B90" s="555" t="str">
        <f>IFERROR(__xludf.DUMMYFUNCTION("""COMPUTED_VALUE"""),"kivr23cs@cmrit.ac.in")</f>
        <v>kivr23cs@cmrit.ac.in</v>
      </c>
      <c r="C90" s="172" t="str">
        <f>IFERROR(__xludf.DUMMYFUNCTION("""COMPUTED_VALUE"""),"Kiran V R")</f>
        <v>Kiran V R</v>
      </c>
      <c r="D90" s="261" t="str">
        <f>IFERROR(__xludf.DUMMYFUNCTION("""COMPUTED_VALUE"""),"1CR23CS089")</f>
        <v>1CR23CS089</v>
      </c>
      <c r="E90" s="563">
        <f>IFERROR(__xludf.DUMMYFUNCTION("""COMPUTED_VALUE"""),6.006901074E9)</f>
        <v>6006901074</v>
      </c>
      <c r="F90" s="155" t="str">
        <f>IFERROR(__xludf.DUMMYFUNCTION("""COMPUTED_VALUE"""),"CSE")</f>
        <v>CSE</v>
      </c>
      <c r="G90" s="158"/>
      <c r="H90" s="559">
        <f>IFERROR(__xludf.DUMMYFUNCTION("""COMPUTED_VALUE"""),70.0)</f>
        <v>70</v>
      </c>
      <c r="I90" s="559">
        <f>IFERROR(__xludf.DUMMYFUNCTION("""COMPUTED_VALUE"""),70.0)</f>
        <v>70</v>
      </c>
      <c r="J90" s="559">
        <f>IFERROR(__xludf.DUMMYFUNCTION("""COMPUTED_VALUE"""),70.0)</f>
        <v>70</v>
      </c>
      <c r="K90" s="559">
        <f>IFERROR(__xludf.DUMMYFUNCTION("""COMPUTED_VALUE"""),70.0)</f>
        <v>70</v>
      </c>
      <c r="L90" s="560">
        <f>IFERROR(__xludf.DUMMYFUNCTION("""COMPUTED_VALUE"""),50.0)</f>
        <v>50</v>
      </c>
      <c r="M90" s="561">
        <f>IFERROR(__xludf.DUMMYFUNCTION("""COMPUTED_VALUE"""),50.0)</f>
        <v>50</v>
      </c>
      <c r="N90" s="561">
        <f>IFERROR(__xludf.DUMMYFUNCTION("""COMPUTED_VALUE"""),50.0)</f>
        <v>50</v>
      </c>
      <c r="O90" s="560"/>
      <c r="P90" s="562">
        <f>IFERROR(__xludf.DUMMYFUNCTION("""COMPUTED_VALUE"""),72.0)</f>
        <v>72</v>
      </c>
      <c r="Q90" s="562">
        <f>IFERROR(__xludf.DUMMYFUNCTION("""COMPUTED_VALUE"""),62.0)</f>
        <v>62</v>
      </c>
      <c r="R90" s="562">
        <f>IFERROR(__xludf.DUMMYFUNCTION("""COMPUTED_VALUE"""),70.0)</f>
        <v>70</v>
      </c>
      <c r="S90" s="562"/>
      <c r="T90" s="217">
        <f>IFERROR(__xludf.DUMMYFUNCTION("""COMPUTED_VALUE"""),20.0)</f>
        <v>20</v>
      </c>
      <c r="U90" s="217">
        <f>IFERROR(__xludf.DUMMYFUNCTION("""COMPUTED_VALUE"""),20.0)</f>
        <v>20</v>
      </c>
      <c r="V90" s="217">
        <f>IFERROR(__xludf.DUMMYFUNCTION("""COMPUTED_VALUE"""),70.0)</f>
        <v>70</v>
      </c>
      <c r="W90" s="217">
        <f>IFERROR(__xludf.DUMMYFUNCTION("""COMPUTED_VALUE"""),32.0)</f>
        <v>32</v>
      </c>
      <c r="X90" s="217">
        <f>IFERROR(__xludf.DUMMYFUNCTION("""COMPUTED_VALUE"""),62.0)</f>
        <v>62</v>
      </c>
      <c r="Y90" s="217"/>
      <c r="Z90" s="217"/>
      <c r="AA90" s="481">
        <f>IFERROR(__xludf.DUMMYFUNCTION("""COMPUTED_VALUE"""),78.0)</f>
        <v>78</v>
      </c>
      <c r="AB90" s="481">
        <f>IFERROR(__xludf.DUMMYFUNCTION("""COMPUTED_VALUE"""),86.25)</f>
        <v>86.25</v>
      </c>
      <c r="AC90" s="481">
        <f>IFERROR(__xludf.DUMMYFUNCTION("""COMPUTED_VALUE"""),60.0)</f>
        <v>60</v>
      </c>
      <c r="AD90" s="481">
        <f>IFERROR(__xludf.DUMMYFUNCTION("""COMPUTED_VALUE"""),70.0)</f>
        <v>70</v>
      </c>
      <c r="AE90" s="481">
        <f>IFERROR(__xludf.DUMMYFUNCTION("""COMPUTED_VALUE"""),74.0)</f>
        <v>74</v>
      </c>
      <c r="AF90" s="481"/>
      <c r="AG90" s="481">
        <f>IFERROR(__xludf.DUMMYFUNCTION("""COMPUTED_VALUE"""),66.0)</f>
        <v>66</v>
      </c>
      <c r="AH90" s="481"/>
      <c r="AI90" s="158"/>
      <c r="AJ90" s="158"/>
      <c r="AK90" s="133">
        <f>IFERROR(__xludf.DUMMYFUNCTION("""COMPUTED_VALUE"""),4.0)</f>
        <v>4</v>
      </c>
      <c r="AL90" s="133">
        <f>IFERROR(__xludf.DUMMYFUNCTION("""COMPUTED_VALUE"""),3.0)</f>
        <v>3</v>
      </c>
      <c r="AM90" s="133">
        <f>IFERROR(__xludf.DUMMYFUNCTION("""COMPUTED_VALUE"""),2.0)</f>
        <v>2</v>
      </c>
      <c r="AN90" s="133" t="str">
        <f>IFERROR(__xludf.DUMMYFUNCTION("""COMPUTED_VALUE"""),"3.5")</f>
        <v>3.5</v>
      </c>
      <c r="AO90" s="133">
        <f>IFERROR(__xludf.DUMMYFUNCTION("""COMPUTED_VALUE"""),3.0)</f>
        <v>3</v>
      </c>
      <c r="AP90" s="155" t="s">
        <v>2461</v>
      </c>
    </row>
    <row r="91">
      <c r="A91" s="555">
        <f>IFERROR(__xludf.DUMMYFUNCTION("""COMPUTED_VALUE"""),87.0)</f>
        <v>87</v>
      </c>
      <c r="B91" s="555" t="str">
        <f>IFERROR(__xludf.DUMMYFUNCTION("""COMPUTED_VALUE"""),"kova23cs@cmrit.ac.in")</f>
        <v>kova23cs@cmrit.ac.in</v>
      </c>
      <c r="C91" s="172" t="str">
        <f>IFERROR(__xludf.DUMMYFUNCTION("""COMPUTED_VALUE"""),"KOLLI VAISHNAVI")</f>
        <v>KOLLI VAISHNAVI</v>
      </c>
      <c r="D91" s="261" t="str">
        <f>IFERROR(__xludf.DUMMYFUNCTION("""COMPUTED_VALUE"""),"1CR23CS090")</f>
        <v>1CR23CS090</v>
      </c>
      <c r="E91" s="563">
        <f>IFERROR(__xludf.DUMMYFUNCTION("""COMPUTED_VALUE"""),9.731610699E9)</f>
        <v>9731610699</v>
      </c>
      <c r="F91" s="155" t="str">
        <f>IFERROR(__xludf.DUMMYFUNCTION("""COMPUTED_VALUE"""),"CSE")</f>
        <v>CSE</v>
      </c>
      <c r="G91" s="158"/>
      <c r="H91" s="559">
        <f>IFERROR(__xludf.DUMMYFUNCTION("""COMPUTED_VALUE"""),84.0)</f>
        <v>84</v>
      </c>
      <c r="I91" s="559">
        <f>IFERROR(__xludf.DUMMYFUNCTION("""COMPUTED_VALUE"""),89.0)</f>
        <v>89</v>
      </c>
      <c r="J91" s="559">
        <f>IFERROR(__xludf.DUMMYFUNCTION("""COMPUTED_VALUE"""),79.0)</f>
        <v>79</v>
      </c>
      <c r="K91" s="559">
        <f>IFERROR(__xludf.DUMMYFUNCTION("""COMPUTED_VALUE"""),80.0)</f>
        <v>80</v>
      </c>
      <c r="L91" s="560">
        <f>IFERROR(__xludf.DUMMYFUNCTION("""COMPUTED_VALUE"""),75.0)</f>
        <v>75</v>
      </c>
      <c r="M91" s="561">
        <f>IFERROR(__xludf.DUMMYFUNCTION("""COMPUTED_VALUE"""),50.0)</f>
        <v>50</v>
      </c>
      <c r="N91" s="561">
        <f>IFERROR(__xludf.DUMMYFUNCTION("""COMPUTED_VALUE"""),62.0)</f>
        <v>62</v>
      </c>
      <c r="O91" s="560"/>
      <c r="P91" s="562">
        <f>IFERROR(__xludf.DUMMYFUNCTION("""COMPUTED_VALUE"""),84.0)</f>
        <v>84</v>
      </c>
      <c r="Q91" s="562">
        <f>IFERROR(__xludf.DUMMYFUNCTION("""COMPUTED_VALUE"""),66.0)</f>
        <v>66</v>
      </c>
      <c r="R91" s="562">
        <f>IFERROR(__xludf.DUMMYFUNCTION("""COMPUTED_VALUE"""),79.0)</f>
        <v>79</v>
      </c>
      <c r="S91" s="562"/>
      <c r="T91" s="217">
        <f>IFERROR(__xludf.DUMMYFUNCTION("""COMPUTED_VALUE"""),12.0)</f>
        <v>12</v>
      </c>
      <c r="U91" s="217">
        <f>IFERROR(__xludf.DUMMYFUNCTION("""COMPUTED_VALUE"""),20.0)</f>
        <v>20</v>
      </c>
      <c r="V91" s="217">
        <f>IFERROR(__xludf.DUMMYFUNCTION("""COMPUTED_VALUE"""),68.0)</f>
        <v>68</v>
      </c>
      <c r="W91" s="217">
        <f>IFERROR(__xludf.DUMMYFUNCTION("""COMPUTED_VALUE"""),48.0)</f>
        <v>48</v>
      </c>
      <c r="X91" s="217">
        <f>IFERROR(__xludf.DUMMYFUNCTION("""COMPUTED_VALUE"""),62.0)</f>
        <v>62</v>
      </c>
      <c r="Y91" s="217"/>
      <c r="Z91" s="217"/>
      <c r="AA91" s="481">
        <f>IFERROR(__xludf.DUMMYFUNCTION("""COMPUTED_VALUE"""),80.0)</f>
        <v>80</v>
      </c>
      <c r="AB91" s="481">
        <f>IFERROR(__xludf.DUMMYFUNCTION("""COMPUTED_VALUE"""),100.0)</f>
        <v>100</v>
      </c>
      <c r="AC91" s="481">
        <f>IFERROR(__xludf.DUMMYFUNCTION("""COMPUTED_VALUE"""),99.5)</f>
        <v>99.5</v>
      </c>
      <c r="AD91" s="481">
        <f>IFERROR(__xludf.DUMMYFUNCTION("""COMPUTED_VALUE"""),68.0)</f>
        <v>68</v>
      </c>
      <c r="AE91" s="481">
        <f>IFERROR(__xludf.DUMMYFUNCTION("""COMPUTED_VALUE"""),74.0)</f>
        <v>74</v>
      </c>
      <c r="AF91" s="481"/>
      <c r="AG91" s="481">
        <f>IFERROR(__xludf.DUMMYFUNCTION("""COMPUTED_VALUE"""),83.0)</f>
        <v>83</v>
      </c>
      <c r="AH91" s="481"/>
      <c r="AI91" s="158"/>
      <c r="AJ91" s="158"/>
      <c r="AK91" s="133">
        <f>IFERROR(__xludf.DUMMYFUNCTION("""COMPUTED_VALUE"""),4.0)</f>
        <v>4</v>
      </c>
      <c r="AL91" s="133">
        <f>IFERROR(__xludf.DUMMYFUNCTION("""COMPUTED_VALUE"""),3.0)</f>
        <v>3</v>
      </c>
      <c r="AM91" s="133">
        <f>IFERROR(__xludf.DUMMYFUNCTION("""COMPUTED_VALUE"""),2.0)</f>
        <v>2</v>
      </c>
      <c r="AN91" s="133" t="str">
        <f>IFERROR(__xludf.DUMMYFUNCTION("""COMPUTED_VALUE"""),"3.5")</f>
        <v>3.5</v>
      </c>
      <c r="AO91" s="133">
        <f>IFERROR(__xludf.DUMMYFUNCTION("""COMPUTED_VALUE"""),3.0)</f>
        <v>3</v>
      </c>
      <c r="AP91" s="155" t="s">
        <v>2461</v>
      </c>
    </row>
    <row r="92">
      <c r="A92" s="555">
        <f>IFERROR(__xludf.DUMMYFUNCTION("""COMPUTED_VALUE"""),88.0)</f>
        <v>88</v>
      </c>
      <c r="B92" s="555" t="str">
        <f>IFERROR(__xludf.DUMMYFUNCTION("""COMPUTED_VALUE"""),"krku23cs@cmrit.ac.in")</f>
        <v>krku23cs@cmrit.ac.in</v>
      </c>
      <c r="C92" s="172" t="str">
        <f>IFERROR(__xludf.DUMMYFUNCTION("""COMPUTED_VALUE"""),"KRITI KUMARI")</f>
        <v>KRITI KUMARI</v>
      </c>
      <c r="D92" s="261" t="str">
        <f>IFERROR(__xludf.DUMMYFUNCTION("""COMPUTED_VALUE"""),"1CR23CS091")</f>
        <v>1CR23CS091</v>
      </c>
      <c r="E92" s="563">
        <f>IFERROR(__xludf.DUMMYFUNCTION("""COMPUTED_VALUE"""),8.210303235E9)</f>
        <v>8210303235</v>
      </c>
      <c r="F92" s="155" t="str">
        <f>IFERROR(__xludf.DUMMYFUNCTION("""COMPUTED_VALUE"""),"CSE")</f>
        <v>CSE</v>
      </c>
      <c r="G92" s="158"/>
      <c r="H92" s="559">
        <f>IFERROR(__xludf.DUMMYFUNCTION("""COMPUTED_VALUE"""),89.0)</f>
        <v>89</v>
      </c>
      <c r="I92" s="559">
        <f>IFERROR(__xludf.DUMMYFUNCTION("""COMPUTED_VALUE"""),86.0)</f>
        <v>86</v>
      </c>
      <c r="J92" s="559">
        <f>IFERROR(__xludf.DUMMYFUNCTION("""COMPUTED_VALUE"""),70.0)</f>
        <v>70</v>
      </c>
      <c r="K92" s="559">
        <f>IFERROR(__xludf.DUMMYFUNCTION("""COMPUTED_VALUE"""),70.0)</f>
        <v>70</v>
      </c>
      <c r="L92" s="560">
        <f>IFERROR(__xludf.DUMMYFUNCTION("""COMPUTED_VALUE"""),60.0)</f>
        <v>60</v>
      </c>
      <c r="M92" s="561">
        <f>IFERROR(__xludf.DUMMYFUNCTION("""COMPUTED_VALUE"""),50.0)</f>
        <v>50</v>
      </c>
      <c r="N92" s="561">
        <f>IFERROR(__xludf.DUMMYFUNCTION("""COMPUTED_VALUE"""),6.0)</f>
        <v>6</v>
      </c>
      <c r="O92" s="560"/>
      <c r="P92" s="562">
        <f>IFERROR(__xludf.DUMMYFUNCTION("""COMPUTED_VALUE"""),50.0)</f>
        <v>50</v>
      </c>
      <c r="Q92" s="562">
        <f>IFERROR(__xludf.DUMMYFUNCTION("""COMPUTED_VALUE"""),65.0)</f>
        <v>65</v>
      </c>
      <c r="R92" s="562">
        <f>IFERROR(__xludf.DUMMYFUNCTION("""COMPUTED_VALUE"""),71.0)</f>
        <v>71</v>
      </c>
      <c r="S92" s="562"/>
      <c r="T92" s="217">
        <f>IFERROR(__xludf.DUMMYFUNCTION("""COMPUTED_VALUE"""),19.0)</f>
        <v>19</v>
      </c>
      <c r="U92" s="217">
        <f>IFERROR(__xludf.DUMMYFUNCTION("""COMPUTED_VALUE"""),18.0)</f>
        <v>18</v>
      </c>
      <c r="V92" s="217">
        <f>IFERROR(__xludf.DUMMYFUNCTION("""COMPUTED_VALUE"""),72.0)</f>
        <v>72</v>
      </c>
      <c r="W92" s="217">
        <f>IFERROR(__xludf.DUMMYFUNCTION("""COMPUTED_VALUE"""),48.0)</f>
        <v>48</v>
      </c>
      <c r="X92" s="217">
        <f>IFERROR(__xludf.DUMMYFUNCTION("""COMPUTED_VALUE"""),82.0)</f>
        <v>82</v>
      </c>
      <c r="Y92" s="217"/>
      <c r="Z92" s="217"/>
      <c r="AA92" s="481">
        <f>IFERROR(__xludf.DUMMYFUNCTION("""COMPUTED_VALUE"""),30.0)</f>
        <v>30</v>
      </c>
      <c r="AB92" s="481">
        <f>IFERROR(__xludf.DUMMYFUNCTION("""COMPUTED_VALUE"""),79.0)</f>
        <v>79</v>
      </c>
      <c r="AC92" s="481">
        <f>IFERROR(__xludf.DUMMYFUNCTION("""COMPUTED_VALUE"""),80.0)</f>
        <v>80</v>
      </c>
      <c r="AD92" s="481">
        <f>IFERROR(__xludf.DUMMYFUNCTION("""COMPUTED_VALUE"""),88.0)</f>
        <v>88</v>
      </c>
      <c r="AE92" s="481">
        <f>IFERROR(__xludf.DUMMYFUNCTION("""COMPUTED_VALUE"""),10.0)</f>
        <v>10</v>
      </c>
      <c r="AF92" s="481"/>
      <c r="AG92" s="481">
        <f>IFERROR(__xludf.DUMMYFUNCTION("""COMPUTED_VALUE"""),27.0)</f>
        <v>27</v>
      </c>
      <c r="AH92" s="481"/>
      <c r="AI92" s="158"/>
      <c r="AJ92" s="158"/>
      <c r="AK92" s="133">
        <f>IFERROR(__xludf.DUMMYFUNCTION("""COMPUTED_VALUE"""),4.0)</f>
        <v>4</v>
      </c>
      <c r="AL92" s="133">
        <f>IFERROR(__xludf.DUMMYFUNCTION("""COMPUTED_VALUE"""),2.0)</f>
        <v>2</v>
      </c>
      <c r="AM92" s="133">
        <f>IFERROR(__xludf.DUMMYFUNCTION("""COMPUTED_VALUE"""),2.0)</f>
        <v>2</v>
      </c>
      <c r="AN92" s="133" t="str">
        <f>IFERROR(__xludf.DUMMYFUNCTION("""COMPUTED_VALUE"""),"3")</f>
        <v>3</v>
      </c>
      <c r="AO92" s="133">
        <f>IFERROR(__xludf.DUMMYFUNCTION("""COMPUTED_VALUE"""),3.0)</f>
        <v>3</v>
      </c>
      <c r="AP92" s="155" t="s">
        <v>2461</v>
      </c>
    </row>
    <row r="93">
      <c r="A93" s="555">
        <f>IFERROR(__xludf.DUMMYFUNCTION("""COMPUTED_VALUE"""),89.0)</f>
        <v>89</v>
      </c>
      <c r="B93" s="555" t="str">
        <f>IFERROR(__xludf.DUMMYFUNCTION("""COMPUTED_VALUE"""),"kr23cs@cmrit.ac.in")</f>
        <v>kr23cs@cmrit.ac.in</v>
      </c>
      <c r="C93" s="172" t="str">
        <f>IFERROR(__xludf.DUMMYFUNCTION("""COMPUTED_VALUE"""),"KRUTHI")</f>
        <v>KRUTHI</v>
      </c>
      <c r="D93" s="261" t="str">
        <f>IFERROR(__xludf.DUMMYFUNCTION("""COMPUTED_VALUE"""),"1CR23CS092")</f>
        <v>1CR23CS092</v>
      </c>
      <c r="E93" s="563">
        <f>IFERROR(__xludf.DUMMYFUNCTION("""COMPUTED_VALUE"""),9.019642103E9)</f>
        <v>9019642103</v>
      </c>
      <c r="F93" s="155" t="str">
        <f>IFERROR(__xludf.DUMMYFUNCTION("""COMPUTED_VALUE"""),"CSE")</f>
        <v>CSE</v>
      </c>
      <c r="G93" s="158"/>
      <c r="H93" s="559">
        <f>IFERROR(__xludf.DUMMYFUNCTION("""COMPUTED_VALUE"""),79.0)</f>
        <v>79</v>
      </c>
      <c r="I93" s="559">
        <f>IFERROR(__xludf.DUMMYFUNCTION("""COMPUTED_VALUE"""),85.0)</f>
        <v>85</v>
      </c>
      <c r="J93" s="559">
        <f>IFERROR(__xludf.DUMMYFUNCTION("""COMPUTED_VALUE"""),70.0)</f>
        <v>70</v>
      </c>
      <c r="K93" s="559">
        <f>IFERROR(__xludf.DUMMYFUNCTION("""COMPUTED_VALUE"""),79.0)</f>
        <v>79</v>
      </c>
      <c r="L93" s="560">
        <f>IFERROR(__xludf.DUMMYFUNCTION("""COMPUTED_VALUE"""),50.0)</f>
        <v>50</v>
      </c>
      <c r="M93" s="561">
        <f>IFERROR(__xludf.DUMMYFUNCTION("""COMPUTED_VALUE"""),8.0)</f>
        <v>8</v>
      </c>
      <c r="N93" s="561">
        <f>IFERROR(__xludf.DUMMYFUNCTION("""COMPUTED_VALUE"""),50.0)</f>
        <v>50</v>
      </c>
      <c r="O93" s="560"/>
      <c r="P93" s="562">
        <f>IFERROR(__xludf.DUMMYFUNCTION("""COMPUTED_VALUE"""),82.0)</f>
        <v>82</v>
      </c>
      <c r="Q93" s="562">
        <f>IFERROR(__xludf.DUMMYFUNCTION("""COMPUTED_VALUE"""),72.0)</f>
        <v>72</v>
      </c>
      <c r="R93" s="562">
        <f>IFERROR(__xludf.DUMMYFUNCTION("""COMPUTED_VALUE"""),88.0)</f>
        <v>88</v>
      </c>
      <c r="S93" s="562"/>
      <c r="T93" s="217">
        <f>IFERROR(__xludf.DUMMYFUNCTION("""COMPUTED_VALUE"""),20.0)</f>
        <v>20</v>
      </c>
      <c r="U93" s="217">
        <f>IFERROR(__xludf.DUMMYFUNCTION("""COMPUTED_VALUE"""),17.0)</f>
        <v>17</v>
      </c>
      <c r="V93" s="217">
        <f>IFERROR(__xludf.DUMMYFUNCTION("""COMPUTED_VALUE"""),70.0)</f>
        <v>70</v>
      </c>
      <c r="W93" s="217">
        <f>IFERROR(__xludf.DUMMYFUNCTION("""COMPUTED_VALUE"""),40.0)</f>
        <v>40</v>
      </c>
      <c r="X93" s="217">
        <f>IFERROR(__xludf.DUMMYFUNCTION("""COMPUTED_VALUE"""),92.0)</f>
        <v>92</v>
      </c>
      <c r="Y93" s="217"/>
      <c r="Z93" s="217"/>
      <c r="AA93" s="481">
        <f>IFERROR(__xludf.DUMMYFUNCTION("""COMPUTED_VALUE"""),100.0)</f>
        <v>100</v>
      </c>
      <c r="AB93" s="481">
        <f>IFERROR(__xludf.DUMMYFUNCTION("""COMPUTED_VALUE"""),92.5)</f>
        <v>92.5</v>
      </c>
      <c r="AC93" s="481">
        <f>IFERROR(__xludf.DUMMYFUNCTION("""COMPUTED_VALUE"""),54.5)</f>
        <v>54.5</v>
      </c>
      <c r="AD93" s="481">
        <f>IFERROR(__xludf.DUMMYFUNCTION("""COMPUTED_VALUE"""),80.0)</f>
        <v>80</v>
      </c>
      <c r="AE93" s="481">
        <f>IFERROR(__xludf.DUMMYFUNCTION("""COMPUTED_VALUE"""),52.0)</f>
        <v>52</v>
      </c>
      <c r="AF93" s="481"/>
      <c r="AG93" s="481">
        <f>IFERROR(__xludf.DUMMYFUNCTION("""COMPUTED_VALUE"""),75.0)</f>
        <v>75</v>
      </c>
      <c r="AH93" s="481"/>
      <c r="AI93" s="158"/>
      <c r="AJ93" s="158"/>
      <c r="AK93" s="133">
        <f>IFERROR(__xludf.DUMMYFUNCTION("""COMPUTED_VALUE"""),4.0)</f>
        <v>4</v>
      </c>
      <c r="AL93" s="133">
        <f>IFERROR(__xludf.DUMMYFUNCTION("""COMPUTED_VALUE"""),1.0)</f>
        <v>1</v>
      </c>
      <c r="AM93" s="133">
        <f>IFERROR(__xludf.DUMMYFUNCTION("""COMPUTED_VALUE"""),2.0)</f>
        <v>2</v>
      </c>
      <c r="AN93" s="133" t="str">
        <f>IFERROR(__xludf.DUMMYFUNCTION("""COMPUTED_VALUE"""),"3")</f>
        <v>3</v>
      </c>
      <c r="AO93" s="133">
        <f>IFERROR(__xludf.DUMMYFUNCTION("""COMPUTED_VALUE"""),3.0)</f>
        <v>3</v>
      </c>
      <c r="AP93" s="155" t="s">
        <v>2461</v>
      </c>
    </row>
    <row r="94">
      <c r="A94" s="555">
        <f>IFERROR(__xludf.DUMMYFUNCTION("""COMPUTED_VALUE"""),90.0)</f>
        <v>90</v>
      </c>
      <c r="B94" s="555" t="str">
        <f>IFERROR(__xludf.DUMMYFUNCTION("""COMPUTED_VALUE"""),"kuga23cs@cmrit.ac.in")</f>
        <v>kuga23cs@cmrit.ac.in</v>
      </c>
      <c r="C94" s="172" t="str">
        <f>IFERROR(__xludf.DUMMYFUNCTION("""COMPUTED_VALUE"""),"KUMAR GAURAV")</f>
        <v>KUMAR GAURAV</v>
      </c>
      <c r="D94" s="261" t="str">
        <f>IFERROR(__xludf.DUMMYFUNCTION("""COMPUTED_VALUE"""),"1CR23CS093")</f>
        <v>1CR23CS093</v>
      </c>
      <c r="E94" s="563">
        <f>IFERROR(__xludf.DUMMYFUNCTION("""COMPUTED_VALUE"""),8.76631359E9)</f>
        <v>8766313590</v>
      </c>
      <c r="F94" s="155" t="str">
        <f>IFERROR(__xludf.DUMMYFUNCTION("""COMPUTED_VALUE"""),"CSE")</f>
        <v>CSE</v>
      </c>
      <c r="G94" s="158"/>
      <c r="H94" s="559">
        <f>IFERROR(__xludf.DUMMYFUNCTION("""COMPUTED_VALUE"""),81.0)</f>
        <v>81</v>
      </c>
      <c r="I94" s="559">
        <f>IFERROR(__xludf.DUMMYFUNCTION("""COMPUTED_VALUE"""),84.0)</f>
        <v>84</v>
      </c>
      <c r="J94" s="559">
        <f>IFERROR(__xludf.DUMMYFUNCTION("""COMPUTED_VALUE"""),70.0)</f>
        <v>70</v>
      </c>
      <c r="K94" s="559">
        <f>IFERROR(__xludf.DUMMYFUNCTION("""COMPUTED_VALUE"""),70.0)</f>
        <v>70</v>
      </c>
      <c r="L94" s="560">
        <f>IFERROR(__xludf.DUMMYFUNCTION("""COMPUTED_VALUE"""),54.0)</f>
        <v>54</v>
      </c>
      <c r="M94" s="561">
        <f>IFERROR(__xludf.DUMMYFUNCTION("""COMPUTED_VALUE"""),9.0)</f>
        <v>9</v>
      </c>
      <c r="N94" s="561">
        <f>IFERROR(__xludf.DUMMYFUNCTION("""COMPUTED_VALUE"""),18.0)</f>
        <v>18</v>
      </c>
      <c r="O94" s="560"/>
      <c r="P94" s="562">
        <f>IFERROR(__xludf.DUMMYFUNCTION("""COMPUTED_VALUE"""),78.0)</f>
        <v>78</v>
      </c>
      <c r="Q94" s="562">
        <f>IFERROR(__xludf.DUMMYFUNCTION("""COMPUTED_VALUE"""),65.0)</f>
        <v>65</v>
      </c>
      <c r="R94" s="562">
        <f>IFERROR(__xludf.DUMMYFUNCTION("""COMPUTED_VALUE"""),50.0)</f>
        <v>50</v>
      </c>
      <c r="S94" s="562"/>
      <c r="T94" s="217">
        <f>IFERROR(__xludf.DUMMYFUNCTION("""COMPUTED_VALUE"""),10.0)</f>
        <v>10</v>
      </c>
      <c r="U94" s="217">
        <f>IFERROR(__xludf.DUMMYFUNCTION("""COMPUTED_VALUE"""),17.0)</f>
        <v>17</v>
      </c>
      <c r="V94" s="217">
        <f>IFERROR(__xludf.DUMMYFUNCTION("""COMPUTED_VALUE"""),68.0)</f>
        <v>68</v>
      </c>
      <c r="W94" s="217">
        <f>IFERROR(__xludf.DUMMYFUNCTION("""COMPUTED_VALUE"""),40.0)</f>
        <v>40</v>
      </c>
      <c r="X94" s="217"/>
      <c r="Y94" s="217"/>
      <c r="Z94" s="217"/>
      <c r="AA94" s="481">
        <f>IFERROR(__xludf.DUMMYFUNCTION("""COMPUTED_VALUE"""),44.0)</f>
        <v>44</v>
      </c>
      <c r="AB94" s="481">
        <f>IFERROR(__xludf.DUMMYFUNCTION("""COMPUTED_VALUE"""),98.0)</f>
        <v>98</v>
      </c>
      <c r="AC94" s="481">
        <f>IFERROR(__xludf.DUMMYFUNCTION("""COMPUTED_VALUE"""),66.0)</f>
        <v>66</v>
      </c>
      <c r="AD94" s="481">
        <f>IFERROR(__xludf.DUMMYFUNCTION("""COMPUTED_VALUE"""),100.0)</f>
        <v>100</v>
      </c>
      <c r="AE94" s="481">
        <f>IFERROR(__xludf.DUMMYFUNCTION("""COMPUTED_VALUE"""),10.0)</f>
        <v>10</v>
      </c>
      <c r="AF94" s="481"/>
      <c r="AG94" s="481">
        <f>IFERROR(__xludf.DUMMYFUNCTION("""COMPUTED_VALUE"""),10.0)</f>
        <v>10</v>
      </c>
      <c r="AH94" s="481"/>
      <c r="AI94" s="158"/>
      <c r="AJ94" s="158"/>
      <c r="AK94" s="133">
        <f>IFERROR(__xludf.DUMMYFUNCTION("""COMPUTED_VALUE"""),4.0)</f>
        <v>4</v>
      </c>
      <c r="AL94" s="133">
        <f>IFERROR(__xludf.DUMMYFUNCTION("""COMPUTED_VALUE"""),1.0)</f>
        <v>1</v>
      </c>
      <c r="AM94" s="133">
        <f>IFERROR(__xludf.DUMMYFUNCTION("""COMPUTED_VALUE"""),2.0)</f>
        <v>2</v>
      </c>
      <c r="AN94" s="133" t="str">
        <f>IFERROR(__xludf.DUMMYFUNCTION("""COMPUTED_VALUE"""),"3")</f>
        <v>3</v>
      </c>
      <c r="AO94" s="133">
        <f>IFERROR(__xludf.DUMMYFUNCTION("""COMPUTED_VALUE"""),3.0)</f>
        <v>3</v>
      </c>
      <c r="AP94" s="155" t="s">
        <v>2461</v>
      </c>
    </row>
    <row r="95">
      <c r="A95" s="555">
        <f>IFERROR(__xludf.DUMMYFUNCTION("""COMPUTED_VALUE"""),91.0)</f>
        <v>91</v>
      </c>
      <c r="B95" s="555" t="str">
        <f>IFERROR(__xludf.DUMMYFUNCTION("""COMPUTED_VALUE"""),"lebi23cs@cmrit.ac.in")</f>
        <v>lebi23cs@cmrit.ac.in</v>
      </c>
      <c r="C95" s="172" t="str">
        <f>IFERROR(__xludf.DUMMYFUNCTION("""COMPUTED_VALUE"""),"LEANNA BIJU")</f>
        <v>LEANNA BIJU</v>
      </c>
      <c r="D95" s="261" t="str">
        <f>IFERROR(__xludf.DUMMYFUNCTION("""COMPUTED_VALUE"""),"1CR23CS094")</f>
        <v>1CR23CS094</v>
      </c>
      <c r="E95" s="563">
        <f>IFERROR(__xludf.DUMMYFUNCTION("""COMPUTED_VALUE"""),9.591400815E9)</f>
        <v>9591400815</v>
      </c>
      <c r="F95" s="155" t="str">
        <f>IFERROR(__xludf.DUMMYFUNCTION("""COMPUTED_VALUE"""),"CSE")</f>
        <v>CSE</v>
      </c>
      <c r="G95" s="158"/>
      <c r="H95" s="559">
        <f>IFERROR(__xludf.DUMMYFUNCTION("""COMPUTED_VALUE"""),86.0)</f>
        <v>86</v>
      </c>
      <c r="I95" s="559">
        <f>IFERROR(__xludf.DUMMYFUNCTION("""COMPUTED_VALUE"""),86.0)</f>
        <v>86</v>
      </c>
      <c r="J95" s="559">
        <f>IFERROR(__xludf.DUMMYFUNCTION("""COMPUTED_VALUE"""),72.0)</f>
        <v>72</v>
      </c>
      <c r="K95" s="559">
        <f>IFERROR(__xludf.DUMMYFUNCTION("""COMPUTED_VALUE"""),70.0)</f>
        <v>70</v>
      </c>
      <c r="L95" s="560">
        <f>IFERROR(__xludf.DUMMYFUNCTION("""COMPUTED_VALUE"""),44.0)</f>
        <v>44</v>
      </c>
      <c r="M95" s="561">
        <f>IFERROR(__xludf.DUMMYFUNCTION("""COMPUTED_VALUE"""),19.0)</f>
        <v>19</v>
      </c>
      <c r="N95" s="561">
        <f>IFERROR(__xludf.DUMMYFUNCTION("""COMPUTED_VALUE"""),0.0)</f>
        <v>0</v>
      </c>
      <c r="O95" s="560"/>
      <c r="P95" s="562">
        <f>IFERROR(__xludf.DUMMYFUNCTION("""COMPUTED_VALUE"""),72.0)</f>
        <v>72</v>
      </c>
      <c r="Q95" s="562">
        <f>IFERROR(__xludf.DUMMYFUNCTION("""COMPUTED_VALUE"""),50.0)</f>
        <v>50</v>
      </c>
      <c r="R95" s="562">
        <f>IFERROR(__xludf.DUMMYFUNCTION("""COMPUTED_VALUE"""),0.0)</f>
        <v>0</v>
      </c>
      <c r="S95" s="562"/>
      <c r="T95" s="217">
        <f>IFERROR(__xludf.DUMMYFUNCTION("""COMPUTED_VALUE"""),10.0)</f>
        <v>10</v>
      </c>
      <c r="U95" s="217">
        <f>IFERROR(__xludf.DUMMYFUNCTION("""COMPUTED_VALUE"""),15.0)</f>
        <v>15</v>
      </c>
      <c r="V95" s="217">
        <f>IFERROR(__xludf.DUMMYFUNCTION("""COMPUTED_VALUE"""),44.0)</f>
        <v>44</v>
      </c>
      <c r="W95" s="217">
        <f>IFERROR(__xludf.DUMMYFUNCTION("""COMPUTED_VALUE"""),32.0)</f>
        <v>32</v>
      </c>
      <c r="X95" s="217"/>
      <c r="Y95" s="217"/>
      <c r="Z95" s="217"/>
      <c r="AA95" s="481">
        <f>IFERROR(__xludf.DUMMYFUNCTION("""COMPUTED_VALUE"""),10.0)</f>
        <v>10</v>
      </c>
      <c r="AB95" s="481">
        <f>IFERROR(__xludf.DUMMYFUNCTION("""COMPUTED_VALUE"""),94.0)</f>
        <v>94</v>
      </c>
      <c r="AC95" s="481">
        <f>IFERROR(__xludf.DUMMYFUNCTION("""COMPUTED_VALUE"""),89.5)</f>
        <v>89.5</v>
      </c>
      <c r="AD95" s="481">
        <f>IFERROR(__xludf.DUMMYFUNCTION("""COMPUTED_VALUE"""),0.0)</f>
        <v>0</v>
      </c>
      <c r="AE95" s="481">
        <f>IFERROR(__xludf.DUMMYFUNCTION("""COMPUTED_VALUE"""),10.0)</f>
        <v>10</v>
      </c>
      <c r="AF95" s="481"/>
      <c r="AG95" s="481">
        <f>IFERROR(__xludf.DUMMYFUNCTION("""COMPUTED_VALUE"""),26.0)</f>
        <v>26</v>
      </c>
      <c r="AH95" s="481"/>
      <c r="AI95" s="158"/>
      <c r="AJ95" s="158"/>
      <c r="AK95" s="133">
        <f>IFERROR(__xludf.DUMMYFUNCTION("""COMPUTED_VALUE"""),4.0)</f>
        <v>4</v>
      </c>
      <c r="AL95" s="133">
        <f>IFERROR(__xludf.DUMMYFUNCTION("""COMPUTED_VALUE"""),0.0)</f>
        <v>0</v>
      </c>
      <c r="AM95" s="133">
        <f>IFERROR(__xludf.DUMMYFUNCTION("""COMPUTED_VALUE"""),2.0)</f>
        <v>2</v>
      </c>
      <c r="AN95" s="133" t="str">
        <f>IFERROR(__xludf.DUMMYFUNCTION("""COMPUTED_VALUE"""),"3")</f>
        <v>3</v>
      </c>
      <c r="AO95" s="133">
        <f>IFERROR(__xludf.DUMMYFUNCTION("""COMPUTED_VALUE"""),2.0)</f>
        <v>2</v>
      </c>
      <c r="AP95" s="155" t="s">
        <v>2461</v>
      </c>
    </row>
    <row r="96">
      <c r="A96" s="555">
        <f>IFERROR(__xludf.DUMMYFUNCTION("""COMPUTED_VALUE"""),92.0)</f>
        <v>92</v>
      </c>
      <c r="B96" s="555" t="str">
        <f>IFERROR(__xludf.DUMMYFUNCTION("""COMPUTED_VALUE"""),"ligo23cs@cmrit.ac.in")</f>
        <v>ligo23cs@cmrit.ac.in</v>
      </c>
      <c r="C96" s="172" t="str">
        <f>IFERROR(__xludf.DUMMYFUNCTION("""COMPUTED_VALUE"""),"LIKITH GOWDA")</f>
        <v>LIKITH GOWDA</v>
      </c>
      <c r="D96" s="261" t="str">
        <f>IFERROR(__xludf.DUMMYFUNCTION("""COMPUTED_VALUE"""),"1CR23CS095")</f>
        <v>1CR23CS095</v>
      </c>
      <c r="E96" s="563">
        <f>IFERROR(__xludf.DUMMYFUNCTION("""COMPUTED_VALUE"""),9.606796695E9)</f>
        <v>9606796695</v>
      </c>
      <c r="F96" s="155" t="str">
        <f>IFERROR(__xludf.DUMMYFUNCTION("""COMPUTED_VALUE"""),"CSE")</f>
        <v>CSE</v>
      </c>
      <c r="G96" s="158"/>
      <c r="H96" s="559">
        <f>IFERROR(__xludf.DUMMYFUNCTION("""COMPUTED_VALUE"""),81.0)</f>
        <v>81</v>
      </c>
      <c r="I96" s="559">
        <f>IFERROR(__xludf.DUMMYFUNCTION("""COMPUTED_VALUE"""),78.0)</f>
        <v>78</v>
      </c>
      <c r="J96" s="559">
        <f>IFERROR(__xludf.DUMMYFUNCTION("""COMPUTED_VALUE"""),70.0)</f>
        <v>70</v>
      </c>
      <c r="K96" s="559">
        <f>IFERROR(__xludf.DUMMYFUNCTION("""COMPUTED_VALUE"""),70.0)</f>
        <v>70</v>
      </c>
      <c r="L96" s="560">
        <f>IFERROR(__xludf.DUMMYFUNCTION("""COMPUTED_VALUE"""),45.0)</f>
        <v>45</v>
      </c>
      <c r="M96" s="561">
        <f>IFERROR(__xludf.DUMMYFUNCTION("""COMPUTED_VALUE"""),0.0)</f>
        <v>0</v>
      </c>
      <c r="N96" s="561">
        <f>IFERROR(__xludf.DUMMYFUNCTION("""COMPUTED_VALUE"""),1.0)</f>
        <v>1</v>
      </c>
      <c r="O96" s="560"/>
      <c r="P96" s="562">
        <f>IFERROR(__xludf.DUMMYFUNCTION("""COMPUTED_VALUE"""),64.0)</f>
        <v>64</v>
      </c>
      <c r="Q96" s="562">
        <f>IFERROR(__xludf.DUMMYFUNCTION("""COMPUTED_VALUE"""),0.0)</f>
        <v>0</v>
      </c>
      <c r="R96" s="562">
        <f>IFERROR(__xludf.DUMMYFUNCTION("""COMPUTED_VALUE"""),0.0)</f>
        <v>0</v>
      </c>
      <c r="S96" s="562"/>
      <c r="T96" s="217">
        <f>IFERROR(__xludf.DUMMYFUNCTION("""COMPUTED_VALUE"""),17.0)</f>
        <v>17</v>
      </c>
      <c r="U96" s="217">
        <f>IFERROR(__xludf.DUMMYFUNCTION("""COMPUTED_VALUE"""),21.0)</f>
        <v>21</v>
      </c>
      <c r="V96" s="217"/>
      <c r="W96" s="217">
        <f>IFERROR(__xludf.DUMMYFUNCTION("""COMPUTED_VALUE"""),20.0)</f>
        <v>20</v>
      </c>
      <c r="X96" s="217"/>
      <c r="Y96" s="217"/>
      <c r="Z96" s="217"/>
      <c r="AA96" s="481">
        <f>IFERROR(__xludf.DUMMYFUNCTION("""COMPUTED_VALUE"""),20.0)</f>
        <v>20</v>
      </c>
      <c r="AB96" s="481">
        <f>IFERROR(__xludf.DUMMYFUNCTION("""COMPUTED_VALUE"""),90.0)</f>
        <v>90</v>
      </c>
      <c r="AC96" s="481">
        <f>IFERROR(__xludf.DUMMYFUNCTION("""COMPUTED_VALUE"""),100.0)</f>
        <v>100</v>
      </c>
      <c r="AD96" s="481">
        <f>IFERROR(__xludf.DUMMYFUNCTION("""COMPUTED_VALUE"""),1.0)</f>
        <v>1</v>
      </c>
      <c r="AE96" s="481">
        <f>IFERROR(__xludf.DUMMYFUNCTION("""COMPUTED_VALUE"""),10.0)</f>
        <v>10</v>
      </c>
      <c r="AF96" s="481"/>
      <c r="AG96" s="481">
        <f>IFERROR(__xludf.DUMMYFUNCTION("""COMPUTED_VALUE"""),0.0)</f>
        <v>0</v>
      </c>
      <c r="AH96" s="481"/>
      <c r="AI96" s="158"/>
      <c r="AJ96" s="158"/>
      <c r="AK96" s="133">
        <f>IFERROR(__xludf.DUMMYFUNCTION("""COMPUTED_VALUE"""),4.0)</f>
        <v>4</v>
      </c>
      <c r="AL96" s="133">
        <f>IFERROR(__xludf.DUMMYFUNCTION("""COMPUTED_VALUE"""),0.0)</f>
        <v>0</v>
      </c>
      <c r="AM96" s="133">
        <f>IFERROR(__xludf.DUMMYFUNCTION("""COMPUTED_VALUE"""),2.0)</f>
        <v>2</v>
      </c>
      <c r="AN96" s="133" t="str">
        <f>IFERROR(__xludf.DUMMYFUNCTION("""COMPUTED_VALUE"""),"3")</f>
        <v>3</v>
      </c>
      <c r="AO96" s="133">
        <f>IFERROR(__xludf.DUMMYFUNCTION("""COMPUTED_VALUE"""),1.0)</f>
        <v>1</v>
      </c>
      <c r="AP96" s="155" t="s">
        <v>2461</v>
      </c>
    </row>
    <row r="97">
      <c r="A97" s="555">
        <f>IFERROR(__xludf.DUMMYFUNCTION("""COMPUTED_VALUE"""),93.0)</f>
        <v>93</v>
      </c>
      <c r="B97" s="555" t="str">
        <f>IFERROR(__xludf.DUMMYFUNCTION("""COMPUTED_VALUE"""),"anm23cs@cmrit.ac.in")</f>
        <v>anm23cs@cmrit.ac.in</v>
      </c>
      <c r="C97" s="172" t="str">
        <f>IFERROR(__xludf.DUMMYFUNCTION("""COMPUTED_VALUE"""),"M ANINDITA")</f>
        <v>M ANINDITA</v>
      </c>
      <c r="D97" s="261" t="str">
        <f>IFERROR(__xludf.DUMMYFUNCTION("""COMPUTED_VALUE"""),"1CR23CS098")</f>
        <v>1CR23CS098</v>
      </c>
      <c r="E97" s="563">
        <f>IFERROR(__xludf.DUMMYFUNCTION("""COMPUTED_VALUE"""),9.741238283E9)</f>
        <v>9741238283</v>
      </c>
      <c r="F97" s="155" t="str">
        <f>IFERROR(__xludf.DUMMYFUNCTION("""COMPUTED_VALUE"""),"CSE")</f>
        <v>CSE</v>
      </c>
      <c r="G97" s="158"/>
      <c r="H97" s="559">
        <f>IFERROR(__xludf.DUMMYFUNCTION("""COMPUTED_VALUE"""),89.0)</f>
        <v>89</v>
      </c>
      <c r="I97" s="559">
        <f>IFERROR(__xludf.DUMMYFUNCTION("""COMPUTED_VALUE"""),97.0)</f>
        <v>97</v>
      </c>
      <c r="J97" s="559">
        <f>IFERROR(__xludf.DUMMYFUNCTION("""COMPUTED_VALUE"""),90.0)</f>
        <v>90</v>
      </c>
      <c r="K97" s="559">
        <f>IFERROR(__xludf.DUMMYFUNCTION("""COMPUTED_VALUE"""),91.0)</f>
        <v>91</v>
      </c>
      <c r="L97" s="560">
        <f>IFERROR(__xludf.DUMMYFUNCTION("""COMPUTED_VALUE"""),73.0)</f>
        <v>73</v>
      </c>
      <c r="M97" s="561">
        <f>IFERROR(__xludf.DUMMYFUNCTION("""COMPUTED_VALUE"""),52.0)</f>
        <v>52</v>
      </c>
      <c r="N97" s="561">
        <f>IFERROR(__xludf.DUMMYFUNCTION("""COMPUTED_VALUE"""),63.0)</f>
        <v>63</v>
      </c>
      <c r="O97" s="560"/>
      <c r="P97" s="562">
        <f>IFERROR(__xludf.DUMMYFUNCTION("""COMPUTED_VALUE"""),86.0)</f>
        <v>86</v>
      </c>
      <c r="Q97" s="562">
        <f>IFERROR(__xludf.DUMMYFUNCTION("""COMPUTED_VALUE"""),66.0)</f>
        <v>66</v>
      </c>
      <c r="R97" s="562">
        <f>IFERROR(__xludf.DUMMYFUNCTION("""COMPUTED_VALUE"""),75.0)</f>
        <v>75</v>
      </c>
      <c r="S97" s="562"/>
      <c r="T97" s="217">
        <f>IFERROR(__xludf.DUMMYFUNCTION("""COMPUTED_VALUE"""),13.0)</f>
        <v>13</v>
      </c>
      <c r="U97" s="217">
        <f>IFERROR(__xludf.DUMMYFUNCTION("""COMPUTED_VALUE"""),21.0)</f>
        <v>21</v>
      </c>
      <c r="V97" s="217">
        <f>IFERROR(__xludf.DUMMYFUNCTION("""COMPUTED_VALUE"""),72.0)</f>
        <v>72</v>
      </c>
      <c r="W97" s="217">
        <f>IFERROR(__xludf.DUMMYFUNCTION("""COMPUTED_VALUE"""),40.0)</f>
        <v>40</v>
      </c>
      <c r="X97" s="217">
        <f>IFERROR(__xludf.DUMMYFUNCTION("""COMPUTED_VALUE"""),66.0)</f>
        <v>66</v>
      </c>
      <c r="Y97" s="217"/>
      <c r="Z97" s="217"/>
      <c r="AA97" s="481">
        <f>IFERROR(__xludf.DUMMYFUNCTION("""COMPUTED_VALUE"""),0.0)</f>
        <v>0</v>
      </c>
      <c r="AB97" s="481">
        <f>IFERROR(__xludf.DUMMYFUNCTION("""COMPUTED_VALUE"""),99.0)</f>
        <v>99</v>
      </c>
      <c r="AC97" s="481">
        <f>IFERROR(__xludf.DUMMYFUNCTION("""COMPUTED_VALUE"""),63.0)</f>
        <v>63</v>
      </c>
      <c r="AD97" s="481">
        <f>IFERROR(__xludf.DUMMYFUNCTION("""COMPUTED_VALUE"""),85.0)</f>
        <v>85</v>
      </c>
      <c r="AE97" s="481">
        <f>IFERROR(__xludf.DUMMYFUNCTION("""COMPUTED_VALUE"""),79.0)</f>
        <v>79</v>
      </c>
      <c r="AF97" s="481"/>
      <c r="AG97" s="481">
        <f>IFERROR(__xludf.DUMMYFUNCTION("""COMPUTED_VALUE"""),83.0)</f>
        <v>83</v>
      </c>
      <c r="AH97" s="481"/>
      <c r="AI97" s="158"/>
      <c r="AJ97" s="158"/>
      <c r="AK97" s="133">
        <f>IFERROR(__xludf.DUMMYFUNCTION("""COMPUTED_VALUE"""),4.0)</f>
        <v>4</v>
      </c>
      <c r="AL97" s="133">
        <f>IFERROR(__xludf.DUMMYFUNCTION("""COMPUTED_VALUE"""),3.0)</f>
        <v>3</v>
      </c>
      <c r="AM97" s="133">
        <f>IFERROR(__xludf.DUMMYFUNCTION("""COMPUTED_VALUE"""),2.0)</f>
        <v>2</v>
      </c>
      <c r="AN97" s="133" t="str">
        <f>IFERROR(__xludf.DUMMYFUNCTION("""COMPUTED_VALUE"""),"3.5")</f>
        <v>3.5</v>
      </c>
      <c r="AO97" s="133">
        <f>IFERROR(__xludf.DUMMYFUNCTION("""COMPUTED_VALUE"""),3.0)</f>
        <v>3</v>
      </c>
      <c r="AP97" s="155" t="s">
        <v>2461</v>
      </c>
    </row>
    <row r="98">
      <c r="A98" s="555">
        <f>IFERROR(__xludf.DUMMYFUNCTION("""COMPUTED_VALUE"""),94.0)</f>
        <v>94</v>
      </c>
      <c r="B98" s="555" t="str">
        <f>IFERROR(__xludf.DUMMYFUNCTION("""COMPUTED_VALUE"""),"mbbi23cs@cmrit.ac.in")</f>
        <v>mbbi23cs@cmrit.ac.in</v>
      </c>
      <c r="C98" s="172" t="str">
        <f>IFERROR(__xludf.DUMMYFUNCTION("""COMPUTED_VALUE"""),"M B BINCY JEEN")</f>
        <v>M B BINCY JEEN</v>
      </c>
      <c r="D98" s="261" t="str">
        <f>IFERROR(__xludf.DUMMYFUNCTION("""COMPUTED_VALUE"""),"1CR23CS099")</f>
        <v>1CR23CS099</v>
      </c>
      <c r="E98" s="563">
        <f>IFERROR(__xludf.DUMMYFUNCTION("""COMPUTED_VALUE"""),8.073589687E9)</f>
        <v>8073589687</v>
      </c>
      <c r="F98" s="155" t="str">
        <f>IFERROR(__xludf.DUMMYFUNCTION("""COMPUTED_VALUE"""),"CSE")</f>
        <v>CSE</v>
      </c>
      <c r="G98" s="158"/>
      <c r="H98" s="559">
        <f>IFERROR(__xludf.DUMMYFUNCTION("""COMPUTED_VALUE"""),85.0)</f>
        <v>85</v>
      </c>
      <c r="I98" s="559">
        <f>IFERROR(__xludf.DUMMYFUNCTION("""COMPUTED_VALUE"""),93.0)</f>
        <v>93</v>
      </c>
      <c r="J98" s="559">
        <f>IFERROR(__xludf.DUMMYFUNCTION("""COMPUTED_VALUE"""),71.0)</f>
        <v>71</v>
      </c>
      <c r="K98" s="559">
        <f>IFERROR(__xludf.DUMMYFUNCTION("""COMPUTED_VALUE"""),79.0)</f>
        <v>79</v>
      </c>
      <c r="L98" s="560">
        <f>IFERROR(__xludf.DUMMYFUNCTION("""COMPUTED_VALUE"""),50.0)</f>
        <v>50</v>
      </c>
      <c r="M98" s="561">
        <f>IFERROR(__xludf.DUMMYFUNCTION("""COMPUTED_VALUE"""),19.0)</f>
        <v>19</v>
      </c>
      <c r="N98" s="561">
        <f>IFERROR(__xludf.DUMMYFUNCTION("""COMPUTED_VALUE"""),50.0)</f>
        <v>50</v>
      </c>
      <c r="O98" s="560"/>
      <c r="P98" s="562">
        <f>IFERROR(__xludf.DUMMYFUNCTION("""COMPUTED_VALUE"""),84.0)</f>
        <v>84</v>
      </c>
      <c r="Q98" s="562">
        <f>IFERROR(__xludf.DUMMYFUNCTION("""COMPUTED_VALUE"""),90.0)</f>
        <v>90</v>
      </c>
      <c r="R98" s="562">
        <f>IFERROR(__xludf.DUMMYFUNCTION("""COMPUTED_VALUE"""),96.0)</f>
        <v>96</v>
      </c>
      <c r="S98" s="562"/>
      <c r="T98" s="217">
        <f>IFERROR(__xludf.DUMMYFUNCTION("""COMPUTED_VALUE"""),22.0)</f>
        <v>22</v>
      </c>
      <c r="U98" s="217">
        <f>IFERROR(__xludf.DUMMYFUNCTION("""COMPUTED_VALUE"""),19.0)</f>
        <v>19</v>
      </c>
      <c r="V98" s="217">
        <f>IFERROR(__xludf.DUMMYFUNCTION("""COMPUTED_VALUE"""),52.0)</f>
        <v>52</v>
      </c>
      <c r="W98" s="217">
        <f>IFERROR(__xludf.DUMMYFUNCTION("""COMPUTED_VALUE"""),48.0)</f>
        <v>48</v>
      </c>
      <c r="X98" s="217">
        <f>IFERROR(__xludf.DUMMYFUNCTION("""COMPUTED_VALUE"""),52.0)</f>
        <v>52</v>
      </c>
      <c r="Y98" s="217"/>
      <c r="Z98" s="217"/>
      <c r="AA98" s="481">
        <f>IFERROR(__xludf.DUMMYFUNCTION("""COMPUTED_VALUE"""),72.0)</f>
        <v>72</v>
      </c>
      <c r="AB98" s="481">
        <f>IFERROR(__xludf.DUMMYFUNCTION("""COMPUTED_VALUE"""),100.0)</f>
        <v>100</v>
      </c>
      <c r="AC98" s="481">
        <f>IFERROR(__xludf.DUMMYFUNCTION("""COMPUTED_VALUE"""),61.0)</f>
        <v>61</v>
      </c>
      <c r="AD98" s="481">
        <f>IFERROR(__xludf.DUMMYFUNCTION("""COMPUTED_VALUE"""),73.0)</f>
        <v>73</v>
      </c>
      <c r="AE98" s="481">
        <f>IFERROR(__xludf.DUMMYFUNCTION("""COMPUTED_VALUE"""),77.0)</f>
        <v>77</v>
      </c>
      <c r="AF98" s="481"/>
      <c r="AG98" s="481">
        <f>IFERROR(__xludf.DUMMYFUNCTION("""COMPUTED_VALUE"""),77.0)</f>
        <v>77</v>
      </c>
      <c r="AH98" s="481"/>
      <c r="AI98" s="158"/>
      <c r="AJ98" s="158"/>
      <c r="AK98" s="133">
        <f>IFERROR(__xludf.DUMMYFUNCTION("""COMPUTED_VALUE"""),4.0)</f>
        <v>4</v>
      </c>
      <c r="AL98" s="133">
        <f>IFERROR(__xludf.DUMMYFUNCTION("""COMPUTED_VALUE"""),1.0)</f>
        <v>1</v>
      </c>
      <c r="AM98" s="133">
        <f>IFERROR(__xludf.DUMMYFUNCTION("""COMPUTED_VALUE"""),2.0)</f>
        <v>2</v>
      </c>
      <c r="AN98" s="133" t="str">
        <f>IFERROR(__xludf.DUMMYFUNCTION("""COMPUTED_VALUE"""),"3.5")</f>
        <v>3.5</v>
      </c>
      <c r="AO98" s="133">
        <f>IFERROR(__xludf.DUMMYFUNCTION("""COMPUTED_VALUE"""),3.0)</f>
        <v>3</v>
      </c>
      <c r="AP98" s="155" t="s">
        <v>2461</v>
      </c>
    </row>
    <row r="99">
      <c r="A99" s="555">
        <f>IFERROR(__xludf.DUMMYFUNCTION("""COMPUTED_VALUE"""),95.0)</f>
        <v>95</v>
      </c>
      <c r="B99" s="555" t="str">
        <f>IFERROR(__xludf.DUMMYFUNCTION("""COMPUTED_VALUE"""),"msh23cs@cmrit.ac.in")</f>
        <v>msh23cs@cmrit.ac.in</v>
      </c>
      <c r="C99" s="174" t="str">
        <f>IFERROR(__xludf.DUMMYFUNCTION("""COMPUTED_VALUE"""),"M SHIVANI RAO")</f>
        <v>M SHIVANI RAO</v>
      </c>
      <c r="D99" s="261" t="str">
        <f>IFERROR(__xludf.DUMMYFUNCTION("""COMPUTED_VALUE"""),"1CR23CS100")</f>
        <v>1CR23CS100</v>
      </c>
      <c r="E99" s="563">
        <f>IFERROR(__xludf.DUMMYFUNCTION("""COMPUTED_VALUE"""),9.632174469E9)</f>
        <v>9632174469</v>
      </c>
      <c r="F99" s="155" t="str">
        <f>IFERROR(__xludf.DUMMYFUNCTION("""COMPUTED_VALUE"""),"CSE")</f>
        <v>CSE</v>
      </c>
      <c r="G99" s="158"/>
      <c r="H99" s="559">
        <f>IFERROR(__xludf.DUMMYFUNCTION("""COMPUTED_VALUE"""),87.0)</f>
        <v>87</v>
      </c>
      <c r="I99" s="559">
        <f>IFERROR(__xludf.DUMMYFUNCTION("""COMPUTED_VALUE"""),84.0)</f>
        <v>84</v>
      </c>
      <c r="J99" s="559">
        <f>IFERROR(__xludf.DUMMYFUNCTION("""COMPUTED_VALUE"""),75.0)</f>
        <v>75</v>
      </c>
      <c r="K99" s="559">
        <f>IFERROR(__xludf.DUMMYFUNCTION("""COMPUTED_VALUE"""),72.0)</f>
        <v>72</v>
      </c>
      <c r="L99" s="560">
        <f>IFERROR(__xludf.DUMMYFUNCTION("""COMPUTED_VALUE"""),53.0)</f>
        <v>53</v>
      </c>
      <c r="M99" s="561">
        <f>IFERROR(__xludf.DUMMYFUNCTION("""COMPUTED_VALUE"""),50.0)</f>
        <v>50</v>
      </c>
      <c r="N99" s="561">
        <f>IFERROR(__xludf.DUMMYFUNCTION("""COMPUTED_VALUE"""),50.0)</f>
        <v>50</v>
      </c>
      <c r="O99" s="560"/>
      <c r="P99" s="562">
        <f>IFERROR(__xludf.DUMMYFUNCTION("""COMPUTED_VALUE"""),73.0)</f>
        <v>73</v>
      </c>
      <c r="Q99" s="562">
        <f>IFERROR(__xludf.DUMMYFUNCTION("""COMPUTED_VALUE"""),66.0)</f>
        <v>66</v>
      </c>
      <c r="R99" s="562">
        <f>IFERROR(__xludf.DUMMYFUNCTION("""COMPUTED_VALUE"""),59.0)</f>
        <v>59</v>
      </c>
      <c r="S99" s="562"/>
      <c r="T99" s="217">
        <f>IFERROR(__xludf.DUMMYFUNCTION("""COMPUTED_VALUE"""),22.0)</f>
        <v>22</v>
      </c>
      <c r="U99" s="217">
        <f>IFERROR(__xludf.DUMMYFUNCTION("""COMPUTED_VALUE"""),17.0)</f>
        <v>17</v>
      </c>
      <c r="V99" s="217">
        <f>IFERROR(__xludf.DUMMYFUNCTION("""COMPUTED_VALUE"""),60.0)</f>
        <v>60</v>
      </c>
      <c r="W99" s="217">
        <f>IFERROR(__xludf.DUMMYFUNCTION("""COMPUTED_VALUE"""),56.0)</f>
        <v>56</v>
      </c>
      <c r="X99" s="217">
        <f>IFERROR(__xludf.DUMMYFUNCTION("""COMPUTED_VALUE"""),60.0)</f>
        <v>60</v>
      </c>
      <c r="Y99" s="217"/>
      <c r="Z99" s="217"/>
      <c r="AA99" s="481">
        <f>IFERROR(__xludf.DUMMYFUNCTION("""COMPUTED_VALUE"""),74.0)</f>
        <v>74</v>
      </c>
      <c r="AB99" s="481">
        <f>IFERROR(__xludf.DUMMYFUNCTION("""COMPUTED_VALUE"""),78.0)</f>
        <v>78</v>
      </c>
      <c r="AC99" s="481">
        <f>IFERROR(__xludf.DUMMYFUNCTION("""COMPUTED_VALUE"""),70.5)</f>
        <v>70.5</v>
      </c>
      <c r="AD99" s="481">
        <f>IFERROR(__xludf.DUMMYFUNCTION("""COMPUTED_VALUE"""),60.0)</f>
        <v>60</v>
      </c>
      <c r="AE99" s="481">
        <f>IFERROR(__xludf.DUMMYFUNCTION("""COMPUTED_VALUE"""),70.0)</f>
        <v>70</v>
      </c>
      <c r="AF99" s="481"/>
      <c r="AG99" s="481">
        <f>IFERROR(__xludf.DUMMYFUNCTION("""COMPUTED_VALUE"""),60.0)</f>
        <v>60</v>
      </c>
      <c r="AH99" s="481"/>
      <c r="AI99" s="158"/>
      <c r="AJ99" s="158"/>
      <c r="AK99" s="133">
        <f>IFERROR(__xludf.DUMMYFUNCTION("""COMPUTED_VALUE"""),4.0)</f>
        <v>4</v>
      </c>
      <c r="AL99" s="133">
        <f>IFERROR(__xludf.DUMMYFUNCTION("""COMPUTED_VALUE"""),3.0)</f>
        <v>3</v>
      </c>
      <c r="AM99" s="133">
        <f>IFERROR(__xludf.DUMMYFUNCTION("""COMPUTED_VALUE"""),3.0)</f>
        <v>3</v>
      </c>
      <c r="AN99" s="133" t="str">
        <f>IFERROR(__xludf.DUMMYFUNCTION("""COMPUTED_VALUE"""),"3.5")</f>
        <v>3.5</v>
      </c>
      <c r="AO99" s="133">
        <f>IFERROR(__xludf.DUMMYFUNCTION("""COMPUTED_VALUE"""),3.0)</f>
        <v>3</v>
      </c>
      <c r="AP99" s="155" t="s">
        <v>2461</v>
      </c>
    </row>
    <row r="100">
      <c r="A100" s="555">
        <f>IFERROR(__xludf.DUMMYFUNCTION("""COMPUTED_VALUE"""),96.0)</f>
        <v>96</v>
      </c>
      <c r="B100" s="555" t="str">
        <f>IFERROR(__xludf.DUMMYFUNCTION("""COMPUTED_VALUE"""),"msr23cs@cmrit.ac.in")</f>
        <v>msr23cs@cmrit.ac.in</v>
      </c>
      <c r="C100" s="172" t="str">
        <f>IFERROR(__xludf.DUMMYFUNCTION("""COMPUTED_VALUE"""),"M SRINIVAS")</f>
        <v>M SRINIVAS</v>
      </c>
      <c r="D100" s="261" t="str">
        <f>IFERROR(__xludf.DUMMYFUNCTION("""COMPUTED_VALUE"""),"1CR23CS101")</f>
        <v>1CR23CS101</v>
      </c>
      <c r="E100" s="563">
        <f>IFERROR(__xludf.DUMMYFUNCTION("""COMPUTED_VALUE"""),7.795334079E9)</f>
        <v>7795334079</v>
      </c>
      <c r="F100" s="155" t="str">
        <f>IFERROR(__xludf.DUMMYFUNCTION("""COMPUTED_VALUE"""),"CSE")</f>
        <v>CSE</v>
      </c>
      <c r="G100" s="158"/>
      <c r="H100" s="559">
        <f>IFERROR(__xludf.DUMMYFUNCTION("""COMPUTED_VALUE"""),79.0)</f>
        <v>79</v>
      </c>
      <c r="I100" s="559">
        <f>IFERROR(__xludf.DUMMYFUNCTION("""COMPUTED_VALUE"""),52.0)</f>
        <v>52</v>
      </c>
      <c r="J100" s="559">
        <f>IFERROR(__xludf.DUMMYFUNCTION("""COMPUTED_VALUE"""),70.0)</f>
        <v>70</v>
      </c>
      <c r="K100" s="559">
        <f>IFERROR(__xludf.DUMMYFUNCTION("""COMPUTED_VALUE"""),70.0)</f>
        <v>70</v>
      </c>
      <c r="L100" s="560">
        <f>IFERROR(__xludf.DUMMYFUNCTION("""COMPUTED_VALUE"""),50.0)</f>
        <v>50</v>
      </c>
      <c r="M100" s="561">
        <f>IFERROR(__xludf.DUMMYFUNCTION("""COMPUTED_VALUE"""),10.0)</f>
        <v>10</v>
      </c>
      <c r="N100" s="561">
        <f>IFERROR(__xludf.DUMMYFUNCTION("""COMPUTED_VALUE"""),9.0)</f>
        <v>9</v>
      </c>
      <c r="O100" s="560"/>
      <c r="P100" s="562">
        <f>IFERROR(__xludf.DUMMYFUNCTION("""COMPUTED_VALUE"""),70.0)</f>
        <v>70</v>
      </c>
      <c r="Q100" s="562">
        <f>IFERROR(__xludf.DUMMYFUNCTION("""COMPUTED_VALUE"""),0.0)</f>
        <v>0</v>
      </c>
      <c r="R100" s="562">
        <f>IFERROR(__xludf.DUMMYFUNCTION("""COMPUTED_VALUE"""),0.0)</f>
        <v>0</v>
      </c>
      <c r="S100" s="562"/>
      <c r="T100" s="217">
        <f>IFERROR(__xludf.DUMMYFUNCTION("""COMPUTED_VALUE"""),11.0)</f>
        <v>11</v>
      </c>
      <c r="U100" s="217">
        <f>IFERROR(__xludf.DUMMYFUNCTION("""COMPUTED_VALUE"""),22.0)</f>
        <v>22</v>
      </c>
      <c r="V100" s="217">
        <f>IFERROR(__xludf.DUMMYFUNCTION("""COMPUTED_VALUE"""),32.0)</f>
        <v>32</v>
      </c>
      <c r="W100" s="217">
        <f>IFERROR(__xludf.DUMMYFUNCTION("""COMPUTED_VALUE"""),32.0)</f>
        <v>32</v>
      </c>
      <c r="X100" s="217">
        <f>IFERROR(__xludf.DUMMYFUNCTION("""COMPUTED_VALUE"""),62.0)</f>
        <v>62</v>
      </c>
      <c r="Y100" s="217"/>
      <c r="Z100" s="217"/>
      <c r="AA100" s="481">
        <f>IFERROR(__xludf.DUMMYFUNCTION("""COMPUTED_VALUE"""),100.0)</f>
        <v>100</v>
      </c>
      <c r="AB100" s="481">
        <f>IFERROR(__xludf.DUMMYFUNCTION("""COMPUTED_VALUE"""),42.5)</f>
        <v>42.5</v>
      </c>
      <c r="AC100" s="481">
        <f>IFERROR(__xludf.DUMMYFUNCTION("""COMPUTED_VALUE"""),75.5)</f>
        <v>75.5</v>
      </c>
      <c r="AD100" s="481">
        <f>IFERROR(__xludf.DUMMYFUNCTION("""COMPUTED_VALUE"""),60.0)</f>
        <v>60</v>
      </c>
      <c r="AE100" s="481">
        <f>IFERROR(__xludf.DUMMYFUNCTION("""COMPUTED_VALUE"""),10.0)</f>
        <v>10</v>
      </c>
      <c r="AF100" s="481"/>
      <c r="AG100" s="481">
        <f>IFERROR(__xludf.DUMMYFUNCTION("""COMPUTED_VALUE"""),24.0)</f>
        <v>24</v>
      </c>
      <c r="AH100" s="481"/>
      <c r="AI100" s="158"/>
      <c r="AJ100" s="158"/>
      <c r="AK100" s="133">
        <f>IFERROR(__xludf.DUMMYFUNCTION("""COMPUTED_VALUE"""),1.0)</f>
        <v>1</v>
      </c>
      <c r="AL100" s="133">
        <f>IFERROR(__xludf.DUMMYFUNCTION("""COMPUTED_VALUE"""),1.0)</f>
        <v>1</v>
      </c>
      <c r="AM100" s="133">
        <f>IFERROR(__xludf.DUMMYFUNCTION("""COMPUTED_VALUE"""),2.0)</f>
        <v>2</v>
      </c>
      <c r="AN100" s="133" t="str">
        <f>IFERROR(__xludf.DUMMYFUNCTION("""COMPUTED_VALUE"""),"0")</f>
        <v>0</v>
      </c>
      <c r="AO100" s="133">
        <f>IFERROR(__xludf.DUMMYFUNCTION("""COMPUTED_VALUE"""),1.0)</f>
        <v>1</v>
      </c>
      <c r="AP100" s="155" t="s">
        <v>2461</v>
      </c>
    </row>
    <row r="101">
      <c r="A101" s="555">
        <f>IFERROR(__xludf.DUMMYFUNCTION("""COMPUTED_VALUE"""),97.0)</f>
        <v>97</v>
      </c>
      <c r="B101" s="555" t="str">
        <f>IFERROR(__xludf.DUMMYFUNCTION("""COMPUTED_VALUE"""),"mach23cs@cmrit.ac.in")</f>
        <v>mach23cs@cmrit.ac.in</v>
      </c>
      <c r="C101" s="172" t="str">
        <f>IFERROR(__xludf.DUMMYFUNCTION("""COMPUTED_VALUE"""),"Manan Chataut")</f>
        <v>Manan Chataut</v>
      </c>
      <c r="D101" s="261" t="str">
        <f>IFERROR(__xludf.DUMMYFUNCTION("""COMPUTED_VALUE"""),"1CR23CS102")</f>
        <v>1CR23CS102</v>
      </c>
      <c r="E101" s="563"/>
      <c r="F101" s="155" t="str">
        <f>IFERROR(__xludf.DUMMYFUNCTION("""COMPUTED_VALUE"""),"CSE")</f>
        <v>CSE</v>
      </c>
      <c r="G101" s="158"/>
      <c r="H101" s="559">
        <f>IFERROR(__xludf.DUMMYFUNCTION("""COMPUTED_VALUE"""),87.0)</f>
        <v>87</v>
      </c>
      <c r="I101" s="559">
        <f>IFERROR(__xludf.DUMMYFUNCTION("""COMPUTED_VALUE"""),86.0)</f>
        <v>86</v>
      </c>
      <c r="J101" s="559">
        <f>IFERROR(__xludf.DUMMYFUNCTION("""COMPUTED_VALUE"""),12.0)</f>
        <v>12</v>
      </c>
      <c r="K101" s="559">
        <f>IFERROR(__xludf.DUMMYFUNCTION("""COMPUTED_VALUE"""),4.0)</f>
        <v>4</v>
      </c>
      <c r="L101" s="560">
        <f>IFERROR(__xludf.DUMMYFUNCTION("""COMPUTED_VALUE"""),19.0)</f>
        <v>19</v>
      </c>
      <c r="M101" s="561">
        <f>IFERROR(__xludf.DUMMYFUNCTION("""COMPUTED_VALUE"""),0.0)</f>
        <v>0</v>
      </c>
      <c r="N101" s="561">
        <f>IFERROR(__xludf.DUMMYFUNCTION("""COMPUTED_VALUE"""),0.0)</f>
        <v>0</v>
      </c>
      <c r="O101" s="560"/>
      <c r="P101" s="562">
        <f>IFERROR(__xludf.DUMMYFUNCTION("""COMPUTED_VALUE"""),0.0)</f>
        <v>0</v>
      </c>
      <c r="Q101" s="562">
        <f>IFERROR(__xludf.DUMMYFUNCTION("""COMPUTED_VALUE"""),0.0)</f>
        <v>0</v>
      </c>
      <c r="R101" s="562">
        <f>IFERROR(__xludf.DUMMYFUNCTION("""COMPUTED_VALUE"""),0.0)</f>
        <v>0</v>
      </c>
      <c r="S101" s="562"/>
      <c r="T101" s="217">
        <f>IFERROR(__xludf.DUMMYFUNCTION("""COMPUTED_VALUE"""),11.0)</f>
        <v>11</v>
      </c>
      <c r="U101" s="217"/>
      <c r="V101" s="217"/>
      <c r="W101" s="217"/>
      <c r="X101" s="217"/>
      <c r="Y101" s="217"/>
      <c r="Z101" s="217"/>
      <c r="AA101" s="481">
        <f>IFERROR(__xludf.DUMMYFUNCTION("""COMPUTED_VALUE"""),62.0)</f>
        <v>62</v>
      </c>
      <c r="AB101" s="481">
        <f>IFERROR(__xludf.DUMMYFUNCTION("""COMPUTED_VALUE"""),100.0)</f>
        <v>100</v>
      </c>
      <c r="AC101" s="481">
        <f>IFERROR(__xludf.DUMMYFUNCTION("""COMPUTED_VALUE"""),0.0)</f>
        <v>0</v>
      </c>
      <c r="AD101" s="481">
        <f>IFERROR(__xludf.DUMMYFUNCTION("""COMPUTED_VALUE"""),0.0)</f>
        <v>0</v>
      </c>
      <c r="AE101" s="481">
        <f>IFERROR(__xludf.DUMMYFUNCTION("""COMPUTED_VALUE"""),10.0)</f>
        <v>10</v>
      </c>
      <c r="AF101" s="481"/>
      <c r="AG101" s="481">
        <f>IFERROR(__xludf.DUMMYFUNCTION("""COMPUTED_VALUE"""),0.0)</f>
        <v>0</v>
      </c>
      <c r="AH101" s="481"/>
      <c r="AI101" s="158"/>
      <c r="AJ101" s="158"/>
      <c r="AK101" s="133">
        <f>IFERROR(__xludf.DUMMYFUNCTION("""COMPUTED_VALUE"""),2.0)</f>
        <v>2</v>
      </c>
      <c r="AL101" s="133">
        <f>IFERROR(__xludf.DUMMYFUNCTION("""COMPUTED_VALUE"""),0.0)</f>
        <v>0</v>
      </c>
      <c r="AM101" s="133">
        <f>IFERROR(__xludf.DUMMYFUNCTION("""COMPUTED_VALUE"""),2.0)</f>
        <v>2</v>
      </c>
      <c r="AN101" s="133" t="str">
        <f>IFERROR(__xludf.DUMMYFUNCTION("""COMPUTED_VALUE"""),"2")</f>
        <v>2</v>
      </c>
      <c r="AO101" s="133">
        <f>IFERROR(__xludf.DUMMYFUNCTION("""COMPUTED_VALUE"""),0.0)</f>
        <v>0</v>
      </c>
      <c r="AP101" s="155" t="s">
        <v>2461</v>
      </c>
    </row>
    <row r="102">
      <c r="A102" s="555">
        <f>IFERROR(__xludf.DUMMYFUNCTION("""COMPUTED_VALUE"""),98.0)</f>
        <v>98</v>
      </c>
      <c r="B102" s="555" t="str">
        <f>IFERROR(__xludf.DUMMYFUNCTION("""COMPUTED_VALUE"""),"manm23cs@cmrit.ac.in")</f>
        <v>manm23cs@cmrit.ac.in</v>
      </c>
      <c r="C102" s="172" t="str">
        <f>IFERROR(__xludf.DUMMYFUNCTION("""COMPUTED_VALUE"""),"MANASA M")</f>
        <v>MANASA M</v>
      </c>
      <c r="D102" s="261" t="str">
        <f>IFERROR(__xludf.DUMMYFUNCTION("""COMPUTED_VALUE"""),"1CR23CS103")</f>
        <v>1CR23CS103</v>
      </c>
      <c r="E102" s="563">
        <f>IFERROR(__xludf.DUMMYFUNCTION("""COMPUTED_VALUE"""),9.980907545E9)</f>
        <v>9980907545</v>
      </c>
      <c r="F102" s="155" t="str">
        <f>IFERROR(__xludf.DUMMYFUNCTION("""COMPUTED_VALUE"""),"CSE")</f>
        <v>CSE</v>
      </c>
      <c r="G102" s="158"/>
      <c r="H102" s="559">
        <f>IFERROR(__xludf.DUMMYFUNCTION("""COMPUTED_VALUE"""),70.0)</f>
        <v>70</v>
      </c>
      <c r="I102" s="559">
        <f>IFERROR(__xludf.DUMMYFUNCTION("""COMPUTED_VALUE"""),80.0)</f>
        <v>80</v>
      </c>
      <c r="J102" s="559">
        <f>IFERROR(__xludf.DUMMYFUNCTION("""COMPUTED_VALUE"""),70.0)</f>
        <v>70</v>
      </c>
      <c r="K102" s="559">
        <f>IFERROR(__xludf.DUMMYFUNCTION("""COMPUTED_VALUE"""),74.0)</f>
        <v>74</v>
      </c>
      <c r="L102" s="560">
        <f>IFERROR(__xludf.DUMMYFUNCTION("""COMPUTED_VALUE"""),50.0)</f>
        <v>50</v>
      </c>
      <c r="M102" s="561">
        <f>IFERROR(__xludf.DUMMYFUNCTION("""COMPUTED_VALUE"""),50.0)</f>
        <v>50</v>
      </c>
      <c r="N102" s="561">
        <f>IFERROR(__xludf.DUMMYFUNCTION("""COMPUTED_VALUE"""),50.0)</f>
        <v>50</v>
      </c>
      <c r="O102" s="560"/>
      <c r="P102" s="562">
        <f>IFERROR(__xludf.DUMMYFUNCTION("""COMPUTED_VALUE"""),84.0)</f>
        <v>84</v>
      </c>
      <c r="Q102" s="562">
        <f>IFERROR(__xludf.DUMMYFUNCTION("""COMPUTED_VALUE"""),90.0)</f>
        <v>90</v>
      </c>
      <c r="R102" s="562">
        <f>IFERROR(__xludf.DUMMYFUNCTION("""COMPUTED_VALUE"""),79.0)</f>
        <v>79</v>
      </c>
      <c r="S102" s="562"/>
      <c r="T102" s="217">
        <f>IFERROR(__xludf.DUMMYFUNCTION("""COMPUTED_VALUE"""),11.0)</f>
        <v>11</v>
      </c>
      <c r="U102" s="217">
        <f>IFERROR(__xludf.DUMMYFUNCTION("""COMPUTED_VALUE"""),16.0)</f>
        <v>16</v>
      </c>
      <c r="V102" s="217">
        <f>IFERROR(__xludf.DUMMYFUNCTION("""COMPUTED_VALUE"""),72.0)</f>
        <v>72</v>
      </c>
      <c r="W102" s="217">
        <f>IFERROR(__xludf.DUMMYFUNCTION("""COMPUTED_VALUE"""),36.0)</f>
        <v>36</v>
      </c>
      <c r="X102" s="217"/>
      <c r="Y102" s="217"/>
      <c r="Z102" s="217"/>
      <c r="AA102" s="481">
        <f>IFERROR(__xludf.DUMMYFUNCTION("""COMPUTED_VALUE"""),50.0)</f>
        <v>50</v>
      </c>
      <c r="AB102" s="481">
        <f>IFERROR(__xludf.DUMMYFUNCTION("""COMPUTED_VALUE"""),68.0)</f>
        <v>68</v>
      </c>
      <c r="AC102" s="481">
        <f>IFERROR(__xludf.DUMMYFUNCTION("""COMPUTED_VALUE"""),82.0)</f>
        <v>82</v>
      </c>
      <c r="AD102" s="481">
        <f>IFERROR(__xludf.DUMMYFUNCTION("""COMPUTED_VALUE"""),100.0)</f>
        <v>100</v>
      </c>
      <c r="AE102" s="481">
        <f>IFERROR(__xludf.DUMMYFUNCTION("""COMPUTED_VALUE"""),70.0)</f>
        <v>70</v>
      </c>
      <c r="AF102" s="481"/>
      <c r="AG102" s="481">
        <f>IFERROR(__xludf.DUMMYFUNCTION("""COMPUTED_VALUE"""),10.0)</f>
        <v>10</v>
      </c>
      <c r="AH102" s="481"/>
      <c r="AI102" s="158"/>
      <c r="AJ102" s="158"/>
      <c r="AK102" s="133">
        <f>IFERROR(__xludf.DUMMYFUNCTION("""COMPUTED_VALUE"""),4.0)</f>
        <v>4</v>
      </c>
      <c r="AL102" s="133">
        <f>IFERROR(__xludf.DUMMYFUNCTION("""COMPUTED_VALUE"""),3.0)</f>
        <v>3</v>
      </c>
      <c r="AM102" s="133">
        <f>IFERROR(__xludf.DUMMYFUNCTION("""COMPUTED_VALUE"""),2.0)</f>
        <v>2</v>
      </c>
      <c r="AN102" s="133" t="str">
        <f>IFERROR(__xludf.DUMMYFUNCTION("""COMPUTED_VALUE"""),"3.5")</f>
        <v>3.5</v>
      </c>
      <c r="AO102" s="133">
        <f>IFERROR(__xludf.DUMMYFUNCTION("""COMPUTED_VALUE"""),3.0)</f>
        <v>3</v>
      </c>
      <c r="AP102" s="155" t="s">
        <v>2461</v>
      </c>
    </row>
    <row r="103">
      <c r="A103" s="555">
        <f>IFERROR(__xludf.DUMMYFUNCTION("""COMPUTED_VALUE"""),99.0)</f>
        <v>99</v>
      </c>
      <c r="B103" s="555" t="str">
        <f>IFERROR(__xludf.DUMMYFUNCTION("""COMPUTED_VALUE"""),"mark23cs@cmrit.ac.in")</f>
        <v>mark23cs@cmrit.ac.in</v>
      </c>
      <c r="C103" s="172" t="str">
        <f>IFERROR(__xludf.DUMMYFUNCTION("""COMPUTED_VALUE"""),"MANOJ R K")</f>
        <v>MANOJ R K</v>
      </c>
      <c r="D103" s="261" t="str">
        <f>IFERROR(__xludf.DUMMYFUNCTION("""COMPUTED_VALUE"""),"1CR23CS104")</f>
        <v>1CR23CS104</v>
      </c>
      <c r="E103" s="563">
        <f>IFERROR(__xludf.DUMMYFUNCTION("""COMPUTED_VALUE"""),9.741611328E9)</f>
        <v>9741611328</v>
      </c>
      <c r="F103" s="155" t="str">
        <f>IFERROR(__xludf.DUMMYFUNCTION("""COMPUTED_VALUE"""),"CSE")</f>
        <v>CSE</v>
      </c>
      <c r="G103" s="158"/>
      <c r="H103" s="559">
        <f>IFERROR(__xludf.DUMMYFUNCTION("""COMPUTED_VALUE"""),75.0)</f>
        <v>75</v>
      </c>
      <c r="I103" s="559">
        <f>IFERROR(__xludf.DUMMYFUNCTION("""COMPUTED_VALUE"""),80.0)</f>
        <v>80</v>
      </c>
      <c r="J103" s="559">
        <f>IFERROR(__xludf.DUMMYFUNCTION("""COMPUTED_VALUE"""),70.0)</f>
        <v>70</v>
      </c>
      <c r="K103" s="559">
        <f>IFERROR(__xludf.DUMMYFUNCTION("""COMPUTED_VALUE"""),70.0)</f>
        <v>70</v>
      </c>
      <c r="L103" s="560">
        <f>IFERROR(__xludf.DUMMYFUNCTION("""COMPUTED_VALUE"""),50.0)</f>
        <v>50</v>
      </c>
      <c r="M103" s="561">
        <f>IFERROR(__xludf.DUMMYFUNCTION("""COMPUTED_VALUE"""),9.0)</f>
        <v>9</v>
      </c>
      <c r="N103" s="561">
        <f>IFERROR(__xludf.DUMMYFUNCTION("""COMPUTED_VALUE"""),13.0)</f>
        <v>13</v>
      </c>
      <c r="O103" s="560"/>
      <c r="P103" s="562">
        <f>IFERROR(__xludf.DUMMYFUNCTION("""COMPUTED_VALUE"""),0.0)</f>
        <v>0</v>
      </c>
      <c r="Q103" s="562">
        <f>IFERROR(__xludf.DUMMYFUNCTION("""COMPUTED_VALUE"""),0.0)</f>
        <v>0</v>
      </c>
      <c r="R103" s="562">
        <f>IFERROR(__xludf.DUMMYFUNCTION("""COMPUTED_VALUE"""),62.0)</f>
        <v>62</v>
      </c>
      <c r="S103" s="562"/>
      <c r="T103" s="217">
        <f>IFERROR(__xludf.DUMMYFUNCTION("""COMPUTED_VALUE"""),19.0)</f>
        <v>19</v>
      </c>
      <c r="U103" s="217">
        <f>IFERROR(__xludf.DUMMYFUNCTION("""COMPUTED_VALUE"""),19.0)</f>
        <v>19</v>
      </c>
      <c r="V103" s="217">
        <f>IFERROR(__xludf.DUMMYFUNCTION("""COMPUTED_VALUE"""),76.0)</f>
        <v>76</v>
      </c>
      <c r="W103" s="217">
        <f>IFERROR(__xludf.DUMMYFUNCTION("""COMPUTED_VALUE"""),68.0)</f>
        <v>68</v>
      </c>
      <c r="X103" s="217"/>
      <c r="Y103" s="217"/>
      <c r="Z103" s="217"/>
      <c r="AA103" s="481">
        <f>IFERROR(__xludf.DUMMYFUNCTION("""COMPUTED_VALUE"""),74.0)</f>
        <v>74</v>
      </c>
      <c r="AB103" s="481">
        <f>IFERROR(__xludf.DUMMYFUNCTION("""COMPUTED_VALUE"""),59.0)</f>
        <v>59</v>
      </c>
      <c r="AC103" s="481">
        <f>IFERROR(__xludf.DUMMYFUNCTION("""COMPUTED_VALUE"""),48.0)</f>
        <v>48</v>
      </c>
      <c r="AD103" s="481">
        <f>IFERROR(__xludf.DUMMYFUNCTION("""COMPUTED_VALUE"""),100.0)</f>
        <v>100</v>
      </c>
      <c r="AE103" s="481">
        <f>IFERROR(__xludf.DUMMYFUNCTION("""COMPUTED_VALUE"""),10.0)</f>
        <v>10</v>
      </c>
      <c r="AF103" s="481"/>
      <c r="AG103" s="481">
        <f>IFERROR(__xludf.DUMMYFUNCTION("""COMPUTED_VALUE"""),0.0)</f>
        <v>0</v>
      </c>
      <c r="AH103" s="481"/>
      <c r="AI103" s="158"/>
      <c r="AJ103" s="158"/>
      <c r="AK103" s="133">
        <f>IFERROR(__xludf.DUMMYFUNCTION("""COMPUTED_VALUE"""),4.0)</f>
        <v>4</v>
      </c>
      <c r="AL103" s="133">
        <f>IFERROR(__xludf.DUMMYFUNCTION("""COMPUTED_VALUE"""),1.0)</f>
        <v>1</v>
      </c>
      <c r="AM103" s="133">
        <f>IFERROR(__xludf.DUMMYFUNCTION("""COMPUTED_VALUE"""),3.0)</f>
        <v>3</v>
      </c>
      <c r="AN103" s="133" t="str">
        <f>IFERROR(__xludf.DUMMYFUNCTION("""COMPUTED_VALUE"""),"3")</f>
        <v>3</v>
      </c>
      <c r="AO103" s="133">
        <f>IFERROR(__xludf.DUMMYFUNCTION("""COMPUTED_VALUE"""),0.0)</f>
        <v>0</v>
      </c>
      <c r="AP103" s="155" t="s">
        <v>2461</v>
      </c>
    </row>
    <row r="104">
      <c r="A104" s="555">
        <f>IFERROR(__xludf.DUMMYFUNCTION("""COMPUTED_VALUE"""),100.0)</f>
        <v>100</v>
      </c>
      <c r="B104" s="555" t="str">
        <f>IFERROR(__xludf.DUMMYFUNCTION("""COMPUTED_VALUE"""),"magn23cs@cmrit.ac.in")</f>
        <v>magn23cs@cmrit.ac.in</v>
      </c>
      <c r="C104" s="172" t="str">
        <f>IFERROR(__xludf.DUMMYFUNCTION("""COMPUTED_VALUE"""),"Marulasiddesh patel GN ")</f>
        <v>Marulasiddesh patel GN </v>
      </c>
      <c r="D104" s="261" t="str">
        <f>IFERROR(__xludf.DUMMYFUNCTION("""COMPUTED_VALUE"""),"1CR23CS105")</f>
        <v>1CR23CS105</v>
      </c>
      <c r="E104" s="563">
        <f>IFERROR(__xludf.DUMMYFUNCTION("""COMPUTED_VALUE"""),8.073331245E9)</f>
        <v>8073331245</v>
      </c>
      <c r="F104" s="155" t="str">
        <f>IFERROR(__xludf.DUMMYFUNCTION("""COMPUTED_VALUE"""),"CSE")</f>
        <v>CSE</v>
      </c>
      <c r="G104" s="158"/>
      <c r="H104" s="559">
        <f>IFERROR(__xludf.DUMMYFUNCTION("""COMPUTED_VALUE"""),71.0)</f>
        <v>71</v>
      </c>
      <c r="I104" s="559">
        <f>IFERROR(__xludf.DUMMYFUNCTION("""COMPUTED_VALUE"""),78.0)</f>
        <v>78</v>
      </c>
      <c r="J104" s="559">
        <f>IFERROR(__xludf.DUMMYFUNCTION("""COMPUTED_VALUE"""),70.0)</f>
        <v>70</v>
      </c>
      <c r="K104" s="559">
        <f>IFERROR(__xludf.DUMMYFUNCTION("""COMPUTED_VALUE"""),73.0)</f>
        <v>73</v>
      </c>
      <c r="L104" s="560">
        <f>IFERROR(__xludf.DUMMYFUNCTION("""COMPUTED_VALUE"""),50.0)</f>
        <v>50</v>
      </c>
      <c r="M104" s="561">
        <f>IFERROR(__xludf.DUMMYFUNCTION("""COMPUTED_VALUE"""),18.0)</f>
        <v>18</v>
      </c>
      <c r="N104" s="561">
        <f>IFERROR(__xludf.DUMMYFUNCTION("""COMPUTED_VALUE"""),10.0)</f>
        <v>10</v>
      </c>
      <c r="O104" s="560"/>
      <c r="P104" s="562">
        <f>IFERROR(__xludf.DUMMYFUNCTION("""COMPUTED_VALUE"""),78.0)</f>
        <v>78</v>
      </c>
      <c r="Q104" s="562">
        <f>IFERROR(__xludf.DUMMYFUNCTION("""COMPUTED_VALUE"""),72.0)</f>
        <v>72</v>
      </c>
      <c r="R104" s="562">
        <f>IFERROR(__xludf.DUMMYFUNCTION("""COMPUTED_VALUE"""),66.0)</f>
        <v>66</v>
      </c>
      <c r="S104" s="562"/>
      <c r="T104" s="217">
        <f>IFERROR(__xludf.DUMMYFUNCTION("""COMPUTED_VALUE"""),13.0)</f>
        <v>13</v>
      </c>
      <c r="U104" s="217">
        <f>IFERROR(__xludf.DUMMYFUNCTION("""COMPUTED_VALUE"""),15.0)</f>
        <v>15</v>
      </c>
      <c r="V104" s="217">
        <f>IFERROR(__xludf.DUMMYFUNCTION("""COMPUTED_VALUE"""),60.0)</f>
        <v>60</v>
      </c>
      <c r="W104" s="217">
        <f>IFERROR(__xludf.DUMMYFUNCTION("""COMPUTED_VALUE"""),32.0)</f>
        <v>32</v>
      </c>
      <c r="X104" s="217"/>
      <c r="Y104" s="217"/>
      <c r="Z104" s="217"/>
      <c r="AA104" s="481">
        <f>IFERROR(__xludf.DUMMYFUNCTION("""COMPUTED_VALUE"""),70.0)</f>
        <v>70</v>
      </c>
      <c r="AB104" s="481">
        <f>IFERROR(__xludf.DUMMYFUNCTION("""COMPUTED_VALUE"""),85.0)</f>
        <v>85</v>
      </c>
      <c r="AC104" s="481">
        <f>IFERROR(__xludf.DUMMYFUNCTION("""COMPUTED_VALUE"""),77.5)</f>
        <v>77.5</v>
      </c>
      <c r="AD104" s="481">
        <f>IFERROR(__xludf.DUMMYFUNCTION("""COMPUTED_VALUE"""),100.0)</f>
        <v>100</v>
      </c>
      <c r="AE104" s="481">
        <f>IFERROR(__xludf.DUMMYFUNCTION("""COMPUTED_VALUE"""),37.0)</f>
        <v>37</v>
      </c>
      <c r="AF104" s="481"/>
      <c r="AG104" s="481">
        <f>IFERROR(__xludf.DUMMYFUNCTION("""COMPUTED_VALUE"""),0.0)</f>
        <v>0</v>
      </c>
      <c r="AH104" s="481"/>
      <c r="AI104" s="158"/>
      <c r="AJ104" s="158"/>
      <c r="AK104" s="133">
        <f>IFERROR(__xludf.DUMMYFUNCTION("""COMPUTED_VALUE"""),4.0)</f>
        <v>4</v>
      </c>
      <c r="AL104" s="133">
        <f>IFERROR(__xludf.DUMMYFUNCTION("""COMPUTED_VALUE"""),1.0)</f>
        <v>1</v>
      </c>
      <c r="AM104" s="133">
        <f>IFERROR(__xludf.DUMMYFUNCTION("""COMPUTED_VALUE"""),2.0)</f>
        <v>2</v>
      </c>
      <c r="AN104" s="133" t="str">
        <f>IFERROR(__xludf.DUMMYFUNCTION("""COMPUTED_VALUE"""),"3")</f>
        <v>3</v>
      </c>
      <c r="AO104" s="133">
        <f>IFERROR(__xludf.DUMMYFUNCTION("""COMPUTED_VALUE"""),3.0)</f>
        <v>3</v>
      </c>
      <c r="AP104" s="155" t="s">
        <v>2461</v>
      </c>
    </row>
    <row r="105">
      <c r="A105" s="555">
        <f>IFERROR(__xludf.DUMMYFUNCTION("""COMPUTED_VALUE"""),101.0)</f>
        <v>101</v>
      </c>
      <c r="B105" s="555" t="str">
        <f>IFERROR(__xludf.DUMMYFUNCTION("""COMPUTED_VALUE"""),"mam23cs@cmrit.ac.in")</f>
        <v>mam23cs@cmrit.ac.in</v>
      </c>
      <c r="C105" s="172" t="str">
        <f>IFERROR(__xludf.DUMMYFUNCTION("""COMPUTED_VALUE"""),"MAYUR.M")</f>
        <v>MAYUR.M</v>
      </c>
      <c r="D105" s="261" t="str">
        <f>IFERROR(__xludf.DUMMYFUNCTION("""COMPUTED_VALUE"""),"1CR23CS106")</f>
        <v>1CR23CS106</v>
      </c>
      <c r="E105" s="563">
        <f>IFERROR(__xludf.DUMMYFUNCTION("""COMPUTED_VALUE"""),8.884722535E9)</f>
        <v>8884722535</v>
      </c>
      <c r="F105" s="155" t="str">
        <f>IFERROR(__xludf.DUMMYFUNCTION("""COMPUTED_VALUE"""),"CSE")</f>
        <v>CSE</v>
      </c>
      <c r="G105" s="158"/>
      <c r="H105" s="559">
        <f>IFERROR(__xludf.DUMMYFUNCTION("""COMPUTED_VALUE"""),80.0)</f>
        <v>80</v>
      </c>
      <c r="I105" s="559">
        <f>IFERROR(__xludf.DUMMYFUNCTION("""COMPUTED_VALUE"""),77.0)</f>
        <v>77</v>
      </c>
      <c r="J105" s="559">
        <f>IFERROR(__xludf.DUMMYFUNCTION("""COMPUTED_VALUE"""),70.0)</f>
        <v>70</v>
      </c>
      <c r="K105" s="559">
        <f>IFERROR(__xludf.DUMMYFUNCTION("""COMPUTED_VALUE"""),70.0)</f>
        <v>70</v>
      </c>
      <c r="L105" s="560">
        <f>IFERROR(__xludf.DUMMYFUNCTION("""COMPUTED_VALUE"""),50.0)</f>
        <v>50</v>
      </c>
      <c r="M105" s="561">
        <f>IFERROR(__xludf.DUMMYFUNCTION("""COMPUTED_VALUE"""),50.0)</f>
        <v>50</v>
      </c>
      <c r="N105" s="561">
        <f>IFERROR(__xludf.DUMMYFUNCTION("""COMPUTED_VALUE"""),5.0)</f>
        <v>5</v>
      </c>
      <c r="O105" s="560"/>
      <c r="P105" s="562">
        <f>IFERROR(__xludf.DUMMYFUNCTION("""COMPUTED_VALUE"""),80.0)</f>
        <v>80</v>
      </c>
      <c r="Q105" s="562">
        <f>IFERROR(__xludf.DUMMYFUNCTION("""COMPUTED_VALUE"""),65.0)</f>
        <v>65</v>
      </c>
      <c r="R105" s="562">
        <f>IFERROR(__xludf.DUMMYFUNCTION("""COMPUTED_VALUE"""),82.0)</f>
        <v>82</v>
      </c>
      <c r="S105" s="562"/>
      <c r="T105" s="217">
        <f>IFERROR(__xludf.DUMMYFUNCTION("""COMPUTED_VALUE"""),20.0)</f>
        <v>20</v>
      </c>
      <c r="U105" s="217">
        <f>IFERROR(__xludf.DUMMYFUNCTION("""COMPUTED_VALUE"""),15.0)</f>
        <v>15</v>
      </c>
      <c r="V105" s="217">
        <f>IFERROR(__xludf.DUMMYFUNCTION("""COMPUTED_VALUE"""),60.0)</f>
        <v>60</v>
      </c>
      <c r="W105" s="217">
        <f>IFERROR(__xludf.DUMMYFUNCTION("""COMPUTED_VALUE"""),32.0)</f>
        <v>32</v>
      </c>
      <c r="X105" s="217">
        <f>IFERROR(__xludf.DUMMYFUNCTION("""COMPUTED_VALUE"""),82.0)</f>
        <v>82</v>
      </c>
      <c r="Y105" s="217"/>
      <c r="Z105" s="217"/>
      <c r="AA105" s="481">
        <f>IFERROR(__xludf.DUMMYFUNCTION("""COMPUTED_VALUE"""),72.0)</f>
        <v>72</v>
      </c>
      <c r="AB105" s="481">
        <f>IFERROR(__xludf.DUMMYFUNCTION("""COMPUTED_VALUE"""),33.0)</f>
        <v>33</v>
      </c>
      <c r="AC105" s="481">
        <f>IFERROR(__xludf.DUMMYFUNCTION("""COMPUTED_VALUE"""),70.0)</f>
        <v>70</v>
      </c>
      <c r="AD105" s="481">
        <f>IFERROR(__xludf.DUMMYFUNCTION("""COMPUTED_VALUE"""),100.0)</f>
        <v>100</v>
      </c>
      <c r="AE105" s="481">
        <f>IFERROR(__xludf.DUMMYFUNCTION("""COMPUTED_VALUE"""),89.0)</f>
        <v>89</v>
      </c>
      <c r="AF105" s="481"/>
      <c r="AG105" s="481">
        <f>IFERROR(__xludf.DUMMYFUNCTION("""COMPUTED_VALUE"""),4.0)</f>
        <v>4</v>
      </c>
      <c r="AH105" s="481"/>
      <c r="AI105" s="158"/>
      <c r="AJ105" s="158"/>
      <c r="AK105" s="133">
        <f>IFERROR(__xludf.DUMMYFUNCTION("""COMPUTED_VALUE"""),4.0)</f>
        <v>4</v>
      </c>
      <c r="AL105" s="133">
        <f>IFERROR(__xludf.DUMMYFUNCTION("""COMPUTED_VALUE"""),2.0)</f>
        <v>2</v>
      </c>
      <c r="AM105" s="133">
        <f>IFERROR(__xludf.DUMMYFUNCTION("""COMPUTED_VALUE"""),2.0)</f>
        <v>2</v>
      </c>
      <c r="AN105" s="133" t="str">
        <f>IFERROR(__xludf.DUMMYFUNCTION("""COMPUTED_VALUE"""),"0")</f>
        <v>0</v>
      </c>
      <c r="AO105" s="133">
        <f>IFERROR(__xludf.DUMMYFUNCTION("""COMPUTED_VALUE"""),3.0)</f>
        <v>3</v>
      </c>
      <c r="AP105" s="155" t="s">
        <v>2461</v>
      </c>
    </row>
    <row r="106">
      <c r="A106" s="555">
        <f>IFERROR(__xludf.DUMMYFUNCTION("""COMPUTED_VALUE"""),102.0)</f>
        <v>102</v>
      </c>
      <c r="B106" s="555" t="str">
        <f>IFERROR(__xludf.DUMMYFUNCTION("""COMPUTED_VALUE"""),"mdra23cs@cmrit.ac.in")</f>
        <v>mdra23cs@cmrit.ac.in</v>
      </c>
      <c r="C106" s="172" t="str">
        <f>IFERROR(__xludf.DUMMYFUNCTION("""COMPUTED_VALUE"""),"MD NIHAL RAHMAN")</f>
        <v>MD NIHAL RAHMAN</v>
      </c>
      <c r="D106" s="261" t="str">
        <f>IFERROR(__xludf.DUMMYFUNCTION("""COMPUTED_VALUE"""),"1CR23CS107")</f>
        <v>1CR23CS107</v>
      </c>
      <c r="E106" s="563">
        <f>IFERROR(__xludf.DUMMYFUNCTION("""COMPUTED_VALUE"""),7.550883806E9)</f>
        <v>7550883806</v>
      </c>
      <c r="F106" s="155" t="str">
        <f>IFERROR(__xludf.DUMMYFUNCTION("""COMPUTED_VALUE"""),"CSE")</f>
        <v>CSE</v>
      </c>
      <c r="G106" s="158"/>
      <c r="H106" s="559">
        <f>IFERROR(__xludf.DUMMYFUNCTION("""COMPUTED_VALUE"""),89.0)</f>
        <v>89</v>
      </c>
      <c r="I106" s="559">
        <f>IFERROR(__xludf.DUMMYFUNCTION("""COMPUTED_VALUE"""),86.0)</f>
        <v>86</v>
      </c>
      <c r="J106" s="559">
        <f>IFERROR(__xludf.DUMMYFUNCTION("""COMPUTED_VALUE"""),67.0)</f>
        <v>67</v>
      </c>
      <c r="K106" s="559">
        <f>IFERROR(__xludf.DUMMYFUNCTION("""COMPUTED_VALUE"""),70.0)</f>
        <v>70</v>
      </c>
      <c r="L106" s="560">
        <f>IFERROR(__xludf.DUMMYFUNCTION("""COMPUTED_VALUE"""),63.0)</f>
        <v>63</v>
      </c>
      <c r="M106" s="561">
        <f>IFERROR(__xludf.DUMMYFUNCTION("""COMPUTED_VALUE"""),50.0)</f>
        <v>50</v>
      </c>
      <c r="N106" s="561">
        <f>IFERROR(__xludf.DUMMYFUNCTION("""COMPUTED_VALUE"""),19.0)</f>
        <v>19</v>
      </c>
      <c r="O106" s="560"/>
      <c r="P106" s="562">
        <f>IFERROR(__xludf.DUMMYFUNCTION("""COMPUTED_VALUE"""),50.0)</f>
        <v>50</v>
      </c>
      <c r="Q106" s="562">
        <f>IFERROR(__xludf.DUMMYFUNCTION("""COMPUTED_VALUE"""),0.0)</f>
        <v>0</v>
      </c>
      <c r="R106" s="562">
        <f>IFERROR(__xludf.DUMMYFUNCTION("""COMPUTED_VALUE"""),0.0)</f>
        <v>0</v>
      </c>
      <c r="S106" s="562"/>
      <c r="T106" s="217">
        <f>IFERROR(__xludf.DUMMYFUNCTION("""COMPUTED_VALUE"""),10.0)</f>
        <v>10</v>
      </c>
      <c r="U106" s="217">
        <f>IFERROR(__xludf.DUMMYFUNCTION("""COMPUTED_VALUE"""),19.0)</f>
        <v>19</v>
      </c>
      <c r="V106" s="217">
        <f>IFERROR(__xludf.DUMMYFUNCTION("""COMPUTED_VALUE"""),76.0)</f>
        <v>76</v>
      </c>
      <c r="W106" s="217">
        <f>IFERROR(__xludf.DUMMYFUNCTION("""COMPUTED_VALUE"""),36.0)</f>
        <v>36</v>
      </c>
      <c r="X106" s="217">
        <f>IFERROR(__xludf.DUMMYFUNCTION("""COMPUTED_VALUE"""),88.0)</f>
        <v>88</v>
      </c>
      <c r="Y106" s="217"/>
      <c r="Z106" s="217"/>
      <c r="AA106" s="481">
        <f>IFERROR(__xludf.DUMMYFUNCTION("""COMPUTED_VALUE"""),100.0)</f>
        <v>100</v>
      </c>
      <c r="AB106" s="481">
        <f>IFERROR(__xludf.DUMMYFUNCTION("""COMPUTED_VALUE"""),100.0)</f>
        <v>100</v>
      </c>
      <c r="AC106" s="481">
        <f>IFERROR(__xludf.DUMMYFUNCTION("""COMPUTED_VALUE"""),83.5)</f>
        <v>83.5</v>
      </c>
      <c r="AD106" s="481">
        <f>IFERROR(__xludf.DUMMYFUNCTION("""COMPUTED_VALUE"""),73.0)</f>
        <v>73</v>
      </c>
      <c r="AE106" s="481">
        <f>IFERROR(__xludf.DUMMYFUNCTION("""COMPUTED_VALUE"""),10.0)</f>
        <v>10</v>
      </c>
      <c r="AF106" s="481"/>
      <c r="AG106" s="481">
        <f>IFERROR(__xludf.DUMMYFUNCTION("""COMPUTED_VALUE"""),10.0)</f>
        <v>10</v>
      </c>
      <c r="AH106" s="481"/>
      <c r="AI106" s="158"/>
      <c r="AJ106" s="158"/>
      <c r="AK106" s="133">
        <f>IFERROR(__xludf.DUMMYFUNCTION("""COMPUTED_VALUE"""),2.0)</f>
        <v>2</v>
      </c>
      <c r="AL106" s="133">
        <f>IFERROR(__xludf.DUMMYFUNCTION("""COMPUTED_VALUE"""),2.0)</f>
        <v>2</v>
      </c>
      <c r="AM106" s="133">
        <f>IFERROR(__xludf.DUMMYFUNCTION("""COMPUTED_VALUE"""),2.0)</f>
        <v>2</v>
      </c>
      <c r="AN106" s="133" t="str">
        <f>IFERROR(__xludf.DUMMYFUNCTION("""COMPUTED_VALUE"""),"3")</f>
        <v>3</v>
      </c>
      <c r="AO106" s="133">
        <f>IFERROR(__xludf.DUMMYFUNCTION("""COMPUTED_VALUE"""),1.0)</f>
        <v>1</v>
      </c>
      <c r="AP106" s="155" t="s">
        <v>2461</v>
      </c>
    </row>
    <row r="107">
      <c r="A107" s="555">
        <f>IFERROR(__xludf.DUMMYFUNCTION("""COMPUTED_VALUE"""),103.0)</f>
        <v>103</v>
      </c>
      <c r="B107" s="555" t="str">
        <f>IFERROR(__xludf.DUMMYFUNCTION("""COMPUTED_VALUE"""),"men23cs@cmrit.ac.in")</f>
        <v>men23cs@cmrit.ac.in</v>
      </c>
      <c r="C107" s="172" t="str">
        <f>IFERROR(__xludf.DUMMYFUNCTION("""COMPUTED_VALUE"""),"Megha N")</f>
        <v>Megha N</v>
      </c>
      <c r="D107" s="261" t="str">
        <f>IFERROR(__xludf.DUMMYFUNCTION("""COMPUTED_VALUE"""),"1CR23CS108")</f>
        <v>1CR23CS108</v>
      </c>
      <c r="E107" s="563">
        <f>IFERROR(__xludf.DUMMYFUNCTION("""COMPUTED_VALUE"""),9.035991261E9)</f>
        <v>9035991261</v>
      </c>
      <c r="F107" s="155" t="str">
        <f>IFERROR(__xludf.DUMMYFUNCTION("""COMPUTED_VALUE"""),"CSE")</f>
        <v>CSE</v>
      </c>
      <c r="G107" s="158"/>
      <c r="H107" s="559">
        <f>IFERROR(__xludf.DUMMYFUNCTION("""COMPUTED_VALUE"""),79.0)</f>
        <v>79</v>
      </c>
      <c r="I107" s="559">
        <f>IFERROR(__xludf.DUMMYFUNCTION("""COMPUTED_VALUE"""),91.0)</f>
        <v>91</v>
      </c>
      <c r="J107" s="559">
        <f>IFERROR(__xludf.DUMMYFUNCTION("""COMPUTED_VALUE"""),81.0)</f>
        <v>81</v>
      </c>
      <c r="K107" s="559">
        <f>IFERROR(__xludf.DUMMYFUNCTION("""COMPUTED_VALUE"""),80.0)</f>
        <v>80</v>
      </c>
      <c r="L107" s="560">
        <f>IFERROR(__xludf.DUMMYFUNCTION("""COMPUTED_VALUE"""),50.0)</f>
        <v>50</v>
      </c>
      <c r="M107" s="561">
        <f>IFERROR(__xludf.DUMMYFUNCTION("""COMPUTED_VALUE"""),19.0)</f>
        <v>19</v>
      </c>
      <c r="N107" s="561">
        <f>IFERROR(__xludf.DUMMYFUNCTION("""COMPUTED_VALUE"""),50.0)</f>
        <v>50</v>
      </c>
      <c r="O107" s="560"/>
      <c r="P107" s="562">
        <f>IFERROR(__xludf.DUMMYFUNCTION("""COMPUTED_VALUE"""),80.0)</f>
        <v>80</v>
      </c>
      <c r="Q107" s="562">
        <f>IFERROR(__xludf.DUMMYFUNCTION("""COMPUTED_VALUE"""),63.0)</f>
        <v>63</v>
      </c>
      <c r="R107" s="562">
        <f>IFERROR(__xludf.DUMMYFUNCTION("""COMPUTED_VALUE"""),85.0)</f>
        <v>85</v>
      </c>
      <c r="S107" s="562"/>
      <c r="T107" s="217">
        <f>IFERROR(__xludf.DUMMYFUNCTION("""COMPUTED_VALUE"""),21.0)</f>
        <v>21</v>
      </c>
      <c r="U107" s="217">
        <f>IFERROR(__xludf.DUMMYFUNCTION("""COMPUTED_VALUE"""),19.0)</f>
        <v>19</v>
      </c>
      <c r="V107" s="217">
        <f>IFERROR(__xludf.DUMMYFUNCTION("""COMPUTED_VALUE"""),75.0)</f>
        <v>75</v>
      </c>
      <c r="W107" s="217">
        <f>IFERROR(__xludf.DUMMYFUNCTION("""COMPUTED_VALUE"""),40.0)</f>
        <v>40</v>
      </c>
      <c r="X107" s="217">
        <f>IFERROR(__xludf.DUMMYFUNCTION("""COMPUTED_VALUE"""),82.0)</f>
        <v>82</v>
      </c>
      <c r="Y107" s="217"/>
      <c r="Z107" s="217"/>
      <c r="AA107" s="481">
        <f>IFERROR(__xludf.DUMMYFUNCTION("""COMPUTED_VALUE"""),74.0)</f>
        <v>74</v>
      </c>
      <c r="AB107" s="481">
        <f>IFERROR(__xludf.DUMMYFUNCTION("""COMPUTED_VALUE"""),99.0)</f>
        <v>99</v>
      </c>
      <c r="AC107" s="481">
        <f>IFERROR(__xludf.DUMMYFUNCTION("""COMPUTED_VALUE"""),82.0)</f>
        <v>82</v>
      </c>
      <c r="AD107" s="481">
        <f>IFERROR(__xludf.DUMMYFUNCTION("""COMPUTED_VALUE"""),100.0)</f>
        <v>100</v>
      </c>
      <c r="AE107" s="481">
        <f>IFERROR(__xludf.DUMMYFUNCTION("""COMPUTED_VALUE"""),70.0)</f>
        <v>70</v>
      </c>
      <c r="AF107" s="481"/>
      <c r="AG107" s="481">
        <f>IFERROR(__xludf.DUMMYFUNCTION("""COMPUTED_VALUE"""),5.0)</f>
        <v>5</v>
      </c>
      <c r="AH107" s="481"/>
      <c r="AI107" s="158"/>
      <c r="AJ107" s="158"/>
      <c r="AK107" s="133">
        <f>IFERROR(__xludf.DUMMYFUNCTION("""COMPUTED_VALUE"""),4.0)</f>
        <v>4</v>
      </c>
      <c r="AL107" s="133">
        <f>IFERROR(__xludf.DUMMYFUNCTION("""COMPUTED_VALUE"""),1.0)</f>
        <v>1</v>
      </c>
      <c r="AM107" s="133">
        <f>IFERROR(__xludf.DUMMYFUNCTION("""COMPUTED_VALUE"""),2.0)</f>
        <v>2</v>
      </c>
      <c r="AN107" s="133" t="str">
        <f>IFERROR(__xludf.DUMMYFUNCTION("""COMPUTED_VALUE"""),"3.5")</f>
        <v>3.5</v>
      </c>
      <c r="AO107" s="133">
        <f>IFERROR(__xludf.DUMMYFUNCTION("""COMPUTED_VALUE"""),3.0)</f>
        <v>3</v>
      </c>
      <c r="AP107" s="155" t="s">
        <v>2461</v>
      </c>
    </row>
    <row r="108">
      <c r="A108" s="555">
        <f>IFERROR(__xludf.DUMMYFUNCTION("""COMPUTED_VALUE"""),104.0)</f>
        <v>104</v>
      </c>
      <c r="B108" s="555" t="str">
        <f>IFERROR(__xludf.DUMMYFUNCTION("""COMPUTED_VALUE"""),"moas23cs@cmrit.ac.in")</f>
        <v>moas23cs@cmrit.ac.in</v>
      </c>
      <c r="C108" s="172" t="str">
        <f>IFERROR(__xludf.DUMMYFUNCTION("""COMPUTED_VALUE"""),"MOHAMMED ASADULLAH")</f>
        <v>MOHAMMED ASADULLAH</v>
      </c>
      <c r="D108" s="261" t="str">
        <f>IFERROR(__xludf.DUMMYFUNCTION("""COMPUTED_VALUE"""),"1CR23CS109")</f>
        <v>1CR23CS109</v>
      </c>
      <c r="E108" s="563">
        <f>IFERROR(__xludf.DUMMYFUNCTION("""COMPUTED_VALUE"""),9.148969749E9)</f>
        <v>9148969749</v>
      </c>
      <c r="F108" s="155" t="str">
        <f>IFERROR(__xludf.DUMMYFUNCTION("""COMPUTED_VALUE"""),"CSE")</f>
        <v>CSE</v>
      </c>
      <c r="G108" s="158"/>
      <c r="H108" s="559">
        <f>IFERROR(__xludf.DUMMYFUNCTION("""COMPUTED_VALUE"""),92.0)</f>
        <v>92</v>
      </c>
      <c r="I108" s="559">
        <f>IFERROR(__xludf.DUMMYFUNCTION("""COMPUTED_VALUE"""),89.0)</f>
        <v>89</v>
      </c>
      <c r="J108" s="559">
        <f>IFERROR(__xludf.DUMMYFUNCTION("""COMPUTED_VALUE"""),87.0)</f>
        <v>87</v>
      </c>
      <c r="K108" s="559">
        <f>IFERROR(__xludf.DUMMYFUNCTION("""COMPUTED_VALUE"""),86.0)</f>
        <v>86</v>
      </c>
      <c r="L108" s="560">
        <f>IFERROR(__xludf.DUMMYFUNCTION("""COMPUTED_VALUE"""),84.0)</f>
        <v>84</v>
      </c>
      <c r="M108" s="561">
        <f>IFERROR(__xludf.DUMMYFUNCTION("""COMPUTED_VALUE"""),73.0)</f>
        <v>73</v>
      </c>
      <c r="N108" s="561">
        <f>IFERROR(__xludf.DUMMYFUNCTION("""COMPUTED_VALUE"""),79.0)</f>
        <v>79</v>
      </c>
      <c r="O108" s="560"/>
      <c r="P108" s="562">
        <f>IFERROR(__xludf.DUMMYFUNCTION("""COMPUTED_VALUE"""),70.0)</f>
        <v>70</v>
      </c>
      <c r="Q108" s="562">
        <f>IFERROR(__xludf.DUMMYFUNCTION("""COMPUTED_VALUE"""),75.0)</f>
        <v>75</v>
      </c>
      <c r="R108" s="562">
        <f>IFERROR(__xludf.DUMMYFUNCTION("""COMPUTED_VALUE"""),80.0)</f>
        <v>80</v>
      </c>
      <c r="S108" s="562"/>
      <c r="T108" s="217">
        <f>IFERROR(__xludf.DUMMYFUNCTION("""COMPUTED_VALUE"""),18.0)</f>
        <v>18</v>
      </c>
      <c r="U108" s="217">
        <f>IFERROR(__xludf.DUMMYFUNCTION("""COMPUTED_VALUE"""),19.0)</f>
        <v>19</v>
      </c>
      <c r="V108" s="217">
        <f>IFERROR(__xludf.DUMMYFUNCTION("""COMPUTED_VALUE"""),76.0)</f>
        <v>76</v>
      </c>
      <c r="W108" s="217">
        <f>IFERROR(__xludf.DUMMYFUNCTION("""COMPUTED_VALUE"""),40.0)</f>
        <v>40</v>
      </c>
      <c r="X108" s="217">
        <f>IFERROR(__xludf.DUMMYFUNCTION("""COMPUTED_VALUE"""),90.0)</f>
        <v>90</v>
      </c>
      <c r="Y108" s="217"/>
      <c r="Z108" s="217"/>
      <c r="AA108" s="481">
        <f>IFERROR(__xludf.DUMMYFUNCTION("""COMPUTED_VALUE"""),50.0)</f>
        <v>50</v>
      </c>
      <c r="AB108" s="481">
        <f>IFERROR(__xludf.DUMMYFUNCTION("""COMPUTED_VALUE"""),100.0)</f>
        <v>100</v>
      </c>
      <c r="AC108" s="481">
        <f>IFERROR(__xludf.DUMMYFUNCTION("""COMPUTED_VALUE"""),99.0)</f>
        <v>99</v>
      </c>
      <c r="AD108" s="481">
        <f>IFERROR(__xludf.DUMMYFUNCTION("""COMPUTED_VALUE"""),93.0)</f>
        <v>93</v>
      </c>
      <c r="AE108" s="481">
        <f>IFERROR(__xludf.DUMMYFUNCTION("""COMPUTED_VALUE"""),91.0)</f>
        <v>91</v>
      </c>
      <c r="AF108" s="481"/>
      <c r="AG108" s="481">
        <f>IFERROR(__xludf.DUMMYFUNCTION("""COMPUTED_VALUE"""),87.0)</f>
        <v>87</v>
      </c>
      <c r="AH108" s="481"/>
      <c r="AI108" s="158"/>
      <c r="AJ108" s="158"/>
      <c r="AK108" s="133">
        <f>IFERROR(__xludf.DUMMYFUNCTION("""COMPUTED_VALUE"""),4.0)</f>
        <v>4</v>
      </c>
      <c r="AL108" s="133">
        <f>IFERROR(__xludf.DUMMYFUNCTION("""COMPUTED_VALUE"""),3.0)</f>
        <v>3</v>
      </c>
      <c r="AM108" s="133">
        <f>IFERROR(__xludf.DUMMYFUNCTION("""COMPUTED_VALUE"""),2.0)</f>
        <v>2</v>
      </c>
      <c r="AN108" s="133" t="str">
        <f>IFERROR(__xludf.DUMMYFUNCTION("""COMPUTED_VALUE"""),"3.5")</f>
        <v>3.5</v>
      </c>
      <c r="AO108" s="133">
        <f>IFERROR(__xludf.DUMMYFUNCTION("""COMPUTED_VALUE"""),3.0)</f>
        <v>3</v>
      </c>
      <c r="AP108" s="155" t="s">
        <v>2461</v>
      </c>
    </row>
    <row r="109">
      <c r="A109" s="555">
        <f>IFERROR(__xludf.DUMMYFUNCTION("""COMPUTED_VALUE"""),105.0)</f>
        <v>105</v>
      </c>
      <c r="B109" s="555" t="str">
        <f>IFERROR(__xludf.DUMMYFUNCTION("""COMPUTED_VALUE"""),"monu23cs@cmrit.ac.in")</f>
        <v>monu23cs@cmrit.ac.in</v>
      </c>
      <c r="C109" s="172" t="str">
        <f>IFERROR(__xludf.DUMMYFUNCTION("""COMPUTED_VALUE"""),"Mohammed Numaan")</f>
        <v>Mohammed Numaan</v>
      </c>
      <c r="D109" s="261" t="str">
        <f>IFERROR(__xludf.DUMMYFUNCTION("""COMPUTED_VALUE"""),"1CR23CS110")</f>
        <v>1CR23CS110</v>
      </c>
      <c r="E109" s="563">
        <f>IFERROR(__xludf.DUMMYFUNCTION("""COMPUTED_VALUE"""),9.149838881E9)</f>
        <v>9149838881</v>
      </c>
      <c r="F109" s="155" t="str">
        <f>IFERROR(__xludf.DUMMYFUNCTION("""COMPUTED_VALUE"""),"CSE")</f>
        <v>CSE</v>
      </c>
      <c r="G109" s="158"/>
      <c r="H109" s="559">
        <f>IFERROR(__xludf.DUMMYFUNCTION("""COMPUTED_VALUE"""),85.0)</f>
        <v>85</v>
      </c>
      <c r="I109" s="559">
        <f>IFERROR(__xludf.DUMMYFUNCTION("""COMPUTED_VALUE"""),83.0)</f>
        <v>83</v>
      </c>
      <c r="J109" s="559">
        <f>IFERROR(__xludf.DUMMYFUNCTION("""COMPUTED_VALUE"""),70.0)</f>
        <v>70</v>
      </c>
      <c r="K109" s="559">
        <f>IFERROR(__xludf.DUMMYFUNCTION("""COMPUTED_VALUE"""),80.0)</f>
        <v>80</v>
      </c>
      <c r="L109" s="560">
        <f>IFERROR(__xludf.DUMMYFUNCTION("""COMPUTED_VALUE"""),50.0)</f>
        <v>50</v>
      </c>
      <c r="M109" s="561">
        <f>IFERROR(__xludf.DUMMYFUNCTION("""COMPUTED_VALUE"""),50.0)</f>
        <v>50</v>
      </c>
      <c r="N109" s="561">
        <f>IFERROR(__xludf.DUMMYFUNCTION("""COMPUTED_VALUE"""),50.0)</f>
        <v>50</v>
      </c>
      <c r="O109" s="560"/>
      <c r="P109" s="562">
        <f>IFERROR(__xludf.DUMMYFUNCTION("""COMPUTED_VALUE"""),71.0)</f>
        <v>71</v>
      </c>
      <c r="Q109" s="562">
        <f>IFERROR(__xludf.DUMMYFUNCTION("""COMPUTED_VALUE"""),62.0)</f>
        <v>62</v>
      </c>
      <c r="R109" s="562">
        <f>IFERROR(__xludf.DUMMYFUNCTION("""COMPUTED_VALUE"""),79.0)</f>
        <v>79</v>
      </c>
      <c r="S109" s="562"/>
      <c r="T109" s="217">
        <f>IFERROR(__xludf.DUMMYFUNCTION("""COMPUTED_VALUE"""),13.0)</f>
        <v>13</v>
      </c>
      <c r="U109" s="217">
        <f>IFERROR(__xludf.DUMMYFUNCTION("""COMPUTED_VALUE"""),22.0)</f>
        <v>22</v>
      </c>
      <c r="V109" s="217">
        <f>IFERROR(__xludf.DUMMYFUNCTION("""COMPUTED_VALUE"""),80.0)</f>
        <v>80</v>
      </c>
      <c r="W109" s="217">
        <f>IFERROR(__xludf.DUMMYFUNCTION("""COMPUTED_VALUE"""),36.0)</f>
        <v>36</v>
      </c>
      <c r="X109" s="217">
        <f>IFERROR(__xludf.DUMMYFUNCTION("""COMPUTED_VALUE"""),78.0)</f>
        <v>78</v>
      </c>
      <c r="Y109" s="217"/>
      <c r="Z109" s="217"/>
      <c r="AA109" s="481">
        <f>IFERROR(__xludf.DUMMYFUNCTION("""COMPUTED_VALUE"""),100.0)</f>
        <v>100</v>
      </c>
      <c r="AB109" s="481">
        <f>IFERROR(__xludf.DUMMYFUNCTION("""COMPUTED_VALUE"""),86.25)</f>
        <v>86.25</v>
      </c>
      <c r="AC109" s="481">
        <f>IFERROR(__xludf.DUMMYFUNCTION("""COMPUTED_VALUE"""),76.0)</f>
        <v>76</v>
      </c>
      <c r="AD109" s="481">
        <f>IFERROR(__xludf.DUMMYFUNCTION("""COMPUTED_VALUE"""),80.0)</f>
        <v>80</v>
      </c>
      <c r="AE109" s="481">
        <f>IFERROR(__xludf.DUMMYFUNCTION("""COMPUTED_VALUE"""),95.0)</f>
        <v>95</v>
      </c>
      <c r="AF109" s="481"/>
      <c r="AG109" s="481">
        <f>IFERROR(__xludf.DUMMYFUNCTION("""COMPUTED_VALUE"""),31.0)</f>
        <v>31</v>
      </c>
      <c r="AH109" s="481"/>
      <c r="AI109" s="158"/>
      <c r="AJ109" s="158"/>
      <c r="AK109" s="133">
        <f>IFERROR(__xludf.DUMMYFUNCTION("""COMPUTED_VALUE"""),4.0)</f>
        <v>4</v>
      </c>
      <c r="AL109" s="133">
        <f>IFERROR(__xludf.DUMMYFUNCTION("""COMPUTED_VALUE"""),3.0)</f>
        <v>3</v>
      </c>
      <c r="AM109" s="133">
        <f>IFERROR(__xludf.DUMMYFUNCTION("""COMPUTED_VALUE"""),2.0)</f>
        <v>2</v>
      </c>
      <c r="AN109" s="133" t="str">
        <f>IFERROR(__xludf.DUMMYFUNCTION("""COMPUTED_VALUE"""),"3.5")</f>
        <v>3.5</v>
      </c>
      <c r="AO109" s="133">
        <f>IFERROR(__xludf.DUMMYFUNCTION("""COMPUTED_VALUE"""),3.0)</f>
        <v>3</v>
      </c>
      <c r="AP109" s="155" t="s">
        <v>2461</v>
      </c>
    </row>
    <row r="110">
      <c r="A110" s="555">
        <f>IFERROR(__xludf.DUMMYFUNCTION("""COMPUTED_VALUE"""),106.0)</f>
        <v>106</v>
      </c>
      <c r="B110" s="555" t="str">
        <f>IFERROR(__xludf.DUMMYFUNCTION("""COMPUTED_VALUE"""),"moku23cs@cmrit.ac.in")</f>
        <v>moku23cs@cmrit.ac.in</v>
      </c>
      <c r="C110" s="172" t="str">
        <f>IFERROR(__xludf.DUMMYFUNCTION("""COMPUTED_VALUE"""),"Mohan kumar H D ")</f>
        <v>Mohan kumar H D </v>
      </c>
      <c r="D110" s="261" t="str">
        <f>IFERROR(__xludf.DUMMYFUNCTION("""COMPUTED_VALUE"""),"1CR23CS111")</f>
        <v>1CR23CS111</v>
      </c>
      <c r="E110" s="563">
        <f>IFERROR(__xludf.DUMMYFUNCTION("""COMPUTED_VALUE"""),8.792867878E9)</f>
        <v>8792867878</v>
      </c>
      <c r="F110" s="155" t="str">
        <f>IFERROR(__xludf.DUMMYFUNCTION("""COMPUTED_VALUE"""),"CSE")</f>
        <v>CSE</v>
      </c>
      <c r="G110" s="158"/>
      <c r="H110" s="559">
        <f>IFERROR(__xludf.DUMMYFUNCTION("""COMPUTED_VALUE"""),80.0)</f>
        <v>80</v>
      </c>
      <c r="I110" s="559">
        <f>IFERROR(__xludf.DUMMYFUNCTION("""COMPUTED_VALUE"""),75.0)</f>
        <v>75</v>
      </c>
      <c r="J110" s="559">
        <f>IFERROR(__xludf.DUMMYFUNCTION("""COMPUTED_VALUE"""),70.0)</f>
        <v>70</v>
      </c>
      <c r="K110" s="559">
        <f>IFERROR(__xludf.DUMMYFUNCTION("""COMPUTED_VALUE"""),72.0)</f>
        <v>72</v>
      </c>
      <c r="L110" s="560">
        <f>IFERROR(__xludf.DUMMYFUNCTION("""COMPUTED_VALUE"""),50.0)</f>
        <v>50</v>
      </c>
      <c r="M110" s="561">
        <f>IFERROR(__xludf.DUMMYFUNCTION("""COMPUTED_VALUE"""),50.0)</f>
        <v>50</v>
      </c>
      <c r="N110" s="561">
        <f>IFERROR(__xludf.DUMMYFUNCTION("""COMPUTED_VALUE"""),50.0)</f>
        <v>50</v>
      </c>
      <c r="O110" s="560"/>
      <c r="P110" s="562">
        <f>IFERROR(__xludf.DUMMYFUNCTION("""COMPUTED_VALUE"""),77.0)</f>
        <v>77</v>
      </c>
      <c r="Q110" s="562">
        <f>IFERROR(__xludf.DUMMYFUNCTION("""COMPUTED_VALUE"""),71.0)</f>
        <v>71</v>
      </c>
      <c r="R110" s="562">
        <f>IFERROR(__xludf.DUMMYFUNCTION("""COMPUTED_VALUE"""),90.0)</f>
        <v>90</v>
      </c>
      <c r="S110" s="562"/>
      <c r="T110" s="217">
        <f>IFERROR(__xludf.DUMMYFUNCTION("""COMPUTED_VALUE"""),12.0)</f>
        <v>12</v>
      </c>
      <c r="U110" s="217">
        <f>IFERROR(__xludf.DUMMYFUNCTION("""COMPUTED_VALUE"""),14.0)</f>
        <v>14</v>
      </c>
      <c r="V110" s="217">
        <f>IFERROR(__xludf.DUMMYFUNCTION("""COMPUTED_VALUE"""),84.0)</f>
        <v>84</v>
      </c>
      <c r="W110" s="217">
        <f>IFERROR(__xludf.DUMMYFUNCTION("""COMPUTED_VALUE"""),44.0)</f>
        <v>44</v>
      </c>
      <c r="X110" s="217">
        <f>IFERROR(__xludf.DUMMYFUNCTION("""COMPUTED_VALUE"""),82.0)</f>
        <v>82</v>
      </c>
      <c r="Y110" s="217"/>
      <c r="Z110" s="217"/>
      <c r="AA110" s="481">
        <f>IFERROR(__xludf.DUMMYFUNCTION("""COMPUTED_VALUE"""),80.0)</f>
        <v>80</v>
      </c>
      <c r="AB110" s="481">
        <f>IFERROR(__xludf.DUMMYFUNCTION("""COMPUTED_VALUE"""),97.0)</f>
        <v>97</v>
      </c>
      <c r="AC110" s="481">
        <f>IFERROR(__xludf.DUMMYFUNCTION("""COMPUTED_VALUE"""),98.5)</f>
        <v>98.5</v>
      </c>
      <c r="AD110" s="481">
        <f>IFERROR(__xludf.DUMMYFUNCTION("""COMPUTED_VALUE"""),68.0)</f>
        <v>68</v>
      </c>
      <c r="AE110" s="481">
        <f>IFERROR(__xludf.DUMMYFUNCTION("""COMPUTED_VALUE"""),88.0)</f>
        <v>88</v>
      </c>
      <c r="AF110" s="481"/>
      <c r="AG110" s="481">
        <f>IFERROR(__xludf.DUMMYFUNCTION("""COMPUTED_VALUE"""),72.0)</f>
        <v>72</v>
      </c>
      <c r="AH110" s="481"/>
      <c r="AI110" s="158"/>
      <c r="AJ110" s="158"/>
      <c r="AK110" s="133">
        <f>IFERROR(__xludf.DUMMYFUNCTION("""COMPUTED_VALUE"""),4.0)</f>
        <v>4</v>
      </c>
      <c r="AL110" s="133">
        <f>IFERROR(__xludf.DUMMYFUNCTION("""COMPUTED_VALUE"""),3.0)</f>
        <v>3</v>
      </c>
      <c r="AM110" s="133">
        <f>IFERROR(__xludf.DUMMYFUNCTION("""COMPUTED_VALUE"""),2.0)</f>
        <v>2</v>
      </c>
      <c r="AN110" s="133" t="str">
        <f>IFERROR(__xludf.DUMMYFUNCTION("""COMPUTED_VALUE"""),"3.5")</f>
        <v>3.5</v>
      </c>
      <c r="AO110" s="133">
        <f>IFERROR(__xludf.DUMMYFUNCTION("""COMPUTED_VALUE"""),3.0)</f>
        <v>3</v>
      </c>
      <c r="AP110" s="155" t="s">
        <v>2461</v>
      </c>
    </row>
    <row r="111">
      <c r="A111" s="555">
        <f>IFERROR(__xludf.DUMMYFUNCTION("""COMPUTED_VALUE"""),107.0)</f>
        <v>107</v>
      </c>
      <c r="B111" s="555" t="str">
        <f>IFERROR(__xludf.DUMMYFUNCTION("""COMPUTED_VALUE"""),"mush23cs@cmrit.ac.in")</f>
        <v>mush23cs@cmrit.ac.in</v>
      </c>
      <c r="C111" s="172" t="str">
        <f>IFERROR(__xludf.DUMMYFUNCTION("""COMPUTED_VALUE"""),"MUDUNURI SHRILEKHA")</f>
        <v>MUDUNURI SHRILEKHA</v>
      </c>
      <c r="D111" s="261" t="str">
        <f>IFERROR(__xludf.DUMMYFUNCTION("""COMPUTED_VALUE"""),"1CR23CS112")</f>
        <v>1CR23CS112</v>
      </c>
      <c r="E111" s="563">
        <f>IFERROR(__xludf.DUMMYFUNCTION("""COMPUTED_VALUE"""),8.27738969E9)</f>
        <v>8277389690</v>
      </c>
      <c r="F111" s="155" t="str">
        <f>IFERROR(__xludf.DUMMYFUNCTION("""COMPUTED_VALUE"""),"CSE")</f>
        <v>CSE</v>
      </c>
      <c r="G111" s="158"/>
      <c r="H111" s="559">
        <f>IFERROR(__xludf.DUMMYFUNCTION("""COMPUTED_VALUE"""),91.0)</f>
        <v>91</v>
      </c>
      <c r="I111" s="559">
        <f>IFERROR(__xludf.DUMMYFUNCTION("""COMPUTED_VALUE"""),96.0)</f>
        <v>96</v>
      </c>
      <c r="J111" s="559">
        <f>IFERROR(__xludf.DUMMYFUNCTION("""COMPUTED_VALUE"""),87.0)</f>
        <v>87</v>
      </c>
      <c r="K111" s="559">
        <f>IFERROR(__xludf.DUMMYFUNCTION("""COMPUTED_VALUE"""),81.0)</f>
        <v>81</v>
      </c>
      <c r="L111" s="560">
        <f>IFERROR(__xludf.DUMMYFUNCTION("""COMPUTED_VALUE"""),77.0)</f>
        <v>77</v>
      </c>
      <c r="M111" s="561">
        <f>IFERROR(__xludf.DUMMYFUNCTION("""COMPUTED_VALUE"""),66.0)</f>
        <v>66</v>
      </c>
      <c r="N111" s="561">
        <f>IFERROR(__xludf.DUMMYFUNCTION("""COMPUTED_VALUE"""),56.0)</f>
        <v>56</v>
      </c>
      <c r="O111" s="560"/>
      <c r="P111" s="562">
        <f>IFERROR(__xludf.DUMMYFUNCTION("""COMPUTED_VALUE"""),86.0)</f>
        <v>86</v>
      </c>
      <c r="Q111" s="562">
        <f>IFERROR(__xludf.DUMMYFUNCTION("""COMPUTED_VALUE"""),66.0)</f>
        <v>66</v>
      </c>
      <c r="R111" s="562">
        <f>IFERROR(__xludf.DUMMYFUNCTION("""COMPUTED_VALUE"""),85.0)</f>
        <v>85</v>
      </c>
      <c r="S111" s="562"/>
      <c r="T111" s="217">
        <f>IFERROR(__xludf.DUMMYFUNCTION("""COMPUTED_VALUE"""),12.0)</f>
        <v>12</v>
      </c>
      <c r="U111" s="217">
        <f>IFERROR(__xludf.DUMMYFUNCTION("""COMPUTED_VALUE"""),20.0)</f>
        <v>20</v>
      </c>
      <c r="V111" s="217">
        <f>IFERROR(__xludf.DUMMYFUNCTION("""COMPUTED_VALUE"""),72.0)</f>
        <v>72</v>
      </c>
      <c r="W111" s="217">
        <f>IFERROR(__xludf.DUMMYFUNCTION("""COMPUTED_VALUE"""),48.0)</f>
        <v>48</v>
      </c>
      <c r="X111" s="217">
        <f>IFERROR(__xludf.DUMMYFUNCTION("""COMPUTED_VALUE"""),68.0)</f>
        <v>68</v>
      </c>
      <c r="Y111" s="217"/>
      <c r="Z111" s="217"/>
      <c r="AA111" s="481">
        <f>IFERROR(__xludf.DUMMYFUNCTION("""COMPUTED_VALUE"""),90.0)</f>
        <v>90</v>
      </c>
      <c r="AB111" s="481">
        <f>IFERROR(__xludf.DUMMYFUNCTION("""COMPUTED_VALUE"""),100.0)</f>
        <v>100</v>
      </c>
      <c r="AC111" s="481">
        <f>IFERROR(__xludf.DUMMYFUNCTION("""COMPUTED_VALUE"""),98.5)</f>
        <v>98.5</v>
      </c>
      <c r="AD111" s="481">
        <f>IFERROR(__xludf.DUMMYFUNCTION("""COMPUTED_VALUE"""),94.0)</f>
        <v>94</v>
      </c>
      <c r="AE111" s="481">
        <f>IFERROR(__xludf.DUMMYFUNCTION("""COMPUTED_VALUE"""),82.0)</f>
        <v>82</v>
      </c>
      <c r="AF111" s="481"/>
      <c r="AG111" s="481">
        <f>IFERROR(__xludf.DUMMYFUNCTION("""COMPUTED_VALUE"""),75.0)</f>
        <v>75</v>
      </c>
      <c r="AH111" s="481"/>
      <c r="AI111" s="158"/>
      <c r="AJ111" s="158"/>
      <c r="AK111" s="133">
        <f>IFERROR(__xludf.DUMMYFUNCTION("""COMPUTED_VALUE"""),4.0)</f>
        <v>4</v>
      </c>
      <c r="AL111" s="133">
        <f>IFERROR(__xludf.DUMMYFUNCTION("""COMPUTED_VALUE"""),3.0)</f>
        <v>3</v>
      </c>
      <c r="AM111" s="133">
        <f>IFERROR(__xludf.DUMMYFUNCTION("""COMPUTED_VALUE"""),2.0)</f>
        <v>2</v>
      </c>
      <c r="AN111" s="133" t="str">
        <f>IFERROR(__xludf.DUMMYFUNCTION("""COMPUTED_VALUE"""),"3.5")</f>
        <v>3.5</v>
      </c>
      <c r="AO111" s="133">
        <f>IFERROR(__xludf.DUMMYFUNCTION("""COMPUTED_VALUE"""),3.0)</f>
        <v>3</v>
      </c>
      <c r="AP111" s="155" t="s">
        <v>2461</v>
      </c>
    </row>
    <row r="112">
      <c r="A112" s="555">
        <f>IFERROR(__xludf.DUMMYFUNCTION("""COMPUTED_VALUE"""),108.0)</f>
        <v>108</v>
      </c>
      <c r="B112" s="555" t="str">
        <f>IFERROR(__xludf.DUMMYFUNCTION("""COMPUTED_VALUE"""),"mura23cs@cmrit.ac.in")</f>
        <v>mura23cs@cmrit.ac.in</v>
      </c>
      <c r="C112" s="172" t="str">
        <f>IFERROR(__xludf.DUMMYFUNCTION("""COMPUTED_VALUE"""),"MUSFIRA RAIHAN")</f>
        <v>MUSFIRA RAIHAN</v>
      </c>
      <c r="D112" s="261" t="str">
        <f>IFERROR(__xludf.DUMMYFUNCTION("""COMPUTED_VALUE"""),"1CR23CS113")</f>
        <v>1CR23CS113</v>
      </c>
      <c r="E112" s="563">
        <f>IFERROR(__xludf.DUMMYFUNCTION("""COMPUTED_VALUE"""),9.686788498E9)</f>
        <v>9686788498</v>
      </c>
      <c r="F112" s="155" t="str">
        <f>IFERROR(__xludf.DUMMYFUNCTION("""COMPUTED_VALUE"""),"CSE")</f>
        <v>CSE</v>
      </c>
      <c r="G112" s="158"/>
      <c r="H112" s="559">
        <f>IFERROR(__xludf.DUMMYFUNCTION("""COMPUTED_VALUE"""),78.0)</f>
        <v>78</v>
      </c>
      <c r="I112" s="559">
        <f>IFERROR(__xludf.DUMMYFUNCTION("""COMPUTED_VALUE"""),86.0)</f>
        <v>86</v>
      </c>
      <c r="J112" s="559">
        <f>IFERROR(__xludf.DUMMYFUNCTION("""COMPUTED_VALUE"""),77.0)</f>
        <v>77</v>
      </c>
      <c r="K112" s="559">
        <f>IFERROR(__xludf.DUMMYFUNCTION("""COMPUTED_VALUE"""),81.0)</f>
        <v>81</v>
      </c>
      <c r="L112" s="560">
        <f>IFERROR(__xludf.DUMMYFUNCTION("""COMPUTED_VALUE"""),51.0)</f>
        <v>51</v>
      </c>
      <c r="M112" s="561">
        <f>IFERROR(__xludf.DUMMYFUNCTION("""COMPUTED_VALUE"""),50.0)</f>
        <v>50</v>
      </c>
      <c r="N112" s="561">
        <f>IFERROR(__xludf.DUMMYFUNCTION("""COMPUTED_VALUE"""),54.0)</f>
        <v>54</v>
      </c>
      <c r="O112" s="560"/>
      <c r="P112" s="562">
        <f>IFERROR(__xludf.DUMMYFUNCTION("""COMPUTED_VALUE"""),84.0)</f>
        <v>84</v>
      </c>
      <c r="Q112" s="562">
        <f>IFERROR(__xludf.DUMMYFUNCTION("""COMPUTED_VALUE"""),66.0)</f>
        <v>66</v>
      </c>
      <c r="R112" s="562">
        <f>IFERROR(__xludf.DUMMYFUNCTION("""COMPUTED_VALUE"""),80.0)</f>
        <v>80</v>
      </c>
      <c r="S112" s="562"/>
      <c r="T112" s="217">
        <f>IFERROR(__xludf.DUMMYFUNCTION("""COMPUTED_VALUE"""),12.0)</f>
        <v>12</v>
      </c>
      <c r="U112" s="217">
        <f>IFERROR(__xludf.DUMMYFUNCTION("""COMPUTED_VALUE"""),17.0)</f>
        <v>17</v>
      </c>
      <c r="V112" s="217">
        <f>IFERROR(__xludf.DUMMYFUNCTION("""COMPUTED_VALUE"""),72.0)</f>
        <v>72</v>
      </c>
      <c r="W112" s="217">
        <f>IFERROR(__xludf.DUMMYFUNCTION("""COMPUTED_VALUE"""),40.0)</f>
        <v>40</v>
      </c>
      <c r="X112" s="217">
        <f>IFERROR(__xludf.DUMMYFUNCTION("""COMPUTED_VALUE"""),78.0)</f>
        <v>78</v>
      </c>
      <c r="Y112" s="217"/>
      <c r="Z112" s="217"/>
      <c r="AA112" s="481">
        <f>IFERROR(__xludf.DUMMYFUNCTION("""COMPUTED_VALUE"""),80.0)</f>
        <v>80</v>
      </c>
      <c r="AB112" s="481">
        <f>IFERROR(__xludf.DUMMYFUNCTION("""COMPUTED_VALUE"""),100.0)</f>
        <v>100</v>
      </c>
      <c r="AC112" s="481">
        <f>IFERROR(__xludf.DUMMYFUNCTION("""COMPUTED_VALUE"""),71.0)</f>
        <v>71</v>
      </c>
      <c r="AD112" s="481">
        <f>IFERROR(__xludf.DUMMYFUNCTION("""COMPUTED_VALUE"""),100.0)</f>
        <v>100</v>
      </c>
      <c r="AE112" s="481">
        <f>IFERROR(__xludf.DUMMYFUNCTION("""COMPUTED_VALUE"""),82.0)</f>
        <v>82</v>
      </c>
      <c r="AF112" s="481"/>
      <c r="AG112" s="481">
        <f>IFERROR(__xludf.DUMMYFUNCTION("""COMPUTED_VALUE"""),74.0)</f>
        <v>74</v>
      </c>
      <c r="AH112" s="481"/>
      <c r="AI112" s="158"/>
      <c r="AJ112" s="158"/>
      <c r="AK112" s="133">
        <f>IFERROR(__xludf.DUMMYFUNCTION("""COMPUTED_VALUE"""),4.0)</f>
        <v>4</v>
      </c>
      <c r="AL112" s="133">
        <f>IFERROR(__xludf.DUMMYFUNCTION("""COMPUTED_VALUE"""),3.0)</f>
        <v>3</v>
      </c>
      <c r="AM112" s="133">
        <f>IFERROR(__xludf.DUMMYFUNCTION("""COMPUTED_VALUE"""),2.0)</f>
        <v>2</v>
      </c>
      <c r="AN112" s="133" t="str">
        <f>IFERROR(__xludf.DUMMYFUNCTION("""COMPUTED_VALUE"""),"3.5")</f>
        <v>3.5</v>
      </c>
      <c r="AO112" s="133">
        <f>IFERROR(__xludf.DUMMYFUNCTION("""COMPUTED_VALUE"""),3.0)</f>
        <v>3</v>
      </c>
      <c r="AP112" s="155" t="s">
        <v>2461</v>
      </c>
    </row>
    <row r="113">
      <c r="A113" s="555">
        <f>IFERROR(__xludf.DUMMYFUNCTION("""COMPUTED_VALUE"""),109.0)</f>
        <v>109</v>
      </c>
      <c r="B113" s="555" t="str">
        <f>IFERROR(__xludf.DUMMYFUNCTION("""COMPUTED_VALUE"""),"nak23cs@cmrit.ac.in")</f>
        <v>nak23cs@cmrit.ac.in</v>
      </c>
      <c r="C113" s="172" t="str">
        <f>IFERROR(__xludf.DUMMYFUNCTION("""COMPUTED_VALUE"""),"N Akshay Kanna")</f>
        <v>N Akshay Kanna</v>
      </c>
      <c r="D113" s="261" t="str">
        <f>IFERROR(__xludf.DUMMYFUNCTION("""COMPUTED_VALUE"""),"1CR23CS114")</f>
        <v>1CR23CS114</v>
      </c>
      <c r="E113" s="563">
        <f>IFERROR(__xludf.DUMMYFUNCTION("""COMPUTED_VALUE"""),9.611600669E9)</f>
        <v>9611600669</v>
      </c>
      <c r="F113" s="155" t="str">
        <f>IFERROR(__xludf.DUMMYFUNCTION("""COMPUTED_VALUE"""),"CSE")</f>
        <v>CSE</v>
      </c>
      <c r="G113" s="158"/>
      <c r="H113" s="559">
        <f>IFERROR(__xludf.DUMMYFUNCTION("""COMPUTED_VALUE"""),85.0)</f>
        <v>85</v>
      </c>
      <c r="I113" s="559">
        <f>IFERROR(__xludf.DUMMYFUNCTION("""COMPUTED_VALUE"""),85.0)</f>
        <v>85</v>
      </c>
      <c r="J113" s="559">
        <f>IFERROR(__xludf.DUMMYFUNCTION("""COMPUTED_VALUE"""),81.0)</f>
        <v>81</v>
      </c>
      <c r="K113" s="559">
        <f>IFERROR(__xludf.DUMMYFUNCTION("""COMPUTED_VALUE"""),79.0)</f>
        <v>79</v>
      </c>
      <c r="L113" s="560">
        <f>IFERROR(__xludf.DUMMYFUNCTION("""COMPUTED_VALUE"""),59.0)</f>
        <v>59</v>
      </c>
      <c r="M113" s="561">
        <f>IFERROR(__xludf.DUMMYFUNCTION("""COMPUTED_VALUE"""),50.0)</f>
        <v>50</v>
      </c>
      <c r="N113" s="561">
        <f>IFERROR(__xludf.DUMMYFUNCTION("""COMPUTED_VALUE"""),50.0)</f>
        <v>50</v>
      </c>
      <c r="O113" s="560"/>
      <c r="P113" s="562">
        <f>IFERROR(__xludf.DUMMYFUNCTION("""COMPUTED_VALUE"""),64.0)</f>
        <v>64</v>
      </c>
      <c r="Q113" s="562">
        <f>IFERROR(__xludf.DUMMYFUNCTION("""COMPUTED_VALUE"""),71.0)</f>
        <v>71</v>
      </c>
      <c r="R113" s="562">
        <f>IFERROR(__xludf.DUMMYFUNCTION("""COMPUTED_VALUE"""),86.0)</f>
        <v>86</v>
      </c>
      <c r="S113" s="562"/>
      <c r="T113" s="217">
        <f>IFERROR(__xludf.DUMMYFUNCTION("""COMPUTED_VALUE"""),14.0)</f>
        <v>14</v>
      </c>
      <c r="U113" s="217">
        <f>IFERROR(__xludf.DUMMYFUNCTION("""COMPUTED_VALUE"""),20.0)</f>
        <v>20</v>
      </c>
      <c r="V113" s="217">
        <f>IFERROR(__xludf.DUMMYFUNCTION("""COMPUTED_VALUE"""),84.0)</f>
        <v>84</v>
      </c>
      <c r="W113" s="217">
        <f>IFERROR(__xludf.DUMMYFUNCTION("""COMPUTED_VALUE"""),36.0)</f>
        <v>36</v>
      </c>
      <c r="X113" s="217">
        <f>IFERROR(__xludf.DUMMYFUNCTION("""COMPUTED_VALUE"""),82.0)</f>
        <v>82</v>
      </c>
      <c r="Y113" s="217"/>
      <c r="Z113" s="217"/>
      <c r="AA113" s="481">
        <f>IFERROR(__xludf.DUMMYFUNCTION("""COMPUTED_VALUE"""),80.0)</f>
        <v>80</v>
      </c>
      <c r="AB113" s="481">
        <f>IFERROR(__xludf.DUMMYFUNCTION("""COMPUTED_VALUE"""),88.0)</f>
        <v>88</v>
      </c>
      <c r="AC113" s="481">
        <f>IFERROR(__xludf.DUMMYFUNCTION("""COMPUTED_VALUE"""),89.0)</f>
        <v>89</v>
      </c>
      <c r="AD113" s="481">
        <f>IFERROR(__xludf.DUMMYFUNCTION("""COMPUTED_VALUE"""),100.0)</f>
        <v>100</v>
      </c>
      <c r="AE113" s="481">
        <f>IFERROR(__xludf.DUMMYFUNCTION("""COMPUTED_VALUE"""),70.0)</f>
        <v>70</v>
      </c>
      <c r="AF113" s="481"/>
      <c r="AG113" s="481">
        <f>IFERROR(__xludf.DUMMYFUNCTION("""COMPUTED_VALUE"""),39.0)</f>
        <v>39</v>
      </c>
      <c r="AH113" s="481"/>
      <c r="AI113" s="158"/>
      <c r="AJ113" s="158"/>
      <c r="AK113" s="133">
        <f>IFERROR(__xludf.DUMMYFUNCTION("""COMPUTED_VALUE"""),4.0)</f>
        <v>4</v>
      </c>
      <c r="AL113" s="133">
        <f>IFERROR(__xludf.DUMMYFUNCTION("""COMPUTED_VALUE"""),3.0)</f>
        <v>3</v>
      </c>
      <c r="AM113" s="133">
        <f>IFERROR(__xludf.DUMMYFUNCTION("""COMPUTED_VALUE"""),2.0)</f>
        <v>2</v>
      </c>
      <c r="AN113" s="133" t="str">
        <f>IFERROR(__xludf.DUMMYFUNCTION("""COMPUTED_VALUE"""),"3.5")</f>
        <v>3.5</v>
      </c>
      <c r="AO113" s="133">
        <f>IFERROR(__xludf.DUMMYFUNCTION("""COMPUTED_VALUE"""),3.0)</f>
        <v>3</v>
      </c>
      <c r="AP113" s="155" t="s">
        <v>2461</v>
      </c>
    </row>
    <row r="114">
      <c r="A114" s="555">
        <f>IFERROR(__xludf.DUMMYFUNCTION("""COMPUTED_VALUE"""),110.0)</f>
        <v>110</v>
      </c>
      <c r="B114" s="555" t="str">
        <f>IFERROR(__xludf.DUMMYFUNCTION("""COMPUTED_VALUE"""),"naa23cs@cmrit.ac.in")</f>
        <v>naa23cs@cmrit.ac.in</v>
      </c>
      <c r="C114" s="172" t="str">
        <f>IFERROR(__xludf.DUMMYFUNCTION("""COMPUTED_VALUE"""),"Namratha A")</f>
        <v>Namratha A</v>
      </c>
      <c r="D114" s="261" t="str">
        <f>IFERROR(__xludf.DUMMYFUNCTION("""COMPUTED_VALUE"""),"1CR23CS115")</f>
        <v>1CR23CS115</v>
      </c>
      <c r="E114" s="563">
        <f>IFERROR(__xludf.DUMMYFUNCTION("""COMPUTED_VALUE"""),9.110226977E9)</f>
        <v>9110226977</v>
      </c>
      <c r="F114" s="155" t="str">
        <f>IFERROR(__xludf.DUMMYFUNCTION("""COMPUTED_VALUE"""),"CSE")</f>
        <v>CSE</v>
      </c>
      <c r="G114" s="158"/>
      <c r="H114" s="559">
        <f>IFERROR(__xludf.DUMMYFUNCTION("""COMPUTED_VALUE"""),78.0)</f>
        <v>78</v>
      </c>
      <c r="I114" s="559">
        <f>IFERROR(__xludf.DUMMYFUNCTION("""COMPUTED_VALUE"""),80.0)</f>
        <v>80</v>
      </c>
      <c r="J114" s="559">
        <f>IFERROR(__xludf.DUMMYFUNCTION("""COMPUTED_VALUE"""),76.0)</f>
        <v>76</v>
      </c>
      <c r="K114" s="559">
        <f>IFERROR(__xludf.DUMMYFUNCTION("""COMPUTED_VALUE"""),79.0)</f>
        <v>79</v>
      </c>
      <c r="L114" s="560">
        <f>IFERROR(__xludf.DUMMYFUNCTION("""COMPUTED_VALUE"""),50.0)</f>
        <v>50</v>
      </c>
      <c r="M114" s="561">
        <f>IFERROR(__xludf.DUMMYFUNCTION("""COMPUTED_VALUE"""),50.0)</f>
        <v>50</v>
      </c>
      <c r="N114" s="561">
        <f>IFERROR(__xludf.DUMMYFUNCTION("""COMPUTED_VALUE"""),50.0)</f>
        <v>50</v>
      </c>
      <c r="O114" s="560"/>
      <c r="P114" s="562">
        <f>IFERROR(__xludf.DUMMYFUNCTION("""COMPUTED_VALUE"""),72.0)</f>
        <v>72</v>
      </c>
      <c r="Q114" s="562">
        <f>IFERROR(__xludf.DUMMYFUNCTION("""COMPUTED_VALUE"""),90.0)</f>
        <v>90</v>
      </c>
      <c r="R114" s="562">
        <f>IFERROR(__xludf.DUMMYFUNCTION("""COMPUTED_VALUE"""),87.0)</f>
        <v>87</v>
      </c>
      <c r="S114" s="562"/>
      <c r="T114" s="217">
        <f>IFERROR(__xludf.DUMMYFUNCTION("""COMPUTED_VALUE"""),18.0)</f>
        <v>18</v>
      </c>
      <c r="U114" s="217">
        <f>IFERROR(__xludf.DUMMYFUNCTION("""COMPUTED_VALUE"""),16.0)</f>
        <v>16</v>
      </c>
      <c r="V114" s="217">
        <f>IFERROR(__xludf.DUMMYFUNCTION("""COMPUTED_VALUE"""),72.0)</f>
        <v>72</v>
      </c>
      <c r="W114" s="217">
        <f>IFERROR(__xludf.DUMMYFUNCTION("""COMPUTED_VALUE"""),44.0)</f>
        <v>44</v>
      </c>
      <c r="X114" s="217">
        <f>IFERROR(__xludf.DUMMYFUNCTION("""COMPUTED_VALUE"""),82.0)</f>
        <v>82</v>
      </c>
      <c r="Y114" s="217"/>
      <c r="Z114" s="217"/>
      <c r="AA114" s="481">
        <f>IFERROR(__xludf.DUMMYFUNCTION("""COMPUTED_VALUE"""),80.0)</f>
        <v>80</v>
      </c>
      <c r="AB114" s="481">
        <f>IFERROR(__xludf.DUMMYFUNCTION("""COMPUTED_VALUE"""),97.0)</f>
        <v>97</v>
      </c>
      <c r="AC114" s="481">
        <f>IFERROR(__xludf.DUMMYFUNCTION("""COMPUTED_VALUE"""),73.5)</f>
        <v>73.5</v>
      </c>
      <c r="AD114" s="481">
        <f>IFERROR(__xludf.DUMMYFUNCTION("""COMPUTED_VALUE"""),100.0)</f>
        <v>100</v>
      </c>
      <c r="AE114" s="481">
        <f>IFERROR(__xludf.DUMMYFUNCTION("""COMPUTED_VALUE"""),75.0)</f>
        <v>75</v>
      </c>
      <c r="AF114" s="481"/>
      <c r="AG114" s="481">
        <f>IFERROR(__xludf.DUMMYFUNCTION("""COMPUTED_VALUE"""),76.0)</f>
        <v>76</v>
      </c>
      <c r="AH114" s="481"/>
      <c r="AI114" s="158"/>
      <c r="AJ114" s="158"/>
      <c r="AK114" s="133">
        <f>IFERROR(__xludf.DUMMYFUNCTION("""COMPUTED_VALUE"""),4.0)</f>
        <v>4</v>
      </c>
      <c r="AL114" s="133">
        <f>IFERROR(__xludf.DUMMYFUNCTION("""COMPUTED_VALUE"""),3.0)</f>
        <v>3</v>
      </c>
      <c r="AM114" s="133">
        <f>IFERROR(__xludf.DUMMYFUNCTION("""COMPUTED_VALUE"""),2.0)</f>
        <v>2</v>
      </c>
      <c r="AN114" s="133" t="str">
        <f>IFERROR(__xludf.DUMMYFUNCTION("""COMPUTED_VALUE"""),"3.5")</f>
        <v>3.5</v>
      </c>
      <c r="AO114" s="133">
        <f>IFERROR(__xludf.DUMMYFUNCTION("""COMPUTED_VALUE"""),3.0)</f>
        <v>3</v>
      </c>
      <c r="AP114" s="155" t="s">
        <v>2461</v>
      </c>
    </row>
    <row r="115">
      <c r="A115" s="555">
        <f>IFERROR(__xludf.DUMMYFUNCTION("""COMPUTED_VALUE"""),111.0)</f>
        <v>111</v>
      </c>
      <c r="B115" s="555" t="str">
        <f>IFERROR(__xludf.DUMMYFUNCTION("""COMPUTED_VALUE"""),"nasr23cs@cmrit.ac.in")</f>
        <v>nasr23cs@cmrit.ac.in</v>
      </c>
      <c r="C115" s="172" t="str">
        <f>IFERROR(__xludf.DUMMYFUNCTION("""COMPUTED_VALUE"""),"NANDITHA SRINIVASAN")</f>
        <v>NANDITHA SRINIVASAN</v>
      </c>
      <c r="D115" s="261" t="str">
        <f>IFERROR(__xludf.DUMMYFUNCTION("""COMPUTED_VALUE"""),"1CR23CS116")</f>
        <v>1CR23CS116</v>
      </c>
      <c r="E115" s="563">
        <f>IFERROR(__xludf.DUMMYFUNCTION("""COMPUTED_VALUE"""),8.618919608E9)</f>
        <v>8618919608</v>
      </c>
      <c r="F115" s="155" t="str">
        <f>IFERROR(__xludf.DUMMYFUNCTION("""COMPUTED_VALUE"""),"CSE")</f>
        <v>CSE</v>
      </c>
      <c r="G115" s="158"/>
      <c r="H115" s="559">
        <f>IFERROR(__xludf.DUMMYFUNCTION("""COMPUTED_VALUE"""),82.0)</f>
        <v>82</v>
      </c>
      <c r="I115" s="559">
        <f>IFERROR(__xludf.DUMMYFUNCTION("""COMPUTED_VALUE"""),86.0)</f>
        <v>86</v>
      </c>
      <c r="J115" s="559">
        <f>IFERROR(__xludf.DUMMYFUNCTION("""COMPUTED_VALUE"""),82.0)</f>
        <v>82</v>
      </c>
      <c r="K115" s="559">
        <f>IFERROR(__xludf.DUMMYFUNCTION("""COMPUTED_VALUE"""),72.0)</f>
        <v>72</v>
      </c>
      <c r="L115" s="560">
        <f>IFERROR(__xludf.DUMMYFUNCTION("""COMPUTED_VALUE"""),58.0)</f>
        <v>58</v>
      </c>
      <c r="M115" s="561">
        <f>IFERROR(__xludf.DUMMYFUNCTION("""COMPUTED_VALUE"""),50.0)</f>
        <v>50</v>
      </c>
      <c r="N115" s="561">
        <f>IFERROR(__xludf.DUMMYFUNCTION("""COMPUTED_VALUE"""),50.0)</f>
        <v>50</v>
      </c>
      <c r="O115" s="560"/>
      <c r="P115" s="562">
        <f>IFERROR(__xludf.DUMMYFUNCTION("""COMPUTED_VALUE"""),72.0)</f>
        <v>72</v>
      </c>
      <c r="Q115" s="562">
        <f>IFERROR(__xludf.DUMMYFUNCTION("""COMPUTED_VALUE"""),66.0)</f>
        <v>66</v>
      </c>
      <c r="R115" s="562">
        <f>IFERROR(__xludf.DUMMYFUNCTION("""COMPUTED_VALUE"""),73.0)</f>
        <v>73</v>
      </c>
      <c r="S115" s="562"/>
      <c r="T115" s="217">
        <f>IFERROR(__xludf.DUMMYFUNCTION("""COMPUTED_VALUE"""),10.0)</f>
        <v>10</v>
      </c>
      <c r="U115" s="217">
        <f>IFERROR(__xludf.DUMMYFUNCTION("""COMPUTED_VALUE"""),17.0)</f>
        <v>17</v>
      </c>
      <c r="V115" s="217">
        <f>IFERROR(__xludf.DUMMYFUNCTION("""COMPUTED_VALUE"""),68.0)</f>
        <v>68</v>
      </c>
      <c r="W115" s="217">
        <f>IFERROR(__xludf.DUMMYFUNCTION("""COMPUTED_VALUE"""),48.0)</f>
        <v>48</v>
      </c>
      <c r="X115" s="217">
        <f>IFERROR(__xludf.DUMMYFUNCTION("""COMPUTED_VALUE"""),78.0)</f>
        <v>78</v>
      </c>
      <c r="Y115" s="217"/>
      <c r="Z115" s="217"/>
      <c r="AA115" s="481">
        <f>IFERROR(__xludf.DUMMYFUNCTION("""COMPUTED_VALUE"""),50.199999999999996)</f>
        <v>50.2</v>
      </c>
      <c r="AB115" s="481">
        <f>IFERROR(__xludf.DUMMYFUNCTION("""COMPUTED_VALUE"""),100.0)</f>
        <v>100</v>
      </c>
      <c r="AC115" s="481">
        <f>IFERROR(__xludf.DUMMYFUNCTION("""COMPUTED_VALUE"""),76.5)</f>
        <v>76.5</v>
      </c>
      <c r="AD115" s="481">
        <f>IFERROR(__xludf.DUMMYFUNCTION("""COMPUTED_VALUE"""),60.0)</f>
        <v>60</v>
      </c>
      <c r="AE115" s="481">
        <f>IFERROR(__xludf.DUMMYFUNCTION("""COMPUTED_VALUE"""),70.0)</f>
        <v>70</v>
      </c>
      <c r="AF115" s="481"/>
      <c r="AG115" s="481">
        <f>IFERROR(__xludf.DUMMYFUNCTION("""COMPUTED_VALUE"""),74.0)</f>
        <v>74</v>
      </c>
      <c r="AH115" s="481"/>
      <c r="AI115" s="158"/>
      <c r="AJ115" s="158"/>
      <c r="AK115" s="133">
        <f>IFERROR(__xludf.DUMMYFUNCTION("""COMPUTED_VALUE"""),4.0)</f>
        <v>4</v>
      </c>
      <c r="AL115" s="133">
        <f>IFERROR(__xludf.DUMMYFUNCTION("""COMPUTED_VALUE"""),3.0)</f>
        <v>3</v>
      </c>
      <c r="AM115" s="133">
        <f>IFERROR(__xludf.DUMMYFUNCTION("""COMPUTED_VALUE"""),2.0)</f>
        <v>2</v>
      </c>
      <c r="AN115" s="133" t="str">
        <f>IFERROR(__xludf.DUMMYFUNCTION("""COMPUTED_VALUE"""),"3.5")</f>
        <v>3.5</v>
      </c>
      <c r="AO115" s="133">
        <f>IFERROR(__xludf.DUMMYFUNCTION("""COMPUTED_VALUE"""),3.0)</f>
        <v>3</v>
      </c>
      <c r="AP115" s="155" t="s">
        <v>2461</v>
      </c>
    </row>
    <row r="116">
      <c r="A116" s="555">
        <f>IFERROR(__xludf.DUMMYFUNCTION("""COMPUTED_VALUE"""),112.0)</f>
        <v>112</v>
      </c>
      <c r="B116" s="555" t="str">
        <f>IFERROR(__xludf.DUMMYFUNCTION("""COMPUTED_VALUE"""),"naka23cs@cmrit.ac.in")</f>
        <v>naka23cs@cmrit.ac.in</v>
      </c>
      <c r="C116" s="172" t="str">
        <f>IFERROR(__xludf.DUMMYFUNCTION("""COMPUTED_VALUE"""),"NATRAJ KASHYAP")</f>
        <v>NATRAJ KASHYAP</v>
      </c>
      <c r="D116" s="261" t="str">
        <f>IFERROR(__xludf.DUMMYFUNCTION("""COMPUTED_VALUE"""),"1CR23CS117")</f>
        <v>1CR23CS117</v>
      </c>
      <c r="E116" s="563">
        <f>IFERROR(__xludf.DUMMYFUNCTION("""COMPUTED_VALUE"""),7.367858796E9)</f>
        <v>7367858796</v>
      </c>
      <c r="F116" s="155" t="str">
        <f>IFERROR(__xludf.DUMMYFUNCTION("""COMPUTED_VALUE"""),"CSE")</f>
        <v>CSE</v>
      </c>
      <c r="G116" s="158"/>
      <c r="H116" s="559">
        <f>IFERROR(__xludf.DUMMYFUNCTION("""COMPUTED_VALUE"""),88.0)</f>
        <v>88</v>
      </c>
      <c r="I116" s="559">
        <f>IFERROR(__xludf.DUMMYFUNCTION("""COMPUTED_VALUE"""),86.0)</f>
        <v>86</v>
      </c>
      <c r="J116" s="559">
        <f>IFERROR(__xludf.DUMMYFUNCTION("""COMPUTED_VALUE"""),70.0)</f>
        <v>70</v>
      </c>
      <c r="K116" s="559">
        <f>IFERROR(__xludf.DUMMYFUNCTION("""COMPUTED_VALUE"""),70.0)</f>
        <v>70</v>
      </c>
      <c r="L116" s="560">
        <f>IFERROR(__xludf.DUMMYFUNCTION("""COMPUTED_VALUE"""),54.0)</f>
        <v>54</v>
      </c>
      <c r="M116" s="561">
        <f>IFERROR(__xludf.DUMMYFUNCTION("""COMPUTED_VALUE"""),50.0)</f>
        <v>50</v>
      </c>
      <c r="N116" s="561">
        <f>IFERROR(__xludf.DUMMYFUNCTION("""COMPUTED_VALUE"""),12.0)</f>
        <v>12</v>
      </c>
      <c r="O116" s="560"/>
      <c r="P116" s="562">
        <f>IFERROR(__xludf.DUMMYFUNCTION("""COMPUTED_VALUE"""),72.0)</f>
        <v>72</v>
      </c>
      <c r="Q116" s="562">
        <f>IFERROR(__xludf.DUMMYFUNCTION("""COMPUTED_VALUE"""),50.0)</f>
        <v>50</v>
      </c>
      <c r="R116" s="562">
        <f>IFERROR(__xludf.DUMMYFUNCTION("""COMPUTED_VALUE"""),79.0)</f>
        <v>79</v>
      </c>
      <c r="S116" s="562"/>
      <c r="T116" s="217">
        <f>IFERROR(__xludf.DUMMYFUNCTION("""COMPUTED_VALUE"""),13.0)</f>
        <v>13</v>
      </c>
      <c r="U116" s="217">
        <f>IFERROR(__xludf.DUMMYFUNCTION("""COMPUTED_VALUE"""),19.0)</f>
        <v>19</v>
      </c>
      <c r="V116" s="217">
        <f>IFERROR(__xludf.DUMMYFUNCTION("""COMPUTED_VALUE"""),68.0)</f>
        <v>68</v>
      </c>
      <c r="W116" s="217">
        <f>IFERROR(__xludf.DUMMYFUNCTION("""COMPUTED_VALUE"""),36.0)</f>
        <v>36</v>
      </c>
      <c r="X116" s="217">
        <f>IFERROR(__xludf.DUMMYFUNCTION("""COMPUTED_VALUE"""),56.0)</f>
        <v>56</v>
      </c>
      <c r="Y116" s="217"/>
      <c r="Z116" s="217"/>
      <c r="AA116" s="481">
        <f>IFERROR(__xludf.DUMMYFUNCTION("""COMPUTED_VALUE"""),100.0)</f>
        <v>100</v>
      </c>
      <c r="AB116" s="481">
        <f>IFERROR(__xludf.DUMMYFUNCTION("""COMPUTED_VALUE"""),70.0)</f>
        <v>70</v>
      </c>
      <c r="AC116" s="481">
        <f>IFERROR(__xludf.DUMMYFUNCTION("""COMPUTED_VALUE"""),67.0)</f>
        <v>67</v>
      </c>
      <c r="AD116" s="481">
        <f>IFERROR(__xludf.DUMMYFUNCTION("""COMPUTED_VALUE"""),100.0)</f>
        <v>100</v>
      </c>
      <c r="AE116" s="481">
        <f>IFERROR(__xludf.DUMMYFUNCTION("""COMPUTED_VALUE"""),10.0)</f>
        <v>10</v>
      </c>
      <c r="AF116" s="481"/>
      <c r="AG116" s="481">
        <f>IFERROR(__xludf.DUMMYFUNCTION("""COMPUTED_VALUE"""),0.0)</f>
        <v>0</v>
      </c>
      <c r="AH116" s="481"/>
      <c r="AI116" s="158"/>
      <c r="AJ116" s="158"/>
      <c r="AK116" s="133">
        <f>IFERROR(__xludf.DUMMYFUNCTION("""COMPUTED_VALUE"""),4.0)</f>
        <v>4</v>
      </c>
      <c r="AL116" s="133">
        <f>IFERROR(__xludf.DUMMYFUNCTION("""COMPUTED_VALUE"""),2.0)</f>
        <v>2</v>
      </c>
      <c r="AM116" s="133">
        <f>IFERROR(__xludf.DUMMYFUNCTION("""COMPUTED_VALUE"""),2.0)</f>
        <v>2</v>
      </c>
      <c r="AN116" s="133" t="str">
        <f>IFERROR(__xludf.DUMMYFUNCTION("""COMPUTED_VALUE"""),"3")</f>
        <v>3</v>
      </c>
      <c r="AO116" s="133">
        <f>IFERROR(__xludf.DUMMYFUNCTION("""COMPUTED_VALUE"""),3.0)</f>
        <v>3</v>
      </c>
      <c r="AP116" s="155" t="s">
        <v>2461</v>
      </c>
    </row>
    <row r="117">
      <c r="A117" s="555">
        <f>IFERROR(__xludf.DUMMYFUNCTION("""COMPUTED_VALUE"""),113.0)</f>
        <v>113</v>
      </c>
      <c r="B117" s="555" t="str">
        <f>IFERROR(__xludf.DUMMYFUNCTION("""COMPUTED_VALUE"""),"namr23cs@cmrit.ac.in")</f>
        <v>namr23cs@cmrit.ac.in</v>
      </c>
      <c r="C117" s="172" t="str">
        <f>IFERROR(__xludf.DUMMYFUNCTION("""COMPUTED_VALUE"""),"Nayana M R ")</f>
        <v>Nayana M R </v>
      </c>
      <c r="D117" s="261" t="str">
        <f>IFERROR(__xludf.DUMMYFUNCTION("""COMPUTED_VALUE"""),"1CR23CS118")</f>
        <v>1CR23CS118</v>
      </c>
      <c r="E117" s="563">
        <f>IFERROR(__xludf.DUMMYFUNCTION("""COMPUTED_VALUE"""),9.10816449E9)</f>
        <v>9108164490</v>
      </c>
      <c r="F117" s="155" t="str">
        <f>IFERROR(__xludf.DUMMYFUNCTION("""COMPUTED_VALUE"""),"CSE")</f>
        <v>CSE</v>
      </c>
      <c r="G117" s="158"/>
      <c r="H117" s="559">
        <f>IFERROR(__xludf.DUMMYFUNCTION("""COMPUTED_VALUE"""),72.0)</f>
        <v>72</v>
      </c>
      <c r="I117" s="559">
        <f>IFERROR(__xludf.DUMMYFUNCTION("""COMPUTED_VALUE"""),77.0)</f>
        <v>77</v>
      </c>
      <c r="J117" s="559">
        <f>IFERROR(__xludf.DUMMYFUNCTION("""COMPUTED_VALUE"""),70.0)</f>
        <v>70</v>
      </c>
      <c r="K117" s="559">
        <f>IFERROR(__xludf.DUMMYFUNCTION("""COMPUTED_VALUE"""),70.0)</f>
        <v>70</v>
      </c>
      <c r="L117" s="560">
        <f>IFERROR(__xludf.DUMMYFUNCTION("""COMPUTED_VALUE"""),50.0)</f>
        <v>50</v>
      </c>
      <c r="M117" s="561">
        <f>IFERROR(__xludf.DUMMYFUNCTION("""COMPUTED_VALUE"""),50.0)</f>
        <v>50</v>
      </c>
      <c r="N117" s="561">
        <f>IFERROR(__xludf.DUMMYFUNCTION("""COMPUTED_VALUE"""),50.0)</f>
        <v>50</v>
      </c>
      <c r="O117" s="560"/>
      <c r="P117" s="562">
        <f>IFERROR(__xludf.DUMMYFUNCTION("""COMPUTED_VALUE"""),50.0)</f>
        <v>50</v>
      </c>
      <c r="Q117" s="562">
        <f>IFERROR(__xludf.DUMMYFUNCTION("""COMPUTED_VALUE"""),72.0)</f>
        <v>72</v>
      </c>
      <c r="R117" s="562">
        <f>IFERROR(__xludf.DUMMYFUNCTION("""COMPUTED_VALUE"""),84.0)</f>
        <v>84</v>
      </c>
      <c r="S117" s="562"/>
      <c r="T117" s="217">
        <f>IFERROR(__xludf.DUMMYFUNCTION("""COMPUTED_VALUE"""),15.0)</f>
        <v>15</v>
      </c>
      <c r="U117" s="217">
        <f>IFERROR(__xludf.DUMMYFUNCTION("""COMPUTED_VALUE"""),20.0)</f>
        <v>20</v>
      </c>
      <c r="V117" s="217">
        <f>IFERROR(__xludf.DUMMYFUNCTION("""COMPUTED_VALUE"""),80.0)</f>
        <v>80</v>
      </c>
      <c r="W117" s="217">
        <f>IFERROR(__xludf.DUMMYFUNCTION("""COMPUTED_VALUE"""),52.0)</f>
        <v>52</v>
      </c>
      <c r="X117" s="217">
        <f>IFERROR(__xludf.DUMMYFUNCTION("""COMPUTED_VALUE"""),76.0)</f>
        <v>76</v>
      </c>
      <c r="Y117" s="217"/>
      <c r="Z117" s="217"/>
      <c r="AA117" s="481">
        <f>IFERROR(__xludf.DUMMYFUNCTION("""COMPUTED_VALUE"""),44.0)</f>
        <v>44</v>
      </c>
      <c r="AB117" s="481">
        <f>IFERROR(__xludf.DUMMYFUNCTION("""COMPUTED_VALUE"""),76.25)</f>
        <v>76.25</v>
      </c>
      <c r="AC117" s="481">
        <f>IFERROR(__xludf.DUMMYFUNCTION("""COMPUTED_VALUE"""),88.5)</f>
        <v>88.5</v>
      </c>
      <c r="AD117" s="481">
        <f>IFERROR(__xludf.DUMMYFUNCTION("""COMPUTED_VALUE"""),75.0)</f>
        <v>75</v>
      </c>
      <c r="AE117" s="481">
        <f>IFERROR(__xludf.DUMMYFUNCTION("""COMPUTED_VALUE"""),80.0)</f>
        <v>80</v>
      </c>
      <c r="AF117" s="481"/>
      <c r="AG117" s="481">
        <f>IFERROR(__xludf.DUMMYFUNCTION("""COMPUTED_VALUE"""),76.0)</f>
        <v>76</v>
      </c>
      <c r="AH117" s="481"/>
      <c r="AI117" s="158"/>
      <c r="AJ117" s="158"/>
      <c r="AK117" s="133">
        <f>IFERROR(__xludf.DUMMYFUNCTION("""COMPUTED_VALUE"""),4.0)</f>
        <v>4</v>
      </c>
      <c r="AL117" s="133">
        <f>IFERROR(__xludf.DUMMYFUNCTION("""COMPUTED_VALUE"""),3.0)</f>
        <v>3</v>
      </c>
      <c r="AM117" s="133">
        <f>IFERROR(__xludf.DUMMYFUNCTION("""COMPUTED_VALUE"""),3.0)</f>
        <v>3</v>
      </c>
      <c r="AN117" s="133" t="str">
        <f>IFERROR(__xludf.DUMMYFUNCTION("""COMPUTED_VALUE"""),"3.5")</f>
        <v>3.5</v>
      </c>
      <c r="AO117" s="133">
        <f>IFERROR(__xludf.DUMMYFUNCTION("""COMPUTED_VALUE"""),3.0)</f>
        <v>3</v>
      </c>
      <c r="AP117" s="155" t="s">
        <v>2461</v>
      </c>
    </row>
    <row r="118">
      <c r="A118" s="555">
        <f>IFERROR(__xludf.DUMMYFUNCTION("""COMPUTED_VALUE"""),114.0)</f>
        <v>114</v>
      </c>
      <c r="B118" s="555" t="str">
        <f>IFERROR(__xludf.DUMMYFUNCTION("""COMPUTED_VALUE"""),"nev23cs@cmrit.ac.in")</f>
        <v>nev23cs@cmrit.ac.in</v>
      </c>
      <c r="C118" s="172" t="str">
        <f>IFERROR(__xludf.DUMMYFUNCTION("""COMPUTED_VALUE"""),"Neethu shree.v")</f>
        <v>Neethu shree.v</v>
      </c>
      <c r="D118" s="261" t="str">
        <f>IFERROR(__xludf.DUMMYFUNCTION("""COMPUTED_VALUE"""),"1CR23CS119")</f>
        <v>1CR23CS119</v>
      </c>
      <c r="E118" s="563">
        <f>IFERROR(__xludf.DUMMYFUNCTION("""COMPUTED_VALUE"""),8.21731852E9)</f>
        <v>8217318520</v>
      </c>
      <c r="F118" s="155" t="str">
        <f>IFERROR(__xludf.DUMMYFUNCTION("""COMPUTED_VALUE"""),"CSE")</f>
        <v>CSE</v>
      </c>
      <c r="G118" s="158"/>
      <c r="H118" s="559">
        <f>IFERROR(__xludf.DUMMYFUNCTION("""COMPUTED_VALUE"""),86.0)</f>
        <v>86</v>
      </c>
      <c r="I118" s="559">
        <f>IFERROR(__xludf.DUMMYFUNCTION("""COMPUTED_VALUE"""),88.0)</f>
        <v>88</v>
      </c>
      <c r="J118" s="559">
        <f>IFERROR(__xludf.DUMMYFUNCTION("""COMPUTED_VALUE"""),79.0)</f>
        <v>79</v>
      </c>
      <c r="K118" s="559">
        <f>IFERROR(__xludf.DUMMYFUNCTION("""COMPUTED_VALUE"""),87.0)</f>
        <v>87</v>
      </c>
      <c r="L118" s="560">
        <f>IFERROR(__xludf.DUMMYFUNCTION("""COMPUTED_VALUE"""),60.0)</f>
        <v>60</v>
      </c>
      <c r="M118" s="561">
        <f>IFERROR(__xludf.DUMMYFUNCTION("""COMPUTED_VALUE"""),50.0)</f>
        <v>50</v>
      </c>
      <c r="N118" s="561">
        <f>IFERROR(__xludf.DUMMYFUNCTION("""COMPUTED_VALUE"""),50.0)</f>
        <v>50</v>
      </c>
      <c r="O118" s="560"/>
      <c r="P118" s="562">
        <f>IFERROR(__xludf.DUMMYFUNCTION("""COMPUTED_VALUE"""),80.0)</f>
        <v>80</v>
      </c>
      <c r="Q118" s="562">
        <f>IFERROR(__xludf.DUMMYFUNCTION("""COMPUTED_VALUE"""),90.0)</f>
        <v>90</v>
      </c>
      <c r="R118" s="562">
        <f>IFERROR(__xludf.DUMMYFUNCTION("""COMPUTED_VALUE"""),85.0)</f>
        <v>85</v>
      </c>
      <c r="S118" s="562"/>
      <c r="T118" s="217">
        <f>IFERROR(__xludf.DUMMYFUNCTION("""COMPUTED_VALUE"""),15.0)</f>
        <v>15</v>
      </c>
      <c r="U118" s="217">
        <f>IFERROR(__xludf.DUMMYFUNCTION("""COMPUTED_VALUE"""),14.0)</f>
        <v>14</v>
      </c>
      <c r="V118" s="217">
        <f>IFERROR(__xludf.DUMMYFUNCTION("""COMPUTED_VALUE"""),56.0)</f>
        <v>56</v>
      </c>
      <c r="W118" s="217">
        <f>IFERROR(__xludf.DUMMYFUNCTION("""COMPUTED_VALUE"""),36.0)</f>
        <v>36</v>
      </c>
      <c r="X118" s="217">
        <f>IFERROR(__xludf.DUMMYFUNCTION("""COMPUTED_VALUE"""),82.0)</f>
        <v>82</v>
      </c>
      <c r="Y118" s="217"/>
      <c r="Z118" s="217"/>
      <c r="AA118" s="481">
        <f>IFERROR(__xludf.DUMMYFUNCTION("""COMPUTED_VALUE"""),50.0)</f>
        <v>50</v>
      </c>
      <c r="AB118" s="481">
        <f>IFERROR(__xludf.DUMMYFUNCTION("""COMPUTED_VALUE"""),92.0)</f>
        <v>92</v>
      </c>
      <c r="AC118" s="481">
        <f>IFERROR(__xludf.DUMMYFUNCTION("""COMPUTED_VALUE"""),89.5)</f>
        <v>89.5</v>
      </c>
      <c r="AD118" s="481">
        <f>IFERROR(__xludf.DUMMYFUNCTION("""COMPUTED_VALUE"""),70.0)</f>
        <v>70</v>
      </c>
      <c r="AE118" s="481">
        <f>IFERROR(__xludf.DUMMYFUNCTION("""COMPUTED_VALUE"""),70.0)</f>
        <v>70</v>
      </c>
      <c r="AF118" s="481"/>
      <c r="AG118" s="481">
        <f>IFERROR(__xludf.DUMMYFUNCTION("""COMPUTED_VALUE"""),84.0)</f>
        <v>84</v>
      </c>
      <c r="AH118" s="481"/>
      <c r="AI118" s="158"/>
      <c r="AJ118" s="158"/>
      <c r="AK118" s="133">
        <f>IFERROR(__xludf.DUMMYFUNCTION("""COMPUTED_VALUE"""),4.0)</f>
        <v>4</v>
      </c>
      <c r="AL118" s="133">
        <f>IFERROR(__xludf.DUMMYFUNCTION("""COMPUTED_VALUE"""),3.0)</f>
        <v>3</v>
      </c>
      <c r="AM118" s="133">
        <f>IFERROR(__xludf.DUMMYFUNCTION("""COMPUTED_VALUE"""),2.0)</f>
        <v>2</v>
      </c>
      <c r="AN118" s="133" t="str">
        <f>IFERROR(__xludf.DUMMYFUNCTION("""COMPUTED_VALUE"""),"3.5")</f>
        <v>3.5</v>
      </c>
      <c r="AO118" s="133">
        <f>IFERROR(__xludf.DUMMYFUNCTION("""COMPUTED_VALUE"""),3.0)</f>
        <v>3</v>
      </c>
      <c r="AP118" s="155" t="s">
        <v>2461</v>
      </c>
    </row>
    <row r="119">
      <c r="A119" s="555">
        <f>IFERROR(__xludf.DUMMYFUNCTION("""COMPUTED_VALUE"""),115.0)</f>
        <v>115</v>
      </c>
      <c r="B119" s="555" t="str">
        <f>IFERROR(__xludf.DUMMYFUNCTION("""COMPUTED_VALUE"""),"nika23cs@cmrit.ac.in")</f>
        <v>nika23cs@cmrit.ac.in</v>
      </c>
      <c r="C119" s="172" t="str">
        <f>IFERROR(__xludf.DUMMYFUNCTION("""COMPUTED_VALUE"""),"NIKHITA GANAPATI KANSUR")</f>
        <v>NIKHITA GANAPATI KANSUR</v>
      </c>
      <c r="D119" s="261" t="str">
        <f>IFERROR(__xludf.DUMMYFUNCTION("""COMPUTED_VALUE"""),"1CR23CS120")</f>
        <v>1CR23CS120</v>
      </c>
      <c r="E119" s="563">
        <f>IFERROR(__xludf.DUMMYFUNCTION("""COMPUTED_VALUE"""),8.31741834E9)</f>
        <v>8317418340</v>
      </c>
      <c r="F119" s="155" t="str">
        <f>IFERROR(__xludf.DUMMYFUNCTION("""COMPUTED_VALUE"""),"CSE")</f>
        <v>CSE</v>
      </c>
      <c r="G119" s="158"/>
      <c r="H119" s="559">
        <f>IFERROR(__xludf.DUMMYFUNCTION("""COMPUTED_VALUE"""),88.0)</f>
        <v>88</v>
      </c>
      <c r="I119" s="559">
        <f>IFERROR(__xludf.DUMMYFUNCTION("""COMPUTED_VALUE"""),93.0)</f>
        <v>93</v>
      </c>
      <c r="J119" s="559">
        <f>IFERROR(__xludf.DUMMYFUNCTION("""COMPUTED_VALUE"""),74.0)</f>
        <v>74</v>
      </c>
      <c r="K119" s="559">
        <f>IFERROR(__xludf.DUMMYFUNCTION("""COMPUTED_VALUE"""),70.0)</f>
        <v>70</v>
      </c>
      <c r="L119" s="560">
        <f>IFERROR(__xludf.DUMMYFUNCTION("""COMPUTED_VALUE"""),50.0)</f>
        <v>50</v>
      </c>
      <c r="M119" s="561">
        <f>IFERROR(__xludf.DUMMYFUNCTION("""COMPUTED_VALUE"""),50.0)</f>
        <v>50</v>
      </c>
      <c r="N119" s="561">
        <f>IFERROR(__xludf.DUMMYFUNCTION("""COMPUTED_VALUE"""),58.0)</f>
        <v>58</v>
      </c>
      <c r="O119" s="560"/>
      <c r="P119" s="562">
        <f>IFERROR(__xludf.DUMMYFUNCTION("""COMPUTED_VALUE"""),82.0)</f>
        <v>82</v>
      </c>
      <c r="Q119" s="562">
        <f>IFERROR(__xludf.DUMMYFUNCTION("""COMPUTED_VALUE"""),72.0)</f>
        <v>72</v>
      </c>
      <c r="R119" s="562">
        <f>IFERROR(__xludf.DUMMYFUNCTION("""COMPUTED_VALUE"""),86.0)</f>
        <v>86</v>
      </c>
      <c r="S119" s="562"/>
      <c r="T119" s="217">
        <f>IFERROR(__xludf.DUMMYFUNCTION("""COMPUTED_VALUE"""),10.0)</f>
        <v>10</v>
      </c>
      <c r="U119" s="217">
        <f>IFERROR(__xludf.DUMMYFUNCTION("""COMPUTED_VALUE"""),17.0)</f>
        <v>17</v>
      </c>
      <c r="V119" s="217">
        <f>IFERROR(__xludf.DUMMYFUNCTION("""COMPUTED_VALUE"""),56.0)</f>
        <v>56</v>
      </c>
      <c r="W119" s="217">
        <f>IFERROR(__xludf.DUMMYFUNCTION("""COMPUTED_VALUE"""),48.0)</f>
        <v>48</v>
      </c>
      <c r="X119" s="217">
        <f>IFERROR(__xludf.DUMMYFUNCTION("""COMPUTED_VALUE"""),86.0)</f>
        <v>86</v>
      </c>
      <c r="Y119" s="217"/>
      <c r="Z119" s="217"/>
      <c r="AA119" s="481">
        <f>IFERROR(__xludf.DUMMYFUNCTION("""COMPUTED_VALUE"""),88.0)</f>
        <v>88</v>
      </c>
      <c r="AB119" s="481">
        <f>IFERROR(__xludf.DUMMYFUNCTION("""COMPUTED_VALUE"""),100.0)</f>
        <v>100</v>
      </c>
      <c r="AC119" s="481">
        <f>IFERROR(__xludf.DUMMYFUNCTION("""COMPUTED_VALUE"""),78.5)</f>
        <v>78.5</v>
      </c>
      <c r="AD119" s="481">
        <f>IFERROR(__xludf.DUMMYFUNCTION("""COMPUTED_VALUE"""),75.0)</f>
        <v>75</v>
      </c>
      <c r="AE119" s="481">
        <f>IFERROR(__xludf.DUMMYFUNCTION("""COMPUTED_VALUE"""),83.0)</f>
        <v>83</v>
      </c>
      <c r="AF119" s="481"/>
      <c r="AG119" s="481">
        <f>IFERROR(__xludf.DUMMYFUNCTION("""COMPUTED_VALUE"""),71.0)</f>
        <v>71</v>
      </c>
      <c r="AH119" s="481"/>
      <c r="AI119" s="158"/>
      <c r="AJ119" s="158"/>
      <c r="AK119" s="133">
        <f>IFERROR(__xludf.DUMMYFUNCTION("""COMPUTED_VALUE"""),4.0)</f>
        <v>4</v>
      </c>
      <c r="AL119" s="133">
        <f>IFERROR(__xludf.DUMMYFUNCTION("""COMPUTED_VALUE"""),3.0)</f>
        <v>3</v>
      </c>
      <c r="AM119" s="133">
        <f>IFERROR(__xludf.DUMMYFUNCTION("""COMPUTED_VALUE"""),2.0)</f>
        <v>2</v>
      </c>
      <c r="AN119" s="133" t="str">
        <f>IFERROR(__xludf.DUMMYFUNCTION("""COMPUTED_VALUE"""),"3.5")</f>
        <v>3.5</v>
      </c>
      <c r="AO119" s="133">
        <f>IFERROR(__xludf.DUMMYFUNCTION("""COMPUTED_VALUE"""),3.0)</f>
        <v>3</v>
      </c>
      <c r="AP119" s="155" t="s">
        <v>2461</v>
      </c>
    </row>
    <row r="120">
      <c r="A120" s="555">
        <f>IFERROR(__xludf.DUMMYFUNCTION("""COMPUTED_VALUE"""),116.0)</f>
        <v>116</v>
      </c>
      <c r="B120" s="555" t="str">
        <f>IFERROR(__xludf.DUMMYFUNCTION("""COMPUTED_VALUE"""),"nidh23cs@cmrit.ac.in")</f>
        <v>nidh23cs@cmrit.ac.in</v>
      </c>
      <c r="C120" s="172" t="str">
        <f>IFERROR(__xludf.DUMMYFUNCTION("""COMPUTED_VALUE"""),"Niraj Dhami")</f>
        <v>Niraj Dhami</v>
      </c>
      <c r="D120" s="261" t="str">
        <f>IFERROR(__xludf.DUMMYFUNCTION("""COMPUTED_VALUE"""),"1CR23CS121")</f>
        <v>1CR23CS121</v>
      </c>
      <c r="E120" s="563">
        <f>IFERROR(__xludf.DUMMYFUNCTION("""COMPUTED_VALUE"""),9.740434422E9)</f>
        <v>9740434422</v>
      </c>
      <c r="F120" s="155" t="str">
        <f>IFERROR(__xludf.DUMMYFUNCTION("""COMPUTED_VALUE"""),"CSE")</f>
        <v>CSE</v>
      </c>
      <c r="G120" s="158"/>
      <c r="H120" s="559">
        <f>IFERROR(__xludf.DUMMYFUNCTION("""COMPUTED_VALUE"""),80.0)</f>
        <v>80</v>
      </c>
      <c r="I120" s="559">
        <f>IFERROR(__xludf.DUMMYFUNCTION("""COMPUTED_VALUE"""),83.0)</f>
        <v>83</v>
      </c>
      <c r="J120" s="559">
        <f>IFERROR(__xludf.DUMMYFUNCTION("""COMPUTED_VALUE"""),73.0)</f>
        <v>73</v>
      </c>
      <c r="K120" s="559">
        <f>IFERROR(__xludf.DUMMYFUNCTION("""COMPUTED_VALUE"""),70.0)</f>
        <v>70</v>
      </c>
      <c r="L120" s="560">
        <f>IFERROR(__xludf.DUMMYFUNCTION("""COMPUTED_VALUE"""),50.0)</f>
        <v>50</v>
      </c>
      <c r="M120" s="561">
        <f>IFERROR(__xludf.DUMMYFUNCTION("""COMPUTED_VALUE"""),50.0)</f>
        <v>50</v>
      </c>
      <c r="N120" s="561">
        <f>IFERROR(__xludf.DUMMYFUNCTION("""COMPUTED_VALUE"""),50.0)</f>
        <v>50</v>
      </c>
      <c r="O120" s="560"/>
      <c r="P120" s="562">
        <f>IFERROR(__xludf.DUMMYFUNCTION("""COMPUTED_VALUE"""),72.0)</f>
        <v>72</v>
      </c>
      <c r="Q120" s="562">
        <f>IFERROR(__xludf.DUMMYFUNCTION("""COMPUTED_VALUE"""),0.0)</f>
        <v>0</v>
      </c>
      <c r="R120" s="562">
        <f>IFERROR(__xludf.DUMMYFUNCTION("""COMPUTED_VALUE"""),0.0)</f>
        <v>0</v>
      </c>
      <c r="S120" s="562"/>
      <c r="T120" s="217">
        <f>IFERROR(__xludf.DUMMYFUNCTION("""COMPUTED_VALUE"""),16.0)</f>
        <v>16</v>
      </c>
      <c r="U120" s="217">
        <f>IFERROR(__xludf.DUMMYFUNCTION("""COMPUTED_VALUE"""),18.0)</f>
        <v>18</v>
      </c>
      <c r="V120" s="217">
        <f>IFERROR(__xludf.DUMMYFUNCTION("""COMPUTED_VALUE"""),56.0)</f>
        <v>56</v>
      </c>
      <c r="W120" s="217">
        <f>IFERROR(__xludf.DUMMYFUNCTION("""COMPUTED_VALUE"""),40.0)</f>
        <v>40</v>
      </c>
      <c r="X120" s="217">
        <f>IFERROR(__xludf.DUMMYFUNCTION("""COMPUTED_VALUE"""),78.0)</f>
        <v>78</v>
      </c>
      <c r="Y120" s="217"/>
      <c r="Z120" s="217"/>
      <c r="AA120" s="481">
        <f>IFERROR(__xludf.DUMMYFUNCTION("""COMPUTED_VALUE"""),100.0)</f>
        <v>100</v>
      </c>
      <c r="AB120" s="481">
        <f>IFERROR(__xludf.DUMMYFUNCTION("""COMPUTED_VALUE"""),97.5)</f>
        <v>97.5</v>
      </c>
      <c r="AC120" s="481">
        <f>IFERROR(__xludf.DUMMYFUNCTION("""COMPUTED_VALUE"""),65.5)</f>
        <v>65.5</v>
      </c>
      <c r="AD120" s="481">
        <f>IFERROR(__xludf.DUMMYFUNCTION("""COMPUTED_VALUE"""),100.0)</f>
        <v>100</v>
      </c>
      <c r="AE120" s="481">
        <f>IFERROR(__xludf.DUMMYFUNCTION("""COMPUTED_VALUE"""),90.0)</f>
        <v>90</v>
      </c>
      <c r="AF120" s="481"/>
      <c r="AG120" s="481">
        <f>IFERROR(__xludf.DUMMYFUNCTION("""COMPUTED_VALUE"""),28.0)</f>
        <v>28</v>
      </c>
      <c r="AH120" s="481"/>
      <c r="AI120" s="158"/>
      <c r="AJ120" s="158"/>
      <c r="AK120" s="133">
        <f>IFERROR(__xludf.DUMMYFUNCTION("""COMPUTED_VALUE"""),4.0)</f>
        <v>4</v>
      </c>
      <c r="AL120" s="133">
        <f>IFERROR(__xludf.DUMMYFUNCTION("""COMPUTED_VALUE"""),3.0)</f>
        <v>3</v>
      </c>
      <c r="AM120" s="133">
        <f>IFERROR(__xludf.DUMMYFUNCTION("""COMPUTED_VALUE"""),2.0)</f>
        <v>2</v>
      </c>
      <c r="AN120" s="133" t="str">
        <f>IFERROR(__xludf.DUMMYFUNCTION("""COMPUTED_VALUE"""),"3.5")</f>
        <v>3.5</v>
      </c>
      <c r="AO120" s="133">
        <f>IFERROR(__xludf.DUMMYFUNCTION("""COMPUTED_VALUE"""),1.0)</f>
        <v>1</v>
      </c>
      <c r="AP120" s="155" t="s">
        <v>2461</v>
      </c>
    </row>
    <row r="121">
      <c r="A121" s="555">
        <f>IFERROR(__xludf.DUMMYFUNCTION("""COMPUTED_VALUE"""),117.0)</f>
        <v>117</v>
      </c>
      <c r="B121" s="555" t="str">
        <f>IFERROR(__xludf.DUMMYFUNCTION("""COMPUTED_VALUE"""),"niku23cs@cmrit.ac.in")</f>
        <v>niku23cs@cmrit.ac.in</v>
      </c>
      <c r="C121" s="172" t="str">
        <f>IFERROR(__xludf.DUMMYFUNCTION("""COMPUTED_VALUE"""),"Niraj Kumar Thakur")</f>
        <v>Niraj Kumar Thakur</v>
      </c>
      <c r="D121" s="261" t="str">
        <f>IFERROR(__xludf.DUMMYFUNCTION("""COMPUTED_VALUE"""),"1CR23CS122")</f>
        <v>1CR23CS122</v>
      </c>
      <c r="E121" s="563">
        <f>IFERROR(__xludf.DUMMYFUNCTION("""COMPUTED_VALUE"""),7.762058764E9)</f>
        <v>7762058764</v>
      </c>
      <c r="F121" s="155" t="str">
        <f>IFERROR(__xludf.DUMMYFUNCTION("""COMPUTED_VALUE"""),"CSE")</f>
        <v>CSE</v>
      </c>
      <c r="G121" s="158"/>
      <c r="H121" s="559">
        <f>IFERROR(__xludf.DUMMYFUNCTION("""COMPUTED_VALUE"""),79.0)</f>
        <v>79</v>
      </c>
      <c r="I121" s="559">
        <f>IFERROR(__xludf.DUMMYFUNCTION("""COMPUTED_VALUE"""),75.0)</f>
        <v>75</v>
      </c>
      <c r="J121" s="559">
        <f>IFERROR(__xludf.DUMMYFUNCTION("""COMPUTED_VALUE"""),70.0)</f>
        <v>70</v>
      </c>
      <c r="K121" s="559">
        <f>IFERROR(__xludf.DUMMYFUNCTION("""COMPUTED_VALUE"""),70.0)</f>
        <v>70</v>
      </c>
      <c r="L121" s="560">
        <f>IFERROR(__xludf.DUMMYFUNCTION("""COMPUTED_VALUE"""),5.0)</f>
        <v>5</v>
      </c>
      <c r="M121" s="561">
        <f>IFERROR(__xludf.DUMMYFUNCTION("""COMPUTED_VALUE"""),30.0)</f>
        <v>30</v>
      </c>
      <c r="N121" s="561">
        <f>IFERROR(__xludf.DUMMYFUNCTION("""COMPUTED_VALUE"""),50.0)</f>
        <v>50</v>
      </c>
      <c r="O121" s="560"/>
      <c r="P121" s="562">
        <f>IFERROR(__xludf.DUMMYFUNCTION("""COMPUTED_VALUE"""),50.0)</f>
        <v>50</v>
      </c>
      <c r="Q121" s="562">
        <f>IFERROR(__xludf.DUMMYFUNCTION("""COMPUTED_VALUE"""),63.0)</f>
        <v>63</v>
      </c>
      <c r="R121" s="562">
        <f>IFERROR(__xludf.DUMMYFUNCTION("""COMPUTED_VALUE"""),50.0)</f>
        <v>50</v>
      </c>
      <c r="S121" s="562"/>
      <c r="T121" s="217">
        <f>IFERROR(__xludf.DUMMYFUNCTION("""COMPUTED_VALUE"""),6.0)</f>
        <v>6</v>
      </c>
      <c r="U121" s="217">
        <f>IFERROR(__xludf.DUMMYFUNCTION("""COMPUTED_VALUE"""),21.0)</f>
        <v>21</v>
      </c>
      <c r="V121" s="217">
        <f>IFERROR(__xludf.DUMMYFUNCTION("""COMPUTED_VALUE"""),52.0)</f>
        <v>52</v>
      </c>
      <c r="W121" s="217">
        <f>IFERROR(__xludf.DUMMYFUNCTION("""COMPUTED_VALUE"""),60.0)</f>
        <v>60</v>
      </c>
      <c r="X121" s="217">
        <f>IFERROR(__xludf.DUMMYFUNCTION("""COMPUTED_VALUE"""),84.0)</f>
        <v>84</v>
      </c>
      <c r="Y121" s="217"/>
      <c r="Z121" s="217"/>
      <c r="AA121" s="481">
        <f>IFERROR(__xludf.DUMMYFUNCTION("""COMPUTED_VALUE"""),88.0)</f>
        <v>88</v>
      </c>
      <c r="AB121" s="481">
        <f>IFERROR(__xludf.DUMMYFUNCTION("""COMPUTED_VALUE"""),99.0)</f>
        <v>99</v>
      </c>
      <c r="AC121" s="481">
        <f>IFERROR(__xludf.DUMMYFUNCTION("""COMPUTED_VALUE"""),67.0)</f>
        <v>67</v>
      </c>
      <c r="AD121" s="481">
        <f>IFERROR(__xludf.DUMMYFUNCTION("""COMPUTED_VALUE"""),100.0)</f>
        <v>100</v>
      </c>
      <c r="AE121" s="481">
        <f>IFERROR(__xludf.DUMMYFUNCTION("""COMPUTED_VALUE"""),76.0)</f>
        <v>76</v>
      </c>
      <c r="AF121" s="481"/>
      <c r="AG121" s="481">
        <f>IFERROR(__xludf.DUMMYFUNCTION("""COMPUTED_VALUE"""),5.0)</f>
        <v>5</v>
      </c>
      <c r="AH121" s="481"/>
      <c r="AI121" s="158"/>
      <c r="AJ121" s="158"/>
      <c r="AK121" s="133">
        <f>IFERROR(__xludf.DUMMYFUNCTION("""COMPUTED_VALUE"""),4.0)</f>
        <v>4</v>
      </c>
      <c r="AL121" s="133">
        <f>IFERROR(__xludf.DUMMYFUNCTION("""COMPUTED_VALUE"""),0.0)</f>
        <v>0</v>
      </c>
      <c r="AM121" s="133">
        <f>IFERROR(__xludf.DUMMYFUNCTION("""COMPUTED_VALUE"""),3.0)</f>
        <v>3</v>
      </c>
      <c r="AN121" s="133" t="str">
        <f>IFERROR(__xludf.DUMMYFUNCTION("""COMPUTED_VALUE"""),"3.5")</f>
        <v>3.5</v>
      </c>
      <c r="AO121" s="133">
        <f>IFERROR(__xludf.DUMMYFUNCTION("""COMPUTED_VALUE"""),3.0)</f>
        <v>3</v>
      </c>
      <c r="AP121" s="155" t="s">
        <v>2461</v>
      </c>
    </row>
    <row r="122">
      <c r="A122" s="555">
        <f>IFERROR(__xludf.DUMMYFUNCTION("""COMPUTED_VALUE"""),118.0)</f>
        <v>118</v>
      </c>
      <c r="B122" s="555" t="str">
        <f>IFERROR(__xludf.DUMMYFUNCTION("""COMPUTED_VALUE"""),"niba23cs@cmrit.ac.in")</f>
        <v>niba23cs@cmrit.ac.in</v>
      </c>
      <c r="C122" s="172" t="str">
        <f>IFERROR(__xludf.DUMMYFUNCTION("""COMPUTED_VALUE"""),"Nirajan Baij")</f>
        <v>Nirajan Baij</v>
      </c>
      <c r="D122" s="261" t="str">
        <f>IFERROR(__xludf.DUMMYFUNCTION("""COMPUTED_VALUE"""),"1CR23CS123")</f>
        <v>1CR23CS123</v>
      </c>
      <c r="E122" s="563">
        <f>IFERROR(__xludf.DUMMYFUNCTION("""COMPUTED_VALUE"""),9.864972947E9)</f>
        <v>9864972947</v>
      </c>
      <c r="F122" s="155" t="str">
        <f>IFERROR(__xludf.DUMMYFUNCTION("""COMPUTED_VALUE"""),"CSE")</f>
        <v>CSE</v>
      </c>
      <c r="G122" s="158"/>
      <c r="H122" s="559">
        <f>IFERROR(__xludf.DUMMYFUNCTION("""COMPUTED_VALUE"""),80.0)</f>
        <v>80</v>
      </c>
      <c r="I122" s="559">
        <f>IFERROR(__xludf.DUMMYFUNCTION("""COMPUTED_VALUE"""),83.0)</f>
        <v>83</v>
      </c>
      <c r="J122" s="559">
        <f>IFERROR(__xludf.DUMMYFUNCTION("""COMPUTED_VALUE"""),70.0)</f>
        <v>70</v>
      </c>
      <c r="K122" s="559">
        <f>IFERROR(__xludf.DUMMYFUNCTION("""COMPUTED_VALUE"""),73.0)</f>
        <v>73</v>
      </c>
      <c r="L122" s="560">
        <f>IFERROR(__xludf.DUMMYFUNCTION("""COMPUTED_VALUE"""),50.0)</f>
        <v>50</v>
      </c>
      <c r="M122" s="561">
        <f>IFERROR(__xludf.DUMMYFUNCTION("""COMPUTED_VALUE"""),50.0)</f>
        <v>50</v>
      </c>
      <c r="N122" s="561">
        <f>IFERROR(__xludf.DUMMYFUNCTION("""COMPUTED_VALUE"""),0.0)</f>
        <v>0</v>
      </c>
      <c r="O122" s="560"/>
      <c r="P122" s="562">
        <f>IFERROR(__xludf.DUMMYFUNCTION("""COMPUTED_VALUE"""),50.0)</f>
        <v>50</v>
      </c>
      <c r="Q122" s="562">
        <f>IFERROR(__xludf.DUMMYFUNCTION("""COMPUTED_VALUE"""),63.0)</f>
        <v>63</v>
      </c>
      <c r="R122" s="562">
        <f>IFERROR(__xludf.DUMMYFUNCTION("""COMPUTED_VALUE"""),50.0)</f>
        <v>50</v>
      </c>
      <c r="S122" s="562"/>
      <c r="T122" s="217">
        <f>IFERROR(__xludf.DUMMYFUNCTION("""COMPUTED_VALUE"""),22.0)</f>
        <v>22</v>
      </c>
      <c r="U122" s="217">
        <f>IFERROR(__xludf.DUMMYFUNCTION("""COMPUTED_VALUE"""),18.0)</f>
        <v>18</v>
      </c>
      <c r="V122" s="217">
        <f>IFERROR(__xludf.DUMMYFUNCTION("""COMPUTED_VALUE"""),80.0)</f>
        <v>80</v>
      </c>
      <c r="W122" s="217">
        <f>IFERROR(__xludf.DUMMYFUNCTION("""COMPUTED_VALUE"""),36.0)</f>
        <v>36</v>
      </c>
      <c r="X122" s="217">
        <f>IFERROR(__xludf.DUMMYFUNCTION("""COMPUTED_VALUE"""),82.0)</f>
        <v>82</v>
      </c>
      <c r="Y122" s="217"/>
      <c r="Z122" s="217"/>
      <c r="AA122" s="481">
        <f>IFERROR(__xludf.DUMMYFUNCTION("""COMPUTED_VALUE"""),94.0)</f>
        <v>94</v>
      </c>
      <c r="AB122" s="481">
        <f>IFERROR(__xludf.DUMMYFUNCTION("""COMPUTED_VALUE"""),100.0)</f>
        <v>100</v>
      </c>
      <c r="AC122" s="481">
        <f>IFERROR(__xludf.DUMMYFUNCTION("""COMPUTED_VALUE"""),67.5)</f>
        <v>67.5</v>
      </c>
      <c r="AD122" s="481">
        <f>IFERROR(__xludf.DUMMYFUNCTION("""COMPUTED_VALUE"""),100.0)</f>
        <v>100</v>
      </c>
      <c r="AE122" s="481">
        <f>IFERROR(__xludf.DUMMYFUNCTION("""COMPUTED_VALUE"""),55.0)</f>
        <v>55</v>
      </c>
      <c r="AF122" s="481"/>
      <c r="AG122" s="481">
        <f>IFERROR(__xludf.DUMMYFUNCTION("""COMPUTED_VALUE"""),5.0)</f>
        <v>5</v>
      </c>
      <c r="AH122" s="481"/>
      <c r="AI122" s="158"/>
      <c r="AJ122" s="158"/>
      <c r="AK122" s="133">
        <f>IFERROR(__xludf.DUMMYFUNCTION("""COMPUTED_VALUE"""),4.0)</f>
        <v>4</v>
      </c>
      <c r="AL122" s="133">
        <f>IFERROR(__xludf.DUMMYFUNCTION("""COMPUTED_VALUE"""),2.0)</f>
        <v>2</v>
      </c>
      <c r="AM122" s="133">
        <f>IFERROR(__xludf.DUMMYFUNCTION("""COMPUTED_VALUE"""),2.0)</f>
        <v>2</v>
      </c>
      <c r="AN122" s="133" t="str">
        <f>IFERROR(__xludf.DUMMYFUNCTION("""COMPUTED_VALUE"""),"3")</f>
        <v>3</v>
      </c>
      <c r="AO122" s="133">
        <f>IFERROR(__xludf.DUMMYFUNCTION("""COMPUTED_VALUE"""),3.0)</f>
        <v>3</v>
      </c>
      <c r="AP122" s="155" t="s">
        <v>2461</v>
      </c>
    </row>
    <row r="123">
      <c r="A123" s="555">
        <f>IFERROR(__xludf.DUMMYFUNCTION("""COMPUTED_VALUE"""),119.0)</f>
        <v>119</v>
      </c>
      <c r="B123" s="555" t="str">
        <f>IFERROR(__xludf.DUMMYFUNCTION("""COMPUTED_VALUE"""),"nim23cs@cmrit.ac.in")</f>
        <v>nim23cs@cmrit.ac.in</v>
      </c>
      <c r="C123" s="172" t="str">
        <f>IFERROR(__xludf.DUMMYFUNCTION("""COMPUTED_VALUE"""),"Nishitha M")</f>
        <v>Nishitha M</v>
      </c>
      <c r="D123" s="261" t="str">
        <f>IFERROR(__xludf.DUMMYFUNCTION("""COMPUTED_VALUE"""),"1CR23CS124")</f>
        <v>1CR23CS124</v>
      </c>
      <c r="E123" s="563">
        <f>IFERROR(__xludf.DUMMYFUNCTION("""COMPUTED_VALUE"""),9.380140297E9)</f>
        <v>9380140297</v>
      </c>
      <c r="F123" s="155" t="str">
        <f>IFERROR(__xludf.DUMMYFUNCTION("""COMPUTED_VALUE"""),"CSE")</f>
        <v>CSE</v>
      </c>
      <c r="G123" s="158"/>
      <c r="H123" s="559">
        <f>IFERROR(__xludf.DUMMYFUNCTION("""COMPUTED_VALUE"""),78.0)</f>
        <v>78</v>
      </c>
      <c r="I123" s="559">
        <f>IFERROR(__xludf.DUMMYFUNCTION("""COMPUTED_VALUE"""),85.0)</f>
        <v>85</v>
      </c>
      <c r="J123" s="559">
        <f>IFERROR(__xludf.DUMMYFUNCTION("""COMPUTED_VALUE"""),75.0)</f>
        <v>75</v>
      </c>
      <c r="K123" s="559">
        <f>IFERROR(__xludf.DUMMYFUNCTION("""COMPUTED_VALUE"""),78.0)</f>
        <v>78</v>
      </c>
      <c r="L123" s="560">
        <f>IFERROR(__xludf.DUMMYFUNCTION("""COMPUTED_VALUE"""),53.0)</f>
        <v>53</v>
      </c>
      <c r="M123" s="561">
        <f>IFERROR(__xludf.DUMMYFUNCTION("""COMPUTED_VALUE"""),50.0)</f>
        <v>50</v>
      </c>
      <c r="N123" s="561">
        <f>IFERROR(__xludf.DUMMYFUNCTION("""COMPUTED_VALUE"""),51.0)</f>
        <v>51</v>
      </c>
      <c r="O123" s="560"/>
      <c r="P123" s="562">
        <f>IFERROR(__xludf.DUMMYFUNCTION("""COMPUTED_VALUE"""),80.0)</f>
        <v>80</v>
      </c>
      <c r="Q123" s="562">
        <f>IFERROR(__xludf.DUMMYFUNCTION("""COMPUTED_VALUE"""),84.0)</f>
        <v>84</v>
      </c>
      <c r="R123" s="562">
        <f>IFERROR(__xludf.DUMMYFUNCTION("""COMPUTED_VALUE"""),84.0)</f>
        <v>84</v>
      </c>
      <c r="S123" s="562"/>
      <c r="T123" s="217">
        <f>IFERROR(__xludf.DUMMYFUNCTION("""COMPUTED_VALUE"""),22.0)</f>
        <v>22</v>
      </c>
      <c r="U123" s="217">
        <f>IFERROR(__xludf.DUMMYFUNCTION("""COMPUTED_VALUE"""),21.0)</f>
        <v>21</v>
      </c>
      <c r="V123" s="217">
        <f>IFERROR(__xludf.DUMMYFUNCTION("""COMPUTED_VALUE"""),76.0)</f>
        <v>76</v>
      </c>
      <c r="W123" s="217">
        <f>IFERROR(__xludf.DUMMYFUNCTION("""COMPUTED_VALUE"""),36.0)</f>
        <v>36</v>
      </c>
      <c r="X123" s="217">
        <f>IFERROR(__xludf.DUMMYFUNCTION("""COMPUTED_VALUE"""),80.0)</f>
        <v>80</v>
      </c>
      <c r="Y123" s="217"/>
      <c r="Z123" s="217"/>
      <c r="AA123" s="481">
        <f>IFERROR(__xludf.DUMMYFUNCTION("""COMPUTED_VALUE"""),72.0)</f>
        <v>72</v>
      </c>
      <c r="AB123" s="481">
        <f>IFERROR(__xludf.DUMMYFUNCTION("""COMPUTED_VALUE"""),85.0)</f>
        <v>85</v>
      </c>
      <c r="AC123" s="481">
        <f>IFERROR(__xludf.DUMMYFUNCTION("""COMPUTED_VALUE"""),74.0)</f>
        <v>74</v>
      </c>
      <c r="AD123" s="481">
        <f>IFERROR(__xludf.DUMMYFUNCTION("""COMPUTED_VALUE"""),100.0)</f>
        <v>100</v>
      </c>
      <c r="AE123" s="481">
        <f>IFERROR(__xludf.DUMMYFUNCTION("""COMPUTED_VALUE"""),70.0)</f>
        <v>70</v>
      </c>
      <c r="AF123" s="481"/>
      <c r="AG123" s="481">
        <f>IFERROR(__xludf.DUMMYFUNCTION("""COMPUTED_VALUE"""),78.0)</f>
        <v>78</v>
      </c>
      <c r="AH123" s="481"/>
      <c r="AI123" s="158"/>
      <c r="AJ123" s="158"/>
      <c r="AK123" s="133">
        <f>IFERROR(__xludf.DUMMYFUNCTION("""COMPUTED_VALUE"""),4.0)</f>
        <v>4</v>
      </c>
      <c r="AL123" s="133">
        <f>IFERROR(__xludf.DUMMYFUNCTION("""COMPUTED_VALUE"""),3.0)</f>
        <v>3</v>
      </c>
      <c r="AM123" s="133">
        <f>IFERROR(__xludf.DUMMYFUNCTION("""COMPUTED_VALUE"""),2.0)</f>
        <v>2</v>
      </c>
      <c r="AN123" s="133" t="str">
        <f>IFERROR(__xludf.DUMMYFUNCTION("""COMPUTED_VALUE"""),"3.5")</f>
        <v>3.5</v>
      </c>
      <c r="AO123" s="133">
        <f>IFERROR(__xludf.DUMMYFUNCTION("""COMPUTED_VALUE"""),3.0)</f>
        <v>3</v>
      </c>
      <c r="AP123" s="155" t="s">
        <v>2461</v>
      </c>
    </row>
    <row r="124">
      <c r="A124" s="555">
        <f>IFERROR(__xludf.DUMMYFUNCTION("""COMPUTED_VALUE"""),120.0)</f>
        <v>120</v>
      </c>
      <c r="B124" s="555" t="str">
        <f>IFERROR(__xludf.DUMMYFUNCTION("""COMPUTED_VALUE"""),"nisk23cs@cmrit.ac.in")</f>
        <v>nisk23cs@cmrit.ac.in</v>
      </c>
      <c r="C124" s="172" t="str">
        <f>IFERROR(__xludf.DUMMYFUNCTION("""COMPUTED_VALUE"""),"NIVEDH S KALASKAR")</f>
        <v>NIVEDH S KALASKAR</v>
      </c>
      <c r="D124" s="261" t="str">
        <f>IFERROR(__xludf.DUMMYFUNCTION("""COMPUTED_VALUE"""),"1CR23CS125")</f>
        <v>1CR23CS125</v>
      </c>
      <c r="E124" s="563">
        <f>IFERROR(__xludf.DUMMYFUNCTION("""COMPUTED_VALUE"""),6.364734444E9)</f>
        <v>6364734444</v>
      </c>
      <c r="F124" s="155" t="str">
        <f>IFERROR(__xludf.DUMMYFUNCTION("""COMPUTED_VALUE"""),"CSE")</f>
        <v>CSE</v>
      </c>
      <c r="G124" s="158"/>
      <c r="H124" s="559">
        <f>IFERROR(__xludf.DUMMYFUNCTION("""COMPUTED_VALUE"""),82.0)</f>
        <v>82</v>
      </c>
      <c r="I124" s="559">
        <f>IFERROR(__xludf.DUMMYFUNCTION("""COMPUTED_VALUE"""),74.0)</f>
        <v>74</v>
      </c>
      <c r="J124" s="559">
        <f>IFERROR(__xludf.DUMMYFUNCTION("""COMPUTED_VALUE"""),47.0)</f>
        <v>47</v>
      </c>
      <c r="K124" s="559">
        <f>IFERROR(__xludf.DUMMYFUNCTION("""COMPUTED_VALUE"""),70.0)</f>
        <v>70</v>
      </c>
      <c r="L124" s="560">
        <f>IFERROR(__xludf.DUMMYFUNCTION("""COMPUTED_VALUE"""),42.0)</f>
        <v>42</v>
      </c>
      <c r="M124" s="561">
        <f>IFERROR(__xludf.DUMMYFUNCTION("""COMPUTED_VALUE"""),18.0)</f>
        <v>18</v>
      </c>
      <c r="N124" s="561">
        <f>IFERROR(__xludf.DUMMYFUNCTION("""COMPUTED_VALUE"""),6.0)</f>
        <v>6</v>
      </c>
      <c r="O124" s="560"/>
      <c r="P124" s="562">
        <f>IFERROR(__xludf.DUMMYFUNCTION("""COMPUTED_VALUE"""),50.0)</f>
        <v>50</v>
      </c>
      <c r="Q124" s="562">
        <f>IFERROR(__xludf.DUMMYFUNCTION("""COMPUTED_VALUE"""),0.0)</f>
        <v>0</v>
      </c>
      <c r="R124" s="562">
        <f>IFERROR(__xludf.DUMMYFUNCTION("""COMPUTED_VALUE"""),0.0)</f>
        <v>0</v>
      </c>
      <c r="S124" s="562"/>
      <c r="T124" s="217">
        <f>IFERROR(__xludf.DUMMYFUNCTION("""COMPUTED_VALUE"""),21.0)</f>
        <v>21</v>
      </c>
      <c r="U124" s="217">
        <f>IFERROR(__xludf.DUMMYFUNCTION("""COMPUTED_VALUE"""),17.0)</f>
        <v>17</v>
      </c>
      <c r="V124" s="217">
        <f>IFERROR(__xludf.DUMMYFUNCTION("""COMPUTED_VALUE"""),88.0)</f>
        <v>88</v>
      </c>
      <c r="W124" s="217">
        <f>IFERROR(__xludf.DUMMYFUNCTION("""COMPUTED_VALUE"""),44.0)</f>
        <v>44</v>
      </c>
      <c r="X124" s="217">
        <f>IFERROR(__xludf.DUMMYFUNCTION("""COMPUTED_VALUE"""),86.0)</f>
        <v>86</v>
      </c>
      <c r="Y124" s="217"/>
      <c r="Z124" s="217"/>
      <c r="AA124" s="481">
        <f>IFERROR(__xludf.DUMMYFUNCTION("""COMPUTED_VALUE"""),72.0)</f>
        <v>72</v>
      </c>
      <c r="AB124" s="481">
        <f>IFERROR(__xludf.DUMMYFUNCTION("""COMPUTED_VALUE"""),87.0)</f>
        <v>87</v>
      </c>
      <c r="AC124" s="481">
        <f>IFERROR(__xludf.DUMMYFUNCTION("""COMPUTED_VALUE"""),90.0)</f>
        <v>90</v>
      </c>
      <c r="AD124" s="481">
        <f>IFERROR(__xludf.DUMMYFUNCTION("""COMPUTED_VALUE"""),90.0)</f>
        <v>90</v>
      </c>
      <c r="AE124" s="481">
        <f>IFERROR(__xludf.DUMMYFUNCTION("""COMPUTED_VALUE"""),45.0)</f>
        <v>45</v>
      </c>
      <c r="AF124" s="481"/>
      <c r="AG124" s="481">
        <f>IFERROR(__xludf.DUMMYFUNCTION("""COMPUTED_VALUE"""),5.0)</f>
        <v>5</v>
      </c>
      <c r="AH124" s="481"/>
      <c r="AI124" s="158"/>
      <c r="AJ124" s="158"/>
      <c r="AK124" s="133">
        <f>IFERROR(__xludf.DUMMYFUNCTION("""COMPUTED_VALUE"""),2.0)</f>
        <v>2</v>
      </c>
      <c r="AL124" s="133">
        <f>IFERROR(__xludf.DUMMYFUNCTION("""COMPUTED_VALUE"""),0.0)</f>
        <v>0</v>
      </c>
      <c r="AM124" s="133">
        <f>IFERROR(__xludf.DUMMYFUNCTION("""COMPUTED_VALUE"""),2.0)</f>
        <v>2</v>
      </c>
      <c r="AN124" s="133" t="str">
        <f>IFERROR(__xludf.DUMMYFUNCTION("""COMPUTED_VALUE"""),"3")</f>
        <v>3</v>
      </c>
      <c r="AO124" s="133">
        <f>IFERROR(__xludf.DUMMYFUNCTION("""COMPUTED_VALUE"""),1.0)</f>
        <v>1</v>
      </c>
      <c r="AP124" s="155" t="s">
        <v>2461</v>
      </c>
    </row>
    <row r="125">
      <c r="A125" s="555">
        <f>IFERROR(__xludf.DUMMYFUNCTION("""COMPUTED_VALUE"""),121.0)</f>
        <v>121</v>
      </c>
      <c r="B125" s="555" t="str">
        <f>IFERROR(__xludf.DUMMYFUNCTION("""COMPUTED_VALUE"""),"pami23cs@cmrit.ac.in")</f>
        <v>pami23cs@cmrit.ac.in</v>
      </c>
      <c r="C125" s="172" t="str">
        <f>IFERROR(__xludf.DUMMYFUNCTION("""COMPUTED_VALUE"""),"Palak Mishra")</f>
        <v>Palak Mishra</v>
      </c>
      <c r="D125" s="261" t="str">
        <f>IFERROR(__xludf.DUMMYFUNCTION("""COMPUTED_VALUE"""),"1CR23CS126")</f>
        <v>1CR23CS126</v>
      </c>
      <c r="E125" s="563">
        <f>IFERROR(__xludf.DUMMYFUNCTION("""COMPUTED_VALUE"""),7.250478007E9)</f>
        <v>7250478007</v>
      </c>
      <c r="F125" s="155" t="str">
        <f>IFERROR(__xludf.DUMMYFUNCTION("""COMPUTED_VALUE"""),"CSE")</f>
        <v>CSE</v>
      </c>
      <c r="G125" s="158"/>
      <c r="H125" s="559">
        <f>IFERROR(__xludf.DUMMYFUNCTION("""COMPUTED_VALUE"""),87.0)</f>
        <v>87</v>
      </c>
      <c r="I125" s="559">
        <f>IFERROR(__xludf.DUMMYFUNCTION("""COMPUTED_VALUE"""),83.0)</f>
        <v>83</v>
      </c>
      <c r="J125" s="559">
        <f>IFERROR(__xludf.DUMMYFUNCTION("""COMPUTED_VALUE"""),71.0)</f>
        <v>71</v>
      </c>
      <c r="K125" s="559">
        <f>IFERROR(__xludf.DUMMYFUNCTION("""COMPUTED_VALUE"""),70.0)</f>
        <v>70</v>
      </c>
      <c r="L125" s="560">
        <f>IFERROR(__xludf.DUMMYFUNCTION("""COMPUTED_VALUE"""),53.0)</f>
        <v>53</v>
      </c>
      <c r="M125" s="561">
        <f>IFERROR(__xludf.DUMMYFUNCTION("""COMPUTED_VALUE"""),50.0)</f>
        <v>50</v>
      </c>
      <c r="N125" s="561">
        <f>IFERROR(__xludf.DUMMYFUNCTION("""COMPUTED_VALUE"""),50.0)</f>
        <v>50</v>
      </c>
      <c r="O125" s="560"/>
      <c r="P125" s="562">
        <f>IFERROR(__xludf.DUMMYFUNCTION("""COMPUTED_VALUE"""),73.0)</f>
        <v>73</v>
      </c>
      <c r="Q125" s="562">
        <f>IFERROR(__xludf.DUMMYFUNCTION("""COMPUTED_VALUE"""),66.0)</f>
        <v>66</v>
      </c>
      <c r="R125" s="562">
        <f>IFERROR(__xludf.DUMMYFUNCTION("""COMPUTED_VALUE"""),86.0)</f>
        <v>86</v>
      </c>
      <c r="S125" s="562"/>
      <c r="T125" s="217">
        <f>IFERROR(__xludf.DUMMYFUNCTION("""COMPUTED_VALUE"""),10.0)</f>
        <v>10</v>
      </c>
      <c r="U125" s="217">
        <f>IFERROR(__xludf.DUMMYFUNCTION("""COMPUTED_VALUE"""),16.0)</f>
        <v>16</v>
      </c>
      <c r="V125" s="217">
        <f>IFERROR(__xludf.DUMMYFUNCTION("""COMPUTED_VALUE"""),72.0)</f>
        <v>72</v>
      </c>
      <c r="W125" s="217">
        <f>IFERROR(__xludf.DUMMYFUNCTION("""COMPUTED_VALUE"""),40.0)</f>
        <v>40</v>
      </c>
      <c r="X125" s="217">
        <f>IFERROR(__xludf.DUMMYFUNCTION("""COMPUTED_VALUE"""),78.0)</f>
        <v>78</v>
      </c>
      <c r="Y125" s="217"/>
      <c r="Z125" s="217"/>
      <c r="AA125" s="481">
        <f>IFERROR(__xludf.DUMMYFUNCTION("""COMPUTED_VALUE"""),72.0)</f>
        <v>72</v>
      </c>
      <c r="AB125" s="481">
        <f>IFERROR(__xludf.DUMMYFUNCTION("""COMPUTED_VALUE"""),99.0)</f>
        <v>99</v>
      </c>
      <c r="AC125" s="481">
        <f>IFERROR(__xludf.DUMMYFUNCTION("""COMPUTED_VALUE"""),70.0)</f>
        <v>70</v>
      </c>
      <c r="AD125" s="481">
        <f>IFERROR(__xludf.DUMMYFUNCTION("""COMPUTED_VALUE"""),44.0)</f>
        <v>44</v>
      </c>
      <c r="AE125" s="481">
        <f>IFERROR(__xludf.DUMMYFUNCTION("""COMPUTED_VALUE"""),70.0)</f>
        <v>70</v>
      </c>
      <c r="AF125" s="481"/>
      <c r="AG125" s="481">
        <f>IFERROR(__xludf.DUMMYFUNCTION("""COMPUTED_VALUE"""),31.0)</f>
        <v>31</v>
      </c>
      <c r="AH125" s="481"/>
      <c r="AI125" s="158"/>
      <c r="AJ125" s="158"/>
      <c r="AK125" s="133">
        <f>IFERROR(__xludf.DUMMYFUNCTION("""COMPUTED_VALUE"""),4.0)</f>
        <v>4</v>
      </c>
      <c r="AL125" s="133">
        <f>IFERROR(__xludf.DUMMYFUNCTION("""COMPUTED_VALUE"""),3.0)</f>
        <v>3</v>
      </c>
      <c r="AM125" s="133">
        <f>IFERROR(__xludf.DUMMYFUNCTION("""COMPUTED_VALUE"""),2.0)</f>
        <v>2</v>
      </c>
      <c r="AN125" s="133" t="str">
        <f>IFERROR(__xludf.DUMMYFUNCTION("""COMPUTED_VALUE"""),"3.5")</f>
        <v>3.5</v>
      </c>
      <c r="AO125" s="133">
        <f>IFERROR(__xludf.DUMMYFUNCTION("""COMPUTED_VALUE"""),3.0)</f>
        <v>3</v>
      </c>
      <c r="AP125" s="155" t="s">
        <v>2461</v>
      </c>
    </row>
    <row r="126">
      <c r="A126" s="555">
        <f>IFERROR(__xludf.DUMMYFUNCTION("""COMPUTED_VALUE"""),122.0)</f>
        <v>122</v>
      </c>
      <c r="B126" s="555" t="str">
        <f>IFERROR(__xludf.DUMMYFUNCTION("""COMPUTED_VALUE"""),"pabr23cs@cmrit.ac.in")</f>
        <v>pabr23cs@cmrit.ac.in</v>
      </c>
      <c r="C126" s="172" t="str">
        <f>IFERROR(__xludf.DUMMYFUNCTION("""COMPUTED_VALUE"""),"pavan br")</f>
        <v>pavan br</v>
      </c>
      <c r="D126" s="261" t="str">
        <f>IFERROR(__xludf.DUMMYFUNCTION("""COMPUTED_VALUE"""),"1CR23CS127")</f>
        <v>1CR23CS127</v>
      </c>
      <c r="E126" s="563">
        <f>IFERROR(__xludf.DUMMYFUNCTION("""COMPUTED_VALUE"""),9.480850001E9)</f>
        <v>9480850001</v>
      </c>
      <c r="F126" s="155" t="str">
        <f>IFERROR(__xludf.DUMMYFUNCTION("""COMPUTED_VALUE"""),"CSE")</f>
        <v>CSE</v>
      </c>
      <c r="G126" s="158"/>
      <c r="H126" s="559">
        <f>IFERROR(__xludf.DUMMYFUNCTION("""COMPUTED_VALUE"""),80.0)</f>
        <v>80</v>
      </c>
      <c r="I126" s="559">
        <f>IFERROR(__xludf.DUMMYFUNCTION("""COMPUTED_VALUE"""),83.0)</f>
        <v>83</v>
      </c>
      <c r="J126" s="559">
        <f>IFERROR(__xludf.DUMMYFUNCTION("""COMPUTED_VALUE"""),70.0)</f>
        <v>70</v>
      </c>
      <c r="K126" s="559">
        <f>IFERROR(__xludf.DUMMYFUNCTION("""COMPUTED_VALUE"""),70.0)</f>
        <v>70</v>
      </c>
      <c r="L126" s="560">
        <f>IFERROR(__xludf.DUMMYFUNCTION("""COMPUTED_VALUE"""),50.0)</f>
        <v>50</v>
      </c>
      <c r="M126" s="561">
        <f>IFERROR(__xludf.DUMMYFUNCTION("""COMPUTED_VALUE"""),50.0)</f>
        <v>50</v>
      </c>
      <c r="N126" s="561">
        <f>IFERROR(__xludf.DUMMYFUNCTION("""COMPUTED_VALUE"""),50.0)</f>
        <v>50</v>
      </c>
      <c r="O126" s="560"/>
      <c r="P126" s="562">
        <f>IFERROR(__xludf.DUMMYFUNCTION("""COMPUTED_VALUE"""),50.0)</f>
        <v>50</v>
      </c>
      <c r="Q126" s="562">
        <f>IFERROR(__xludf.DUMMYFUNCTION("""COMPUTED_VALUE"""),63.0)</f>
        <v>63</v>
      </c>
      <c r="R126" s="562">
        <f>IFERROR(__xludf.DUMMYFUNCTION("""COMPUTED_VALUE"""),92.0)</f>
        <v>92</v>
      </c>
      <c r="S126" s="562"/>
      <c r="T126" s="217">
        <f>IFERROR(__xludf.DUMMYFUNCTION("""COMPUTED_VALUE"""),10.0)</f>
        <v>10</v>
      </c>
      <c r="U126" s="217">
        <f>IFERROR(__xludf.DUMMYFUNCTION("""COMPUTED_VALUE"""),14.0)</f>
        <v>14</v>
      </c>
      <c r="V126" s="217">
        <f>IFERROR(__xludf.DUMMYFUNCTION("""COMPUTED_VALUE"""),84.0)</f>
        <v>84</v>
      </c>
      <c r="W126" s="217">
        <f>IFERROR(__xludf.DUMMYFUNCTION("""COMPUTED_VALUE"""),36.0)</f>
        <v>36</v>
      </c>
      <c r="X126" s="217">
        <f>IFERROR(__xludf.DUMMYFUNCTION("""COMPUTED_VALUE"""),86.0)</f>
        <v>86</v>
      </c>
      <c r="Y126" s="217"/>
      <c r="Z126" s="217"/>
      <c r="AA126" s="481">
        <f>IFERROR(__xludf.DUMMYFUNCTION("""COMPUTED_VALUE"""),34.0)</f>
        <v>34</v>
      </c>
      <c r="AB126" s="481">
        <f>IFERROR(__xludf.DUMMYFUNCTION("""COMPUTED_VALUE"""),50.0)</f>
        <v>50</v>
      </c>
      <c r="AC126" s="481">
        <f>IFERROR(__xludf.DUMMYFUNCTION("""COMPUTED_VALUE"""),0.0)</f>
        <v>0</v>
      </c>
      <c r="AD126" s="481">
        <f>IFERROR(__xludf.DUMMYFUNCTION("""COMPUTED_VALUE"""),100.0)</f>
        <v>100</v>
      </c>
      <c r="AE126" s="481">
        <f>IFERROR(__xludf.DUMMYFUNCTION("""COMPUTED_VALUE"""),19.0)</f>
        <v>19</v>
      </c>
      <c r="AF126" s="481"/>
      <c r="AG126" s="481">
        <f>IFERROR(__xludf.DUMMYFUNCTION("""COMPUTED_VALUE"""),5.0)</f>
        <v>5</v>
      </c>
      <c r="AH126" s="481"/>
      <c r="AI126" s="158"/>
      <c r="AJ126" s="158"/>
      <c r="AK126" s="133">
        <f>IFERROR(__xludf.DUMMYFUNCTION("""COMPUTED_VALUE"""),4.0)</f>
        <v>4</v>
      </c>
      <c r="AL126" s="133">
        <f>IFERROR(__xludf.DUMMYFUNCTION("""COMPUTED_VALUE"""),3.0)</f>
        <v>3</v>
      </c>
      <c r="AM126" s="133">
        <f>IFERROR(__xludf.DUMMYFUNCTION("""COMPUTED_VALUE"""),2.0)</f>
        <v>2</v>
      </c>
      <c r="AN126" s="133" t="str">
        <f>IFERROR(__xludf.DUMMYFUNCTION("""COMPUTED_VALUE"""),"3")</f>
        <v>3</v>
      </c>
      <c r="AO126" s="133">
        <f>IFERROR(__xludf.DUMMYFUNCTION("""COMPUTED_VALUE"""),3.0)</f>
        <v>3</v>
      </c>
      <c r="AP126" s="155" t="s">
        <v>2461</v>
      </c>
    </row>
    <row r="127">
      <c r="A127" s="555">
        <f>IFERROR(__xludf.DUMMYFUNCTION("""COMPUTED_VALUE"""),123.0)</f>
        <v>123</v>
      </c>
      <c r="B127" s="555" t="str">
        <f>IFERROR(__xludf.DUMMYFUNCTION("""COMPUTED_VALUE"""),"pabv23cs@cmrit.ac.in")</f>
        <v>pabv23cs@cmrit.ac.in</v>
      </c>
      <c r="C127" s="172" t="str">
        <f>IFERROR(__xludf.DUMMYFUNCTION("""COMPUTED_VALUE"""),"Pavan B V")</f>
        <v>Pavan B V</v>
      </c>
      <c r="D127" s="261" t="str">
        <f>IFERROR(__xludf.DUMMYFUNCTION("""COMPUTED_VALUE"""),"1CR23CS128")</f>
        <v>1CR23CS128</v>
      </c>
      <c r="E127" s="563">
        <f>IFERROR(__xludf.DUMMYFUNCTION("""COMPUTED_VALUE"""),6.362551477E9)</f>
        <v>6362551477</v>
      </c>
      <c r="F127" s="155" t="str">
        <f>IFERROR(__xludf.DUMMYFUNCTION("""COMPUTED_VALUE"""),"CSE")</f>
        <v>CSE</v>
      </c>
      <c r="G127" s="158"/>
      <c r="H127" s="559">
        <f>IFERROR(__xludf.DUMMYFUNCTION("""COMPUTED_VALUE"""),71.0)</f>
        <v>71</v>
      </c>
      <c r="I127" s="559">
        <f>IFERROR(__xludf.DUMMYFUNCTION("""COMPUTED_VALUE"""),75.0)</f>
        <v>75</v>
      </c>
      <c r="J127" s="559">
        <f>IFERROR(__xludf.DUMMYFUNCTION("""COMPUTED_VALUE"""),70.0)</f>
        <v>70</v>
      </c>
      <c r="K127" s="559">
        <f>IFERROR(__xludf.DUMMYFUNCTION("""COMPUTED_VALUE"""),78.0)</f>
        <v>78</v>
      </c>
      <c r="L127" s="560">
        <f>IFERROR(__xludf.DUMMYFUNCTION("""COMPUTED_VALUE"""),50.0)</f>
        <v>50</v>
      </c>
      <c r="M127" s="561">
        <f>IFERROR(__xludf.DUMMYFUNCTION("""COMPUTED_VALUE"""),23.0)</f>
        <v>23</v>
      </c>
      <c r="N127" s="561">
        <f>IFERROR(__xludf.DUMMYFUNCTION("""COMPUTED_VALUE"""),50.0)</f>
        <v>50</v>
      </c>
      <c r="O127" s="560"/>
      <c r="P127" s="562">
        <f>IFERROR(__xludf.DUMMYFUNCTION("""COMPUTED_VALUE"""),50.0)</f>
        <v>50</v>
      </c>
      <c r="Q127" s="562">
        <f>IFERROR(__xludf.DUMMYFUNCTION("""COMPUTED_VALUE"""),62.0)</f>
        <v>62</v>
      </c>
      <c r="R127" s="562">
        <f>IFERROR(__xludf.DUMMYFUNCTION("""COMPUTED_VALUE"""),78.0)</f>
        <v>78</v>
      </c>
      <c r="S127" s="562"/>
      <c r="T127" s="217">
        <f>IFERROR(__xludf.DUMMYFUNCTION("""COMPUTED_VALUE"""),12.0)</f>
        <v>12</v>
      </c>
      <c r="U127" s="217">
        <f>IFERROR(__xludf.DUMMYFUNCTION("""COMPUTED_VALUE"""),19.0)</f>
        <v>19</v>
      </c>
      <c r="V127" s="217">
        <f>IFERROR(__xludf.DUMMYFUNCTION("""COMPUTED_VALUE"""),72.0)</f>
        <v>72</v>
      </c>
      <c r="W127" s="217">
        <f>IFERROR(__xludf.DUMMYFUNCTION("""COMPUTED_VALUE"""),40.0)</f>
        <v>40</v>
      </c>
      <c r="X127" s="217">
        <f>IFERROR(__xludf.DUMMYFUNCTION("""COMPUTED_VALUE"""),84.0)</f>
        <v>84</v>
      </c>
      <c r="Y127" s="217"/>
      <c r="Z127" s="217"/>
      <c r="AA127" s="481">
        <f>IFERROR(__xludf.DUMMYFUNCTION("""COMPUTED_VALUE"""),82.0)</f>
        <v>82</v>
      </c>
      <c r="AB127" s="481">
        <f>IFERROR(__xludf.DUMMYFUNCTION("""COMPUTED_VALUE"""),91.25)</f>
        <v>91.25</v>
      </c>
      <c r="AC127" s="481">
        <f>IFERROR(__xludf.DUMMYFUNCTION("""COMPUTED_VALUE"""),0.0)</f>
        <v>0</v>
      </c>
      <c r="AD127" s="481">
        <f>IFERROR(__xludf.DUMMYFUNCTION("""COMPUTED_VALUE"""),92.0)</f>
        <v>92</v>
      </c>
      <c r="AE127" s="481">
        <f>IFERROR(__xludf.DUMMYFUNCTION("""COMPUTED_VALUE"""),55.0)</f>
        <v>55</v>
      </c>
      <c r="AF127" s="481"/>
      <c r="AG127" s="481">
        <f>IFERROR(__xludf.DUMMYFUNCTION("""COMPUTED_VALUE"""),26.0)</f>
        <v>26</v>
      </c>
      <c r="AH127" s="481"/>
      <c r="AI127" s="158"/>
      <c r="AJ127" s="158"/>
      <c r="AK127" s="133">
        <f>IFERROR(__xludf.DUMMYFUNCTION("""COMPUTED_VALUE"""),4.0)</f>
        <v>4</v>
      </c>
      <c r="AL127" s="133">
        <f>IFERROR(__xludf.DUMMYFUNCTION("""COMPUTED_VALUE"""),1.0)</f>
        <v>1</v>
      </c>
      <c r="AM127" s="133">
        <f>IFERROR(__xludf.DUMMYFUNCTION("""COMPUTED_VALUE"""),2.0)</f>
        <v>2</v>
      </c>
      <c r="AN127" s="133" t="str">
        <f>IFERROR(__xludf.DUMMYFUNCTION("""COMPUTED_VALUE"""),"3")</f>
        <v>3</v>
      </c>
      <c r="AO127" s="133">
        <f>IFERROR(__xludf.DUMMYFUNCTION("""COMPUTED_VALUE"""),3.0)</f>
        <v>3</v>
      </c>
      <c r="AP127" s="155" t="s">
        <v>2461</v>
      </c>
    </row>
    <row r="128">
      <c r="A128" s="555">
        <f>IFERROR(__xludf.DUMMYFUNCTION("""COMPUTED_VALUE"""),124.0)</f>
        <v>124</v>
      </c>
      <c r="B128" s="555" t="str">
        <f>IFERROR(__xludf.DUMMYFUNCTION("""COMPUTED_VALUE"""),"pabm23cs@cmrit.ac.in")</f>
        <v>pabm23cs@cmrit.ac.in</v>
      </c>
      <c r="C128" s="172" t="str">
        <f>IFERROR(__xludf.DUMMYFUNCTION("""COMPUTED_VALUE"""),"PAVANRAJ B M")</f>
        <v>PAVANRAJ B M</v>
      </c>
      <c r="D128" s="261" t="str">
        <f>IFERROR(__xludf.DUMMYFUNCTION("""COMPUTED_VALUE"""),"1CR23CS129")</f>
        <v>1CR23CS129</v>
      </c>
      <c r="E128" s="563">
        <f>IFERROR(__xludf.DUMMYFUNCTION("""COMPUTED_VALUE"""),8.310238359E9)</f>
        <v>8310238359</v>
      </c>
      <c r="F128" s="155" t="str">
        <f>IFERROR(__xludf.DUMMYFUNCTION("""COMPUTED_VALUE"""),"CSE")</f>
        <v>CSE</v>
      </c>
      <c r="G128" s="158"/>
      <c r="H128" s="559">
        <f>IFERROR(__xludf.DUMMYFUNCTION("""COMPUTED_VALUE"""),81.0)</f>
        <v>81</v>
      </c>
      <c r="I128" s="559">
        <f>IFERROR(__xludf.DUMMYFUNCTION("""COMPUTED_VALUE"""),73.0)</f>
        <v>73</v>
      </c>
      <c r="J128" s="559">
        <f>IFERROR(__xludf.DUMMYFUNCTION("""COMPUTED_VALUE"""),70.0)</f>
        <v>70</v>
      </c>
      <c r="K128" s="559">
        <f>IFERROR(__xludf.DUMMYFUNCTION("""COMPUTED_VALUE"""),70.0)</f>
        <v>70</v>
      </c>
      <c r="L128" s="560">
        <f>IFERROR(__xludf.DUMMYFUNCTION("""COMPUTED_VALUE"""),50.0)</f>
        <v>50</v>
      </c>
      <c r="M128" s="561">
        <f>IFERROR(__xludf.DUMMYFUNCTION("""COMPUTED_VALUE"""),50.0)</f>
        <v>50</v>
      </c>
      <c r="N128" s="561">
        <f>IFERROR(__xludf.DUMMYFUNCTION("""COMPUTED_VALUE"""),50.0)</f>
        <v>50</v>
      </c>
      <c r="O128" s="560"/>
      <c r="P128" s="562">
        <f>IFERROR(__xludf.DUMMYFUNCTION("""COMPUTED_VALUE"""),50.0)</f>
        <v>50</v>
      </c>
      <c r="Q128" s="562">
        <f>IFERROR(__xludf.DUMMYFUNCTION("""COMPUTED_VALUE"""),50.0)</f>
        <v>50</v>
      </c>
      <c r="R128" s="562">
        <f>IFERROR(__xludf.DUMMYFUNCTION("""COMPUTED_VALUE"""),77.0)</f>
        <v>77</v>
      </c>
      <c r="S128" s="562"/>
      <c r="T128" s="217">
        <f>IFERROR(__xludf.DUMMYFUNCTION("""COMPUTED_VALUE"""),14.0)</f>
        <v>14</v>
      </c>
      <c r="U128" s="217">
        <f>IFERROR(__xludf.DUMMYFUNCTION("""COMPUTED_VALUE"""),19.0)</f>
        <v>19</v>
      </c>
      <c r="V128" s="217">
        <f>IFERROR(__xludf.DUMMYFUNCTION("""COMPUTED_VALUE"""),84.0)</f>
        <v>84</v>
      </c>
      <c r="W128" s="217">
        <f>IFERROR(__xludf.DUMMYFUNCTION("""COMPUTED_VALUE"""),40.0)</f>
        <v>40</v>
      </c>
      <c r="X128" s="217">
        <f>IFERROR(__xludf.DUMMYFUNCTION("""COMPUTED_VALUE"""),80.0)</f>
        <v>80</v>
      </c>
      <c r="Y128" s="217"/>
      <c r="Z128" s="217"/>
      <c r="AA128" s="481">
        <f>IFERROR(__xludf.DUMMYFUNCTION("""COMPUTED_VALUE"""),84.0)</f>
        <v>84</v>
      </c>
      <c r="AB128" s="481">
        <f>IFERROR(__xludf.DUMMYFUNCTION("""COMPUTED_VALUE"""),77.5)</f>
        <v>77.5</v>
      </c>
      <c r="AC128" s="481">
        <f>IFERROR(__xludf.DUMMYFUNCTION("""COMPUTED_VALUE"""),80.0)</f>
        <v>80</v>
      </c>
      <c r="AD128" s="481">
        <f>IFERROR(__xludf.DUMMYFUNCTION("""COMPUTED_VALUE"""),1.5)</f>
        <v>1.5</v>
      </c>
      <c r="AE128" s="481">
        <f>IFERROR(__xludf.DUMMYFUNCTION("""COMPUTED_VALUE"""),60.0)</f>
        <v>60</v>
      </c>
      <c r="AF128" s="481"/>
      <c r="AG128" s="481">
        <f>IFERROR(__xludf.DUMMYFUNCTION("""COMPUTED_VALUE"""),35.0)</f>
        <v>35</v>
      </c>
      <c r="AH128" s="481"/>
      <c r="AI128" s="158"/>
      <c r="AJ128" s="158"/>
      <c r="AK128" s="133">
        <f>IFERROR(__xludf.DUMMYFUNCTION("""COMPUTED_VALUE"""),4.0)</f>
        <v>4</v>
      </c>
      <c r="AL128" s="133">
        <f>IFERROR(__xludf.DUMMYFUNCTION("""COMPUTED_VALUE"""),3.0)</f>
        <v>3</v>
      </c>
      <c r="AM128" s="133">
        <f>IFERROR(__xludf.DUMMYFUNCTION("""COMPUTED_VALUE"""),2.0)</f>
        <v>2</v>
      </c>
      <c r="AN128" s="133" t="str">
        <f>IFERROR(__xludf.DUMMYFUNCTION("""COMPUTED_VALUE"""),"3")</f>
        <v>3</v>
      </c>
      <c r="AO128" s="133">
        <f>IFERROR(__xludf.DUMMYFUNCTION("""COMPUTED_VALUE"""),3.0)</f>
        <v>3</v>
      </c>
      <c r="AP128" s="155" t="s">
        <v>2461</v>
      </c>
    </row>
    <row r="129">
      <c r="A129" s="555">
        <f>IFERROR(__xludf.DUMMYFUNCTION("""COMPUTED_VALUE"""),125.0)</f>
        <v>125</v>
      </c>
      <c r="B129" s="555" t="str">
        <f>IFERROR(__xludf.DUMMYFUNCTION("""COMPUTED_VALUE"""),"paka23cs@cmrit.ac.in")</f>
        <v>paka23cs@cmrit.ac.in</v>
      </c>
      <c r="C129" s="172" t="str">
        <f>IFERROR(__xludf.DUMMYFUNCTION("""COMPUTED_VALUE"""),"PAVITRA KADAGOUDAR")</f>
        <v>PAVITRA KADAGOUDAR</v>
      </c>
      <c r="D129" s="261" t="str">
        <f>IFERROR(__xludf.DUMMYFUNCTION("""COMPUTED_VALUE"""),"1CR23CS130")</f>
        <v>1CR23CS130</v>
      </c>
      <c r="E129" s="563">
        <f>IFERROR(__xludf.DUMMYFUNCTION("""COMPUTED_VALUE"""),9.036513469E9)</f>
        <v>9036513469</v>
      </c>
      <c r="F129" s="155" t="str">
        <f>IFERROR(__xludf.DUMMYFUNCTION("""COMPUTED_VALUE"""),"CSE")</f>
        <v>CSE</v>
      </c>
      <c r="G129" s="158"/>
      <c r="H129" s="559">
        <f>IFERROR(__xludf.DUMMYFUNCTION("""COMPUTED_VALUE"""),87.0)</f>
        <v>87</v>
      </c>
      <c r="I129" s="559">
        <f>IFERROR(__xludf.DUMMYFUNCTION("""COMPUTED_VALUE"""),90.0)</f>
        <v>90</v>
      </c>
      <c r="J129" s="559">
        <f>IFERROR(__xludf.DUMMYFUNCTION("""COMPUTED_VALUE"""),82.0)</f>
        <v>82</v>
      </c>
      <c r="K129" s="559">
        <f>IFERROR(__xludf.DUMMYFUNCTION("""COMPUTED_VALUE"""),90.0)</f>
        <v>90</v>
      </c>
      <c r="L129" s="560">
        <f>IFERROR(__xludf.DUMMYFUNCTION("""COMPUTED_VALUE"""),50.0)</f>
        <v>50</v>
      </c>
      <c r="M129" s="561">
        <f>IFERROR(__xludf.DUMMYFUNCTION("""COMPUTED_VALUE"""),50.0)</f>
        <v>50</v>
      </c>
      <c r="N129" s="561">
        <f>IFERROR(__xludf.DUMMYFUNCTION("""COMPUTED_VALUE"""),50.0)</f>
        <v>50</v>
      </c>
      <c r="O129" s="560"/>
      <c r="P129" s="562">
        <f>IFERROR(__xludf.DUMMYFUNCTION("""COMPUTED_VALUE"""),50.0)</f>
        <v>50</v>
      </c>
      <c r="Q129" s="562">
        <f>IFERROR(__xludf.DUMMYFUNCTION("""COMPUTED_VALUE"""),90.0)</f>
        <v>90</v>
      </c>
      <c r="R129" s="562">
        <f>IFERROR(__xludf.DUMMYFUNCTION("""COMPUTED_VALUE"""),84.0)</f>
        <v>84</v>
      </c>
      <c r="S129" s="562"/>
      <c r="T129" s="217">
        <f>IFERROR(__xludf.DUMMYFUNCTION("""COMPUTED_VALUE"""),20.0)</f>
        <v>20</v>
      </c>
      <c r="U129" s="217">
        <f>IFERROR(__xludf.DUMMYFUNCTION("""COMPUTED_VALUE"""),18.0)</f>
        <v>18</v>
      </c>
      <c r="V129" s="217">
        <f>IFERROR(__xludf.DUMMYFUNCTION("""COMPUTED_VALUE"""),44.0)</f>
        <v>44</v>
      </c>
      <c r="W129" s="217">
        <f>IFERROR(__xludf.DUMMYFUNCTION("""COMPUTED_VALUE"""),48.0)</f>
        <v>48</v>
      </c>
      <c r="X129" s="217">
        <f>IFERROR(__xludf.DUMMYFUNCTION("""COMPUTED_VALUE"""),80.0)</f>
        <v>80</v>
      </c>
      <c r="Y129" s="217"/>
      <c r="Z129" s="217"/>
      <c r="AA129" s="481">
        <f>IFERROR(__xludf.DUMMYFUNCTION("""COMPUTED_VALUE"""),54.0)</f>
        <v>54</v>
      </c>
      <c r="AB129" s="481">
        <f>IFERROR(__xludf.DUMMYFUNCTION("""COMPUTED_VALUE"""),60.0)</f>
        <v>60</v>
      </c>
      <c r="AC129" s="481">
        <f>IFERROR(__xludf.DUMMYFUNCTION("""COMPUTED_VALUE"""),36.5)</f>
        <v>36.5</v>
      </c>
      <c r="AD129" s="481">
        <f>IFERROR(__xludf.DUMMYFUNCTION("""COMPUTED_VALUE"""),70.0)</f>
        <v>70</v>
      </c>
      <c r="AE129" s="481">
        <f>IFERROR(__xludf.DUMMYFUNCTION("""COMPUTED_VALUE"""),73.0)</f>
        <v>73</v>
      </c>
      <c r="AF129" s="481"/>
      <c r="AG129" s="481">
        <f>IFERROR(__xludf.DUMMYFUNCTION("""COMPUTED_VALUE"""),75.0)</f>
        <v>75</v>
      </c>
      <c r="AH129" s="481"/>
      <c r="AI129" s="158"/>
      <c r="AJ129" s="158"/>
      <c r="AK129" s="133">
        <f>IFERROR(__xludf.DUMMYFUNCTION("""COMPUTED_VALUE"""),4.0)</f>
        <v>4</v>
      </c>
      <c r="AL129" s="133">
        <f>IFERROR(__xludf.DUMMYFUNCTION("""COMPUTED_VALUE"""),3.0)</f>
        <v>3</v>
      </c>
      <c r="AM129" s="133">
        <f>IFERROR(__xludf.DUMMYFUNCTION("""COMPUTED_VALUE"""),2.0)</f>
        <v>2</v>
      </c>
      <c r="AN129" s="133" t="str">
        <f>IFERROR(__xludf.DUMMYFUNCTION("""COMPUTED_VALUE"""),"3.5")</f>
        <v>3.5</v>
      </c>
      <c r="AO129" s="133">
        <f>IFERROR(__xludf.DUMMYFUNCTION("""COMPUTED_VALUE"""),3.0)</f>
        <v>3</v>
      </c>
      <c r="AP129" s="155" t="s">
        <v>2461</v>
      </c>
    </row>
    <row r="130">
      <c r="A130" s="555">
        <f>IFERROR(__xludf.DUMMYFUNCTION("""COMPUTED_VALUE"""),126.0)</f>
        <v>126</v>
      </c>
      <c r="B130" s="555" t="str">
        <f>IFERROR(__xludf.DUMMYFUNCTION("""COMPUTED_VALUE"""),"pima23cs@cmrit.ac.in")</f>
        <v>pima23cs@cmrit.ac.in</v>
      </c>
      <c r="C130" s="564" t="str">
        <f>IFERROR(__xludf.DUMMYFUNCTION("""COMPUTED_VALUE"""),"Pindi Madhu Sai")</f>
        <v>Pindi Madhu Sai</v>
      </c>
      <c r="D130" s="261" t="str">
        <f>IFERROR(__xludf.DUMMYFUNCTION("""COMPUTED_VALUE"""),"1CR23CS131")</f>
        <v>1CR23CS131</v>
      </c>
      <c r="E130" s="563">
        <f>IFERROR(__xludf.DUMMYFUNCTION("""COMPUTED_VALUE"""),6.366518695E9)</f>
        <v>6366518695</v>
      </c>
      <c r="F130" s="155" t="str">
        <f>IFERROR(__xludf.DUMMYFUNCTION("""COMPUTED_VALUE"""),"CSE")</f>
        <v>CSE</v>
      </c>
      <c r="G130" s="158"/>
      <c r="H130" s="559">
        <f>IFERROR(__xludf.DUMMYFUNCTION("""COMPUTED_VALUE"""),84.0)</f>
        <v>84</v>
      </c>
      <c r="I130" s="559">
        <f>IFERROR(__xludf.DUMMYFUNCTION("""COMPUTED_VALUE"""),86.0)</f>
        <v>86</v>
      </c>
      <c r="J130" s="559">
        <f>IFERROR(__xludf.DUMMYFUNCTION("""COMPUTED_VALUE"""),70.0)</f>
        <v>70</v>
      </c>
      <c r="K130" s="559">
        <f>IFERROR(__xludf.DUMMYFUNCTION("""COMPUTED_VALUE"""),83.0)</f>
        <v>83</v>
      </c>
      <c r="L130" s="560">
        <f>IFERROR(__xludf.DUMMYFUNCTION("""COMPUTED_VALUE"""),63.0)</f>
        <v>63</v>
      </c>
      <c r="M130" s="561">
        <f>IFERROR(__xludf.DUMMYFUNCTION("""COMPUTED_VALUE"""),50.0)</f>
        <v>50</v>
      </c>
      <c r="N130" s="561">
        <f>IFERROR(__xludf.DUMMYFUNCTION("""COMPUTED_VALUE"""),60.0)</f>
        <v>60</v>
      </c>
      <c r="O130" s="560"/>
      <c r="P130" s="562">
        <f>IFERROR(__xludf.DUMMYFUNCTION("""COMPUTED_VALUE"""),73.0)</f>
        <v>73</v>
      </c>
      <c r="Q130" s="562">
        <f>IFERROR(__xludf.DUMMYFUNCTION("""COMPUTED_VALUE"""),65.0)</f>
        <v>65</v>
      </c>
      <c r="R130" s="562">
        <f>IFERROR(__xludf.DUMMYFUNCTION("""COMPUTED_VALUE"""),76.0)</f>
        <v>76</v>
      </c>
      <c r="S130" s="562"/>
      <c r="T130" s="217">
        <f>IFERROR(__xludf.DUMMYFUNCTION("""COMPUTED_VALUE"""),17.0)</f>
        <v>17</v>
      </c>
      <c r="U130" s="217">
        <f>IFERROR(__xludf.DUMMYFUNCTION("""COMPUTED_VALUE"""),22.0)</f>
        <v>22</v>
      </c>
      <c r="V130" s="217">
        <f>IFERROR(__xludf.DUMMYFUNCTION("""COMPUTED_VALUE"""),60.0)</f>
        <v>60</v>
      </c>
      <c r="W130" s="217">
        <f>IFERROR(__xludf.DUMMYFUNCTION("""COMPUTED_VALUE"""),36.0)</f>
        <v>36</v>
      </c>
      <c r="X130" s="217">
        <f>IFERROR(__xludf.DUMMYFUNCTION("""COMPUTED_VALUE"""),52.0)</f>
        <v>52</v>
      </c>
      <c r="Y130" s="217"/>
      <c r="Z130" s="217"/>
      <c r="AA130" s="481">
        <f>IFERROR(__xludf.DUMMYFUNCTION("""COMPUTED_VALUE"""),60.0)</f>
        <v>60</v>
      </c>
      <c r="AB130" s="481">
        <f>IFERROR(__xludf.DUMMYFUNCTION("""COMPUTED_VALUE"""),87.5)</f>
        <v>87.5</v>
      </c>
      <c r="AC130" s="481">
        <f>IFERROR(__xludf.DUMMYFUNCTION("""COMPUTED_VALUE"""),91.0)</f>
        <v>91</v>
      </c>
      <c r="AD130" s="481">
        <f>IFERROR(__xludf.DUMMYFUNCTION("""COMPUTED_VALUE"""),100.0)</f>
        <v>100</v>
      </c>
      <c r="AE130" s="481">
        <f>IFERROR(__xludf.DUMMYFUNCTION("""COMPUTED_VALUE"""),90.0)</f>
        <v>90</v>
      </c>
      <c r="AF130" s="481"/>
      <c r="AG130" s="481">
        <f>IFERROR(__xludf.DUMMYFUNCTION("""COMPUTED_VALUE"""),34.0)</f>
        <v>34</v>
      </c>
      <c r="AH130" s="481"/>
      <c r="AI130" s="158"/>
      <c r="AJ130" s="158"/>
      <c r="AK130" s="133">
        <f>IFERROR(__xludf.DUMMYFUNCTION("""COMPUTED_VALUE"""),4.0)</f>
        <v>4</v>
      </c>
      <c r="AL130" s="133">
        <f>IFERROR(__xludf.DUMMYFUNCTION("""COMPUTED_VALUE"""),3.0)</f>
        <v>3</v>
      </c>
      <c r="AM130" s="133">
        <f>IFERROR(__xludf.DUMMYFUNCTION("""COMPUTED_VALUE"""),2.0)</f>
        <v>2</v>
      </c>
      <c r="AN130" s="133" t="str">
        <f>IFERROR(__xludf.DUMMYFUNCTION("""COMPUTED_VALUE"""),"3.5")</f>
        <v>3.5</v>
      </c>
      <c r="AO130" s="133">
        <f>IFERROR(__xludf.DUMMYFUNCTION("""COMPUTED_VALUE"""),3.0)</f>
        <v>3</v>
      </c>
      <c r="AP130" s="155" t="s">
        <v>2461</v>
      </c>
    </row>
    <row r="131">
      <c r="A131" s="555">
        <f>IFERROR(__xludf.DUMMYFUNCTION("""COMPUTED_VALUE"""),127.0)</f>
        <v>127</v>
      </c>
      <c r="B131" s="555" t="str">
        <f>IFERROR(__xludf.DUMMYFUNCTION("""COMPUTED_VALUE"""),"pon23cs@cmrit.ac.in")</f>
        <v>pon23cs@cmrit.ac.in</v>
      </c>
      <c r="C131" s="174" t="str">
        <f>IFERROR(__xludf.DUMMYFUNCTION("""COMPUTED_VALUE"""),"Poorvika.N")</f>
        <v>Poorvika.N</v>
      </c>
      <c r="D131" s="261" t="str">
        <f>IFERROR(__xludf.DUMMYFUNCTION("""COMPUTED_VALUE"""),"1CR23CS132")</f>
        <v>1CR23CS132</v>
      </c>
      <c r="E131" s="563">
        <f>IFERROR(__xludf.DUMMYFUNCTION("""COMPUTED_VALUE"""),6.361911702E9)</f>
        <v>6361911702</v>
      </c>
      <c r="F131" s="155" t="str">
        <f>IFERROR(__xludf.DUMMYFUNCTION("""COMPUTED_VALUE"""),"CSE")</f>
        <v>CSE</v>
      </c>
      <c r="G131" s="158"/>
      <c r="H131" s="559">
        <f>IFERROR(__xludf.DUMMYFUNCTION("""COMPUTED_VALUE"""),75.0)</f>
        <v>75</v>
      </c>
      <c r="I131" s="559">
        <f>IFERROR(__xludf.DUMMYFUNCTION("""COMPUTED_VALUE"""),80.0)</f>
        <v>80</v>
      </c>
      <c r="J131" s="559">
        <f>IFERROR(__xludf.DUMMYFUNCTION("""COMPUTED_VALUE"""),71.0)</f>
        <v>71</v>
      </c>
      <c r="K131" s="559">
        <f>IFERROR(__xludf.DUMMYFUNCTION("""COMPUTED_VALUE"""),70.0)</f>
        <v>70</v>
      </c>
      <c r="L131" s="560">
        <f>IFERROR(__xludf.DUMMYFUNCTION("""COMPUTED_VALUE"""),50.0)</f>
        <v>50</v>
      </c>
      <c r="M131" s="561">
        <f>IFERROR(__xludf.DUMMYFUNCTION("""COMPUTED_VALUE"""),50.0)</f>
        <v>50</v>
      </c>
      <c r="N131" s="561">
        <f>IFERROR(__xludf.DUMMYFUNCTION("""COMPUTED_VALUE"""),50.0)</f>
        <v>50</v>
      </c>
      <c r="O131" s="560"/>
      <c r="P131" s="562">
        <f>IFERROR(__xludf.DUMMYFUNCTION("""COMPUTED_VALUE"""),78.0)</f>
        <v>78</v>
      </c>
      <c r="Q131" s="562">
        <f>IFERROR(__xludf.DUMMYFUNCTION("""COMPUTED_VALUE"""),63.0)</f>
        <v>63</v>
      </c>
      <c r="R131" s="562">
        <f>IFERROR(__xludf.DUMMYFUNCTION("""COMPUTED_VALUE"""),85.0)</f>
        <v>85</v>
      </c>
      <c r="S131" s="562"/>
      <c r="T131" s="217">
        <f>IFERROR(__xludf.DUMMYFUNCTION("""COMPUTED_VALUE"""),20.0)</f>
        <v>20</v>
      </c>
      <c r="U131" s="217">
        <f>IFERROR(__xludf.DUMMYFUNCTION("""COMPUTED_VALUE"""),20.0)</f>
        <v>20</v>
      </c>
      <c r="V131" s="217">
        <f>IFERROR(__xludf.DUMMYFUNCTION("""COMPUTED_VALUE"""),56.0)</f>
        <v>56</v>
      </c>
      <c r="W131" s="217">
        <f>IFERROR(__xludf.DUMMYFUNCTION("""COMPUTED_VALUE"""),36.0)</f>
        <v>36</v>
      </c>
      <c r="X131" s="217">
        <f>IFERROR(__xludf.DUMMYFUNCTION("""COMPUTED_VALUE"""),82.0)</f>
        <v>82</v>
      </c>
      <c r="Y131" s="217"/>
      <c r="Z131" s="217"/>
      <c r="AA131" s="481">
        <f>IFERROR(__xludf.DUMMYFUNCTION("""COMPUTED_VALUE"""),54.0)</f>
        <v>54</v>
      </c>
      <c r="AB131" s="481">
        <f>IFERROR(__xludf.DUMMYFUNCTION("""COMPUTED_VALUE"""),99.0)</f>
        <v>99</v>
      </c>
      <c r="AC131" s="481">
        <f>IFERROR(__xludf.DUMMYFUNCTION("""COMPUTED_VALUE"""),78.5)</f>
        <v>78.5</v>
      </c>
      <c r="AD131" s="481">
        <f>IFERROR(__xludf.DUMMYFUNCTION("""COMPUTED_VALUE"""),100.0)</f>
        <v>100</v>
      </c>
      <c r="AE131" s="481">
        <f>IFERROR(__xludf.DUMMYFUNCTION("""COMPUTED_VALUE"""),70.0)</f>
        <v>70</v>
      </c>
      <c r="AF131" s="481"/>
      <c r="AG131" s="481">
        <f>IFERROR(__xludf.DUMMYFUNCTION("""COMPUTED_VALUE"""),5.0)</f>
        <v>5</v>
      </c>
      <c r="AH131" s="481"/>
      <c r="AI131" s="158"/>
      <c r="AJ131" s="158"/>
      <c r="AK131" s="133">
        <f>IFERROR(__xludf.DUMMYFUNCTION("""COMPUTED_VALUE"""),4.0)</f>
        <v>4</v>
      </c>
      <c r="AL131" s="133">
        <f>IFERROR(__xludf.DUMMYFUNCTION("""COMPUTED_VALUE"""),3.0)</f>
        <v>3</v>
      </c>
      <c r="AM131" s="133">
        <f>IFERROR(__xludf.DUMMYFUNCTION("""COMPUTED_VALUE"""),2.0)</f>
        <v>2</v>
      </c>
      <c r="AN131" s="133" t="str">
        <f>IFERROR(__xludf.DUMMYFUNCTION("""COMPUTED_VALUE"""),"3.5")</f>
        <v>3.5</v>
      </c>
      <c r="AO131" s="133">
        <f>IFERROR(__xludf.DUMMYFUNCTION("""COMPUTED_VALUE"""),3.0)</f>
        <v>3</v>
      </c>
      <c r="AP131" s="155" t="s">
        <v>2461</v>
      </c>
    </row>
    <row r="132">
      <c r="A132" s="555">
        <f>IFERROR(__xludf.DUMMYFUNCTION("""COMPUTED_VALUE"""),128.0)</f>
        <v>128</v>
      </c>
      <c r="B132" s="555" t="str">
        <f>IFERROR(__xludf.DUMMYFUNCTION("""COMPUTED_VALUE"""),"prho23cs@cmrit.ac.in")</f>
        <v>prho23cs@cmrit.ac.in</v>
      </c>
      <c r="C132" s="172" t="str">
        <f>IFERROR(__xludf.DUMMYFUNCTION("""COMPUTED_VALUE"""),"PRABHU RAMESH HONDAPPAGOL")</f>
        <v>PRABHU RAMESH HONDAPPAGOL</v>
      </c>
      <c r="D132" s="261" t="str">
        <f>IFERROR(__xludf.DUMMYFUNCTION("""COMPUTED_VALUE"""),"1CR23CS133")</f>
        <v>1CR23CS133</v>
      </c>
      <c r="E132" s="563">
        <f>IFERROR(__xludf.DUMMYFUNCTION("""COMPUTED_VALUE"""),9.1108994E9)</f>
        <v>9110899400</v>
      </c>
      <c r="F132" s="155" t="str">
        <f>IFERROR(__xludf.DUMMYFUNCTION("""COMPUTED_VALUE"""),"CSE")</f>
        <v>CSE</v>
      </c>
      <c r="G132" s="158"/>
      <c r="H132" s="559">
        <f>IFERROR(__xludf.DUMMYFUNCTION("""COMPUTED_VALUE"""),87.0)</f>
        <v>87</v>
      </c>
      <c r="I132" s="559">
        <f>IFERROR(__xludf.DUMMYFUNCTION("""COMPUTED_VALUE"""),81.0)</f>
        <v>81</v>
      </c>
      <c r="J132" s="559">
        <f>IFERROR(__xludf.DUMMYFUNCTION("""COMPUTED_VALUE"""),70.0)</f>
        <v>70</v>
      </c>
      <c r="K132" s="559">
        <f>IFERROR(__xludf.DUMMYFUNCTION("""COMPUTED_VALUE"""),70.0)</f>
        <v>70</v>
      </c>
      <c r="L132" s="560">
        <f>IFERROR(__xludf.DUMMYFUNCTION("""COMPUTED_VALUE"""),50.0)</f>
        <v>50</v>
      </c>
      <c r="M132" s="561">
        <f>IFERROR(__xludf.DUMMYFUNCTION("""COMPUTED_VALUE"""),50.0)</f>
        <v>50</v>
      </c>
      <c r="N132" s="561">
        <f>IFERROR(__xludf.DUMMYFUNCTION("""COMPUTED_VALUE"""),50.0)</f>
        <v>50</v>
      </c>
      <c r="O132" s="560"/>
      <c r="P132" s="562">
        <f>IFERROR(__xludf.DUMMYFUNCTION("""COMPUTED_VALUE"""),81.0)</f>
        <v>81</v>
      </c>
      <c r="Q132" s="562">
        <f>IFERROR(__xludf.DUMMYFUNCTION("""COMPUTED_VALUE"""),65.0)</f>
        <v>65</v>
      </c>
      <c r="R132" s="562">
        <f>IFERROR(__xludf.DUMMYFUNCTION("""COMPUTED_VALUE"""),76.0)</f>
        <v>76</v>
      </c>
      <c r="S132" s="562"/>
      <c r="T132" s="217">
        <f>IFERROR(__xludf.DUMMYFUNCTION("""COMPUTED_VALUE"""),12.0)</f>
        <v>12</v>
      </c>
      <c r="U132" s="217">
        <f>IFERROR(__xludf.DUMMYFUNCTION("""COMPUTED_VALUE"""),22.0)</f>
        <v>22</v>
      </c>
      <c r="V132" s="217">
        <f>IFERROR(__xludf.DUMMYFUNCTION("""COMPUTED_VALUE"""),72.0)</f>
        <v>72</v>
      </c>
      <c r="W132" s="217">
        <f>IFERROR(__xludf.DUMMYFUNCTION("""COMPUTED_VALUE"""),48.0)</f>
        <v>48</v>
      </c>
      <c r="X132" s="217">
        <f>IFERROR(__xludf.DUMMYFUNCTION("""COMPUTED_VALUE"""),82.0)</f>
        <v>82</v>
      </c>
      <c r="Y132" s="217"/>
      <c r="Z132" s="217"/>
      <c r="AA132" s="481">
        <f>IFERROR(__xludf.DUMMYFUNCTION("""COMPUTED_VALUE"""),100.0)</f>
        <v>100</v>
      </c>
      <c r="AB132" s="481">
        <f>IFERROR(__xludf.DUMMYFUNCTION("""COMPUTED_VALUE"""),73.0)</f>
        <v>73</v>
      </c>
      <c r="AC132" s="481">
        <f>IFERROR(__xludf.DUMMYFUNCTION("""COMPUTED_VALUE"""),100.0)</f>
        <v>100</v>
      </c>
      <c r="AD132" s="481">
        <f>IFERROR(__xludf.DUMMYFUNCTION("""COMPUTED_VALUE"""),70.0)</f>
        <v>70</v>
      </c>
      <c r="AE132" s="481">
        <f>IFERROR(__xludf.DUMMYFUNCTION("""COMPUTED_VALUE"""),70.0)</f>
        <v>70</v>
      </c>
      <c r="AF132" s="481"/>
      <c r="AG132" s="481">
        <f>IFERROR(__xludf.DUMMYFUNCTION("""COMPUTED_VALUE"""),22.0)</f>
        <v>22</v>
      </c>
      <c r="AH132" s="481"/>
      <c r="AI132" s="158"/>
      <c r="AJ132" s="158"/>
      <c r="AK132" s="133">
        <f>IFERROR(__xludf.DUMMYFUNCTION("""COMPUTED_VALUE"""),4.0)</f>
        <v>4</v>
      </c>
      <c r="AL132" s="133">
        <f>IFERROR(__xludf.DUMMYFUNCTION("""COMPUTED_VALUE"""),3.0)</f>
        <v>3</v>
      </c>
      <c r="AM132" s="133">
        <f>IFERROR(__xludf.DUMMYFUNCTION("""COMPUTED_VALUE"""),2.0)</f>
        <v>2</v>
      </c>
      <c r="AN132" s="133" t="str">
        <f>IFERROR(__xludf.DUMMYFUNCTION("""COMPUTED_VALUE"""),"3.5")</f>
        <v>3.5</v>
      </c>
      <c r="AO132" s="133">
        <f>IFERROR(__xludf.DUMMYFUNCTION("""COMPUTED_VALUE"""),3.0)</f>
        <v>3</v>
      </c>
      <c r="AP132" s="155" t="s">
        <v>2461</v>
      </c>
    </row>
    <row r="133">
      <c r="A133" s="555">
        <f>IFERROR(__xludf.DUMMYFUNCTION("""COMPUTED_VALUE"""),129.0)</f>
        <v>129</v>
      </c>
      <c r="B133" s="555" t="str">
        <f>IFERROR(__xludf.DUMMYFUNCTION("""COMPUTED_VALUE"""),"prpr23cs@cmrit.ac.in")</f>
        <v>prpr23cs@cmrit.ac.in</v>
      </c>
      <c r="C133" s="172" t="str">
        <f>IFERROR(__xludf.DUMMYFUNCTION("""COMPUTED_VALUE"""),"Priyanka Jambagi")</f>
        <v>Priyanka Jambagi</v>
      </c>
      <c r="D133" s="261" t="str">
        <f>IFERROR(__xludf.DUMMYFUNCTION("""COMPUTED_VALUE"""),"1CR23CS134")</f>
        <v>1CR23CS134</v>
      </c>
      <c r="E133" s="563">
        <f>IFERROR(__xludf.DUMMYFUNCTION("""COMPUTED_VALUE"""),9.108503237E9)</f>
        <v>9108503237</v>
      </c>
      <c r="F133" s="155" t="str">
        <f>IFERROR(__xludf.DUMMYFUNCTION("""COMPUTED_VALUE"""),"CSE")</f>
        <v>CSE</v>
      </c>
      <c r="G133" s="158"/>
      <c r="H133" s="559">
        <f>IFERROR(__xludf.DUMMYFUNCTION("""COMPUTED_VALUE"""),77.0)</f>
        <v>77</v>
      </c>
      <c r="I133" s="559">
        <f>IFERROR(__xludf.DUMMYFUNCTION("""COMPUTED_VALUE"""),78.0)</f>
        <v>78</v>
      </c>
      <c r="J133" s="559">
        <f>IFERROR(__xludf.DUMMYFUNCTION("""COMPUTED_VALUE"""),70.0)</f>
        <v>70</v>
      </c>
      <c r="K133" s="559">
        <f>IFERROR(__xludf.DUMMYFUNCTION("""COMPUTED_VALUE"""),75.0)</f>
        <v>75</v>
      </c>
      <c r="L133" s="560">
        <f>IFERROR(__xludf.DUMMYFUNCTION("""COMPUTED_VALUE"""),20.0)</f>
        <v>20</v>
      </c>
      <c r="M133" s="561">
        <f>IFERROR(__xludf.DUMMYFUNCTION("""COMPUTED_VALUE"""),20.0)</f>
        <v>20</v>
      </c>
      <c r="N133" s="561">
        <f>IFERROR(__xludf.DUMMYFUNCTION("""COMPUTED_VALUE"""),50.0)</f>
        <v>50</v>
      </c>
      <c r="O133" s="560"/>
      <c r="P133" s="562">
        <f>IFERROR(__xludf.DUMMYFUNCTION("""COMPUTED_VALUE"""),76.0)</f>
        <v>76</v>
      </c>
      <c r="Q133" s="562">
        <f>IFERROR(__xludf.DUMMYFUNCTION("""COMPUTED_VALUE"""),72.0)</f>
        <v>72</v>
      </c>
      <c r="R133" s="562">
        <f>IFERROR(__xludf.DUMMYFUNCTION("""COMPUTED_VALUE"""),76.0)</f>
        <v>76</v>
      </c>
      <c r="S133" s="562"/>
      <c r="T133" s="217">
        <f>IFERROR(__xludf.DUMMYFUNCTION("""COMPUTED_VALUE"""),14.0)</f>
        <v>14</v>
      </c>
      <c r="U133" s="217"/>
      <c r="V133" s="217">
        <f>IFERROR(__xludf.DUMMYFUNCTION("""COMPUTED_VALUE"""),95.0)</f>
        <v>95</v>
      </c>
      <c r="W133" s="217">
        <f>IFERROR(__xludf.DUMMYFUNCTION("""COMPUTED_VALUE"""),36.0)</f>
        <v>36</v>
      </c>
      <c r="X133" s="217">
        <f>IFERROR(__xludf.DUMMYFUNCTION("""COMPUTED_VALUE"""),80.0)</f>
        <v>80</v>
      </c>
      <c r="Y133" s="217"/>
      <c r="Z133" s="217"/>
      <c r="AA133" s="481">
        <f>IFERROR(__xludf.DUMMYFUNCTION("""COMPUTED_VALUE"""),100.0)</f>
        <v>100</v>
      </c>
      <c r="AB133" s="481">
        <f>IFERROR(__xludf.DUMMYFUNCTION("""COMPUTED_VALUE"""),72.5)</f>
        <v>72.5</v>
      </c>
      <c r="AC133" s="481">
        <f>IFERROR(__xludf.DUMMYFUNCTION("""COMPUTED_VALUE"""),62.0)</f>
        <v>62</v>
      </c>
      <c r="AD133" s="481">
        <f>IFERROR(__xludf.DUMMYFUNCTION("""COMPUTED_VALUE"""),75.0)</f>
        <v>75</v>
      </c>
      <c r="AE133" s="481">
        <f>IFERROR(__xludf.DUMMYFUNCTION("""COMPUTED_VALUE"""),50.0)</f>
        <v>50</v>
      </c>
      <c r="AF133" s="481"/>
      <c r="AG133" s="481">
        <f>IFERROR(__xludf.DUMMYFUNCTION("""COMPUTED_VALUE"""),70.0)</f>
        <v>70</v>
      </c>
      <c r="AH133" s="481"/>
      <c r="AI133" s="158"/>
      <c r="AJ133" s="158"/>
      <c r="AK133" s="133">
        <f>IFERROR(__xludf.DUMMYFUNCTION("""COMPUTED_VALUE"""),4.0)</f>
        <v>4</v>
      </c>
      <c r="AL133" s="133">
        <f>IFERROR(__xludf.DUMMYFUNCTION("""COMPUTED_VALUE"""),0.0)</f>
        <v>0</v>
      </c>
      <c r="AM133" s="133">
        <f>IFERROR(__xludf.DUMMYFUNCTION("""COMPUTED_VALUE"""),2.0)</f>
        <v>2</v>
      </c>
      <c r="AN133" s="133" t="str">
        <f>IFERROR(__xludf.DUMMYFUNCTION("""COMPUTED_VALUE"""),"3")</f>
        <v>3</v>
      </c>
      <c r="AO133" s="133">
        <f>IFERROR(__xludf.DUMMYFUNCTION("""COMPUTED_VALUE"""),3.0)</f>
        <v>3</v>
      </c>
      <c r="AP133" s="155" t="s">
        <v>2461</v>
      </c>
    </row>
    <row r="134">
      <c r="A134" s="555">
        <f>IFERROR(__xludf.DUMMYFUNCTION("""COMPUTED_VALUE"""),130.0)</f>
        <v>130</v>
      </c>
      <c r="B134" s="555" t="str">
        <f>IFERROR(__xludf.DUMMYFUNCTION("""COMPUTED_VALUE"""),"rha23cs@cmrit.ac.in")</f>
        <v>rha23cs@cmrit.ac.in</v>
      </c>
      <c r="C134" s="172" t="str">
        <f>IFERROR(__xludf.DUMMYFUNCTION("""COMPUTED_VALUE"""),"R HARSHA")</f>
        <v>R HARSHA</v>
      </c>
      <c r="D134" s="261" t="str">
        <f>IFERROR(__xludf.DUMMYFUNCTION("""COMPUTED_VALUE"""),"1CR23CS135")</f>
        <v>1CR23CS135</v>
      </c>
      <c r="E134" s="563">
        <f>IFERROR(__xludf.DUMMYFUNCTION("""COMPUTED_VALUE"""),9.606524839E9)</f>
        <v>9606524839</v>
      </c>
      <c r="F134" s="155" t="str">
        <f>IFERROR(__xludf.DUMMYFUNCTION("""COMPUTED_VALUE"""),"CSE")</f>
        <v>CSE</v>
      </c>
      <c r="G134" s="158"/>
      <c r="H134" s="559">
        <f>IFERROR(__xludf.DUMMYFUNCTION("""COMPUTED_VALUE"""),81.0)</f>
        <v>81</v>
      </c>
      <c r="I134" s="559">
        <f>IFERROR(__xludf.DUMMYFUNCTION("""COMPUTED_VALUE"""),81.0)</f>
        <v>81</v>
      </c>
      <c r="J134" s="559">
        <f>IFERROR(__xludf.DUMMYFUNCTION("""COMPUTED_VALUE"""),70.0)</f>
        <v>70</v>
      </c>
      <c r="K134" s="559">
        <f>IFERROR(__xludf.DUMMYFUNCTION("""COMPUTED_VALUE"""),70.0)</f>
        <v>70</v>
      </c>
      <c r="L134" s="560">
        <f>IFERROR(__xludf.DUMMYFUNCTION("""COMPUTED_VALUE"""),17.0)</f>
        <v>17</v>
      </c>
      <c r="M134" s="561">
        <f>IFERROR(__xludf.DUMMYFUNCTION("""COMPUTED_VALUE"""),1.0)</f>
        <v>1</v>
      </c>
      <c r="N134" s="561">
        <f>IFERROR(__xludf.DUMMYFUNCTION("""COMPUTED_VALUE"""),50.0)</f>
        <v>50</v>
      </c>
      <c r="O134" s="560"/>
      <c r="P134" s="562">
        <f>IFERROR(__xludf.DUMMYFUNCTION("""COMPUTED_VALUE"""),50.0)</f>
        <v>50</v>
      </c>
      <c r="Q134" s="562">
        <f>IFERROR(__xludf.DUMMYFUNCTION("""COMPUTED_VALUE"""),65.0)</f>
        <v>65</v>
      </c>
      <c r="R134" s="562">
        <f>IFERROR(__xludf.DUMMYFUNCTION("""COMPUTED_VALUE"""),85.0)</f>
        <v>85</v>
      </c>
      <c r="S134" s="562"/>
      <c r="T134" s="217">
        <f>IFERROR(__xludf.DUMMYFUNCTION("""COMPUTED_VALUE"""),19.0)</f>
        <v>19</v>
      </c>
      <c r="U134" s="217">
        <f>IFERROR(__xludf.DUMMYFUNCTION("""COMPUTED_VALUE"""),21.0)</f>
        <v>21</v>
      </c>
      <c r="V134" s="217">
        <f>IFERROR(__xludf.DUMMYFUNCTION("""COMPUTED_VALUE"""),80.0)</f>
        <v>80</v>
      </c>
      <c r="W134" s="217"/>
      <c r="X134" s="217">
        <f>IFERROR(__xludf.DUMMYFUNCTION("""COMPUTED_VALUE"""),78.0)</f>
        <v>78</v>
      </c>
      <c r="Y134" s="217"/>
      <c r="Z134" s="217"/>
      <c r="AA134" s="481">
        <f>IFERROR(__xludf.DUMMYFUNCTION("""COMPUTED_VALUE"""),62.0)</f>
        <v>62</v>
      </c>
      <c r="AB134" s="481">
        <f>IFERROR(__xludf.DUMMYFUNCTION("""COMPUTED_VALUE"""),78.0)</f>
        <v>78</v>
      </c>
      <c r="AC134" s="481">
        <f>IFERROR(__xludf.DUMMYFUNCTION("""COMPUTED_VALUE"""),0.0)</f>
        <v>0</v>
      </c>
      <c r="AD134" s="481">
        <f>IFERROR(__xludf.DUMMYFUNCTION("""COMPUTED_VALUE"""),70.0)</f>
        <v>70</v>
      </c>
      <c r="AE134" s="481">
        <f>IFERROR(__xludf.DUMMYFUNCTION("""COMPUTED_VALUE"""),87.0)</f>
        <v>87</v>
      </c>
      <c r="AF134" s="481"/>
      <c r="AG134" s="481">
        <f>IFERROR(__xludf.DUMMYFUNCTION("""COMPUTED_VALUE"""),10.0)</f>
        <v>10</v>
      </c>
      <c r="AH134" s="481"/>
      <c r="AI134" s="158"/>
      <c r="AJ134" s="158"/>
      <c r="AK134" s="133">
        <f>IFERROR(__xludf.DUMMYFUNCTION("""COMPUTED_VALUE"""),4.0)</f>
        <v>4</v>
      </c>
      <c r="AL134" s="133">
        <f>IFERROR(__xludf.DUMMYFUNCTION("""COMPUTED_VALUE"""),0.0)</f>
        <v>0</v>
      </c>
      <c r="AM134" s="133">
        <f>IFERROR(__xludf.DUMMYFUNCTION("""COMPUTED_VALUE"""),2.0)</f>
        <v>2</v>
      </c>
      <c r="AN134" s="133" t="str">
        <f>IFERROR(__xludf.DUMMYFUNCTION("""COMPUTED_VALUE"""),"3.5")</f>
        <v>3.5</v>
      </c>
      <c r="AO134" s="133">
        <f>IFERROR(__xludf.DUMMYFUNCTION("""COMPUTED_VALUE"""),3.0)</f>
        <v>3</v>
      </c>
      <c r="AP134" s="155" t="s">
        <v>2461</v>
      </c>
    </row>
    <row r="135">
      <c r="A135" s="555">
        <f>IFERROR(__xludf.DUMMYFUNCTION("""COMPUTED_VALUE"""),131.0)</f>
        <v>131</v>
      </c>
      <c r="B135" s="555" t="str">
        <f>IFERROR(__xludf.DUMMYFUNCTION("""COMPUTED_VALUE"""),"rli23cs@cmrit.ac.in")</f>
        <v>rli23cs@cmrit.ac.in</v>
      </c>
      <c r="C135" s="172" t="str">
        <f>IFERROR(__xludf.DUMMYFUNCTION("""COMPUTED_VALUE"""),"R LINGESHWARAN")</f>
        <v>R LINGESHWARAN</v>
      </c>
      <c r="D135" s="261" t="str">
        <f>IFERROR(__xludf.DUMMYFUNCTION("""COMPUTED_VALUE"""),"1CR23CS136")</f>
        <v>1CR23CS136</v>
      </c>
      <c r="E135" s="563">
        <f>IFERROR(__xludf.DUMMYFUNCTION("""COMPUTED_VALUE"""),9.513692797E9)</f>
        <v>9513692797</v>
      </c>
      <c r="F135" s="155" t="str">
        <f>IFERROR(__xludf.DUMMYFUNCTION("""COMPUTED_VALUE"""),"CSE")</f>
        <v>CSE</v>
      </c>
      <c r="G135" s="158"/>
      <c r="H135" s="559">
        <f>IFERROR(__xludf.DUMMYFUNCTION("""COMPUTED_VALUE"""),81.0)</f>
        <v>81</v>
      </c>
      <c r="I135" s="559">
        <f>IFERROR(__xludf.DUMMYFUNCTION("""COMPUTED_VALUE"""),86.0)</f>
        <v>86</v>
      </c>
      <c r="J135" s="559">
        <f>IFERROR(__xludf.DUMMYFUNCTION("""COMPUTED_VALUE"""),71.0)</f>
        <v>71</v>
      </c>
      <c r="K135" s="559">
        <f>IFERROR(__xludf.DUMMYFUNCTION("""COMPUTED_VALUE"""),83.0)</f>
        <v>83</v>
      </c>
      <c r="L135" s="560">
        <f>IFERROR(__xludf.DUMMYFUNCTION("""COMPUTED_VALUE"""),50.0)</f>
        <v>50</v>
      </c>
      <c r="M135" s="561">
        <f>IFERROR(__xludf.DUMMYFUNCTION("""COMPUTED_VALUE"""),50.0)</f>
        <v>50</v>
      </c>
      <c r="N135" s="561">
        <f>IFERROR(__xludf.DUMMYFUNCTION("""COMPUTED_VALUE"""),50.0)</f>
        <v>50</v>
      </c>
      <c r="O135" s="560"/>
      <c r="P135" s="562">
        <f>IFERROR(__xludf.DUMMYFUNCTION("""COMPUTED_VALUE"""),64.0)</f>
        <v>64</v>
      </c>
      <c r="Q135" s="562">
        <f>IFERROR(__xludf.DUMMYFUNCTION("""COMPUTED_VALUE"""),71.0)</f>
        <v>71</v>
      </c>
      <c r="R135" s="562">
        <f>IFERROR(__xludf.DUMMYFUNCTION("""COMPUTED_VALUE"""),93.0)</f>
        <v>93</v>
      </c>
      <c r="S135" s="562"/>
      <c r="T135" s="217">
        <f>IFERROR(__xludf.DUMMYFUNCTION("""COMPUTED_VALUE"""),10.0)</f>
        <v>10</v>
      </c>
      <c r="U135" s="217">
        <f>IFERROR(__xludf.DUMMYFUNCTION("""COMPUTED_VALUE"""),14.0)</f>
        <v>14</v>
      </c>
      <c r="V135" s="217">
        <f>IFERROR(__xludf.DUMMYFUNCTION("""COMPUTED_VALUE"""),76.0)</f>
        <v>76</v>
      </c>
      <c r="W135" s="217">
        <f>IFERROR(__xludf.DUMMYFUNCTION("""COMPUTED_VALUE"""),32.0)</f>
        <v>32</v>
      </c>
      <c r="X135" s="217">
        <f>IFERROR(__xludf.DUMMYFUNCTION("""COMPUTED_VALUE"""),70.0)</f>
        <v>70</v>
      </c>
      <c r="Y135" s="217"/>
      <c r="Z135" s="217"/>
      <c r="AA135" s="481">
        <f>IFERROR(__xludf.DUMMYFUNCTION("""COMPUTED_VALUE"""),62.0)</f>
        <v>62</v>
      </c>
      <c r="AB135" s="481">
        <f>IFERROR(__xludf.DUMMYFUNCTION("""COMPUTED_VALUE"""),100.0)</f>
        <v>100</v>
      </c>
      <c r="AC135" s="481">
        <f>IFERROR(__xludf.DUMMYFUNCTION("""COMPUTED_VALUE"""),84.0)</f>
        <v>84</v>
      </c>
      <c r="AD135" s="481">
        <f>IFERROR(__xludf.DUMMYFUNCTION("""COMPUTED_VALUE"""),100.0)</f>
        <v>100</v>
      </c>
      <c r="AE135" s="481">
        <f>IFERROR(__xludf.DUMMYFUNCTION("""COMPUTED_VALUE"""),86.0)</f>
        <v>86</v>
      </c>
      <c r="AF135" s="481"/>
      <c r="AG135" s="481">
        <f>IFERROR(__xludf.DUMMYFUNCTION("""COMPUTED_VALUE"""),80.0)</f>
        <v>80</v>
      </c>
      <c r="AH135" s="481"/>
      <c r="AI135" s="158"/>
      <c r="AJ135" s="158"/>
      <c r="AK135" s="133">
        <f>IFERROR(__xludf.DUMMYFUNCTION("""COMPUTED_VALUE"""),4.0)</f>
        <v>4</v>
      </c>
      <c r="AL135" s="133">
        <f>IFERROR(__xludf.DUMMYFUNCTION("""COMPUTED_VALUE"""),3.0)</f>
        <v>3</v>
      </c>
      <c r="AM135" s="133">
        <f>IFERROR(__xludf.DUMMYFUNCTION("""COMPUTED_VALUE"""),2.0)</f>
        <v>2</v>
      </c>
      <c r="AN135" s="133" t="str">
        <f>IFERROR(__xludf.DUMMYFUNCTION("""COMPUTED_VALUE"""),"3.5")</f>
        <v>3.5</v>
      </c>
      <c r="AO135" s="133">
        <f>IFERROR(__xludf.DUMMYFUNCTION("""COMPUTED_VALUE"""),3.0)</f>
        <v>3</v>
      </c>
      <c r="AP135" s="155" t="s">
        <v>2461</v>
      </c>
    </row>
    <row r="136">
      <c r="A136" s="555">
        <f>IFERROR(__xludf.DUMMYFUNCTION("""COMPUTED_VALUE"""),132.0)</f>
        <v>132</v>
      </c>
      <c r="B136" s="555" t="str">
        <f>IFERROR(__xludf.DUMMYFUNCTION("""COMPUTED_VALUE"""),"rsn23cs@cmrit.ac.in")</f>
        <v>rsn23cs@cmrit.ac.in</v>
      </c>
      <c r="C136" s="172" t="str">
        <f>IFERROR(__xludf.DUMMYFUNCTION("""COMPUTED_VALUE"""),"R S NITHIN GANESH")</f>
        <v>R S NITHIN GANESH</v>
      </c>
      <c r="D136" s="261" t="str">
        <f>IFERROR(__xludf.DUMMYFUNCTION("""COMPUTED_VALUE"""),"1CR23CS137")</f>
        <v>1CR23CS137</v>
      </c>
      <c r="E136" s="563">
        <f>IFERROR(__xludf.DUMMYFUNCTION("""COMPUTED_VALUE"""),8.197130994E9)</f>
        <v>8197130994</v>
      </c>
      <c r="F136" s="155" t="str">
        <f>IFERROR(__xludf.DUMMYFUNCTION("""COMPUTED_VALUE"""),"CSE")</f>
        <v>CSE</v>
      </c>
      <c r="G136" s="158"/>
      <c r="H136" s="559">
        <f>IFERROR(__xludf.DUMMYFUNCTION("""COMPUTED_VALUE"""),78.0)</f>
        <v>78</v>
      </c>
      <c r="I136" s="559">
        <f>IFERROR(__xludf.DUMMYFUNCTION("""COMPUTED_VALUE"""),86.0)</f>
        <v>86</v>
      </c>
      <c r="J136" s="559">
        <f>IFERROR(__xludf.DUMMYFUNCTION("""COMPUTED_VALUE"""),54.0)</f>
        <v>54</v>
      </c>
      <c r="K136" s="559">
        <f>IFERROR(__xludf.DUMMYFUNCTION("""COMPUTED_VALUE"""),70.0)</f>
        <v>70</v>
      </c>
      <c r="L136" s="560">
        <f>IFERROR(__xludf.DUMMYFUNCTION("""COMPUTED_VALUE"""),61.0)</f>
        <v>61</v>
      </c>
      <c r="M136" s="561">
        <f>IFERROR(__xludf.DUMMYFUNCTION("""COMPUTED_VALUE"""),0.0)</f>
        <v>0</v>
      </c>
      <c r="N136" s="561">
        <f>IFERROR(__xludf.DUMMYFUNCTION("""COMPUTED_VALUE"""),0.0)</f>
        <v>0</v>
      </c>
      <c r="O136" s="560"/>
      <c r="P136" s="562">
        <f>IFERROR(__xludf.DUMMYFUNCTION("""COMPUTED_VALUE"""),64.0)</f>
        <v>64</v>
      </c>
      <c r="Q136" s="562">
        <f>IFERROR(__xludf.DUMMYFUNCTION("""COMPUTED_VALUE"""),50.0)</f>
        <v>50</v>
      </c>
      <c r="R136" s="562">
        <f>IFERROR(__xludf.DUMMYFUNCTION("""COMPUTED_VALUE"""),50.0)</f>
        <v>50</v>
      </c>
      <c r="S136" s="562"/>
      <c r="T136" s="217">
        <f>IFERROR(__xludf.DUMMYFUNCTION("""COMPUTED_VALUE"""),13.0)</f>
        <v>13</v>
      </c>
      <c r="U136" s="217">
        <f>IFERROR(__xludf.DUMMYFUNCTION("""COMPUTED_VALUE"""),22.0)</f>
        <v>22</v>
      </c>
      <c r="V136" s="217">
        <f>IFERROR(__xludf.DUMMYFUNCTION("""COMPUTED_VALUE"""),88.0)</f>
        <v>88</v>
      </c>
      <c r="W136" s="217">
        <f>IFERROR(__xludf.DUMMYFUNCTION("""COMPUTED_VALUE"""),32.0)</f>
        <v>32</v>
      </c>
      <c r="X136" s="217"/>
      <c r="Y136" s="217"/>
      <c r="Z136" s="217"/>
      <c r="AA136" s="481">
        <f>IFERROR(__xludf.DUMMYFUNCTION("""COMPUTED_VALUE"""),30.0)</f>
        <v>30</v>
      </c>
      <c r="AB136" s="481">
        <f>IFERROR(__xludf.DUMMYFUNCTION("""COMPUTED_VALUE"""),100.0)</f>
        <v>100</v>
      </c>
      <c r="AC136" s="481">
        <f>IFERROR(__xludf.DUMMYFUNCTION("""COMPUTED_VALUE"""),0.0)</f>
        <v>0</v>
      </c>
      <c r="AD136" s="481">
        <f>IFERROR(__xludf.DUMMYFUNCTION("""COMPUTED_VALUE"""),38.0)</f>
        <v>38</v>
      </c>
      <c r="AE136" s="481">
        <f>IFERROR(__xludf.DUMMYFUNCTION("""COMPUTED_VALUE"""),10.0)</f>
        <v>10</v>
      </c>
      <c r="AF136" s="481"/>
      <c r="AG136" s="481">
        <f>IFERROR(__xludf.DUMMYFUNCTION("""COMPUTED_VALUE"""),0.0)</f>
        <v>0</v>
      </c>
      <c r="AH136" s="481"/>
      <c r="AI136" s="158"/>
      <c r="AJ136" s="158"/>
      <c r="AK136" s="133">
        <f>IFERROR(__xludf.DUMMYFUNCTION("""COMPUTED_VALUE"""),2.0)</f>
        <v>2</v>
      </c>
      <c r="AL136" s="133">
        <f>IFERROR(__xludf.DUMMYFUNCTION("""COMPUTED_VALUE"""),1.0)</f>
        <v>1</v>
      </c>
      <c r="AM136" s="133">
        <f>IFERROR(__xludf.DUMMYFUNCTION("""COMPUTED_VALUE"""),2.0)</f>
        <v>2</v>
      </c>
      <c r="AN136" s="133" t="str">
        <f>IFERROR(__xludf.DUMMYFUNCTION("""COMPUTED_VALUE"""),"2")</f>
        <v>2</v>
      </c>
      <c r="AO136" s="133">
        <f>IFERROR(__xludf.DUMMYFUNCTION("""COMPUTED_VALUE"""),3.0)</f>
        <v>3</v>
      </c>
      <c r="AP136" s="155" t="s">
        <v>2461</v>
      </c>
    </row>
    <row r="137">
      <c r="A137" s="555">
        <f>IFERROR(__xludf.DUMMYFUNCTION("""COMPUTED_VALUE"""),133.0)</f>
        <v>133</v>
      </c>
      <c r="B137" s="555" t="str">
        <f>IFERROR(__xludf.DUMMYFUNCTION("""COMPUTED_VALUE"""),"rasr23cs@cmrit.ac.in")</f>
        <v>rasr23cs@cmrit.ac.in</v>
      </c>
      <c r="C137" s="172" t="str">
        <f>IFERROR(__xludf.DUMMYFUNCTION("""COMPUTED_VALUE"""),"RACHIT SRIVASTAVA")</f>
        <v>RACHIT SRIVASTAVA</v>
      </c>
      <c r="D137" s="261" t="str">
        <f>IFERROR(__xludf.DUMMYFUNCTION("""COMPUTED_VALUE"""),"1CR23CS138")</f>
        <v>1CR23CS138</v>
      </c>
      <c r="E137" s="563">
        <f>IFERROR(__xludf.DUMMYFUNCTION("""COMPUTED_VALUE"""),8.957993738E9)</f>
        <v>8957993738</v>
      </c>
      <c r="F137" s="155" t="str">
        <f>IFERROR(__xludf.DUMMYFUNCTION("""COMPUTED_VALUE"""),"CSE")</f>
        <v>CSE</v>
      </c>
      <c r="G137" s="158"/>
      <c r="H137" s="559">
        <f>IFERROR(__xludf.DUMMYFUNCTION("""COMPUTED_VALUE"""),87.0)</f>
        <v>87</v>
      </c>
      <c r="I137" s="559">
        <f>IFERROR(__xludf.DUMMYFUNCTION("""COMPUTED_VALUE"""),86.0)</f>
        <v>86</v>
      </c>
      <c r="J137" s="559">
        <f>IFERROR(__xludf.DUMMYFUNCTION("""COMPUTED_VALUE"""),70.0)</f>
        <v>70</v>
      </c>
      <c r="K137" s="559">
        <f>IFERROR(__xludf.DUMMYFUNCTION("""COMPUTED_VALUE"""),70.0)</f>
        <v>70</v>
      </c>
      <c r="L137" s="560">
        <f>IFERROR(__xludf.DUMMYFUNCTION("""COMPUTED_VALUE"""),68.0)</f>
        <v>68</v>
      </c>
      <c r="M137" s="561">
        <f>IFERROR(__xludf.DUMMYFUNCTION("""COMPUTED_VALUE"""),7.0)</f>
        <v>7</v>
      </c>
      <c r="N137" s="561">
        <f>IFERROR(__xludf.DUMMYFUNCTION("""COMPUTED_VALUE"""),18.0)</f>
        <v>18</v>
      </c>
      <c r="O137" s="560"/>
      <c r="P137" s="562">
        <f>IFERROR(__xludf.DUMMYFUNCTION("""COMPUTED_VALUE"""),50.0)</f>
        <v>50</v>
      </c>
      <c r="Q137" s="562">
        <f>IFERROR(__xludf.DUMMYFUNCTION("""COMPUTED_VALUE"""),69.0)</f>
        <v>69</v>
      </c>
      <c r="R137" s="562">
        <f>IFERROR(__xludf.DUMMYFUNCTION("""COMPUTED_VALUE"""),0.0)</f>
        <v>0</v>
      </c>
      <c r="S137" s="562"/>
      <c r="T137" s="217">
        <f>IFERROR(__xludf.DUMMYFUNCTION("""COMPUTED_VALUE"""),15.0)</f>
        <v>15</v>
      </c>
      <c r="U137" s="217">
        <f>IFERROR(__xludf.DUMMYFUNCTION("""COMPUTED_VALUE"""),17.0)</f>
        <v>17</v>
      </c>
      <c r="V137" s="217">
        <f>IFERROR(__xludf.DUMMYFUNCTION("""COMPUTED_VALUE"""),48.0)</f>
        <v>48</v>
      </c>
      <c r="W137" s="217">
        <f>IFERROR(__xludf.DUMMYFUNCTION("""COMPUTED_VALUE"""),52.0)</f>
        <v>52</v>
      </c>
      <c r="X137" s="217"/>
      <c r="Y137" s="217"/>
      <c r="Z137" s="217"/>
      <c r="AA137" s="481">
        <f>IFERROR(__xludf.DUMMYFUNCTION("""COMPUTED_VALUE"""),74.0)</f>
        <v>74</v>
      </c>
      <c r="AB137" s="481">
        <f>IFERROR(__xludf.DUMMYFUNCTION("""COMPUTED_VALUE"""),100.0)</f>
        <v>100</v>
      </c>
      <c r="AC137" s="481">
        <f>IFERROR(__xludf.DUMMYFUNCTION("""COMPUTED_VALUE"""),95.0)</f>
        <v>95</v>
      </c>
      <c r="AD137" s="481">
        <f>IFERROR(__xludf.DUMMYFUNCTION("""COMPUTED_VALUE"""),100.0)</f>
        <v>100</v>
      </c>
      <c r="AE137" s="481">
        <f>IFERROR(__xludf.DUMMYFUNCTION("""COMPUTED_VALUE"""),10.0)</f>
        <v>10</v>
      </c>
      <c r="AF137" s="481"/>
      <c r="AG137" s="481">
        <f>IFERROR(__xludf.DUMMYFUNCTION("""COMPUTED_VALUE"""),14.0)</f>
        <v>14</v>
      </c>
      <c r="AH137" s="481"/>
      <c r="AI137" s="158"/>
      <c r="AJ137" s="158"/>
      <c r="AK137" s="133">
        <f>IFERROR(__xludf.DUMMYFUNCTION("""COMPUTED_VALUE"""),4.0)</f>
        <v>4</v>
      </c>
      <c r="AL137" s="133">
        <f>IFERROR(__xludf.DUMMYFUNCTION("""COMPUTED_VALUE"""),1.0)</f>
        <v>1</v>
      </c>
      <c r="AM137" s="133">
        <f>IFERROR(__xludf.DUMMYFUNCTION("""COMPUTED_VALUE"""),3.0)</f>
        <v>3</v>
      </c>
      <c r="AN137" s="133" t="str">
        <f>IFERROR(__xludf.DUMMYFUNCTION("""COMPUTED_VALUE"""),"3")</f>
        <v>3</v>
      </c>
      <c r="AO137" s="133">
        <f>IFERROR(__xludf.DUMMYFUNCTION("""COMPUTED_VALUE"""),2.0)</f>
        <v>2</v>
      </c>
      <c r="AP137" s="155" t="s">
        <v>2461</v>
      </c>
    </row>
    <row r="138">
      <c r="A138" s="555">
        <f>IFERROR(__xludf.DUMMYFUNCTION("""COMPUTED_VALUE"""),134.0)</f>
        <v>134</v>
      </c>
      <c r="B138" s="555" t="str">
        <f>IFERROR(__xludf.DUMMYFUNCTION("""COMPUTED_VALUE"""),"rash23cs@cmrit.ac.in")</f>
        <v>rash23cs@cmrit.ac.in</v>
      </c>
      <c r="C138" s="172" t="str">
        <f>IFERROR(__xludf.DUMMYFUNCTION("""COMPUTED_VALUE"""),"Radhika Sharma")</f>
        <v>Radhika Sharma</v>
      </c>
      <c r="D138" s="261" t="str">
        <f>IFERROR(__xludf.DUMMYFUNCTION("""COMPUTED_VALUE"""),"1CR23CS139")</f>
        <v>1CR23CS139</v>
      </c>
      <c r="E138" s="563">
        <f>IFERROR(__xludf.DUMMYFUNCTION("""COMPUTED_VALUE"""),7.760566596E9)</f>
        <v>7760566596</v>
      </c>
      <c r="F138" s="155" t="str">
        <f>IFERROR(__xludf.DUMMYFUNCTION("""COMPUTED_VALUE"""),"CSE")</f>
        <v>CSE</v>
      </c>
      <c r="G138" s="158"/>
      <c r="H138" s="559">
        <f>IFERROR(__xludf.DUMMYFUNCTION("""COMPUTED_VALUE"""),84.0)</f>
        <v>84</v>
      </c>
      <c r="I138" s="559">
        <f>IFERROR(__xludf.DUMMYFUNCTION("""COMPUTED_VALUE"""),85.0)</f>
        <v>85</v>
      </c>
      <c r="J138" s="559">
        <f>IFERROR(__xludf.DUMMYFUNCTION("""COMPUTED_VALUE"""),70.0)</f>
        <v>70</v>
      </c>
      <c r="K138" s="559">
        <f>IFERROR(__xludf.DUMMYFUNCTION("""COMPUTED_VALUE"""),79.0)</f>
        <v>79</v>
      </c>
      <c r="L138" s="560">
        <f>IFERROR(__xludf.DUMMYFUNCTION("""COMPUTED_VALUE"""),50.0)</f>
        <v>50</v>
      </c>
      <c r="M138" s="561">
        <f>IFERROR(__xludf.DUMMYFUNCTION("""COMPUTED_VALUE"""),50.0)</f>
        <v>50</v>
      </c>
      <c r="N138" s="561">
        <f>IFERROR(__xludf.DUMMYFUNCTION("""COMPUTED_VALUE"""),50.0)</f>
        <v>50</v>
      </c>
      <c r="O138" s="560"/>
      <c r="P138" s="562">
        <f>IFERROR(__xludf.DUMMYFUNCTION("""COMPUTED_VALUE"""),79.0)</f>
        <v>79</v>
      </c>
      <c r="Q138" s="562">
        <f>IFERROR(__xludf.DUMMYFUNCTION("""COMPUTED_VALUE"""),90.0)</f>
        <v>90</v>
      </c>
      <c r="R138" s="562">
        <f>IFERROR(__xludf.DUMMYFUNCTION("""COMPUTED_VALUE"""),86.0)</f>
        <v>86</v>
      </c>
      <c r="S138" s="562"/>
      <c r="T138" s="217">
        <f>IFERROR(__xludf.DUMMYFUNCTION("""COMPUTED_VALUE"""),10.0)</f>
        <v>10</v>
      </c>
      <c r="U138" s="217">
        <f>IFERROR(__xludf.DUMMYFUNCTION("""COMPUTED_VALUE"""),20.0)</f>
        <v>20</v>
      </c>
      <c r="V138" s="217">
        <f>IFERROR(__xludf.DUMMYFUNCTION("""COMPUTED_VALUE"""),52.0)</f>
        <v>52</v>
      </c>
      <c r="W138" s="217">
        <f>IFERROR(__xludf.DUMMYFUNCTION("""COMPUTED_VALUE"""),36.0)</f>
        <v>36</v>
      </c>
      <c r="X138" s="217">
        <f>IFERROR(__xludf.DUMMYFUNCTION("""COMPUTED_VALUE"""),84.0)</f>
        <v>84</v>
      </c>
      <c r="Y138" s="217"/>
      <c r="Z138" s="217"/>
      <c r="AA138" s="481">
        <f>IFERROR(__xludf.DUMMYFUNCTION("""COMPUTED_VALUE"""),62.0)</f>
        <v>62</v>
      </c>
      <c r="AB138" s="481">
        <f>IFERROR(__xludf.DUMMYFUNCTION("""COMPUTED_VALUE"""),97.0)</f>
        <v>97</v>
      </c>
      <c r="AC138" s="481">
        <f>IFERROR(__xludf.DUMMYFUNCTION("""COMPUTED_VALUE"""),70.0)</f>
        <v>70</v>
      </c>
      <c r="AD138" s="481">
        <f>IFERROR(__xludf.DUMMYFUNCTION("""COMPUTED_VALUE"""),43.0)</f>
        <v>43</v>
      </c>
      <c r="AE138" s="481">
        <f>IFERROR(__xludf.DUMMYFUNCTION("""COMPUTED_VALUE"""),70.0)</f>
        <v>70</v>
      </c>
      <c r="AF138" s="481"/>
      <c r="AG138" s="481">
        <f>IFERROR(__xludf.DUMMYFUNCTION("""COMPUTED_VALUE"""),77.0)</f>
        <v>77</v>
      </c>
      <c r="AH138" s="481"/>
      <c r="AI138" s="158"/>
      <c r="AJ138" s="158"/>
      <c r="AK138" s="133">
        <f>IFERROR(__xludf.DUMMYFUNCTION("""COMPUTED_VALUE"""),4.0)</f>
        <v>4</v>
      </c>
      <c r="AL138" s="133">
        <f>IFERROR(__xludf.DUMMYFUNCTION("""COMPUTED_VALUE"""),3.0)</f>
        <v>3</v>
      </c>
      <c r="AM138" s="133">
        <f>IFERROR(__xludf.DUMMYFUNCTION("""COMPUTED_VALUE"""),2.0)</f>
        <v>2</v>
      </c>
      <c r="AN138" s="133" t="str">
        <f>IFERROR(__xludf.DUMMYFUNCTION("""COMPUTED_VALUE"""),"3.5")</f>
        <v>3.5</v>
      </c>
      <c r="AO138" s="133">
        <f>IFERROR(__xludf.DUMMYFUNCTION("""COMPUTED_VALUE"""),3.0)</f>
        <v>3</v>
      </c>
      <c r="AP138" s="155" t="s">
        <v>2461</v>
      </c>
    </row>
    <row r="139">
      <c r="A139" s="555">
        <f>IFERROR(__xludf.DUMMYFUNCTION("""COMPUTED_VALUE"""),135.0)</f>
        <v>135</v>
      </c>
      <c r="B139" s="555" t="str">
        <f>IFERROR(__xludf.DUMMYFUNCTION("""COMPUTED_VALUE"""),"ram23cs@cmrit.ac.in")</f>
        <v>ram23cs@cmrit.ac.in</v>
      </c>
      <c r="C139" s="172" t="str">
        <f>IFERROR(__xludf.DUMMYFUNCTION("""COMPUTED_VALUE"""),"RAKSHITHA M")</f>
        <v>RAKSHITHA M</v>
      </c>
      <c r="D139" s="261" t="str">
        <f>IFERROR(__xludf.DUMMYFUNCTION("""COMPUTED_VALUE"""),"1CR23CS140")</f>
        <v>1CR23CS140</v>
      </c>
      <c r="E139" s="563">
        <f>IFERROR(__xludf.DUMMYFUNCTION("""COMPUTED_VALUE"""),8.050717988E9)</f>
        <v>8050717988</v>
      </c>
      <c r="F139" s="155" t="str">
        <f>IFERROR(__xludf.DUMMYFUNCTION("""COMPUTED_VALUE"""),"CSE")</f>
        <v>CSE</v>
      </c>
      <c r="G139" s="158"/>
      <c r="H139" s="559">
        <f>IFERROR(__xludf.DUMMYFUNCTION("""COMPUTED_VALUE"""),78.0)</f>
        <v>78</v>
      </c>
      <c r="I139" s="559">
        <f>IFERROR(__xludf.DUMMYFUNCTION("""COMPUTED_VALUE"""),77.0)</f>
        <v>77</v>
      </c>
      <c r="J139" s="559">
        <f>IFERROR(__xludf.DUMMYFUNCTION("""COMPUTED_VALUE"""),37.0)</f>
        <v>37</v>
      </c>
      <c r="K139" s="559">
        <f>IFERROR(__xludf.DUMMYFUNCTION("""COMPUTED_VALUE"""),70.0)</f>
        <v>70</v>
      </c>
      <c r="L139" s="560">
        <f>IFERROR(__xludf.DUMMYFUNCTION("""COMPUTED_VALUE"""),39.0)</f>
        <v>39</v>
      </c>
      <c r="M139" s="561">
        <f>IFERROR(__xludf.DUMMYFUNCTION("""COMPUTED_VALUE"""),6.0)</f>
        <v>6</v>
      </c>
      <c r="N139" s="561">
        <f>IFERROR(__xludf.DUMMYFUNCTION("""COMPUTED_VALUE"""),0.0)</f>
        <v>0</v>
      </c>
      <c r="O139" s="560"/>
      <c r="P139" s="562">
        <f>IFERROR(__xludf.DUMMYFUNCTION("""COMPUTED_VALUE"""),84.0)</f>
        <v>84</v>
      </c>
      <c r="Q139" s="562">
        <f>IFERROR(__xludf.DUMMYFUNCTION("""COMPUTED_VALUE"""),63.0)</f>
        <v>63</v>
      </c>
      <c r="R139" s="562">
        <f>IFERROR(__xludf.DUMMYFUNCTION("""COMPUTED_VALUE"""),0.0)</f>
        <v>0</v>
      </c>
      <c r="S139" s="562"/>
      <c r="T139" s="217">
        <f>IFERROR(__xludf.DUMMYFUNCTION("""COMPUTED_VALUE"""),20.0)</f>
        <v>20</v>
      </c>
      <c r="U139" s="217">
        <f>IFERROR(__xludf.DUMMYFUNCTION("""COMPUTED_VALUE"""),17.0)</f>
        <v>17</v>
      </c>
      <c r="V139" s="217">
        <f>IFERROR(__xludf.DUMMYFUNCTION("""COMPUTED_VALUE"""),64.0)</f>
        <v>64</v>
      </c>
      <c r="W139" s="217">
        <f>IFERROR(__xludf.DUMMYFUNCTION("""COMPUTED_VALUE"""),48.0)</f>
        <v>48</v>
      </c>
      <c r="X139" s="217">
        <f>IFERROR(__xludf.DUMMYFUNCTION("""COMPUTED_VALUE"""),72.0)</f>
        <v>72</v>
      </c>
      <c r="Y139" s="217"/>
      <c r="Z139" s="217"/>
      <c r="AA139" s="481">
        <f>IFERROR(__xludf.DUMMYFUNCTION("""COMPUTED_VALUE"""),100.0)</f>
        <v>100</v>
      </c>
      <c r="AB139" s="481">
        <f>IFERROR(__xludf.DUMMYFUNCTION("""COMPUTED_VALUE"""),75.0)</f>
        <v>75</v>
      </c>
      <c r="AC139" s="481">
        <f>IFERROR(__xludf.DUMMYFUNCTION("""COMPUTED_VALUE"""),69.5)</f>
        <v>69.5</v>
      </c>
      <c r="AD139" s="481">
        <f>IFERROR(__xludf.DUMMYFUNCTION("""COMPUTED_VALUE"""),75.0)</f>
        <v>75</v>
      </c>
      <c r="AE139" s="481">
        <f>IFERROR(__xludf.DUMMYFUNCTION("""COMPUTED_VALUE"""),10.0)</f>
        <v>10</v>
      </c>
      <c r="AF139" s="481"/>
      <c r="AG139" s="481">
        <f>IFERROR(__xludf.DUMMYFUNCTION("""COMPUTED_VALUE"""),26.0)</f>
        <v>26</v>
      </c>
      <c r="AH139" s="481"/>
      <c r="AI139" s="158"/>
      <c r="AJ139" s="158"/>
      <c r="AK139" s="133">
        <f>IFERROR(__xludf.DUMMYFUNCTION("""COMPUTED_VALUE"""),2.0)</f>
        <v>2</v>
      </c>
      <c r="AL139" s="133">
        <f>IFERROR(__xludf.DUMMYFUNCTION("""COMPUTED_VALUE"""),0.0)</f>
        <v>0</v>
      </c>
      <c r="AM139" s="133">
        <f>IFERROR(__xludf.DUMMYFUNCTION("""COMPUTED_VALUE"""),2.0)</f>
        <v>2</v>
      </c>
      <c r="AN139" s="133" t="str">
        <f>IFERROR(__xludf.DUMMYFUNCTION("""COMPUTED_VALUE"""),"3")</f>
        <v>3</v>
      </c>
      <c r="AO139" s="133">
        <f>IFERROR(__xludf.DUMMYFUNCTION("""COMPUTED_VALUE"""),2.0)</f>
        <v>2</v>
      </c>
      <c r="AP139" s="155" t="s">
        <v>2461</v>
      </c>
    </row>
    <row r="140">
      <c r="A140" s="555">
        <f>IFERROR(__xludf.DUMMYFUNCTION("""COMPUTED_VALUE"""),136.0)</f>
        <v>136</v>
      </c>
      <c r="B140" s="555" t="str">
        <f>IFERROR(__xludf.DUMMYFUNCTION("""COMPUTED_VALUE"""),"rab23cs@cmrit.ac.in")</f>
        <v>rab23cs@cmrit.ac.in</v>
      </c>
      <c r="C140" s="172" t="str">
        <f>IFERROR(__xludf.DUMMYFUNCTION("""COMPUTED_VALUE"""),"RAMBABU B")</f>
        <v>RAMBABU B</v>
      </c>
      <c r="D140" s="261" t="str">
        <f>IFERROR(__xludf.DUMMYFUNCTION("""COMPUTED_VALUE"""),"1CR23CS141")</f>
        <v>1CR23CS141</v>
      </c>
      <c r="E140" s="563">
        <f>IFERROR(__xludf.DUMMYFUNCTION("""COMPUTED_VALUE"""),9.380059551E9)</f>
        <v>9380059551</v>
      </c>
      <c r="F140" s="155" t="str">
        <f>IFERROR(__xludf.DUMMYFUNCTION("""COMPUTED_VALUE"""),"CSE")</f>
        <v>CSE</v>
      </c>
      <c r="G140" s="158"/>
      <c r="H140" s="559">
        <f>IFERROR(__xludf.DUMMYFUNCTION("""COMPUTED_VALUE"""),73.0)</f>
        <v>73</v>
      </c>
      <c r="I140" s="559">
        <f>IFERROR(__xludf.DUMMYFUNCTION("""COMPUTED_VALUE"""),79.0)</f>
        <v>79</v>
      </c>
      <c r="J140" s="559">
        <f>IFERROR(__xludf.DUMMYFUNCTION("""COMPUTED_VALUE"""),48.0)</f>
        <v>48</v>
      </c>
      <c r="K140" s="559">
        <f>IFERROR(__xludf.DUMMYFUNCTION("""COMPUTED_VALUE"""),70.0)</f>
        <v>70</v>
      </c>
      <c r="L140" s="560">
        <f>IFERROR(__xludf.DUMMYFUNCTION("""COMPUTED_VALUE"""),41.0)</f>
        <v>41</v>
      </c>
      <c r="M140" s="561">
        <f>IFERROR(__xludf.DUMMYFUNCTION("""COMPUTED_VALUE"""),23.0)</f>
        <v>23</v>
      </c>
      <c r="N140" s="561">
        <f>IFERROR(__xludf.DUMMYFUNCTION("""COMPUTED_VALUE"""),50.0)</f>
        <v>50</v>
      </c>
      <c r="O140" s="560"/>
      <c r="P140" s="562">
        <f>IFERROR(__xludf.DUMMYFUNCTION("""COMPUTED_VALUE"""),0.0)</f>
        <v>0</v>
      </c>
      <c r="Q140" s="562">
        <f>IFERROR(__xludf.DUMMYFUNCTION("""COMPUTED_VALUE"""),71.0)</f>
        <v>71</v>
      </c>
      <c r="R140" s="562">
        <f>IFERROR(__xludf.DUMMYFUNCTION("""COMPUTED_VALUE"""),92.0)</f>
        <v>92</v>
      </c>
      <c r="S140" s="562"/>
      <c r="T140" s="217">
        <f>IFERROR(__xludf.DUMMYFUNCTION("""COMPUTED_VALUE"""),14.0)</f>
        <v>14</v>
      </c>
      <c r="U140" s="217">
        <f>IFERROR(__xludf.DUMMYFUNCTION("""COMPUTED_VALUE"""),18.0)</f>
        <v>18</v>
      </c>
      <c r="V140" s="217">
        <f>IFERROR(__xludf.DUMMYFUNCTION("""COMPUTED_VALUE"""),36.0)</f>
        <v>36</v>
      </c>
      <c r="W140" s="217">
        <f>IFERROR(__xludf.DUMMYFUNCTION("""COMPUTED_VALUE"""),32.0)</f>
        <v>32</v>
      </c>
      <c r="X140" s="217">
        <f>IFERROR(__xludf.DUMMYFUNCTION("""COMPUTED_VALUE"""),74.0)</f>
        <v>74</v>
      </c>
      <c r="Y140" s="217"/>
      <c r="Z140" s="217"/>
      <c r="AA140" s="481">
        <f>IFERROR(__xludf.DUMMYFUNCTION("""COMPUTED_VALUE"""),76.0)</f>
        <v>76</v>
      </c>
      <c r="AB140" s="481">
        <f>IFERROR(__xludf.DUMMYFUNCTION("""COMPUTED_VALUE"""),65.0)</f>
        <v>65</v>
      </c>
      <c r="AC140" s="481">
        <f>IFERROR(__xludf.DUMMYFUNCTION("""COMPUTED_VALUE"""),100.0)</f>
        <v>100</v>
      </c>
      <c r="AD140" s="481">
        <f>IFERROR(__xludf.DUMMYFUNCTION("""COMPUTED_VALUE"""),100.0)</f>
        <v>100</v>
      </c>
      <c r="AE140" s="481">
        <f>IFERROR(__xludf.DUMMYFUNCTION("""COMPUTED_VALUE"""),76.0)</f>
        <v>76</v>
      </c>
      <c r="AF140" s="481"/>
      <c r="AG140" s="481">
        <f>IFERROR(__xludf.DUMMYFUNCTION("""COMPUTED_VALUE"""),42.0)</f>
        <v>42</v>
      </c>
      <c r="AH140" s="481"/>
      <c r="AI140" s="158"/>
      <c r="AJ140" s="158"/>
      <c r="AK140" s="133">
        <f>IFERROR(__xludf.DUMMYFUNCTION("""COMPUTED_VALUE"""),2.0)</f>
        <v>2</v>
      </c>
      <c r="AL140" s="133">
        <f>IFERROR(__xludf.DUMMYFUNCTION("""COMPUTED_VALUE"""),0.0)</f>
        <v>0</v>
      </c>
      <c r="AM140" s="133">
        <f>IFERROR(__xludf.DUMMYFUNCTION("""COMPUTED_VALUE"""),2.0)</f>
        <v>2</v>
      </c>
      <c r="AN140" s="133" t="str">
        <f>IFERROR(__xludf.DUMMYFUNCTION("""COMPUTED_VALUE"""),"3.5")</f>
        <v>3.5</v>
      </c>
      <c r="AO140" s="133">
        <f>IFERROR(__xludf.DUMMYFUNCTION("""COMPUTED_VALUE"""),0.0)</f>
        <v>0</v>
      </c>
      <c r="AP140" s="155" t="s">
        <v>2461</v>
      </c>
    </row>
    <row r="141">
      <c r="A141" s="555">
        <f>IFERROR(__xludf.DUMMYFUNCTION("""COMPUTED_VALUE"""),137.0)</f>
        <v>137</v>
      </c>
      <c r="B141" s="555" t="str">
        <f>IFERROR(__xludf.DUMMYFUNCTION("""COMPUTED_VALUE"""),"ran23cs@cmrit.ac.in")</f>
        <v>ran23cs@cmrit.ac.in</v>
      </c>
      <c r="C141" s="172" t="str">
        <f>IFERROR(__xludf.DUMMYFUNCTION("""COMPUTED_VALUE"""),"RAMYASHREE N")</f>
        <v>RAMYASHREE N</v>
      </c>
      <c r="D141" s="261" t="str">
        <f>IFERROR(__xludf.DUMMYFUNCTION("""COMPUTED_VALUE"""),"1CR23CS142")</f>
        <v>1CR23CS142</v>
      </c>
      <c r="E141" s="563">
        <f>IFERROR(__xludf.DUMMYFUNCTION("""COMPUTED_VALUE"""),6.366518695E9)</f>
        <v>6366518695</v>
      </c>
      <c r="F141" s="155" t="str">
        <f>IFERROR(__xludf.DUMMYFUNCTION("""COMPUTED_VALUE"""),"CSE")</f>
        <v>CSE</v>
      </c>
      <c r="G141" s="158"/>
      <c r="H141" s="559">
        <f>IFERROR(__xludf.DUMMYFUNCTION("""COMPUTED_VALUE"""),79.0)</f>
        <v>79</v>
      </c>
      <c r="I141" s="559">
        <f>IFERROR(__xludf.DUMMYFUNCTION("""COMPUTED_VALUE"""),75.0)</f>
        <v>75</v>
      </c>
      <c r="J141" s="559">
        <f>IFERROR(__xludf.DUMMYFUNCTION("""COMPUTED_VALUE"""),70.0)</f>
        <v>70</v>
      </c>
      <c r="K141" s="559">
        <f>IFERROR(__xludf.DUMMYFUNCTION("""COMPUTED_VALUE"""),70.0)</f>
        <v>70</v>
      </c>
      <c r="L141" s="560">
        <f>IFERROR(__xludf.DUMMYFUNCTION("""COMPUTED_VALUE"""),50.0)</f>
        <v>50</v>
      </c>
      <c r="M141" s="561">
        <f>IFERROR(__xludf.DUMMYFUNCTION("""COMPUTED_VALUE"""),14.0)</f>
        <v>14</v>
      </c>
      <c r="N141" s="561">
        <f>IFERROR(__xludf.DUMMYFUNCTION("""COMPUTED_VALUE"""),50.0)</f>
        <v>50</v>
      </c>
      <c r="O141" s="560"/>
      <c r="P141" s="562">
        <f>IFERROR(__xludf.DUMMYFUNCTION("""COMPUTED_VALUE"""),80.0)</f>
        <v>80</v>
      </c>
      <c r="Q141" s="562">
        <f>IFERROR(__xludf.DUMMYFUNCTION("""COMPUTED_VALUE"""),63.0)</f>
        <v>63</v>
      </c>
      <c r="R141" s="562">
        <f>IFERROR(__xludf.DUMMYFUNCTION("""COMPUTED_VALUE"""),79.0)</f>
        <v>79</v>
      </c>
      <c r="S141" s="562"/>
      <c r="T141" s="217">
        <f>IFERROR(__xludf.DUMMYFUNCTION("""COMPUTED_VALUE"""),20.0)</f>
        <v>20</v>
      </c>
      <c r="U141" s="217">
        <f>IFERROR(__xludf.DUMMYFUNCTION("""COMPUTED_VALUE"""),20.0)</f>
        <v>20</v>
      </c>
      <c r="V141" s="217">
        <f>IFERROR(__xludf.DUMMYFUNCTION("""COMPUTED_VALUE"""),64.0)</f>
        <v>64</v>
      </c>
      <c r="W141" s="217">
        <f>IFERROR(__xludf.DUMMYFUNCTION("""COMPUTED_VALUE"""),40.0)</f>
        <v>40</v>
      </c>
      <c r="X141" s="217">
        <f>IFERROR(__xludf.DUMMYFUNCTION("""COMPUTED_VALUE"""),80.0)</f>
        <v>80</v>
      </c>
      <c r="Y141" s="217"/>
      <c r="Z141" s="217"/>
      <c r="AA141" s="481">
        <f>IFERROR(__xludf.DUMMYFUNCTION("""COMPUTED_VALUE"""),23.0)</f>
        <v>23</v>
      </c>
      <c r="AB141" s="481">
        <f>IFERROR(__xludf.DUMMYFUNCTION("""COMPUTED_VALUE"""),82.5)</f>
        <v>82.5</v>
      </c>
      <c r="AC141" s="481">
        <f>IFERROR(__xludf.DUMMYFUNCTION("""COMPUTED_VALUE"""),29.0)</f>
        <v>29</v>
      </c>
      <c r="AD141" s="481">
        <f>IFERROR(__xludf.DUMMYFUNCTION("""COMPUTED_VALUE"""),70.0)</f>
        <v>70</v>
      </c>
      <c r="AE141" s="481">
        <f>IFERROR(__xludf.DUMMYFUNCTION("""COMPUTED_VALUE"""),70.0)</f>
        <v>70</v>
      </c>
      <c r="AF141" s="481"/>
      <c r="AG141" s="481">
        <f>IFERROR(__xludf.DUMMYFUNCTION("""COMPUTED_VALUE"""),37.0)</f>
        <v>37</v>
      </c>
      <c r="AH141" s="481"/>
      <c r="AI141" s="158"/>
      <c r="AJ141" s="158"/>
      <c r="AK141" s="133">
        <f>IFERROR(__xludf.DUMMYFUNCTION("""COMPUTED_VALUE"""),4.0)</f>
        <v>4</v>
      </c>
      <c r="AL141" s="133">
        <f>IFERROR(__xludf.DUMMYFUNCTION("""COMPUTED_VALUE"""),1.0)</f>
        <v>1</v>
      </c>
      <c r="AM141" s="133">
        <f>IFERROR(__xludf.DUMMYFUNCTION("""COMPUTED_VALUE"""),2.0)</f>
        <v>2</v>
      </c>
      <c r="AN141" s="133" t="str">
        <f>IFERROR(__xludf.DUMMYFUNCTION("""COMPUTED_VALUE"""),"3.5")</f>
        <v>3.5</v>
      </c>
      <c r="AO141" s="133">
        <f>IFERROR(__xludf.DUMMYFUNCTION("""COMPUTED_VALUE"""),3.0)</f>
        <v>3</v>
      </c>
      <c r="AP141" s="155" t="s">
        <v>2461</v>
      </c>
    </row>
    <row r="142">
      <c r="A142" s="555">
        <f>IFERROR(__xludf.DUMMYFUNCTION("""COMPUTED_VALUE"""),138.0)</f>
        <v>138</v>
      </c>
      <c r="B142" s="555" t="str">
        <f>IFERROR(__xludf.DUMMYFUNCTION("""COMPUTED_VALUE"""),"rabh23cs@cmrit.ac.in")</f>
        <v>rabh23cs@cmrit.ac.in</v>
      </c>
      <c r="C142" s="172" t="str">
        <f>IFERROR(__xludf.DUMMYFUNCTION("""COMPUTED_VALUE"""),"Ranjith Bhandari")</f>
        <v>Ranjith Bhandari</v>
      </c>
      <c r="D142" s="261" t="str">
        <f>IFERROR(__xludf.DUMMYFUNCTION("""COMPUTED_VALUE"""),"1CR23CS143")</f>
        <v>1CR23CS143</v>
      </c>
      <c r="E142" s="563">
        <f>IFERROR(__xludf.DUMMYFUNCTION("""COMPUTED_VALUE"""),8.970289195E9)</f>
        <v>8970289195</v>
      </c>
      <c r="F142" s="155" t="str">
        <f>IFERROR(__xludf.DUMMYFUNCTION("""COMPUTED_VALUE"""),"CSE")</f>
        <v>CSE</v>
      </c>
      <c r="G142" s="158"/>
      <c r="H142" s="559">
        <f>IFERROR(__xludf.DUMMYFUNCTION("""COMPUTED_VALUE"""),82.0)</f>
        <v>82</v>
      </c>
      <c r="I142" s="559">
        <f>IFERROR(__xludf.DUMMYFUNCTION("""COMPUTED_VALUE"""),77.0)</f>
        <v>77</v>
      </c>
      <c r="J142" s="559">
        <f>IFERROR(__xludf.DUMMYFUNCTION("""COMPUTED_VALUE"""),71.0)</f>
        <v>71</v>
      </c>
      <c r="K142" s="559">
        <f>IFERROR(__xludf.DUMMYFUNCTION("""COMPUTED_VALUE"""),80.0)</f>
        <v>80</v>
      </c>
      <c r="L142" s="560">
        <f>IFERROR(__xludf.DUMMYFUNCTION("""COMPUTED_VALUE"""),50.0)</f>
        <v>50</v>
      </c>
      <c r="M142" s="561">
        <f>IFERROR(__xludf.DUMMYFUNCTION("""COMPUTED_VALUE"""),50.0)</f>
        <v>50</v>
      </c>
      <c r="N142" s="561">
        <f>IFERROR(__xludf.DUMMYFUNCTION("""COMPUTED_VALUE"""),50.0)</f>
        <v>50</v>
      </c>
      <c r="O142" s="560"/>
      <c r="P142" s="562">
        <f>IFERROR(__xludf.DUMMYFUNCTION("""COMPUTED_VALUE"""),50.0)</f>
        <v>50</v>
      </c>
      <c r="Q142" s="562">
        <f>IFERROR(__xludf.DUMMYFUNCTION("""COMPUTED_VALUE"""),62.0)</f>
        <v>62</v>
      </c>
      <c r="R142" s="562">
        <f>IFERROR(__xludf.DUMMYFUNCTION("""COMPUTED_VALUE"""),80.0)</f>
        <v>80</v>
      </c>
      <c r="S142" s="562"/>
      <c r="T142" s="217">
        <f>IFERROR(__xludf.DUMMYFUNCTION("""COMPUTED_VALUE"""),12.0)</f>
        <v>12</v>
      </c>
      <c r="U142" s="217">
        <f>IFERROR(__xludf.DUMMYFUNCTION("""COMPUTED_VALUE"""),19.0)</f>
        <v>19</v>
      </c>
      <c r="V142" s="217">
        <f>IFERROR(__xludf.DUMMYFUNCTION("""COMPUTED_VALUE"""),65.0)</f>
        <v>65</v>
      </c>
      <c r="W142" s="217">
        <f>IFERROR(__xludf.DUMMYFUNCTION("""COMPUTED_VALUE"""),32.0)</f>
        <v>32</v>
      </c>
      <c r="X142" s="217">
        <f>IFERROR(__xludf.DUMMYFUNCTION("""COMPUTED_VALUE"""),88.0)</f>
        <v>88</v>
      </c>
      <c r="Y142" s="217"/>
      <c r="Z142" s="217"/>
      <c r="AA142" s="481">
        <f>IFERROR(__xludf.DUMMYFUNCTION("""COMPUTED_VALUE"""),30.0)</f>
        <v>30</v>
      </c>
      <c r="AB142" s="481">
        <f>IFERROR(__xludf.DUMMYFUNCTION("""COMPUTED_VALUE"""),93.75)</f>
        <v>93.75</v>
      </c>
      <c r="AC142" s="481">
        <f>IFERROR(__xludf.DUMMYFUNCTION("""COMPUTED_VALUE"""),5.0)</f>
        <v>5</v>
      </c>
      <c r="AD142" s="481">
        <f>IFERROR(__xludf.DUMMYFUNCTION("""COMPUTED_VALUE"""),100.0)</f>
        <v>100</v>
      </c>
      <c r="AE142" s="481">
        <f>IFERROR(__xludf.DUMMYFUNCTION("""COMPUTED_VALUE"""),30.0)</f>
        <v>30</v>
      </c>
      <c r="AF142" s="481"/>
      <c r="AG142" s="481">
        <f>IFERROR(__xludf.DUMMYFUNCTION("""COMPUTED_VALUE"""),32.0)</f>
        <v>32</v>
      </c>
      <c r="AH142" s="481"/>
      <c r="AI142" s="158"/>
      <c r="AJ142" s="158"/>
      <c r="AK142" s="133">
        <f>IFERROR(__xludf.DUMMYFUNCTION("""COMPUTED_VALUE"""),4.0)</f>
        <v>4</v>
      </c>
      <c r="AL142" s="133">
        <f>IFERROR(__xludf.DUMMYFUNCTION("""COMPUTED_VALUE"""),3.0)</f>
        <v>3</v>
      </c>
      <c r="AM142" s="133">
        <f>IFERROR(__xludf.DUMMYFUNCTION("""COMPUTED_VALUE"""),2.0)</f>
        <v>2</v>
      </c>
      <c r="AN142" s="133" t="str">
        <f>IFERROR(__xludf.DUMMYFUNCTION("""COMPUTED_VALUE"""),"3")</f>
        <v>3</v>
      </c>
      <c r="AO142" s="133">
        <f>IFERROR(__xludf.DUMMYFUNCTION("""COMPUTED_VALUE"""),3.0)</f>
        <v>3</v>
      </c>
      <c r="AP142" s="155" t="s">
        <v>2461</v>
      </c>
    </row>
    <row r="143">
      <c r="A143" s="555">
        <f>IFERROR(__xludf.DUMMYFUNCTION("""COMPUTED_VALUE"""),139.0)</f>
        <v>139</v>
      </c>
      <c r="B143" s="555" t="str">
        <f>IFERROR(__xludf.DUMMYFUNCTION("""COMPUTED_VALUE"""),"rav23cs@cmrit.ac.in")</f>
        <v>rav23cs@cmrit.ac.in</v>
      </c>
      <c r="C143" s="172" t="str">
        <f>IFERROR(__xludf.DUMMYFUNCTION("""COMPUTED_VALUE"""),"RAVI")</f>
        <v>RAVI</v>
      </c>
      <c r="D143" s="261" t="str">
        <f>IFERROR(__xludf.DUMMYFUNCTION("""COMPUTED_VALUE"""),"1CR23CS144")</f>
        <v>1CR23CS144</v>
      </c>
      <c r="E143" s="563">
        <f>IFERROR(__xludf.DUMMYFUNCTION("""COMPUTED_VALUE"""),8.618951723E9)</f>
        <v>8618951723</v>
      </c>
      <c r="F143" s="155" t="str">
        <f>IFERROR(__xludf.DUMMYFUNCTION("""COMPUTED_VALUE"""),"CSE")</f>
        <v>CSE</v>
      </c>
      <c r="G143" s="158"/>
      <c r="H143" s="559">
        <f>IFERROR(__xludf.DUMMYFUNCTION("""COMPUTED_VALUE"""),70.0)</f>
        <v>70</v>
      </c>
      <c r="I143" s="559">
        <f>IFERROR(__xludf.DUMMYFUNCTION("""COMPUTED_VALUE"""),68.0)</f>
        <v>68</v>
      </c>
      <c r="J143" s="559">
        <f>IFERROR(__xludf.DUMMYFUNCTION("""COMPUTED_VALUE"""),11.0)</f>
        <v>11</v>
      </c>
      <c r="K143" s="559">
        <f>IFERROR(__xludf.DUMMYFUNCTION("""COMPUTED_VALUE"""),6.0)</f>
        <v>6</v>
      </c>
      <c r="L143" s="560">
        <f>IFERROR(__xludf.DUMMYFUNCTION("""COMPUTED_VALUE"""),50.0)</f>
        <v>50</v>
      </c>
      <c r="M143" s="561">
        <f>IFERROR(__xludf.DUMMYFUNCTION("""COMPUTED_VALUE"""),0.0)</f>
        <v>0</v>
      </c>
      <c r="N143" s="561">
        <f>IFERROR(__xludf.DUMMYFUNCTION("""COMPUTED_VALUE"""),0.0)</f>
        <v>0</v>
      </c>
      <c r="O143" s="560"/>
      <c r="P143" s="562">
        <f>IFERROR(__xludf.DUMMYFUNCTION("""COMPUTED_VALUE"""),0.0)</f>
        <v>0</v>
      </c>
      <c r="Q143" s="562">
        <f>IFERROR(__xludf.DUMMYFUNCTION("""COMPUTED_VALUE"""),0.0)</f>
        <v>0</v>
      </c>
      <c r="R143" s="562">
        <f>IFERROR(__xludf.DUMMYFUNCTION("""COMPUTED_VALUE"""),0.0)</f>
        <v>0</v>
      </c>
      <c r="S143" s="562"/>
      <c r="T143" s="217">
        <f>IFERROR(__xludf.DUMMYFUNCTION("""COMPUTED_VALUE"""),10.0)</f>
        <v>10</v>
      </c>
      <c r="U143" s="217">
        <f>IFERROR(__xludf.DUMMYFUNCTION("""COMPUTED_VALUE"""),16.0)</f>
        <v>16</v>
      </c>
      <c r="V143" s="217">
        <f>IFERROR(__xludf.DUMMYFUNCTION("""COMPUTED_VALUE"""),88.0)</f>
        <v>88</v>
      </c>
      <c r="W143" s="217"/>
      <c r="X143" s="217">
        <f>IFERROR(__xludf.DUMMYFUNCTION("""COMPUTED_VALUE"""),86.0)</f>
        <v>86</v>
      </c>
      <c r="Y143" s="217"/>
      <c r="Z143" s="217"/>
      <c r="AA143" s="481">
        <f>IFERROR(__xludf.DUMMYFUNCTION("""COMPUTED_VALUE"""),74.0)</f>
        <v>74</v>
      </c>
      <c r="AB143" s="481">
        <f>IFERROR(__xludf.DUMMYFUNCTION("""COMPUTED_VALUE"""),25.0)</f>
        <v>25</v>
      </c>
      <c r="AC143" s="481">
        <f>IFERROR(__xludf.DUMMYFUNCTION("""COMPUTED_VALUE"""),0.0)</f>
        <v>0</v>
      </c>
      <c r="AD143" s="481">
        <f>IFERROR(__xludf.DUMMYFUNCTION("""COMPUTED_VALUE"""),0.0)</f>
        <v>0</v>
      </c>
      <c r="AE143" s="481">
        <f>IFERROR(__xludf.DUMMYFUNCTION("""COMPUTED_VALUE"""),10.0)</f>
        <v>10</v>
      </c>
      <c r="AF143" s="481"/>
      <c r="AG143" s="481">
        <f>IFERROR(__xludf.DUMMYFUNCTION("""COMPUTED_VALUE"""),0.0)</f>
        <v>0</v>
      </c>
      <c r="AH143" s="481"/>
      <c r="AI143" s="158"/>
      <c r="AJ143" s="158"/>
      <c r="AK143" s="133">
        <f>IFERROR(__xludf.DUMMYFUNCTION("""COMPUTED_VALUE"""),2.0)</f>
        <v>2</v>
      </c>
      <c r="AL143" s="133">
        <f>IFERROR(__xludf.DUMMYFUNCTION("""COMPUTED_VALUE"""),1.0)</f>
        <v>1</v>
      </c>
      <c r="AM143" s="133">
        <f>IFERROR(__xludf.DUMMYFUNCTION("""COMPUTED_VALUE"""),2.0)</f>
        <v>2</v>
      </c>
      <c r="AN143" s="133" t="str">
        <f>IFERROR(__xludf.DUMMYFUNCTION("""COMPUTED_VALUE"""),"0")</f>
        <v>0</v>
      </c>
      <c r="AO143" s="133">
        <f>IFERROR(__xludf.DUMMYFUNCTION("""COMPUTED_VALUE"""),0.0)</f>
        <v>0</v>
      </c>
      <c r="AP143" s="155" t="s">
        <v>2461</v>
      </c>
    </row>
    <row r="144">
      <c r="A144" s="555">
        <f>IFERROR(__xludf.DUMMYFUNCTION("""COMPUTED_VALUE"""),140.0)</f>
        <v>140</v>
      </c>
      <c r="B144" s="555" t="str">
        <f>IFERROR(__xludf.DUMMYFUNCTION("""COMPUTED_VALUE"""),"rioj23cs@cmrit.ac.in")</f>
        <v>rioj23cs@cmrit.ac.in</v>
      </c>
      <c r="C144" s="172" t="str">
        <f>IFERROR(__xludf.DUMMYFUNCTION("""COMPUTED_VALUE"""),"Ritesh Ojha")</f>
        <v>Ritesh Ojha</v>
      </c>
      <c r="D144" s="261" t="str">
        <f>IFERROR(__xludf.DUMMYFUNCTION("""COMPUTED_VALUE"""),"1CR23CS146")</f>
        <v>1CR23CS146</v>
      </c>
      <c r="E144" s="563"/>
      <c r="F144" s="155" t="str">
        <f>IFERROR(__xludf.DUMMYFUNCTION("""COMPUTED_VALUE"""),"CSE")</f>
        <v>CSE</v>
      </c>
      <c r="G144" s="158"/>
      <c r="H144" s="559">
        <f>IFERROR(__xludf.DUMMYFUNCTION("""COMPUTED_VALUE"""),81.0)</f>
        <v>81</v>
      </c>
      <c r="I144" s="559">
        <f>IFERROR(__xludf.DUMMYFUNCTION("""COMPUTED_VALUE"""),85.0)</f>
        <v>85</v>
      </c>
      <c r="J144" s="559">
        <f>IFERROR(__xludf.DUMMYFUNCTION("""COMPUTED_VALUE"""),71.0)</f>
        <v>71</v>
      </c>
      <c r="K144" s="559">
        <f>IFERROR(__xludf.DUMMYFUNCTION("""COMPUTED_VALUE"""),70.0)</f>
        <v>70</v>
      </c>
      <c r="L144" s="560">
        <f>IFERROR(__xludf.DUMMYFUNCTION("""COMPUTED_VALUE"""),70.0)</f>
        <v>70</v>
      </c>
      <c r="M144" s="561">
        <f>IFERROR(__xludf.DUMMYFUNCTION("""COMPUTED_VALUE"""),50.0)</f>
        <v>50</v>
      </c>
      <c r="N144" s="561">
        <f>IFERROR(__xludf.DUMMYFUNCTION("""COMPUTED_VALUE"""),5.0)</f>
        <v>5</v>
      </c>
      <c r="O144" s="560"/>
      <c r="P144" s="562">
        <f>IFERROR(__xludf.DUMMYFUNCTION("""COMPUTED_VALUE"""),0.0)</f>
        <v>0</v>
      </c>
      <c r="Q144" s="562">
        <f>IFERROR(__xludf.DUMMYFUNCTION("""COMPUTED_VALUE"""),50.0)</f>
        <v>50</v>
      </c>
      <c r="R144" s="562">
        <f>IFERROR(__xludf.DUMMYFUNCTION("""COMPUTED_VALUE"""),50.0)</f>
        <v>50</v>
      </c>
      <c r="S144" s="562"/>
      <c r="T144" s="217">
        <f>IFERROR(__xludf.DUMMYFUNCTION("""COMPUTED_VALUE"""),20.0)</f>
        <v>20</v>
      </c>
      <c r="U144" s="217"/>
      <c r="V144" s="217">
        <f>IFERROR(__xludf.DUMMYFUNCTION("""COMPUTED_VALUE"""),64.0)</f>
        <v>64</v>
      </c>
      <c r="W144" s="217">
        <f>IFERROR(__xludf.DUMMYFUNCTION("""COMPUTED_VALUE"""),36.0)</f>
        <v>36</v>
      </c>
      <c r="X144" s="217">
        <f>IFERROR(__xludf.DUMMYFUNCTION("""COMPUTED_VALUE"""),68.0)</f>
        <v>68</v>
      </c>
      <c r="Y144" s="217"/>
      <c r="Z144" s="217"/>
      <c r="AA144" s="481">
        <f>IFERROR(__xludf.DUMMYFUNCTION("""COMPUTED_VALUE"""),70.0)</f>
        <v>70</v>
      </c>
      <c r="AB144" s="481">
        <f>IFERROR(__xludf.DUMMYFUNCTION("""COMPUTED_VALUE"""),90.0)</f>
        <v>90</v>
      </c>
      <c r="AC144" s="481">
        <f>IFERROR(__xludf.DUMMYFUNCTION("""COMPUTED_VALUE"""),0.0)</f>
        <v>0</v>
      </c>
      <c r="AD144" s="481">
        <f>IFERROR(__xludf.DUMMYFUNCTION("""COMPUTED_VALUE"""),100.0)</f>
        <v>100</v>
      </c>
      <c r="AE144" s="481">
        <f>IFERROR(__xludf.DUMMYFUNCTION("""COMPUTED_VALUE"""),10.0)</f>
        <v>10</v>
      </c>
      <c r="AF144" s="481"/>
      <c r="AG144" s="481">
        <f>IFERROR(__xludf.DUMMYFUNCTION("""COMPUTED_VALUE"""),5.0)</f>
        <v>5</v>
      </c>
      <c r="AH144" s="481"/>
      <c r="AI144" s="158"/>
      <c r="AJ144" s="158"/>
      <c r="AK144" s="133">
        <f>IFERROR(__xludf.DUMMYFUNCTION("""COMPUTED_VALUE"""),4.0)</f>
        <v>4</v>
      </c>
      <c r="AL144" s="133">
        <f>IFERROR(__xludf.DUMMYFUNCTION("""COMPUTED_VALUE"""),2.0)</f>
        <v>2</v>
      </c>
      <c r="AM144" s="133">
        <f>IFERROR(__xludf.DUMMYFUNCTION("""COMPUTED_VALUE"""),2.0)</f>
        <v>2</v>
      </c>
      <c r="AN144" s="133" t="str">
        <f>IFERROR(__xludf.DUMMYFUNCTION("""COMPUTED_VALUE"""),"3")</f>
        <v>3</v>
      </c>
      <c r="AO144" s="133">
        <f>IFERROR(__xludf.DUMMYFUNCTION("""COMPUTED_VALUE"""),0.0)</f>
        <v>0</v>
      </c>
      <c r="AP144" s="155" t="s">
        <v>2461</v>
      </c>
    </row>
    <row r="145">
      <c r="A145" s="555">
        <f>IFERROR(__xludf.DUMMYFUNCTION("""COMPUTED_VALUE"""),141.0)</f>
        <v>141</v>
      </c>
      <c r="B145" s="555" t="str">
        <f>IFERROR(__xludf.DUMMYFUNCTION("""COMPUTED_VALUE"""),"riup23cs@cmrit.ac.in")</f>
        <v>riup23cs@cmrit.ac.in</v>
      </c>
      <c r="C145" s="172" t="str">
        <f>IFERROR(__xludf.DUMMYFUNCTION("""COMPUTED_VALUE"""),"RITU UPADHAYAYA")</f>
        <v>RITU UPADHAYAYA</v>
      </c>
      <c r="D145" s="261" t="str">
        <f>IFERROR(__xludf.DUMMYFUNCTION("""COMPUTED_VALUE"""),"1CR23CS147")</f>
        <v>1CR23CS147</v>
      </c>
      <c r="E145" s="563"/>
      <c r="F145" s="155" t="str">
        <f>IFERROR(__xludf.DUMMYFUNCTION("""COMPUTED_VALUE"""),"CSE")</f>
        <v>CSE</v>
      </c>
      <c r="G145" s="158"/>
      <c r="H145" s="559">
        <f>IFERROR(__xludf.DUMMYFUNCTION("""COMPUTED_VALUE"""),77.0)</f>
        <v>77</v>
      </c>
      <c r="I145" s="559">
        <f>IFERROR(__xludf.DUMMYFUNCTION("""COMPUTED_VALUE"""),73.0)</f>
        <v>73</v>
      </c>
      <c r="J145" s="559">
        <f>IFERROR(__xludf.DUMMYFUNCTION("""COMPUTED_VALUE"""),70.0)</f>
        <v>70</v>
      </c>
      <c r="K145" s="559">
        <f>IFERROR(__xludf.DUMMYFUNCTION("""COMPUTED_VALUE"""),70.0)</f>
        <v>70</v>
      </c>
      <c r="L145" s="560">
        <f>IFERROR(__xludf.DUMMYFUNCTION("""COMPUTED_VALUE"""),67.0)</f>
        <v>67</v>
      </c>
      <c r="M145" s="561">
        <f>IFERROR(__xludf.DUMMYFUNCTION("""COMPUTED_VALUE"""),50.0)</f>
        <v>50</v>
      </c>
      <c r="N145" s="561">
        <f>IFERROR(__xludf.DUMMYFUNCTION("""COMPUTED_VALUE"""),10.0)</f>
        <v>10</v>
      </c>
      <c r="O145" s="560"/>
      <c r="P145" s="562">
        <f>IFERROR(__xludf.DUMMYFUNCTION("""COMPUTED_VALUE"""),77.0)</f>
        <v>77</v>
      </c>
      <c r="Q145" s="562">
        <f>IFERROR(__xludf.DUMMYFUNCTION("""COMPUTED_VALUE"""),50.0)</f>
        <v>50</v>
      </c>
      <c r="R145" s="562">
        <f>IFERROR(__xludf.DUMMYFUNCTION("""COMPUTED_VALUE"""),50.0)</f>
        <v>50</v>
      </c>
      <c r="S145" s="562"/>
      <c r="T145" s="217">
        <f>IFERROR(__xludf.DUMMYFUNCTION("""COMPUTED_VALUE"""),19.0)</f>
        <v>19</v>
      </c>
      <c r="U145" s="217">
        <f>IFERROR(__xludf.DUMMYFUNCTION("""COMPUTED_VALUE"""),19.0)</f>
        <v>19</v>
      </c>
      <c r="V145" s="217"/>
      <c r="W145" s="217">
        <f>IFERROR(__xludf.DUMMYFUNCTION("""COMPUTED_VALUE"""),32.0)</f>
        <v>32</v>
      </c>
      <c r="X145" s="217">
        <f>IFERROR(__xludf.DUMMYFUNCTION("""COMPUTED_VALUE"""),76.0)</f>
        <v>76</v>
      </c>
      <c r="Y145" s="217"/>
      <c r="Z145" s="217"/>
      <c r="AA145" s="481">
        <f>IFERROR(__xludf.DUMMYFUNCTION("""COMPUTED_VALUE"""),0.0)</f>
        <v>0</v>
      </c>
      <c r="AB145" s="481">
        <f>IFERROR(__xludf.DUMMYFUNCTION("""COMPUTED_VALUE"""),97.0)</f>
        <v>97</v>
      </c>
      <c r="AC145" s="481">
        <f>IFERROR(__xludf.DUMMYFUNCTION("""COMPUTED_VALUE"""),11.0)</f>
        <v>11</v>
      </c>
      <c r="AD145" s="481">
        <f>IFERROR(__xludf.DUMMYFUNCTION("""COMPUTED_VALUE"""),0.0)</f>
        <v>0</v>
      </c>
      <c r="AE145" s="481">
        <f>IFERROR(__xludf.DUMMYFUNCTION("""COMPUTED_VALUE"""),30.0)</f>
        <v>30</v>
      </c>
      <c r="AF145" s="481"/>
      <c r="AG145" s="481">
        <f>IFERROR(__xludf.DUMMYFUNCTION("""COMPUTED_VALUE"""),15.0)</f>
        <v>15</v>
      </c>
      <c r="AH145" s="481"/>
      <c r="AI145" s="158"/>
      <c r="AJ145" s="158"/>
      <c r="AK145" s="133">
        <f>IFERROR(__xludf.DUMMYFUNCTION("""COMPUTED_VALUE"""),4.0)</f>
        <v>4</v>
      </c>
      <c r="AL145" s="133">
        <f>IFERROR(__xludf.DUMMYFUNCTION("""COMPUTED_VALUE"""),2.0)</f>
        <v>2</v>
      </c>
      <c r="AM145" s="133">
        <f>IFERROR(__xludf.DUMMYFUNCTION("""COMPUTED_VALUE"""),2.0)</f>
        <v>2</v>
      </c>
      <c r="AN145" s="133" t="str">
        <f>IFERROR(__xludf.DUMMYFUNCTION("""COMPUTED_VALUE"""),"2")</f>
        <v>2</v>
      </c>
      <c r="AO145" s="133">
        <f>IFERROR(__xludf.DUMMYFUNCTION("""COMPUTED_VALUE"""),3.0)</f>
        <v>3</v>
      </c>
      <c r="AP145" s="155" t="s">
        <v>2461</v>
      </c>
    </row>
    <row r="146">
      <c r="A146" s="555">
        <f>IFERROR(__xludf.DUMMYFUNCTION("""COMPUTED_VALUE"""),142.0)</f>
        <v>142</v>
      </c>
      <c r="B146" s="555" t="str">
        <f>IFERROR(__xludf.DUMMYFUNCTION("""COMPUTED_VALUE"""),"riag23cs@cmrit.ac.in")</f>
        <v>riag23cs@cmrit.ac.in</v>
      </c>
      <c r="C146" s="172" t="str">
        <f>IFERROR(__xludf.DUMMYFUNCTION("""COMPUTED_VALUE"""),"Riya Agrawal")</f>
        <v>Riya Agrawal</v>
      </c>
      <c r="D146" s="261" t="str">
        <f>IFERROR(__xludf.DUMMYFUNCTION("""COMPUTED_VALUE"""),"1CR23CS148")</f>
        <v>1CR23CS148</v>
      </c>
      <c r="E146" s="563">
        <f>IFERROR(__xludf.DUMMYFUNCTION("""COMPUTED_VALUE"""),6.26604649E9)</f>
        <v>6266046490</v>
      </c>
      <c r="F146" s="155" t="str">
        <f>IFERROR(__xludf.DUMMYFUNCTION("""COMPUTED_VALUE"""),"CSE")</f>
        <v>CSE</v>
      </c>
      <c r="G146" s="158"/>
      <c r="H146" s="559">
        <f>IFERROR(__xludf.DUMMYFUNCTION("""COMPUTED_VALUE"""),87.0)</f>
        <v>87</v>
      </c>
      <c r="I146" s="559">
        <f>IFERROR(__xludf.DUMMYFUNCTION("""COMPUTED_VALUE"""),81.0)</f>
        <v>81</v>
      </c>
      <c r="J146" s="559">
        <f>IFERROR(__xludf.DUMMYFUNCTION("""COMPUTED_VALUE"""),70.0)</f>
        <v>70</v>
      </c>
      <c r="K146" s="559">
        <f>IFERROR(__xludf.DUMMYFUNCTION("""COMPUTED_VALUE"""),70.0)</f>
        <v>70</v>
      </c>
      <c r="L146" s="560">
        <f>IFERROR(__xludf.DUMMYFUNCTION("""COMPUTED_VALUE"""),50.0)</f>
        <v>50</v>
      </c>
      <c r="M146" s="561">
        <f>IFERROR(__xludf.DUMMYFUNCTION("""COMPUTED_VALUE"""),50.0)</f>
        <v>50</v>
      </c>
      <c r="N146" s="561">
        <f>IFERROR(__xludf.DUMMYFUNCTION("""COMPUTED_VALUE"""),15.0)</f>
        <v>15</v>
      </c>
      <c r="O146" s="560"/>
      <c r="P146" s="562">
        <f>IFERROR(__xludf.DUMMYFUNCTION("""COMPUTED_VALUE"""),77.0)</f>
        <v>77</v>
      </c>
      <c r="Q146" s="562">
        <f>IFERROR(__xludf.DUMMYFUNCTION("""COMPUTED_VALUE"""),50.0)</f>
        <v>50</v>
      </c>
      <c r="R146" s="562">
        <f>IFERROR(__xludf.DUMMYFUNCTION("""COMPUTED_VALUE"""),75.0)</f>
        <v>75</v>
      </c>
      <c r="S146" s="562"/>
      <c r="T146" s="217">
        <f>IFERROR(__xludf.DUMMYFUNCTION("""COMPUTED_VALUE"""),10.0)</f>
        <v>10</v>
      </c>
      <c r="U146" s="217">
        <f>IFERROR(__xludf.DUMMYFUNCTION("""COMPUTED_VALUE"""),19.0)</f>
        <v>19</v>
      </c>
      <c r="V146" s="217">
        <f>IFERROR(__xludf.DUMMYFUNCTION("""COMPUTED_VALUE"""),68.0)</f>
        <v>68</v>
      </c>
      <c r="W146" s="217">
        <f>IFERROR(__xludf.DUMMYFUNCTION("""COMPUTED_VALUE"""),36.0)</f>
        <v>36</v>
      </c>
      <c r="X146" s="217">
        <f>IFERROR(__xludf.DUMMYFUNCTION("""COMPUTED_VALUE"""),76.0)</f>
        <v>76</v>
      </c>
      <c r="Y146" s="217"/>
      <c r="Z146" s="217"/>
      <c r="AA146" s="481">
        <f>IFERROR(__xludf.DUMMYFUNCTION("""COMPUTED_VALUE"""),84.0)</f>
        <v>84</v>
      </c>
      <c r="AB146" s="481">
        <f>IFERROR(__xludf.DUMMYFUNCTION("""COMPUTED_VALUE"""),60.0)</f>
        <v>60</v>
      </c>
      <c r="AC146" s="481">
        <f>IFERROR(__xludf.DUMMYFUNCTION("""COMPUTED_VALUE"""),66.0)</f>
        <v>66</v>
      </c>
      <c r="AD146" s="481">
        <f>IFERROR(__xludf.DUMMYFUNCTION("""COMPUTED_VALUE"""),100.0)</f>
        <v>100</v>
      </c>
      <c r="AE146" s="481">
        <f>IFERROR(__xludf.DUMMYFUNCTION("""COMPUTED_VALUE"""),16.0)</f>
        <v>16</v>
      </c>
      <c r="AF146" s="481"/>
      <c r="AG146" s="481">
        <f>IFERROR(__xludf.DUMMYFUNCTION("""COMPUTED_VALUE"""),20.0)</f>
        <v>20</v>
      </c>
      <c r="AH146" s="481"/>
      <c r="AI146" s="158"/>
      <c r="AJ146" s="158"/>
      <c r="AK146" s="133">
        <f>IFERROR(__xludf.DUMMYFUNCTION("""COMPUTED_VALUE"""),4.0)</f>
        <v>4</v>
      </c>
      <c r="AL146" s="133">
        <f>IFERROR(__xludf.DUMMYFUNCTION("""COMPUTED_VALUE"""),2.0)</f>
        <v>2</v>
      </c>
      <c r="AM146" s="133">
        <f>IFERROR(__xludf.DUMMYFUNCTION("""COMPUTED_VALUE"""),2.0)</f>
        <v>2</v>
      </c>
      <c r="AN146" s="133" t="str">
        <f>IFERROR(__xludf.DUMMYFUNCTION("""COMPUTED_VALUE"""),"3")</f>
        <v>3</v>
      </c>
      <c r="AO146" s="133">
        <f>IFERROR(__xludf.DUMMYFUNCTION("""COMPUTED_VALUE"""),3.0)</f>
        <v>3</v>
      </c>
      <c r="AP146" s="155" t="s">
        <v>2461</v>
      </c>
    </row>
    <row r="147">
      <c r="A147" s="555">
        <f>IFERROR(__xludf.DUMMYFUNCTION("""COMPUTED_VALUE"""),143.0)</f>
        <v>143</v>
      </c>
      <c r="B147" s="555" t="str">
        <f>IFERROR(__xludf.DUMMYFUNCTION("""COMPUTED_VALUE"""),"roro23cs@cmrit.ac.in")</f>
        <v>roro23cs@cmrit.ac.in</v>
      </c>
      <c r="C147" s="172" t="str">
        <f>IFERROR(__xludf.DUMMYFUNCTION("""COMPUTED_VALUE"""),"RONISH ROHAN")</f>
        <v>RONISH ROHAN</v>
      </c>
      <c r="D147" s="261" t="str">
        <f>IFERROR(__xludf.DUMMYFUNCTION("""COMPUTED_VALUE"""),"1CR23CS149")</f>
        <v>1CR23CS149</v>
      </c>
      <c r="E147" s="563">
        <f>IFERROR(__xludf.DUMMYFUNCTION("""COMPUTED_VALUE"""),9.74129271E9)</f>
        <v>9741292710</v>
      </c>
      <c r="F147" s="155" t="str">
        <f>IFERROR(__xludf.DUMMYFUNCTION("""COMPUTED_VALUE"""),"CSE")</f>
        <v>CSE</v>
      </c>
      <c r="G147" s="158"/>
      <c r="H147" s="559">
        <f>IFERROR(__xludf.DUMMYFUNCTION("""COMPUTED_VALUE"""),83.0)</f>
        <v>83</v>
      </c>
      <c r="I147" s="559">
        <f>IFERROR(__xludf.DUMMYFUNCTION("""COMPUTED_VALUE"""),82.0)</f>
        <v>82</v>
      </c>
      <c r="J147" s="559">
        <f>IFERROR(__xludf.DUMMYFUNCTION("""COMPUTED_VALUE"""),82.0)</f>
        <v>82</v>
      </c>
      <c r="K147" s="559">
        <f>IFERROR(__xludf.DUMMYFUNCTION("""COMPUTED_VALUE"""),70.0)</f>
        <v>70</v>
      </c>
      <c r="L147" s="560">
        <f>IFERROR(__xludf.DUMMYFUNCTION("""COMPUTED_VALUE"""),74.0)</f>
        <v>74</v>
      </c>
      <c r="M147" s="561">
        <f>IFERROR(__xludf.DUMMYFUNCTION("""COMPUTED_VALUE"""),50.0)</f>
        <v>50</v>
      </c>
      <c r="N147" s="561">
        <f>IFERROR(__xludf.DUMMYFUNCTION("""COMPUTED_VALUE"""),18.0)</f>
        <v>18</v>
      </c>
      <c r="O147" s="560"/>
      <c r="P147" s="562">
        <f>IFERROR(__xludf.DUMMYFUNCTION("""COMPUTED_VALUE"""),0.0)</f>
        <v>0</v>
      </c>
      <c r="Q147" s="562">
        <f>IFERROR(__xludf.DUMMYFUNCTION("""COMPUTED_VALUE"""),50.0)</f>
        <v>50</v>
      </c>
      <c r="R147" s="562">
        <f>IFERROR(__xludf.DUMMYFUNCTION("""COMPUTED_VALUE"""),0.0)</f>
        <v>0</v>
      </c>
      <c r="S147" s="562"/>
      <c r="T147" s="217">
        <f>IFERROR(__xludf.DUMMYFUNCTION("""COMPUTED_VALUE"""),17.0)</f>
        <v>17</v>
      </c>
      <c r="U147" s="217">
        <f>IFERROR(__xludf.DUMMYFUNCTION("""COMPUTED_VALUE"""),16.0)</f>
        <v>16</v>
      </c>
      <c r="V147" s="217">
        <f>IFERROR(__xludf.DUMMYFUNCTION("""COMPUTED_VALUE"""),64.0)</f>
        <v>64</v>
      </c>
      <c r="W147" s="217"/>
      <c r="X147" s="217">
        <f>IFERROR(__xludf.DUMMYFUNCTION("""COMPUTED_VALUE"""),54.0)</f>
        <v>54</v>
      </c>
      <c r="Y147" s="217"/>
      <c r="Z147" s="217"/>
      <c r="AA147" s="481">
        <f>IFERROR(__xludf.DUMMYFUNCTION("""COMPUTED_VALUE"""),52.0)</f>
        <v>52</v>
      </c>
      <c r="AB147" s="481">
        <f>IFERROR(__xludf.DUMMYFUNCTION("""COMPUTED_VALUE"""),100.0)</f>
        <v>100</v>
      </c>
      <c r="AC147" s="481">
        <f>IFERROR(__xludf.DUMMYFUNCTION("""COMPUTED_VALUE"""),98.0)</f>
        <v>98</v>
      </c>
      <c r="AD147" s="481">
        <f>IFERROR(__xludf.DUMMYFUNCTION("""COMPUTED_VALUE"""),93.0)</f>
        <v>93</v>
      </c>
      <c r="AE147" s="481">
        <f>IFERROR(__xludf.DUMMYFUNCTION("""COMPUTED_VALUE"""),10.0)</f>
        <v>10</v>
      </c>
      <c r="AF147" s="481"/>
      <c r="AG147" s="481">
        <f>IFERROR(__xludf.DUMMYFUNCTION("""COMPUTED_VALUE"""),28.0)</f>
        <v>28</v>
      </c>
      <c r="AH147" s="481"/>
      <c r="AI147" s="158"/>
      <c r="AJ147" s="158"/>
      <c r="AK147" s="133">
        <f>IFERROR(__xludf.DUMMYFUNCTION("""COMPUTED_VALUE"""),4.0)</f>
        <v>4</v>
      </c>
      <c r="AL147" s="133">
        <f>IFERROR(__xludf.DUMMYFUNCTION("""COMPUTED_VALUE"""),2.0)</f>
        <v>2</v>
      </c>
      <c r="AM147" s="133">
        <f>IFERROR(__xludf.DUMMYFUNCTION("""COMPUTED_VALUE"""),2.0)</f>
        <v>2</v>
      </c>
      <c r="AN147" s="133" t="str">
        <f>IFERROR(__xludf.DUMMYFUNCTION("""COMPUTED_VALUE"""),"3")</f>
        <v>3</v>
      </c>
      <c r="AO147" s="133">
        <f>IFERROR(__xludf.DUMMYFUNCTION("""COMPUTED_VALUE"""),0.0)</f>
        <v>0</v>
      </c>
      <c r="AP147" s="155" t="s">
        <v>2461</v>
      </c>
    </row>
    <row r="148">
      <c r="A148" s="555">
        <f>IFERROR(__xludf.DUMMYFUNCTION("""COMPUTED_VALUE"""),144.0)</f>
        <v>144</v>
      </c>
      <c r="B148" s="555" t="str">
        <f>IFERROR(__xludf.DUMMYFUNCTION("""COMPUTED_VALUE"""),"rosi23cs@cmrit.ac.in")</f>
        <v>rosi23cs@cmrit.ac.in</v>
      </c>
      <c r="C148" s="174" t="str">
        <f>IFERROR(__xludf.DUMMYFUNCTION("""COMPUTED_VALUE"""),"ROUNAK SINGH")</f>
        <v>ROUNAK SINGH</v>
      </c>
      <c r="D148" s="261" t="str">
        <f>IFERROR(__xludf.DUMMYFUNCTION("""COMPUTED_VALUE"""),"1CR23CS151")</f>
        <v>1CR23CS151</v>
      </c>
      <c r="E148" s="563">
        <f>IFERROR(__xludf.DUMMYFUNCTION("""COMPUTED_VALUE"""),8.971380882E9)</f>
        <v>8971380882</v>
      </c>
      <c r="F148" s="155" t="str">
        <f>IFERROR(__xludf.DUMMYFUNCTION("""COMPUTED_VALUE"""),"CSE")</f>
        <v>CSE</v>
      </c>
      <c r="G148" s="158"/>
      <c r="H148" s="559">
        <f>IFERROR(__xludf.DUMMYFUNCTION("""COMPUTED_VALUE"""),88.0)</f>
        <v>88</v>
      </c>
      <c r="I148" s="559">
        <f>IFERROR(__xludf.DUMMYFUNCTION("""COMPUTED_VALUE"""),85.0)</f>
        <v>85</v>
      </c>
      <c r="J148" s="559">
        <f>IFERROR(__xludf.DUMMYFUNCTION("""COMPUTED_VALUE"""),78.0)</f>
        <v>78</v>
      </c>
      <c r="K148" s="559">
        <f>IFERROR(__xludf.DUMMYFUNCTION("""COMPUTED_VALUE"""),70.0)</f>
        <v>70</v>
      </c>
      <c r="L148" s="560">
        <f>IFERROR(__xludf.DUMMYFUNCTION("""COMPUTED_VALUE"""),58.0)</f>
        <v>58</v>
      </c>
      <c r="M148" s="561">
        <f>IFERROR(__xludf.DUMMYFUNCTION("""COMPUTED_VALUE"""),50.0)</f>
        <v>50</v>
      </c>
      <c r="N148" s="561">
        <f>IFERROR(__xludf.DUMMYFUNCTION("""COMPUTED_VALUE"""),15.0)</f>
        <v>15</v>
      </c>
      <c r="O148" s="560"/>
      <c r="P148" s="562">
        <f>IFERROR(__xludf.DUMMYFUNCTION("""COMPUTED_VALUE"""),77.0)</f>
        <v>77</v>
      </c>
      <c r="Q148" s="562">
        <f>IFERROR(__xludf.DUMMYFUNCTION("""COMPUTED_VALUE"""),50.0)</f>
        <v>50</v>
      </c>
      <c r="R148" s="562">
        <f>IFERROR(__xludf.DUMMYFUNCTION("""COMPUTED_VALUE"""),78.0)</f>
        <v>78</v>
      </c>
      <c r="S148" s="562"/>
      <c r="T148" s="217">
        <f>IFERROR(__xludf.DUMMYFUNCTION("""COMPUTED_VALUE"""),14.0)</f>
        <v>14</v>
      </c>
      <c r="U148" s="217">
        <f>IFERROR(__xludf.DUMMYFUNCTION("""COMPUTED_VALUE"""),19.0)</f>
        <v>19</v>
      </c>
      <c r="V148" s="217">
        <f>IFERROR(__xludf.DUMMYFUNCTION("""COMPUTED_VALUE"""),68.0)</f>
        <v>68</v>
      </c>
      <c r="W148" s="217">
        <f>IFERROR(__xludf.DUMMYFUNCTION("""COMPUTED_VALUE"""),40.0)</f>
        <v>40</v>
      </c>
      <c r="X148" s="217">
        <f>IFERROR(__xludf.DUMMYFUNCTION("""COMPUTED_VALUE"""),74.0)</f>
        <v>74</v>
      </c>
      <c r="Y148" s="217"/>
      <c r="Z148" s="217"/>
      <c r="AA148" s="481">
        <f>IFERROR(__xludf.DUMMYFUNCTION("""COMPUTED_VALUE"""),55.0)</f>
        <v>55</v>
      </c>
      <c r="AB148" s="481">
        <f>IFERROR(__xludf.DUMMYFUNCTION("""COMPUTED_VALUE"""),75.0)</f>
        <v>75</v>
      </c>
      <c r="AC148" s="481">
        <f>IFERROR(__xludf.DUMMYFUNCTION("""COMPUTED_VALUE"""),66.0)</f>
        <v>66</v>
      </c>
      <c r="AD148" s="481">
        <f>IFERROR(__xludf.DUMMYFUNCTION("""COMPUTED_VALUE"""),90.0)</f>
        <v>90</v>
      </c>
      <c r="AE148" s="481">
        <f>IFERROR(__xludf.DUMMYFUNCTION("""COMPUTED_VALUE"""),16.0)</f>
        <v>16</v>
      </c>
      <c r="AF148" s="481"/>
      <c r="AG148" s="481">
        <f>IFERROR(__xludf.DUMMYFUNCTION("""COMPUTED_VALUE"""),0.0)</f>
        <v>0</v>
      </c>
      <c r="AH148" s="481"/>
      <c r="AI148" s="158"/>
      <c r="AJ148" s="158"/>
      <c r="AK148" s="133">
        <f>IFERROR(__xludf.DUMMYFUNCTION("""COMPUTED_VALUE"""),4.0)</f>
        <v>4</v>
      </c>
      <c r="AL148" s="133">
        <f>IFERROR(__xludf.DUMMYFUNCTION("""COMPUTED_VALUE"""),2.0)</f>
        <v>2</v>
      </c>
      <c r="AM148" s="133">
        <f>IFERROR(__xludf.DUMMYFUNCTION("""COMPUTED_VALUE"""),2.0)</f>
        <v>2</v>
      </c>
      <c r="AN148" s="133" t="str">
        <f>IFERROR(__xludf.DUMMYFUNCTION("""COMPUTED_VALUE"""),"3")</f>
        <v>3</v>
      </c>
      <c r="AO148" s="133">
        <f>IFERROR(__xludf.DUMMYFUNCTION("""COMPUTED_VALUE"""),3.0)</f>
        <v>3</v>
      </c>
      <c r="AP148" s="155" t="s">
        <v>2461</v>
      </c>
    </row>
    <row r="149">
      <c r="A149" s="555">
        <f>IFERROR(__xludf.DUMMYFUNCTION("""COMPUTED_VALUE"""),145.0)</f>
        <v>145</v>
      </c>
      <c r="B149" s="555" t="str">
        <f>IFERROR(__xludf.DUMMYFUNCTION("""COMPUTED_VALUE"""),"rusk23cs@cmrit.ac.in")</f>
        <v>rusk23cs@cmrit.ac.in</v>
      </c>
      <c r="C149" s="172" t="str">
        <f>IFERROR(__xludf.DUMMYFUNCTION("""COMPUTED_VALUE"""),"RUDRESH S K ")</f>
        <v>RUDRESH S K </v>
      </c>
      <c r="D149" s="261" t="str">
        <f>IFERROR(__xludf.DUMMYFUNCTION("""COMPUTED_VALUE"""),"1CR23CS152")</f>
        <v>1CR23CS152</v>
      </c>
      <c r="E149" s="563">
        <f>IFERROR(__xludf.DUMMYFUNCTION("""COMPUTED_VALUE"""),7.483952131E9)</f>
        <v>7483952131</v>
      </c>
      <c r="F149" s="155" t="str">
        <f>IFERROR(__xludf.DUMMYFUNCTION("""COMPUTED_VALUE"""),"CSE")</f>
        <v>CSE</v>
      </c>
      <c r="G149" s="158"/>
      <c r="H149" s="559">
        <f>IFERROR(__xludf.DUMMYFUNCTION("""COMPUTED_VALUE"""),71.0)</f>
        <v>71</v>
      </c>
      <c r="I149" s="559">
        <f>IFERROR(__xludf.DUMMYFUNCTION("""COMPUTED_VALUE"""),76.0)</f>
        <v>76</v>
      </c>
      <c r="J149" s="559">
        <f>IFERROR(__xludf.DUMMYFUNCTION("""COMPUTED_VALUE"""),70.0)</f>
        <v>70</v>
      </c>
      <c r="K149" s="559">
        <f>IFERROR(__xludf.DUMMYFUNCTION("""COMPUTED_VALUE"""),70.0)</f>
        <v>70</v>
      </c>
      <c r="L149" s="560">
        <f>IFERROR(__xludf.DUMMYFUNCTION("""COMPUTED_VALUE"""),50.0)</f>
        <v>50</v>
      </c>
      <c r="M149" s="561">
        <f>IFERROR(__xludf.DUMMYFUNCTION("""COMPUTED_VALUE"""),50.0)</f>
        <v>50</v>
      </c>
      <c r="N149" s="561">
        <f>IFERROR(__xludf.DUMMYFUNCTION("""COMPUTED_VALUE"""),50.0)</f>
        <v>50</v>
      </c>
      <c r="O149" s="560"/>
      <c r="P149" s="562">
        <f>IFERROR(__xludf.DUMMYFUNCTION("""COMPUTED_VALUE"""),72.0)</f>
        <v>72</v>
      </c>
      <c r="Q149" s="562">
        <f>IFERROR(__xludf.DUMMYFUNCTION("""COMPUTED_VALUE"""),50.0)</f>
        <v>50</v>
      </c>
      <c r="R149" s="562">
        <f>IFERROR(__xludf.DUMMYFUNCTION("""COMPUTED_VALUE"""),73.0)</f>
        <v>73</v>
      </c>
      <c r="S149" s="562"/>
      <c r="T149" s="217">
        <f>IFERROR(__xludf.DUMMYFUNCTION("""COMPUTED_VALUE"""),12.0)</f>
        <v>12</v>
      </c>
      <c r="U149" s="217">
        <f>IFERROR(__xludf.DUMMYFUNCTION("""COMPUTED_VALUE"""),18.0)</f>
        <v>18</v>
      </c>
      <c r="V149" s="217">
        <f>IFERROR(__xludf.DUMMYFUNCTION("""COMPUTED_VALUE"""),80.0)</f>
        <v>80</v>
      </c>
      <c r="W149" s="217">
        <f>IFERROR(__xludf.DUMMYFUNCTION("""COMPUTED_VALUE"""),64.0)</f>
        <v>64</v>
      </c>
      <c r="X149" s="217">
        <f>IFERROR(__xludf.DUMMYFUNCTION("""COMPUTED_VALUE"""),86.0)</f>
        <v>86</v>
      </c>
      <c r="Y149" s="217"/>
      <c r="Z149" s="217"/>
      <c r="AA149" s="481">
        <f>IFERROR(__xludf.DUMMYFUNCTION("""COMPUTED_VALUE"""),100.0)</f>
        <v>100</v>
      </c>
      <c r="AB149" s="481">
        <f>IFERROR(__xludf.DUMMYFUNCTION("""COMPUTED_VALUE"""),80.0)</f>
        <v>80</v>
      </c>
      <c r="AC149" s="481">
        <f>IFERROR(__xludf.DUMMYFUNCTION("""COMPUTED_VALUE"""),80.0)</f>
        <v>80</v>
      </c>
      <c r="AD149" s="481">
        <f>IFERROR(__xludf.DUMMYFUNCTION("""COMPUTED_VALUE"""),100.0)</f>
        <v>100</v>
      </c>
      <c r="AE149" s="481">
        <f>IFERROR(__xludf.DUMMYFUNCTION("""COMPUTED_VALUE"""),70.0)</f>
        <v>70</v>
      </c>
      <c r="AF149" s="481"/>
      <c r="AG149" s="481">
        <f>IFERROR(__xludf.DUMMYFUNCTION("""COMPUTED_VALUE"""),35.0)</f>
        <v>35</v>
      </c>
      <c r="AH149" s="481"/>
      <c r="AI149" s="158"/>
      <c r="AJ149" s="158"/>
      <c r="AK149" s="133">
        <f>IFERROR(__xludf.DUMMYFUNCTION("""COMPUTED_VALUE"""),4.0)</f>
        <v>4</v>
      </c>
      <c r="AL149" s="133">
        <f>IFERROR(__xludf.DUMMYFUNCTION("""COMPUTED_VALUE"""),3.0)</f>
        <v>3</v>
      </c>
      <c r="AM149" s="133">
        <f>IFERROR(__xludf.DUMMYFUNCTION("""COMPUTED_VALUE"""),3.0)</f>
        <v>3</v>
      </c>
      <c r="AN149" s="133" t="str">
        <f>IFERROR(__xludf.DUMMYFUNCTION("""COMPUTED_VALUE"""),"3.5")</f>
        <v>3.5</v>
      </c>
      <c r="AO149" s="133">
        <f>IFERROR(__xludf.DUMMYFUNCTION("""COMPUTED_VALUE"""),3.0)</f>
        <v>3</v>
      </c>
      <c r="AP149" s="155" t="s">
        <v>2461</v>
      </c>
    </row>
    <row r="150">
      <c r="A150" s="555">
        <f>IFERROR(__xludf.DUMMYFUNCTION("""COMPUTED_VALUE"""),146.0)</f>
        <v>146</v>
      </c>
      <c r="B150" s="555" t="str">
        <f>IFERROR(__xludf.DUMMYFUNCTION("""COMPUTED_VALUE"""),"san23cs@cmrit.ac.in")</f>
        <v>san23cs@cmrit.ac.in</v>
      </c>
      <c r="C150" s="172" t="str">
        <f>IFERROR(__xludf.DUMMYFUNCTION("""COMPUTED_VALUE"""),"S ANANYA")</f>
        <v>S ANANYA</v>
      </c>
      <c r="D150" s="261" t="str">
        <f>IFERROR(__xludf.DUMMYFUNCTION("""COMPUTED_VALUE"""),"1CR23CS153")</f>
        <v>1CR23CS153</v>
      </c>
      <c r="E150" s="563">
        <f>IFERROR(__xludf.DUMMYFUNCTION("""COMPUTED_VALUE"""),8.951505867E9)</f>
        <v>8951505867</v>
      </c>
      <c r="F150" s="155" t="str">
        <f>IFERROR(__xludf.DUMMYFUNCTION("""COMPUTED_VALUE"""),"CSE")</f>
        <v>CSE</v>
      </c>
      <c r="G150" s="158"/>
      <c r="H150" s="559">
        <f>IFERROR(__xludf.DUMMYFUNCTION("""COMPUTED_VALUE"""),86.0)</f>
        <v>86</v>
      </c>
      <c r="I150" s="559">
        <f>IFERROR(__xludf.DUMMYFUNCTION("""COMPUTED_VALUE"""),87.0)</f>
        <v>87</v>
      </c>
      <c r="J150" s="559">
        <f>IFERROR(__xludf.DUMMYFUNCTION("""COMPUTED_VALUE"""),72.0)</f>
        <v>72</v>
      </c>
      <c r="K150" s="559">
        <f>IFERROR(__xludf.DUMMYFUNCTION("""COMPUTED_VALUE"""),86.0)</f>
        <v>86</v>
      </c>
      <c r="L150" s="560">
        <f>IFERROR(__xludf.DUMMYFUNCTION("""COMPUTED_VALUE"""),58.0)</f>
        <v>58</v>
      </c>
      <c r="M150" s="561">
        <f>IFERROR(__xludf.DUMMYFUNCTION("""COMPUTED_VALUE"""),50.0)</f>
        <v>50</v>
      </c>
      <c r="N150" s="561">
        <f>IFERROR(__xludf.DUMMYFUNCTION("""COMPUTED_VALUE"""),50.0)</f>
        <v>50</v>
      </c>
      <c r="O150" s="560"/>
      <c r="P150" s="562">
        <f>IFERROR(__xludf.DUMMYFUNCTION("""COMPUTED_VALUE"""),81.0)</f>
        <v>81</v>
      </c>
      <c r="Q150" s="562">
        <f>IFERROR(__xludf.DUMMYFUNCTION("""COMPUTED_VALUE"""),61.0)</f>
        <v>61</v>
      </c>
      <c r="R150" s="562">
        <f>IFERROR(__xludf.DUMMYFUNCTION("""COMPUTED_VALUE"""),85.0)</f>
        <v>85</v>
      </c>
      <c r="S150" s="562"/>
      <c r="T150" s="217">
        <f>IFERROR(__xludf.DUMMYFUNCTION("""COMPUTED_VALUE"""),19.0)</f>
        <v>19</v>
      </c>
      <c r="U150" s="217">
        <f>IFERROR(__xludf.DUMMYFUNCTION("""COMPUTED_VALUE"""),16.0)</f>
        <v>16</v>
      </c>
      <c r="V150" s="217">
        <f>IFERROR(__xludf.DUMMYFUNCTION("""COMPUTED_VALUE"""),52.0)</f>
        <v>52</v>
      </c>
      <c r="W150" s="217">
        <f>IFERROR(__xludf.DUMMYFUNCTION("""COMPUTED_VALUE"""),48.0)</f>
        <v>48</v>
      </c>
      <c r="X150" s="217">
        <f>IFERROR(__xludf.DUMMYFUNCTION("""COMPUTED_VALUE"""),82.0)</f>
        <v>82</v>
      </c>
      <c r="Y150" s="217"/>
      <c r="Z150" s="217"/>
      <c r="AA150" s="481">
        <f>IFERROR(__xludf.DUMMYFUNCTION("""COMPUTED_VALUE"""),100.0)</f>
        <v>100</v>
      </c>
      <c r="AB150" s="481">
        <f>IFERROR(__xludf.DUMMYFUNCTION("""COMPUTED_VALUE"""),98.0)</f>
        <v>98</v>
      </c>
      <c r="AC150" s="481">
        <f>IFERROR(__xludf.DUMMYFUNCTION("""COMPUTED_VALUE"""),90.0)</f>
        <v>90</v>
      </c>
      <c r="AD150" s="481">
        <f>IFERROR(__xludf.DUMMYFUNCTION("""COMPUTED_VALUE"""),78.0)</f>
        <v>78</v>
      </c>
      <c r="AE150" s="481">
        <f>IFERROR(__xludf.DUMMYFUNCTION("""COMPUTED_VALUE"""),70.0)</f>
        <v>70</v>
      </c>
      <c r="AF150" s="481"/>
      <c r="AG150" s="481">
        <f>IFERROR(__xludf.DUMMYFUNCTION("""COMPUTED_VALUE"""),70.0)</f>
        <v>70</v>
      </c>
      <c r="AH150" s="481"/>
      <c r="AI150" s="158"/>
      <c r="AJ150" s="158"/>
      <c r="AK150" s="133">
        <f>IFERROR(__xludf.DUMMYFUNCTION("""COMPUTED_VALUE"""),4.0)</f>
        <v>4</v>
      </c>
      <c r="AL150" s="133">
        <f>IFERROR(__xludf.DUMMYFUNCTION("""COMPUTED_VALUE"""),3.0)</f>
        <v>3</v>
      </c>
      <c r="AM150" s="133">
        <f>IFERROR(__xludf.DUMMYFUNCTION("""COMPUTED_VALUE"""),2.0)</f>
        <v>2</v>
      </c>
      <c r="AN150" s="133" t="str">
        <f>IFERROR(__xludf.DUMMYFUNCTION("""COMPUTED_VALUE"""),"3.5")</f>
        <v>3.5</v>
      </c>
      <c r="AO150" s="133">
        <f>IFERROR(__xludf.DUMMYFUNCTION("""COMPUTED_VALUE"""),3.0)</f>
        <v>3</v>
      </c>
      <c r="AP150" s="155" t="s">
        <v>2461</v>
      </c>
    </row>
    <row r="151">
      <c r="A151" s="555">
        <f>IFERROR(__xludf.DUMMYFUNCTION("""COMPUTED_VALUE"""),147.0)</f>
        <v>147</v>
      </c>
      <c r="B151" s="555" t="str">
        <f>IFERROR(__xludf.DUMMYFUNCTION("""COMPUTED_VALUE"""),"sma23cs@cmrit.ac.in")</f>
        <v>sma23cs@cmrit.ac.in</v>
      </c>
      <c r="C151" s="172" t="str">
        <f>IFERROR(__xludf.DUMMYFUNCTION("""COMPUTED_VALUE"""),"S MADHIVADHANAN")</f>
        <v>S MADHIVADHANAN</v>
      </c>
      <c r="D151" s="261" t="str">
        <f>IFERROR(__xludf.DUMMYFUNCTION("""COMPUTED_VALUE"""),"1CR23CS154")</f>
        <v>1CR23CS154</v>
      </c>
      <c r="E151" s="563">
        <f>IFERROR(__xludf.DUMMYFUNCTION("""COMPUTED_VALUE"""),9.98011231E9)</f>
        <v>9980112310</v>
      </c>
      <c r="F151" s="155" t="str">
        <f>IFERROR(__xludf.DUMMYFUNCTION("""COMPUTED_VALUE"""),"CSE")</f>
        <v>CSE</v>
      </c>
      <c r="G151" s="158"/>
      <c r="H151" s="559">
        <f>IFERROR(__xludf.DUMMYFUNCTION("""COMPUTED_VALUE"""),88.0)</f>
        <v>88</v>
      </c>
      <c r="I151" s="559">
        <f>IFERROR(__xludf.DUMMYFUNCTION("""COMPUTED_VALUE"""),86.0)</f>
        <v>86</v>
      </c>
      <c r="J151" s="559">
        <f>IFERROR(__xludf.DUMMYFUNCTION("""COMPUTED_VALUE"""),84.0)</f>
        <v>84</v>
      </c>
      <c r="K151" s="559">
        <f>IFERROR(__xludf.DUMMYFUNCTION("""COMPUTED_VALUE"""),76.0)</f>
        <v>76</v>
      </c>
      <c r="L151" s="560">
        <f>IFERROR(__xludf.DUMMYFUNCTION("""COMPUTED_VALUE"""),51.0)</f>
        <v>51</v>
      </c>
      <c r="M151" s="561">
        <f>IFERROR(__xludf.DUMMYFUNCTION("""COMPUTED_VALUE"""),13.0)</f>
        <v>13</v>
      </c>
      <c r="N151" s="561">
        <f>IFERROR(__xludf.DUMMYFUNCTION("""COMPUTED_VALUE"""),40.0)</f>
        <v>40</v>
      </c>
      <c r="O151" s="560"/>
      <c r="P151" s="562">
        <f>IFERROR(__xludf.DUMMYFUNCTION("""COMPUTED_VALUE"""),78.0)</f>
        <v>78</v>
      </c>
      <c r="Q151" s="562">
        <f>IFERROR(__xludf.DUMMYFUNCTION("""COMPUTED_VALUE"""),50.0)</f>
        <v>50</v>
      </c>
      <c r="R151" s="562">
        <f>IFERROR(__xludf.DUMMYFUNCTION("""COMPUTED_VALUE"""),36.0)</f>
        <v>36</v>
      </c>
      <c r="S151" s="562"/>
      <c r="T151" s="217">
        <f>IFERROR(__xludf.DUMMYFUNCTION("""COMPUTED_VALUE"""),17.0)</f>
        <v>17</v>
      </c>
      <c r="U151" s="217">
        <f>IFERROR(__xludf.DUMMYFUNCTION("""COMPUTED_VALUE"""),21.0)</f>
        <v>21</v>
      </c>
      <c r="V151" s="217">
        <f>IFERROR(__xludf.DUMMYFUNCTION("""COMPUTED_VALUE"""),40.0)</f>
        <v>40</v>
      </c>
      <c r="W151" s="217"/>
      <c r="X151" s="217">
        <f>IFERROR(__xludf.DUMMYFUNCTION("""COMPUTED_VALUE"""),70.0)</f>
        <v>70</v>
      </c>
      <c r="Y151" s="217"/>
      <c r="Z151" s="217"/>
      <c r="AA151" s="481">
        <f>IFERROR(__xludf.DUMMYFUNCTION("""COMPUTED_VALUE"""),56.0)</f>
        <v>56</v>
      </c>
      <c r="AB151" s="481">
        <f>IFERROR(__xludf.DUMMYFUNCTION("""COMPUTED_VALUE"""),100.0)</f>
        <v>100</v>
      </c>
      <c r="AC151" s="481">
        <f>IFERROR(__xludf.DUMMYFUNCTION("""COMPUTED_VALUE"""),68.0)</f>
        <v>68</v>
      </c>
      <c r="AD151" s="481">
        <f>IFERROR(__xludf.DUMMYFUNCTION("""COMPUTED_VALUE"""),3.0)</f>
        <v>3</v>
      </c>
      <c r="AE151" s="481">
        <f>IFERROR(__xludf.DUMMYFUNCTION("""COMPUTED_VALUE"""),10.0)</f>
        <v>10</v>
      </c>
      <c r="AF151" s="481"/>
      <c r="AG151" s="481">
        <f>IFERROR(__xludf.DUMMYFUNCTION("""COMPUTED_VALUE"""),58.0)</f>
        <v>58</v>
      </c>
      <c r="AH151" s="481"/>
      <c r="AI151" s="158"/>
      <c r="AJ151" s="158"/>
      <c r="AK151" s="133">
        <f>IFERROR(__xludf.DUMMYFUNCTION("""COMPUTED_VALUE"""),4.0)</f>
        <v>4</v>
      </c>
      <c r="AL151" s="133">
        <f>IFERROR(__xludf.DUMMYFUNCTION("""COMPUTED_VALUE"""),1.0)</f>
        <v>1</v>
      </c>
      <c r="AM151" s="133">
        <f>IFERROR(__xludf.DUMMYFUNCTION("""COMPUTED_VALUE"""),2.0)</f>
        <v>2</v>
      </c>
      <c r="AN151" s="133" t="str">
        <f>IFERROR(__xludf.DUMMYFUNCTION("""COMPUTED_VALUE"""),"3")</f>
        <v>3</v>
      </c>
      <c r="AO151" s="133">
        <f>IFERROR(__xludf.DUMMYFUNCTION("""COMPUTED_VALUE"""),2.0)</f>
        <v>2</v>
      </c>
      <c r="AP151" s="155" t="s">
        <v>2461</v>
      </c>
    </row>
    <row r="152">
      <c r="A152" s="555">
        <f>IFERROR(__xludf.DUMMYFUNCTION("""COMPUTED_VALUE"""),148.0)</f>
        <v>148</v>
      </c>
      <c r="B152" s="555" t="str">
        <f>IFERROR(__xludf.DUMMYFUNCTION("""COMPUTED_VALUE"""),"ssn23cs@cmrit.ac.in")</f>
        <v>ssn23cs@cmrit.ac.in</v>
      </c>
      <c r="C152" s="172" t="str">
        <f>IFERROR(__xludf.DUMMYFUNCTION("""COMPUTED_VALUE"""),"S SNEHAA")</f>
        <v>S SNEHAA</v>
      </c>
      <c r="D152" s="261" t="str">
        <f>IFERROR(__xludf.DUMMYFUNCTION("""COMPUTED_VALUE"""),"1CR23CS155")</f>
        <v>1CR23CS155</v>
      </c>
      <c r="E152" s="563">
        <f>IFERROR(__xludf.DUMMYFUNCTION("""COMPUTED_VALUE"""),9.3216846E9)</f>
        <v>9321684600</v>
      </c>
      <c r="F152" s="155" t="str">
        <f>IFERROR(__xludf.DUMMYFUNCTION("""COMPUTED_VALUE"""),"CSE")</f>
        <v>CSE</v>
      </c>
      <c r="G152" s="158"/>
      <c r="H152" s="559">
        <f>IFERROR(__xludf.DUMMYFUNCTION("""COMPUTED_VALUE"""),88.0)</f>
        <v>88</v>
      </c>
      <c r="I152" s="559">
        <f>IFERROR(__xludf.DUMMYFUNCTION("""COMPUTED_VALUE"""),83.0)</f>
        <v>83</v>
      </c>
      <c r="J152" s="559">
        <f>IFERROR(__xludf.DUMMYFUNCTION("""COMPUTED_VALUE"""),70.0)</f>
        <v>70</v>
      </c>
      <c r="K152" s="559">
        <f>IFERROR(__xludf.DUMMYFUNCTION("""COMPUTED_VALUE"""),70.0)</f>
        <v>70</v>
      </c>
      <c r="L152" s="560">
        <f>IFERROR(__xludf.DUMMYFUNCTION("""COMPUTED_VALUE"""),50.0)</f>
        <v>50</v>
      </c>
      <c r="M152" s="561">
        <f>IFERROR(__xludf.DUMMYFUNCTION("""COMPUTED_VALUE"""),50.0)</f>
        <v>50</v>
      </c>
      <c r="N152" s="561">
        <f>IFERROR(__xludf.DUMMYFUNCTION("""COMPUTED_VALUE"""),9.0)</f>
        <v>9</v>
      </c>
      <c r="O152" s="560"/>
      <c r="P152" s="562">
        <f>IFERROR(__xludf.DUMMYFUNCTION("""COMPUTED_VALUE"""),80.0)</f>
        <v>80</v>
      </c>
      <c r="Q152" s="562">
        <f>IFERROR(__xludf.DUMMYFUNCTION("""COMPUTED_VALUE"""),61.0)</f>
        <v>61</v>
      </c>
      <c r="R152" s="562">
        <f>IFERROR(__xludf.DUMMYFUNCTION("""COMPUTED_VALUE"""),82.0)</f>
        <v>82</v>
      </c>
      <c r="S152" s="562"/>
      <c r="T152" s="217">
        <f>IFERROR(__xludf.DUMMYFUNCTION("""COMPUTED_VALUE"""),11.0)</f>
        <v>11</v>
      </c>
      <c r="U152" s="217">
        <f>IFERROR(__xludf.DUMMYFUNCTION("""COMPUTED_VALUE"""),19.0)</f>
        <v>19</v>
      </c>
      <c r="V152" s="217">
        <f>IFERROR(__xludf.DUMMYFUNCTION("""COMPUTED_VALUE"""),52.0)</f>
        <v>52</v>
      </c>
      <c r="W152" s="217">
        <f>IFERROR(__xludf.DUMMYFUNCTION("""COMPUTED_VALUE"""),76.0)</f>
        <v>76</v>
      </c>
      <c r="X152" s="217">
        <f>IFERROR(__xludf.DUMMYFUNCTION("""COMPUTED_VALUE"""),82.0)</f>
        <v>82</v>
      </c>
      <c r="Y152" s="217"/>
      <c r="Z152" s="217"/>
      <c r="AA152" s="481">
        <f>IFERROR(__xludf.DUMMYFUNCTION("""COMPUTED_VALUE"""),65.0)</f>
        <v>65</v>
      </c>
      <c r="AB152" s="481">
        <f>IFERROR(__xludf.DUMMYFUNCTION("""COMPUTED_VALUE"""),100.0)</f>
        <v>100</v>
      </c>
      <c r="AC152" s="481">
        <f>IFERROR(__xludf.DUMMYFUNCTION("""COMPUTED_VALUE"""),80.0)</f>
        <v>80</v>
      </c>
      <c r="AD152" s="481">
        <f>IFERROR(__xludf.DUMMYFUNCTION("""COMPUTED_VALUE"""),100.0)</f>
        <v>100</v>
      </c>
      <c r="AE152" s="481">
        <f>IFERROR(__xludf.DUMMYFUNCTION("""COMPUTED_VALUE"""),40.0)</f>
        <v>40</v>
      </c>
      <c r="AF152" s="481"/>
      <c r="AG152" s="481">
        <f>IFERROR(__xludf.DUMMYFUNCTION("""COMPUTED_VALUE"""),0.0)</f>
        <v>0</v>
      </c>
      <c r="AH152" s="481"/>
      <c r="AI152" s="158"/>
      <c r="AJ152" s="158"/>
      <c r="AK152" s="133">
        <f>IFERROR(__xludf.DUMMYFUNCTION("""COMPUTED_VALUE"""),4.0)</f>
        <v>4</v>
      </c>
      <c r="AL152" s="133">
        <f>IFERROR(__xludf.DUMMYFUNCTION("""COMPUTED_VALUE"""),2.0)</f>
        <v>2</v>
      </c>
      <c r="AM152" s="133">
        <f>IFERROR(__xludf.DUMMYFUNCTION("""COMPUTED_VALUE"""),3.0)</f>
        <v>3</v>
      </c>
      <c r="AN152" s="133" t="str">
        <f>IFERROR(__xludf.DUMMYFUNCTION("""COMPUTED_VALUE"""),"3")</f>
        <v>3</v>
      </c>
      <c r="AO152" s="133">
        <f>IFERROR(__xludf.DUMMYFUNCTION("""COMPUTED_VALUE"""),3.0)</f>
        <v>3</v>
      </c>
      <c r="AP152" s="155" t="s">
        <v>2461</v>
      </c>
    </row>
    <row r="153">
      <c r="A153" s="555">
        <f>IFERROR(__xludf.DUMMYFUNCTION("""COMPUTED_VALUE"""),149.0)</f>
        <v>149</v>
      </c>
      <c r="B153" s="555" t="str">
        <f>IFERROR(__xludf.DUMMYFUNCTION("""COMPUTED_VALUE"""),"sasat23cs@cmrit.ac.in")</f>
        <v>sasat23cs@cmrit.ac.in</v>
      </c>
      <c r="C153" s="172" t="str">
        <f>IFERROR(__xludf.DUMMYFUNCTION("""COMPUTED_VALUE"""),"SAATWIK SATPATHY")</f>
        <v>SAATWIK SATPATHY</v>
      </c>
      <c r="D153" s="261" t="str">
        <f>IFERROR(__xludf.DUMMYFUNCTION("""COMPUTED_VALUE"""),"1CR23CS156")</f>
        <v>1CR23CS156</v>
      </c>
      <c r="E153" s="563">
        <f>IFERROR(__xludf.DUMMYFUNCTION("""COMPUTED_VALUE"""),9.899441466E9)</f>
        <v>9899441466</v>
      </c>
      <c r="F153" s="155" t="str">
        <f>IFERROR(__xludf.DUMMYFUNCTION("""COMPUTED_VALUE"""),"CSE")</f>
        <v>CSE</v>
      </c>
      <c r="G153" s="158"/>
      <c r="H153" s="559">
        <f>IFERROR(__xludf.DUMMYFUNCTION("""COMPUTED_VALUE"""),73.0)</f>
        <v>73</v>
      </c>
      <c r="I153" s="559">
        <f>IFERROR(__xludf.DUMMYFUNCTION("""COMPUTED_VALUE"""),75.0)</f>
        <v>75</v>
      </c>
      <c r="J153" s="559">
        <f>IFERROR(__xludf.DUMMYFUNCTION("""COMPUTED_VALUE"""),71.0)</f>
        <v>71</v>
      </c>
      <c r="K153" s="559">
        <f>IFERROR(__xludf.DUMMYFUNCTION("""COMPUTED_VALUE"""),70.0)</f>
        <v>70</v>
      </c>
      <c r="L153" s="560">
        <f>IFERROR(__xludf.DUMMYFUNCTION("""COMPUTED_VALUE"""),27.0)</f>
        <v>27</v>
      </c>
      <c r="M153" s="561">
        <f>IFERROR(__xludf.DUMMYFUNCTION("""COMPUTED_VALUE"""),13.0)</f>
        <v>13</v>
      </c>
      <c r="N153" s="561">
        <f>IFERROR(__xludf.DUMMYFUNCTION("""COMPUTED_VALUE"""),50.0)</f>
        <v>50</v>
      </c>
      <c r="O153" s="560"/>
      <c r="P153" s="562">
        <f>IFERROR(__xludf.DUMMYFUNCTION("""COMPUTED_VALUE"""),72.0)</f>
        <v>72</v>
      </c>
      <c r="Q153" s="562">
        <f>IFERROR(__xludf.DUMMYFUNCTION("""COMPUTED_VALUE"""),50.0)</f>
        <v>50</v>
      </c>
      <c r="R153" s="562">
        <f>IFERROR(__xludf.DUMMYFUNCTION("""COMPUTED_VALUE"""),82.0)</f>
        <v>82</v>
      </c>
      <c r="S153" s="562"/>
      <c r="T153" s="217">
        <f>IFERROR(__xludf.DUMMYFUNCTION("""COMPUTED_VALUE"""),22.0)</f>
        <v>22</v>
      </c>
      <c r="U153" s="217">
        <f>IFERROR(__xludf.DUMMYFUNCTION("""COMPUTED_VALUE"""),18.0)</f>
        <v>18</v>
      </c>
      <c r="V153" s="217"/>
      <c r="W153" s="217">
        <f>IFERROR(__xludf.DUMMYFUNCTION("""COMPUTED_VALUE"""),28.0)</f>
        <v>28</v>
      </c>
      <c r="X153" s="217">
        <f>IFERROR(__xludf.DUMMYFUNCTION("""COMPUTED_VALUE"""),54.0)</f>
        <v>54</v>
      </c>
      <c r="Y153" s="217"/>
      <c r="Z153" s="217"/>
      <c r="AA153" s="481">
        <f>IFERROR(__xludf.DUMMYFUNCTION("""COMPUTED_VALUE"""),24.0)</f>
        <v>24</v>
      </c>
      <c r="AB153" s="481">
        <f>IFERROR(__xludf.DUMMYFUNCTION("""COMPUTED_VALUE"""),87.0)</f>
        <v>87</v>
      </c>
      <c r="AC153" s="481">
        <f>IFERROR(__xludf.DUMMYFUNCTION("""COMPUTED_VALUE"""),70.0)</f>
        <v>70</v>
      </c>
      <c r="AD153" s="481">
        <f>IFERROR(__xludf.DUMMYFUNCTION("""COMPUTED_VALUE"""),5.0)</f>
        <v>5</v>
      </c>
      <c r="AE153" s="481">
        <f>IFERROR(__xludf.DUMMYFUNCTION("""COMPUTED_VALUE"""),22.0)</f>
        <v>22</v>
      </c>
      <c r="AF153" s="481"/>
      <c r="AG153" s="481">
        <f>IFERROR(__xludf.DUMMYFUNCTION("""COMPUTED_VALUE"""),56.0)</f>
        <v>56</v>
      </c>
      <c r="AH153" s="481"/>
      <c r="AI153" s="158"/>
      <c r="AJ153" s="158"/>
      <c r="AK153" s="133">
        <f>IFERROR(__xludf.DUMMYFUNCTION("""COMPUTED_VALUE"""),4.0)</f>
        <v>4</v>
      </c>
      <c r="AL153" s="133">
        <f>IFERROR(__xludf.DUMMYFUNCTION("""COMPUTED_VALUE"""),0.0)</f>
        <v>0</v>
      </c>
      <c r="AM153" s="133">
        <f>IFERROR(__xludf.DUMMYFUNCTION("""COMPUTED_VALUE"""),2.0)</f>
        <v>2</v>
      </c>
      <c r="AN153" s="133" t="str">
        <f>IFERROR(__xludf.DUMMYFUNCTION("""COMPUTED_VALUE"""),"3")</f>
        <v>3</v>
      </c>
      <c r="AO153" s="133">
        <f>IFERROR(__xludf.DUMMYFUNCTION("""COMPUTED_VALUE"""),3.0)</f>
        <v>3</v>
      </c>
      <c r="AP153" s="155" t="s">
        <v>2461</v>
      </c>
    </row>
    <row r="154">
      <c r="A154" s="555">
        <f>IFERROR(__xludf.DUMMYFUNCTION("""COMPUTED_VALUE"""),150.0)</f>
        <v>150</v>
      </c>
      <c r="B154" s="555" t="str">
        <f>IFERROR(__xludf.DUMMYFUNCTION("""COMPUTED_VALUE"""),"sapr23cs@cmrit.ac.in")</f>
        <v>sapr23cs@cmrit.ac.in</v>
      </c>
      <c r="C154" s="172" t="str">
        <f>IFERROR(__xludf.DUMMYFUNCTION("""COMPUTED_VALUE"""),"SAHIL PRADHAN")</f>
        <v>SAHIL PRADHAN</v>
      </c>
      <c r="D154" s="261" t="str">
        <f>IFERROR(__xludf.DUMMYFUNCTION("""COMPUTED_VALUE"""),"1CR23CS157")</f>
        <v>1CR23CS157</v>
      </c>
      <c r="E154" s="563">
        <f>IFERROR(__xludf.DUMMYFUNCTION("""COMPUTED_VALUE"""),8.383922494E9)</f>
        <v>8383922494</v>
      </c>
      <c r="F154" s="155" t="str">
        <f>IFERROR(__xludf.DUMMYFUNCTION("""COMPUTED_VALUE"""),"CSE")</f>
        <v>CSE</v>
      </c>
      <c r="G154" s="158"/>
      <c r="H154" s="559">
        <f>IFERROR(__xludf.DUMMYFUNCTION("""COMPUTED_VALUE"""),87.0)</f>
        <v>87</v>
      </c>
      <c r="I154" s="559">
        <f>IFERROR(__xludf.DUMMYFUNCTION("""COMPUTED_VALUE"""),86.0)</f>
        <v>86</v>
      </c>
      <c r="J154" s="559">
        <f>IFERROR(__xludf.DUMMYFUNCTION("""COMPUTED_VALUE"""),75.0)</f>
        <v>75</v>
      </c>
      <c r="K154" s="559">
        <f>IFERROR(__xludf.DUMMYFUNCTION("""COMPUTED_VALUE"""),74.0)</f>
        <v>74</v>
      </c>
      <c r="L154" s="560">
        <f>IFERROR(__xludf.DUMMYFUNCTION("""COMPUTED_VALUE"""),54.0)</f>
        <v>54</v>
      </c>
      <c r="M154" s="561">
        <f>IFERROR(__xludf.DUMMYFUNCTION("""COMPUTED_VALUE"""),50.0)</f>
        <v>50</v>
      </c>
      <c r="N154" s="561">
        <f>IFERROR(__xludf.DUMMYFUNCTION("""COMPUTED_VALUE"""),50.0)</f>
        <v>50</v>
      </c>
      <c r="O154" s="560"/>
      <c r="P154" s="562">
        <f>IFERROR(__xludf.DUMMYFUNCTION("""COMPUTED_VALUE"""),71.0)</f>
        <v>71</v>
      </c>
      <c r="Q154" s="562">
        <f>IFERROR(__xludf.DUMMYFUNCTION("""COMPUTED_VALUE"""),65.0)</f>
        <v>65</v>
      </c>
      <c r="R154" s="562">
        <f>IFERROR(__xludf.DUMMYFUNCTION("""COMPUTED_VALUE"""),71.0)</f>
        <v>71</v>
      </c>
      <c r="S154" s="562"/>
      <c r="T154" s="217">
        <f>IFERROR(__xludf.DUMMYFUNCTION("""COMPUTED_VALUE"""),23.0)</f>
        <v>23</v>
      </c>
      <c r="U154" s="217">
        <f>IFERROR(__xludf.DUMMYFUNCTION("""COMPUTED_VALUE"""),21.0)</f>
        <v>21</v>
      </c>
      <c r="V154" s="217">
        <f>IFERROR(__xludf.DUMMYFUNCTION("""COMPUTED_VALUE"""),64.0)</f>
        <v>64</v>
      </c>
      <c r="W154" s="217">
        <f>IFERROR(__xludf.DUMMYFUNCTION("""COMPUTED_VALUE"""),32.0)</f>
        <v>32</v>
      </c>
      <c r="X154" s="217">
        <f>IFERROR(__xludf.DUMMYFUNCTION("""COMPUTED_VALUE"""),80.0)</f>
        <v>80</v>
      </c>
      <c r="Y154" s="217"/>
      <c r="Z154" s="217"/>
      <c r="AA154" s="481">
        <f>IFERROR(__xludf.DUMMYFUNCTION("""COMPUTED_VALUE"""),25.0)</f>
        <v>25</v>
      </c>
      <c r="AB154" s="481">
        <f>IFERROR(__xludf.DUMMYFUNCTION("""COMPUTED_VALUE"""),100.0)</f>
        <v>100</v>
      </c>
      <c r="AC154" s="481">
        <f>IFERROR(__xludf.DUMMYFUNCTION("""COMPUTED_VALUE"""),80.0)</f>
        <v>80</v>
      </c>
      <c r="AD154" s="481">
        <f>IFERROR(__xludf.DUMMYFUNCTION("""COMPUTED_VALUE"""),90.0)</f>
        <v>90</v>
      </c>
      <c r="AE154" s="481">
        <f>IFERROR(__xludf.DUMMYFUNCTION("""COMPUTED_VALUE"""),61.0)</f>
        <v>61</v>
      </c>
      <c r="AF154" s="481"/>
      <c r="AG154" s="481">
        <f>IFERROR(__xludf.DUMMYFUNCTION("""COMPUTED_VALUE"""),59.0)</f>
        <v>59</v>
      </c>
      <c r="AH154" s="481"/>
      <c r="AI154" s="158"/>
      <c r="AJ154" s="158"/>
      <c r="AK154" s="133">
        <f>IFERROR(__xludf.DUMMYFUNCTION("""COMPUTED_VALUE"""),4.0)</f>
        <v>4</v>
      </c>
      <c r="AL154" s="133">
        <f>IFERROR(__xludf.DUMMYFUNCTION("""COMPUTED_VALUE"""),3.0)</f>
        <v>3</v>
      </c>
      <c r="AM154" s="133">
        <f>IFERROR(__xludf.DUMMYFUNCTION("""COMPUTED_VALUE"""),2.0)</f>
        <v>2</v>
      </c>
      <c r="AN154" s="133" t="str">
        <f>IFERROR(__xludf.DUMMYFUNCTION("""COMPUTED_VALUE"""),"3")</f>
        <v>3</v>
      </c>
      <c r="AO154" s="133">
        <f>IFERROR(__xludf.DUMMYFUNCTION("""COMPUTED_VALUE"""),3.0)</f>
        <v>3</v>
      </c>
      <c r="AP154" s="155" t="s">
        <v>2461</v>
      </c>
    </row>
    <row r="155">
      <c r="A155" s="555">
        <f>IFERROR(__xludf.DUMMYFUNCTION("""COMPUTED_VALUE"""),151.0)</f>
        <v>151</v>
      </c>
      <c r="B155" s="555" t="str">
        <f>IFERROR(__xludf.DUMMYFUNCTION("""COMPUTED_VALUE"""),"saba23cs@cmrit.ac.in")</f>
        <v>saba23cs@cmrit.ac.in</v>
      </c>
      <c r="C155" s="172" t="str">
        <f>IFERROR(__xludf.DUMMYFUNCTION("""COMPUTED_VALUE"""),"Sajal Basnet")</f>
        <v>Sajal Basnet</v>
      </c>
      <c r="D155" s="261" t="str">
        <f>IFERROR(__xludf.DUMMYFUNCTION("""COMPUTED_VALUE"""),"1CR23CS158")</f>
        <v>1CR23CS158</v>
      </c>
      <c r="E155" s="563">
        <f>IFERROR(__xludf.DUMMYFUNCTION("""COMPUTED_VALUE"""),9.779845747794E12)</f>
        <v>9779845747794</v>
      </c>
      <c r="F155" s="155" t="str">
        <f>IFERROR(__xludf.DUMMYFUNCTION("""COMPUTED_VALUE"""),"CSE")</f>
        <v>CSE</v>
      </c>
      <c r="G155" s="158"/>
      <c r="H155" s="559">
        <f>IFERROR(__xludf.DUMMYFUNCTION("""COMPUTED_VALUE"""),86.0)</f>
        <v>86</v>
      </c>
      <c r="I155" s="559">
        <f>IFERROR(__xludf.DUMMYFUNCTION("""COMPUTED_VALUE"""),84.0)</f>
        <v>84</v>
      </c>
      <c r="J155" s="559">
        <f>IFERROR(__xludf.DUMMYFUNCTION("""COMPUTED_VALUE"""),63.0)</f>
        <v>63</v>
      </c>
      <c r="K155" s="559">
        <f>IFERROR(__xludf.DUMMYFUNCTION("""COMPUTED_VALUE"""),70.0)</f>
        <v>70</v>
      </c>
      <c r="L155" s="560">
        <f>IFERROR(__xludf.DUMMYFUNCTION("""COMPUTED_VALUE"""),12.0)</f>
        <v>12</v>
      </c>
      <c r="M155" s="561">
        <f>IFERROR(__xludf.DUMMYFUNCTION("""COMPUTED_VALUE"""),20.0)</f>
        <v>20</v>
      </c>
      <c r="N155" s="561">
        <f>IFERROR(__xludf.DUMMYFUNCTION("""COMPUTED_VALUE"""),0.0)</f>
        <v>0</v>
      </c>
      <c r="O155" s="560"/>
      <c r="P155" s="562">
        <f>IFERROR(__xludf.DUMMYFUNCTION("""COMPUTED_VALUE"""),0.0)</f>
        <v>0</v>
      </c>
      <c r="Q155" s="562">
        <f>IFERROR(__xludf.DUMMYFUNCTION("""COMPUTED_VALUE"""),0.0)</f>
        <v>0</v>
      </c>
      <c r="R155" s="562">
        <f>IFERROR(__xludf.DUMMYFUNCTION("""COMPUTED_VALUE"""),0.0)</f>
        <v>0</v>
      </c>
      <c r="S155" s="562"/>
      <c r="T155" s="217">
        <f>IFERROR(__xludf.DUMMYFUNCTION("""COMPUTED_VALUE"""),10.0)</f>
        <v>10</v>
      </c>
      <c r="U155" s="217">
        <f>IFERROR(__xludf.DUMMYFUNCTION("""COMPUTED_VALUE"""),22.0)</f>
        <v>22</v>
      </c>
      <c r="V155" s="217">
        <f>IFERROR(__xludf.DUMMYFUNCTION("""COMPUTED_VALUE"""),64.0)</f>
        <v>64</v>
      </c>
      <c r="W155" s="217"/>
      <c r="X155" s="217">
        <f>IFERROR(__xludf.DUMMYFUNCTION("""COMPUTED_VALUE"""),62.0)</f>
        <v>62</v>
      </c>
      <c r="Y155" s="217"/>
      <c r="Z155" s="217"/>
      <c r="AA155" s="481">
        <f>IFERROR(__xludf.DUMMYFUNCTION("""COMPUTED_VALUE"""),30.0)</f>
        <v>30</v>
      </c>
      <c r="AB155" s="481">
        <f>IFERROR(__xludf.DUMMYFUNCTION("""COMPUTED_VALUE"""),82.5)</f>
        <v>82.5</v>
      </c>
      <c r="AC155" s="481">
        <f>IFERROR(__xludf.DUMMYFUNCTION("""COMPUTED_VALUE"""),0.0)</f>
        <v>0</v>
      </c>
      <c r="AD155" s="481">
        <f>IFERROR(__xludf.DUMMYFUNCTION("""COMPUTED_VALUE"""),21.0)</f>
        <v>21</v>
      </c>
      <c r="AE155" s="481">
        <f>IFERROR(__xludf.DUMMYFUNCTION("""COMPUTED_VALUE"""),10.0)</f>
        <v>10</v>
      </c>
      <c r="AF155" s="481"/>
      <c r="AG155" s="481">
        <f>IFERROR(__xludf.DUMMYFUNCTION("""COMPUTED_VALUE"""),0.0)</f>
        <v>0</v>
      </c>
      <c r="AH155" s="481"/>
      <c r="AI155" s="158"/>
      <c r="AJ155" s="158"/>
      <c r="AK155" s="133">
        <f>IFERROR(__xludf.DUMMYFUNCTION("""COMPUTED_VALUE"""),2.0)</f>
        <v>2</v>
      </c>
      <c r="AL155" s="133">
        <f>IFERROR(__xludf.DUMMYFUNCTION("""COMPUTED_VALUE"""),0.0)</f>
        <v>0</v>
      </c>
      <c r="AM155" s="133">
        <f>IFERROR(__xludf.DUMMYFUNCTION("""COMPUTED_VALUE"""),2.0)</f>
        <v>2</v>
      </c>
      <c r="AN155" s="133" t="str">
        <f>IFERROR(__xludf.DUMMYFUNCTION("""COMPUTED_VALUE"""),"2")</f>
        <v>2</v>
      </c>
      <c r="AO155" s="133">
        <f>IFERROR(__xludf.DUMMYFUNCTION("""COMPUTED_VALUE"""),0.0)</f>
        <v>0</v>
      </c>
      <c r="AP155" s="155" t="s">
        <v>2461</v>
      </c>
    </row>
    <row r="156">
      <c r="A156" s="555">
        <f>IFERROR(__xludf.DUMMYFUNCTION("""COMPUTED_VALUE"""),152.0)</f>
        <v>152</v>
      </c>
      <c r="B156" s="555" t="str">
        <f>IFERROR(__xludf.DUMMYFUNCTION("""COMPUTED_VALUE"""),"sama23cs@cmrit.ac.in")</f>
        <v>sama23cs@cmrit.ac.in</v>
      </c>
      <c r="C156" s="172" t="str">
        <f>IFERROR(__xludf.DUMMYFUNCTION("""COMPUTED_VALUE"""),"SALONI MALHOTRA")</f>
        <v>SALONI MALHOTRA</v>
      </c>
      <c r="D156" s="261" t="str">
        <f>IFERROR(__xludf.DUMMYFUNCTION("""COMPUTED_VALUE"""),"1CR23CS159")</f>
        <v>1CR23CS159</v>
      </c>
      <c r="E156" s="563">
        <f>IFERROR(__xludf.DUMMYFUNCTION("""COMPUTED_VALUE"""),9.632524823E9)</f>
        <v>9632524823</v>
      </c>
      <c r="F156" s="155" t="str">
        <f>IFERROR(__xludf.DUMMYFUNCTION("""COMPUTED_VALUE"""),"CSE")</f>
        <v>CSE</v>
      </c>
      <c r="G156" s="158"/>
      <c r="H156" s="559">
        <f>IFERROR(__xludf.DUMMYFUNCTION("""COMPUTED_VALUE"""),85.0)</f>
        <v>85</v>
      </c>
      <c r="I156" s="559">
        <f>IFERROR(__xludf.DUMMYFUNCTION("""COMPUTED_VALUE"""),88.0)</f>
        <v>88</v>
      </c>
      <c r="J156" s="559">
        <f>IFERROR(__xludf.DUMMYFUNCTION("""COMPUTED_VALUE"""),70.0)</f>
        <v>70</v>
      </c>
      <c r="K156" s="559">
        <f>IFERROR(__xludf.DUMMYFUNCTION("""COMPUTED_VALUE"""),83.0)</f>
        <v>83</v>
      </c>
      <c r="L156" s="560">
        <f>IFERROR(__xludf.DUMMYFUNCTION("""COMPUTED_VALUE"""),60.0)</f>
        <v>60</v>
      </c>
      <c r="M156" s="561">
        <f>IFERROR(__xludf.DUMMYFUNCTION("""COMPUTED_VALUE"""),50.0)</f>
        <v>50</v>
      </c>
      <c r="N156" s="561">
        <f>IFERROR(__xludf.DUMMYFUNCTION("""COMPUTED_VALUE"""),50.0)</f>
        <v>50</v>
      </c>
      <c r="O156" s="560"/>
      <c r="P156" s="562">
        <f>IFERROR(__xludf.DUMMYFUNCTION("""COMPUTED_VALUE"""),81.0)</f>
        <v>81</v>
      </c>
      <c r="Q156" s="562">
        <f>IFERROR(__xludf.DUMMYFUNCTION("""COMPUTED_VALUE"""),73.0)</f>
        <v>73</v>
      </c>
      <c r="R156" s="562">
        <f>IFERROR(__xludf.DUMMYFUNCTION("""COMPUTED_VALUE"""),85.0)</f>
        <v>85</v>
      </c>
      <c r="S156" s="562"/>
      <c r="T156" s="217">
        <f>IFERROR(__xludf.DUMMYFUNCTION("""COMPUTED_VALUE"""),10.0)</f>
        <v>10</v>
      </c>
      <c r="U156" s="217">
        <f>IFERROR(__xludf.DUMMYFUNCTION("""COMPUTED_VALUE"""),22.0)</f>
        <v>22</v>
      </c>
      <c r="V156" s="217">
        <f>IFERROR(__xludf.DUMMYFUNCTION("""COMPUTED_VALUE"""),85.0)</f>
        <v>85</v>
      </c>
      <c r="W156" s="217">
        <f>IFERROR(__xludf.DUMMYFUNCTION("""COMPUTED_VALUE"""),44.0)</f>
        <v>44</v>
      </c>
      <c r="X156" s="217">
        <f>IFERROR(__xludf.DUMMYFUNCTION("""COMPUTED_VALUE"""),82.0)</f>
        <v>82</v>
      </c>
      <c r="Y156" s="217"/>
      <c r="Z156" s="217"/>
      <c r="AA156" s="481">
        <f>IFERROR(__xludf.DUMMYFUNCTION("""COMPUTED_VALUE"""),48.0)</f>
        <v>48</v>
      </c>
      <c r="AB156" s="481">
        <f>IFERROR(__xludf.DUMMYFUNCTION("""COMPUTED_VALUE"""),100.0)</f>
        <v>100</v>
      </c>
      <c r="AC156" s="481">
        <f>IFERROR(__xludf.DUMMYFUNCTION("""COMPUTED_VALUE"""),98.0)</f>
        <v>98</v>
      </c>
      <c r="AD156" s="481">
        <f>IFERROR(__xludf.DUMMYFUNCTION("""COMPUTED_VALUE"""),78.0)</f>
        <v>78</v>
      </c>
      <c r="AE156" s="481">
        <f>IFERROR(__xludf.DUMMYFUNCTION("""COMPUTED_VALUE"""),82.0)</f>
        <v>82</v>
      </c>
      <c r="AF156" s="481"/>
      <c r="AG156" s="481">
        <f>IFERROR(__xludf.DUMMYFUNCTION("""COMPUTED_VALUE"""),71.0)</f>
        <v>71</v>
      </c>
      <c r="AH156" s="481"/>
      <c r="AI156" s="158"/>
      <c r="AJ156" s="158"/>
      <c r="AK156" s="133">
        <f>IFERROR(__xludf.DUMMYFUNCTION("""COMPUTED_VALUE"""),4.0)</f>
        <v>4</v>
      </c>
      <c r="AL156" s="133">
        <f>IFERROR(__xludf.DUMMYFUNCTION("""COMPUTED_VALUE"""),3.0)</f>
        <v>3</v>
      </c>
      <c r="AM156" s="133">
        <f>IFERROR(__xludf.DUMMYFUNCTION("""COMPUTED_VALUE"""),2.0)</f>
        <v>2</v>
      </c>
      <c r="AN156" s="133" t="str">
        <f>IFERROR(__xludf.DUMMYFUNCTION("""COMPUTED_VALUE"""),"3.5")</f>
        <v>3.5</v>
      </c>
      <c r="AO156" s="133">
        <f>IFERROR(__xludf.DUMMYFUNCTION("""COMPUTED_VALUE"""),3.0)</f>
        <v>3</v>
      </c>
      <c r="AP156" s="155" t="s">
        <v>2461</v>
      </c>
    </row>
    <row r="157">
      <c r="A157" s="555">
        <f>IFERROR(__xludf.DUMMYFUNCTION("""COMPUTED_VALUE"""),153.0)</f>
        <v>153</v>
      </c>
      <c r="B157" s="555" t="str">
        <f>IFERROR(__xludf.DUMMYFUNCTION("""COMPUTED_VALUE"""),"sass23cs@cmrit.ac.in")</f>
        <v>sass23cs@cmrit.ac.in</v>
      </c>
      <c r="C157" s="564" t="str">
        <f>IFERROR(__xludf.DUMMYFUNCTION("""COMPUTED_VALUE"""),"SAMARTH S S")</f>
        <v>SAMARTH S S</v>
      </c>
      <c r="D157" s="261" t="str">
        <f>IFERROR(__xludf.DUMMYFUNCTION("""COMPUTED_VALUE"""),"1CR23CS160")</f>
        <v>1CR23CS160</v>
      </c>
      <c r="E157" s="563">
        <f>IFERROR(__xludf.DUMMYFUNCTION("""COMPUTED_VALUE"""),8.217559718E9)</f>
        <v>8217559718</v>
      </c>
      <c r="F157" s="155" t="str">
        <f>IFERROR(__xludf.DUMMYFUNCTION("""COMPUTED_VALUE"""),"CSE")</f>
        <v>CSE</v>
      </c>
      <c r="G157" s="158"/>
      <c r="H157" s="559">
        <f>IFERROR(__xludf.DUMMYFUNCTION("""COMPUTED_VALUE"""),74.0)</f>
        <v>74</v>
      </c>
      <c r="I157" s="559">
        <f>IFERROR(__xludf.DUMMYFUNCTION("""COMPUTED_VALUE"""),72.0)</f>
        <v>72</v>
      </c>
      <c r="J157" s="559">
        <f>IFERROR(__xludf.DUMMYFUNCTION("""COMPUTED_VALUE"""),75.0)</f>
        <v>75</v>
      </c>
      <c r="K157" s="559">
        <f>IFERROR(__xludf.DUMMYFUNCTION("""COMPUTED_VALUE"""),70.0)</f>
        <v>70</v>
      </c>
      <c r="L157" s="560">
        <f>IFERROR(__xludf.DUMMYFUNCTION("""COMPUTED_VALUE"""),50.0)</f>
        <v>50</v>
      </c>
      <c r="M157" s="561">
        <f>IFERROR(__xludf.DUMMYFUNCTION("""COMPUTED_VALUE"""),50.0)</f>
        <v>50</v>
      </c>
      <c r="N157" s="561">
        <f>IFERROR(__xludf.DUMMYFUNCTION("""COMPUTED_VALUE"""),64.0)</f>
        <v>64</v>
      </c>
      <c r="O157" s="560"/>
      <c r="P157" s="562">
        <f>IFERROR(__xludf.DUMMYFUNCTION("""COMPUTED_VALUE"""),50.0)</f>
        <v>50</v>
      </c>
      <c r="Q157" s="562">
        <f>IFERROR(__xludf.DUMMYFUNCTION("""COMPUTED_VALUE"""),50.0)</f>
        <v>50</v>
      </c>
      <c r="R157" s="562">
        <f>IFERROR(__xludf.DUMMYFUNCTION("""COMPUTED_VALUE"""),77.0)</f>
        <v>77</v>
      </c>
      <c r="S157" s="562"/>
      <c r="T157" s="217">
        <f>IFERROR(__xludf.DUMMYFUNCTION("""COMPUTED_VALUE"""),20.0)</f>
        <v>20</v>
      </c>
      <c r="U157" s="217">
        <f>IFERROR(__xludf.DUMMYFUNCTION("""COMPUTED_VALUE"""),22.0)</f>
        <v>22</v>
      </c>
      <c r="V157" s="217">
        <f>IFERROR(__xludf.DUMMYFUNCTION("""COMPUTED_VALUE"""),60.0)</f>
        <v>60</v>
      </c>
      <c r="W157" s="217">
        <f>IFERROR(__xludf.DUMMYFUNCTION("""COMPUTED_VALUE"""),76.0)</f>
        <v>76</v>
      </c>
      <c r="X157" s="217">
        <f>IFERROR(__xludf.DUMMYFUNCTION("""COMPUTED_VALUE"""),78.0)</f>
        <v>78</v>
      </c>
      <c r="Y157" s="217"/>
      <c r="Z157" s="217"/>
      <c r="AA157" s="481">
        <f>IFERROR(__xludf.DUMMYFUNCTION("""COMPUTED_VALUE"""),90.0)</f>
        <v>90</v>
      </c>
      <c r="AB157" s="481">
        <f>IFERROR(__xludf.DUMMYFUNCTION("""COMPUTED_VALUE"""),85.0)</f>
        <v>85</v>
      </c>
      <c r="AC157" s="481">
        <f>IFERROR(__xludf.DUMMYFUNCTION("""COMPUTED_VALUE"""),100.0)</f>
        <v>100</v>
      </c>
      <c r="AD157" s="481">
        <f>IFERROR(__xludf.DUMMYFUNCTION("""COMPUTED_VALUE"""),100.0)</f>
        <v>100</v>
      </c>
      <c r="AE157" s="481">
        <f>IFERROR(__xludf.DUMMYFUNCTION("""COMPUTED_VALUE"""),90.0)</f>
        <v>90</v>
      </c>
      <c r="AF157" s="481"/>
      <c r="AG157" s="481">
        <f>IFERROR(__xludf.DUMMYFUNCTION("""COMPUTED_VALUE"""),63.0)</f>
        <v>63</v>
      </c>
      <c r="AH157" s="481"/>
      <c r="AI157" s="158"/>
      <c r="AJ157" s="158"/>
      <c r="AK157" s="133">
        <f>IFERROR(__xludf.DUMMYFUNCTION("""COMPUTED_VALUE"""),4.0)</f>
        <v>4</v>
      </c>
      <c r="AL157" s="133">
        <f>IFERROR(__xludf.DUMMYFUNCTION("""COMPUTED_VALUE"""),3.0)</f>
        <v>3</v>
      </c>
      <c r="AM157" s="133">
        <f>IFERROR(__xludf.DUMMYFUNCTION("""COMPUTED_VALUE"""),3.0)</f>
        <v>3</v>
      </c>
      <c r="AN157" s="133" t="str">
        <f>IFERROR(__xludf.DUMMYFUNCTION("""COMPUTED_VALUE"""),"3.5")</f>
        <v>3.5</v>
      </c>
      <c r="AO157" s="133">
        <f>IFERROR(__xludf.DUMMYFUNCTION("""COMPUTED_VALUE"""),3.0)</f>
        <v>3</v>
      </c>
      <c r="AP157" s="155" t="s">
        <v>2461</v>
      </c>
    </row>
    <row r="158">
      <c r="A158" s="555">
        <f>IFERROR(__xludf.DUMMYFUNCTION("""COMPUTED_VALUE"""),154.0)</f>
        <v>154</v>
      </c>
      <c r="B158" s="555" t="str">
        <f>IFERROR(__xludf.DUMMYFUNCTION("""COMPUTED_VALUE"""),"samba23cs@cmrit.ac.in")</f>
        <v>samba23cs@cmrit.ac.in</v>
      </c>
      <c r="C158" s="172" t="str">
        <f>IFERROR(__xludf.DUMMYFUNCTION("""COMPUTED_VALUE"""),"SAMRIDHI BASNET")</f>
        <v>SAMRIDHI BASNET</v>
      </c>
      <c r="D158" s="261" t="str">
        <f>IFERROR(__xludf.DUMMYFUNCTION("""COMPUTED_VALUE"""),"1CR23CS161")</f>
        <v>1CR23CS161</v>
      </c>
      <c r="E158" s="563"/>
      <c r="F158" s="155" t="str">
        <f>IFERROR(__xludf.DUMMYFUNCTION("""COMPUTED_VALUE"""),"CSE")</f>
        <v>CSE</v>
      </c>
      <c r="G158" s="158"/>
      <c r="H158" s="559">
        <f>IFERROR(__xludf.DUMMYFUNCTION("""COMPUTED_VALUE"""),78.0)</f>
        <v>78</v>
      </c>
      <c r="I158" s="559">
        <f>IFERROR(__xludf.DUMMYFUNCTION("""COMPUTED_VALUE"""),83.0)</f>
        <v>83</v>
      </c>
      <c r="J158" s="559">
        <f>IFERROR(__xludf.DUMMYFUNCTION("""COMPUTED_VALUE"""),74.0)</f>
        <v>74</v>
      </c>
      <c r="K158" s="559">
        <f>IFERROR(__xludf.DUMMYFUNCTION("""COMPUTED_VALUE"""),74.0)</f>
        <v>74</v>
      </c>
      <c r="L158" s="560">
        <f>IFERROR(__xludf.DUMMYFUNCTION("""COMPUTED_VALUE"""),50.0)</f>
        <v>50</v>
      </c>
      <c r="M158" s="561">
        <f>IFERROR(__xludf.DUMMYFUNCTION("""COMPUTED_VALUE"""),19.0)</f>
        <v>19</v>
      </c>
      <c r="N158" s="561">
        <f>IFERROR(__xludf.DUMMYFUNCTION("""COMPUTED_VALUE"""),0.0)</f>
        <v>0</v>
      </c>
      <c r="O158" s="560"/>
      <c r="P158" s="562">
        <f>IFERROR(__xludf.DUMMYFUNCTION("""COMPUTED_VALUE"""),76.0)</f>
        <v>76</v>
      </c>
      <c r="Q158" s="562">
        <f>IFERROR(__xludf.DUMMYFUNCTION("""COMPUTED_VALUE"""),73.0)</f>
        <v>73</v>
      </c>
      <c r="R158" s="562">
        <f>IFERROR(__xludf.DUMMYFUNCTION("""COMPUTED_VALUE"""),71.0)</f>
        <v>71</v>
      </c>
      <c r="S158" s="562"/>
      <c r="T158" s="217">
        <f>IFERROR(__xludf.DUMMYFUNCTION("""COMPUTED_VALUE"""),22.0)</f>
        <v>22</v>
      </c>
      <c r="U158" s="217">
        <f>IFERROR(__xludf.DUMMYFUNCTION("""COMPUTED_VALUE"""),22.0)</f>
        <v>22</v>
      </c>
      <c r="V158" s="217"/>
      <c r="W158" s="217">
        <f>IFERROR(__xludf.DUMMYFUNCTION("""COMPUTED_VALUE"""),44.0)</f>
        <v>44</v>
      </c>
      <c r="X158" s="217"/>
      <c r="Y158" s="217"/>
      <c r="Z158" s="217"/>
      <c r="AA158" s="481">
        <f>IFERROR(__xludf.DUMMYFUNCTION("""COMPUTED_VALUE"""),96.0)</f>
        <v>96</v>
      </c>
      <c r="AB158" s="481">
        <f>IFERROR(__xludf.DUMMYFUNCTION("""COMPUTED_VALUE"""),76.25)</f>
        <v>76.25</v>
      </c>
      <c r="AC158" s="481">
        <f>IFERROR(__xludf.DUMMYFUNCTION("""COMPUTED_VALUE"""),4.5)</f>
        <v>4.5</v>
      </c>
      <c r="AD158" s="481">
        <f>IFERROR(__xludf.DUMMYFUNCTION("""COMPUTED_VALUE"""),3.0)</f>
        <v>3</v>
      </c>
      <c r="AE158" s="481">
        <f>IFERROR(__xludf.DUMMYFUNCTION("""COMPUTED_VALUE"""),10.0)</f>
        <v>10</v>
      </c>
      <c r="AF158" s="481"/>
      <c r="AG158" s="481">
        <f>IFERROR(__xludf.DUMMYFUNCTION("""COMPUTED_VALUE"""),32.0)</f>
        <v>32</v>
      </c>
      <c r="AH158" s="481"/>
      <c r="AI158" s="158"/>
      <c r="AJ158" s="158"/>
      <c r="AK158" s="133">
        <f>IFERROR(__xludf.DUMMYFUNCTION("""COMPUTED_VALUE"""),4.0)</f>
        <v>4</v>
      </c>
      <c r="AL158" s="133">
        <f>IFERROR(__xludf.DUMMYFUNCTION("""COMPUTED_VALUE"""),1.0)</f>
        <v>1</v>
      </c>
      <c r="AM158" s="133">
        <f>IFERROR(__xludf.DUMMYFUNCTION("""COMPUTED_VALUE"""),2.0)</f>
        <v>2</v>
      </c>
      <c r="AN158" s="133" t="str">
        <f>IFERROR(__xludf.DUMMYFUNCTION("""COMPUTED_VALUE"""),"2")</f>
        <v>2</v>
      </c>
      <c r="AO158" s="133">
        <f>IFERROR(__xludf.DUMMYFUNCTION("""COMPUTED_VALUE"""),3.0)</f>
        <v>3</v>
      </c>
      <c r="AP158" s="155" t="s">
        <v>2461</v>
      </c>
    </row>
    <row r="159">
      <c r="A159" s="555">
        <f>IFERROR(__xludf.DUMMYFUNCTION("""COMPUTED_VALUE"""),155.0)</f>
        <v>155</v>
      </c>
      <c r="B159" s="555" t="str">
        <f>IFERROR(__xludf.DUMMYFUNCTION("""COMPUTED_VALUE"""),"sade23cs@cmrit.ac.in")</f>
        <v>sade23cs@cmrit.ac.in</v>
      </c>
      <c r="C159" s="172" t="str">
        <f>IFERROR(__xludf.DUMMYFUNCTION("""COMPUTED_VALUE"""),"Sandhya devi")</f>
        <v>Sandhya devi</v>
      </c>
      <c r="D159" s="261" t="str">
        <f>IFERROR(__xludf.DUMMYFUNCTION("""COMPUTED_VALUE"""),"1CR23CS162")</f>
        <v>1CR23CS162</v>
      </c>
      <c r="E159" s="563">
        <f>IFERROR(__xludf.DUMMYFUNCTION("""COMPUTED_VALUE"""),7.006301254E9)</f>
        <v>7006301254</v>
      </c>
      <c r="F159" s="155" t="str">
        <f>IFERROR(__xludf.DUMMYFUNCTION("""COMPUTED_VALUE"""),"CSE")</f>
        <v>CSE</v>
      </c>
      <c r="G159" s="158"/>
      <c r="H159" s="559">
        <f>IFERROR(__xludf.DUMMYFUNCTION("""COMPUTED_VALUE"""),78.0)</f>
        <v>78</v>
      </c>
      <c r="I159" s="559">
        <f>IFERROR(__xludf.DUMMYFUNCTION("""COMPUTED_VALUE"""),84.0)</f>
        <v>84</v>
      </c>
      <c r="J159" s="559">
        <f>IFERROR(__xludf.DUMMYFUNCTION("""COMPUTED_VALUE"""),70.0)</f>
        <v>70</v>
      </c>
      <c r="K159" s="559">
        <f>IFERROR(__xludf.DUMMYFUNCTION("""COMPUTED_VALUE"""),70.0)</f>
        <v>70</v>
      </c>
      <c r="L159" s="560">
        <f>IFERROR(__xludf.DUMMYFUNCTION("""COMPUTED_VALUE"""),49.0)</f>
        <v>49</v>
      </c>
      <c r="M159" s="561">
        <f>IFERROR(__xludf.DUMMYFUNCTION("""COMPUTED_VALUE"""),13.0)</f>
        <v>13</v>
      </c>
      <c r="N159" s="561">
        <f>IFERROR(__xludf.DUMMYFUNCTION("""COMPUTED_VALUE"""),0.0)</f>
        <v>0</v>
      </c>
      <c r="O159" s="560"/>
      <c r="P159" s="562">
        <f>IFERROR(__xludf.DUMMYFUNCTION("""COMPUTED_VALUE"""),75.0)</f>
        <v>75</v>
      </c>
      <c r="Q159" s="562">
        <f>IFERROR(__xludf.DUMMYFUNCTION("""COMPUTED_VALUE"""),73.0)</f>
        <v>73</v>
      </c>
      <c r="R159" s="562">
        <f>IFERROR(__xludf.DUMMYFUNCTION("""COMPUTED_VALUE"""),79.0)</f>
        <v>79</v>
      </c>
      <c r="S159" s="562"/>
      <c r="T159" s="217">
        <f>IFERROR(__xludf.DUMMYFUNCTION("""COMPUTED_VALUE"""),12.0)</f>
        <v>12</v>
      </c>
      <c r="U159" s="217">
        <f>IFERROR(__xludf.DUMMYFUNCTION("""COMPUTED_VALUE"""),22.0)</f>
        <v>22</v>
      </c>
      <c r="V159" s="217"/>
      <c r="W159" s="217">
        <f>IFERROR(__xludf.DUMMYFUNCTION("""COMPUTED_VALUE"""),36.0)</f>
        <v>36</v>
      </c>
      <c r="X159" s="217"/>
      <c r="Y159" s="217"/>
      <c r="Z159" s="217"/>
      <c r="AA159" s="481">
        <f>IFERROR(__xludf.DUMMYFUNCTION("""COMPUTED_VALUE"""),76.0)</f>
        <v>76</v>
      </c>
      <c r="AB159" s="481">
        <f>IFERROR(__xludf.DUMMYFUNCTION("""COMPUTED_VALUE"""),86.25)</f>
        <v>86.25</v>
      </c>
      <c r="AC159" s="481">
        <f>IFERROR(__xludf.DUMMYFUNCTION("""COMPUTED_VALUE"""),21.0)</f>
        <v>21</v>
      </c>
      <c r="AD159" s="481">
        <f>IFERROR(__xludf.DUMMYFUNCTION("""COMPUTED_VALUE"""),100.0)</f>
        <v>100</v>
      </c>
      <c r="AE159" s="481">
        <f>IFERROR(__xludf.DUMMYFUNCTION("""COMPUTED_VALUE"""),10.0)</f>
        <v>10</v>
      </c>
      <c r="AF159" s="481"/>
      <c r="AG159" s="481">
        <f>IFERROR(__xludf.DUMMYFUNCTION("""COMPUTED_VALUE"""),32.0)</f>
        <v>32</v>
      </c>
      <c r="AH159" s="481"/>
      <c r="AI159" s="158"/>
      <c r="AJ159" s="158"/>
      <c r="AK159" s="133">
        <f>IFERROR(__xludf.DUMMYFUNCTION("""COMPUTED_VALUE"""),4.0)</f>
        <v>4</v>
      </c>
      <c r="AL159" s="133">
        <f>IFERROR(__xludf.DUMMYFUNCTION("""COMPUTED_VALUE"""),0.0)</f>
        <v>0</v>
      </c>
      <c r="AM159" s="133">
        <f>IFERROR(__xludf.DUMMYFUNCTION("""COMPUTED_VALUE"""),2.0)</f>
        <v>2</v>
      </c>
      <c r="AN159" s="133" t="str">
        <f>IFERROR(__xludf.DUMMYFUNCTION("""COMPUTED_VALUE"""),"3")</f>
        <v>3</v>
      </c>
      <c r="AO159" s="133">
        <f>IFERROR(__xludf.DUMMYFUNCTION("""COMPUTED_VALUE"""),3.0)</f>
        <v>3</v>
      </c>
      <c r="AP159" s="155" t="s">
        <v>2461</v>
      </c>
    </row>
    <row r="160">
      <c r="A160" s="555">
        <f>IFERROR(__xludf.DUMMYFUNCTION("""COMPUTED_VALUE"""),156.0)</f>
        <v>156</v>
      </c>
      <c r="B160" s="555" t="str">
        <f>IFERROR(__xludf.DUMMYFUNCTION("""COMPUTED_VALUE"""),"saku23cs@cmrit.ac.in")</f>
        <v>saku23cs@cmrit.ac.in</v>
      </c>
      <c r="C160" s="172" t="str">
        <f>IFERROR(__xludf.DUMMYFUNCTION("""COMPUTED_VALUE"""),"SANJANA KUMARI")</f>
        <v>SANJANA KUMARI</v>
      </c>
      <c r="D160" s="261" t="str">
        <f>IFERROR(__xludf.DUMMYFUNCTION("""COMPUTED_VALUE"""),"1CR23CS164")</f>
        <v>1CR23CS164</v>
      </c>
      <c r="E160" s="563">
        <f>IFERROR(__xludf.DUMMYFUNCTION("""COMPUTED_VALUE"""),9.508876808E9)</f>
        <v>9508876808</v>
      </c>
      <c r="F160" s="155" t="str">
        <f>IFERROR(__xludf.DUMMYFUNCTION("""COMPUTED_VALUE"""),"CSE")</f>
        <v>CSE</v>
      </c>
      <c r="G160" s="158"/>
      <c r="H160" s="559">
        <f>IFERROR(__xludf.DUMMYFUNCTION("""COMPUTED_VALUE"""),83.0)</f>
        <v>83</v>
      </c>
      <c r="I160" s="559">
        <f>IFERROR(__xludf.DUMMYFUNCTION("""COMPUTED_VALUE"""),83.0)</f>
        <v>83</v>
      </c>
      <c r="J160" s="559">
        <f>IFERROR(__xludf.DUMMYFUNCTION("""COMPUTED_VALUE"""),72.0)</f>
        <v>72</v>
      </c>
      <c r="K160" s="559">
        <f>IFERROR(__xludf.DUMMYFUNCTION("""COMPUTED_VALUE"""),86.0)</f>
        <v>86</v>
      </c>
      <c r="L160" s="560">
        <f>IFERROR(__xludf.DUMMYFUNCTION("""COMPUTED_VALUE"""),71.0)</f>
        <v>71</v>
      </c>
      <c r="M160" s="561">
        <f>IFERROR(__xludf.DUMMYFUNCTION("""COMPUTED_VALUE"""),50.0)</f>
        <v>50</v>
      </c>
      <c r="N160" s="561">
        <f>IFERROR(__xludf.DUMMYFUNCTION("""COMPUTED_VALUE"""),52.0)</f>
        <v>52</v>
      </c>
      <c r="O160" s="560"/>
      <c r="P160" s="562">
        <f>IFERROR(__xludf.DUMMYFUNCTION("""COMPUTED_VALUE"""),72.0)</f>
        <v>72</v>
      </c>
      <c r="Q160" s="562">
        <f>IFERROR(__xludf.DUMMYFUNCTION("""COMPUTED_VALUE"""),84.0)</f>
        <v>84</v>
      </c>
      <c r="R160" s="562">
        <f>IFERROR(__xludf.DUMMYFUNCTION("""COMPUTED_VALUE"""),87.0)</f>
        <v>87</v>
      </c>
      <c r="S160" s="562"/>
      <c r="T160" s="217">
        <f>IFERROR(__xludf.DUMMYFUNCTION("""COMPUTED_VALUE"""),19.0)</f>
        <v>19</v>
      </c>
      <c r="U160" s="217">
        <f>IFERROR(__xludf.DUMMYFUNCTION("""COMPUTED_VALUE"""),22.0)</f>
        <v>22</v>
      </c>
      <c r="V160" s="217">
        <f>IFERROR(__xludf.DUMMYFUNCTION("""COMPUTED_VALUE"""),76.0)</f>
        <v>76</v>
      </c>
      <c r="W160" s="217">
        <f>IFERROR(__xludf.DUMMYFUNCTION("""COMPUTED_VALUE"""),52.0)</f>
        <v>52</v>
      </c>
      <c r="X160" s="217">
        <f>IFERROR(__xludf.DUMMYFUNCTION("""COMPUTED_VALUE"""),82.0)</f>
        <v>82</v>
      </c>
      <c r="Y160" s="217"/>
      <c r="Z160" s="217"/>
      <c r="AA160" s="481">
        <f>IFERROR(__xludf.DUMMYFUNCTION("""COMPUTED_VALUE"""),76.0)</f>
        <v>76</v>
      </c>
      <c r="AB160" s="481">
        <f>IFERROR(__xludf.DUMMYFUNCTION("""COMPUTED_VALUE"""),100.0)</f>
        <v>100</v>
      </c>
      <c r="AC160" s="481">
        <f>IFERROR(__xludf.DUMMYFUNCTION("""COMPUTED_VALUE"""),89.5)</f>
        <v>89.5</v>
      </c>
      <c r="AD160" s="481">
        <f>IFERROR(__xludf.DUMMYFUNCTION("""COMPUTED_VALUE"""),100.0)</f>
        <v>100</v>
      </c>
      <c r="AE160" s="481">
        <f>IFERROR(__xludf.DUMMYFUNCTION("""COMPUTED_VALUE"""),80.0)</f>
        <v>80</v>
      </c>
      <c r="AF160" s="481"/>
      <c r="AG160" s="481">
        <f>IFERROR(__xludf.DUMMYFUNCTION("""COMPUTED_VALUE"""),91.0)</f>
        <v>91</v>
      </c>
      <c r="AH160" s="481"/>
      <c r="AI160" s="158"/>
      <c r="AJ160" s="158"/>
      <c r="AK160" s="133">
        <f>IFERROR(__xludf.DUMMYFUNCTION("""COMPUTED_VALUE"""),4.0)</f>
        <v>4</v>
      </c>
      <c r="AL160" s="133">
        <f>IFERROR(__xludf.DUMMYFUNCTION("""COMPUTED_VALUE"""),3.0)</f>
        <v>3</v>
      </c>
      <c r="AM160" s="133">
        <f>IFERROR(__xludf.DUMMYFUNCTION("""COMPUTED_VALUE"""),3.0)</f>
        <v>3</v>
      </c>
      <c r="AN160" s="133" t="str">
        <f>IFERROR(__xludf.DUMMYFUNCTION("""COMPUTED_VALUE"""),"3.5")</f>
        <v>3.5</v>
      </c>
      <c r="AO160" s="133">
        <f>IFERROR(__xludf.DUMMYFUNCTION("""COMPUTED_VALUE"""),3.0)</f>
        <v>3</v>
      </c>
      <c r="AP160" s="155" t="s">
        <v>2461</v>
      </c>
    </row>
    <row r="161">
      <c r="A161" s="555">
        <f>IFERROR(__xludf.DUMMYFUNCTION("""COMPUTED_VALUE"""),157.0)</f>
        <v>157</v>
      </c>
      <c r="B161" s="555" t="str">
        <f>IFERROR(__xludf.DUMMYFUNCTION("""COMPUTED_VALUE"""),"sap23cs@cmrit.ac.in")</f>
        <v>sap23cs@cmrit.ac.in</v>
      </c>
      <c r="C161" s="172" t="str">
        <f>IFERROR(__xludf.DUMMYFUNCTION("""COMPUTED_VALUE"""),"Sanjana P Sutrave")</f>
        <v>Sanjana P Sutrave</v>
      </c>
      <c r="D161" s="261" t="str">
        <f>IFERROR(__xludf.DUMMYFUNCTION("""COMPUTED_VALUE"""),"1CR23CS165")</f>
        <v>1CR23CS165</v>
      </c>
      <c r="E161" s="563">
        <f>IFERROR(__xludf.DUMMYFUNCTION("""COMPUTED_VALUE"""),9.513492039E9)</f>
        <v>9513492039</v>
      </c>
      <c r="F161" s="155" t="str">
        <f>IFERROR(__xludf.DUMMYFUNCTION("""COMPUTED_VALUE"""),"CSE")</f>
        <v>CSE</v>
      </c>
      <c r="G161" s="158"/>
      <c r="H161" s="559">
        <f>IFERROR(__xludf.DUMMYFUNCTION("""COMPUTED_VALUE"""),85.0)</f>
        <v>85</v>
      </c>
      <c r="I161" s="559">
        <f>IFERROR(__xludf.DUMMYFUNCTION("""COMPUTED_VALUE"""),84.0)</f>
        <v>84</v>
      </c>
      <c r="J161" s="559">
        <f>IFERROR(__xludf.DUMMYFUNCTION("""COMPUTED_VALUE"""),70.0)</f>
        <v>70</v>
      </c>
      <c r="K161" s="559">
        <f>IFERROR(__xludf.DUMMYFUNCTION("""COMPUTED_VALUE"""),70.0)</f>
        <v>70</v>
      </c>
      <c r="L161" s="560">
        <f>IFERROR(__xludf.DUMMYFUNCTION("""COMPUTED_VALUE"""),48.0)</f>
        <v>48</v>
      </c>
      <c r="M161" s="561">
        <f>IFERROR(__xludf.DUMMYFUNCTION("""COMPUTED_VALUE"""),3.0)</f>
        <v>3</v>
      </c>
      <c r="N161" s="561">
        <f>IFERROR(__xludf.DUMMYFUNCTION("""COMPUTED_VALUE"""),50.0)</f>
        <v>50</v>
      </c>
      <c r="O161" s="560"/>
      <c r="P161" s="562">
        <f>IFERROR(__xludf.DUMMYFUNCTION("""COMPUTED_VALUE"""),50.0)</f>
        <v>50</v>
      </c>
      <c r="Q161" s="562">
        <f>IFERROR(__xludf.DUMMYFUNCTION("""COMPUTED_VALUE"""),65.0)</f>
        <v>65</v>
      </c>
      <c r="R161" s="562">
        <f>IFERROR(__xludf.DUMMYFUNCTION("""COMPUTED_VALUE"""),91.0)</f>
        <v>91</v>
      </c>
      <c r="S161" s="562"/>
      <c r="T161" s="217">
        <f>IFERROR(__xludf.DUMMYFUNCTION("""COMPUTED_VALUE"""),19.0)</f>
        <v>19</v>
      </c>
      <c r="U161" s="217">
        <f>IFERROR(__xludf.DUMMYFUNCTION("""COMPUTED_VALUE"""),19.0)</f>
        <v>19</v>
      </c>
      <c r="V161" s="217">
        <f>IFERROR(__xludf.DUMMYFUNCTION("""COMPUTED_VALUE"""),76.0)</f>
        <v>76</v>
      </c>
      <c r="W161" s="217"/>
      <c r="X161" s="217">
        <f>IFERROR(__xludf.DUMMYFUNCTION("""COMPUTED_VALUE"""),78.0)</f>
        <v>78</v>
      </c>
      <c r="Y161" s="217"/>
      <c r="Z161" s="217"/>
      <c r="AA161" s="481">
        <f>IFERROR(__xludf.DUMMYFUNCTION("""COMPUTED_VALUE"""),0.0)</f>
        <v>0</v>
      </c>
      <c r="AB161" s="481">
        <f>IFERROR(__xludf.DUMMYFUNCTION("""COMPUTED_VALUE"""),25.0)</f>
        <v>25</v>
      </c>
      <c r="AC161" s="481">
        <f>IFERROR(__xludf.DUMMYFUNCTION("""COMPUTED_VALUE"""),78.5)</f>
        <v>78.5</v>
      </c>
      <c r="AD161" s="481">
        <f>IFERROR(__xludf.DUMMYFUNCTION("""COMPUTED_VALUE"""),100.0)</f>
        <v>100</v>
      </c>
      <c r="AE161" s="481">
        <f>IFERROR(__xludf.DUMMYFUNCTION("""COMPUTED_VALUE"""),80.0)</f>
        <v>80</v>
      </c>
      <c r="AF161" s="481"/>
      <c r="AG161" s="481">
        <f>IFERROR(__xludf.DUMMYFUNCTION("""COMPUTED_VALUE"""),57.0)</f>
        <v>57</v>
      </c>
      <c r="AH161" s="481"/>
      <c r="AI161" s="158"/>
      <c r="AJ161" s="158"/>
      <c r="AK161" s="133">
        <f>IFERROR(__xludf.DUMMYFUNCTION("""COMPUTED_VALUE"""),4.0)</f>
        <v>4</v>
      </c>
      <c r="AL161" s="133">
        <f>IFERROR(__xludf.DUMMYFUNCTION("""COMPUTED_VALUE"""),0.0)</f>
        <v>0</v>
      </c>
      <c r="AM161" s="133">
        <f>IFERROR(__xludf.DUMMYFUNCTION("""COMPUTED_VALUE"""),2.0)</f>
        <v>2</v>
      </c>
      <c r="AN161" s="133" t="str">
        <f>IFERROR(__xludf.DUMMYFUNCTION("""COMPUTED_VALUE"""),"0")</f>
        <v>0</v>
      </c>
      <c r="AO161" s="133">
        <f>IFERROR(__xludf.DUMMYFUNCTION("""COMPUTED_VALUE"""),3.0)</f>
        <v>3</v>
      </c>
      <c r="AP161" s="155" t="s">
        <v>2461</v>
      </c>
    </row>
    <row r="162">
      <c r="A162" s="555">
        <f>IFERROR(__xludf.DUMMYFUNCTION("""COMPUTED_VALUE"""),158.0)</f>
        <v>158</v>
      </c>
      <c r="B162" s="555" t="str">
        <f>IFERROR(__xludf.DUMMYFUNCTION("""COMPUTED_VALUE"""),"sash23cs@cmrit.ac.in")</f>
        <v>sash23cs@cmrit.ac.in</v>
      </c>
      <c r="C162" s="565" t="str">
        <f>IFERROR(__xludf.DUMMYFUNCTION("""COMPUTED_VALUE"""),"SANJANA SHETTY")</f>
        <v>SANJANA SHETTY</v>
      </c>
      <c r="D162" s="261" t="str">
        <f>IFERROR(__xludf.DUMMYFUNCTION("""COMPUTED_VALUE"""),"1CR23CS166")</f>
        <v>1CR23CS166</v>
      </c>
      <c r="E162" s="563">
        <f>IFERROR(__xludf.DUMMYFUNCTION("""COMPUTED_VALUE"""),7.338394725E9)</f>
        <v>7338394725</v>
      </c>
      <c r="F162" s="155" t="str">
        <f>IFERROR(__xludf.DUMMYFUNCTION("""COMPUTED_VALUE"""),"CSE")</f>
        <v>CSE</v>
      </c>
      <c r="G162" s="158"/>
      <c r="H162" s="559">
        <f>IFERROR(__xludf.DUMMYFUNCTION("""COMPUTED_VALUE"""),91.0)</f>
        <v>91</v>
      </c>
      <c r="I162" s="559">
        <f>IFERROR(__xludf.DUMMYFUNCTION("""COMPUTED_VALUE"""),92.0)</f>
        <v>92</v>
      </c>
      <c r="J162" s="559">
        <f>IFERROR(__xludf.DUMMYFUNCTION("""COMPUTED_VALUE"""),74.0)</f>
        <v>74</v>
      </c>
      <c r="K162" s="559">
        <f>IFERROR(__xludf.DUMMYFUNCTION("""COMPUTED_VALUE"""),86.0)</f>
        <v>86</v>
      </c>
      <c r="L162" s="560">
        <f>IFERROR(__xludf.DUMMYFUNCTION("""COMPUTED_VALUE"""),50.0)</f>
        <v>50</v>
      </c>
      <c r="M162" s="561">
        <f>IFERROR(__xludf.DUMMYFUNCTION("""COMPUTED_VALUE"""),50.0)</f>
        <v>50</v>
      </c>
      <c r="N162" s="561">
        <f>IFERROR(__xludf.DUMMYFUNCTION("""COMPUTED_VALUE"""),50.0)</f>
        <v>50</v>
      </c>
      <c r="O162" s="560"/>
      <c r="P162" s="562">
        <f>IFERROR(__xludf.DUMMYFUNCTION("""COMPUTED_VALUE"""),71.0)</f>
        <v>71</v>
      </c>
      <c r="Q162" s="562">
        <f>IFERROR(__xludf.DUMMYFUNCTION("""COMPUTED_VALUE"""),84.0)</f>
        <v>84</v>
      </c>
      <c r="R162" s="562">
        <f>IFERROR(__xludf.DUMMYFUNCTION("""COMPUTED_VALUE"""),87.0)</f>
        <v>87</v>
      </c>
      <c r="S162" s="562"/>
      <c r="T162" s="217">
        <f>IFERROR(__xludf.DUMMYFUNCTION("""COMPUTED_VALUE"""),21.0)</f>
        <v>21</v>
      </c>
      <c r="U162" s="217">
        <f>IFERROR(__xludf.DUMMYFUNCTION("""COMPUTED_VALUE"""),21.0)</f>
        <v>21</v>
      </c>
      <c r="V162" s="217">
        <f>IFERROR(__xludf.DUMMYFUNCTION("""COMPUTED_VALUE"""),76.0)</f>
        <v>76</v>
      </c>
      <c r="W162" s="217">
        <f>IFERROR(__xludf.DUMMYFUNCTION("""COMPUTED_VALUE"""),44.0)</f>
        <v>44</v>
      </c>
      <c r="X162" s="217">
        <f>IFERROR(__xludf.DUMMYFUNCTION("""COMPUTED_VALUE"""),82.0)</f>
        <v>82</v>
      </c>
      <c r="Y162" s="217"/>
      <c r="Z162" s="217"/>
      <c r="AA162" s="481">
        <f>IFERROR(__xludf.DUMMYFUNCTION("""COMPUTED_VALUE"""),72.0)</f>
        <v>72</v>
      </c>
      <c r="AB162" s="481">
        <f>IFERROR(__xludf.DUMMYFUNCTION("""COMPUTED_VALUE"""),97.5)</f>
        <v>97.5</v>
      </c>
      <c r="AC162" s="481">
        <f>IFERROR(__xludf.DUMMYFUNCTION("""COMPUTED_VALUE"""),88.5)</f>
        <v>88.5</v>
      </c>
      <c r="AD162" s="481">
        <f>IFERROR(__xludf.DUMMYFUNCTION("""COMPUTED_VALUE"""),100.0)</f>
        <v>100</v>
      </c>
      <c r="AE162" s="481">
        <f>IFERROR(__xludf.DUMMYFUNCTION("""COMPUTED_VALUE"""),80.0)</f>
        <v>80</v>
      </c>
      <c r="AF162" s="481"/>
      <c r="AG162" s="481">
        <f>IFERROR(__xludf.DUMMYFUNCTION("""COMPUTED_VALUE"""),88.0)</f>
        <v>88</v>
      </c>
      <c r="AH162" s="481"/>
      <c r="AI162" s="158"/>
      <c r="AJ162" s="158"/>
      <c r="AK162" s="133">
        <f>IFERROR(__xludf.DUMMYFUNCTION("""COMPUTED_VALUE"""),4.0)</f>
        <v>4</v>
      </c>
      <c r="AL162" s="133">
        <f>IFERROR(__xludf.DUMMYFUNCTION("""COMPUTED_VALUE"""),3.0)</f>
        <v>3</v>
      </c>
      <c r="AM162" s="133">
        <f>IFERROR(__xludf.DUMMYFUNCTION("""COMPUTED_VALUE"""),2.0)</f>
        <v>2</v>
      </c>
      <c r="AN162" s="133" t="str">
        <f>IFERROR(__xludf.DUMMYFUNCTION("""COMPUTED_VALUE"""),"3.5")</f>
        <v>3.5</v>
      </c>
      <c r="AO162" s="133">
        <f>IFERROR(__xludf.DUMMYFUNCTION("""COMPUTED_VALUE"""),3.0)</f>
        <v>3</v>
      </c>
      <c r="AP162" s="155" t="s">
        <v>2461</v>
      </c>
    </row>
    <row r="163">
      <c r="A163" s="555">
        <f>IFERROR(__xludf.DUMMYFUNCTION("""COMPUTED_VALUE"""),159.0)</f>
        <v>159</v>
      </c>
      <c r="B163" s="555" t="str">
        <f>IFERROR(__xludf.DUMMYFUNCTION("""COMPUTED_VALUE"""),"sakc23cs@cmrit.ac.in")</f>
        <v>sakc23cs@cmrit.ac.in</v>
      </c>
      <c r="C163" s="172" t="str">
        <f>IFERROR(__xludf.DUMMYFUNCTION("""COMPUTED_VALUE"""),"Sanjay.k.c.")</f>
        <v>Sanjay.k.c.</v>
      </c>
      <c r="D163" s="261" t="str">
        <f>IFERROR(__xludf.DUMMYFUNCTION("""COMPUTED_VALUE"""),"1CR23CS167")</f>
        <v>1CR23CS167</v>
      </c>
      <c r="E163" s="563">
        <f>IFERROR(__xludf.DUMMYFUNCTION("""COMPUTED_VALUE"""),6.303295744E9)</f>
        <v>6303295744</v>
      </c>
      <c r="F163" s="155" t="str">
        <f>IFERROR(__xludf.DUMMYFUNCTION("""COMPUTED_VALUE"""),"CSE")</f>
        <v>CSE</v>
      </c>
      <c r="G163" s="158"/>
      <c r="H163" s="559">
        <f>IFERROR(__xludf.DUMMYFUNCTION("""COMPUTED_VALUE"""),76.0)</f>
        <v>76</v>
      </c>
      <c r="I163" s="559">
        <f>IFERROR(__xludf.DUMMYFUNCTION("""COMPUTED_VALUE"""),72.0)</f>
        <v>72</v>
      </c>
      <c r="J163" s="559">
        <f>IFERROR(__xludf.DUMMYFUNCTION("""COMPUTED_VALUE"""),72.0)</f>
        <v>72</v>
      </c>
      <c r="K163" s="559">
        <f>IFERROR(__xludf.DUMMYFUNCTION("""COMPUTED_VALUE"""),70.0)</f>
        <v>70</v>
      </c>
      <c r="L163" s="560">
        <f>IFERROR(__xludf.DUMMYFUNCTION("""COMPUTED_VALUE"""),50.0)</f>
        <v>50</v>
      </c>
      <c r="M163" s="561">
        <f>IFERROR(__xludf.DUMMYFUNCTION("""COMPUTED_VALUE"""),23.0)</f>
        <v>23</v>
      </c>
      <c r="N163" s="561">
        <f>IFERROR(__xludf.DUMMYFUNCTION("""COMPUTED_VALUE"""),64.0)</f>
        <v>64</v>
      </c>
      <c r="O163" s="560"/>
      <c r="P163" s="562">
        <f>IFERROR(__xludf.DUMMYFUNCTION("""COMPUTED_VALUE"""),72.0)</f>
        <v>72</v>
      </c>
      <c r="Q163" s="562">
        <f>IFERROR(__xludf.DUMMYFUNCTION("""COMPUTED_VALUE"""),50.0)</f>
        <v>50</v>
      </c>
      <c r="R163" s="562">
        <f>IFERROR(__xludf.DUMMYFUNCTION("""COMPUTED_VALUE"""),82.0)</f>
        <v>82</v>
      </c>
      <c r="S163" s="562"/>
      <c r="T163" s="217">
        <f>IFERROR(__xludf.DUMMYFUNCTION("""COMPUTED_VALUE"""),12.0)</f>
        <v>12</v>
      </c>
      <c r="U163" s="217">
        <f>IFERROR(__xludf.DUMMYFUNCTION("""COMPUTED_VALUE"""),19.0)</f>
        <v>19</v>
      </c>
      <c r="V163" s="217">
        <f>IFERROR(__xludf.DUMMYFUNCTION("""COMPUTED_VALUE"""),56.0)</f>
        <v>56</v>
      </c>
      <c r="W163" s="217">
        <f>IFERROR(__xludf.DUMMYFUNCTION("""COMPUTED_VALUE"""),40.0)</f>
        <v>40</v>
      </c>
      <c r="X163" s="217">
        <f>IFERROR(__xludf.DUMMYFUNCTION("""COMPUTED_VALUE"""),70.0)</f>
        <v>70</v>
      </c>
      <c r="Y163" s="217"/>
      <c r="Z163" s="217"/>
      <c r="AA163" s="481">
        <f>IFERROR(__xludf.DUMMYFUNCTION("""COMPUTED_VALUE"""),50.0)</f>
        <v>50</v>
      </c>
      <c r="AB163" s="481">
        <f>IFERROR(__xludf.DUMMYFUNCTION("""COMPUTED_VALUE"""),78.75)</f>
        <v>78.75</v>
      </c>
      <c r="AC163" s="481">
        <f>IFERROR(__xludf.DUMMYFUNCTION("""COMPUTED_VALUE"""),80.0)</f>
        <v>80</v>
      </c>
      <c r="AD163" s="481">
        <f>IFERROR(__xludf.DUMMYFUNCTION("""COMPUTED_VALUE"""),100.0)</f>
        <v>100</v>
      </c>
      <c r="AE163" s="481">
        <f>IFERROR(__xludf.DUMMYFUNCTION("""COMPUTED_VALUE"""),70.0)</f>
        <v>70</v>
      </c>
      <c r="AF163" s="481"/>
      <c r="AG163" s="481">
        <f>IFERROR(__xludf.DUMMYFUNCTION("""COMPUTED_VALUE"""),73.0)</f>
        <v>73</v>
      </c>
      <c r="AH163" s="481"/>
      <c r="AI163" s="158"/>
      <c r="AJ163" s="158"/>
      <c r="AK163" s="133">
        <f>IFERROR(__xludf.DUMMYFUNCTION("""COMPUTED_VALUE"""),4.0)</f>
        <v>4</v>
      </c>
      <c r="AL163" s="133">
        <f>IFERROR(__xludf.DUMMYFUNCTION("""COMPUTED_VALUE"""),1.0)</f>
        <v>1</v>
      </c>
      <c r="AM163" s="133">
        <f>IFERROR(__xludf.DUMMYFUNCTION("""COMPUTED_VALUE"""),2.0)</f>
        <v>2</v>
      </c>
      <c r="AN163" s="133" t="str">
        <f>IFERROR(__xludf.DUMMYFUNCTION("""COMPUTED_VALUE"""),"3.5")</f>
        <v>3.5</v>
      </c>
      <c r="AO163" s="133">
        <f>IFERROR(__xludf.DUMMYFUNCTION("""COMPUTED_VALUE"""),3.0)</f>
        <v>3</v>
      </c>
      <c r="AP163" s="155" t="s">
        <v>2461</v>
      </c>
    </row>
    <row r="164">
      <c r="A164" s="555">
        <f>IFERROR(__xludf.DUMMYFUNCTION("""COMPUTED_VALUE"""),160.0)</f>
        <v>160</v>
      </c>
      <c r="B164" s="555" t="str">
        <f>IFERROR(__xludf.DUMMYFUNCTION("""COMPUTED_VALUE"""),"sare23cs@cmrit.ac.in")</f>
        <v>sare23cs@cmrit.ac.in</v>
      </c>
      <c r="C164" s="172" t="str">
        <f>IFERROR(__xludf.DUMMYFUNCTION("""COMPUTED_VALUE"""),"SARVOTHAM REDDY")</f>
        <v>SARVOTHAM REDDY</v>
      </c>
      <c r="D164" s="261" t="str">
        <f>IFERROR(__xludf.DUMMYFUNCTION("""COMPUTED_VALUE"""),"1CR23CS168")</f>
        <v>1CR23CS168</v>
      </c>
      <c r="E164" s="563">
        <f>IFERROR(__xludf.DUMMYFUNCTION("""COMPUTED_VALUE"""),9.380758544E9)</f>
        <v>9380758544</v>
      </c>
      <c r="F164" s="155" t="str">
        <f>IFERROR(__xludf.DUMMYFUNCTION("""COMPUTED_VALUE"""),"CSE")</f>
        <v>CSE</v>
      </c>
      <c r="G164" s="158"/>
      <c r="H164" s="559">
        <f>IFERROR(__xludf.DUMMYFUNCTION("""COMPUTED_VALUE"""),82.0)</f>
        <v>82</v>
      </c>
      <c r="I164" s="559">
        <f>IFERROR(__xludf.DUMMYFUNCTION("""COMPUTED_VALUE"""),76.0)</f>
        <v>76</v>
      </c>
      <c r="J164" s="559">
        <f>IFERROR(__xludf.DUMMYFUNCTION("""COMPUTED_VALUE"""),70.0)</f>
        <v>70</v>
      </c>
      <c r="K164" s="559">
        <f>IFERROR(__xludf.DUMMYFUNCTION("""COMPUTED_VALUE"""),51.0)</f>
        <v>51</v>
      </c>
      <c r="L164" s="560">
        <f>IFERROR(__xludf.DUMMYFUNCTION("""COMPUTED_VALUE"""),50.0)</f>
        <v>50</v>
      </c>
      <c r="M164" s="561">
        <f>IFERROR(__xludf.DUMMYFUNCTION("""COMPUTED_VALUE"""),18.0)</f>
        <v>18</v>
      </c>
      <c r="N164" s="561">
        <f>IFERROR(__xludf.DUMMYFUNCTION("""COMPUTED_VALUE"""),0.0)</f>
        <v>0</v>
      </c>
      <c r="O164" s="560"/>
      <c r="P164" s="562">
        <f>IFERROR(__xludf.DUMMYFUNCTION("""COMPUTED_VALUE"""),0.0)</f>
        <v>0</v>
      </c>
      <c r="Q164" s="562">
        <f>IFERROR(__xludf.DUMMYFUNCTION("""COMPUTED_VALUE"""),50.0)</f>
        <v>50</v>
      </c>
      <c r="R164" s="562">
        <f>IFERROR(__xludf.DUMMYFUNCTION("""COMPUTED_VALUE"""),0.0)</f>
        <v>0</v>
      </c>
      <c r="S164" s="562"/>
      <c r="T164" s="217">
        <f>IFERROR(__xludf.DUMMYFUNCTION("""COMPUTED_VALUE"""),19.0)</f>
        <v>19</v>
      </c>
      <c r="U164" s="217">
        <f>IFERROR(__xludf.DUMMYFUNCTION("""COMPUTED_VALUE"""),22.0)</f>
        <v>22</v>
      </c>
      <c r="V164" s="217">
        <f>IFERROR(__xludf.DUMMYFUNCTION("""COMPUTED_VALUE"""),72.0)</f>
        <v>72</v>
      </c>
      <c r="W164" s="217">
        <f>IFERROR(__xludf.DUMMYFUNCTION("""COMPUTED_VALUE"""),44.0)</f>
        <v>44</v>
      </c>
      <c r="X164" s="217">
        <f>IFERROR(__xludf.DUMMYFUNCTION("""COMPUTED_VALUE"""),66.0)</f>
        <v>66</v>
      </c>
      <c r="Y164" s="217"/>
      <c r="Z164" s="217"/>
      <c r="AA164" s="481">
        <f>IFERROR(__xludf.DUMMYFUNCTION("""COMPUTED_VALUE"""),100.0)</f>
        <v>100</v>
      </c>
      <c r="AB164" s="481">
        <f>IFERROR(__xludf.DUMMYFUNCTION("""COMPUTED_VALUE"""),0.0)</f>
        <v>0</v>
      </c>
      <c r="AC164" s="481">
        <f>IFERROR(__xludf.DUMMYFUNCTION("""COMPUTED_VALUE"""),42.0)</f>
        <v>42</v>
      </c>
      <c r="AD164" s="481">
        <f>IFERROR(__xludf.DUMMYFUNCTION("""COMPUTED_VALUE"""),60.0)</f>
        <v>60</v>
      </c>
      <c r="AE164" s="481">
        <f>IFERROR(__xludf.DUMMYFUNCTION("""COMPUTED_VALUE"""),10.0)</f>
        <v>10</v>
      </c>
      <c r="AF164" s="481"/>
      <c r="AG164" s="481">
        <f>IFERROR(__xludf.DUMMYFUNCTION("""COMPUTED_VALUE"""),0.0)</f>
        <v>0</v>
      </c>
      <c r="AH164" s="481"/>
      <c r="AI164" s="158"/>
      <c r="AJ164" s="158"/>
      <c r="AK164" s="133">
        <f>IFERROR(__xludf.DUMMYFUNCTION("""COMPUTED_VALUE"""),3.0)</f>
        <v>3</v>
      </c>
      <c r="AL164" s="133">
        <f>IFERROR(__xludf.DUMMYFUNCTION("""COMPUTED_VALUE"""),1.0)</f>
        <v>1</v>
      </c>
      <c r="AM164" s="133">
        <f>IFERROR(__xludf.DUMMYFUNCTION("""COMPUTED_VALUE"""),2.0)</f>
        <v>2</v>
      </c>
      <c r="AN164" s="133" t="str">
        <f>IFERROR(__xludf.DUMMYFUNCTION("""COMPUTED_VALUE"""),"0")</f>
        <v>0</v>
      </c>
      <c r="AO164" s="133">
        <f>IFERROR(__xludf.DUMMYFUNCTION("""COMPUTED_VALUE"""),0.0)</f>
        <v>0</v>
      </c>
      <c r="AP164" s="155" t="s">
        <v>2461</v>
      </c>
    </row>
    <row r="165">
      <c r="A165" s="555">
        <f>IFERROR(__xludf.DUMMYFUNCTION("""COMPUTED_VALUE"""),161.0)</f>
        <v>161</v>
      </c>
      <c r="B165" s="555" t="str">
        <f>IFERROR(__xludf.DUMMYFUNCTION("""COMPUTED_VALUE"""),"shsu23cs@cmrit.ac.in")</f>
        <v>shsu23cs@cmrit.ac.in</v>
      </c>
      <c r="C165" s="172" t="str">
        <f>IFERROR(__xludf.DUMMYFUNCTION("""COMPUTED_VALUE"""),"SHANKHA SUVRO DUTTA")</f>
        <v>SHANKHA SUVRO DUTTA</v>
      </c>
      <c r="D165" s="261" t="str">
        <f>IFERROR(__xludf.DUMMYFUNCTION("""COMPUTED_VALUE"""),"1CR23CS169")</f>
        <v>1CR23CS169</v>
      </c>
      <c r="E165" s="563">
        <f>IFERROR(__xludf.DUMMYFUNCTION("""COMPUTED_VALUE"""),7.679810651E9)</f>
        <v>7679810651</v>
      </c>
      <c r="F165" s="155" t="str">
        <f>IFERROR(__xludf.DUMMYFUNCTION("""COMPUTED_VALUE"""),"CSE")</f>
        <v>CSE</v>
      </c>
      <c r="G165" s="158"/>
      <c r="H165" s="559">
        <f>IFERROR(__xludf.DUMMYFUNCTION("""COMPUTED_VALUE"""),78.0)</f>
        <v>78</v>
      </c>
      <c r="I165" s="559">
        <f>IFERROR(__xludf.DUMMYFUNCTION("""COMPUTED_VALUE"""),77.0)</f>
        <v>77</v>
      </c>
      <c r="J165" s="559">
        <f>IFERROR(__xludf.DUMMYFUNCTION("""COMPUTED_VALUE"""),70.0)</f>
        <v>70</v>
      </c>
      <c r="K165" s="559">
        <f>IFERROR(__xludf.DUMMYFUNCTION("""COMPUTED_VALUE"""),46.0)</f>
        <v>46</v>
      </c>
      <c r="L165" s="560">
        <f>IFERROR(__xludf.DUMMYFUNCTION("""COMPUTED_VALUE"""),29.0)</f>
        <v>29</v>
      </c>
      <c r="M165" s="561">
        <f>IFERROR(__xludf.DUMMYFUNCTION("""COMPUTED_VALUE"""),28.0)</f>
        <v>28</v>
      </c>
      <c r="N165" s="561">
        <f>IFERROR(__xludf.DUMMYFUNCTION("""COMPUTED_VALUE"""),6.0)</f>
        <v>6</v>
      </c>
      <c r="O165" s="560"/>
      <c r="P165" s="562">
        <f>IFERROR(__xludf.DUMMYFUNCTION("""COMPUTED_VALUE"""),50.0)</f>
        <v>50</v>
      </c>
      <c r="Q165" s="562">
        <f>IFERROR(__xludf.DUMMYFUNCTION("""COMPUTED_VALUE"""),50.0)</f>
        <v>50</v>
      </c>
      <c r="R165" s="562">
        <f>IFERROR(__xludf.DUMMYFUNCTION("""COMPUTED_VALUE"""),0.0)</f>
        <v>0</v>
      </c>
      <c r="S165" s="562"/>
      <c r="T165" s="217">
        <f>IFERROR(__xludf.DUMMYFUNCTION("""COMPUTED_VALUE"""),15.0)</f>
        <v>15</v>
      </c>
      <c r="U165" s="217">
        <f>IFERROR(__xludf.DUMMYFUNCTION("""COMPUTED_VALUE"""),22.0)</f>
        <v>22</v>
      </c>
      <c r="V165" s="217"/>
      <c r="W165" s="217">
        <f>IFERROR(__xludf.DUMMYFUNCTION("""COMPUTED_VALUE"""),32.0)</f>
        <v>32</v>
      </c>
      <c r="X165" s="217"/>
      <c r="Y165" s="217"/>
      <c r="Z165" s="217"/>
      <c r="AA165" s="481">
        <f>IFERROR(__xludf.DUMMYFUNCTION("""COMPUTED_VALUE"""),50.0)</f>
        <v>50</v>
      </c>
      <c r="AB165" s="481">
        <f>IFERROR(__xludf.DUMMYFUNCTION("""COMPUTED_VALUE"""),48.0)</f>
        <v>48</v>
      </c>
      <c r="AC165" s="481">
        <f>IFERROR(__xludf.DUMMYFUNCTION("""COMPUTED_VALUE"""),5.0)</f>
        <v>5</v>
      </c>
      <c r="AD165" s="481">
        <f>IFERROR(__xludf.DUMMYFUNCTION("""COMPUTED_VALUE"""),60.0)</f>
        <v>60</v>
      </c>
      <c r="AE165" s="481">
        <f>IFERROR(__xludf.DUMMYFUNCTION("""COMPUTED_VALUE"""),16.0)</f>
        <v>16</v>
      </c>
      <c r="AF165" s="481"/>
      <c r="AG165" s="481">
        <f>IFERROR(__xludf.DUMMYFUNCTION("""COMPUTED_VALUE"""),25.0)</f>
        <v>25</v>
      </c>
      <c r="AH165" s="481"/>
      <c r="AI165" s="158"/>
      <c r="AJ165" s="158"/>
      <c r="AK165" s="133">
        <f>IFERROR(__xludf.DUMMYFUNCTION("""COMPUTED_VALUE"""),3.0)</f>
        <v>3</v>
      </c>
      <c r="AL165" s="133">
        <f>IFERROR(__xludf.DUMMYFUNCTION("""COMPUTED_VALUE"""),0.0)</f>
        <v>0</v>
      </c>
      <c r="AM165" s="133">
        <f>IFERROR(__xludf.DUMMYFUNCTION("""COMPUTED_VALUE"""),2.0)</f>
        <v>2</v>
      </c>
      <c r="AN165" s="133" t="str">
        <f>IFERROR(__xludf.DUMMYFUNCTION("""COMPUTED_VALUE"""),"0")</f>
        <v>0</v>
      </c>
      <c r="AO165" s="133">
        <f>IFERROR(__xludf.DUMMYFUNCTION("""COMPUTED_VALUE"""),2.0)</f>
        <v>2</v>
      </c>
      <c r="AP165" s="155" t="s">
        <v>2461</v>
      </c>
    </row>
    <row r="166">
      <c r="A166" s="555">
        <f>IFERROR(__xludf.DUMMYFUNCTION("""COMPUTED_VALUE"""),162.0)</f>
        <v>162</v>
      </c>
      <c r="B166" s="555" t="str">
        <f>IFERROR(__xludf.DUMMYFUNCTION("""COMPUTED_VALUE"""),"shs23cs@cmrit.ac.in")</f>
        <v>shs23cs@cmrit.ac.in</v>
      </c>
      <c r="C166" s="172" t="str">
        <f>IFERROR(__xludf.DUMMYFUNCTION("""COMPUTED_VALUE"""),"SHARAN S")</f>
        <v>SHARAN S</v>
      </c>
      <c r="D166" s="261" t="str">
        <f>IFERROR(__xludf.DUMMYFUNCTION("""COMPUTED_VALUE"""),"1CR23CS170")</f>
        <v>1CR23CS170</v>
      </c>
      <c r="E166" s="563">
        <f>IFERROR(__xludf.DUMMYFUNCTION("""COMPUTED_VALUE"""),7.892677434E9)</f>
        <v>7892677434</v>
      </c>
      <c r="F166" s="155" t="str">
        <f>IFERROR(__xludf.DUMMYFUNCTION("""COMPUTED_VALUE"""),"CSE")</f>
        <v>CSE</v>
      </c>
      <c r="G166" s="158"/>
      <c r="H166" s="559">
        <f>IFERROR(__xludf.DUMMYFUNCTION("""COMPUTED_VALUE"""),76.0)</f>
        <v>76</v>
      </c>
      <c r="I166" s="559">
        <f>IFERROR(__xludf.DUMMYFUNCTION("""COMPUTED_VALUE"""),78.0)</f>
        <v>78</v>
      </c>
      <c r="J166" s="559">
        <f>IFERROR(__xludf.DUMMYFUNCTION("""COMPUTED_VALUE"""),70.0)</f>
        <v>70</v>
      </c>
      <c r="K166" s="559">
        <f>IFERROR(__xludf.DUMMYFUNCTION("""COMPUTED_VALUE"""),71.0)</f>
        <v>71</v>
      </c>
      <c r="L166" s="560">
        <f>IFERROR(__xludf.DUMMYFUNCTION("""COMPUTED_VALUE"""),38.0)</f>
        <v>38</v>
      </c>
      <c r="M166" s="561">
        <f>IFERROR(__xludf.DUMMYFUNCTION("""COMPUTED_VALUE"""),50.0)</f>
        <v>50</v>
      </c>
      <c r="N166" s="561">
        <f>IFERROR(__xludf.DUMMYFUNCTION("""COMPUTED_VALUE"""),50.0)</f>
        <v>50</v>
      </c>
      <c r="O166" s="560"/>
      <c r="P166" s="562">
        <f>IFERROR(__xludf.DUMMYFUNCTION("""COMPUTED_VALUE"""),50.0)</f>
        <v>50</v>
      </c>
      <c r="Q166" s="562">
        <f>IFERROR(__xludf.DUMMYFUNCTION("""COMPUTED_VALUE"""),50.0)</f>
        <v>50</v>
      </c>
      <c r="R166" s="562">
        <f>IFERROR(__xludf.DUMMYFUNCTION("""COMPUTED_VALUE"""),69.0)</f>
        <v>69</v>
      </c>
      <c r="S166" s="562"/>
      <c r="T166" s="217">
        <f>IFERROR(__xludf.DUMMYFUNCTION("""COMPUTED_VALUE"""),11.0)</f>
        <v>11</v>
      </c>
      <c r="U166" s="217">
        <f>IFERROR(__xludf.DUMMYFUNCTION("""COMPUTED_VALUE"""),22.0)</f>
        <v>22</v>
      </c>
      <c r="V166" s="217">
        <f>IFERROR(__xludf.DUMMYFUNCTION("""COMPUTED_VALUE"""),84.0)</f>
        <v>84</v>
      </c>
      <c r="W166" s="217">
        <f>IFERROR(__xludf.DUMMYFUNCTION("""COMPUTED_VALUE"""),32.0)</f>
        <v>32</v>
      </c>
      <c r="X166" s="217">
        <f>IFERROR(__xludf.DUMMYFUNCTION("""COMPUTED_VALUE"""),80.0)</f>
        <v>80</v>
      </c>
      <c r="Y166" s="217"/>
      <c r="Z166" s="217"/>
      <c r="AA166" s="481">
        <f>IFERROR(__xludf.DUMMYFUNCTION("""COMPUTED_VALUE"""),20.0)</f>
        <v>20</v>
      </c>
      <c r="AB166" s="481">
        <f>IFERROR(__xludf.DUMMYFUNCTION("""COMPUTED_VALUE"""),63.0)</f>
        <v>63</v>
      </c>
      <c r="AC166" s="481">
        <f>IFERROR(__xludf.DUMMYFUNCTION("""COMPUTED_VALUE"""),51.5)</f>
        <v>51.5</v>
      </c>
      <c r="AD166" s="481">
        <f>IFERROR(__xludf.DUMMYFUNCTION("""COMPUTED_VALUE"""),61.0)</f>
        <v>61</v>
      </c>
      <c r="AE166" s="481">
        <f>IFERROR(__xludf.DUMMYFUNCTION("""COMPUTED_VALUE"""),10.0)</f>
        <v>10</v>
      </c>
      <c r="AF166" s="481"/>
      <c r="AG166" s="481">
        <f>IFERROR(__xludf.DUMMYFUNCTION("""COMPUTED_VALUE"""),27.0)</f>
        <v>27</v>
      </c>
      <c r="AH166" s="481"/>
      <c r="AI166" s="158"/>
      <c r="AJ166" s="158"/>
      <c r="AK166" s="133">
        <f>IFERROR(__xludf.DUMMYFUNCTION("""COMPUTED_VALUE"""),4.0)</f>
        <v>4</v>
      </c>
      <c r="AL166" s="133">
        <f>IFERROR(__xludf.DUMMYFUNCTION("""COMPUTED_VALUE"""),0.0)</f>
        <v>0</v>
      </c>
      <c r="AM166" s="133">
        <f>IFERROR(__xludf.DUMMYFUNCTION("""COMPUTED_VALUE"""),2.0)</f>
        <v>2</v>
      </c>
      <c r="AN166" s="133" t="str">
        <f>IFERROR(__xludf.DUMMYFUNCTION("""COMPUTED_VALUE"""),"3")</f>
        <v>3</v>
      </c>
      <c r="AO166" s="133">
        <f>IFERROR(__xludf.DUMMYFUNCTION("""COMPUTED_VALUE"""),3.0)</f>
        <v>3</v>
      </c>
      <c r="AP166" s="155" t="s">
        <v>2461</v>
      </c>
    </row>
    <row r="167">
      <c r="A167" s="555">
        <f>IFERROR(__xludf.DUMMYFUNCTION("""COMPUTED_VALUE"""),163.0)</f>
        <v>163</v>
      </c>
      <c r="B167" s="555" t="str">
        <f>IFERROR(__xludf.DUMMYFUNCTION("""COMPUTED_VALUE"""),"shkn23cs@cmrit.ac.in")</f>
        <v>shkn23cs@cmrit.ac.in</v>
      </c>
      <c r="C167" s="172" t="str">
        <f>IFERROR(__xludf.DUMMYFUNCTION("""COMPUTED_VALUE"""),"SHARATH K N")</f>
        <v>SHARATH K N</v>
      </c>
      <c r="D167" s="261" t="str">
        <f>IFERROR(__xludf.DUMMYFUNCTION("""COMPUTED_VALUE"""),"1CR23CS171")</f>
        <v>1CR23CS171</v>
      </c>
      <c r="E167" s="563">
        <f>IFERROR(__xludf.DUMMYFUNCTION("""COMPUTED_VALUE"""),7.022884193E9)</f>
        <v>7022884193</v>
      </c>
      <c r="F167" s="155" t="str">
        <f>IFERROR(__xludf.DUMMYFUNCTION("""COMPUTED_VALUE"""),"CSE")</f>
        <v>CSE</v>
      </c>
      <c r="G167" s="158"/>
      <c r="H167" s="559">
        <f>IFERROR(__xludf.DUMMYFUNCTION("""COMPUTED_VALUE"""),70.0)</f>
        <v>70</v>
      </c>
      <c r="I167" s="559">
        <f>IFERROR(__xludf.DUMMYFUNCTION("""COMPUTED_VALUE"""),70.0)</f>
        <v>70</v>
      </c>
      <c r="J167" s="559">
        <f>IFERROR(__xludf.DUMMYFUNCTION("""COMPUTED_VALUE"""),70.0)</f>
        <v>70</v>
      </c>
      <c r="K167" s="559">
        <f>IFERROR(__xludf.DUMMYFUNCTION("""COMPUTED_VALUE"""),70.0)</f>
        <v>70</v>
      </c>
      <c r="L167" s="560">
        <f>IFERROR(__xludf.DUMMYFUNCTION("""COMPUTED_VALUE"""),50.0)</f>
        <v>50</v>
      </c>
      <c r="M167" s="561">
        <f>IFERROR(__xludf.DUMMYFUNCTION("""COMPUTED_VALUE"""),19.0)</f>
        <v>19</v>
      </c>
      <c r="N167" s="561">
        <f>IFERROR(__xludf.DUMMYFUNCTION("""COMPUTED_VALUE"""),62.0)</f>
        <v>62</v>
      </c>
      <c r="O167" s="560"/>
      <c r="P167" s="562">
        <f>IFERROR(__xludf.DUMMYFUNCTION("""COMPUTED_VALUE"""),72.0)</f>
        <v>72</v>
      </c>
      <c r="Q167" s="562">
        <f>IFERROR(__xludf.DUMMYFUNCTION("""COMPUTED_VALUE"""),50.0)</f>
        <v>50</v>
      </c>
      <c r="R167" s="562">
        <f>IFERROR(__xludf.DUMMYFUNCTION("""COMPUTED_VALUE"""),78.0)</f>
        <v>78</v>
      </c>
      <c r="S167" s="562"/>
      <c r="T167" s="217">
        <f>IFERROR(__xludf.DUMMYFUNCTION("""COMPUTED_VALUE"""),14.0)</f>
        <v>14</v>
      </c>
      <c r="U167" s="217">
        <f>IFERROR(__xludf.DUMMYFUNCTION("""COMPUTED_VALUE"""),21.0)</f>
        <v>21</v>
      </c>
      <c r="V167" s="217">
        <f>IFERROR(__xludf.DUMMYFUNCTION("""COMPUTED_VALUE"""),80.0)</f>
        <v>80</v>
      </c>
      <c r="W167" s="217">
        <f>IFERROR(__xludf.DUMMYFUNCTION("""COMPUTED_VALUE"""),64.0)</f>
        <v>64</v>
      </c>
      <c r="X167" s="217">
        <f>IFERROR(__xludf.DUMMYFUNCTION("""COMPUTED_VALUE"""),84.0)</f>
        <v>84</v>
      </c>
      <c r="Y167" s="217"/>
      <c r="Z167" s="217"/>
      <c r="AA167" s="481">
        <f>IFERROR(__xludf.DUMMYFUNCTION("""COMPUTED_VALUE"""),89.0)</f>
        <v>89</v>
      </c>
      <c r="AB167" s="481">
        <f>IFERROR(__xludf.DUMMYFUNCTION("""COMPUTED_VALUE"""),86.25)</f>
        <v>86.25</v>
      </c>
      <c r="AC167" s="481">
        <f>IFERROR(__xludf.DUMMYFUNCTION("""COMPUTED_VALUE"""),80.0)</f>
        <v>80</v>
      </c>
      <c r="AD167" s="481">
        <f>IFERROR(__xludf.DUMMYFUNCTION("""COMPUTED_VALUE"""),67.0)</f>
        <v>67</v>
      </c>
      <c r="AE167" s="481">
        <f>IFERROR(__xludf.DUMMYFUNCTION("""COMPUTED_VALUE"""),70.0)</f>
        <v>70</v>
      </c>
      <c r="AF167" s="481"/>
      <c r="AG167" s="481">
        <f>IFERROR(__xludf.DUMMYFUNCTION("""COMPUTED_VALUE"""),63.0)</f>
        <v>63</v>
      </c>
      <c r="AH167" s="481"/>
      <c r="AI167" s="158"/>
      <c r="AJ167" s="158"/>
      <c r="AK167" s="133">
        <f>IFERROR(__xludf.DUMMYFUNCTION("""COMPUTED_VALUE"""),4.0)</f>
        <v>4</v>
      </c>
      <c r="AL167" s="133">
        <f>IFERROR(__xludf.DUMMYFUNCTION("""COMPUTED_VALUE"""),1.0)</f>
        <v>1</v>
      </c>
      <c r="AM167" s="133">
        <f>IFERROR(__xludf.DUMMYFUNCTION("""COMPUTED_VALUE"""),3.0)</f>
        <v>3</v>
      </c>
      <c r="AN167" s="133" t="str">
        <f>IFERROR(__xludf.DUMMYFUNCTION("""COMPUTED_VALUE"""),"3.5")</f>
        <v>3.5</v>
      </c>
      <c r="AO167" s="133">
        <f>IFERROR(__xludf.DUMMYFUNCTION("""COMPUTED_VALUE"""),3.0)</f>
        <v>3</v>
      </c>
      <c r="AP167" s="155" t="s">
        <v>2461</v>
      </c>
    </row>
    <row r="168">
      <c r="A168" s="555">
        <f>IFERROR(__xludf.DUMMYFUNCTION("""COMPUTED_VALUE"""),164.0)</f>
        <v>164</v>
      </c>
      <c r="B168" s="555" t="str">
        <f>IFERROR(__xludf.DUMMYFUNCTION("""COMPUTED_VALUE"""),"shsv23cs@cmrit.ac.in")</f>
        <v>shsv23cs@cmrit.ac.in</v>
      </c>
      <c r="C168" s="172" t="str">
        <f>IFERROR(__xludf.DUMMYFUNCTION("""COMPUTED_VALUE"""),"SHARATH S")</f>
        <v>SHARATH S</v>
      </c>
      <c r="D168" s="261" t="str">
        <f>IFERROR(__xludf.DUMMYFUNCTION("""COMPUTED_VALUE"""),"1CR23CS172")</f>
        <v>1CR23CS172</v>
      </c>
      <c r="E168" s="563">
        <f>IFERROR(__xludf.DUMMYFUNCTION("""COMPUTED_VALUE"""),9.964182125E9)</f>
        <v>9964182125</v>
      </c>
      <c r="F168" s="155" t="str">
        <f>IFERROR(__xludf.DUMMYFUNCTION("""COMPUTED_VALUE"""),"CSE")</f>
        <v>CSE</v>
      </c>
      <c r="G168" s="158"/>
      <c r="H168" s="559">
        <f>IFERROR(__xludf.DUMMYFUNCTION("""COMPUTED_VALUE"""),78.0)</f>
        <v>78</v>
      </c>
      <c r="I168" s="559">
        <f>IFERROR(__xludf.DUMMYFUNCTION("""COMPUTED_VALUE"""),79.0)</f>
        <v>79</v>
      </c>
      <c r="J168" s="559">
        <f>IFERROR(__xludf.DUMMYFUNCTION("""COMPUTED_VALUE"""),54.0)</f>
        <v>54</v>
      </c>
      <c r="K168" s="559">
        <f>IFERROR(__xludf.DUMMYFUNCTION("""COMPUTED_VALUE"""),23.0)</f>
        <v>23</v>
      </c>
      <c r="L168" s="560">
        <f>IFERROR(__xludf.DUMMYFUNCTION("""COMPUTED_VALUE"""),52.0)</f>
        <v>52</v>
      </c>
      <c r="M168" s="561">
        <f>IFERROR(__xludf.DUMMYFUNCTION("""COMPUTED_VALUE"""),12.0)</f>
        <v>12</v>
      </c>
      <c r="N168" s="561">
        <f>IFERROR(__xludf.DUMMYFUNCTION("""COMPUTED_VALUE"""),0.0)</f>
        <v>0</v>
      </c>
      <c r="O168" s="560"/>
      <c r="P168" s="562">
        <f>IFERROR(__xludf.DUMMYFUNCTION("""COMPUTED_VALUE"""),81.0)</f>
        <v>81</v>
      </c>
      <c r="Q168" s="562">
        <f>IFERROR(__xludf.DUMMYFUNCTION("""COMPUTED_VALUE"""),0.0)</f>
        <v>0</v>
      </c>
      <c r="R168" s="562">
        <f>IFERROR(__xludf.DUMMYFUNCTION("""COMPUTED_VALUE"""),0.0)</f>
        <v>0</v>
      </c>
      <c r="S168" s="562"/>
      <c r="T168" s="217">
        <f>IFERROR(__xludf.DUMMYFUNCTION("""COMPUTED_VALUE"""),9.0)</f>
        <v>9</v>
      </c>
      <c r="U168" s="217">
        <f>IFERROR(__xludf.DUMMYFUNCTION("""COMPUTED_VALUE"""),15.0)</f>
        <v>15</v>
      </c>
      <c r="V168" s="217">
        <f>IFERROR(__xludf.DUMMYFUNCTION("""COMPUTED_VALUE"""),60.0)</f>
        <v>60</v>
      </c>
      <c r="W168" s="217"/>
      <c r="X168" s="217">
        <f>IFERROR(__xludf.DUMMYFUNCTION("""COMPUTED_VALUE"""),84.0)</f>
        <v>84</v>
      </c>
      <c r="Y168" s="217"/>
      <c r="Z168" s="217"/>
      <c r="AA168" s="481">
        <f>IFERROR(__xludf.DUMMYFUNCTION("""COMPUTED_VALUE"""),36.0)</f>
        <v>36</v>
      </c>
      <c r="AB168" s="481">
        <f>IFERROR(__xludf.DUMMYFUNCTION("""COMPUTED_VALUE"""),30.0)</f>
        <v>30</v>
      </c>
      <c r="AC168" s="481">
        <f>IFERROR(__xludf.DUMMYFUNCTION("""COMPUTED_VALUE"""),0.0)</f>
        <v>0</v>
      </c>
      <c r="AD168" s="481">
        <f>IFERROR(__xludf.DUMMYFUNCTION("""COMPUTED_VALUE"""),0.0)</f>
        <v>0</v>
      </c>
      <c r="AE168" s="481">
        <f>IFERROR(__xludf.DUMMYFUNCTION("""COMPUTED_VALUE"""),10.0)</f>
        <v>10</v>
      </c>
      <c r="AF168" s="481"/>
      <c r="AG168" s="481">
        <f>IFERROR(__xludf.DUMMYFUNCTION("""COMPUTED_VALUE"""),0.0)</f>
        <v>0</v>
      </c>
      <c r="AH168" s="481"/>
      <c r="AI168" s="158"/>
      <c r="AJ168" s="158"/>
      <c r="AK168" s="133">
        <f>IFERROR(__xludf.DUMMYFUNCTION("""COMPUTED_VALUE"""),2.0)</f>
        <v>2</v>
      </c>
      <c r="AL168" s="133">
        <f>IFERROR(__xludf.DUMMYFUNCTION("""COMPUTED_VALUE"""),1.0)</f>
        <v>1</v>
      </c>
      <c r="AM168" s="133">
        <f>IFERROR(__xludf.DUMMYFUNCTION("""COMPUTED_VALUE"""),0.0)</f>
        <v>0</v>
      </c>
      <c r="AN168" s="133" t="str">
        <f>IFERROR(__xludf.DUMMYFUNCTION("""COMPUTED_VALUE"""),"0")</f>
        <v>0</v>
      </c>
      <c r="AO168" s="133">
        <f>IFERROR(__xludf.DUMMYFUNCTION("""COMPUTED_VALUE"""),1.0)</f>
        <v>1</v>
      </c>
      <c r="AP168" s="155" t="s">
        <v>2461</v>
      </c>
    </row>
    <row r="169">
      <c r="A169" s="555">
        <f>IFERROR(__xludf.DUMMYFUNCTION("""COMPUTED_VALUE"""),165.0)</f>
        <v>165</v>
      </c>
      <c r="B169" s="555" t="str">
        <f>IFERROR(__xludf.DUMMYFUNCTION("""COMPUTED_VALUE"""),"shn23cs@cmrit.ac.in")</f>
        <v>shn23cs@cmrit.ac.in</v>
      </c>
      <c r="C169" s="565" t="str">
        <f>IFERROR(__xludf.DUMMYFUNCTION("""COMPUTED_VALUE"""),"SHASHANK N")</f>
        <v>SHASHANK N</v>
      </c>
      <c r="D169" s="261" t="str">
        <f>IFERROR(__xludf.DUMMYFUNCTION("""COMPUTED_VALUE"""),"1CR23CS173")</f>
        <v>1CR23CS173</v>
      </c>
      <c r="E169" s="563">
        <f>IFERROR(__xludf.DUMMYFUNCTION("""COMPUTED_VALUE"""),9.739935646E9)</f>
        <v>9739935646</v>
      </c>
      <c r="F169" s="155" t="str">
        <f>IFERROR(__xludf.DUMMYFUNCTION("""COMPUTED_VALUE"""),"CSE")</f>
        <v>CSE</v>
      </c>
      <c r="G169" s="158"/>
      <c r="H169" s="559">
        <f>IFERROR(__xludf.DUMMYFUNCTION("""COMPUTED_VALUE"""),72.0)</f>
        <v>72</v>
      </c>
      <c r="I169" s="559">
        <f>IFERROR(__xludf.DUMMYFUNCTION("""COMPUTED_VALUE"""),71.0)</f>
        <v>71</v>
      </c>
      <c r="J169" s="559">
        <f>IFERROR(__xludf.DUMMYFUNCTION("""COMPUTED_VALUE"""),39.0)</f>
        <v>39</v>
      </c>
      <c r="K169" s="559">
        <f>IFERROR(__xludf.DUMMYFUNCTION("""COMPUTED_VALUE"""),26.0)</f>
        <v>26</v>
      </c>
      <c r="L169" s="560">
        <f>IFERROR(__xludf.DUMMYFUNCTION("""COMPUTED_VALUE"""),3.0)</f>
        <v>3</v>
      </c>
      <c r="M169" s="561">
        <f>IFERROR(__xludf.DUMMYFUNCTION("""COMPUTED_VALUE"""),30.0)</f>
        <v>30</v>
      </c>
      <c r="N169" s="561">
        <f>IFERROR(__xludf.DUMMYFUNCTION("""COMPUTED_VALUE"""),0.0)</f>
        <v>0</v>
      </c>
      <c r="O169" s="560"/>
      <c r="P169" s="562">
        <f>IFERROR(__xludf.DUMMYFUNCTION("""COMPUTED_VALUE"""),0.0)</f>
        <v>0</v>
      </c>
      <c r="Q169" s="562">
        <f>IFERROR(__xludf.DUMMYFUNCTION("""COMPUTED_VALUE"""),0.0)</f>
        <v>0</v>
      </c>
      <c r="R169" s="562">
        <f>IFERROR(__xludf.DUMMYFUNCTION("""COMPUTED_VALUE"""),0.0)</f>
        <v>0</v>
      </c>
      <c r="S169" s="562"/>
      <c r="T169" s="217">
        <f>IFERROR(__xludf.DUMMYFUNCTION("""COMPUTED_VALUE"""),20.0)</f>
        <v>20</v>
      </c>
      <c r="U169" s="217">
        <f>IFERROR(__xludf.DUMMYFUNCTION("""COMPUTED_VALUE"""),22.0)</f>
        <v>22</v>
      </c>
      <c r="V169" s="217">
        <f>IFERROR(__xludf.DUMMYFUNCTION("""COMPUTED_VALUE"""),80.0)</f>
        <v>80</v>
      </c>
      <c r="W169" s="217"/>
      <c r="X169" s="217">
        <f>IFERROR(__xludf.DUMMYFUNCTION("""COMPUTED_VALUE"""),88.0)</f>
        <v>88</v>
      </c>
      <c r="Y169" s="217"/>
      <c r="Z169" s="217"/>
      <c r="AA169" s="481">
        <f>IFERROR(__xludf.DUMMYFUNCTION("""COMPUTED_VALUE"""),89.0)</f>
        <v>89</v>
      </c>
      <c r="AB169" s="481">
        <f>IFERROR(__xludf.DUMMYFUNCTION("""COMPUTED_VALUE"""),33.0)</f>
        <v>33</v>
      </c>
      <c r="AC169" s="481">
        <f>IFERROR(__xludf.DUMMYFUNCTION("""COMPUTED_VALUE"""),42.5)</f>
        <v>42.5</v>
      </c>
      <c r="AD169" s="481">
        <f>IFERROR(__xludf.DUMMYFUNCTION("""COMPUTED_VALUE"""),67.0)</f>
        <v>67</v>
      </c>
      <c r="AE169" s="481">
        <f>IFERROR(__xludf.DUMMYFUNCTION("""COMPUTED_VALUE"""),10.0)</f>
        <v>10</v>
      </c>
      <c r="AF169" s="481"/>
      <c r="AG169" s="481">
        <f>IFERROR(__xludf.DUMMYFUNCTION("""COMPUTED_VALUE"""),0.0)</f>
        <v>0</v>
      </c>
      <c r="AH169" s="481"/>
      <c r="AI169" s="158"/>
      <c r="AJ169" s="158"/>
      <c r="AK169" s="133">
        <f>IFERROR(__xludf.DUMMYFUNCTION("""COMPUTED_VALUE"""),2.0)</f>
        <v>2</v>
      </c>
      <c r="AL169" s="133">
        <f>IFERROR(__xludf.DUMMYFUNCTION("""COMPUTED_VALUE"""),0.0)</f>
        <v>0</v>
      </c>
      <c r="AM169" s="133">
        <f>IFERROR(__xludf.DUMMYFUNCTION("""COMPUTED_VALUE"""),2.0)</f>
        <v>2</v>
      </c>
      <c r="AN169" s="133" t="str">
        <f>IFERROR(__xludf.DUMMYFUNCTION("""COMPUTED_VALUE"""),"0")</f>
        <v>0</v>
      </c>
      <c r="AO169" s="133">
        <f>IFERROR(__xludf.DUMMYFUNCTION("""COMPUTED_VALUE"""),0.0)</f>
        <v>0</v>
      </c>
      <c r="AP169" s="155" t="s">
        <v>2461</v>
      </c>
    </row>
    <row r="170">
      <c r="A170" s="555">
        <f>IFERROR(__xludf.DUMMYFUNCTION("""COMPUTED_VALUE"""),166.0)</f>
        <v>166</v>
      </c>
      <c r="B170" s="555" t="str">
        <f>IFERROR(__xludf.DUMMYFUNCTION("""COMPUTED_VALUE"""),"shr23cs@cmrit.ac.in")</f>
        <v>shr23cs@cmrit.ac.in</v>
      </c>
      <c r="C170" s="564" t="str">
        <f>IFERROR(__xludf.DUMMYFUNCTION("""COMPUTED_VALUE"""),"SHASHIKANTH R")</f>
        <v>SHASHIKANTH R</v>
      </c>
      <c r="D170" s="261" t="str">
        <f>IFERROR(__xludf.DUMMYFUNCTION("""COMPUTED_VALUE"""),"1CR23CS174")</f>
        <v>1CR23CS174</v>
      </c>
      <c r="E170" s="563">
        <f>IFERROR(__xludf.DUMMYFUNCTION("""COMPUTED_VALUE"""),9.00890466E9)</f>
        <v>9008904660</v>
      </c>
      <c r="F170" s="155" t="str">
        <f>IFERROR(__xludf.DUMMYFUNCTION("""COMPUTED_VALUE"""),"CSE")</f>
        <v>CSE</v>
      </c>
      <c r="G170" s="158"/>
      <c r="H170" s="559">
        <f>IFERROR(__xludf.DUMMYFUNCTION("""COMPUTED_VALUE"""),86.0)</f>
        <v>86</v>
      </c>
      <c r="I170" s="559">
        <f>IFERROR(__xludf.DUMMYFUNCTION("""COMPUTED_VALUE"""),84.0)</f>
        <v>84</v>
      </c>
      <c r="J170" s="559">
        <f>IFERROR(__xludf.DUMMYFUNCTION("""COMPUTED_VALUE"""),72.0)</f>
        <v>72</v>
      </c>
      <c r="K170" s="559">
        <f>IFERROR(__xludf.DUMMYFUNCTION("""COMPUTED_VALUE"""),70.0)</f>
        <v>70</v>
      </c>
      <c r="L170" s="560">
        <f>IFERROR(__xludf.DUMMYFUNCTION("""COMPUTED_VALUE"""),50.0)</f>
        <v>50</v>
      </c>
      <c r="M170" s="561">
        <f>IFERROR(__xludf.DUMMYFUNCTION("""COMPUTED_VALUE"""),18.0)</f>
        <v>18</v>
      </c>
      <c r="N170" s="561">
        <f>IFERROR(__xludf.DUMMYFUNCTION("""COMPUTED_VALUE"""),50.0)</f>
        <v>50</v>
      </c>
      <c r="O170" s="560"/>
      <c r="P170" s="562">
        <f>IFERROR(__xludf.DUMMYFUNCTION("""COMPUTED_VALUE"""),50.0)</f>
        <v>50</v>
      </c>
      <c r="Q170" s="562">
        <f>IFERROR(__xludf.DUMMYFUNCTION("""COMPUTED_VALUE"""),50.0)</f>
        <v>50</v>
      </c>
      <c r="R170" s="562">
        <f>IFERROR(__xludf.DUMMYFUNCTION("""COMPUTED_VALUE"""),83.0)</f>
        <v>83</v>
      </c>
      <c r="S170" s="562"/>
      <c r="T170" s="217">
        <f>IFERROR(__xludf.DUMMYFUNCTION("""COMPUTED_VALUE"""),13.0)</f>
        <v>13</v>
      </c>
      <c r="U170" s="217">
        <f>IFERROR(__xludf.DUMMYFUNCTION("""COMPUTED_VALUE"""),21.0)</f>
        <v>21</v>
      </c>
      <c r="V170" s="217">
        <f>IFERROR(__xludf.DUMMYFUNCTION("""COMPUTED_VALUE"""),84.0)</f>
        <v>84</v>
      </c>
      <c r="W170" s="217">
        <f>IFERROR(__xludf.DUMMYFUNCTION("""COMPUTED_VALUE"""),48.0)</f>
        <v>48</v>
      </c>
      <c r="X170" s="217">
        <f>IFERROR(__xludf.DUMMYFUNCTION("""COMPUTED_VALUE"""),78.0)</f>
        <v>78</v>
      </c>
      <c r="Y170" s="217"/>
      <c r="Z170" s="217"/>
      <c r="AA170" s="481">
        <f>IFERROR(__xludf.DUMMYFUNCTION("""COMPUTED_VALUE"""),10.0)</f>
        <v>10</v>
      </c>
      <c r="AB170" s="481">
        <f>IFERROR(__xludf.DUMMYFUNCTION("""COMPUTED_VALUE"""),97.0)</f>
        <v>97</v>
      </c>
      <c r="AC170" s="481">
        <f>IFERROR(__xludf.DUMMYFUNCTION("""COMPUTED_VALUE"""),34.5)</f>
        <v>34.5</v>
      </c>
      <c r="AD170" s="481">
        <f>IFERROR(__xludf.DUMMYFUNCTION("""COMPUTED_VALUE"""),68.0)</f>
        <v>68</v>
      </c>
      <c r="AE170" s="481">
        <f>IFERROR(__xludf.DUMMYFUNCTION("""COMPUTED_VALUE"""),70.0)</f>
        <v>70</v>
      </c>
      <c r="AF170" s="481"/>
      <c r="AG170" s="481">
        <f>IFERROR(__xludf.DUMMYFUNCTION("""COMPUTED_VALUE"""),70.0)</f>
        <v>70</v>
      </c>
      <c r="AH170" s="481"/>
      <c r="AI170" s="158"/>
      <c r="AJ170" s="158"/>
      <c r="AK170" s="133">
        <f>IFERROR(__xludf.DUMMYFUNCTION("""COMPUTED_VALUE"""),4.0)</f>
        <v>4</v>
      </c>
      <c r="AL170" s="133">
        <f>IFERROR(__xludf.DUMMYFUNCTION("""COMPUTED_VALUE"""),1.0)</f>
        <v>1</v>
      </c>
      <c r="AM170" s="133">
        <f>IFERROR(__xludf.DUMMYFUNCTION("""COMPUTED_VALUE"""),2.0)</f>
        <v>2</v>
      </c>
      <c r="AN170" s="133" t="str">
        <f>IFERROR(__xludf.DUMMYFUNCTION("""COMPUTED_VALUE"""),"3.5")</f>
        <v>3.5</v>
      </c>
      <c r="AO170" s="133">
        <f>IFERROR(__xludf.DUMMYFUNCTION("""COMPUTED_VALUE"""),3.0)</f>
        <v>3</v>
      </c>
      <c r="AP170" s="155" t="s">
        <v>2461</v>
      </c>
    </row>
    <row r="171">
      <c r="A171" s="555">
        <f>IFERROR(__xludf.DUMMYFUNCTION("""COMPUTED_VALUE"""),167.0)</f>
        <v>167</v>
      </c>
      <c r="B171" s="555" t="str">
        <f>IFERROR(__xludf.DUMMYFUNCTION("""COMPUTED_VALUE"""),"shpa23cs@cmrit.ac.in")</f>
        <v>shpa23cs@cmrit.ac.in</v>
      </c>
      <c r="C171" s="172" t="str">
        <f>IFERROR(__xludf.DUMMYFUNCTION("""COMPUTED_VALUE"""),"Sheetal Pawar")</f>
        <v>Sheetal Pawar</v>
      </c>
      <c r="D171" s="261" t="str">
        <f>IFERROR(__xludf.DUMMYFUNCTION("""COMPUTED_VALUE"""),"1CR23CS175")</f>
        <v>1CR23CS175</v>
      </c>
      <c r="E171" s="563">
        <f>IFERROR(__xludf.DUMMYFUNCTION("""COMPUTED_VALUE"""),7.353279201E9)</f>
        <v>7353279201</v>
      </c>
      <c r="F171" s="155" t="str">
        <f>IFERROR(__xludf.DUMMYFUNCTION("""COMPUTED_VALUE"""),"CSE")</f>
        <v>CSE</v>
      </c>
      <c r="G171" s="158"/>
      <c r="H171" s="559">
        <f>IFERROR(__xludf.DUMMYFUNCTION("""COMPUTED_VALUE"""),79.0)</f>
        <v>79</v>
      </c>
      <c r="I171" s="559">
        <f>IFERROR(__xludf.DUMMYFUNCTION("""COMPUTED_VALUE"""),77.0)</f>
        <v>77</v>
      </c>
      <c r="J171" s="559">
        <f>IFERROR(__xludf.DUMMYFUNCTION("""COMPUTED_VALUE"""),70.0)</f>
        <v>70</v>
      </c>
      <c r="K171" s="559">
        <f>IFERROR(__xludf.DUMMYFUNCTION("""COMPUTED_VALUE"""),70.0)</f>
        <v>70</v>
      </c>
      <c r="L171" s="560">
        <f>IFERROR(__xludf.DUMMYFUNCTION("""COMPUTED_VALUE"""),27.0)</f>
        <v>27</v>
      </c>
      <c r="M171" s="561">
        <f>IFERROR(__xludf.DUMMYFUNCTION("""COMPUTED_VALUE"""),50.0)</f>
        <v>50</v>
      </c>
      <c r="N171" s="561">
        <f>IFERROR(__xludf.DUMMYFUNCTION("""COMPUTED_VALUE"""),51.0)</f>
        <v>51</v>
      </c>
      <c r="O171" s="560"/>
      <c r="P171" s="562">
        <f>IFERROR(__xludf.DUMMYFUNCTION("""COMPUTED_VALUE"""),71.0)</f>
        <v>71</v>
      </c>
      <c r="Q171" s="562">
        <f>IFERROR(__xludf.DUMMYFUNCTION("""COMPUTED_VALUE"""),50.0)</f>
        <v>50</v>
      </c>
      <c r="R171" s="562">
        <f>IFERROR(__xludf.DUMMYFUNCTION("""COMPUTED_VALUE"""),76.0)</f>
        <v>76</v>
      </c>
      <c r="S171" s="562"/>
      <c r="T171" s="217">
        <f>IFERROR(__xludf.DUMMYFUNCTION("""COMPUTED_VALUE"""),21.0)</f>
        <v>21</v>
      </c>
      <c r="U171" s="217">
        <f>IFERROR(__xludf.DUMMYFUNCTION("""COMPUTED_VALUE"""),15.0)</f>
        <v>15</v>
      </c>
      <c r="V171" s="217"/>
      <c r="W171" s="217">
        <f>IFERROR(__xludf.DUMMYFUNCTION("""COMPUTED_VALUE"""),36.0)</f>
        <v>36</v>
      </c>
      <c r="X171" s="217">
        <f>IFERROR(__xludf.DUMMYFUNCTION("""COMPUTED_VALUE"""),84.0)</f>
        <v>84</v>
      </c>
      <c r="Y171" s="217"/>
      <c r="Z171" s="217"/>
      <c r="AA171" s="481">
        <f>IFERROR(__xludf.DUMMYFUNCTION("""COMPUTED_VALUE"""),30.0)</f>
        <v>30</v>
      </c>
      <c r="AB171" s="481">
        <f>IFERROR(__xludf.DUMMYFUNCTION("""COMPUTED_VALUE"""),81.25)</f>
        <v>81.25</v>
      </c>
      <c r="AC171" s="481">
        <f>IFERROR(__xludf.DUMMYFUNCTION("""COMPUTED_VALUE"""),80.0)</f>
        <v>80</v>
      </c>
      <c r="AD171" s="481">
        <f>IFERROR(__xludf.DUMMYFUNCTION("""COMPUTED_VALUE"""),76.0)</f>
        <v>76</v>
      </c>
      <c r="AE171" s="481">
        <f>IFERROR(__xludf.DUMMYFUNCTION("""COMPUTED_VALUE"""),70.0)</f>
        <v>70</v>
      </c>
      <c r="AF171" s="481"/>
      <c r="AG171" s="481">
        <f>IFERROR(__xludf.DUMMYFUNCTION("""COMPUTED_VALUE"""),58.0)</f>
        <v>58</v>
      </c>
      <c r="AH171" s="481"/>
      <c r="AI171" s="158"/>
      <c r="AJ171" s="158"/>
      <c r="AK171" s="133">
        <f>IFERROR(__xludf.DUMMYFUNCTION("""COMPUTED_VALUE"""),4.0)</f>
        <v>4</v>
      </c>
      <c r="AL171" s="133">
        <f>IFERROR(__xludf.DUMMYFUNCTION("""COMPUTED_VALUE"""),0.0)</f>
        <v>0</v>
      </c>
      <c r="AM171" s="133">
        <f>IFERROR(__xludf.DUMMYFUNCTION("""COMPUTED_VALUE"""),2.0)</f>
        <v>2</v>
      </c>
      <c r="AN171" s="133" t="str">
        <f>IFERROR(__xludf.DUMMYFUNCTION("""COMPUTED_VALUE"""),"3.5")</f>
        <v>3.5</v>
      </c>
      <c r="AO171" s="133">
        <f>IFERROR(__xludf.DUMMYFUNCTION("""COMPUTED_VALUE"""),3.0)</f>
        <v>3</v>
      </c>
      <c r="AP171" s="155" t="s">
        <v>2461</v>
      </c>
    </row>
    <row r="172">
      <c r="A172" s="555">
        <f>IFERROR(__xludf.DUMMYFUNCTION("""COMPUTED_VALUE"""),168.0)</f>
        <v>168</v>
      </c>
      <c r="B172" s="555" t="str">
        <f>IFERROR(__xludf.DUMMYFUNCTION("""COMPUTED_VALUE"""),"shda23cs@cmrit.ac.in")</f>
        <v>shda23cs@cmrit.ac.in</v>
      </c>
      <c r="C172" s="172" t="str">
        <f>IFERROR(__xludf.DUMMYFUNCTION("""COMPUTED_VALUE"""),"SHIMAN KUMAR DAS")</f>
        <v>SHIMAN KUMAR DAS</v>
      </c>
      <c r="D172" s="261" t="str">
        <f>IFERROR(__xludf.DUMMYFUNCTION("""COMPUTED_VALUE"""),"1CR23CS176")</f>
        <v>1CR23CS176</v>
      </c>
      <c r="E172" s="563">
        <f>IFERROR(__xludf.DUMMYFUNCTION("""COMPUTED_VALUE"""),8.861417608E9)</f>
        <v>8861417608</v>
      </c>
      <c r="F172" s="155" t="str">
        <f>IFERROR(__xludf.DUMMYFUNCTION("""COMPUTED_VALUE"""),"CSE")</f>
        <v>CSE</v>
      </c>
      <c r="G172" s="158"/>
      <c r="H172" s="559">
        <f>IFERROR(__xludf.DUMMYFUNCTION("""COMPUTED_VALUE"""),88.0)</f>
        <v>88</v>
      </c>
      <c r="I172" s="559">
        <f>IFERROR(__xludf.DUMMYFUNCTION("""COMPUTED_VALUE"""),90.0)</f>
        <v>90</v>
      </c>
      <c r="J172" s="559">
        <f>IFERROR(__xludf.DUMMYFUNCTION("""COMPUTED_VALUE"""),74.0)</f>
        <v>74</v>
      </c>
      <c r="K172" s="559">
        <f>IFERROR(__xludf.DUMMYFUNCTION("""COMPUTED_VALUE"""),82.0)</f>
        <v>82</v>
      </c>
      <c r="L172" s="560">
        <f>IFERROR(__xludf.DUMMYFUNCTION("""COMPUTED_VALUE"""),62.0)</f>
        <v>62</v>
      </c>
      <c r="M172" s="561">
        <f>IFERROR(__xludf.DUMMYFUNCTION("""COMPUTED_VALUE"""),50.0)</f>
        <v>50</v>
      </c>
      <c r="N172" s="561">
        <f>IFERROR(__xludf.DUMMYFUNCTION("""COMPUTED_VALUE"""),53.0)</f>
        <v>53</v>
      </c>
      <c r="O172" s="560"/>
      <c r="P172" s="562">
        <f>IFERROR(__xludf.DUMMYFUNCTION("""COMPUTED_VALUE"""),79.0)</f>
        <v>79</v>
      </c>
      <c r="Q172" s="562">
        <f>IFERROR(__xludf.DUMMYFUNCTION("""COMPUTED_VALUE"""),71.0)</f>
        <v>71</v>
      </c>
      <c r="R172" s="562">
        <f>IFERROR(__xludf.DUMMYFUNCTION("""COMPUTED_VALUE"""),95.0)</f>
        <v>95</v>
      </c>
      <c r="S172" s="562"/>
      <c r="T172" s="217">
        <f>IFERROR(__xludf.DUMMYFUNCTION("""COMPUTED_VALUE"""),14.0)</f>
        <v>14</v>
      </c>
      <c r="U172" s="217">
        <f>IFERROR(__xludf.DUMMYFUNCTION("""COMPUTED_VALUE"""),17.0)</f>
        <v>17</v>
      </c>
      <c r="V172" s="217">
        <f>IFERROR(__xludf.DUMMYFUNCTION("""COMPUTED_VALUE"""),80.0)</f>
        <v>80</v>
      </c>
      <c r="W172" s="217">
        <f>IFERROR(__xludf.DUMMYFUNCTION("""COMPUTED_VALUE"""),44.0)</f>
        <v>44</v>
      </c>
      <c r="X172" s="217">
        <f>IFERROR(__xludf.DUMMYFUNCTION("""COMPUTED_VALUE"""),78.0)</f>
        <v>78</v>
      </c>
      <c r="Y172" s="217"/>
      <c r="Z172" s="217"/>
      <c r="AA172" s="481">
        <f>IFERROR(__xludf.DUMMYFUNCTION("""COMPUTED_VALUE"""),56.0)</f>
        <v>56</v>
      </c>
      <c r="AB172" s="481">
        <f>IFERROR(__xludf.DUMMYFUNCTION("""COMPUTED_VALUE"""),100.0)</f>
        <v>100</v>
      </c>
      <c r="AC172" s="481">
        <f>IFERROR(__xludf.DUMMYFUNCTION("""COMPUTED_VALUE"""),98.0)</f>
        <v>98</v>
      </c>
      <c r="AD172" s="481">
        <f>IFERROR(__xludf.DUMMYFUNCTION("""COMPUTED_VALUE"""),100.0)</f>
        <v>100</v>
      </c>
      <c r="AE172" s="481">
        <f>IFERROR(__xludf.DUMMYFUNCTION("""COMPUTED_VALUE"""),92.0)</f>
        <v>92</v>
      </c>
      <c r="AF172" s="481"/>
      <c r="AG172" s="481">
        <f>IFERROR(__xludf.DUMMYFUNCTION("""COMPUTED_VALUE"""),77.0)</f>
        <v>77</v>
      </c>
      <c r="AH172" s="481"/>
      <c r="AI172" s="158"/>
      <c r="AJ172" s="158"/>
      <c r="AK172" s="133">
        <f>IFERROR(__xludf.DUMMYFUNCTION("""COMPUTED_VALUE"""),4.0)</f>
        <v>4</v>
      </c>
      <c r="AL172" s="133">
        <f>IFERROR(__xludf.DUMMYFUNCTION("""COMPUTED_VALUE"""),3.0)</f>
        <v>3</v>
      </c>
      <c r="AM172" s="133">
        <f>IFERROR(__xludf.DUMMYFUNCTION("""COMPUTED_VALUE"""),2.0)</f>
        <v>2</v>
      </c>
      <c r="AN172" s="133" t="str">
        <f>IFERROR(__xludf.DUMMYFUNCTION("""COMPUTED_VALUE"""),"3.5")</f>
        <v>3.5</v>
      </c>
      <c r="AO172" s="133">
        <f>IFERROR(__xludf.DUMMYFUNCTION("""COMPUTED_VALUE"""),3.0)</f>
        <v>3</v>
      </c>
      <c r="AP172" s="155" t="s">
        <v>2461</v>
      </c>
    </row>
    <row r="173">
      <c r="A173" s="555">
        <f>IFERROR(__xludf.DUMMYFUNCTION("""COMPUTED_VALUE"""),169.0)</f>
        <v>169</v>
      </c>
      <c r="B173" s="555" t="str">
        <f>IFERROR(__xludf.DUMMYFUNCTION("""COMPUTED_VALUE"""),"shra23cs@cmrit.ac.in")</f>
        <v>shra23cs@cmrit.ac.in</v>
      </c>
      <c r="C173" s="172" t="str">
        <f>IFERROR(__xludf.DUMMYFUNCTION("""COMPUTED_VALUE"""),"SHIVAM RAJ")</f>
        <v>SHIVAM RAJ</v>
      </c>
      <c r="D173" s="261" t="str">
        <f>IFERROR(__xludf.DUMMYFUNCTION("""COMPUTED_VALUE"""),"1CR23CS177")</f>
        <v>1CR23CS177</v>
      </c>
      <c r="E173" s="563">
        <f>IFERROR(__xludf.DUMMYFUNCTION("""COMPUTED_VALUE"""),9.060585751E9)</f>
        <v>9060585751</v>
      </c>
      <c r="F173" s="155" t="str">
        <f>IFERROR(__xludf.DUMMYFUNCTION("""COMPUTED_VALUE"""),"CSE")</f>
        <v>CSE</v>
      </c>
      <c r="G173" s="158"/>
      <c r="H173" s="559">
        <f>IFERROR(__xludf.DUMMYFUNCTION("""COMPUTED_VALUE"""),82.0)</f>
        <v>82</v>
      </c>
      <c r="I173" s="559">
        <f>IFERROR(__xludf.DUMMYFUNCTION("""COMPUTED_VALUE"""),87.0)</f>
        <v>87</v>
      </c>
      <c r="J173" s="559">
        <f>IFERROR(__xludf.DUMMYFUNCTION("""COMPUTED_VALUE"""),79.0)</f>
        <v>79</v>
      </c>
      <c r="K173" s="559">
        <f>IFERROR(__xludf.DUMMYFUNCTION("""COMPUTED_VALUE"""),77.0)</f>
        <v>77</v>
      </c>
      <c r="L173" s="560">
        <f>IFERROR(__xludf.DUMMYFUNCTION("""COMPUTED_VALUE"""),54.0)</f>
        <v>54</v>
      </c>
      <c r="M173" s="561">
        <f>IFERROR(__xludf.DUMMYFUNCTION("""COMPUTED_VALUE"""),50.0)</f>
        <v>50</v>
      </c>
      <c r="N173" s="561">
        <f>IFERROR(__xludf.DUMMYFUNCTION("""COMPUTED_VALUE"""),59.0)</f>
        <v>59</v>
      </c>
      <c r="O173" s="560"/>
      <c r="P173" s="562">
        <f>IFERROR(__xludf.DUMMYFUNCTION("""COMPUTED_VALUE"""),72.0)</f>
        <v>72</v>
      </c>
      <c r="Q173" s="562">
        <f>IFERROR(__xludf.DUMMYFUNCTION("""COMPUTED_VALUE"""),63.0)</f>
        <v>63</v>
      </c>
      <c r="R173" s="562">
        <f>IFERROR(__xludf.DUMMYFUNCTION("""COMPUTED_VALUE"""),85.0)</f>
        <v>85</v>
      </c>
      <c r="S173" s="562"/>
      <c r="T173" s="217">
        <f>IFERROR(__xludf.DUMMYFUNCTION("""COMPUTED_VALUE"""),11.0)</f>
        <v>11</v>
      </c>
      <c r="U173" s="217">
        <f>IFERROR(__xludf.DUMMYFUNCTION("""COMPUTED_VALUE"""),22.0)</f>
        <v>22</v>
      </c>
      <c r="V173" s="217"/>
      <c r="W173" s="217">
        <f>IFERROR(__xludf.DUMMYFUNCTION("""COMPUTED_VALUE"""),56.0)</f>
        <v>56</v>
      </c>
      <c r="X173" s="217">
        <f>IFERROR(__xludf.DUMMYFUNCTION("""COMPUTED_VALUE"""),86.0)</f>
        <v>86</v>
      </c>
      <c r="Y173" s="217"/>
      <c r="Z173" s="217"/>
      <c r="AA173" s="481">
        <f>IFERROR(__xludf.DUMMYFUNCTION("""COMPUTED_VALUE"""),52.0)</f>
        <v>52</v>
      </c>
      <c r="AB173" s="481">
        <f>IFERROR(__xludf.DUMMYFUNCTION("""COMPUTED_VALUE"""),100.0)</f>
        <v>100</v>
      </c>
      <c r="AC173" s="481">
        <f>IFERROR(__xludf.DUMMYFUNCTION("""COMPUTED_VALUE"""),100.0)</f>
        <v>100</v>
      </c>
      <c r="AD173" s="481">
        <f>IFERROR(__xludf.DUMMYFUNCTION("""COMPUTED_VALUE"""),100.0)</f>
        <v>100</v>
      </c>
      <c r="AE173" s="481">
        <f>IFERROR(__xludf.DUMMYFUNCTION("""COMPUTED_VALUE"""),81.0)</f>
        <v>81</v>
      </c>
      <c r="AF173" s="481"/>
      <c r="AG173" s="481">
        <f>IFERROR(__xludf.DUMMYFUNCTION("""COMPUTED_VALUE"""),70.0)</f>
        <v>70</v>
      </c>
      <c r="AH173" s="481"/>
      <c r="AI173" s="158"/>
      <c r="AJ173" s="158"/>
      <c r="AK173" s="133">
        <f>IFERROR(__xludf.DUMMYFUNCTION("""COMPUTED_VALUE"""),4.0)</f>
        <v>4</v>
      </c>
      <c r="AL173" s="133">
        <f>IFERROR(__xludf.DUMMYFUNCTION("""COMPUTED_VALUE"""),3.0)</f>
        <v>3</v>
      </c>
      <c r="AM173" s="133">
        <f>IFERROR(__xludf.DUMMYFUNCTION("""COMPUTED_VALUE"""),3.0)</f>
        <v>3</v>
      </c>
      <c r="AN173" s="133" t="str">
        <f>IFERROR(__xludf.DUMMYFUNCTION("""COMPUTED_VALUE"""),"3.5")</f>
        <v>3.5</v>
      </c>
      <c r="AO173" s="133">
        <f>IFERROR(__xludf.DUMMYFUNCTION("""COMPUTED_VALUE"""),3.0)</f>
        <v>3</v>
      </c>
      <c r="AP173" s="155" t="s">
        <v>2461</v>
      </c>
    </row>
    <row r="174">
      <c r="A174" s="555">
        <f>IFERROR(__xludf.DUMMYFUNCTION("""COMPUTED_VALUE"""),170.0)</f>
        <v>170</v>
      </c>
      <c r="B174" s="555" t="str">
        <f>IFERROR(__xludf.DUMMYFUNCTION("""COMPUTED_VALUE"""),"sha23cs@cmrit.ac.in")</f>
        <v>sha23cs@cmrit.ac.in</v>
      </c>
      <c r="C174" s="565" t="str">
        <f>IFERROR(__xludf.DUMMYFUNCTION("""COMPUTED_VALUE"""),"SHIVANI SIVASANKAR")</f>
        <v>SHIVANI SIVASANKAR</v>
      </c>
      <c r="D174" s="261" t="str">
        <f>IFERROR(__xludf.DUMMYFUNCTION("""COMPUTED_VALUE"""),"1CR23CS178")</f>
        <v>1CR23CS178</v>
      </c>
      <c r="E174" s="563">
        <f>IFERROR(__xludf.DUMMYFUNCTION("""COMPUTED_VALUE"""),8.88459696E9)</f>
        <v>8884596960</v>
      </c>
      <c r="F174" s="155" t="str">
        <f>IFERROR(__xludf.DUMMYFUNCTION("""COMPUTED_VALUE"""),"CSE")</f>
        <v>CSE</v>
      </c>
      <c r="G174" s="158"/>
      <c r="H174" s="559">
        <f>IFERROR(__xludf.DUMMYFUNCTION("""COMPUTED_VALUE"""),86.0)</f>
        <v>86</v>
      </c>
      <c r="I174" s="559">
        <f>IFERROR(__xludf.DUMMYFUNCTION("""COMPUTED_VALUE"""),97.0)</f>
        <v>97</v>
      </c>
      <c r="J174" s="559">
        <f>IFERROR(__xludf.DUMMYFUNCTION("""COMPUTED_VALUE"""),81.0)</f>
        <v>81</v>
      </c>
      <c r="K174" s="559">
        <f>IFERROR(__xludf.DUMMYFUNCTION("""COMPUTED_VALUE"""),80.0)</f>
        <v>80</v>
      </c>
      <c r="L174" s="560">
        <f>IFERROR(__xludf.DUMMYFUNCTION("""COMPUTED_VALUE"""),75.0)</f>
        <v>75</v>
      </c>
      <c r="M174" s="561">
        <f>IFERROR(__xludf.DUMMYFUNCTION("""COMPUTED_VALUE"""),50.0)</f>
        <v>50</v>
      </c>
      <c r="N174" s="561">
        <f>IFERROR(__xludf.DUMMYFUNCTION("""COMPUTED_VALUE"""),52.0)</f>
        <v>52</v>
      </c>
      <c r="O174" s="560"/>
      <c r="P174" s="562">
        <f>IFERROR(__xludf.DUMMYFUNCTION("""COMPUTED_VALUE"""),78.0)</f>
        <v>78</v>
      </c>
      <c r="Q174" s="562">
        <f>IFERROR(__xludf.DUMMYFUNCTION("""COMPUTED_VALUE"""),84.0)</f>
        <v>84</v>
      </c>
      <c r="R174" s="562">
        <f>IFERROR(__xludf.DUMMYFUNCTION("""COMPUTED_VALUE"""),89.0)</f>
        <v>89</v>
      </c>
      <c r="S174" s="562"/>
      <c r="T174" s="217">
        <f>IFERROR(__xludf.DUMMYFUNCTION("""COMPUTED_VALUE"""),18.0)</f>
        <v>18</v>
      </c>
      <c r="U174" s="217">
        <f>IFERROR(__xludf.DUMMYFUNCTION("""COMPUTED_VALUE"""),19.0)</f>
        <v>19</v>
      </c>
      <c r="V174" s="217">
        <f>IFERROR(__xludf.DUMMYFUNCTION("""COMPUTED_VALUE"""),64.0)</f>
        <v>64</v>
      </c>
      <c r="W174" s="217">
        <f>IFERROR(__xludf.DUMMYFUNCTION("""COMPUTED_VALUE"""),48.0)</f>
        <v>48</v>
      </c>
      <c r="X174" s="217">
        <f>IFERROR(__xludf.DUMMYFUNCTION("""COMPUTED_VALUE"""),70.0)</f>
        <v>70</v>
      </c>
      <c r="Y174" s="217"/>
      <c r="Z174" s="217"/>
      <c r="AA174" s="481">
        <f>IFERROR(__xludf.DUMMYFUNCTION("""COMPUTED_VALUE"""),79.6)</f>
        <v>79.6</v>
      </c>
      <c r="AB174" s="481">
        <f>IFERROR(__xludf.DUMMYFUNCTION("""COMPUTED_VALUE"""),100.0)</f>
        <v>100</v>
      </c>
      <c r="AC174" s="481">
        <f>IFERROR(__xludf.DUMMYFUNCTION("""COMPUTED_VALUE"""),98.5)</f>
        <v>98.5</v>
      </c>
      <c r="AD174" s="481">
        <f>IFERROR(__xludf.DUMMYFUNCTION("""COMPUTED_VALUE"""),74.0)</f>
        <v>74</v>
      </c>
      <c r="AE174" s="481">
        <f>IFERROR(__xludf.DUMMYFUNCTION("""COMPUTED_VALUE"""),80.0)</f>
        <v>80</v>
      </c>
      <c r="AF174" s="481"/>
      <c r="AG174" s="481">
        <f>IFERROR(__xludf.DUMMYFUNCTION("""COMPUTED_VALUE"""),86.0)</f>
        <v>86</v>
      </c>
      <c r="AH174" s="481"/>
      <c r="AI174" s="158"/>
      <c r="AJ174" s="158"/>
      <c r="AK174" s="133">
        <f>IFERROR(__xludf.DUMMYFUNCTION("""COMPUTED_VALUE"""),4.0)</f>
        <v>4</v>
      </c>
      <c r="AL174" s="133">
        <f>IFERROR(__xludf.DUMMYFUNCTION("""COMPUTED_VALUE"""),3.0)</f>
        <v>3</v>
      </c>
      <c r="AM174" s="133">
        <f>IFERROR(__xludf.DUMMYFUNCTION("""COMPUTED_VALUE"""),2.0)</f>
        <v>2</v>
      </c>
      <c r="AN174" s="133" t="str">
        <f>IFERROR(__xludf.DUMMYFUNCTION("""COMPUTED_VALUE"""),"3.5")</f>
        <v>3.5</v>
      </c>
      <c r="AO174" s="133">
        <f>IFERROR(__xludf.DUMMYFUNCTION("""COMPUTED_VALUE"""),3.0)</f>
        <v>3</v>
      </c>
      <c r="AP174" s="155" t="s">
        <v>2461</v>
      </c>
    </row>
    <row r="175">
      <c r="A175" s="555">
        <f>IFERROR(__xludf.DUMMYFUNCTION("""COMPUTED_VALUE"""),171.0)</f>
        <v>171</v>
      </c>
      <c r="B175" s="555" t="str">
        <f>IFERROR(__xludf.DUMMYFUNCTION("""COMPUTED_VALUE"""),"shdh23cs@cmrit.ac.in")</f>
        <v>shdh23cs@cmrit.ac.in</v>
      </c>
      <c r="C175" s="564" t="str">
        <f>IFERROR(__xludf.DUMMYFUNCTION("""COMPUTED_VALUE"""),"SHIVANSH DHALTA")</f>
        <v>SHIVANSH DHALTA</v>
      </c>
      <c r="D175" s="261" t="str">
        <f>IFERROR(__xludf.DUMMYFUNCTION("""COMPUTED_VALUE"""),"1CR23CS179")</f>
        <v>1CR23CS179</v>
      </c>
      <c r="E175" s="563">
        <f>IFERROR(__xludf.DUMMYFUNCTION("""COMPUTED_VALUE"""),7.807324267E9)</f>
        <v>7807324267</v>
      </c>
      <c r="F175" s="155" t="str">
        <f>IFERROR(__xludf.DUMMYFUNCTION("""COMPUTED_VALUE"""),"CSE")</f>
        <v>CSE</v>
      </c>
      <c r="G175" s="158"/>
      <c r="H175" s="559">
        <f>IFERROR(__xludf.DUMMYFUNCTION("""COMPUTED_VALUE"""),90.0)</f>
        <v>90</v>
      </c>
      <c r="I175" s="559">
        <f>IFERROR(__xludf.DUMMYFUNCTION("""COMPUTED_VALUE"""),91.0)</f>
        <v>91</v>
      </c>
      <c r="J175" s="559">
        <f>IFERROR(__xludf.DUMMYFUNCTION("""COMPUTED_VALUE"""),84.0)</f>
        <v>84</v>
      </c>
      <c r="K175" s="559">
        <f>IFERROR(__xludf.DUMMYFUNCTION("""COMPUTED_VALUE"""),84.0)</f>
        <v>84</v>
      </c>
      <c r="L175" s="560">
        <f>IFERROR(__xludf.DUMMYFUNCTION("""COMPUTED_VALUE"""),64.0)</f>
        <v>64</v>
      </c>
      <c r="M175" s="561">
        <f>IFERROR(__xludf.DUMMYFUNCTION("""COMPUTED_VALUE"""),50.0)</f>
        <v>50</v>
      </c>
      <c r="N175" s="561">
        <f>IFERROR(__xludf.DUMMYFUNCTION("""COMPUTED_VALUE"""),61.0)</f>
        <v>61</v>
      </c>
      <c r="O175" s="560"/>
      <c r="P175" s="562">
        <f>IFERROR(__xludf.DUMMYFUNCTION("""COMPUTED_VALUE"""),73.0)</f>
        <v>73</v>
      </c>
      <c r="Q175" s="562">
        <f>IFERROR(__xludf.DUMMYFUNCTION("""COMPUTED_VALUE"""),63.0)</f>
        <v>63</v>
      </c>
      <c r="R175" s="562">
        <f>IFERROR(__xludf.DUMMYFUNCTION("""COMPUTED_VALUE"""),84.0)</f>
        <v>84</v>
      </c>
      <c r="S175" s="562"/>
      <c r="T175" s="217">
        <f>IFERROR(__xludf.DUMMYFUNCTION("""COMPUTED_VALUE"""),15.0)</f>
        <v>15</v>
      </c>
      <c r="U175" s="217">
        <f>IFERROR(__xludf.DUMMYFUNCTION("""COMPUTED_VALUE"""),20.0)</f>
        <v>20</v>
      </c>
      <c r="V175" s="217"/>
      <c r="W175" s="217">
        <f>IFERROR(__xludf.DUMMYFUNCTION("""COMPUTED_VALUE"""),60.0)</f>
        <v>60</v>
      </c>
      <c r="X175" s="217">
        <f>IFERROR(__xludf.DUMMYFUNCTION("""COMPUTED_VALUE"""),80.0)</f>
        <v>80</v>
      </c>
      <c r="Y175" s="217"/>
      <c r="Z175" s="217"/>
      <c r="AA175" s="481">
        <f>IFERROR(__xludf.DUMMYFUNCTION("""COMPUTED_VALUE"""),58.0)</f>
        <v>58</v>
      </c>
      <c r="AB175" s="481">
        <f>IFERROR(__xludf.DUMMYFUNCTION("""COMPUTED_VALUE"""),97.0)</f>
        <v>97</v>
      </c>
      <c r="AC175" s="481">
        <f>IFERROR(__xludf.DUMMYFUNCTION("""COMPUTED_VALUE"""),81.5)</f>
        <v>81.5</v>
      </c>
      <c r="AD175" s="481">
        <f>IFERROR(__xludf.DUMMYFUNCTION("""COMPUTED_VALUE"""),100.0)</f>
        <v>100</v>
      </c>
      <c r="AE175" s="481">
        <f>IFERROR(__xludf.DUMMYFUNCTION("""COMPUTED_VALUE"""),93.0)</f>
        <v>93</v>
      </c>
      <c r="AF175" s="481"/>
      <c r="AG175" s="481">
        <f>IFERROR(__xludf.DUMMYFUNCTION("""COMPUTED_VALUE"""),72.0)</f>
        <v>72</v>
      </c>
      <c r="AH175" s="481"/>
      <c r="AI175" s="158"/>
      <c r="AJ175" s="158"/>
      <c r="AK175" s="133">
        <f>IFERROR(__xludf.DUMMYFUNCTION("""COMPUTED_VALUE"""),4.0)</f>
        <v>4</v>
      </c>
      <c r="AL175" s="133">
        <f>IFERROR(__xludf.DUMMYFUNCTION("""COMPUTED_VALUE"""),3.0)</f>
        <v>3</v>
      </c>
      <c r="AM175" s="133">
        <f>IFERROR(__xludf.DUMMYFUNCTION("""COMPUTED_VALUE"""),3.0)</f>
        <v>3</v>
      </c>
      <c r="AN175" s="133" t="str">
        <f>IFERROR(__xludf.DUMMYFUNCTION("""COMPUTED_VALUE"""),"3.5")</f>
        <v>3.5</v>
      </c>
      <c r="AO175" s="133">
        <f>IFERROR(__xludf.DUMMYFUNCTION("""COMPUTED_VALUE"""),3.0)</f>
        <v>3</v>
      </c>
      <c r="AP175" s="155" t="s">
        <v>2461</v>
      </c>
    </row>
    <row r="176">
      <c r="A176" s="555">
        <f>IFERROR(__xludf.DUMMYFUNCTION("""COMPUTED_VALUE"""),172.0)</f>
        <v>172</v>
      </c>
      <c r="B176" s="555" t="str">
        <f>IFERROR(__xludf.DUMMYFUNCTION("""COMPUTED_VALUE"""),"shja23cs@cmrit.ac.in")</f>
        <v>shja23cs@cmrit.ac.in</v>
      </c>
      <c r="C176" s="172" t="str">
        <f>IFERROR(__xludf.DUMMYFUNCTION("""COMPUTED_VALUE"""),"SHRADDHA ANAND JAMBAGI")</f>
        <v>SHRADDHA ANAND JAMBAGI</v>
      </c>
      <c r="D176" s="261" t="str">
        <f>IFERROR(__xludf.DUMMYFUNCTION("""COMPUTED_VALUE"""),"1CR23CS180")</f>
        <v>1CR23CS180</v>
      </c>
      <c r="E176" s="563">
        <f>IFERROR(__xludf.DUMMYFUNCTION("""COMPUTED_VALUE"""),9.148161345E9)</f>
        <v>9148161345</v>
      </c>
      <c r="F176" s="155" t="str">
        <f>IFERROR(__xludf.DUMMYFUNCTION("""COMPUTED_VALUE"""),"CSE")</f>
        <v>CSE</v>
      </c>
      <c r="G176" s="158"/>
      <c r="H176" s="559">
        <f>IFERROR(__xludf.DUMMYFUNCTION("""COMPUTED_VALUE"""),88.0)</f>
        <v>88</v>
      </c>
      <c r="I176" s="559">
        <f>IFERROR(__xludf.DUMMYFUNCTION("""COMPUTED_VALUE"""),93.0)</f>
        <v>93</v>
      </c>
      <c r="J176" s="559">
        <f>IFERROR(__xludf.DUMMYFUNCTION("""COMPUTED_VALUE"""),78.0)</f>
        <v>78</v>
      </c>
      <c r="K176" s="559">
        <f>IFERROR(__xludf.DUMMYFUNCTION("""COMPUTED_VALUE"""),70.0)</f>
        <v>70</v>
      </c>
      <c r="L176" s="560">
        <f>IFERROR(__xludf.DUMMYFUNCTION("""COMPUTED_VALUE"""),75.0)</f>
        <v>75</v>
      </c>
      <c r="M176" s="561">
        <f>IFERROR(__xludf.DUMMYFUNCTION("""COMPUTED_VALUE"""),50.0)</f>
        <v>50</v>
      </c>
      <c r="N176" s="561">
        <f>IFERROR(__xludf.DUMMYFUNCTION("""COMPUTED_VALUE"""),52.0)</f>
        <v>52</v>
      </c>
      <c r="O176" s="560"/>
      <c r="P176" s="562">
        <f>IFERROR(__xludf.DUMMYFUNCTION("""COMPUTED_VALUE"""),78.0)</f>
        <v>78</v>
      </c>
      <c r="Q176" s="562">
        <f>IFERROR(__xludf.DUMMYFUNCTION("""COMPUTED_VALUE"""),54.0)</f>
        <v>54</v>
      </c>
      <c r="R176" s="562">
        <f>IFERROR(__xludf.DUMMYFUNCTION("""COMPUTED_VALUE"""),83.0)</f>
        <v>83</v>
      </c>
      <c r="S176" s="562"/>
      <c r="T176" s="217">
        <f>IFERROR(__xludf.DUMMYFUNCTION("""COMPUTED_VALUE"""),18.0)</f>
        <v>18</v>
      </c>
      <c r="U176" s="217">
        <f>IFERROR(__xludf.DUMMYFUNCTION("""COMPUTED_VALUE"""),22.0)</f>
        <v>22</v>
      </c>
      <c r="V176" s="217">
        <f>IFERROR(__xludf.DUMMYFUNCTION("""COMPUTED_VALUE"""),65.0)</f>
        <v>65</v>
      </c>
      <c r="W176" s="217">
        <f>IFERROR(__xludf.DUMMYFUNCTION("""COMPUTED_VALUE"""),52.0)</f>
        <v>52</v>
      </c>
      <c r="X176" s="217">
        <f>IFERROR(__xludf.DUMMYFUNCTION("""COMPUTED_VALUE"""),84.0)</f>
        <v>84</v>
      </c>
      <c r="Y176" s="217"/>
      <c r="Z176" s="217"/>
      <c r="AA176" s="481">
        <f>IFERROR(__xludf.DUMMYFUNCTION("""COMPUTED_VALUE"""),100.0)</f>
        <v>100</v>
      </c>
      <c r="AB176" s="481">
        <f>IFERROR(__xludf.DUMMYFUNCTION("""COMPUTED_VALUE"""),93.0)</f>
        <v>93</v>
      </c>
      <c r="AC176" s="481">
        <f>IFERROR(__xludf.DUMMYFUNCTION("""COMPUTED_VALUE"""),60.0)</f>
        <v>60</v>
      </c>
      <c r="AD176" s="481">
        <f>IFERROR(__xludf.DUMMYFUNCTION("""COMPUTED_VALUE"""),75.0)</f>
        <v>75</v>
      </c>
      <c r="AE176" s="481">
        <f>IFERROR(__xludf.DUMMYFUNCTION("""COMPUTED_VALUE"""),70.0)</f>
        <v>70</v>
      </c>
      <c r="AF176" s="481"/>
      <c r="AG176" s="481">
        <f>IFERROR(__xludf.DUMMYFUNCTION("""COMPUTED_VALUE"""),70.0)</f>
        <v>70</v>
      </c>
      <c r="AH176" s="481"/>
      <c r="AI176" s="158"/>
      <c r="AJ176" s="158"/>
      <c r="AK176" s="133">
        <f>IFERROR(__xludf.DUMMYFUNCTION("""COMPUTED_VALUE"""),4.0)</f>
        <v>4</v>
      </c>
      <c r="AL176" s="133">
        <f>IFERROR(__xludf.DUMMYFUNCTION("""COMPUTED_VALUE"""),3.0)</f>
        <v>3</v>
      </c>
      <c r="AM176" s="133">
        <f>IFERROR(__xludf.DUMMYFUNCTION("""COMPUTED_VALUE"""),3.0)</f>
        <v>3</v>
      </c>
      <c r="AN176" s="133" t="str">
        <f>IFERROR(__xludf.DUMMYFUNCTION("""COMPUTED_VALUE"""),"3.5")</f>
        <v>3.5</v>
      </c>
      <c r="AO176" s="133">
        <f>IFERROR(__xludf.DUMMYFUNCTION("""COMPUTED_VALUE"""),3.0)</f>
        <v>3</v>
      </c>
      <c r="AP176" s="155" t="s">
        <v>2461</v>
      </c>
    </row>
    <row r="177">
      <c r="A177" s="555">
        <f>IFERROR(__xludf.DUMMYFUNCTION("""COMPUTED_VALUE"""),173.0)</f>
        <v>173</v>
      </c>
      <c r="B177" s="555" t="str">
        <f>IFERROR(__xludf.DUMMYFUNCTION("""COMPUTED_VALUE"""),"shcu23cs@cmrit.ac.in")</f>
        <v>shcu23cs@cmrit.ac.in</v>
      </c>
      <c r="C177" s="172" t="str">
        <f>IFERROR(__xludf.DUMMYFUNCTION("""COMPUTED_VALUE"""),"Shree Nikhitha Cugati")</f>
        <v>Shree Nikhitha Cugati</v>
      </c>
      <c r="D177" s="261" t="str">
        <f>IFERROR(__xludf.DUMMYFUNCTION("""COMPUTED_VALUE"""),"1CR23CS181")</f>
        <v>1CR23CS181</v>
      </c>
      <c r="E177" s="563">
        <f>IFERROR(__xludf.DUMMYFUNCTION("""COMPUTED_VALUE"""),7.975151683E9)</f>
        <v>7975151683</v>
      </c>
      <c r="F177" s="155" t="str">
        <f>IFERROR(__xludf.DUMMYFUNCTION("""COMPUTED_VALUE"""),"CSE")</f>
        <v>CSE</v>
      </c>
      <c r="G177" s="158"/>
      <c r="H177" s="559">
        <f>IFERROR(__xludf.DUMMYFUNCTION("""COMPUTED_VALUE"""),78.0)</f>
        <v>78</v>
      </c>
      <c r="I177" s="559">
        <f>IFERROR(__xludf.DUMMYFUNCTION("""COMPUTED_VALUE"""),82.0)</f>
        <v>82</v>
      </c>
      <c r="J177" s="559">
        <f>IFERROR(__xludf.DUMMYFUNCTION("""COMPUTED_VALUE"""),76.0)</f>
        <v>76</v>
      </c>
      <c r="K177" s="559">
        <f>IFERROR(__xludf.DUMMYFUNCTION("""COMPUTED_VALUE"""),70.0)</f>
        <v>70</v>
      </c>
      <c r="L177" s="560">
        <f>IFERROR(__xludf.DUMMYFUNCTION("""COMPUTED_VALUE"""),60.0)</f>
        <v>60</v>
      </c>
      <c r="M177" s="561">
        <f>IFERROR(__xludf.DUMMYFUNCTION("""COMPUTED_VALUE"""),50.0)</f>
        <v>50</v>
      </c>
      <c r="N177" s="561">
        <f>IFERROR(__xludf.DUMMYFUNCTION("""COMPUTED_VALUE"""),50.0)</f>
        <v>50</v>
      </c>
      <c r="O177" s="560"/>
      <c r="P177" s="562">
        <f>IFERROR(__xludf.DUMMYFUNCTION("""COMPUTED_VALUE"""),80.0)</f>
        <v>80</v>
      </c>
      <c r="Q177" s="562">
        <f>IFERROR(__xludf.DUMMYFUNCTION("""COMPUTED_VALUE"""),58.0)</f>
        <v>58</v>
      </c>
      <c r="R177" s="562">
        <f>IFERROR(__xludf.DUMMYFUNCTION("""COMPUTED_VALUE"""),84.0)</f>
        <v>84</v>
      </c>
      <c r="S177" s="562"/>
      <c r="T177" s="217">
        <f>IFERROR(__xludf.DUMMYFUNCTION("""COMPUTED_VALUE"""),22.0)</f>
        <v>22</v>
      </c>
      <c r="U177" s="217">
        <f>IFERROR(__xludf.DUMMYFUNCTION("""COMPUTED_VALUE"""),19.0)</f>
        <v>19</v>
      </c>
      <c r="V177" s="217">
        <f>IFERROR(__xludf.DUMMYFUNCTION("""COMPUTED_VALUE"""),76.0)</f>
        <v>76</v>
      </c>
      <c r="W177" s="217">
        <f>IFERROR(__xludf.DUMMYFUNCTION("""COMPUTED_VALUE"""),44.0)</f>
        <v>44</v>
      </c>
      <c r="X177" s="217">
        <f>IFERROR(__xludf.DUMMYFUNCTION("""COMPUTED_VALUE"""),86.0)</f>
        <v>86</v>
      </c>
      <c r="Y177" s="217"/>
      <c r="Z177" s="217"/>
      <c r="AA177" s="481">
        <f>IFERROR(__xludf.DUMMYFUNCTION("""COMPUTED_VALUE"""),80.0)</f>
        <v>80</v>
      </c>
      <c r="AB177" s="481">
        <f>IFERROR(__xludf.DUMMYFUNCTION("""COMPUTED_VALUE"""),88.75)</f>
        <v>88.75</v>
      </c>
      <c r="AC177" s="481">
        <f>IFERROR(__xludf.DUMMYFUNCTION("""COMPUTED_VALUE"""),90.0)</f>
        <v>90</v>
      </c>
      <c r="AD177" s="481">
        <f>IFERROR(__xludf.DUMMYFUNCTION("""COMPUTED_VALUE"""),100.0)</f>
        <v>100</v>
      </c>
      <c r="AE177" s="481">
        <f>IFERROR(__xludf.DUMMYFUNCTION("""COMPUTED_VALUE"""),70.0)</f>
        <v>70</v>
      </c>
      <c r="AF177" s="481"/>
      <c r="AG177" s="481">
        <f>IFERROR(__xludf.DUMMYFUNCTION("""COMPUTED_VALUE"""),71.0)</f>
        <v>71</v>
      </c>
      <c r="AH177" s="481"/>
      <c r="AI177" s="158"/>
      <c r="AJ177" s="158"/>
      <c r="AK177" s="133">
        <f>IFERROR(__xludf.DUMMYFUNCTION("""COMPUTED_VALUE"""),4.0)</f>
        <v>4</v>
      </c>
      <c r="AL177" s="133">
        <f>IFERROR(__xludf.DUMMYFUNCTION("""COMPUTED_VALUE"""),3.0)</f>
        <v>3</v>
      </c>
      <c r="AM177" s="133">
        <f>IFERROR(__xludf.DUMMYFUNCTION("""COMPUTED_VALUE"""),2.0)</f>
        <v>2</v>
      </c>
      <c r="AN177" s="133" t="str">
        <f>IFERROR(__xludf.DUMMYFUNCTION("""COMPUTED_VALUE"""),"3.5")</f>
        <v>3.5</v>
      </c>
      <c r="AO177" s="133">
        <f>IFERROR(__xludf.DUMMYFUNCTION("""COMPUTED_VALUE"""),3.0)</f>
        <v>3</v>
      </c>
      <c r="AP177" s="155" t="s">
        <v>2461</v>
      </c>
    </row>
    <row r="178">
      <c r="A178" s="555">
        <f>IFERROR(__xludf.DUMMYFUNCTION("""COMPUTED_VALUE"""),174.0)</f>
        <v>174</v>
      </c>
      <c r="B178" s="555" t="str">
        <f>IFERROR(__xludf.DUMMYFUNCTION("""COMPUTED_VALUE"""),"shgu23cs@cmrit.ac.in")</f>
        <v>shgu23cs@cmrit.ac.in</v>
      </c>
      <c r="C178" s="172" t="str">
        <f>IFERROR(__xludf.DUMMYFUNCTION("""COMPUTED_VALUE"""),"SHREYA GURAJALA")</f>
        <v>SHREYA GURAJALA</v>
      </c>
      <c r="D178" s="261" t="str">
        <f>IFERROR(__xludf.DUMMYFUNCTION("""COMPUTED_VALUE"""),"1CR23CS182")</f>
        <v>1CR23CS182</v>
      </c>
      <c r="E178" s="563">
        <f>IFERROR(__xludf.DUMMYFUNCTION("""COMPUTED_VALUE"""),7.4116077E9)</f>
        <v>7411607700</v>
      </c>
      <c r="F178" s="155" t="str">
        <f>IFERROR(__xludf.DUMMYFUNCTION("""COMPUTED_VALUE"""),"CSE")</f>
        <v>CSE</v>
      </c>
      <c r="G178" s="158"/>
      <c r="H178" s="559">
        <f>IFERROR(__xludf.DUMMYFUNCTION("""COMPUTED_VALUE"""),77.0)</f>
        <v>77</v>
      </c>
      <c r="I178" s="559">
        <f>IFERROR(__xludf.DUMMYFUNCTION("""COMPUTED_VALUE"""),83.0)</f>
        <v>83</v>
      </c>
      <c r="J178" s="559">
        <f>IFERROR(__xludf.DUMMYFUNCTION("""COMPUTED_VALUE"""),72.0)</f>
        <v>72</v>
      </c>
      <c r="K178" s="559">
        <f>IFERROR(__xludf.DUMMYFUNCTION("""COMPUTED_VALUE"""),79.0)</f>
        <v>79</v>
      </c>
      <c r="L178" s="560">
        <f>IFERROR(__xludf.DUMMYFUNCTION("""COMPUTED_VALUE"""),50.0)</f>
        <v>50</v>
      </c>
      <c r="M178" s="561">
        <f>IFERROR(__xludf.DUMMYFUNCTION("""COMPUTED_VALUE"""),23.0)</f>
        <v>23</v>
      </c>
      <c r="N178" s="561">
        <f>IFERROR(__xludf.DUMMYFUNCTION("""COMPUTED_VALUE"""),29.0)</f>
        <v>29</v>
      </c>
      <c r="O178" s="560"/>
      <c r="P178" s="562">
        <f>IFERROR(__xludf.DUMMYFUNCTION("""COMPUTED_VALUE"""),77.0)</f>
        <v>77</v>
      </c>
      <c r="Q178" s="562">
        <f>IFERROR(__xludf.DUMMYFUNCTION("""COMPUTED_VALUE"""),54.0)</f>
        <v>54</v>
      </c>
      <c r="R178" s="562">
        <f>IFERROR(__xludf.DUMMYFUNCTION("""COMPUTED_VALUE"""),86.0)</f>
        <v>86</v>
      </c>
      <c r="S178" s="562"/>
      <c r="T178" s="217">
        <f>IFERROR(__xludf.DUMMYFUNCTION("""COMPUTED_VALUE"""),19.0)</f>
        <v>19</v>
      </c>
      <c r="U178" s="217">
        <f>IFERROR(__xludf.DUMMYFUNCTION("""COMPUTED_VALUE"""),22.0)</f>
        <v>22</v>
      </c>
      <c r="V178" s="217">
        <f>IFERROR(__xludf.DUMMYFUNCTION("""COMPUTED_VALUE"""),60.0)</f>
        <v>60</v>
      </c>
      <c r="W178" s="217">
        <f>IFERROR(__xludf.DUMMYFUNCTION("""COMPUTED_VALUE"""),32.0)</f>
        <v>32</v>
      </c>
      <c r="X178" s="217">
        <f>IFERROR(__xludf.DUMMYFUNCTION("""COMPUTED_VALUE"""),70.0)</f>
        <v>70</v>
      </c>
      <c r="Y178" s="217"/>
      <c r="Z178" s="217"/>
      <c r="AA178" s="481">
        <f>IFERROR(__xludf.DUMMYFUNCTION("""COMPUTED_VALUE"""),96.0)</f>
        <v>96</v>
      </c>
      <c r="AB178" s="481">
        <f>IFERROR(__xludf.DUMMYFUNCTION("""COMPUTED_VALUE"""),78.0)</f>
        <v>78</v>
      </c>
      <c r="AC178" s="481">
        <f>IFERROR(__xludf.DUMMYFUNCTION("""COMPUTED_VALUE"""),48.5)</f>
        <v>48.5</v>
      </c>
      <c r="AD178" s="481">
        <f>IFERROR(__xludf.DUMMYFUNCTION("""COMPUTED_VALUE"""),60.0)</f>
        <v>60</v>
      </c>
      <c r="AE178" s="481">
        <f>IFERROR(__xludf.DUMMYFUNCTION("""COMPUTED_VALUE"""),70.0)</f>
        <v>70</v>
      </c>
      <c r="AF178" s="481"/>
      <c r="AG178" s="481">
        <f>IFERROR(__xludf.DUMMYFUNCTION("""COMPUTED_VALUE"""),57.0)</f>
        <v>57</v>
      </c>
      <c r="AH178" s="481"/>
      <c r="AI178" s="158"/>
      <c r="AJ178" s="158"/>
      <c r="AK178" s="133">
        <f>IFERROR(__xludf.DUMMYFUNCTION("""COMPUTED_VALUE"""),4.0)</f>
        <v>4</v>
      </c>
      <c r="AL178" s="133">
        <f>IFERROR(__xludf.DUMMYFUNCTION("""COMPUTED_VALUE"""),1.0)</f>
        <v>1</v>
      </c>
      <c r="AM178" s="133">
        <f>IFERROR(__xludf.DUMMYFUNCTION("""COMPUTED_VALUE"""),2.0)</f>
        <v>2</v>
      </c>
      <c r="AN178" s="133" t="str">
        <f>IFERROR(__xludf.DUMMYFUNCTION("""COMPUTED_VALUE"""),"3.5")</f>
        <v>3.5</v>
      </c>
      <c r="AO178" s="133">
        <f>IFERROR(__xludf.DUMMYFUNCTION("""COMPUTED_VALUE"""),3.0)</f>
        <v>3</v>
      </c>
      <c r="AP178" s="155" t="s">
        <v>2461</v>
      </c>
    </row>
    <row r="179">
      <c r="A179" s="555">
        <f>IFERROR(__xludf.DUMMYFUNCTION("""COMPUTED_VALUE"""),175.0)</f>
        <v>175</v>
      </c>
      <c r="B179" s="555" t="str">
        <f>IFERROR(__xludf.DUMMYFUNCTION("""COMPUTED_VALUE"""),"shgk23cs@cmrit.ac.in")</f>
        <v>shgk23cs@cmrit.ac.in</v>
      </c>
      <c r="C179" s="172" t="str">
        <f>IFERROR(__xludf.DUMMYFUNCTION("""COMPUTED_VALUE"""),"Shreyas S")</f>
        <v>Shreyas S</v>
      </c>
      <c r="D179" s="261" t="str">
        <f>IFERROR(__xludf.DUMMYFUNCTION("""COMPUTED_VALUE"""),"1CR23CS183")</f>
        <v>1CR23CS183</v>
      </c>
      <c r="E179" s="563">
        <f>IFERROR(__xludf.DUMMYFUNCTION("""COMPUTED_VALUE"""),9.740779219E9)</f>
        <v>9740779219</v>
      </c>
      <c r="F179" s="155" t="str">
        <f>IFERROR(__xludf.DUMMYFUNCTION("""COMPUTED_VALUE"""),"CSE")</f>
        <v>CSE</v>
      </c>
      <c r="G179" s="158"/>
      <c r="H179" s="559">
        <f>IFERROR(__xludf.DUMMYFUNCTION("""COMPUTED_VALUE"""),80.0)</f>
        <v>80</v>
      </c>
      <c r="I179" s="559">
        <f>IFERROR(__xludf.DUMMYFUNCTION("""COMPUTED_VALUE"""),74.0)</f>
        <v>74</v>
      </c>
      <c r="J179" s="559">
        <f>IFERROR(__xludf.DUMMYFUNCTION("""COMPUTED_VALUE"""),70.0)</f>
        <v>70</v>
      </c>
      <c r="K179" s="559">
        <f>IFERROR(__xludf.DUMMYFUNCTION("""COMPUTED_VALUE"""),80.0)</f>
        <v>80</v>
      </c>
      <c r="L179" s="560">
        <f>IFERROR(__xludf.DUMMYFUNCTION("""COMPUTED_VALUE"""),52.0)</f>
        <v>52</v>
      </c>
      <c r="M179" s="561">
        <f>IFERROR(__xludf.DUMMYFUNCTION("""COMPUTED_VALUE"""),50.0)</f>
        <v>50</v>
      </c>
      <c r="N179" s="561">
        <f>IFERROR(__xludf.DUMMYFUNCTION("""COMPUTED_VALUE"""),50.0)</f>
        <v>50</v>
      </c>
      <c r="O179" s="560"/>
      <c r="P179" s="562">
        <f>IFERROR(__xludf.DUMMYFUNCTION("""COMPUTED_VALUE"""),50.0)</f>
        <v>50</v>
      </c>
      <c r="Q179" s="562">
        <f>IFERROR(__xludf.DUMMYFUNCTION("""COMPUTED_VALUE"""),50.0)</f>
        <v>50</v>
      </c>
      <c r="R179" s="562">
        <f>IFERROR(__xludf.DUMMYFUNCTION("""COMPUTED_VALUE"""),76.0)</f>
        <v>76</v>
      </c>
      <c r="S179" s="562"/>
      <c r="T179" s="217">
        <f>IFERROR(__xludf.DUMMYFUNCTION("""COMPUTED_VALUE"""),13.0)</f>
        <v>13</v>
      </c>
      <c r="U179" s="217">
        <f>IFERROR(__xludf.DUMMYFUNCTION("""COMPUTED_VALUE"""),22.0)</f>
        <v>22</v>
      </c>
      <c r="V179" s="217">
        <f>IFERROR(__xludf.DUMMYFUNCTION("""COMPUTED_VALUE"""),68.0)</f>
        <v>68</v>
      </c>
      <c r="W179" s="217">
        <f>IFERROR(__xludf.DUMMYFUNCTION("""COMPUTED_VALUE"""),36.0)</f>
        <v>36</v>
      </c>
      <c r="X179" s="217">
        <f>IFERROR(__xludf.DUMMYFUNCTION("""COMPUTED_VALUE"""),72.0)</f>
        <v>72</v>
      </c>
      <c r="Y179" s="217"/>
      <c r="Z179" s="217"/>
      <c r="AA179" s="481">
        <f>IFERROR(__xludf.DUMMYFUNCTION("""COMPUTED_VALUE"""),100.0)</f>
        <v>100</v>
      </c>
      <c r="AB179" s="481">
        <f>IFERROR(__xludf.DUMMYFUNCTION("""COMPUTED_VALUE"""),88.75)</f>
        <v>88.75</v>
      </c>
      <c r="AC179" s="481">
        <f>IFERROR(__xludf.DUMMYFUNCTION("""COMPUTED_VALUE"""),73.0)</f>
        <v>73</v>
      </c>
      <c r="AD179" s="481">
        <f>IFERROR(__xludf.DUMMYFUNCTION("""COMPUTED_VALUE"""),60.0)</f>
        <v>60</v>
      </c>
      <c r="AE179" s="481">
        <f>IFERROR(__xludf.DUMMYFUNCTION("""COMPUTED_VALUE"""),91.0)</f>
        <v>91</v>
      </c>
      <c r="AF179" s="481"/>
      <c r="AG179" s="481">
        <f>IFERROR(__xludf.DUMMYFUNCTION("""COMPUTED_VALUE"""),36.0)</f>
        <v>36</v>
      </c>
      <c r="AH179" s="481"/>
      <c r="AI179" s="158"/>
      <c r="AJ179" s="158"/>
      <c r="AK179" s="133">
        <f>IFERROR(__xludf.DUMMYFUNCTION("""COMPUTED_VALUE"""),4.0)</f>
        <v>4</v>
      </c>
      <c r="AL179" s="133">
        <f>IFERROR(__xludf.DUMMYFUNCTION("""COMPUTED_VALUE"""),3.0)</f>
        <v>3</v>
      </c>
      <c r="AM179" s="133">
        <f>IFERROR(__xludf.DUMMYFUNCTION("""COMPUTED_VALUE"""),2.0)</f>
        <v>2</v>
      </c>
      <c r="AN179" s="133" t="str">
        <f>IFERROR(__xludf.DUMMYFUNCTION("""COMPUTED_VALUE"""),"3.5")</f>
        <v>3.5</v>
      </c>
      <c r="AO179" s="133">
        <f>IFERROR(__xludf.DUMMYFUNCTION("""COMPUTED_VALUE"""),3.0)</f>
        <v>3</v>
      </c>
      <c r="AP179" s="155" t="s">
        <v>2461</v>
      </c>
    </row>
    <row r="180">
      <c r="A180" s="555">
        <f>IFERROR(__xludf.DUMMYFUNCTION("""COMPUTED_VALUE"""),176.0)</f>
        <v>176</v>
      </c>
      <c r="B180" s="555" t="str">
        <f>IFERROR(__xludf.DUMMYFUNCTION("""COMPUTED_VALUE"""),"sh23cs@cmrit.ac.in")</f>
        <v>sh23cs@cmrit.ac.in</v>
      </c>
      <c r="C180" s="172" t="str">
        <f>IFERROR(__xludf.DUMMYFUNCTION("""COMPUTED_VALUE"""),"SHRINIDHI")</f>
        <v>SHRINIDHI</v>
      </c>
      <c r="D180" s="261" t="str">
        <f>IFERROR(__xludf.DUMMYFUNCTION("""COMPUTED_VALUE"""),"1CR23CS184")</f>
        <v>1CR23CS184</v>
      </c>
      <c r="E180" s="563">
        <f>IFERROR(__xludf.DUMMYFUNCTION("""COMPUTED_VALUE"""),9.480608248E9)</f>
        <v>9480608248</v>
      </c>
      <c r="F180" s="155" t="str">
        <f>IFERROR(__xludf.DUMMYFUNCTION("""COMPUTED_VALUE"""),"CSE")</f>
        <v>CSE</v>
      </c>
      <c r="G180" s="158"/>
      <c r="H180" s="559">
        <f>IFERROR(__xludf.DUMMYFUNCTION("""COMPUTED_VALUE"""),83.0)</f>
        <v>83</v>
      </c>
      <c r="I180" s="559">
        <f>IFERROR(__xludf.DUMMYFUNCTION("""COMPUTED_VALUE"""),83.0)</f>
        <v>83</v>
      </c>
      <c r="J180" s="559">
        <f>IFERROR(__xludf.DUMMYFUNCTION("""COMPUTED_VALUE"""),71.0)</f>
        <v>71</v>
      </c>
      <c r="K180" s="559">
        <f>IFERROR(__xludf.DUMMYFUNCTION("""COMPUTED_VALUE"""),70.0)</f>
        <v>70</v>
      </c>
      <c r="L180" s="560">
        <f>IFERROR(__xludf.DUMMYFUNCTION("""COMPUTED_VALUE"""),75.0)</f>
        <v>75</v>
      </c>
      <c r="M180" s="561">
        <f>IFERROR(__xludf.DUMMYFUNCTION("""COMPUTED_VALUE"""),50.0)</f>
        <v>50</v>
      </c>
      <c r="N180" s="561">
        <f>IFERROR(__xludf.DUMMYFUNCTION("""COMPUTED_VALUE"""),50.0)</f>
        <v>50</v>
      </c>
      <c r="O180" s="560"/>
      <c r="P180" s="562">
        <f>IFERROR(__xludf.DUMMYFUNCTION("""COMPUTED_VALUE"""),77.0)</f>
        <v>77</v>
      </c>
      <c r="Q180" s="562">
        <f>IFERROR(__xludf.DUMMYFUNCTION("""COMPUTED_VALUE"""),50.0)</f>
        <v>50</v>
      </c>
      <c r="R180" s="562">
        <f>IFERROR(__xludf.DUMMYFUNCTION("""COMPUTED_VALUE"""),76.0)</f>
        <v>76</v>
      </c>
      <c r="S180" s="562"/>
      <c r="T180" s="217">
        <f>IFERROR(__xludf.DUMMYFUNCTION("""COMPUTED_VALUE"""),14.0)</f>
        <v>14</v>
      </c>
      <c r="U180" s="217">
        <f>IFERROR(__xludf.DUMMYFUNCTION("""COMPUTED_VALUE"""),18.0)</f>
        <v>18</v>
      </c>
      <c r="V180" s="217">
        <f>IFERROR(__xludf.DUMMYFUNCTION("""COMPUTED_VALUE"""),84.0)</f>
        <v>84</v>
      </c>
      <c r="W180" s="217">
        <f>IFERROR(__xludf.DUMMYFUNCTION("""COMPUTED_VALUE"""),40.0)</f>
        <v>40</v>
      </c>
      <c r="X180" s="217">
        <f>IFERROR(__xludf.DUMMYFUNCTION("""COMPUTED_VALUE"""),80.0)</f>
        <v>80</v>
      </c>
      <c r="Y180" s="217"/>
      <c r="Z180" s="217"/>
      <c r="AA180" s="481">
        <f>IFERROR(__xludf.DUMMYFUNCTION("""COMPUTED_VALUE"""),36.0)</f>
        <v>36</v>
      </c>
      <c r="AB180" s="481">
        <f>IFERROR(__xludf.DUMMYFUNCTION("""COMPUTED_VALUE"""),80.0)</f>
        <v>80</v>
      </c>
      <c r="AC180" s="481">
        <f>IFERROR(__xludf.DUMMYFUNCTION("""COMPUTED_VALUE"""),82.5)</f>
        <v>82.5</v>
      </c>
      <c r="AD180" s="481">
        <f>IFERROR(__xludf.DUMMYFUNCTION("""COMPUTED_VALUE"""),60.0)</f>
        <v>60</v>
      </c>
      <c r="AE180" s="481">
        <f>IFERROR(__xludf.DUMMYFUNCTION("""COMPUTED_VALUE"""),80.0)</f>
        <v>80</v>
      </c>
      <c r="AF180" s="481"/>
      <c r="AG180" s="481">
        <f>IFERROR(__xludf.DUMMYFUNCTION("""COMPUTED_VALUE"""),72.0)</f>
        <v>72</v>
      </c>
      <c r="AH180" s="481"/>
      <c r="AI180" s="158"/>
      <c r="AJ180" s="158"/>
      <c r="AK180" s="133">
        <f>IFERROR(__xludf.DUMMYFUNCTION("""COMPUTED_VALUE"""),4.0)</f>
        <v>4</v>
      </c>
      <c r="AL180" s="133">
        <f>IFERROR(__xludf.DUMMYFUNCTION("""COMPUTED_VALUE"""),3.0)</f>
        <v>3</v>
      </c>
      <c r="AM180" s="133">
        <f>IFERROR(__xludf.DUMMYFUNCTION("""COMPUTED_VALUE"""),2.0)</f>
        <v>2</v>
      </c>
      <c r="AN180" s="133" t="str">
        <f>IFERROR(__xludf.DUMMYFUNCTION("""COMPUTED_VALUE"""),"3.5")</f>
        <v>3.5</v>
      </c>
      <c r="AO180" s="133">
        <f>IFERROR(__xludf.DUMMYFUNCTION("""COMPUTED_VALUE"""),3.0)</f>
        <v>3</v>
      </c>
      <c r="AP180" s="155" t="s">
        <v>2461</v>
      </c>
    </row>
    <row r="181">
      <c r="A181" s="555">
        <f>IFERROR(__xludf.DUMMYFUNCTION("""COMPUTED_VALUE"""),177.0)</f>
        <v>177</v>
      </c>
      <c r="B181" s="555" t="str">
        <f>IFERROR(__xludf.DUMMYFUNCTION("""COMPUTED_VALUE"""),"sish23cs@cmrit.ac.in")</f>
        <v>sish23cs@cmrit.ac.in</v>
      </c>
      <c r="C181" s="172" t="str">
        <f>IFERROR(__xludf.DUMMYFUNCTION("""COMPUTED_VALUE"""),"Shrutee Singh")</f>
        <v>Shrutee Singh</v>
      </c>
      <c r="D181" s="261" t="str">
        <f>IFERROR(__xludf.DUMMYFUNCTION("""COMPUTED_VALUE"""),"1CR23CS185")</f>
        <v>1CR23CS185</v>
      </c>
      <c r="E181" s="563">
        <f>IFERROR(__xludf.DUMMYFUNCTION("""COMPUTED_VALUE"""),8.709219101E9)</f>
        <v>8709219101</v>
      </c>
      <c r="F181" s="155" t="str">
        <f>IFERROR(__xludf.DUMMYFUNCTION("""COMPUTED_VALUE"""),"CSE")</f>
        <v>CSE</v>
      </c>
      <c r="G181" s="158"/>
      <c r="H181" s="559">
        <f>IFERROR(__xludf.DUMMYFUNCTION("""COMPUTED_VALUE"""),76.0)</f>
        <v>76</v>
      </c>
      <c r="I181" s="559">
        <f>IFERROR(__xludf.DUMMYFUNCTION("""COMPUTED_VALUE"""),82.0)</f>
        <v>82</v>
      </c>
      <c r="J181" s="559">
        <f>IFERROR(__xludf.DUMMYFUNCTION("""COMPUTED_VALUE"""),70.0)</f>
        <v>70</v>
      </c>
      <c r="K181" s="559">
        <f>IFERROR(__xludf.DUMMYFUNCTION("""COMPUTED_VALUE"""),75.0)</f>
        <v>75</v>
      </c>
      <c r="L181" s="560">
        <f>IFERROR(__xludf.DUMMYFUNCTION("""COMPUTED_VALUE"""),34.0)</f>
        <v>34</v>
      </c>
      <c r="M181" s="561">
        <f>IFERROR(__xludf.DUMMYFUNCTION("""COMPUTED_VALUE"""),50.0)</f>
        <v>50</v>
      </c>
      <c r="N181" s="561">
        <f>IFERROR(__xludf.DUMMYFUNCTION("""COMPUTED_VALUE"""),50.0)</f>
        <v>50</v>
      </c>
      <c r="O181" s="560"/>
      <c r="P181" s="562">
        <f>IFERROR(__xludf.DUMMYFUNCTION("""COMPUTED_VALUE"""),81.0)</f>
        <v>81</v>
      </c>
      <c r="Q181" s="562">
        <f>IFERROR(__xludf.DUMMYFUNCTION("""COMPUTED_VALUE"""),73.0)</f>
        <v>73</v>
      </c>
      <c r="R181" s="562">
        <f>IFERROR(__xludf.DUMMYFUNCTION("""COMPUTED_VALUE"""),79.0)</f>
        <v>79</v>
      </c>
      <c r="S181" s="562"/>
      <c r="T181" s="217">
        <f>IFERROR(__xludf.DUMMYFUNCTION("""COMPUTED_VALUE"""),21.0)</f>
        <v>21</v>
      </c>
      <c r="U181" s="217">
        <f>IFERROR(__xludf.DUMMYFUNCTION("""COMPUTED_VALUE"""),22.0)</f>
        <v>22</v>
      </c>
      <c r="V181" s="217">
        <f>IFERROR(__xludf.DUMMYFUNCTION("""COMPUTED_VALUE"""),52.0)</f>
        <v>52</v>
      </c>
      <c r="W181" s="217">
        <f>IFERROR(__xludf.DUMMYFUNCTION("""COMPUTED_VALUE"""),48.0)</f>
        <v>48</v>
      </c>
      <c r="X181" s="217">
        <f>IFERROR(__xludf.DUMMYFUNCTION("""COMPUTED_VALUE"""),84.0)</f>
        <v>84</v>
      </c>
      <c r="Y181" s="217"/>
      <c r="Z181" s="217"/>
      <c r="AA181" s="481">
        <f>IFERROR(__xludf.DUMMYFUNCTION("""COMPUTED_VALUE"""),66.0)</f>
        <v>66</v>
      </c>
      <c r="AB181" s="481">
        <f>IFERROR(__xludf.DUMMYFUNCTION("""COMPUTED_VALUE"""),71.25)</f>
        <v>71.25</v>
      </c>
      <c r="AC181" s="481">
        <f>IFERROR(__xludf.DUMMYFUNCTION("""COMPUTED_VALUE"""),78.5)</f>
        <v>78.5</v>
      </c>
      <c r="AD181" s="481">
        <f>IFERROR(__xludf.DUMMYFUNCTION("""COMPUTED_VALUE"""),100.0)</f>
        <v>100</v>
      </c>
      <c r="AE181" s="481">
        <f>IFERROR(__xludf.DUMMYFUNCTION("""COMPUTED_VALUE"""),74.0)</f>
        <v>74</v>
      </c>
      <c r="AF181" s="481"/>
      <c r="AG181" s="481">
        <f>IFERROR(__xludf.DUMMYFUNCTION("""COMPUTED_VALUE"""),72.0)</f>
        <v>72</v>
      </c>
      <c r="AH181" s="481"/>
      <c r="AI181" s="158"/>
      <c r="AJ181" s="158"/>
      <c r="AK181" s="133">
        <f>IFERROR(__xludf.DUMMYFUNCTION("""COMPUTED_VALUE"""),4.0)</f>
        <v>4</v>
      </c>
      <c r="AL181" s="133">
        <f>IFERROR(__xludf.DUMMYFUNCTION("""COMPUTED_VALUE"""),0.0)</f>
        <v>0</v>
      </c>
      <c r="AM181" s="133">
        <f>IFERROR(__xludf.DUMMYFUNCTION("""COMPUTED_VALUE"""),2.0)</f>
        <v>2</v>
      </c>
      <c r="AN181" s="133" t="str">
        <f>IFERROR(__xludf.DUMMYFUNCTION("""COMPUTED_VALUE"""),"3.5")</f>
        <v>3.5</v>
      </c>
      <c r="AO181" s="133">
        <f>IFERROR(__xludf.DUMMYFUNCTION("""COMPUTED_VALUE"""),3.0)</f>
        <v>3</v>
      </c>
      <c r="AP181" s="155" t="s">
        <v>2461</v>
      </c>
    </row>
    <row r="182">
      <c r="A182" s="555">
        <f>IFERROR(__xludf.DUMMYFUNCTION("""COMPUTED_VALUE"""),178.0)</f>
        <v>178</v>
      </c>
      <c r="B182" s="555" t="str">
        <f>IFERROR(__xludf.DUMMYFUNCTION("""COMPUTED_VALUE"""),"shga23cs@cmrit.ac.in")</f>
        <v>shga23cs@cmrit.ac.in</v>
      </c>
      <c r="C182" s="172" t="str">
        <f>IFERROR(__xludf.DUMMYFUNCTION("""COMPUTED_VALUE"""),"SHRUTHI GANAPATHY")</f>
        <v>SHRUTHI GANAPATHY</v>
      </c>
      <c r="D182" s="261" t="str">
        <f>IFERROR(__xludf.DUMMYFUNCTION("""COMPUTED_VALUE"""),"1CR23CS186")</f>
        <v>1CR23CS186</v>
      </c>
      <c r="E182" s="563">
        <f>IFERROR(__xludf.DUMMYFUNCTION("""COMPUTED_VALUE"""),7.348908229E9)</f>
        <v>7348908229</v>
      </c>
      <c r="F182" s="155" t="str">
        <f>IFERROR(__xludf.DUMMYFUNCTION("""COMPUTED_VALUE"""),"CSE")</f>
        <v>CSE</v>
      </c>
      <c r="G182" s="158"/>
      <c r="H182" s="559">
        <f>IFERROR(__xludf.DUMMYFUNCTION("""COMPUTED_VALUE"""),84.0)</f>
        <v>84</v>
      </c>
      <c r="I182" s="559">
        <f>IFERROR(__xludf.DUMMYFUNCTION("""COMPUTED_VALUE"""),87.0)</f>
        <v>87</v>
      </c>
      <c r="J182" s="559">
        <f>IFERROR(__xludf.DUMMYFUNCTION("""COMPUTED_VALUE"""),73.0)</f>
        <v>73</v>
      </c>
      <c r="K182" s="559">
        <f>IFERROR(__xludf.DUMMYFUNCTION("""COMPUTED_VALUE"""),77.0)</f>
        <v>77</v>
      </c>
      <c r="L182" s="560">
        <f>IFERROR(__xludf.DUMMYFUNCTION("""COMPUTED_VALUE"""),58.0)</f>
        <v>58</v>
      </c>
      <c r="M182" s="561">
        <f>IFERROR(__xludf.DUMMYFUNCTION("""COMPUTED_VALUE"""),50.0)</f>
        <v>50</v>
      </c>
      <c r="N182" s="561">
        <f>IFERROR(__xludf.DUMMYFUNCTION("""COMPUTED_VALUE"""),50.0)</f>
        <v>50</v>
      </c>
      <c r="O182" s="560"/>
      <c r="P182" s="562">
        <f>IFERROR(__xludf.DUMMYFUNCTION("""COMPUTED_VALUE"""),75.0)</f>
        <v>75</v>
      </c>
      <c r="Q182" s="562">
        <f>IFERROR(__xludf.DUMMYFUNCTION("""COMPUTED_VALUE"""),61.0)</f>
        <v>61</v>
      </c>
      <c r="R182" s="562">
        <f>IFERROR(__xludf.DUMMYFUNCTION("""COMPUTED_VALUE"""),86.0)</f>
        <v>86</v>
      </c>
      <c r="S182" s="562"/>
      <c r="T182" s="217">
        <f>IFERROR(__xludf.DUMMYFUNCTION("""COMPUTED_VALUE"""),20.0)</f>
        <v>20</v>
      </c>
      <c r="U182" s="217">
        <f>IFERROR(__xludf.DUMMYFUNCTION("""COMPUTED_VALUE"""),21.0)</f>
        <v>21</v>
      </c>
      <c r="V182" s="217">
        <f>IFERROR(__xludf.DUMMYFUNCTION("""COMPUTED_VALUE"""),60.0)</f>
        <v>60</v>
      </c>
      <c r="W182" s="217">
        <f>IFERROR(__xludf.DUMMYFUNCTION("""COMPUTED_VALUE"""),44.0)</f>
        <v>44</v>
      </c>
      <c r="X182" s="217">
        <f>IFERROR(__xludf.DUMMYFUNCTION("""COMPUTED_VALUE"""),82.0)</f>
        <v>82</v>
      </c>
      <c r="Y182" s="217"/>
      <c r="Z182" s="217"/>
      <c r="AA182" s="481">
        <f>IFERROR(__xludf.DUMMYFUNCTION("""COMPUTED_VALUE"""),62.0)</f>
        <v>62</v>
      </c>
      <c r="AB182" s="481">
        <f>IFERROR(__xludf.DUMMYFUNCTION("""COMPUTED_VALUE"""),98.0)</f>
        <v>98</v>
      </c>
      <c r="AC182" s="481">
        <f>IFERROR(__xludf.DUMMYFUNCTION("""COMPUTED_VALUE"""),78.5)</f>
        <v>78.5</v>
      </c>
      <c r="AD182" s="481">
        <f>IFERROR(__xludf.DUMMYFUNCTION("""COMPUTED_VALUE"""),100.0)</f>
        <v>100</v>
      </c>
      <c r="AE182" s="481">
        <f>IFERROR(__xludf.DUMMYFUNCTION("""COMPUTED_VALUE"""),70.0)</f>
        <v>70</v>
      </c>
      <c r="AF182" s="481"/>
      <c r="AG182" s="481">
        <f>IFERROR(__xludf.DUMMYFUNCTION("""COMPUTED_VALUE"""),51.0)</f>
        <v>51</v>
      </c>
      <c r="AH182" s="481"/>
      <c r="AI182" s="158"/>
      <c r="AJ182" s="158"/>
      <c r="AK182" s="133">
        <f>IFERROR(__xludf.DUMMYFUNCTION("""COMPUTED_VALUE"""),4.0)</f>
        <v>4</v>
      </c>
      <c r="AL182" s="133">
        <f>IFERROR(__xludf.DUMMYFUNCTION("""COMPUTED_VALUE"""),3.0)</f>
        <v>3</v>
      </c>
      <c r="AM182" s="133">
        <f>IFERROR(__xludf.DUMMYFUNCTION("""COMPUTED_VALUE"""),2.0)</f>
        <v>2</v>
      </c>
      <c r="AN182" s="133" t="str">
        <f>IFERROR(__xludf.DUMMYFUNCTION("""COMPUTED_VALUE"""),"3.5")</f>
        <v>3.5</v>
      </c>
      <c r="AO182" s="133">
        <f>IFERROR(__xludf.DUMMYFUNCTION("""COMPUTED_VALUE"""),3.0)</f>
        <v>3</v>
      </c>
      <c r="AP182" s="155" t="s">
        <v>2461</v>
      </c>
    </row>
    <row r="183">
      <c r="A183" s="555">
        <f>IFERROR(__xludf.DUMMYFUNCTION("""COMPUTED_VALUE"""),179.0)</f>
        <v>179</v>
      </c>
      <c r="B183" s="555" t="str">
        <f>IFERROR(__xludf.DUMMYFUNCTION("""COMPUTED_VALUE"""),"shsh23cs@cmrit.ac.in")</f>
        <v>shsh23cs@cmrit.ac.in</v>
      </c>
      <c r="C183" s="172" t="str">
        <f>IFERROR(__xludf.DUMMYFUNCTION("""COMPUTED_VALUE"""),"SHRUTI SHARMA")</f>
        <v>SHRUTI SHARMA</v>
      </c>
      <c r="D183" s="261" t="str">
        <f>IFERROR(__xludf.DUMMYFUNCTION("""COMPUTED_VALUE"""),"1CR23CS187")</f>
        <v>1CR23CS187</v>
      </c>
      <c r="E183" s="563">
        <f>IFERROR(__xludf.DUMMYFUNCTION("""COMPUTED_VALUE"""),9.304771664E9)</f>
        <v>9304771664</v>
      </c>
      <c r="F183" s="155" t="str">
        <f>IFERROR(__xludf.DUMMYFUNCTION("""COMPUTED_VALUE"""),"CSE")</f>
        <v>CSE</v>
      </c>
      <c r="G183" s="158"/>
      <c r="H183" s="559">
        <f>IFERROR(__xludf.DUMMYFUNCTION("""COMPUTED_VALUE"""),76.0)</f>
        <v>76</v>
      </c>
      <c r="I183" s="559">
        <f>IFERROR(__xludf.DUMMYFUNCTION("""COMPUTED_VALUE"""),74.0)</f>
        <v>74</v>
      </c>
      <c r="J183" s="559">
        <f>IFERROR(__xludf.DUMMYFUNCTION("""COMPUTED_VALUE"""),73.0)</f>
        <v>73</v>
      </c>
      <c r="K183" s="559">
        <f>IFERROR(__xludf.DUMMYFUNCTION("""COMPUTED_VALUE"""),75.0)</f>
        <v>75</v>
      </c>
      <c r="L183" s="560">
        <f>IFERROR(__xludf.DUMMYFUNCTION("""COMPUTED_VALUE"""),63.0)</f>
        <v>63</v>
      </c>
      <c r="M183" s="561">
        <f>IFERROR(__xludf.DUMMYFUNCTION("""COMPUTED_VALUE"""),18.0)</f>
        <v>18</v>
      </c>
      <c r="N183" s="561">
        <f>IFERROR(__xludf.DUMMYFUNCTION("""COMPUTED_VALUE"""),60.0)</f>
        <v>60</v>
      </c>
      <c r="O183" s="560"/>
      <c r="P183" s="562">
        <f>IFERROR(__xludf.DUMMYFUNCTION("""COMPUTED_VALUE"""),71.0)</f>
        <v>71</v>
      </c>
      <c r="Q183" s="562">
        <f>IFERROR(__xludf.DUMMYFUNCTION("""COMPUTED_VALUE"""),84.0)</f>
        <v>84</v>
      </c>
      <c r="R183" s="562">
        <f>IFERROR(__xludf.DUMMYFUNCTION("""COMPUTED_VALUE"""),88.0)</f>
        <v>88</v>
      </c>
      <c r="S183" s="562"/>
      <c r="T183" s="217">
        <f>IFERROR(__xludf.DUMMYFUNCTION("""COMPUTED_VALUE"""),13.0)</f>
        <v>13</v>
      </c>
      <c r="U183" s="217">
        <f>IFERROR(__xludf.DUMMYFUNCTION("""COMPUTED_VALUE"""),19.0)</f>
        <v>19</v>
      </c>
      <c r="V183" s="217">
        <f>IFERROR(__xludf.DUMMYFUNCTION("""COMPUTED_VALUE"""),60.0)</f>
        <v>60</v>
      </c>
      <c r="W183" s="217">
        <f>IFERROR(__xludf.DUMMYFUNCTION("""COMPUTED_VALUE"""),60.0)</f>
        <v>60</v>
      </c>
      <c r="X183" s="217">
        <f>IFERROR(__xludf.DUMMYFUNCTION("""COMPUTED_VALUE"""),62.0)</f>
        <v>62</v>
      </c>
      <c r="Y183" s="217"/>
      <c r="Z183" s="217"/>
      <c r="AA183" s="481">
        <f>IFERROR(__xludf.DUMMYFUNCTION("""COMPUTED_VALUE"""),26.0)</f>
        <v>26</v>
      </c>
      <c r="AB183" s="481">
        <f>IFERROR(__xludf.DUMMYFUNCTION("""COMPUTED_VALUE"""),97.0)</f>
        <v>97</v>
      </c>
      <c r="AC183" s="481">
        <f>IFERROR(__xludf.DUMMYFUNCTION("""COMPUTED_VALUE"""),72.5)</f>
        <v>72.5</v>
      </c>
      <c r="AD183" s="481">
        <f>IFERROR(__xludf.DUMMYFUNCTION("""COMPUTED_VALUE"""),80.0)</f>
        <v>80</v>
      </c>
      <c r="AE183" s="481">
        <f>IFERROR(__xludf.DUMMYFUNCTION("""COMPUTED_VALUE"""),80.0)</f>
        <v>80</v>
      </c>
      <c r="AF183" s="481"/>
      <c r="AG183" s="481">
        <f>IFERROR(__xludf.DUMMYFUNCTION("""COMPUTED_VALUE"""),72.0)</f>
        <v>72</v>
      </c>
      <c r="AH183" s="481"/>
      <c r="AI183" s="158"/>
      <c r="AJ183" s="158"/>
      <c r="AK183" s="133">
        <f>IFERROR(__xludf.DUMMYFUNCTION("""COMPUTED_VALUE"""),4.0)</f>
        <v>4</v>
      </c>
      <c r="AL183" s="133">
        <f>IFERROR(__xludf.DUMMYFUNCTION("""COMPUTED_VALUE"""),1.0)</f>
        <v>1</v>
      </c>
      <c r="AM183" s="133">
        <f>IFERROR(__xludf.DUMMYFUNCTION("""COMPUTED_VALUE"""),3.0)</f>
        <v>3</v>
      </c>
      <c r="AN183" s="133" t="str">
        <f>IFERROR(__xludf.DUMMYFUNCTION("""COMPUTED_VALUE"""),"3.5")</f>
        <v>3.5</v>
      </c>
      <c r="AO183" s="133">
        <f>IFERROR(__xludf.DUMMYFUNCTION("""COMPUTED_VALUE"""),3.0)</f>
        <v>3</v>
      </c>
      <c r="AP183" s="155" t="s">
        <v>2461</v>
      </c>
    </row>
    <row r="184">
      <c r="A184" s="566">
        <f>IFERROR(__xludf.DUMMYFUNCTION("""COMPUTED_VALUE"""),180.0)</f>
        <v>180</v>
      </c>
      <c r="B184" s="566" t="str">
        <f>IFERROR(__xludf.DUMMYFUNCTION("""COMPUTED_VALUE"""),"siba23cs@cmrit.ac.in")</f>
        <v>siba23cs@cmrit.ac.in</v>
      </c>
      <c r="C184" s="172" t="str">
        <f>IFERROR(__xludf.DUMMYFUNCTION("""COMPUTED_VALUE"""),"Siddharth Balamurali")</f>
        <v>Siddharth Balamurali</v>
      </c>
      <c r="D184" s="261" t="str">
        <f>IFERROR(__xludf.DUMMYFUNCTION("""COMPUTED_VALUE"""),"1CR23CS188")</f>
        <v>1CR23CS188</v>
      </c>
      <c r="E184" s="563">
        <f>IFERROR(__xludf.DUMMYFUNCTION("""COMPUTED_VALUE"""),8.792031613E9)</f>
        <v>8792031613</v>
      </c>
      <c r="F184" s="155" t="str">
        <f>IFERROR(__xludf.DUMMYFUNCTION("""COMPUTED_VALUE"""),"CSE")</f>
        <v>CSE</v>
      </c>
      <c r="G184" s="158"/>
      <c r="H184" s="559">
        <f>IFERROR(__xludf.DUMMYFUNCTION("""COMPUTED_VALUE"""),88.0)</f>
        <v>88</v>
      </c>
      <c r="I184" s="559">
        <f>IFERROR(__xludf.DUMMYFUNCTION("""COMPUTED_VALUE"""),88.0)</f>
        <v>88</v>
      </c>
      <c r="J184" s="559">
        <f>IFERROR(__xludf.DUMMYFUNCTION("""COMPUTED_VALUE"""),77.0)</f>
        <v>77</v>
      </c>
      <c r="K184" s="559">
        <f>IFERROR(__xludf.DUMMYFUNCTION("""COMPUTED_VALUE"""),71.0)</f>
        <v>71</v>
      </c>
      <c r="L184" s="560">
        <f>IFERROR(__xludf.DUMMYFUNCTION("""COMPUTED_VALUE"""),56.0)</f>
        <v>56</v>
      </c>
      <c r="M184" s="561">
        <f>IFERROR(__xludf.DUMMYFUNCTION("""COMPUTED_VALUE"""),50.0)</f>
        <v>50</v>
      </c>
      <c r="N184" s="561">
        <f>IFERROR(__xludf.DUMMYFUNCTION("""COMPUTED_VALUE"""),50.0)</f>
        <v>50</v>
      </c>
      <c r="O184" s="560"/>
      <c r="P184" s="562">
        <f>IFERROR(__xludf.DUMMYFUNCTION("""COMPUTED_VALUE"""),70.0)</f>
        <v>70</v>
      </c>
      <c r="Q184" s="562">
        <f>IFERROR(__xludf.DUMMYFUNCTION("""COMPUTED_VALUE"""),65.0)</f>
        <v>65</v>
      </c>
      <c r="R184" s="562">
        <f>IFERROR(__xludf.DUMMYFUNCTION("""COMPUTED_VALUE"""),76.0)</f>
        <v>76</v>
      </c>
      <c r="S184" s="562"/>
      <c r="T184" s="217">
        <f>IFERROR(__xludf.DUMMYFUNCTION("""COMPUTED_VALUE"""),21.0)</f>
        <v>21</v>
      </c>
      <c r="U184" s="217">
        <f>IFERROR(__xludf.DUMMYFUNCTION("""COMPUTED_VALUE"""),19.0)</f>
        <v>19</v>
      </c>
      <c r="V184" s="217">
        <f>IFERROR(__xludf.DUMMYFUNCTION("""COMPUTED_VALUE"""),48.0)</f>
        <v>48</v>
      </c>
      <c r="W184" s="217">
        <f>IFERROR(__xludf.DUMMYFUNCTION("""COMPUTED_VALUE"""),36.0)</f>
        <v>36</v>
      </c>
      <c r="X184" s="217">
        <f>IFERROR(__xludf.DUMMYFUNCTION("""COMPUTED_VALUE"""),58.0)</f>
        <v>58</v>
      </c>
      <c r="Y184" s="217"/>
      <c r="Z184" s="217"/>
      <c r="AA184" s="481">
        <f>IFERROR(__xludf.DUMMYFUNCTION("""COMPUTED_VALUE"""),100.0)</f>
        <v>100</v>
      </c>
      <c r="AB184" s="481">
        <f>IFERROR(__xludf.DUMMYFUNCTION("""COMPUTED_VALUE"""),87.0)</f>
        <v>87</v>
      </c>
      <c r="AC184" s="481">
        <f>IFERROR(__xludf.DUMMYFUNCTION("""COMPUTED_VALUE"""),75.0)</f>
        <v>75</v>
      </c>
      <c r="AD184" s="481">
        <f>IFERROR(__xludf.DUMMYFUNCTION("""COMPUTED_VALUE"""),73.0)</f>
        <v>73</v>
      </c>
      <c r="AE184" s="481">
        <f>IFERROR(__xludf.DUMMYFUNCTION("""COMPUTED_VALUE"""),42.0)</f>
        <v>42</v>
      </c>
      <c r="AF184" s="481"/>
      <c r="AG184" s="481">
        <f>IFERROR(__xludf.DUMMYFUNCTION("""COMPUTED_VALUE"""),33.0)</f>
        <v>33</v>
      </c>
      <c r="AH184" s="481"/>
      <c r="AI184" s="158"/>
      <c r="AJ184" s="158"/>
      <c r="AK184" s="133">
        <f>IFERROR(__xludf.DUMMYFUNCTION("""COMPUTED_VALUE"""),4.0)</f>
        <v>4</v>
      </c>
      <c r="AL184" s="133">
        <f>IFERROR(__xludf.DUMMYFUNCTION("""COMPUTED_VALUE"""),3.0)</f>
        <v>3</v>
      </c>
      <c r="AM184" s="133">
        <f>IFERROR(__xludf.DUMMYFUNCTION("""COMPUTED_VALUE"""),2.0)</f>
        <v>2</v>
      </c>
      <c r="AN184" s="133" t="str">
        <f>IFERROR(__xludf.DUMMYFUNCTION("""COMPUTED_VALUE"""),"3")</f>
        <v>3</v>
      </c>
      <c r="AO184" s="133">
        <f>IFERROR(__xludf.DUMMYFUNCTION("""COMPUTED_VALUE"""),3.0)</f>
        <v>3</v>
      </c>
      <c r="AP184" s="155" t="s">
        <v>2461</v>
      </c>
    </row>
    <row r="185">
      <c r="A185" s="555">
        <f>IFERROR(__xludf.DUMMYFUNCTION("""COMPUTED_VALUE"""),181.0)</f>
        <v>181</v>
      </c>
      <c r="B185" s="555" t="str">
        <f>IFERROR(__xludf.DUMMYFUNCTION("""COMPUTED_VALUE"""),"sira23cs@cmrit.ac.in")</f>
        <v>sira23cs@cmrit.ac.in</v>
      </c>
      <c r="C185" s="172" t="str">
        <f>IFERROR(__xludf.DUMMYFUNCTION("""COMPUTED_VALUE"""),"SIONA RAJ")</f>
        <v>SIONA RAJ</v>
      </c>
      <c r="D185" s="261" t="str">
        <f>IFERROR(__xludf.DUMMYFUNCTION("""COMPUTED_VALUE"""),"1CR23CS189")</f>
        <v>1CR23CS189</v>
      </c>
      <c r="E185" s="563">
        <f>IFERROR(__xludf.DUMMYFUNCTION("""COMPUTED_VALUE"""),6.362733096E9)</f>
        <v>6362733096</v>
      </c>
      <c r="F185" s="155" t="str">
        <f>IFERROR(__xludf.DUMMYFUNCTION("""COMPUTED_VALUE"""),"CSE")</f>
        <v>CSE</v>
      </c>
      <c r="G185" s="158"/>
      <c r="H185" s="559">
        <f>IFERROR(__xludf.DUMMYFUNCTION("""COMPUTED_VALUE"""),86.0)</f>
        <v>86</v>
      </c>
      <c r="I185" s="559">
        <f>IFERROR(__xludf.DUMMYFUNCTION("""COMPUTED_VALUE"""),89.0)</f>
        <v>89</v>
      </c>
      <c r="J185" s="559">
        <f>IFERROR(__xludf.DUMMYFUNCTION("""COMPUTED_VALUE"""),90.0)</f>
        <v>90</v>
      </c>
      <c r="K185" s="559">
        <f>IFERROR(__xludf.DUMMYFUNCTION("""COMPUTED_VALUE"""),78.0)</f>
        <v>78</v>
      </c>
      <c r="L185" s="560">
        <f>IFERROR(__xludf.DUMMYFUNCTION("""COMPUTED_VALUE"""),65.0)</f>
        <v>65</v>
      </c>
      <c r="M185" s="561">
        <f>IFERROR(__xludf.DUMMYFUNCTION("""COMPUTED_VALUE"""),53.0)</f>
        <v>53</v>
      </c>
      <c r="N185" s="561">
        <f>IFERROR(__xludf.DUMMYFUNCTION("""COMPUTED_VALUE"""),50.0)</f>
        <v>50</v>
      </c>
      <c r="O185" s="560"/>
      <c r="P185" s="562">
        <f>IFERROR(__xludf.DUMMYFUNCTION("""COMPUTED_VALUE"""),78.0)</f>
        <v>78</v>
      </c>
      <c r="Q185" s="562">
        <f>IFERROR(__xludf.DUMMYFUNCTION("""COMPUTED_VALUE"""),65.0)</f>
        <v>65</v>
      </c>
      <c r="R185" s="562">
        <f>IFERROR(__xludf.DUMMYFUNCTION("""COMPUTED_VALUE"""),85.0)</f>
        <v>85</v>
      </c>
      <c r="S185" s="562"/>
      <c r="T185" s="217">
        <f>IFERROR(__xludf.DUMMYFUNCTION("""COMPUTED_VALUE"""),24.0)</f>
        <v>24</v>
      </c>
      <c r="U185" s="217">
        <f>IFERROR(__xludf.DUMMYFUNCTION("""COMPUTED_VALUE"""),22.0)</f>
        <v>22</v>
      </c>
      <c r="V185" s="217">
        <f>IFERROR(__xludf.DUMMYFUNCTION("""COMPUTED_VALUE"""),56.0)</f>
        <v>56</v>
      </c>
      <c r="W185" s="217">
        <f>IFERROR(__xludf.DUMMYFUNCTION("""COMPUTED_VALUE"""),56.0)</f>
        <v>56</v>
      </c>
      <c r="X185" s="217">
        <f>IFERROR(__xludf.DUMMYFUNCTION("""COMPUTED_VALUE"""),70.0)</f>
        <v>70</v>
      </c>
      <c r="Y185" s="217"/>
      <c r="Z185" s="217"/>
      <c r="AA185" s="481">
        <f>IFERROR(__xludf.DUMMYFUNCTION("""COMPUTED_VALUE"""),70.0)</f>
        <v>70</v>
      </c>
      <c r="AB185" s="481">
        <f>IFERROR(__xludf.DUMMYFUNCTION("""COMPUTED_VALUE"""),100.0)</f>
        <v>100</v>
      </c>
      <c r="AC185" s="481">
        <f>IFERROR(__xludf.DUMMYFUNCTION("""COMPUTED_VALUE"""),66.0)</f>
        <v>66</v>
      </c>
      <c r="AD185" s="481">
        <f>IFERROR(__xludf.DUMMYFUNCTION("""COMPUTED_VALUE"""),100.0)</f>
        <v>100</v>
      </c>
      <c r="AE185" s="481">
        <f>IFERROR(__xludf.DUMMYFUNCTION("""COMPUTED_VALUE"""),86.0)</f>
        <v>86</v>
      </c>
      <c r="AF185" s="481"/>
      <c r="AG185" s="481">
        <f>IFERROR(__xludf.DUMMYFUNCTION("""COMPUTED_VALUE"""),73.0)</f>
        <v>73</v>
      </c>
      <c r="AH185" s="481"/>
      <c r="AI185" s="158"/>
      <c r="AJ185" s="158"/>
      <c r="AK185" s="133">
        <f>IFERROR(__xludf.DUMMYFUNCTION("""COMPUTED_VALUE"""),4.0)</f>
        <v>4</v>
      </c>
      <c r="AL185" s="133">
        <f>IFERROR(__xludf.DUMMYFUNCTION("""COMPUTED_VALUE"""),3.0)</f>
        <v>3</v>
      </c>
      <c r="AM185" s="133">
        <f>IFERROR(__xludf.DUMMYFUNCTION("""COMPUTED_VALUE"""),3.0)</f>
        <v>3</v>
      </c>
      <c r="AN185" s="133" t="str">
        <f>IFERROR(__xludf.DUMMYFUNCTION("""COMPUTED_VALUE"""),"3.5")</f>
        <v>3.5</v>
      </c>
      <c r="AO185" s="133">
        <f>IFERROR(__xludf.DUMMYFUNCTION("""COMPUTED_VALUE"""),3.0)</f>
        <v>3</v>
      </c>
      <c r="AP185" s="155" t="s">
        <v>2461</v>
      </c>
    </row>
    <row r="186">
      <c r="A186" s="555">
        <f>IFERROR(__xludf.DUMMYFUNCTION("""COMPUTED_VALUE"""),182.0)</f>
        <v>182</v>
      </c>
      <c r="B186" s="555" t="str">
        <f>IFERROR(__xludf.DUMMYFUNCTION("""COMPUTED_VALUE"""),"sob23cs@cmrit.ac.in")</f>
        <v>sob23cs@cmrit.ac.in</v>
      </c>
      <c r="C186" s="172" t="str">
        <f>IFERROR(__xludf.DUMMYFUNCTION("""COMPUTED_VALUE"""),"SOHAN B")</f>
        <v>SOHAN B</v>
      </c>
      <c r="D186" s="261" t="str">
        <f>IFERROR(__xludf.DUMMYFUNCTION("""COMPUTED_VALUE"""),"1CR23CS190")</f>
        <v>1CR23CS190</v>
      </c>
      <c r="E186" s="563">
        <f>IFERROR(__xludf.DUMMYFUNCTION("""COMPUTED_VALUE"""),9.10879515E9)</f>
        <v>9108795150</v>
      </c>
      <c r="F186" s="155" t="str">
        <f>IFERROR(__xludf.DUMMYFUNCTION("""COMPUTED_VALUE"""),"CSE")</f>
        <v>CSE</v>
      </c>
      <c r="G186" s="158"/>
      <c r="H186" s="559">
        <f>IFERROR(__xludf.DUMMYFUNCTION("""COMPUTED_VALUE"""),87.0)</f>
        <v>87</v>
      </c>
      <c r="I186" s="559">
        <f>IFERROR(__xludf.DUMMYFUNCTION("""COMPUTED_VALUE"""),87.0)</f>
        <v>87</v>
      </c>
      <c r="J186" s="559">
        <f>IFERROR(__xludf.DUMMYFUNCTION("""COMPUTED_VALUE"""),77.0)</f>
        <v>77</v>
      </c>
      <c r="K186" s="559">
        <f>IFERROR(__xludf.DUMMYFUNCTION("""COMPUTED_VALUE"""),82.0)</f>
        <v>82</v>
      </c>
      <c r="L186" s="560">
        <f>IFERROR(__xludf.DUMMYFUNCTION("""COMPUTED_VALUE"""),80.0)</f>
        <v>80</v>
      </c>
      <c r="M186" s="561">
        <f>IFERROR(__xludf.DUMMYFUNCTION("""COMPUTED_VALUE"""),61.0)</f>
        <v>61</v>
      </c>
      <c r="N186" s="561">
        <f>IFERROR(__xludf.DUMMYFUNCTION("""COMPUTED_VALUE"""),50.0)</f>
        <v>50</v>
      </c>
      <c r="O186" s="560"/>
      <c r="P186" s="562">
        <f>IFERROR(__xludf.DUMMYFUNCTION("""COMPUTED_VALUE"""),78.0)</f>
        <v>78</v>
      </c>
      <c r="Q186" s="562">
        <f>IFERROR(__xludf.DUMMYFUNCTION("""COMPUTED_VALUE"""),65.0)</f>
        <v>65</v>
      </c>
      <c r="R186" s="562">
        <f>IFERROR(__xludf.DUMMYFUNCTION("""COMPUTED_VALUE"""),71.0)</f>
        <v>71</v>
      </c>
      <c r="S186" s="562"/>
      <c r="T186" s="217">
        <f>IFERROR(__xludf.DUMMYFUNCTION("""COMPUTED_VALUE"""),17.0)</f>
        <v>17</v>
      </c>
      <c r="U186" s="217">
        <f>IFERROR(__xludf.DUMMYFUNCTION("""COMPUTED_VALUE"""),21.0)</f>
        <v>21</v>
      </c>
      <c r="V186" s="217">
        <f>IFERROR(__xludf.DUMMYFUNCTION("""COMPUTED_VALUE"""),84.0)</f>
        <v>84</v>
      </c>
      <c r="W186" s="217">
        <f>IFERROR(__xludf.DUMMYFUNCTION("""COMPUTED_VALUE"""),68.0)</f>
        <v>68</v>
      </c>
      <c r="X186" s="217">
        <f>IFERROR(__xludf.DUMMYFUNCTION("""COMPUTED_VALUE"""),86.0)</f>
        <v>86</v>
      </c>
      <c r="Y186" s="217"/>
      <c r="Z186" s="217"/>
      <c r="AA186" s="481">
        <f>IFERROR(__xludf.DUMMYFUNCTION("""COMPUTED_VALUE"""),88.0)</f>
        <v>88</v>
      </c>
      <c r="AB186" s="481">
        <f>IFERROR(__xludf.DUMMYFUNCTION("""COMPUTED_VALUE"""),50.0)</f>
        <v>50</v>
      </c>
      <c r="AC186" s="481">
        <f>IFERROR(__xludf.DUMMYFUNCTION("""COMPUTED_VALUE"""),98.0)</f>
        <v>98</v>
      </c>
      <c r="AD186" s="481">
        <f>IFERROR(__xludf.DUMMYFUNCTION("""COMPUTED_VALUE"""),100.0)</f>
        <v>100</v>
      </c>
      <c r="AE186" s="481">
        <f>IFERROR(__xludf.DUMMYFUNCTION("""COMPUTED_VALUE"""),84.0)</f>
        <v>84</v>
      </c>
      <c r="AF186" s="481"/>
      <c r="AG186" s="481">
        <f>IFERROR(__xludf.DUMMYFUNCTION("""COMPUTED_VALUE"""),72.0)</f>
        <v>72</v>
      </c>
      <c r="AH186" s="481"/>
      <c r="AI186" s="158"/>
      <c r="AJ186" s="158"/>
      <c r="AK186" s="133">
        <f>IFERROR(__xludf.DUMMYFUNCTION("""COMPUTED_VALUE"""),4.0)</f>
        <v>4</v>
      </c>
      <c r="AL186" s="133">
        <f>IFERROR(__xludf.DUMMYFUNCTION("""COMPUTED_VALUE"""),3.0)</f>
        <v>3</v>
      </c>
      <c r="AM186" s="133">
        <f>IFERROR(__xludf.DUMMYFUNCTION("""COMPUTED_VALUE"""),3.0)</f>
        <v>3</v>
      </c>
      <c r="AN186" s="133" t="str">
        <f>IFERROR(__xludf.DUMMYFUNCTION("""COMPUTED_VALUE"""),"3.5")</f>
        <v>3.5</v>
      </c>
      <c r="AO186" s="133">
        <f>IFERROR(__xludf.DUMMYFUNCTION("""COMPUTED_VALUE"""),3.0)</f>
        <v>3</v>
      </c>
      <c r="AP186" s="155" t="s">
        <v>2461</v>
      </c>
    </row>
    <row r="187">
      <c r="A187" s="555">
        <f>IFERROR(__xludf.DUMMYFUNCTION("""COMPUTED_VALUE"""),183.0)</f>
        <v>183</v>
      </c>
      <c r="B187" s="555" t="str">
        <f>IFERROR(__xludf.DUMMYFUNCTION("""COMPUTED_VALUE"""),"srpo23cs@cmrit.ac.in")</f>
        <v>srpo23cs@cmrit.ac.in</v>
      </c>
      <c r="C187" s="172" t="str">
        <f>IFERROR(__xludf.DUMMYFUNCTION("""COMPUTED_VALUE"""),"SRINIDHI POLLA SEENIVASAN")</f>
        <v>SRINIDHI POLLA SEENIVASAN</v>
      </c>
      <c r="D187" s="261" t="str">
        <f>IFERROR(__xludf.DUMMYFUNCTION("""COMPUTED_VALUE"""),"1CR23CS191")</f>
        <v>1CR23CS191</v>
      </c>
      <c r="E187" s="563">
        <f>IFERROR(__xludf.DUMMYFUNCTION("""COMPUTED_VALUE"""),9.108937548E9)</f>
        <v>9108937548</v>
      </c>
      <c r="F187" s="155" t="str">
        <f>IFERROR(__xludf.DUMMYFUNCTION("""COMPUTED_VALUE"""),"CSE")</f>
        <v>CSE</v>
      </c>
      <c r="G187" s="158"/>
      <c r="H187" s="559">
        <f>IFERROR(__xludf.DUMMYFUNCTION("""COMPUTED_VALUE"""),84.0)</f>
        <v>84</v>
      </c>
      <c r="I187" s="559">
        <f>IFERROR(__xludf.DUMMYFUNCTION("""COMPUTED_VALUE"""),87.0)</f>
        <v>87</v>
      </c>
      <c r="J187" s="559">
        <f>IFERROR(__xludf.DUMMYFUNCTION("""COMPUTED_VALUE"""),60.0)</f>
        <v>60</v>
      </c>
      <c r="K187" s="559">
        <f>IFERROR(__xludf.DUMMYFUNCTION("""COMPUTED_VALUE"""),58.0)</f>
        <v>58</v>
      </c>
      <c r="L187" s="560">
        <f>IFERROR(__xludf.DUMMYFUNCTION("""COMPUTED_VALUE"""),32.0)</f>
        <v>32</v>
      </c>
      <c r="M187" s="561">
        <f>IFERROR(__xludf.DUMMYFUNCTION("""COMPUTED_VALUE"""),4.0)</f>
        <v>4</v>
      </c>
      <c r="N187" s="561">
        <f>IFERROR(__xludf.DUMMYFUNCTION("""COMPUTED_VALUE"""),0.0)</f>
        <v>0</v>
      </c>
      <c r="O187" s="560"/>
      <c r="P187" s="562">
        <f>IFERROR(__xludf.DUMMYFUNCTION("""COMPUTED_VALUE"""),0.0)</f>
        <v>0</v>
      </c>
      <c r="Q187" s="562">
        <f>IFERROR(__xludf.DUMMYFUNCTION("""COMPUTED_VALUE"""),0.0)</f>
        <v>0</v>
      </c>
      <c r="R187" s="562">
        <f>IFERROR(__xludf.DUMMYFUNCTION("""COMPUTED_VALUE"""),38.0)</f>
        <v>38</v>
      </c>
      <c r="S187" s="562"/>
      <c r="T187" s="217">
        <f>IFERROR(__xludf.DUMMYFUNCTION("""COMPUTED_VALUE"""),20.0)</f>
        <v>20</v>
      </c>
      <c r="U187" s="217">
        <f>IFERROR(__xludf.DUMMYFUNCTION("""COMPUTED_VALUE"""),20.0)</f>
        <v>20</v>
      </c>
      <c r="V187" s="217">
        <f>IFERROR(__xludf.DUMMYFUNCTION("""COMPUTED_VALUE"""),76.0)</f>
        <v>76</v>
      </c>
      <c r="W187" s="217">
        <f>IFERROR(__xludf.DUMMYFUNCTION("""COMPUTED_VALUE"""),28.0)</f>
        <v>28</v>
      </c>
      <c r="X187" s="217"/>
      <c r="Y187" s="217"/>
      <c r="Z187" s="217"/>
      <c r="AA187" s="481">
        <f>IFERROR(__xludf.DUMMYFUNCTION("""COMPUTED_VALUE"""),72.0)</f>
        <v>72</v>
      </c>
      <c r="AB187" s="481">
        <f>IFERROR(__xludf.DUMMYFUNCTION("""COMPUTED_VALUE"""),29.0)</f>
        <v>29</v>
      </c>
      <c r="AC187" s="481">
        <f>IFERROR(__xludf.DUMMYFUNCTION("""COMPUTED_VALUE"""),0.0)</f>
        <v>0</v>
      </c>
      <c r="AD187" s="481">
        <f>IFERROR(__xludf.DUMMYFUNCTION("""COMPUTED_VALUE"""),0.0)</f>
        <v>0</v>
      </c>
      <c r="AE187" s="481">
        <f>IFERROR(__xludf.DUMMYFUNCTION("""COMPUTED_VALUE"""),10.0)</f>
        <v>10</v>
      </c>
      <c r="AF187" s="481"/>
      <c r="AG187" s="481">
        <f>IFERROR(__xludf.DUMMYFUNCTION("""COMPUTED_VALUE"""),5.0)</f>
        <v>5</v>
      </c>
      <c r="AH187" s="481"/>
      <c r="AI187" s="158"/>
      <c r="AJ187" s="158"/>
      <c r="AK187" s="133">
        <f>IFERROR(__xludf.DUMMYFUNCTION("""COMPUTED_VALUE"""),2.0)</f>
        <v>2</v>
      </c>
      <c r="AL187" s="133">
        <f>IFERROR(__xludf.DUMMYFUNCTION("""COMPUTED_VALUE"""),0.0)</f>
        <v>0</v>
      </c>
      <c r="AM187" s="133">
        <f>IFERROR(__xludf.DUMMYFUNCTION("""COMPUTED_VALUE"""),2.0)</f>
        <v>2</v>
      </c>
      <c r="AN187" s="133" t="str">
        <f>IFERROR(__xludf.DUMMYFUNCTION("""COMPUTED_VALUE"""),"0")</f>
        <v>0</v>
      </c>
      <c r="AO187" s="133">
        <f>IFERROR(__xludf.DUMMYFUNCTION("""COMPUTED_VALUE"""),0.0)</f>
        <v>0</v>
      </c>
      <c r="AP187" s="155" t="s">
        <v>2461</v>
      </c>
    </row>
    <row r="188">
      <c r="A188" s="555">
        <f>IFERROR(__xludf.DUMMYFUNCTION("""COMPUTED_VALUE"""),184.0)</f>
        <v>184</v>
      </c>
      <c r="B188" s="555" t="str">
        <f>IFERROR(__xludf.DUMMYFUNCTION("""COMPUTED_VALUE"""),"sus23cs@cmrit.ac.in")</f>
        <v>sus23cs@cmrit.ac.in</v>
      </c>
      <c r="C188" s="172" t="str">
        <f>IFERROR(__xludf.DUMMYFUNCTION("""COMPUTED_VALUE"""),"Sudhiksha S")</f>
        <v>Sudhiksha S</v>
      </c>
      <c r="D188" s="261" t="str">
        <f>IFERROR(__xludf.DUMMYFUNCTION("""COMPUTED_VALUE"""),"1CR23CS192")</f>
        <v>1CR23CS192</v>
      </c>
      <c r="E188" s="563">
        <f>IFERROR(__xludf.DUMMYFUNCTION("""COMPUTED_VALUE"""),9.008351126E9)</f>
        <v>9008351126</v>
      </c>
      <c r="F188" s="155" t="str">
        <f>IFERROR(__xludf.DUMMYFUNCTION("""COMPUTED_VALUE"""),"CSE")</f>
        <v>CSE</v>
      </c>
      <c r="G188" s="158"/>
      <c r="H188" s="559">
        <f>IFERROR(__xludf.DUMMYFUNCTION("""COMPUTED_VALUE"""),79.0)</f>
        <v>79</v>
      </c>
      <c r="I188" s="559">
        <f>IFERROR(__xludf.DUMMYFUNCTION("""COMPUTED_VALUE"""),79.0)</f>
        <v>79</v>
      </c>
      <c r="J188" s="559">
        <f>IFERROR(__xludf.DUMMYFUNCTION("""COMPUTED_VALUE"""),20.0)</f>
        <v>20</v>
      </c>
      <c r="K188" s="559">
        <f>IFERROR(__xludf.DUMMYFUNCTION("""COMPUTED_VALUE"""),6.0)</f>
        <v>6</v>
      </c>
      <c r="L188" s="560">
        <f>IFERROR(__xludf.DUMMYFUNCTION("""COMPUTED_VALUE"""),44.0)</f>
        <v>44</v>
      </c>
      <c r="M188" s="561">
        <f>IFERROR(__xludf.DUMMYFUNCTION("""COMPUTED_VALUE"""),0.0)</f>
        <v>0</v>
      </c>
      <c r="N188" s="561">
        <f>IFERROR(__xludf.DUMMYFUNCTION("""COMPUTED_VALUE"""),0.0)</f>
        <v>0</v>
      </c>
      <c r="O188" s="560"/>
      <c r="P188" s="562">
        <f>IFERROR(__xludf.DUMMYFUNCTION("""COMPUTED_VALUE"""),0.0)</f>
        <v>0</v>
      </c>
      <c r="Q188" s="562">
        <f>IFERROR(__xludf.DUMMYFUNCTION("""COMPUTED_VALUE"""),0.0)</f>
        <v>0</v>
      </c>
      <c r="R188" s="562">
        <f>IFERROR(__xludf.DUMMYFUNCTION("""COMPUTED_VALUE"""),0.0)</f>
        <v>0</v>
      </c>
      <c r="S188" s="562"/>
      <c r="T188" s="217">
        <f>IFERROR(__xludf.DUMMYFUNCTION("""COMPUTED_VALUE"""),19.0)</f>
        <v>19</v>
      </c>
      <c r="U188" s="217">
        <f>IFERROR(__xludf.DUMMYFUNCTION("""COMPUTED_VALUE"""),22.0)</f>
        <v>22</v>
      </c>
      <c r="V188" s="217"/>
      <c r="W188" s="217"/>
      <c r="X188" s="217"/>
      <c r="Y188" s="217"/>
      <c r="Z188" s="217"/>
      <c r="AA188" s="481">
        <f>IFERROR(__xludf.DUMMYFUNCTION("""COMPUTED_VALUE"""),34.0)</f>
        <v>34</v>
      </c>
      <c r="AB188" s="481">
        <f>IFERROR(__xludf.DUMMYFUNCTION("""COMPUTED_VALUE"""),30.0)</f>
        <v>30</v>
      </c>
      <c r="AC188" s="481">
        <f>IFERROR(__xludf.DUMMYFUNCTION("""COMPUTED_VALUE"""),0.0)</f>
        <v>0</v>
      </c>
      <c r="AD188" s="481">
        <f>IFERROR(__xludf.DUMMYFUNCTION("""COMPUTED_VALUE"""),0.0)</f>
        <v>0</v>
      </c>
      <c r="AE188" s="481">
        <f>IFERROR(__xludf.DUMMYFUNCTION("""COMPUTED_VALUE"""),10.0)</f>
        <v>10</v>
      </c>
      <c r="AF188" s="481"/>
      <c r="AG188" s="481">
        <f>IFERROR(__xludf.DUMMYFUNCTION("""COMPUTED_VALUE"""),0.0)</f>
        <v>0</v>
      </c>
      <c r="AH188" s="481"/>
      <c r="AI188" s="158"/>
      <c r="AJ188" s="158"/>
      <c r="AK188" s="133">
        <f>IFERROR(__xludf.DUMMYFUNCTION("""COMPUTED_VALUE"""),2.0)</f>
        <v>2</v>
      </c>
      <c r="AL188" s="133">
        <f>IFERROR(__xludf.DUMMYFUNCTION("""COMPUTED_VALUE"""),0.0)</f>
        <v>0</v>
      </c>
      <c r="AM188" s="133">
        <f>IFERROR(__xludf.DUMMYFUNCTION("""COMPUTED_VALUE"""),2.0)</f>
        <v>2</v>
      </c>
      <c r="AN188" s="133" t="str">
        <f>IFERROR(__xludf.DUMMYFUNCTION("""COMPUTED_VALUE"""),"0")</f>
        <v>0</v>
      </c>
      <c r="AO188" s="133">
        <f>IFERROR(__xludf.DUMMYFUNCTION("""COMPUTED_VALUE"""),0.0)</f>
        <v>0</v>
      </c>
      <c r="AP188" s="155" t="s">
        <v>2461</v>
      </c>
    </row>
    <row r="189">
      <c r="A189" s="555">
        <f>IFERROR(__xludf.DUMMYFUNCTION("""COMPUTED_VALUE"""),185.0)</f>
        <v>185</v>
      </c>
      <c r="B189" s="555" t="str">
        <f>IFERROR(__xludf.DUMMYFUNCTION("""COMPUTED_VALUE"""),"suh23cs@cmrit.ac.in")</f>
        <v>suh23cs@cmrit.ac.in</v>
      </c>
      <c r="C189" s="172" t="str">
        <f>IFERROR(__xludf.DUMMYFUNCTION("""COMPUTED_VALUE"""),"SUHASINI")</f>
        <v>SUHASINI</v>
      </c>
      <c r="D189" s="261" t="str">
        <f>IFERROR(__xludf.DUMMYFUNCTION("""COMPUTED_VALUE"""),"1CR23CS193")</f>
        <v>1CR23CS193</v>
      </c>
      <c r="E189" s="563">
        <f>IFERROR(__xludf.DUMMYFUNCTION("""COMPUTED_VALUE"""),7.892750611E9)</f>
        <v>7892750611</v>
      </c>
      <c r="F189" s="155" t="str">
        <f>IFERROR(__xludf.DUMMYFUNCTION("""COMPUTED_VALUE"""),"CSE")</f>
        <v>CSE</v>
      </c>
      <c r="G189" s="158"/>
      <c r="H189" s="559">
        <f>IFERROR(__xludf.DUMMYFUNCTION("""COMPUTED_VALUE"""),70.0)</f>
        <v>70</v>
      </c>
      <c r="I189" s="559">
        <f>IFERROR(__xludf.DUMMYFUNCTION("""COMPUTED_VALUE"""),67.0)</f>
        <v>67</v>
      </c>
      <c r="J189" s="559">
        <f>IFERROR(__xludf.DUMMYFUNCTION("""COMPUTED_VALUE"""),44.0)</f>
        <v>44</v>
      </c>
      <c r="K189" s="559">
        <f>IFERROR(__xludf.DUMMYFUNCTION("""COMPUTED_VALUE"""),39.0)</f>
        <v>39</v>
      </c>
      <c r="L189" s="560">
        <f>IFERROR(__xludf.DUMMYFUNCTION("""COMPUTED_VALUE"""),1.0)</f>
        <v>1</v>
      </c>
      <c r="M189" s="561">
        <f>IFERROR(__xludf.DUMMYFUNCTION("""COMPUTED_VALUE"""),10.0)</f>
        <v>10</v>
      </c>
      <c r="N189" s="561">
        <f>IFERROR(__xludf.DUMMYFUNCTION("""COMPUTED_VALUE"""),0.0)</f>
        <v>0</v>
      </c>
      <c r="O189" s="560"/>
      <c r="P189" s="562">
        <f>IFERROR(__xludf.DUMMYFUNCTION("""COMPUTED_VALUE"""),0.0)</f>
        <v>0</v>
      </c>
      <c r="Q189" s="562">
        <f>IFERROR(__xludf.DUMMYFUNCTION("""COMPUTED_VALUE"""),0.0)</f>
        <v>0</v>
      </c>
      <c r="R189" s="562">
        <f>IFERROR(__xludf.DUMMYFUNCTION("""COMPUTED_VALUE"""),0.0)</f>
        <v>0</v>
      </c>
      <c r="S189" s="562"/>
      <c r="T189" s="217">
        <f>IFERROR(__xludf.DUMMYFUNCTION("""COMPUTED_VALUE"""),16.0)</f>
        <v>16</v>
      </c>
      <c r="U189" s="217">
        <f>IFERROR(__xludf.DUMMYFUNCTION("""COMPUTED_VALUE"""),22.0)</f>
        <v>22</v>
      </c>
      <c r="V189" s="217">
        <f>IFERROR(__xludf.DUMMYFUNCTION("""COMPUTED_VALUE"""),72.0)</f>
        <v>72</v>
      </c>
      <c r="W189" s="217"/>
      <c r="X189" s="217"/>
      <c r="Y189" s="217"/>
      <c r="Z189" s="217"/>
      <c r="AA189" s="481">
        <f>IFERROR(__xludf.DUMMYFUNCTION("""COMPUTED_VALUE"""),0.0)</f>
        <v>0</v>
      </c>
      <c r="AB189" s="481">
        <f>IFERROR(__xludf.DUMMYFUNCTION("""COMPUTED_VALUE"""),0.0)</f>
        <v>0</v>
      </c>
      <c r="AC189" s="481">
        <f>IFERROR(__xludf.DUMMYFUNCTION("""COMPUTED_VALUE"""),0.0)</f>
        <v>0</v>
      </c>
      <c r="AD189" s="481">
        <f>IFERROR(__xludf.DUMMYFUNCTION("""COMPUTED_VALUE"""),0.0)</f>
        <v>0</v>
      </c>
      <c r="AE189" s="481">
        <f>IFERROR(__xludf.DUMMYFUNCTION("""COMPUTED_VALUE"""),10.0)</f>
        <v>10</v>
      </c>
      <c r="AF189" s="481"/>
      <c r="AG189" s="481">
        <f>IFERROR(__xludf.DUMMYFUNCTION("""COMPUTED_VALUE"""),0.0)</f>
        <v>0</v>
      </c>
      <c r="AH189" s="481"/>
      <c r="AI189" s="158"/>
      <c r="AJ189" s="158"/>
      <c r="AK189" s="133">
        <f>IFERROR(__xludf.DUMMYFUNCTION("""COMPUTED_VALUE"""),2.0)</f>
        <v>2</v>
      </c>
      <c r="AL189" s="133">
        <f>IFERROR(__xludf.DUMMYFUNCTION("""COMPUTED_VALUE"""),0.0)</f>
        <v>0</v>
      </c>
      <c r="AM189" s="133">
        <f>IFERROR(__xludf.DUMMYFUNCTION("""COMPUTED_VALUE"""),2.0)</f>
        <v>2</v>
      </c>
      <c r="AN189" s="133" t="str">
        <f>IFERROR(__xludf.DUMMYFUNCTION("""COMPUTED_VALUE"""),"0")</f>
        <v>0</v>
      </c>
      <c r="AO189" s="133">
        <f>IFERROR(__xludf.DUMMYFUNCTION("""COMPUTED_VALUE"""),0.0)</f>
        <v>0</v>
      </c>
      <c r="AP189" s="155" t="s">
        <v>2461</v>
      </c>
    </row>
    <row r="190">
      <c r="A190" s="555">
        <f>IFERROR(__xludf.DUMMYFUNCTION("""COMPUTED_VALUE"""),186.0)</f>
        <v>186</v>
      </c>
      <c r="B190" s="555" t="str">
        <f>IFERROR(__xludf.DUMMYFUNCTION("""COMPUTED_VALUE"""),"sush23cs@cmrit.ac.in")</f>
        <v>sush23cs@cmrit.ac.in</v>
      </c>
      <c r="C190" s="172" t="str">
        <f>IFERROR(__xludf.DUMMYFUNCTION("""COMPUTED_VALUE"""),"Supreme sharma")</f>
        <v>Supreme sharma</v>
      </c>
      <c r="D190" s="261" t="str">
        <f>IFERROR(__xludf.DUMMYFUNCTION("""COMPUTED_VALUE"""),"1CR23CS194")</f>
        <v>1CR23CS194</v>
      </c>
      <c r="E190" s="563">
        <f>IFERROR(__xludf.DUMMYFUNCTION("""COMPUTED_VALUE"""),9.157558275E9)</f>
        <v>9157558275</v>
      </c>
      <c r="F190" s="155" t="str">
        <f>IFERROR(__xludf.DUMMYFUNCTION("""COMPUTED_VALUE"""),"CSE")</f>
        <v>CSE</v>
      </c>
      <c r="G190" s="158"/>
      <c r="H190" s="559">
        <f>IFERROR(__xludf.DUMMYFUNCTION("""COMPUTED_VALUE"""),77.0)</f>
        <v>77</v>
      </c>
      <c r="I190" s="559">
        <f>IFERROR(__xludf.DUMMYFUNCTION("""COMPUTED_VALUE"""),75.0)</f>
        <v>75</v>
      </c>
      <c r="J190" s="559">
        <f>IFERROR(__xludf.DUMMYFUNCTION("""COMPUTED_VALUE"""),9.0)</f>
        <v>9</v>
      </c>
      <c r="K190" s="559">
        <f>IFERROR(__xludf.DUMMYFUNCTION("""COMPUTED_VALUE"""),6.0)</f>
        <v>6</v>
      </c>
      <c r="L190" s="560">
        <f>IFERROR(__xludf.DUMMYFUNCTION("""COMPUTED_VALUE"""),21.0)</f>
        <v>21</v>
      </c>
      <c r="M190" s="561">
        <f>IFERROR(__xludf.DUMMYFUNCTION("""COMPUTED_VALUE"""),0.0)</f>
        <v>0</v>
      </c>
      <c r="N190" s="561">
        <f>IFERROR(__xludf.DUMMYFUNCTION("""COMPUTED_VALUE"""),0.0)</f>
        <v>0</v>
      </c>
      <c r="O190" s="560"/>
      <c r="P190" s="562">
        <f>IFERROR(__xludf.DUMMYFUNCTION("""COMPUTED_VALUE"""),0.0)</f>
        <v>0</v>
      </c>
      <c r="Q190" s="562">
        <f>IFERROR(__xludf.DUMMYFUNCTION("""COMPUTED_VALUE"""),0.0)</f>
        <v>0</v>
      </c>
      <c r="R190" s="562">
        <f>IFERROR(__xludf.DUMMYFUNCTION("""COMPUTED_VALUE"""),0.0)</f>
        <v>0</v>
      </c>
      <c r="S190" s="562"/>
      <c r="T190" s="217">
        <f>IFERROR(__xludf.DUMMYFUNCTION("""COMPUTED_VALUE"""),20.0)</f>
        <v>20</v>
      </c>
      <c r="U190" s="217">
        <f>IFERROR(__xludf.DUMMYFUNCTION("""COMPUTED_VALUE"""),15.0)</f>
        <v>15</v>
      </c>
      <c r="V190" s="217">
        <f>IFERROR(__xludf.DUMMYFUNCTION("""COMPUTED_VALUE"""),76.0)</f>
        <v>76</v>
      </c>
      <c r="W190" s="217"/>
      <c r="X190" s="217"/>
      <c r="Y190" s="217"/>
      <c r="Z190" s="217"/>
      <c r="AA190" s="481">
        <f>IFERROR(__xludf.DUMMYFUNCTION("""COMPUTED_VALUE"""),34.0)</f>
        <v>34</v>
      </c>
      <c r="AB190" s="481">
        <f>IFERROR(__xludf.DUMMYFUNCTION("""COMPUTED_VALUE"""),18.0)</f>
        <v>18</v>
      </c>
      <c r="AC190" s="481">
        <f>IFERROR(__xludf.DUMMYFUNCTION("""COMPUTED_VALUE"""),0.0)</f>
        <v>0</v>
      </c>
      <c r="AD190" s="481">
        <f>IFERROR(__xludf.DUMMYFUNCTION("""COMPUTED_VALUE"""),0.0)</f>
        <v>0</v>
      </c>
      <c r="AE190" s="481">
        <f>IFERROR(__xludf.DUMMYFUNCTION("""COMPUTED_VALUE"""),10.0)</f>
        <v>10</v>
      </c>
      <c r="AF190" s="481"/>
      <c r="AG190" s="481">
        <f>IFERROR(__xludf.DUMMYFUNCTION("""COMPUTED_VALUE"""),0.0)</f>
        <v>0</v>
      </c>
      <c r="AH190" s="481"/>
      <c r="AI190" s="158"/>
      <c r="AJ190" s="158"/>
      <c r="AK190" s="133">
        <f>IFERROR(__xludf.DUMMYFUNCTION("""COMPUTED_VALUE"""),2.0)</f>
        <v>2</v>
      </c>
      <c r="AL190" s="133">
        <f>IFERROR(__xludf.DUMMYFUNCTION("""COMPUTED_VALUE"""),0.0)</f>
        <v>0</v>
      </c>
      <c r="AM190" s="133">
        <f>IFERROR(__xludf.DUMMYFUNCTION("""COMPUTED_VALUE"""),2.0)</f>
        <v>2</v>
      </c>
      <c r="AN190" s="133" t="str">
        <f>IFERROR(__xludf.DUMMYFUNCTION("""COMPUTED_VALUE"""),"0")</f>
        <v>0</v>
      </c>
      <c r="AO190" s="133">
        <f>IFERROR(__xludf.DUMMYFUNCTION("""COMPUTED_VALUE"""),0.0)</f>
        <v>0</v>
      </c>
      <c r="AP190" s="155" t="s">
        <v>2461</v>
      </c>
    </row>
    <row r="191">
      <c r="A191" s="555">
        <f>IFERROR(__xludf.DUMMYFUNCTION("""COMPUTED_VALUE"""),187.0)</f>
        <v>187</v>
      </c>
      <c r="B191" s="555" t="str">
        <f>IFERROR(__xludf.DUMMYFUNCTION("""COMPUTED_VALUE"""),"swsa23cs@cmrit.ac.in")</f>
        <v>swsa23cs@cmrit.ac.in</v>
      </c>
      <c r="C191" s="172" t="str">
        <f>IFERROR(__xludf.DUMMYFUNCTION("""COMPUTED_VALUE"""),"SWARAJ KUMAR SAHU")</f>
        <v>SWARAJ KUMAR SAHU</v>
      </c>
      <c r="D191" s="261" t="str">
        <f>IFERROR(__xludf.DUMMYFUNCTION("""COMPUTED_VALUE"""),"1CR23CS195")</f>
        <v>1CR23CS195</v>
      </c>
      <c r="E191" s="563">
        <f>IFERROR(__xludf.DUMMYFUNCTION("""COMPUTED_VALUE"""),9.448824725E9)</f>
        <v>9448824725</v>
      </c>
      <c r="F191" s="155" t="str">
        <f>IFERROR(__xludf.DUMMYFUNCTION("""COMPUTED_VALUE"""),"CSE")</f>
        <v>CSE</v>
      </c>
      <c r="G191" s="158"/>
      <c r="H191" s="559">
        <f>IFERROR(__xludf.DUMMYFUNCTION("""COMPUTED_VALUE"""),82.0)</f>
        <v>82</v>
      </c>
      <c r="I191" s="559">
        <f>IFERROR(__xludf.DUMMYFUNCTION("""COMPUTED_VALUE"""),87.0)</f>
        <v>87</v>
      </c>
      <c r="J191" s="559">
        <f>IFERROR(__xludf.DUMMYFUNCTION("""COMPUTED_VALUE"""),71.0)</f>
        <v>71</v>
      </c>
      <c r="K191" s="559">
        <f>IFERROR(__xludf.DUMMYFUNCTION("""COMPUTED_VALUE"""),82.0)</f>
        <v>82</v>
      </c>
      <c r="L191" s="560">
        <f>IFERROR(__xludf.DUMMYFUNCTION("""COMPUTED_VALUE"""),61.0)</f>
        <v>61</v>
      </c>
      <c r="M191" s="561">
        <f>IFERROR(__xludf.DUMMYFUNCTION("""COMPUTED_VALUE"""),62.0)</f>
        <v>62</v>
      </c>
      <c r="N191" s="561">
        <f>IFERROR(__xludf.DUMMYFUNCTION("""COMPUTED_VALUE"""),50.0)</f>
        <v>50</v>
      </c>
      <c r="O191" s="560"/>
      <c r="P191" s="562">
        <f>IFERROR(__xludf.DUMMYFUNCTION("""COMPUTED_VALUE"""),50.0)</f>
        <v>50</v>
      </c>
      <c r="Q191" s="562">
        <f>IFERROR(__xludf.DUMMYFUNCTION("""COMPUTED_VALUE"""),63.0)</f>
        <v>63</v>
      </c>
      <c r="R191" s="562">
        <f>IFERROR(__xludf.DUMMYFUNCTION("""COMPUTED_VALUE"""),85.0)</f>
        <v>85</v>
      </c>
      <c r="S191" s="562"/>
      <c r="T191" s="217">
        <f>IFERROR(__xludf.DUMMYFUNCTION("""COMPUTED_VALUE"""),18.0)</f>
        <v>18</v>
      </c>
      <c r="U191" s="217">
        <f>IFERROR(__xludf.DUMMYFUNCTION("""COMPUTED_VALUE"""),21.0)</f>
        <v>21</v>
      </c>
      <c r="V191" s="217">
        <f>IFERROR(__xludf.DUMMYFUNCTION("""COMPUTED_VALUE"""),76.0)</f>
        <v>76</v>
      </c>
      <c r="W191" s="217">
        <f>IFERROR(__xludf.DUMMYFUNCTION("""COMPUTED_VALUE"""),64.0)</f>
        <v>64</v>
      </c>
      <c r="X191" s="217">
        <f>IFERROR(__xludf.DUMMYFUNCTION("""COMPUTED_VALUE"""),86.0)</f>
        <v>86</v>
      </c>
      <c r="Y191" s="217"/>
      <c r="Z191" s="217"/>
      <c r="AA191" s="481">
        <f>IFERROR(__xludf.DUMMYFUNCTION("""COMPUTED_VALUE"""),0.0)</f>
        <v>0</v>
      </c>
      <c r="AB191" s="481">
        <f>IFERROR(__xludf.DUMMYFUNCTION("""COMPUTED_VALUE"""),100.0)</f>
        <v>100</v>
      </c>
      <c r="AC191" s="481">
        <f>IFERROR(__xludf.DUMMYFUNCTION("""COMPUTED_VALUE"""),90.5)</f>
        <v>90.5</v>
      </c>
      <c r="AD191" s="481">
        <f>IFERROR(__xludf.DUMMYFUNCTION("""COMPUTED_VALUE"""),68.0)</f>
        <v>68</v>
      </c>
      <c r="AE191" s="481">
        <f>IFERROR(__xludf.DUMMYFUNCTION("""COMPUTED_VALUE"""),83.0)</f>
        <v>83</v>
      </c>
      <c r="AF191" s="481"/>
      <c r="AG191" s="481">
        <f>IFERROR(__xludf.DUMMYFUNCTION("""COMPUTED_VALUE"""),25.0)</f>
        <v>25</v>
      </c>
      <c r="AH191" s="481"/>
      <c r="AI191" s="158"/>
      <c r="AJ191" s="158"/>
      <c r="AK191" s="133">
        <f>IFERROR(__xludf.DUMMYFUNCTION("""COMPUTED_VALUE"""),4.0)</f>
        <v>4</v>
      </c>
      <c r="AL191" s="133">
        <f>IFERROR(__xludf.DUMMYFUNCTION("""COMPUTED_VALUE"""),3.0)</f>
        <v>3</v>
      </c>
      <c r="AM191" s="133">
        <f>IFERROR(__xludf.DUMMYFUNCTION("""COMPUTED_VALUE"""),3.0)</f>
        <v>3</v>
      </c>
      <c r="AN191" s="133" t="str">
        <f>IFERROR(__xludf.DUMMYFUNCTION("""COMPUTED_VALUE"""),"3.5")</f>
        <v>3.5</v>
      </c>
      <c r="AO191" s="133">
        <f>IFERROR(__xludf.DUMMYFUNCTION("""COMPUTED_VALUE"""),3.0)</f>
        <v>3</v>
      </c>
      <c r="AP191" s="155" t="s">
        <v>2461</v>
      </c>
    </row>
    <row r="192">
      <c r="A192" s="555">
        <f>IFERROR(__xludf.DUMMYFUNCTION("""COMPUTED_VALUE"""),188.0)</f>
        <v>188</v>
      </c>
      <c r="B192" s="555" t="str">
        <f>IFERROR(__xludf.DUMMYFUNCTION("""COMPUTED_VALUE"""),"swna23cs@cmrit.ac.in")</f>
        <v>swna23cs@cmrit.ac.in</v>
      </c>
      <c r="C192" s="172" t="str">
        <f>IFERROR(__xludf.DUMMYFUNCTION("""COMPUTED_VALUE"""),"SWATHI R NAIR")</f>
        <v>SWATHI R NAIR</v>
      </c>
      <c r="D192" s="261" t="str">
        <f>IFERROR(__xludf.DUMMYFUNCTION("""COMPUTED_VALUE"""),"1CR23CS196")</f>
        <v>1CR23CS196</v>
      </c>
      <c r="E192" s="563">
        <f>IFERROR(__xludf.DUMMYFUNCTION("""COMPUTED_VALUE"""),9.886087471E9)</f>
        <v>9886087471</v>
      </c>
      <c r="F192" s="155" t="str">
        <f>IFERROR(__xludf.DUMMYFUNCTION("""COMPUTED_VALUE"""),"CSE")</f>
        <v>CSE</v>
      </c>
      <c r="G192" s="158"/>
      <c r="H192" s="559">
        <f>IFERROR(__xludf.DUMMYFUNCTION("""COMPUTED_VALUE"""),86.0)</f>
        <v>86</v>
      </c>
      <c r="I192" s="559">
        <f>IFERROR(__xludf.DUMMYFUNCTION("""COMPUTED_VALUE"""),90.0)</f>
        <v>90</v>
      </c>
      <c r="J192" s="559">
        <f>IFERROR(__xludf.DUMMYFUNCTION("""COMPUTED_VALUE"""),78.0)</f>
        <v>78</v>
      </c>
      <c r="K192" s="559">
        <f>IFERROR(__xludf.DUMMYFUNCTION("""COMPUTED_VALUE"""),70.0)</f>
        <v>70</v>
      </c>
      <c r="L192" s="560">
        <f>IFERROR(__xludf.DUMMYFUNCTION("""COMPUTED_VALUE"""),59.0)</f>
        <v>59</v>
      </c>
      <c r="M192" s="561">
        <f>IFERROR(__xludf.DUMMYFUNCTION("""COMPUTED_VALUE"""),50.0)</f>
        <v>50</v>
      </c>
      <c r="N192" s="561">
        <f>IFERROR(__xludf.DUMMYFUNCTION("""COMPUTED_VALUE"""),57.0)</f>
        <v>57</v>
      </c>
      <c r="O192" s="560"/>
      <c r="P192" s="562">
        <f>IFERROR(__xludf.DUMMYFUNCTION("""COMPUTED_VALUE"""),77.0)</f>
        <v>77</v>
      </c>
      <c r="Q192" s="562">
        <f>IFERROR(__xludf.DUMMYFUNCTION("""COMPUTED_VALUE"""),50.0)</f>
        <v>50</v>
      </c>
      <c r="R192" s="562">
        <f>IFERROR(__xludf.DUMMYFUNCTION("""COMPUTED_VALUE"""),87.0)</f>
        <v>87</v>
      </c>
      <c r="S192" s="562"/>
      <c r="T192" s="217">
        <f>IFERROR(__xludf.DUMMYFUNCTION("""COMPUTED_VALUE"""),13.0)</f>
        <v>13</v>
      </c>
      <c r="U192" s="217">
        <f>IFERROR(__xludf.DUMMYFUNCTION("""COMPUTED_VALUE"""),22.0)</f>
        <v>22</v>
      </c>
      <c r="V192" s="217">
        <f>IFERROR(__xludf.DUMMYFUNCTION("""COMPUTED_VALUE"""),76.0)</f>
        <v>76</v>
      </c>
      <c r="W192" s="217">
        <f>IFERROR(__xludf.DUMMYFUNCTION("""COMPUTED_VALUE"""),52.0)</f>
        <v>52</v>
      </c>
      <c r="X192" s="217">
        <f>IFERROR(__xludf.DUMMYFUNCTION("""COMPUTED_VALUE"""),68.0)</f>
        <v>68</v>
      </c>
      <c r="Y192" s="217"/>
      <c r="Z192" s="217"/>
      <c r="AA192" s="481">
        <f>IFERROR(__xludf.DUMMYFUNCTION("""COMPUTED_VALUE"""),0.0)</f>
        <v>0</v>
      </c>
      <c r="AB192" s="481">
        <f>IFERROR(__xludf.DUMMYFUNCTION("""COMPUTED_VALUE"""),50.0)</f>
        <v>50</v>
      </c>
      <c r="AC192" s="481">
        <f>IFERROR(__xludf.DUMMYFUNCTION("""COMPUTED_VALUE"""),99.5)</f>
        <v>99.5</v>
      </c>
      <c r="AD192" s="481">
        <f>IFERROR(__xludf.DUMMYFUNCTION("""COMPUTED_VALUE"""),60.0)</f>
        <v>60</v>
      </c>
      <c r="AE192" s="481">
        <f>IFERROR(__xludf.DUMMYFUNCTION("""COMPUTED_VALUE"""),70.0)</f>
        <v>70</v>
      </c>
      <c r="AF192" s="481"/>
      <c r="AG192" s="481">
        <f>IFERROR(__xludf.DUMMYFUNCTION("""COMPUTED_VALUE"""),82.0)</f>
        <v>82</v>
      </c>
      <c r="AH192" s="481"/>
      <c r="AI192" s="158"/>
      <c r="AJ192" s="158"/>
      <c r="AK192" s="133">
        <f>IFERROR(__xludf.DUMMYFUNCTION("""COMPUTED_VALUE"""),4.0)</f>
        <v>4</v>
      </c>
      <c r="AL192" s="133">
        <f>IFERROR(__xludf.DUMMYFUNCTION("""COMPUTED_VALUE"""),3.0)</f>
        <v>3</v>
      </c>
      <c r="AM192" s="133">
        <f>IFERROR(__xludf.DUMMYFUNCTION("""COMPUTED_VALUE"""),3.0)</f>
        <v>3</v>
      </c>
      <c r="AN192" s="133" t="str">
        <f>IFERROR(__xludf.DUMMYFUNCTION("""COMPUTED_VALUE"""),"3.5")</f>
        <v>3.5</v>
      </c>
      <c r="AO192" s="133">
        <f>IFERROR(__xludf.DUMMYFUNCTION("""COMPUTED_VALUE"""),3.0)</f>
        <v>3</v>
      </c>
      <c r="AP192" s="155" t="s">
        <v>2461</v>
      </c>
    </row>
    <row r="193">
      <c r="A193" s="555">
        <f>IFERROR(__xludf.DUMMYFUNCTION("""COMPUTED_VALUE"""),189.0)</f>
        <v>189</v>
      </c>
      <c r="B193" s="555" t="str">
        <f>IFERROR(__xludf.DUMMYFUNCTION("""COMPUTED_VALUE"""),"taca23cs@cmrit.ac.in")</f>
        <v>taca23cs@cmrit.ac.in</v>
      </c>
      <c r="C193" s="172" t="str">
        <f>IFERROR(__xludf.DUMMYFUNCTION("""COMPUTED_VALUE"""),"TAMARA CARIAPPA")</f>
        <v>TAMARA CARIAPPA</v>
      </c>
      <c r="D193" s="261" t="str">
        <f>IFERROR(__xludf.DUMMYFUNCTION("""COMPUTED_VALUE"""),"1CR23CS197")</f>
        <v>1CR23CS197</v>
      </c>
      <c r="E193" s="563">
        <f>IFERROR(__xludf.DUMMYFUNCTION("""COMPUTED_VALUE"""),8.660376154E9)</f>
        <v>8660376154</v>
      </c>
      <c r="F193" s="155" t="str">
        <f>IFERROR(__xludf.DUMMYFUNCTION("""COMPUTED_VALUE"""),"CSE")</f>
        <v>CSE</v>
      </c>
      <c r="G193" s="158"/>
      <c r="H193" s="559">
        <f>IFERROR(__xludf.DUMMYFUNCTION("""COMPUTED_VALUE"""),86.0)</f>
        <v>86</v>
      </c>
      <c r="I193" s="559">
        <f>IFERROR(__xludf.DUMMYFUNCTION("""COMPUTED_VALUE"""),88.0)</f>
        <v>88</v>
      </c>
      <c r="J193" s="559">
        <f>IFERROR(__xludf.DUMMYFUNCTION("""COMPUTED_VALUE"""),91.0)</f>
        <v>91</v>
      </c>
      <c r="K193" s="559">
        <f>IFERROR(__xludf.DUMMYFUNCTION("""COMPUTED_VALUE"""),71.0)</f>
        <v>71</v>
      </c>
      <c r="L193" s="560">
        <f>IFERROR(__xludf.DUMMYFUNCTION("""COMPUTED_VALUE"""),64.0)</f>
        <v>64</v>
      </c>
      <c r="M193" s="561">
        <f>IFERROR(__xludf.DUMMYFUNCTION("""COMPUTED_VALUE"""),8.0)</f>
        <v>8</v>
      </c>
      <c r="N193" s="561">
        <f>IFERROR(__xludf.DUMMYFUNCTION("""COMPUTED_VALUE"""),0.0)</f>
        <v>0</v>
      </c>
      <c r="O193" s="560"/>
      <c r="P193" s="562">
        <f>IFERROR(__xludf.DUMMYFUNCTION("""COMPUTED_VALUE"""),79.0)</f>
        <v>79</v>
      </c>
      <c r="Q193" s="562">
        <f>IFERROR(__xludf.DUMMYFUNCTION("""COMPUTED_VALUE"""),65.0)</f>
        <v>65</v>
      </c>
      <c r="R193" s="562">
        <f>IFERROR(__xludf.DUMMYFUNCTION("""COMPUTED_VALUE"""),0.0)</f>
        <v>0</v>
      </c>
      <c r="S193" s="562"/>
      <c r="T193" s="217">
        <f>IFERROR(__xludf.DUMMYFUNCTION("""COMPUTED_VALUE"""),22.0)</f>
        <v>22</v>
      </c>
      <c r="U193" s="217">
        <f>IFERROR(__xludf.DUMMYFUNCTION("""COMPUTED_VALUE"""),22.0)</f>
        <v>22</v>
      </c>
      <c r="V193" s="217">
        <f>IFERROR(__xludf.DUMMYFUNCTION("""COMPUTED_VALUE"""),76.0)</f>
        <v>76</v>
      </c>
      <c r="W193" s="217"/>
      <c r="X193" s="217"/>
      <c r="Y193" s="217"/>
      <c r="Z193" s="217"/>
      <c r="AA193" s="481">
        <f>IFERROR(__xludf.DUMMYFUNCTION("""COMPUTED_VALUE"""),54.0)</f>
        <v>54</v>
      </c>
      <c r="AB193" s="481">
        <f>IFERROR(__xludf.DUMMYFUNCTION("""COMPUTED_VALUE"""),100.0)</f>
        <v>100</v>
      </c>
      <c r="AC193" s="481">
        <f>IFERROR(__xludf.DUMMYFUNCTION("""COMPUTED_VALUE"""),91.0)</f>
        <v>91</v>
      </c>
      <c r="AD193" s="481">
        <f>IFERROR(__xludf.DUMMYFUNCTION("""COMPUTED_VALUE"""),84.0)</f>
        <v>84</v>
      </c>
      <c r="AE193" s="481">
        <f>IFERROR(__xludf.DUMMYFUNCTION("""COMPUTED_VALUE"""),10.0)</f>
        <v>10</v>
      </c>
      <c r="AF193" s="481"/>
      <c r="AG193" s="481">
        <f>IFERROR(__xludf.DUMMYFUNCTION("""COMPUTED_VALUE"""),5.0)</f>
        <v>5</v>
      </c>
      <c r="AH193" s="481"/>
      <c r="AI193" s="158"/>
      <c r="AJ193" s="158"/>
      <c r="AK193" s="133">
        <f>IFERROR(__xludf.DUMMYFUNCTION("""COMPUTED_VALUE"""),4.0)</f>
        <v>4</v>
      </c>
      <c r="AL193" s="133">
        <f>IFERROR(__xludf.DUMMYFUNCTION("""COMPUTED_VALUE"""),1.0)</f>
        <v>1</v>
      </c>
      <c r="AM193" s="133">
        <f>IFERROR(__xludf.DUMMYFUNCTION("""COMPUTED_VALUE"""),2.0)</f>
        <v>2</v>
      </c>
      <c r="AN193" s="133" t="str">
        <f>IFERROR(__xludf.DUMMYFUNCTION("""COMPUTED_VALUE"""),"3")</f>
        <v>3</v>
      </c>
      <c r="AO193" s="133">
        <f>IFERROR(__xludf.DUMMYFUNCTION("""COMPUTED_VALUE"""),2.0)</f>
        <v>2</v>
      </c>
      <c r="AP193" s="155" t="s">
        <v>2461</v>
      </c>
    </row>
    <row r="194">
      <c r="A194" s="555">
        <f>IFERROR(__xludf.DUMMYFUNCTION("""COMPUTED_VALUE"""),190.0)</f>
        <v>190</v>
      </c>
      <c r="B194" s="555" t="str">
        <f>IFERROR(__xludf.DUMMYFUNCTION("""COMPUTED_VALUE"""),"tara23cs@cmrit.ac.in")</f>
        <v>tara23cs@cmrit.ac.in</v>
      </c>
      <c r="C194" s="172" t="str">
        <f>IFERROR(__xludf.DUMMYFUNCTION("""COMPUTED_VALUE"""),"MS.TANVI RALERASKAR")</f>
        <v>MS.TANVI RALERASKAR</v>
      </c>
      <c r="D194" s="261" t="str">
        <f>IFERROR(__xludf.DUMMYFUNCTION("""COMPUTED_VALUE"""),"1CR23CS198")</f>
        <v>1CR23CS198</v>
      </c>
      <c r="E194" s="563">
        <f>IFERROR(__xludf.DUMMYFUNCTION("""COMPUTED_VALUE"""),8.310113789E9)</f>
        <v>8310113789</v>
      </c>
      <c r="F194" s="155" t="str">
        <f>IFERROR(__xludf.DUMMYFUNCTION("""COMPUTED_VALUE"""),"CSE")</f>
        <v>CSE</v>
      </c>
      <c r="G194" s="158"/>
      <c r="H194" s="559">
        <f>IFERROR(__xludf.DUMMYFUNCTION("""COMPUTED_VALUE"""),83.0)</f>
        <v>83</v>
      </c>
      <c r="I194" s="559">
        <f>IFERROR(__xludf.DUMMYFUNCTION("""COMPUTED_VALUE"""),86.0)</f>
        <v>86</v>
      </c>
      <c r="J194" s="559">
        <f>IFERROR(__xludf.DUMMYFUNCTION("""COMPUTED_VALUE"""),80.0)</f>
        <v>80</v>
      </c>
      <c r="K194" s="559">
        <f>IFERROR(__xludf.DUMMYFUNCTION("""COMPUTED_VALUE"""),70.0)</f>
        <v>70</v>
      </c>
      <c r="L194" s="560">
        <f>IFERROR(__xludf.DUMMYFUNCTION("""COMPUTED_VALUE"""),64.0)</f>
        <v>64</v>
      </c>
      <c r="M194" s="561">
        <f>IFERROR(__xludf.DUMMYFUNCTION("""COMPUTED_VALUE"""),18.0)</f>
        <v>18</v>
      </c>
      <c r="N194" s="561">
        <f>IFERROR(__xludf.DUMMYFUNCTION("""COMPUTED_VALUE"""),50.0)</f>
        <v>50</v>
      </c>
      <c r="O194" s="560"/>
      <c r="P194" s="562">
        <f>IFERROR(__xludf.DUMMYFUNCTION("""COMPUTED_VALUE"""),84.0)</f>
        <v>84</v>
      </c>
      <c r="Q194" s="562">
        <f>IFERROR(__xludf.DUMMYFUNCTION("""COMPUTED_VALUE"""),50.0)</f>
        <v>50</v>
      </c>
      <c r="R194" s="562">
        <f>IFERROR(__xludf.DUMMYFUNCTION("""COMPUTED_VALUE"""),88.0)</f>
        <v>88</v>
      </c>
      <c r="S194" s="562"/>
      <c r="T194" s="217">
        <f>IFERROR(__xludf.DUMMYFUNCTION("""COMPUTED_VALUE"""),13.0)</f>
        <v>13</v>
      </c>
      <c r="U194" s="217">
        <f>IFERROR(__xludf.DUMMYFUNCTION("""COMPUTED_VALUE"""),20.0)</f>
        <v>20</v>
      </c>
      <c r="V194" s="217">
        <f>IFERROR(__xludf.DUMMYFUNCTION("""COMPUTED_VALUE"""),80.0)</f>
        <v>80</v>
      </c>
      <c r="W194" s="217">
        <f>IFERROR(__xludf.DUMMYFUNCTION("""COMPUTED_VALUE"""),56.0)</f>
        <v>56</v>
      </c>
      <c r="X194" s="217">
        <f>IFERROR(__xludf.DUMMYFUNCTION("""COMPUTED_VALUE"""),54.0)</f>
        <v>54</v>
      </c>
      <c r="Y194" s="217"/>
      <c r="Z194" s="217"/>
      <c r="AA194" s="481">
        <f>IFERROR(__xludf.DUMMYFUNCTION("""COMPUTED_VALUE"""),56.0)</f>
        <v>56</v>
      </c>
      <c r="AB194" s="481">
        <f>IFERROR(__xludf.DUMMYFUNCTION("""COMPUTED_VALUE"""),94.0)</f>
        <v>94</v>
      </c>
      <c r="AC194" s="481">
        <f>IFERROR(__xludf.DUMMYFUNCTION("""COMPUTED_VALUE"""),81.5)</f>
        <v>81.5</v>
      </c>
      <c r="AD194" s="481">
        <f>IFERROR(__xludf.DUMMYFUNCTION("""COMPUTED_VALUE"""),75.0)</f>
        <v>75</v>
      </c>
      <c r="AE194" s="481">
        <f>IFERROR(__xludf.DUMMYFUNCTION("""COMPUTED_VALUE"""),36.0)</f>
        <v>36</v>
      </c>
      <c r="AF194" s="481"/>
      <c r="AG194" s="481">
        <f>IFERROR(__xludf.DUMMYFUNCTION("""COMPUTED_VALUE"""),74.0)</f>
        <v>74</v>
      </c>
      <c r="AH194" s="481"/>
      <c r="AI194" s="158"/>
      <c r="AJ194" s="158"/>
      <c r="AK194" s="133">
        <f>IFERROR(__xludf.DUMMYFUNCTION("""COMPUTED_VALUE"""),4.0)</f>
        <v>4</v>
      </c>
      <c r="AL194" s="133">
        <f>IFERROR(__xludf.DUMMYFUNCTION("""COMPUTED_VALUE"""),1.0)</f>
        <v>1</v>
      </c>
      <c r="AM194" s="133">
        <f>IFERROR(__xludf.DUMMYFUNCTION("""COMPUTED_VALUE"""),3.0)</f>
        <v>3</v>
      </c>
      <c r="AN194" s="133" t="str">
        <f>IFERROR(__xludf.DUMMYFUNCTION("""COMPUTED_VALUE"""),"3")</f>
        <v>3</v>
      </c>
      <c r="AO194" s="133">
        <f>IFERROR(__xludf.DUMMYFUNCTION("""COMPUTED_VALUE"""),3.0)</f>
        <v>3</v>
      </c>
      <c r="AP194" s="155" t="s">
        <v>2461</v>
      </c>
    </row>
    <row r="195">
      <c r="A195" s="555">
        <f>IFERROR(__xludf.DUMMYFUNCTION("""COMPUTED_VALUE"""),191.0)</f>
        <v>191</v>
      </c>
      <c r="B195" s="555" t="str">
        <f>IFERROR(__xludf.DUMMYFUNCTION("""COMPUTED_VALUE"""),"tajh23cs@cmrit.ac.in")</f>
        <v>tajh23cs@cmrit.ac.in</v>
      </c>
      <c r="C195" s="172" t="str">
        <f>IFERROR(__xludf.DUMMYFUNCTION("""COMPUTED_VALUE"""),"TARUN PRAKASH JHA ")</f>
        <v>TARUN PRAKASH JHA </v>
      </c>
      <c r="D195" s="261" t="str">
        <f>IFERROR(__xludf.DUMMYFUNCTION("""COMPUTED_VALUE"""),"1CR23CS199")</f>
        <v>1CR23CS199</v>
      </c>
      <c r="E195" s="563">
        <f>IFERROR(__xludf.DUMMYFUNCTION("""COMPUTED_VALUE"""),9.15380922E9)</f>
        <v>9153809220</v>
      </c>
      <c r="F195" s="155" t="str">
        <f>IFERROR(__xludf.DUMMYFUNCTION("""COMPUTED_VALUE"""),"CSE")</f>
        <v>CSE</v>
      </c>
      <c r="G195" s="158"/>
      <c r="H195" s="559">
        <f>IFERROR(__xludf.DUMMYFUNCTION("""COMPUTED_VALUE"""),79.0)</f>
        <v>79</v>
      </c>
      <c r="I195" s="559">
        <f>IFERROR(__xludf.DUMMYFUNCTION("""COMPUTED_VALUE"""),85.0)</f>
        <v>85</v>
      </c>
      <c r="J195" s="559">
        <f>IFERROR(__xludf.DUMMYFUNCTION("""COMPUTED_VALUE"""),81.0)</f>
        <v>81</v>
      </c>
      <c r="K195" s="559">
        <f>IFERROR(__xludf.DUMMYFUNCTION("""COMPUTED_VALUE"""),79.0)</f>
        <v>79</v>
      </c>
      <c r="L195" s="560">
        <f>IFERROR(__xludf.DUMMYFUNCTION("""COMPUTED_VALUE"""),67.0)</f>
        <v>67</v>
      </c>
      <c r="M195" s="561">
        <f>IFERROR(__xludf.DUMMYFUNCTION("""COMPUTED_VALUE"""),50.0)</f>
        <v>50</v>
      </c>
      <c r="N195" s="561">
        <f>IFERROR(__xludf.DUMMYFUNCTION("""COMPUTED_VALUE"""),60.0)</f>
        <v>60</v>
      </c>
      <c r="O195" s="560"/>
      <c r="P195" s="562">
        <f>IFERROR(__xludf.DUMMYFUNCTION("""COMPUTED_VALUE"""),78.0)</f>
        <v>78</v>
      </c>
      <c r="Q195" s="562">
        <f>IFERROR(__xludf.DUMMYFUNCTION("""COMPUTED_VALUE"""),63.0)</f>
        <v>63</v>
      </c>
      <c r="R195" s="562">
        <f>IFERROR(__xludf.DUMMYFUNCTION("""COMPUTED_VALUE"""),82.0)</f>
        <v>82</v>
      </c>
      <c r="S195" s="562"/>
      <c r="T195" s="217">
        <f>IFERROR(__xludf.DUMMYFUNCTION("""COMPUTED_VALUE"""),18.0)</f>
        <v>18</v>
      </c>
      <c r="U195" s="217">
        <f>IFERROR(__xludf.DUMMYFUNCTION("""COMPUTED_VALUE"""),20.0)</f>
        <v>20</v>
      </c>
      <c r="V195" s="217"/>
      <c r="W195" s="217">
        <f>IFERROR(__xludf.DUMMYFUNCTION("""COMPUTED_VALUE"""),64.0)</f>
        <v>64</v>
      </c>
      <c r="X195" s="217">
        <f>IFERROR(__xludf.DUMMYFUNCTION("""COMPUTED_VALUE"""),84.0)</f>
        <v>84</v>
      </c>
      <c r="Y195" s="217"/>
      <c r="Z195" s="217"/>
      <c r="AA195" s="481">
        <f>IFERROR(__xludf.DUMMYFUNCTION("""COMPUTED_VALUE"""),100.0)</f>
        <v>100</v>
      </c>
      <c r="AB195" s="481">
        <f>IFERROR(__xludf.DUMMYFUNCTION("""COMPUTED_VALUE"""),90.0)</f>
        <v>90</v>
      </c>
      <c r="AC195" s="481">
        <f>IFERROR(__xludf.DUMMYFUNCTION("""COMPUTED_VALUE"""),88.0)</f>
        <v>88</v>
      </c>
      <c r="AD195" s="481">
        <f>IFERROR(__xludf.DUMMYFUNCTION("""COMPUTED_VALUE"""),65.0)</f>
        <v>65</v>
      </c>
      <c r="AE195" s="481">
        <f>IFERROR(__xludf.DUMMYFUNCTION("""COMPUTED_VALUE"""),87.0)</f>
        <v>87</v>
      </c>
      <c r="AF195" s="481"/>
      <c r="AG195" s="481">
        <f>IFERROR(__xludf.DUMMYFUNCTION("""COMPUTED_VALUE"""),73.0)</f>
        <v>73</v>
      </c>
      <c r="AH195" s="481"/>
      <c r="AI195" s="158"/>
      <c r="AJ195" s="158"/>
      <c r="AK195" s="133">
        <f>IFERROR(__xludf.DUMMYFUNCTION("""COMPUTED_VALUE"""),4.0)</f>
        <v>4</v>
      </c>
      <c r="AL195" s="133">
        <f>IFERROR(__xludf.DUMMYFUNCTION("""COMPUTED_VALUE"""),3.0)</f>
        <v>3</v>
      </c>
      <c r="AM195" s="133">
        <f>IFERROR(__xludf.DUMMYFUNCTION("""COMPUTED_VALUE"""),3.0)</f>
        <v>3</v>
      </c>
      <c r="AN195" s="133" t="str">
        <f>IFERROR(__xludf.DUMMYFUNCTION("""COMPUTED_VALUE"""),"3.5")</f>
        <v>3.5</v>
      </c>
      <c r="AO195" s="133">
        <f>IFERROR(__xludf.DUMMYFUNCTION("""COMPUTED_VALUE"""),3.0)</f>
        <v>3</v>
      </c>
      <c r="AP195" s="155" t="s">
        <v>2461</v>
      </c>
    </row>
    <row r="196">
      <c r="A196" s="555">
        <f>IFERROR(__xludf.DUMMYFUNCTION("""COMPUTED_VALUE"""),192.0)</f>
        <v>192</v>
      </c>
      <c r="B196" s="555" t="str">
        <f>IFERROR(__xludf.DUMMYFUNCTION("""COMPUTED_VALUE"""),"thsv23cs@cmrit.ac.in")</f>
        <v>thsv23cs@cmrit.ac.in</v>
      </c>
      <c r="C196" s="172" t="str">
        <f>IFERROR(__xludf.DUMMYFUNCTION("""COMPUTED_VALUE"""),"THRISHA S V")</f>
        <v>THRISHA S V</v>
      </c>
      <c r="D196" s="261" t="str">
        <f>IFERROR(__xludf.DUMMYFUNCTION("""COMPUTED_VALUE"""),"1CR23CS200")</f>
        <v>1CR23CS200</v>
      </c>
      <c r="E196" s="563">
        <f>IFERROR(__xludf.DUMMYFUNCTION("""COMPUTED_VALUE"""),6.366069528E9)</f>
        <v>6366069528</v>
      </c>
      <c r="F196" s="155" t="str">
        <f>IFERROR(__xludf.DUMMYFUNCTION("""COMPUTED_VALUE"""),"CSE")</f>
        <v>CSE</v>
      </c>
      <c r="G196" s="158"/>
      <c r="H196" s="559">
        <f>IFERROR(__xludf.DUMMYFUNCTION("""COMPUTED_VALUE"""),85.0)</f>
        <v>85</v>
      </c>
      <c r="I196" s="559">
        <f>IFERROR(__xludf.DUMMYFUNCTION("""COMPUTED_VALUE"""),80.0)</f>
        <v>80</v>
      </c>
      <c r="J196" s="559">
        <f>IFERROR(__xludf.DUMMYFUNCTION("""COMPUTED_VALUE"""),11.0)</f>
        <v>11</v>
      </c>
      <c r="K196" s="559">
        <f>IFERROR(__xludf.DUMMYFUNCTION("""COMPUTED_VALUE"""),8.0)</f>
        <v>8</v>
      </c>
      <c r="L196" s="560">
        <f>IFERROR(__xludf.DUMMYFUNCTION("""COMPUTED_VALUE"""),27.0)</f>
        <v>27</v>
      </c>
      <c r="M196" s="561">
        <f>IFERROR(__xludf.DUMMYFUNCTION("""COMPUTED_VALUE"""),0.0)</f>
        <v>0</v>
      </c>
      <c r="N196" s="561">
        <f>IFERROR(__xludf.DUMMYFUNCTION("""COMPUTED_VALUE"""),0.0)</f>
        <v>0</v>
      </c>
      <c r="O196" s="560"/>
      <c r="P196" s="562">
        <f>IFERROR(__xludf.DUMMYFUNCTION("""COMPUTED_VALUE"""),78.0)</f>
        <v>78</v>
      </c>
      <c r="Q196" s="562">
        <f>IFERROR(__xludf.DUMMYFUNCTION("""COMPUTED_VALUE"""),0.0)</f>
        <v>0</v>
      </c>
      <c r="R196" s="562">
        <f>IFERROR(__xludf.DUMMYFUNCTION("""COMPUTED_VALUE"""),0.0)</f>
        <v>0</v>
      </c>
      <c r="S196" s="562"/>
      <c r="T196" s="217">
        <f>IFERROR(__xludf.DUMMYFUNCTION("""COMPUTED_VALUE"""),13.0)</f>
        <v>13</v>
      </c>
      <c r="U196" s="217">
        <f>IFERROR(__xludf.DUMMYFUNCTION("""COMPUTED_VALUE"""),19.0)</f>
        <v>19</v>
      </c>
      <c r="V196" s="217"/>
      <c r="W196" s="217"/>
      <c r="X196" s="217"/>
      <c r="Y196" s="217"/>
      <c r="Z196" s="217"/>
      <c r="AA196" s="481">
        <f>IFERROR(__xludf.DUMMYFUNCTION("""COMPUTED_VALUE"""),80.0)</f>
        <v>80</v>
      </c>
      <c r="AB196" s="481">
        <f>IFERROR(__xludf.DUMMYFUNCTION("""COMPUTED_VALUE"""),27.5)</f>
        <v>27.5</v>
      </c>
      <c r="AC196" s="481">
        <f>IFERROR(__xludf.DUMMYFUNCTION("""COMPUTED_VALUE"""),0.0)</f>
        <v>0</v>
      </c>
      <c r="AD196" s="481">
        <f>IFERROR(__xludf.DUMMYFUNCTION("""COMPUTED_VALUE"""),0.0)</f>
        <v>0</v>
      </c>
      <c r="AE196" s="481">
        <f>IFERROR(__xludf.DUMMYFUNCTION("""COMPUTED_VALUE"""),10.0)</f>
        <v>10</v>
      </c>
      <c r="AF196" s="481"/>
      <c r="AG196" s="481">
        <f>IFERROR(__xludf.DUMMYFUNCTION("""COMPUTED_VALUE"""),0.0)</f>
        <v>0</v>
      </c>
      <c r="AH196" s="481"/>
      <c r="AI196" s="158"/>
      <c r="AJ196" s="158"/>
      <c r="AK196" s="133">
        <f>IFERROR(__xludf.DUMMYFUNCTION("""COMPUTED_VALUE"""),2.0)</f>
        <v>2</v>
      </c>
      <c r="AL196" s="133">
        <f>IFERROR(__xludf.DUMMYFUNCTION("""COMPUTED_VALUE"""),0.0)</f>
        <v>0</v>
      </c>
      <c r="AM196" s="133">
        <f>IFERROR(__xludf.DUMMYFUNCTION("""COMPUTED_VALUE"""),2.0)</f>
        <v>2</v>
      </c>
      <c r="AN196" s="133" t="str">
        <f>IFERROR(__xludf.DUMMYFUNCTION("""COMPUTED_VALUE"""),"0")</f>
        <v>0</v>
      </c>
      <c r="AO196" s="133">
        <f>IFERROR(__xludf.DUMMYFUNCTION("""COMPUTED_VALUE"""),1.0)</f>
        <v>1</v>
      </c>
      <c r="AP196" s="155" t="s">
        <v>2461</v>
      </c>
    </row>
    <row r="197">
      <c r="A197" s="555">
        <f>IFERROR(__xludf.DUMMYFUNCTION("""COMPUTED_VALUE"""),193.0)</f>
        <v>193</v>
      </c>
      <c r="B197" s="555" t="str">
        <f>IFERROR(__xludf.DUMMYFUNCTION("""COMPUTED_VALUE"""),"usb23cs@cmrit.ac.in")</f>
        <v>usb23cs@cmrit.ac.in</v>
      </c>
      <c r="C197" s="172" t="str">
        <f>IFERROR(__xludf.DUMMYFUNCTION("""COMPUTED_VALUE"""),"Usha B")</f>
        <v>Usha B</v>
      </c>
      <c r="D197" s="261" t="str">
        <f>IFERROR(__xludf.DUMMYFUNCTION("""COMPUTED_VALUE"""),"1CR23CS201")</f>
        <v>1CR23CS201</v>
      </c>
      <c r="E197" s="563">
        <f>IFERROR(__xludf.DUMMYFUNCTION("""COMPUTED_VALUE"""),9.14819173E9)</f>
        <v>9148191730</v>
      </c>
      <c r="F197" s="155" t="str">
        <f>IFERROR(__xludf.DUMMYFUNCTION("""COMPUTED_VALUE"""),"CSE")</f>
        <v>CSE</v>
      </c>
      <c r="G197" s="158"/>
      <c r="H197" s="559">
        <f>IFERROR(__xludf.DUMMYFUNCTION("""COMPUTED_VALUE"""),85.0)</f>
        <v>85</v>
      </c>
      <c r="I197" s="559">
        <f>IFERROR(__xludf.DUMMYFUNCTION("""COMPUTED_VALUE"""),80.0)</f>
        <v>80</v>
      </c>
      <c r="J197" s="559">
        <f>IFERROR(__xludf.DUMMYFUNCTION("""COMPUTED_VALUE"""),72.0)</f>
        <v>72</v>
      </c>
      <c r="K197" s="559">
        <f>IFERROR(__xludf.DUMMYFUNCTION("""COMPUTED_VALUE"""),80.0)</f>
        <v>80</v>
      </c>
      <c r="L197" s="560">
        <f>IFERROR(__xludf.DUMMYFUNCTION("""COMPUTED_VALUE"""),50.0)</f>
        <v>50</v>
      </c>
      <c r="M197" s="561">
        <f>IFERROR(__xludf.DUMMYFUNCTION("""COMPUTED_VALUE"""),50.0)</f>
        <v>50</v>
      </c>
      <c r="N197" s="561">
        <f>IFERROR(__xludf.DUMMYFUNCTION("""COMPUTED_VALUE"""),50.0)</f>
        <v>50</v>
      </c>
      <c r="O197" s="560"/>
      <c r="P197" s="562">
        <f>IFERROR(__xludf.DUMMYFUNCTION("""COMPUTED_VALUE"""),71.0)</f>
        <v>71</v>
      </c>
      <c r="Q197" s="562">
        <f>IFERROR(__xludf.DUMMYFUNCTION("""COMPUTED_VALUE"""),58.0)</f>
        <v>58</v>
      </c>
      <c r="R197" s="562">
        <f>IFERROR(__xludf.DUMMYFUNCTION("""COMPUTED_VALUE"""),84.0)</f>
        <v>84</v>
      </c>
      <c r="S197" s="562"/>
      <c r="T197" s="217">
        <f>IFERROR(__xludf.DUMMYFUNCTION("""COMPUTED_VALUE"""),11.0)</f>
        <v>11</v>
      </c>
      <c r="U197" s="217">
        <f>IFERROR(__xludf.DUMMYFUNCTION("""COMPUTED_VALUE"""),21.0)</f>
        <v>21</v>
      </c>
      <c r="V197" s="217">
        <f>IFERROR(__xludf.DUMMYFUNCTION("""COMPUTED_VALUE"""),76.0)</f>
        <v>76</v>
      </c>
      <c r="W197" s="217">
        <f>IFERROR(__xludf.DUMMYFUNCTION("""COMPUTED_VALUE"""),36.0)</f>
        <v>36</v>
      </c>
      <c r="X197" s="217">
        <f>IFERROR(__xludf.DUMMYFUNCTION("""COMPUTED_VALUE"""),84.0)</f>
        <v>84</v>
      </c>
      <c r="Y197" s="217"/>
      <c r="Z197" s="217"/>
      <c r="AA197" s="481">
        <f>IFERROR(__xludf.DUMMYFUNCTION("""COMPUTED_VALUE"""),100.0)</f>
        <v>100</v>
      </c>
      <c r="AB197" s="481">
        <f>IFERROR(__xludf.DUMMYFUNCTION("""COMPUTED_VALUE"""),90.0)</f>
        <v>90</v>
      </c>
      <c r="AC197" s="481">
        <f>IFERROR(__xludf.DUMMYFUNCTION("""COMPUTED_VALUE"""),60.0)</f>
        <v>60</v>
      </c>
      <c r="AD197" s="481">
        <f>IFERROR(__xludf.DUMMYFUNCTION("""COMPUTED_VALUE"""),100.0)</f>
        <v>100</v>
      </c>
      <c r="AE197" s="481">
        <f>IFERROR(__xludf.DUMMYFUNCTION("""COMPUTED_VALUE"""),70.0)</f>
        <v>70</v>
      </c>
      <c r="AF197" s="481"/>
      <c r="AG197" s="481">
        <f>IFERROR(__xludf.DUMMYFUNCTION("""COMPUTED_VALUE"""),72.0)</f>
        <v>72</v>
      </c>
      <c r="AH197" s="481"/>
      <c r="AI197" s="158"/>
      <c r="AJ197" s="158"/>
      <c r="AK197" s="133">
        <f>IFERROR(__xludf.DUMMYFUNCTION("""COMPUTED_VALUE"""),4.0)</f>
        <v>4</v>
      </c>
      <c r="AL197" s="133">
        <f>IFERROR(__xludf.DUMMYFUNCTION("""COMPUTED_VALUE"""),3.0)</f>
        <v>3</v>
      </c>
      <c r="AM197" s="133">
        <f>IFERROR(__xludf.DUMMYFUNCTION("""COMPUTED_VALUE"""),2.0)</f>
        <v>2</v>
      </c>
      <c r="AN197" s="133" t="str">
        <f>IFERROR(__xludf.DUMMYFUNCTION("""COMPUTED_VALUE"""),"3.5")</f>
        <v>3.5</v>
      </c>
      <c r="AO197" s="133">
        <f>IFERROR(__xludf.DUMMYFUNCTION("""COMPUTED_VALUE"""),3.0)</f>
        <v>3</v>
      </c>
      <c r="AP197" s="155" t="s">
        <v>2461</v>
      </c>
    </row>
    <row r="198">
      <c r="A198" s="555">
        <f>IFERROR(__xludf.DUMMYFUNCTION("""COMPUTED_VALUE"""),194.0)</f>
        <v>194</v>
      </c>
      <c r="B198" s="555" t="str">
        <f>IFERROR(__xludf.DUMMYFUNCTION("""COMPUTED_VALUE"""),"uta23cs@cmrit.ac.in")</f>
        <v>uta23cs@cmrit.ac.in</v>
      </c>
      <c r="C198" s="172" t="str">
        <f>IFERROR(__xludf.DUMMYFUNCTION("""COMPUTED_VALUE"""),"Utham A")</f>
        <v>Utham A</v>
      </c>
      <c r="D198" s="261" t="str">
        <f>IFERROR(__xludf.DUMMYFUNCTION("""COMPUTED_VALUE"""),"1CR23CS202")</f>
        <v>1CR23CS202</v>
      </c>
      <c r="E198" s="563">
        <f>IFERROR(__xludf.DUMMYFUNCTION("""COMPUTED_VALUE"""),8.073224866E9)</f>
        <v>8073224866</v>
      </c>
      <c r="F198" s="155" t="str">
        <f>IFERROR(__xludf.DUMMYFUNCTION("""COMPUTED_VALUE"""),"CSE")</f>
        <v>CSE</v>
      </c>
      <c r="G198" s="158"/>
      <c r="H198" s="559">
        <f>IFERROR(__xludf.DUMMYFUNCTION("""COMPUTED_VALUE"""),83.0)</f>
        <v>83</v>
      </c>
      <c r="I198" s="559">
        <f>IFERROR(__xludf.DUMMYFUNCTION("""COMPUTED_VALUE"""),80.0)</f>
        <v>80</v>
      </c>
      <c r="J198" s="559">
        <f>IFERROR(__xludf.DUMMYFUNCTION("""COMPUTED_VALUE"""),71.0)</f>
        <v>71</v>
      </c>
      <c r="K198" s="559">
        <f>IFERROR(__xludf.DUMMYFUNCTION("""COMPUTED_VALUE"""),16.0)</f>
        <v>16</v>
      </c>
      <c r="L198" s="560">
        <f>IFERROR(__xludf.DUMMYFUNCTION("""COMPUTED_VALUE"""),59.0)</f>
        <v>59</v>
      </c>
      <c r="M198" s="561">
        <f>IFERROR(__xludf.DUMMYFUNCTION("""COMPUTED_VALUE"""),57.0)</f>
        <v>57</v>
      </c>
      <c r="N198" s="561">
        <f>IFERROR(__xludf.DUMMYFUNCTION("""COMPUTED_VALUE"""),0.0)</f>
        <v>0</v>
      </c>
      <c r="O198" s="560"/>
      <c r="P198" s="562">
        <f>IFERROR(__xludf.DUMMYFUNCTION("""COMPUTED_VALUE"""),0.0)</f>
        <v>0</v>
      </c>
      <c r="Q198" s="562">
        <f>IFERROR(__xludf.DUMMYFUNCTION("""COMPUTED_VALUE"""),0.0)</f>
        <v>0</v>
      </c>
      <c r="R198" s="562">
        <f>IFERROR(__xludf.DUMMYFUNCTION("""COMPUTED_VALUE"""),0.0)</f>
        <v>0</v>
      </c>
      <c r="S198" s="562"/>
      <c r="T198" s="217">
        <f>IFERROR(__xludf.DUMMYFUNCTION("""COMPUTED_VALUE"""),16.0)</f>
        <v>16</v>
      </c>
      <c r="U198" s="217">
        <f>IFERROR(__xludf.DUMMYFUNCTION("""COMPUTED_VALUE"""),22.0)</f>
        <v>22</v>
      </c>
      <c r="V198" s="217">
        <f>IFERROR(__xludf.DUMMYFUNCTION("""COMPUTED_VALUE"""),44.0)</f>
        <v>44</v>
      </c>
      <c r="W198" s="217"/>
      <c r="X198" s="217">
        <f>IFERROR(__xludf.DUMMYFUNCTION("""COMPUTED_VALUE"""),96.0)</f>
        <v>96</v>
      </c>
      <c r="Y198" s="217"/>
      <c r="Z198" s="217"/>
      <c r="AA198" s="481">
        <f>IFERROR(__xludf.DUMMYFUNCTION("""COMPUTED_VALUE"""),0.0)</f>
        <v>0</v>
      </c>
      <c r="AB198" s="481">
        <f>IFERROR(__xludf.DUMMYFUNCTION("""COMPUTED_VALUE"""),97.5)</f>
        <v>97.5</v>
      </c>
      <c r="AC198" s="481">
        <f>IFERROR(__xludf.DUMMYFUNCTION("""COMPUTED_VALUE"""),0.0)</f>
        <v>0</v>
      </c>
      <c r="AD198" s="481">
        <f>IFERROR(__xludf.DUMMYFUNCTION("""COMPUTED_VALUE"""),33.0)</f>
        <v>33</v>
      </c>
      <c r="AE198" s="481">
        <f>IFERROR(__xludf.DUMMYFUNCTION("""COMPUTED_VALUE"""),55.0)</f>
        <v>55</v>
      </c>
      <c r="AF198" s="481"/>
      <c r="AG198" s="481">
        <f>IFERROR(__xludf.DUMMYFUNCTION("""COMPUTED_VALUE"""),0.0)</f>
        <v>0</v>
      </c>
      <c r="AH198" s="481"/>
      <c r="AI198" s="158"/>
      <c r="AJ198" s="158"/>
      <c r="AK198" s="133">
        <f>IFERROR(__xludf.DUMMYFUNCTION("""COMPUTED_VALUE"""),3.0)</f>
        <v>3</v>
      </c>
      <c r="AL198" s="133">
        <f>IFERROR(__xludf.DUMMYFUNCTION("""COMPUTED_VALUE"""),2.0)</f>
        <v>2</v>
      </c>
      <c r="AM198" s="133">
        <f>IFERROR(__xludf.DUMMYFUNCTION("""COMPUTED_VALUE"""),2.0)</f>
        <v>2</v>
      </c>
      <c r="AN198" s="133" t="str">
        <f>IFERROR(__xludf.DUMMYFUNCTION("""COMPUTED_VALUE"""),"2")</f>
        <v>2</v>
      </c>
      <c r="AO198" s="133">
        <f>IFERROR(__xludf.DUMMYFUNCTION("""COMPUTED_VALUE"""),0.0)</f>
        <v>0</v>
      </c>
      <c r="AP198" s="155" t="s">
        <v>2461</v>
      </c>
    </row>
    <row r="199">
      <c r="A199" s="555">
        <f>IFERROR(__xludf.DUMMYFUNCTION("""COMPUTED_VALUE"""),195.0)</f>
        <v>195</v>
      </c>
      <c r="B199" s="555" t="str">
        <f>IFERROR(__xludf.DUMMYFUNCTION("""COMPUTED_VALUE"""),"vak23cs@cmrit.ac.in")</f>
        <v>vak23cs@cmrit.ac.in</v>
      </c>
      <c r="C199" s="172" t="str">
        <f>IFERROR(__xludf.DUMMYFUNCTION("""COMPUTED_VALUE"""),"VAISHNAVI K")</f>
        <v>VAISHNAVI K</v>
      </c>
      <c r="D199" s="261" t="str">
        <f>IFERROR(__xludf.DUMMYFUNCTION("""COMPUTED_VALUE"""),"1CR23CS203")</f>
        <v>1CR23CS203</v>
      </c>
      <c r="E199" s="563">
        <f>IFERROR(__xludf.DUMMYFUNCTION("""COMPUTED_VALUE"""),6.366481872E9)</f>
        <v>6366481872</v>
      </c>
      <c r="F199" s="155" t="str">
        <f>IFERROR(__xludf.DUMMYFUNCTION("""COMPUTED_VALUE"""),"CSE")</f>
        <v>CSE</v>
      </c>
      <c r="G199" s="158"/>
      <c r="H199" s="559">
        <f>IFERROR(__xludf.DUMMYFUNCTION("""COMPUTED_VALUE"""),79.0)</f>
        <v>79</v>
      </c>
      <c r="I199" s="559">
        <f>IFERROR(__xludf.DUMMYFUNCTION("""COMPUTED_VALUE"""),80.0)</f>
        <v>80</v>
      </c>
      <c r="J199" s="559">
        <f>IFERROR(__xludf.DUMMYFUNCTION("""COMPUTED_VALUE"""),30.0)</f>
        <v>30</v>
      </c>
      <c r="K199" s="559">
        <f>IFERROR(__xludf.DUMMYFUNCTION("""COMPUTED_VALUE"""),34.0)</f>
        <v>34</v>
      </c>
      <c r="L199" s="560">
        <f>IFERROR(__xludf.DUMMYFUNCTION("""COMPUTED_VALUE"""),29.0)</f>
        <v>29</v>
      </c>
      <c r="M199" s="561">
        <f>IFERROR(__xludf.DUMMYFUNCTION("""COMPUTED_VALUE"""),0.0)</f>
        <v>0</v>
      </c>
      <c r="N199" s="561">
        <f>IFERROR(__xludf.DUMMYFUNCTION("""COMPUTED_VALUE"""),0.0)</f>
        <v>0</v>
      </c>
      <c r="O199" s="560"/>
      <c r="P199" s="562">
        <f>IFERROR(__xludf.DUMMYFUNCTION("""COMPUTED_VALUE"""),78.0)</f>
        <v>78</v>
      </c>
      <c r="Q199" s="562">
        <f>IFERROR(__xludf.DUMMYFUNCTION("""COMPUTED_VALUE"""),65.0)</f>
        <v>65</v>
      </c>
      <c r="R199" s="562">
        <f>IFERROR(__xludf.DUMMYFUNCTION("""COMPUTED_VALUE"""),0.0)</f>
        <v>0</v>
      </c>
      <c r="S199" s="562"/>
      <c r="T199" s="217">
        <f>IFERROR(__xludf.DUMMYFUNCTION("""COMPUTED_VALUE"""),12.0)</f>
        <v>12</v>
      </c>
      <c r="U199" s="217">
        <f>IFERROR(__xludf.DUMMYFUNCTION("""COMPUTED_VALUE"""),18.0)</f>
        <v>18</v>
      </c>
      <c r="V199" s="217"/>
      <c r="W199" s="217"/>
      <c r="X199" s="217"/>
      <c r="Y199" s="217"/>
      <c r="Z199" s="217"/>
      <c r="AA199" s="481">
        <f>IFERROR(__xludf.DUMMYFUNCTION("""COMPUTED_VALUE"""),12.0)</f>
        <v>12</v>
      </c>
      <c r="AB199" s="481">
        <f>IFERROR(__xludf.DUMMYFUNCTION("""COMPUTED_VALUE"""),30.0)</f>
        <v>30</v>
      </c>
      <c r="AC199" s="481">
        <f>IFERROR(__xludf.DUMMYFUNCTION("""COMPUTED_VALUE"""),0.0)</f>
        <v>0</v>
      </c>
      <c r="AD199" s="481">
        <f>IFERROR(__xludf.DUMMYFUNCTION("""COMPUTED_VALUE"""),0.0)</f>
        <v>0</v>
      </c>
      <c r="AE199" s="481">
        <f>IFERROR(__xludf.DUMMYFUNCTION("""COMPUTED_VALUE"""),10.0)</f>
        <v>10</v>
      </c>
      <c r="AF199" s="481"/>
      <c r="AG199" s="481">
        <f>IFERROR(__xludf.DUMMYFUNCTION("""COMPUTED_VALUE"""),0.0)</f>
        <v>0</v>
      </c>
      <c r="AH199" s="481"/>
      <c r="AI199" s="158"/>
      <c r="AJ199" s="158"/>
      <c r="AK199" s="133">
        <f>IFERROR(__xludf.DUMMYFUNCTION("""COMPUTED_VALUE"""),2.0)</f>
        <v>2</v>
      </c>
      <c r="AL199" s="133">
        <f>IFERROR(__xludf.DUMMYFUNCTION("""COMPUTED_VALUE"""),0.0)</f>
        <v>0</v>
      </c>
      <c r="AM199" s="133">
        <f>IFERROR(__xludf.DUMMYFUNCTION("""COMPUTED_VALUE"""),2.0)</f>
        <v>2</v>
      </c>
      <c r="AN199" s="133" t="str">
        <f>IFERROR(__xludf.DUMMYFUNCTION("""COMPUTED_VALUE"""),"0")</f>
        <v>0</v>
      </c>
      <c r="AO199" s="133">
        <f>IFERROR(__xludf.DUMMYFUNCTION("""COMPUTED_VALUE"""),2.0)</f>
        <v>2</v>
      </c>
      <c r="AP199" s="155" t="s">
        <v>2461</v>
      </c>
    </row>
    <row r="200">
      <c r="A200" s="555">
        <f>IFERROR(__xludf.DUMMYFUNCTION("""COMPUTED_VALUE"""),196.0)</f>
        <v>196</v>
      </c>
      <c r="B200" s="555" t="str">
        <f>IFERROR(__xludf.DUMMYFUNCTION("""COMPUTED_VALUE"""),"vash23cs@cmrit.ac.in")</f>
        <v>vash23cs@cmrit.ac.in</v>
      </c>
      <c r="C200" s="172" t="str">
        <f>IFERROR(__xludf.DUMMYFUNCTION("""COMPUTED_VALUE"""),"VALLAMREDDY SHRAVYA")</f>
        <v>VALLAMREDDY SHRAVYA</v>
      </c>
      <c r="D200" s="261" t="str">
        <f>IFERROR(__xludf.DUMMYFUNCTION("""COMPUTED_VALUE"""),"1CR23CS204")</f>
        <v>1CR23CS204</v>
      </c>
      <c r="E200" s="563">
        <f>IFERROR(__xludf.DUMMYFUNCTION("""COMPUTED_VALUE"""),9.398129801E9)</f>
        <v>9398129801</v>
      </c>
      <c r="F200" s="155" t="str">
        <f>IFERROR(__xludf.DUMMYFUNCTION("""COMPUTED_VALUE"""),"CSE")</f>
        <v>CSE</v>
      </c>
      <c r="G200" s="158"/>
      <c r="H200" s="559">
        <f>IFERROR(__xludf.DUMMYFUNCTION("""COMPUTED_VALUE"""),88.0)</f>
        <v>88</v>
      </c>
      <c r="I200" s="559">
        <f>IFERROR(__xludf.DUMMYFUNCTION("""COMPUTED_VALUE"""),86.0)</f>
        <v>86</v>
      </c>
      <c r="J200" s="559">
        <f>IFERROR(__xludf.DUMMYFUNCTION("""COMPUTED_VALUE"""),80.0)</f>
        <v>80</v>
      </c>
      <c r="K200" s="559">
        <f>IFERROR(__xludf.DUMMYFUNCTION("""COMPUTED_VALUE"""),81.0)</f>
        <v>81</v>
      </c>
      <c r="L200" s="560">
        <f>IFERROR(__xludf.DUMMYFUNCTION("""COMPUTED_VALUE"""),65.0)</f>
        <v>65</v>
      </c>
      <c r="M200" s="561">
        <f>IFERROR(__xludf.DUMMYFUNCTION("""COMPUTED_VALUE"""),50.0)</f>
        <v>50</v>
      </c>
      <c r="N200" s="561">
        <f>IFERROR(__xludf.DUMMYFUNCTION("""COMPUTED_VALUE"""),50.0)</f>
        <v>50</v>
      </c>
      <c r="O200" s="560"/>
      <c r="P200" s="562">
        <f>IFERROR(__xludf.DUMMYFUNCTION("""COMPUTED_VALUE"""),77.0)</f>
        <v>77</v>
      </c>
      <c r="Q200" s="562">
        <f>IFERROR(__xludf.DUMMYFUNCTION("""COMPUTED_VALUE"""),84.0)</f>
        <v>84</v>
      </c>
      <c r="R200" s="562">
        <f>IFERROR(__xludf.DUMMYFUNCTION("""COMPUTED_VALUE"""),88.0)</f>
        <v>88</v>
      </c>
      <c r="S200" s="562"/>
      <c r="T200" s="217">
        <f>IFERROR(__xludf.DUMMYFUNCTION("""COMPUTED_VALUE"""),13.0)</f>
        <v>13</v>
      </c>
      <c r="U200" s="217">
        <f>IFERROR(__xludf.DUMMYFUNCTION("""COMPUTED_VALUE"""),22.0)</f>
        <v>22</v>
      </c>
      <c r="V200" s="217">
        <f>IFERROR(__xludf.DUMMYFUNCTION("""COMPUTED_VALUE"""),52.0)</f>
        <v>52</v>
      </c>
      <c r="W200" s="217">
        <f>IFERROR(__xludf.DUMMYFUNCTION("""COMPUTED_VALUE"""),44.0)</f>
        <v>44</v>
      </c>
      <c r="X200" s="217">
        <f>IFERROR(__xludf.DUMMYFUNCTION("""COMPUTED_VALUE"""),82.0)</f>
        <v>82</v>
      </c>
      <c r="Y200" s="217"/>
      <c r="Z200" s="217"/>
      <c r="AA200" s="481">
        <f>IFERROR(__xludf.DUMMYFUNCTION("""COMPUTED_VALUE"""),94.0)</f>
        <v>94</v>
      </c>
      <c r="AB200" s="481">
        <f>IFERROR(__xludf.DUMMYFUNCTION("""COMPUTED_VALUE"""),87.5)</f>
        <v>87.5</v>
      </c>
      <c r="AC200" s="481">
        <f>IFERROR(__xludf.DUMMYFUNCTION("""COMPUTED_VALUE"""),80.0)</f>
        <v>80</v>
      </c>
      <c r="AD200" s="481">
        <f>IFERROR(__xludf.DUMMYFUNCTION("""COMPUTED_VALUE"""),100.0)</f>
        <v>100</v>
      </c>
      <c r="AE200" s="481">
        <f>IFERROR(__xludf.DUMMYFUNCTION("""COMPUTED_VALUE"""),21.0)</f>
        <v>21</v>
      </c>
      <c r="AF200" s="481"/>
      <c r="AG200" s="481">
        <f>IFERROR(__xludf.DUMMYFUNCTION("""COMPUTED_VALUE"""),70.0)</f>
        <v>70</v>
      </c>
      <c r="AH200" s="481"/>
      <c r="AI200" s="158"/>
      <c r="AJ200" s="158"/>
      <c r="AK200" s="133">
        <f>IFERROR(__xludf.DUMMYFUNCTION("""COMPUTED_VALUE"""),4.0)</f>
        <v>4</v>
      </c>
      <c r="AL200" s="133">
        <f>IFERROR(__xludf.DUMMYFUNCTION("""COMPUTED_VALUE"""),3.0)</f>
        <v>3</v>
      </c>
      <c r="AM200" s="133">
        <f>IFERROR(__xludf.DUMMYFUNCTION("""COMPUTED_VALUE"""),2.0)</f>
        <v>2</v>
      </c>
      <c r="AN200" s="133" t="str">
        <f>IFERROR(__xludf.DUMMYFUNCTION("""COMPUTED_VALUE"""),"3")</f>
        <v>3</v>
      </c>
      <c r="AO200" s="133">
        <f>IFERROR(__xludf.DUMMYFUNCTION("""COMPUTED_VALUE"""),3.0)</f>
        <v>3</v>
      </c>
      <c r="AP200" s="155" t="s">
        <v>2461</v>
      </c>
    </row>
    <row r="201">
      <c r="A201" s="555">
        <f>IFERROR(__xludf.DUMMYFUNCTION("""COMPUTED_VALUE"""),197.0)</f>
        <v>197</v>
      </c>
      <c r="B201" s="555" t="str">
        <f>IFERROR(__xludf.DUMMYFUNCTION("""COMPUTED_VALUE"""),"vata23cs@cmrit.ac.in")</f>
        <v>vata23cs@cmrit.ac.in</v>
      </c>
      <c r="C201" s="172" t="str">
        <f>IFERROR(__xludf.DUMMYFUNCTION("""COMPUTED_VALUE"""),"Vandita Krishnaraja Tantry")</f>
        <v>Vandita Krishnaraja Tantry</v>
      </c>
      <c r="D201" s="261" t="str">
        <f>IFERROR(__xludf.DUMMYFUNCTION("""COMPUTED_VALUE"""),"1CR23CS205")</f>
        <v>1CR23CS205</v>
      </c>
      <c r="E201" s="563">
        <f>IFERROR(__xludf.DUMMYFUNCTION("""COMPUTED_VALUE"""),7.204702706E9)</f>
        <v>7204702706</v>
      </c>
      <c r="F201" s="155" t="str">
        <f>IFERROR(__xludf.DUMMYFUNCTION("""COMPUTED_VALUE"""),"CSE")</f>
        <v>CSE</v>
      </c>
      <c r="G201" s="158"/>
      <c r="H201" s="559">
        <f>IFERROR(__xludf.DUMMYFUNCTION("""COMPUTED_VALUE"""),89.0)</f>
        <v>89</v>
      </c>
      <c r="I201" s="559">
        <f>IFERROR(__xludf.DUMMYFUNCTION("""COMPUTED_VALUE"""),95.0)</f>
        <v>95</v>
      </c>
      <c r="J201" s="559">
        <f>IFERROR(__xludf.DUMMYFUNCTION("""COMPUTED_VALUE"""),80.0)</f>
        <v>80</v>
      </c>
      <c r="K201" s="559">
        <f>IFERROR(__xludf.DUMMYFUNCTION("""COMPUTED_VALUE"""),80.0)</f>
        <v>80</v>
      </c>
      <c r="L201" s="560">
        <f>IFERROR(__xludf.DUMMYFUNCTION("""COMPUTED_VALUE"""),63.0)</f>
        <v>63</v>
      </c>
      <c r="M201" s="561">
        <f>IFERROR(__xludf.DUMMYFUNCTION("""COMPUTED_VALUE"""),37.0)</f>
        <v>37</v>
      </c>
      <c r="N201" s="561">
        <f>IFERROR(__xludf.DUMMYFUNCTION("""COMPUTED_VALUE"""),55.0)</f>
        <v>55</v>
      </c>
      <c r="O201" s="560"/>
      <c r="P201" s="562">
        <f>IFERROR(__xludf.DUMMYFUNCTION("""COMPUTED_VALUE"""),72.0)</f>
        <v>72</v>
      </c>
      <c r="Q201" s="562">
        <f>IFERROR(__xludf.DUMMYFUNCTION("""COMPUTED_VALUE"""),73.0)</f>
        <v>73</v>
      </c>
      <c r="R201" s="562">
        <f>IFERROR(__xludf.DUMMYFUNCTION("""COMPUTED_VALUE"""),85.0)</f>
        <v>85</v>
      </c>
      <c r="S201" s="562"/>
      <c r="T201" s="217">
        <f>IFERROR(__xludf.DUMMYFUNCTION("""COMPUTED_VALUE"""),20.0)</f>
        <v>20</v>
      </c>
      <c r="U201" s="217">
        <f>IFERROR(__xludf.DUMMYFUNCTION("""COMPUTED_VALUE"""),18.0)</f>
        <v>18</v>
      </c>
      <c r="V201" s="217">
        <f>IFERROR(__xludf.DUMMYFUNCTION("""COMPUTED_VALUE"""),95.0)</f>
        <v>95</v>
      </c>
      <c r="W201" s="217">
        <f>IFERROR(__xludf.DUMMYFUNCTION("""COMPUTED_VALUE"""),44.0)</f>
        <v>44</v>
      </c>
      <c r="X201" s="217">
        <f>IFERROR(__xludf.DUMMYFUNCTION("""COMPUTED_VALUE"""),86.0)</f>
        <v>86</v>
      </c>
      <c r="Y201" s="217"/>
      <c r="Z201" s="217"/>
      <c r="AA201" s="481">
        <f>IFERROR(__xludf.DUMMYFUNCTION("""COMPUTED_VALUE"""),60.0)</f>
        <v>60</v>
      </c>
      <c r="AB201" s="481">
        <f>IFERROR(__xludf.DUMMYFUNCTION("""COMPUTED_VALUE"""),100.0)</f>
        <v>100</v>
      </c>
      <c r="AC201" s="481">
        <f>IFERROR(__xludf.DUMMYFUNCTION("""COMPUTED_VALUE"""),100.0)</f>
        <v>100</v>
      </c>
      <c r="AD201" s="481">
        <f>IFERROR(__xludf.DUMMYFUNCTION("""COMPUTED_VALUE"""),100.0)</f>
        <v>100</v>
      </c>
      <c r="AE201" s="481">
        <f>IFERROR(__xludf.DUMMYFUNCTION("""COMPUTED_VALUE"""),84.0)</f>
        <v>84</v>
      </c>
      <c r="AF201" s="481"/>
      <c r="AG201" s="481">
        <f>IFERROR(__xludf.DUMMYFUNCTION("""COMPUTED_VALUE"""),64.0)</f>
        <v>64</v>
      </c>
      <c r="AH201" s="481"/>
      <c r="AI201" s="158"/>
      <c r="AJ201" s="158"/>
      <c r="AK201" s="133">
        <f>IFERROR(__xludf.DUMMYFUNCTION("""COMPUTED_VALUE"""),4.0)</f>
        <v>4</v>
      </c>
      <c r="AL201" s="133">
        <f>IFERROR(__xludf.DUMMYFUNCTION("""COMPUTED_VALUE"""),1.0)</f>
        <v>1</v>
      </c>
      <c r="AM201" s="133">
        <f>IFERROR(__xludf.DUMMYFUNCTION("""COMPUTED_VALUE"""),2.0)</f>
        <v>2</v>
      </c>
      <c r="AN201" s="133" t="str">
        <f>IFERROR(__xludf.DUMMYFUNCTION("""COMPUTED_VALUE"""),"3.5")</f>
        <v>3.5</v>
      </c>
      <c r="AO201" s="133">
        <f>IFERROR(__xludf.DUMMYFUNCTION("""COMPUTED_VALUE"""),3.0)</f>
        <v>3</v>
      </c>
      <c r="AP201" s="155" t="s">
        <v>2461</v>
      </c>
    </row>
    <row r="202">
      <c r="A202" s="555">
        <f>IFERROR(__xludf.DUMMYFUNCTION("""COMPUTED_VALUE"""),198.0)</f>
        <v>198</v>
      </c>
      <c r="B202" s="555" t="str">
        <f>IFERROR(__xludf.DUMMYFUNCTION("""COMPUTED_VALUE"""),"var23cs@cmrit.ac.in")</f>
        <v>var23cs@cmrit.ac.in</v>
      </c>
      <c r="C202" s="172" t="str">
        <f>IFERROR(__xludf.DUMMYFUNCTION("""COMPUTED_VALUE"""),"VARSHA R ")</f>
        <v>VARSHA R </v>
      </c>
      <c r="D202" s="261" t="str">
        <f>IFERROR(__xludf.DUMMYFUNCTION("""COMPUTED_VALUE"""),"1CR23CS206")</f>
        <v>1CR23CS206</v>
      </c>
      <c r="E202" s="563">
        <f>IFERROR(__xludf.DUMMYFUNCTION("""COMPUTED_VALUE"""),8.904752121E9)</f>
        <v>8904752121</v>
      </c>
      <c r="F202" s="155" t="str">
        <f>IFERROR(__xludf.DUMMYFUNCTION("""COMPUTED_VALUE"""),"CSE")</f>
        <v>CSE</v>
      </c>
      <c r="G202" s="158"/>
      <c r="H202" s="559">
        <f>IFERROR(__xludf.DUMMYFUNCTION("""COMPUTED_VALUE"""),80.0)</f>
        <v>80</v>
      </c>
      <c r="I202" s="559">
        <f>IFERROR(__xludf.DUMMYFUNCTION("""COMPUTED_VALUE"""),88.0)</f>
        <v>88</v>
      </c>
      <c r="J202" s="559">
        <f>IFERROR(__xludf.DUMMYFUNCTION("""COMPUTED_VALUE"""),73.0)</f>
        <v>73</v>
      </c>
      <c r="K202" s="559">
        <f>IFERROR(__xludf.DUMMYFUNCTION("""COMPUTED_VALUE"""),78.0)</f>
        <v>78</v>
      </c>
      <c r="L202" s="560">
        <f>IFERROR(__xludf.DUMMYFUNCTION("""COMPUTED_VALUE"""),50.0)</f>
        <v>50</v>
      </c>
      <c r="M202" s="561">
        <f>IFERROR(__xludf.DUMMYFUNCTION("""COMPUTED_VALUE"""),18.0)</f>
        <v>18</v>
      </c>
      <c r="N202" s="561">
        <f>IFERROR(__xludf.DUMMYFUNCTION("""COMPUTED_VALUE"""),50.0)</f>
        <v>50</v>
      </c>
      <c r="O202" s="560"/>
      <c r="P202" s="562">
        <f>IFERROR(__xludf.DUMMYFUNCTION("""COMPUTED_VALUE"""),77.0)</f>
        <v>77</v>
      </c>
      <c r="Q202" s="562">
        <f>IFERROR(__xludf.DUMMYFUNCTION("""COMPUTED_VALUE"""),50.0)</f>
        <v>50</v>
      </c>
      <c r="R202" s="562">
        <f>IFERROR(__xludf.DUMMYFUNCTION("""COMPUTED_VALUE"""),90.0)</f>
        <v>90</v>
      </c>
      <c r="S202" s="562"/>
      <c r="T202" s="217">
        <f>IFERROR(__xludf.DUMMYFUNCTION("""COMPUTED_VALUE"""),16.0)</f>
        <v>16</v>
      </c>
      <c r="U202" s="217">
        <f>IFERROR(__xludf.DUMMYFUNCTION("""COMPUTED_VALUE"""),21.0)</f>
        <v>21</v>
      </c>
      <c r="V202" s="217">
        <f>IFERROR(__xludf.DUMMYFUNCTION("""COMPUTED_VALUE"""),56.0)</f>
        <v>56</v>
      </c>
      <c r="W202" s="217"/>
      <c r="X202" s="217">
        <f>IFERROR(__xludf.DUMMYFUNCTION("""COMPUTED_VALUE"""),58.0)</f>
        <v>58</v>
      </c>
      <c r="Y202" s="217"/>
      <c r="Z202" s="217"/>
      <c r="AA202" s="481">
        <f>IFERROR(__xludf.DUMMYFUNCTION("""COMPUTED_VALUE"""),88.0)</f>
        <v>88</v>
      </c>
      <c r="AB202" s="481">
        <f>IFERROR(__xludf.DUMMYFUNCTION("""COMPUTED_VALUE"""),92.5)</f>
        <v>92.5</v>
      </c>
      <c r="AC202" s="481">
        <f>IFERROR(__xludf.DUMMYFUNCTION("""COMPUTED_VALUE"""),100.0)</f>
        <v>100</v>
      </c>
      <c r="AD202" s="481">
        <f>IFERROR(__xludf.DUMMYFUNCTION("""COMPUTED_VALUE"""),100.0)</f>
        <v>100</v>
      </c>
      <c r="AE202" s="481">
        <f>IFERROR(__xludf.DUMMYFUNCTION("""COMPUTED_VALUE"""),84.0)</f>
        <v>84</v>
      </c>
      <c r="AF202" s="481"/>
      <c r="AG202" s="481">
        <f>IFERROR(__xludf.DUMMYFUNCTION("""COMPUTED_VALUE"""),62.0)</f>
        <v>62</v>
      </c>
      <c r="AH202" s="481"/>
      <c r="AI202" s="158"/>
      <c r="AJ202" s="158"/>
      <c r="AK202" s="133">
        <f>IFERROR(__xludf.DUMMYFUNCTION("""COMPUTED_VALUE"""),4.0)</f>
        <v>4</v>
      </c>
      <c r="AL202" s="133">
        <f>IFERROR(__xludf.DUMMYFUNCTION("""COMPUTED_VALUE"""),1.0)</f>
        <v>1</v>
      </c>
      <c r="AM202" s="133">
        <f>IFERROR(__xludf.DUMMYFUNCTION("""COMPUTED_VALUE"""),2.0)</f>
        <v>2</v>
      </c>
      <c r="AN202" s="133" t="str">
        <f>IFERROR(__xludf.DUMMYFUNCTION("""COMPUTED_VALUE"""),"3.5")</f>
        <v>3.5</v>
      </c>
      <c r="AO202" s="133">
        <f>IFERROR(__xludf.DUMMYFUNCTION("""COMPUTED_VALUE"""),3.0)</f>
        <v>3</v>
      </c>
      <c r="AP202" s="155" t="s">
        <v>2461</v>
      </c>
    </row>
    <row r="203">
      <c r="A203" s="555">
        <f>IFERROR(__xludf.DUMMYFUNCTION("""COMPUTED_VALUE"""),199.0)</f>
        <v>199</v>
      </c>
      <c r="B203" s="555" t="str">
        <f>IFERROR(__xludf.DUMMYFUNCTION("""COMPUTED_VALUE"""),"vede23cs@cmrit.ac.in")</f>
        <v>vede23cs@cmrit.ac.in</v>
      </c>
      <c r="C203" s="172" t="str">
        <f>IFERROR(__xludf.DUMMYFUNCTION("""COMPUTED_VALUE"""),"VEDANT DEVDATTA SAKHALKAR")</f>
        <v>VEDANT DEVDATTA SAKHALKAR</v>
      </c>
      <c r="D203" s="261" t="str">
        <f>IFERROR(__xludf.DUMMYFUNCTION("""COMPUTED_VALUE"""),"1CR23CS207")</f>
        <v>1CR23CS207</v>
      </c>
      <c r="E203" s="563"/>
      <c r="F203" s="155" t="str">
        <f>IFERROR(__xludf.DUMMYFUNCTION("""COMPUTED_VALUE"""),"CSE")</f>
        <v>CSE</v>
      </c>
      <c r="G203" s="158"/>
      <c r="H203" s="559">
        <f>IFERROR(__xludf.DUMMYFUNCTION("""COMPUTED_VALUE"""),83.0)</f>
        <v>83</v>
      </c>
      <c r="I203" s="559">
        <f>IFERROR(__xludf.DUMMYFUNCTION("""COMPUTED_VALUE"""),82.0)</f>
        <v>82</v>
      </c>
      <c r="J203" s="559">
        <f>IFERROR(__xludf.DUMMYFUNCTION("""COMPUTED_VALUE"""),77.0)</f>
        <v>77</v>
      </c>
      <c r="K203" s="559">
        <f>IFERROR(__xludf.DUMMYFUNCTION("""COMPUTED_VALUE"""),57.0)</f>
        <v>57</v>
      </c>
      <c r="L203" s="560">
        <f>IFERROR(__xludf.DUMMYFUNCTION("""COMPUTED_VALUE"""),55.0)</f>
        <v>55</v>
      </c>
      <c r="M203" s="561">
        <f>IFERROR(__xludf.DUMMYFUNCTION("""COMPUTED_VALUE"""),10.0)</f>
        <v>10</v>
      </c>
      <c r="N203" s="561">
        <f>IFERROR(__xludf.DUMMYFUNCTION("""COMPUTED_VALUE"""),18.0)</f>
        <v>18</v>
      </c>
      <c r="O203" s="560"/>
      <c r="P203" s="562">
        <f>IFERROR(__xludf.DUMMYFUNCTION("""COMPUTED_VALUE"""),0.0)</f>
        <v>0</v>
      </c>
      <c r="Q203" s="562">
        <f>IFERROR(__xludf.DUMMYFUNCTION("""COMPUTED_VALUE"""),63.0)</f>
        <v>63</v>
      </c>
      <c r="R203" s="562">
        <f>IFERROR(__xludf.DUMMYFUNCTION("""COMPUTED_VALUE"""),61.0)</f>
        <v>61</v>
      </c>
      <c r="S203" s="562"/>
      <c r="T203" s="217"/>
      <c r="U203" s="217">
        <f>IFERROR(__xludf.DUMMYFUNCTION("""COMPUTED_VALUE"""),19.0)</f>
        <v>19</v>
      </c>
      <c r="V203" s="217"/>
      <c r="W203" s="217">
        <f>IFERROR(__xludf.DUMMYFUNCTION("""COMPUTED_VALUE"""),44.0)</f>
        <v>44</v>
      </c>
      <c r="X203" s="217"/>
      <c r="Y203" s="217"/>
      <c r="Z203" s="217"/>
      <c r="AA203" s="481">
        <f>IFERROR(__xludf.DUMMYFUNCTION("""COMPUTED_VALUE"""),80.0)</f>
        <v>80</v>
      </c>
      <c r="AB203" s="481">
        <f>IFERROR(__xludf.DUMMYFUNCTION("""COMPUTED_VALUE"""),42.5)</f>
        <v>42.5</v>
      </c>
      <c r="AC203" s="481">
        <f>IFERROR(__xludf.DUMMYFUNCTION("""COMPUTED_VALUE"""),99.0)</f>
        <v>99</v>
      </c>
      <c r="AD203" s="481">
        <f>IFERROR(__xludf.DUMMYFUNCTION("""COMPUTED_VALUE"""),50.0)</f>
        <v>50</v>
      </c>
      <c r="AE203" s="481">
        <f>IFERROR(__xludf.DUMMYFUNCTION("""COMPUTED_VALUE"""),10.0)</f>
        <v>10</v>
      </c>
      <c r="AF203" s="481"/>
      <c r="AG203" s="481">
        <f>IFERROR(__xludf.DUMMYFUNCTION("""COMPUTED_VALUE"""),19.0)</f>
        <v>19</v>
      </c>
      <c r="AH203" s="481"/>
      <c r="AI203" s="158"/>
      <c r="AJ203" s="158"/>
      <c r="AK203" s="133">
        <f>IFERROR(__xludf.DUMMYFUNCTION("""COMPUTED_VALUE"""),3.0)</f>
        <v>3</v>
      </c>
      <c r="AL203" s="133">
        <f>IFERROR(__xludf.DUMMYFUNCTION("""COMPUTED_VALUE"""),1.0)</f>
        <v>1</v>
      </c>
      <c r="AM203" s="133">
        <f>IFERROR(__xludf.DUMMYFUNCTION("""COMPUTED_VALUE"""),2.0)</f>
        <v>2</v>
      </c>
      <c r="AN203" s="133" t="str">
        <f>IFERROR(__xludf.DUMMYFUNCTION("""COMPUTED_VALUE"""),"0")</f>
        <v>0</v>
      </c>
      <c r="AO203" s="133">
        <f>IFERROR(__xludf.DUMMYFUNCTION("""COMPUTED_VALUE"""),0.0)</f>
        <v>0</v>
      </c>
      <c r="AP203" s="155" t="s">
        <v>2461</v>
      </c>
    </row>
    <row r="204">
      <c r="A204" s="555">
        <f>IFERROR(__xludf.DUMMYFUNCTION("""COMPUTED_VALUE"""),200.0)</f>
        <v>200</v>
      </c>
      <c r="B204" s="555" t="str">
        <f>IFERROR(__xludf.DUMMYFUNCTION("""COMPUTED_VALUE"""),"ved23cs@cmrit.ac.in")</f>
        <v>ved23cs@cmrit.ac.in</v>
      </c>
      <c r="C204" s="172" t="str">
        <f>IFERROR(__xludf.DUMMYFUNCTION("""COMPUTED_VALUE"""),"Veeraj D")</f>
        <v>Veeraj D</v>
      </c>
      <c r="D204" s="261" t="str">
        <f>IFERROR(__xludf.DUMMYFUNCTION("""COMPUTED_VALUE"""),"1CR23CS208")</f>
        <v>1CR23CS208</v>
      </c>
      <c r="E204" s="563">
        <f>IFERROR(__xludf.DUMMYFUNCTION("""COMPUTED_VALUE"""),8.618310801E9)</f>
        <v>8618310801</v>
      </c>
      <c r="F204" s="155" t="str">
        <f>IFERROR(__xludf.DUMMYFUNCTION("""COMPUTED_VALUE"""),"CSE")</f>
        <v>CSE</v>
      </c>
      <c r="G204" s="158"/>
      <c r="H204" s="559">
        <f>IFERROR(__xludf.DUMMYFUNCTION("""COMPUTED_VALUE"""),87.0)</f>
        <v>87</v>
      </c>
      <c r="I204" s="559">
        <f>IFERROR(__xludf.DUMMYFUNCTION("""COMPUTED_VALUE"""),84.0)</f>
        <v>84</v>
      </c>
      <c r="J204" s="559">
        <f>IFERROR(__xludf.DUMMYFUNCTION("""COMPUTED_VALUE"""),72.0)</f>
        <v>72</v>
      </c>
      <c r="K204" s="559">
        <f>IFERROR(__xludf.DUMMYFUNCTION("""COMPUTED_VALUE"""),70.0)</f>
        <v>70</v>
      </c>
      <c r="L204" s="560">
        <f>IFERROR(__xludf.DUMMYFUNCTION("""COMPUTED_VALUE"""),52.0)</f>
        <v>52</v>
      </c>
      <c r="M204" s="561">
        <f>IFERROR(__xludf.DUMMYFUNCTION("""COMPUTED_VALUE"""),4.0)</f>
        <v>4</v>
      </c>
      <c r="N204" s="561">
        <f>IFERROR(__xludf.DUMMYFUNCTION("""COMPUTED_VALUE"""),52.0)</f>
        <v>52</v>
      </c>
      <c r="O204" s="560"/>
      <c r="P204" s="562">
        <f>IFERROR(__xludf.DUMMYFUNCTION("""COMPUTED_VALUE"""),72.0)</f>
        <v>72</v>
      </c>
      <c r="Q204" s="562">
        <f>IFERROR(__xludf.DUMMYFUNCTION("""COMPUTED_VALUE"""),55.0)</f>
        <v>55</v>
      </c>
      <c r="R204" s="562">
        <f>IFERROR(__xludf.DUMMYFUNCTION("""COMPUTED_VALUE"""),84.0)</f>
        <v>84</v>
      </c>
      <c r="S204" s="562"/>
      <c r="T204" s="217">
        <f>IFERROR(__xludf.DUMMYFUNCTION("""COMPUTED_VALUE"""),14.0)</f>
        <v>14</v>
      </c>
      <c r="U204" s="217">
        <f>IFERROR(__xludf.DUMMYFUNCTION("""COMPUTED_VALUE"""),20.0)</f>
        <v>20</v>
      </c>
      <c r="V204" s="217">
        <f>IFERROR(__xludf.DUMMYFUNCTION("""COMPUTED_VALUE"""),56.0)</f>
        <v>56</v>
      </c>
      <c r="W204" s="217">
        <f>IFERROR(__xludf.DUMMYFUNCTION("""COMPUTED_VALUE"""),44.0)</f>
        <v>44</v>
      </c>
      <c r="X204" s="217">
        <f>IFERROR(__xludf.DUMMYFUNCTION("""COMPUTED_VALUE"""),78.0)</f>
        <v>78</v>
      </c>
      <c r="Y204" s="217"/>
      <c r="Z204" s="217"/>
      <c r="AA204" s="481">
        <f>IFERROR(__xludf.DUMMYFUNCTION("""COMPUTED_VALUE"""),64.0)</f>
        <v>64</v>
      </c>
      <c r="AB204" s="481">
        <f>IFERROR(__xludf.DUMMYFUNCTION("""COMPUTED_VALUE"""),90.0)</f>
        <v>90</v>
      </c>
      <c r="AC204" s="481">
        <f>IFERROR(__xludf.DUMMYFUNCTION("""COMPUTED_VALUE"""),68.0)</f>
        <v>68</v>
      </c>
      <c r="AD204" s="481">
        <f>IFERROR(__xludf.DUMMYFUNCTION("""COMPUTED_VALUE"""),83.0)</f>
        <v>83</v>
      </c>
      <c r="AE204" s="481">
        <f>IFERROR(__xludf.DUMMYFUNCTION("""COMPUTED_VALUE"""),83.0)</f>
        <v>83</v>
      </c>
      <c r="AF204" s="481"/>
      <c r="AG204" s="481">
        <f>IFERROR(__xludf.DUMMYFUNCTION("""COMPUTED_VALUE"""),36.0)</f>
        <v>36</v>
      </c>
      <c r="AH204" s="481"/>
      <c r="AI204" s="158"/>
      <c r="AJ204" s="158"/>
      <c r="AK204" s="133">
        <f>IFERROR(__xludf.DUMMYFUNCTION("""COMPUTED_VALUE"""),4.0)</f>
        <v>4</v>
      </c>
      <c r="AL204" s="133">
        <f>IFERROR(__xludf.DUMMYFUNCTION("""COMPUTED_VALUE"""),1.0)</f>
        <v>1</v>
      </c>
      <c r="AM204" s="133">
        <f>IFERROR(__xludf.DUMMYFUNCTION("""COMPUTED_VALUE"""),2.0)</f>
        <v>2</v>
      </c>
      <c r="AN204" s="133" t="str">
        <f>IFERROR(__xludf.DUMMYFUNCTION("""COMPUTED_VALUE"""),"3.5")</f>
        <v>3.5</v>
      </c>
      <c r="AO204" s="133">
        <f>IFERROR(__xludf.DUMMYFUNCTION("""COMPUTED_VALUE"""),3.0)</f>
        <v>3</v>
      </c>
      <c r="AP204" s="155" t="s">
        <v>2461</v>
      </c>
    </row>
    <row r="205">
      <c r="A205" s="555">
        <f>IFERROR(__xludf.DUMMYFUNCTION("""COMPUTED_VALUE"""),201.0)</f>
        <v>201</v>
      </c>
      <c r="B205" s="555" t="str">
        <f>IFERROR(__xludf.DUMMYFUNCTION("""COMPUTED_VALUE"""),"vis23cs@cmrit.ac.in")</f>
        <v>vis23cs@cmrit.ac.in</v>
      </c>
      <c r="C205" s="172" t="str">
        <f>IFERROR(__xludf.DUMMYFUNCTION("""COMPUTED_VALUE"""),"VIGNESH KUMR S")</f>
        <v>VIGNESH KUMR S</v>
      </c>
      <c r="D205" s="261" t="str">
        <f>IFERROR(__xludf.DUMMYFUNCTION("""COMPUTED_VALUE"""),"1CR23CS209")</f>
        <v>1CR23CS209</v>
      </c>
      <c r="E205" s="563">
        <f>IFERROR(__xludf.DUMMYFUNCTION("""COMPUTED_VALUE"""),8.861383837E9)</f>
        <v>8861383837</v>
      </c>
      <c r="F205" s="155" t="str">
        <f>IFERROR(__xludf.DUMMYFUNCTION("""COMPUTED_VALUE"""),"CSE")</f>
        <v>CSE</v>
      </c>
      <c r="G205" s="158"/>
      <c r="H205" s="559">
        <f>IFERROR(__xludf.DUMMYFUNCTION("""COMPUTED_VALUE"""),71.0)</f>
        <v>71</v>
      </c>
      <c r="I205" s="559">
        <f>IFERROR(__xludf.DUMMYFUNCTION("""COMPUTED_VALUE"""),70.0)</f>
        <v>70</v>
      </c>
      <c r="J205" s="559">
        <f>IFERROR(__xludf.DUMMYFUNCTION("""COMPUTED_VALUE"""),70.0)</f>
        <v>70</v>
      </c>
      <c r="K205" s="559">
        <f>IFERROR(__xludf.DUMMYFUNCTION("""COMPUTED_VALUE"""),70.0)</f>
        <v>70</v>
      </c>
      <c r="L205" s="560">
        <f>IFERROR(__xludf.DUMMYFUNCTION("""COMPUTED_VALUE"""),24.0)</f>
        <v>24</v>
      </c>
      <c r="M205" s="561">
        <f>IFERROR(__xludf.DUMMYFUNCTION("""COMPUTED_VALUE"""),8.0)</f>
        <v>8</v>
      </c>
      <c r="N205" s="561">
        <f>IFERROR(__xludf.DUMMYFUNCTION("""COMPUTED_VALUE"""),50.0)</f>
        <v>50</v>
      </c>
      <c r="O205" s="560"/>
      <c r="P205" s="562">
        <f>IFERROR(__xludf.DUMMYFUNCTION("""COMPUTED_VALUE"""),50.0)</f>
        <v>50</v>
      </c>
      <c r="Q205" s="562">
        <f>IFERROR(__xludf.DUMMYFUNCTION("""COMPUTED_VALUE"""),50.0)</f>
        <v>50</v>
      </c>
      <c r="R205" s="562">
        <f>IFERROR(__xludf.DUMMYFUNCTION("""COMPUTED_VALUE"""),92.0)</f>
        <v>92</v>
      </c>
      <c r="S205" s="562"/>
      <c r="T205" s="217">
        <f>IFERROR(__xludf.DUMMYFUNCTION("""COMPUTED_VALUE"""),14.0)</f>
        <v>14</v>
      </c>
      <c r="U205" s="217">
        <f>IFERROR(__xludf.DUMMYFUNCTION("""COMPUTED_VALUE"""),22.0)</f>
        <v>22</v>
      </c>
      <c r="V205" s="217">
        <f>IFERROR(__xludf.DUMMYFUNCTION("""COMPUTED_VALUE"""),52.0)</f>
        <v>52</v>
      </c>
      <c r="W205" s="217">
        <f>IFERROR(__xludf.DUMMYFUNCTION("""COMPUTED_VALUE"""),52.0)</f>
        <v>52</v>
      </c>
      <c r="X205" s="217">
        <f>IFERROR(__xludf.DUMMYFUNCTION("""COMPUTED_VALUE"""),62.0)</f>
        <v>62</v>
      </c>
      <c r="Y205" s="217"/>
      <c r="Z205" s="217"/>
      <c r="AA205" s="481">
        <f>IFERROR(__xludf.DUMMYFUNCTION("""COMPUTED_VALUE"""),0.0)</f>
        <v>0</v>
      </c>
      <c r="AB205" s="481">
        <f>IFERROR(__xludf.DUMMYFUNCTION("""COMPUTED_VALUE"""),52.5)</f>
        <v>52.5</v>
      </c>
      <c r="AC205" s="481">
        <f>IFERROR(__xludf.DUMMYFUNCTION("""COMPUTED_VALUE"""),80.0)</f>
        <v>80</v>
      </c>
      <c r="AD205" s="481">
        <f>IFERROR(__xludf.DUMMYFUNCTION("""COMPUTED_VALUE"""),83.0)</f>
        <v>83</v>
      </c>
      <c r="AE205" s="481">
        <f>IFERROR(__xludf.DUMMYFUNCTION("""COMPUTED_VALUE"""),22.0)</f>
        <v>22</v>
      </c>
      <c r="AF205" s="481"/>
      <c r="AG205" s="481">
        <f>IFERROR(__xludf.DUMMYFUNCTION("""COMPUTED_VALUE"""),54.0)</f>
        <v>54</v>
      </c>
      <c r="AH205" s="481"/>
      <c r="AI205" s="158"/>
      <c r="AJ205" s="158"/>
      <c r="AK205" s="133">
        <f>IFERROR(__xludf.DUMMYFUNCTION("""COMPUTED_VALUE"""),4.0)</f>
        <v>4</v>
      </c>
      <c r="AL205" s="133">
        <f>IFERROR(__xludf.DUMMYFUNCTION("""COMPUTED_VALUE"""),0.0)</f>
        <v>0</v>
      </c>
      <c r="AM205" s="133">
        <f>IFERROR(__xludf.DUMMYFUNCTION("""COMPUTED_VALUE"""),3.0)</f>
        <v>3</v>
      </c>
      <c r="AN205" s="133" t="str">
        <f>IFERROR(__xludf.DUMMYFUNCTION("""COMPUTED_VALUE"""),"3")</f>
        <v>3</v>
      </c>
      <c r="AO205" s="133">
        <f>IFERROR(__xludf.DUMMYFUNCTION("""COMPUTED_VALUE"""),3.0)</f>
        <v>3</v>
      </c>
      <c r="AP205" s="155" t="s">
        <v>2461</v>
      </c>
    </row>
    <row r="206">
      <c r="A206" s="555">
        <f>IFERROR(__xludf.DUMMYFUNCTION("""COMPUTED_VALUE"""),202.0)</f>
        <v>202</v>
      </c>
      <c r="B206" s="555" t="str">
        <f>IFERROR(__xludf.DUMMYFUNCTION("""COMPUTED_VALUE"""),"vik23cs@cmrit.ac.in")</f>
        <v>vik23cs@cmrit.ac.in</v>
      </c>
      <c r="C206" s="172" t="str">
        <f>IFERROR(__xludf.DUMMYFUNCTION("""COMPUTED_VALUE"""),"Vikas k")</f>
        <v>Vikas k</v>
      </c>
      <c r="D206" s="261" t="str">
        <f>IFERROR(__xludf.DUMMYFUNCTION("""COMPUTED_VALUE"""),"1CR23CS210")</f>
        <v>1CR23CS210</v>
      </c>
      <c r="E206" s="563">
        <f>IFERROR(__xludf.DUMMYFUNCTION("""COMPUTED_VALUE"""),7.975667718E9)</f>
        <v>7975667718</v>
      </c>
      <c r="F206" s="155" t="str">
        <f>IFERROR(__xludf.DUMMYFUNCTION("""COMPUTED_VALUE"""),"CSE")</f>
        <v>CSE</v>
      </c>
      <c r="G206" s="158"/>
      <c r="H206" s="559">
        <f>IFERROR(__xludf.DUMMYFUNCTION("""COMPUTED_VALUE"""),71.0)</f>
        <v>71</v>
      </c>
      <c r="I206" s="559">
        <f>IFERROR(__xludf.DUMMYFUNCTION("""COMPUTED_VALUE"""),72.0)</f>
        <v>72</v>
      </c>
      <c r="J206" s="559">
        <f>IFERROR(__xludf.DUMMYFUNCTION("""COMPUTED_VALUE"""),31.0)</f>
        <v>31</v>
      </c>
      <c r="K206" s="559">
        <f>IFERROR(__xludf.DUMMYFUNCTION("""COMPUTED_VALUE"""),14.0)</f>
        <v>14</v>
      </c>
      <c r="L206" s="560">
        <f>IFERROR(__xludf.DUMMYFUNCTION("""COMPUTED_VALUE"""),39.0)</f>
        <v>39</v>
      </c>
      <c r="M206" s="561">
        <f>IFERROR(__xludf.DUMMYFUNCTION("""COMPUTED_VALUE"""),8.0)</f>
        <v>8</v>
      </c>
      <c r="N206" s="561">
        <f>IFERROR(__xludf.DUMMYFUNCTION("""COMPUTED_VALUE"""),0.0)</f>
        <v>0</v>
      </c>
      <c r="O206" s="560"/>
      <c r="P206" s="562">
        <f>IFERROR(__xludf.DUMMYFUNCTION("""COMPUTED_VALUE"""),0.0)</f>
        <v>0</v>
      </c>
      <c r="Q206" s="562">
        <f>IFERROR(__xludf.DUMMYFUNCTION("""COMPUTED_VALUE"""),0.0)</f>
        <v>0</v>
      </c>
      <c r="R206" s="562">
        <f>IFERROR(__xludf.DUMMYFUNCTION("""COMPUTED_VALUE"""),0.0)</f>
        <v>0</v>
      </c>
      <c r="S206" s="562"/>
      <c r="T206" s="217">
        <f>IFERROR(__xludf.DUMMYFUNCTION("""COMPUTED_VALUE"""),18.0)</f>
        <v>18</v>
      </c>
      <c r="U206" s="217">
        <f>IFERROR(__xludf.DUMMYFUNCTION("""COMPUTED_VALUE"""),18.0)</f>
        <v>18</v>
      </c>
      <c r="V206" s="217">
        <f>IFERROR(__xludf.DUMMYFUNCTION("""COMPUTED_VALUE"""),76.0)</f>
        <v>76</v>
      </c>
      <c r="W206" s="217"/>
      <c r="X206" s="217">
        <f>IFERROR(__xludf.DUMMYFUNCTION("""COMPUTED_VALUE"""),86.0)</f>
        <v>86</v>
      </c>
      <c r="Y206" s="217"/>
      <c r="Z206" s="217"/>
      <c r="AA206" s="481">
        <f>IFERROR(__xludf.DUMMYFUNCTION("""COMPUTED_VALUE"""),53.0)</f>
        <v>53</v>
      </c>
      <c r="AB206" s="481">
        <f>IFERROR(__xludf.DUMMYFUNCTION("""COMPUTED_VALUE"""),83.75)</f>
        <v>83.75</v>
      </c>
      <c r="AC206" s="481">
        <f>IFERROR(__xludf.DUMMYFUNCTION("""COMPUTED_VALUE"""),0.0)</f>
        <v>0</v>
      </c>
      <c r="AD206" s="481">
        <f>IFERROR(__xludf.DUMMYFUNCTION("""COMPUTED_VALUE"""),66.0)</f>
        <v>66</v>
      </c>
      <c r="AE206" s="481">
        <f>IFERROR(__xludf.DUMMYFUNCTION("""COMPUTED_VALUE"""),10.0)</f>
        <v>10</v>
      </c>
      <c r="AF206" s="481"/>
      <c r="AG206" s="481">
        <f>IFERROR(__xludf.DUMMYFUNCTION("""COMPUTED_VALUE"""),0.0)</f>
        <v>0</v>
      </c>
      <c r="AH206" s="481"/>
      <c r="AI206" s="158"/>
      <c r="AJ206" s="158"/>
      <c r="AK206" s="133">
        <f>IFERROR(__xludf.DUMMYFUNCTION("""COMPUTED_VALUE"""),2.0)</f>
        <v>2</v>
      </c>
      <c r="AL206" s="133">
        <f>IFERROR(__xludf.DUMMYFUNCTION("""COMPUTED_VALUE"""),0.0)</f>
        <v>0</v>
      </c>
      <c r="AM206" s="133">
        <f>IFERROR(__xludf.DUMMYFUNCTION("""COMPUTED_VALUE"""),2.0)</f>
        <v>2</v>
      </c>
      <c r="AN206" s="133" t="str">
        <f>IFERROR(__xludf.DUMMYFUNCTION("""COMPUTED_VALUE"""),"3")</f>
        <v>3</v>
      </c>
      <c r="AO206" s="133">
        <f>IFERROR(__xludf.DUMMYFUNCTION("""COMPUTED_VALUE"""),0.0)</f>
        <v>0</v>
      </c>
      <c r="AP206" s="155" t="s">
        <v>2461</v>
      </c>
    </row>
    <row r="207">
      <c r="A207" s="555">
        <f>IFERROR(__xludf.DUMMYFUNCTION("""COMPUTED_VALUE"""),203.0)</f>
        <v>203</v>
      </c>
      <c r="B207" s="555" t="str">
        <f>IFERROR(__xludf.DUMMYFUNCTION("""COMPUTED_VALUE"""),"viy 23cs@cmrit.ac.in")</f>
        <v>viy 23cs@cmrit.ac.in</v>
      </c>
      <c r="C207" s="172" t="str">
        <f>IFERROR(__xludf.DUMMYFUNCTION("""COMPUTED_VALUE"""),"VINAY YR")</f>
        <v>VINAY YR</v>
      </c>
      <c r="D207" s="261" t="str">
        <f>IFERROR(__xludf.DUMMYFUNCTION("""COMPUTED_VALUE"""),"1CR23CS211")</f>
        <v>1CR23CS211</v>
      </c>
      <c r="E207" s="563">
        <f>IFERROR(__xludf.DUMMYFUNCTION("""COMPUTED_VALUE"""),7.338043055E9)</f>
        <v>7338043055</v>
      </c>
      <c r="F207" s="155" t="str">
        <f>IFERROR(__xludf.DUMMYFUNCTION("""COMPUTED_VALUE"""),"CSE")</f>
        <v>CSE</v>
      </c>
      <c r="G207" s="158"/>
      <c r="H207" s="559">
        <f>IFERROR(__xludf.DUMMYFUNCTION("""COMPUTED_VALUE"""),73.0)</f>
        <v>73</v>
      </c>
      <c r="I207" s="559">
        <f>IFERROR(__xludf.DUMMYFUNCTION("""COMPUTED_VALUE"""),74.0)</f>
        <v>74</v>
      </c>
      <c r="J207" s="559">
        <f>IFERROR(__xludf.DUMMYFUNCTION("""COMPUTED_VALUE"""),70.0)</f>
        <v>70</v>
      </c>
      <c r="K207" s="559">
        <f>IFERROR(__xludf.DUMMYFUNCTION("""COMPUTED_VALUE"""),70.0)</f>
        <v>70</v>
      </c>
      <c r="L207" s="560">
        <f>IFERROR(__xludf.DUMMYFUNCTION("""COMPUTED_VALUE"""),50.0)</f>
        <v>50</v>
      </c>
      <c r="M207" s="561">
        <f>IFERROR(__xludf.DUMMYFUNCTION("""COMPUTED_VALUE"""),0.0)</f>
        <v>0</v>
      </c>
      <c r="N207" s="561">
        <f>IFERROR(__xludf.DUMMYFUNCTION("""COMPUTED_VALUE"""),50.0)</f>
        <v>50</v>
      </c>
      <c r="O207" s="560"/>
      <c r="P207" s="562">
        <f>IFERROR(__xludf.DUMMYFUNCTION("""COMPUTED_VALUE"""),72.0)</f>
        <v>72</v>
      </c>
      <c r="Q207" s="562">
        <f>IFERROR(__xludf.DUMMYFUNCTION("""COMPUTED_VALUE"""),50.0)</f>
        <v>50</v>
      </c>
      <c r="R207" s="562">
        <f>IFERROR(__xludf.DUMMYFUNCTION("""COMPUTED_VALUE"""),83.0)</f>
        <v>83</v>
      </c>
      <c r="S207" s="562"/>
      <c r="T207" s="217">
        <f>IFERROR(__xludf.DUMMYFUNCTION("""COMPUTED_VALUE"""),9.0)</f>
        <v>9</v>
      </c>
      <c r="U207" s="217">
        <f>IFERROR(__xludf.DUMMYFUNCTION("""COMPUTED_VALUE"""),22.0)</f>
        <v>22</v>
      </c>
      <c r="V207" s="217">
        <f>IFERROR(__xludf.DUMMYFUNCTION("""COMPUTED_VALUE"""),76.0)</f>
        <v>76</v>
      </c>
      <c r="W207" s="217">
        <f>IFERROR(__xludf.DUMMYFUNCTION("""COMPUTED_VALUE"""),52.0)</f>
        <v>52</v>
      </c>
      <c r="X207" s="217">
        <f>IFERROR(__xludf.DUMMYFUNCTION("""COMPUTED_VALUE"""),56.0)</f>
        <v>56</v>
      </c>
      <c r="Y207" s="217"/>
      <c r="Z207" s="217"/>
      <c r="AA207" s="481">
        <f>IFERROR(__xludf.DUMMYFUNCTION("""COMPUTED_VALUE"""),42.0)</f>
        <v>42</v>
      </c>
      <c r="AB207" s="481">
        <f>IFERROR(__xludf.DUMMYFUNCTION("""COMPUTED_VALUE"""),87.5)</f>
        <v>87.5</v>
      </c>
      <c r="AC207" s="481">
        <f>IFERROR(__xludf.DUMMYFUNCTION("""COMPUTED_VALUE"""),100.0)</f>
        <v>100</v>
      </c>
      <c r="AD207" s="481">
        <f>IFERROR(__xludf.DUMMYFUNCTION("""COMPUTED_VALUE"""),82.0)</f>
        <v>82</v>
      </c>
      <c r="AE207" s="481">
        <f>IFERROR(__xludf.DUMMYFUNCTION("""COMPUTED_VALUE"""),84.0)</f>
        <v>84</v>
      </c>
      <c r="AF207" s="481"/>
      <c r="AG207" s="481">
        <f>IFERROR(__xludf.DUMMYFUNCTION("""COMPUTED_VALUE"""),62.0)</f>
        <v>62</v>
      </c>
      <c r="AH207" s="481"/>
      <c r="AI207" s="158"/>
      <c r="AJ207" s="158"/>
      <c r="AK207" s="133">
        <f>IFERROR(__xludf.DUMMYFUNCTION("""COMPUTED_VALUE"""),4.0)</f>
        <v>4</v>
      </c>
      <c r="AL207" s="133">
        <f>IFERROR(__xludf.DUMMYFUNCTION("""COMPUTED_VALUE"""),1.0)</f>
        <v>1</v>
      </c>
      <c r="AM207" s="133">
        <f>IFERROR(__xludf.DUMMYFUNCTION("""COMPUTED_VALUE"""),3.0)</f>
        <v>3</v>
      </c>
      <c r="AN207" s="133" t="str">
        <f>IFERROR(__xludf.DUMMYFUNCTION("""COMPUTED_VALUE"""),"3.5")</f>
        <v>3.5</v>
      </c>
      <c r="AO207" s="133">
        <f>IFERROR(__xludf.DUMMYFUNCTION("""COMPUTED_VALUE"""),3.0)</f>
        <v>3</v>
      </c>
      <c r="AP207" s="155" t="s">
        <v>2461</v>
      </c>
    </row>
    <row r="208">
      <c r="A208" s="555">
        <f>IFERROR(__xludf.DUMMYFUNCTION("""COMPUTED_VALUE"""),204.0)</f>
        <v>204</v>
      </c>
      <c r="B208" s="555" t="str">
        <f>IFERROR(__xludf.DUMMYFUNCTION("""COMPUTED_VALUE"""),"vyn23cs@cmrit.ac.in")</f>
        <v>vyn23cs@cmrit.ac.in</v>
      </c>
      <c r="C208" s="564" t="str">
        <f>IFERROR(__xludf.DUMMYFUNCTION("""COMPUTED_VALUE"""),"VYSHNAVI N")</f>
        <v>VYSHNAVI N</v>
      </c>
      <c r="D208" s="261" t="str">
        <f>IFERROR(__xludf.DUMMYFUNCTION("""COMPUTED_VALUE"""),"1CR23CS212")</f>
        <v>1CR23CS212</v>
      </c>
      <c r="E208" s="563">
        <f>IFERROR(__xludf.DUMMYFUNCTION("""COMPUTED_VALUE"""),7.411491588E9)</f>
        <v>7411491588</v>
      </c>
      <c r="F208" s="155" t="str">
        <f>IFERROR(__xludf.DUMMYFUNCTION("""COMPUTED_VALUE"""),"CSE")</f>
        <v>CSE</v>
      </c>
      <c r="G208" s="158"/>
      <c r="H208" s="559">
        <f>IFERROR(__xludf.DUMMYFUNCTION("""COMPUTED_VALUE"""),71.0)</f>
        <v>71</v>
      </c>
      <c r="I208" s="559">
        <f>IFERROR(__xludf.DUMMYFUNCTION("""COMPUTED_VALUE"""),65.0)</f>
        <v>65</v>
      </c>
      <c r="J208" s="559">
        <f>IFERROR(__xludf.DUMMYFUNCTION("""COMPUTED_VALUE"""),39.0)</f>
        <v>39</v>
      </c>
      <c r="K208" s="559">
        <f>IFERROR(__xludf.DUMMYFUNCTION("""COMPUTED_VALUE"""),41.0)</f>
        <v>41</v>
      </c>
      <c r="L208" s="560">
        <f>IFERROR(__xludf.DUMMYFUNCTION("""COMPUTED_VALUE"""),20.0)</f>
        <v>20</v>
      </c>
      <c r="M208" s="561">
        <f>IFERROR(__xludf.DUMMYFUNCTION("""COMPUTED_VALUE"""),6.0)</f>
        <v>6</v>
      </c>
      <c r="N208" s="561">
        <f>IFERROR(__xludf.DUMMYFUNCTION("""COMPUTED_VALUE"""),0.0)</f>
        <v>0</v>
      </c>
      <c r="O208" s="560"/>
      <c r="P208" s="562">
        <f>IFERROR(__xludf.DUMMYFUNCTION("""COMPUTED_VALUE"""),0.0)</f>
        <v>0</v>
      </c>
      <c r="Q208" s="562">
        <f>IFERROR(__xludf.DUMMYFUNCTION("""COMPUTED_VALUE"""),0.0)</f>
        <v>0</v>
      </c>
      <c r="R208" s="562">
        <f>IFERROR(__xludf.DUMMYFUNCTION("""COMPUTED_VALUE"""),0.0)</f>
        <v>0</v>
      </c>
      <c r="S208" s="562"/>
      <c r="T208" s="217">
        <f>IFERROR(__xludf.DUMMYFUNCTION("""COMPUTED_VALUE"""),6.0)</f>
        <v>6</v>
      </c>
      <c r="U208" s="217">
        <f>IFERROR(__xludf.DUMMYFUNCTION("""COMPUTED_VALUE"""),15.0)</f>
        <v>15</v>
      </c>
      <c r="V208" s="217">
        <f>IFERROR(__xludf.DUMMYFUNCTION("""COMPUTED_VALUE"""),72.0)</f>
        <v>72</v>
      </c>
      <c r="W208" s="217"/>
      <c r="X208" s="217"/>
      <c r="Y208" s="217"/>
      <c r="Z208" s="217"/>
      <c r="AA208" s="481">
        <f>IFERROR(__xludf.DUMMYFUNCTION("""COMPUTED_VALUE"""),53.0)</f>
        <v>53</v>
      </c>
      <c r="AB208" s="481">
        <f>IFERROR(__xludf.DUMMYFUNCTION("""COMPUTED_VALUE"""),0.0)</f>
        <v>0</v>
      </c>
      <c r="AC208" s="481">
        <f>IFERROR(__xludf.DUMMYFUNCTION("""COMPUTED_VALUE"""),0.0)</f>
        <v>0</v>
      </c>
      <c r="AD208" s="481">
        <f>IFERROR(__xludf.DUMMYFUNCTION("""COMPUTED_VALUE"""),0.0)</f>
        <v>0</v>
      </c>
      <c r="AE208" s="481">
        <f>IFERROR(__xludf.DUMMYFUNCTION("""COMPUTED_VALUE"""),10.0)</f>
        <v>10</v>
      </c>
      <c r="AF208" s="481"/>
      <c r="AG208" s="481">
        <f>IFERROR(__xludf.DUMMYFUNCTION("""COMPUTED_VALUE"""),0.0)</f>
        <v>0</v>
      </c>
      <c r="AH208" s="481"/>
      <c r="AI208" s="158"/>
      <c r="AJ208" s="158"/>
      <c r="AK208" s="133">
        <f>IFERROR(__xludf.DUMMYFUNCTION("""COMPUTED_VALUE"""),2.0)</f>
        <v>2</v>
      </c>
      <c r="AL208" s="133">
        <f>IFERROR(__xludf.DUMMYFUNCTION("""COMPUTED_VALUE"""),0.0)</f>
        <v>0</v>
      </c>
      <c r="AM208" s="133">
        <f>IFERROR(__xludf.DUMMYFUNCTION("""COMPUTED_VALUE"""),0.0)</f>
        <v>0</v>
      </c>
      <c r="AN208" s="133" t="str">
        <f>IFERROR(__xludf.DUMMYFUNCTION("""COMPUTED_VALUE"""),"0")</f>
        <v>0</v>
      </c>
      <c r="AO208" s="133">
        <f>IFERROR(__xludf.DUMMYFUNCTION("""COMPUTED_VALUE"""),0.0)</f>
        <v>0</v>
      </c>
      <c r="AP208" s="155" t="s">
        <v>2461</v>
      </c>
    </row>
    <row r="209">
      <c r="A209" s="555">
        <f>IFERROR(__xludf.DUMMYFUNCTION("""COMPUTED_VALUE"""),205.0)</f>
        <v>205</v>
      </c>
      <c r="B209" s="555" t="str">
        <f>IFERROR(__xludf.DUMMYFUNCTION("""COMPUTED_VALUE"""),"yabi23cs@cmrit.ac.in")</f>
        <v>yabi23cs@cmrit.ac.in</v>
      </c>
      <c r="C209" s="564" t="str">
        <f>IFERROR(__xludf.DUMMYFUNCTION("""COMPUTED_VALUE"""),"YASHU B BISEROTTI")</f>
        <v>YASHU B BISEROTTI</v>
      </c>
      <c r="D209" s="261" t="str">
        <f>IFERROR(__xludf.DUMMYFUNCTION("""COMPUTED_VALUE"""),"1CR23CS213")</f>
        <v>1CR23CS213</v>
      </c>
      <c r="E209" s="563">
        <f>IFERROR(__xludf.DUMMYFUNCTION("""COMPUTED_VALUE"""),9.731989985E9)</f>
        <v>9731989985</v>
      </c>
      <c r="F209" s="155" t="str">
        <f>IFERROR(__xludf.DUMMYFUNCTION("""COMPUTED_VALUE"""),"CSE")</f>
        <v>CSE</v>
      </c>
      <c r="G209" s="158"/>
      <c r="H209" s="559">
        <f>IFERROR(__xludf.DUMMYFUNCTION("""COMPUTED_VALUE"""),76.0)</f>
        <v>76</v>
      </c>
      <c r="I209" s="559">
        <f>IFERROR(__xludf.DUMMYFUNCTION("""COMPUTED_VALUE"""),75.0)</f>
        <v>75</v>
      </c>
      <c r="J209" s="559">
        <f>IFERROR(__xludf.DUMMYFUNCTION("""COMPUTED_VALUE"""),41.0)</f>
        <v>41</v>
      </c>
      <c r="K209" s="559">
        <f>IFERROR(__xludf.DUMMYFUNCTION("""COMPUTED_VALUE"""),6.0)</f>
        <v>6</v>
      </c>
      <c r="L209" s="560">
        <f>IFERROR(__xludf.DUMMYFUNCTION("""COMPUTED_VALUE"""),26.0)</f>
        <v>26</v>
      </c>
      <c r="M209" s="561">
        <f>IFERROR(__xludf.DUMMYFUNCTION("""COMPUTED_VALUE"""),6.0)</f>
        <v>6</v>
      </c>
      <c r="N209" s="561">
        <f>IFERROR(__xludf.DUMMYFUNCTION("""COMPUTED_VALUE"""),0.0)</f>
        <v>0</v>
      </c>
      <c r="O209" s="560"/>
      <c r="P209" s="562">
        <f>IFERROR(__xludf.DUMMYFUNCTION("""COMPUTED_VALUE"""),0.0)</f>
        <v>0</v>
      </c>
      <c r="Q209" s="562">
        <f>IFERROR(__xludf.DUMMYFUNCTION("""COMPUTED_VALUE"""),0.0)</f>
        <v>0</v>
      </c>
      <c r="R209" s="562">
        <f>IFERROR(__xludf.DUMMYFUNCTION("""COMPUTED_VALUE"""),0.0)</f>
        <v>0</v>
      </c>
      <c r="S209" s="562"/>
      <c r="T209" s="217">
        <f>IFERROR(__xludf.DUMMYFUNCTION("""COMPUTED_VALUE"""),7.0)</f>
        <v>7</v>
      </c>
      <c r="U209" s="217">
        <f>IFERROR(__xludf.DUMMYFUNCTION("""COMPUTED_VALUE"""),22.0)</f>
        <v>22</v>
      </c>
      <c r="V209" s="217">
        <f>IFERROR(__xludf.DUMMYFUNCTION("""COMPUTED_VALUE"""),60.0)</f>
        <v>60</v>
      </c>
      <c r="W209" s="217"/>
      <c r="X209" s="217">
        <f>IFERROR(__xludf.DUMMYFUNCTION("""COMPUTED_VALUE"""),84.0)</f>
        <v>84</v>
      </c>
      <c r="Y209" s="217"/>
      <c r="Z209" s="217"/>
      <c r="AA209" s="481">
        <f>IFERROR(__xludf.DUMMYFUNCTION("""COMPUTED_VALUE"""),62.0)</f>
        <v>62</v>
      </c>
      <c r="AB209" s="481">
        <f>IFERROR(__xludf.DUMMYFUNCTION("""COMPUTED_VALUE"""),30.0)</f>
        <v>30</v>
      </c>
      <c r="AC209" s="481">
        <f>IFERROR(__xludf.DUMMYFUNCTION("""COMPUTED_VALUE"""),100.0)</f>
        <v>100</v>
      </c>
      <c r="AD209" s="481">
        <f>IFERROR(__xludf.DUMMYFUNCTION("""COMPUTED_VALUE"""),25.0)</f>
        <v>25</v>
      </c>
      <c r="AE209" s="481">
        <f>IFERROR(__xludf.DUMMYFUNCTION("""COMPUTED_VALUE"""),10.0)</f>
        <v>10</v>
      </c>
      <c r="AF209" s="481"/>
      <c r="AG209" s="481">
        <f>IFERROR(__xludf.DUMMYFUNCTION("""COMPUTED_VALUE"""),0.0)</f>
        <v>0</v>
      </c>
      <c r="AH209" s="481"/>
      <c r="AI209" s="158"/>
      <c r="AJ209" s="158"/>
      <c r="AK209" s="133">
        <f>IFERROR(__xludf.DUMMYFUNCTION("""COMPUTED_VALUE"""),2.0)</f>
        <v>2</v>
      </c>
      <c r="AL209" s="133">
        <f>IFERROR(__xludf.DUMMYFUNCTION("""COMPUTED_VALUE"""),0.0)</f>
        <v>0</v>
      </c>
      <c r="AM209" s="133">
        <f>IFERROR(__xludf.DUMMYFUNCTION("""COMPUTED_VALUE"""),0.0)</f>
        <v>0</v>
      </c>
      <c r="AN209" s="133" t="str">
        <f>IFERROR(__xludf.DUMMYFUNCTION("""COMPUTED_VALUE"""),"0")</f>
        <v>0</v>
      </c>
      <c r="AO209" s="133">
        <f>IFERROR(__xludf.DUMMYFUNCTION("""COMPUTED_VALUE"""),0.0)</f>
        <v>0</v>
      </c>
      <c r="AP209" s="155" t="s">
        <v>2461</v>
      </c>
    </row>
    <row r="210">
      <c r="A210" s="555">
        <f>IFERROR(__xludf.DUMMYFUNCTION("""COMPUTED_VALUE"""),206.0)</f>
        <v>206</v>
      </c>
      <c r="B210" s="555" t="str">
        <f>IFERROR(__xludf.DUMMYFUNCTION("""COMPUTED_VALUE"""),"yaa23cs@cmrit.ac.in")</f>
        <v>yaa23cs@cmrit.ac.in</v>
      </c>
      <c r="C210" s="564" t="str">
        <f>IFERROR(__xludf.DUMMYFUNCTION("""COMPUTED_VALUE"""),"YASHWANTH A")</f>
        <v>YASHWANTH A</v>
      </c>
      <c r="D210" s="261" t="str">
        <f>IFERROR(__xludf.DUMMYFUNCTION("""COMPUTED_VALUE"""),"1CR23CS214")</f>
        <v>1CR23CS214</v>
      </c>
      <c r="E210" s="563">
        <f>IFERROR(__xludf.DUMMYFUNCTION("""COMPUTED_VALUE"""),8.088427178E9)</f>
        <v>8088427178</v>
      </c>
      <c r="F210" s="155" t="str">
        <f>IFERROR(__xludf.DUMMYFUNCTION("""COMPUTED_VALUE"""),"CSE")</f>
        <v>CSE</v>
      </c>
      <c r="G210" s="158"/>
      <c r="H210" s="559">
        <f>IFERROR(__xludf.DUMMYFUNCTION("""COMPUTED_VALUE"""),73.0)</f>
        <v>73</v>
      </c>
      <c r="I210" s="559">
        <f>IFERROR(__xludf.DUMMYFUNCTION("""COMPUTED_VALUE"""),73.0)</f>
        <v>73</v>
      </c>
      <c r="J210" s="559">
        <f>IFERROR(__xludf.DUMMYFUNCTION("""COMPUTED_VALUE"""),63.0)</f>
        <v>63</v>
      </c>
      <c r="K210" s="559">
        <f>IFERROR(__xludf.DUMMYFUNCTION("""COMPUTED_VALUE"""),70.0)</f>
        <v>70</v>
      </c>
      <c r="L210" s="560">
        <f>IFERROR(__xludf.DUMMYFUNCTION("""COMPUTED_VALUE"""),25.0)</f>
        <v>25</v>
      </c>
      <c r="M210" s="561">
        <f>IFERROR(__xludf.DUMMYFUNCTION("""COMPUTED_VALUE"""),0.0)</f>
        <v>0</v>
      </c>
      <c r="N210" s="561">
        <f>IFERROR(__xludf.DUMMYFUNCTION("""COMPUTED_VALUE"""),0.0)</f>
        <v>0</v>
      </c>
      <c r="O210" s="560"/>
      <c r="P210" s="562">
        <f>IFERROR(__xludf.DUMMYFUNCTION("""COMPUTED_VALUE"""),50.0)</f>
        <v>50</v>
      </c>
      <c r="Q210" s="562">
        <f>IFERROR(__xludf.DUMMYFUNCTION("""COMPUTED_VALUE"""),50.0)</f>
        <v>50</v>
      </c>
      <c r="R210" s="562">
        <f>IFERROR(__xludf.DUMMYFUNCTION("""COMPUTED_VALUE"""),0.0)</f>
        <v>0</v>
      </c>
      <c r="S210" s="562"/>
      <c r="T210" s="217">
        <f>IFERROR(__xludf.DUMMYFUNCTION("""COMPUTED_VALUE"""),13.0)</f>
        <v>13</v>
      </c>
      <c r="U210" s="217">
        <f>IFERROR(__xludf.DUMMYFUNCTION("""COMPUTED_VALUE"""),22.0)</f>
        <v>22</v>
      </c>
      <c r="V210" s="217">
        <f>IFERROR(__xludf.DUMMYFUNCTION("""COMPUTED_VALUE"""),0.0)</f>
        <v>0</v>
      </c>
      <c r="W210" s="217"/>
      <c r="X210" s="217"/>
      <c r="Y210" s="217"/>
      <c r="Z210" s="217"/>
      <c r="AA210" s="481">
        <f>IFERROR(__xludf.DUMMYFUNCTION("""COMPUTED_VALUE"""),32.0)</f>
        <v>32</v>
      </c>
      <c r="AB210" s="481">
        <f>IFERROR(__xludf.DUMMYFUNCTION("""COMPUTED_VALUE"""),37.5)</f>
        <v>37.5</v>
      </c>
      <c r="AC210" s="481">
        <f>IFERROR(__xludf.DUMMYFUNCTION("""COMPUTED_VALUE"""),0.0)</f>
        <v>0</v>
      </c>
      <c r="AD210" s="481">
        <f>IFERROR(__xludf.DUMMYFUNCTION("""COMPUTED_VALUE"""),32.0)</f>
        <v>32</v>
      </c>
      <c r="AE210" s="481">
        <f>IFERROR(__xludf.DUMMYFUNCTION("""COMPUTED_VALUE"""),10.0)</f>
        <v>10</v>
      </c>
      <c r="AF210" s="481"/>
      <c r="AG210" s="481">
        <f>IFERROR(__xludf.DUMMYFUNCTION("""COMPUTED_VALUE"""),5.0)</f>
        <v>5</v>
      </c>
      <c r="AH210" s="481"/>
      <c r="AI210" s="158"/>
      <c r="AJ210" s="158"/>
      <c r="AK210" s="133">
        <f>IFERROR(__xludf.DUMMYFUNCTION("""COMPUTED_VALUE"""),2.0)</f>
        <v>2</v>
      </c>
      <c r="AL210" s="133">
        <f>IFERROR(__xludf.DUMMYFUNCTION("""COMPUTED_VALUE"""),0.0)</f>
        <v>0</v>
      </c>
      <c r="AM210" s="133">
        <f>IFERROR(__xludf.DUMMYFUNCTION("""COMPUTED_VALUE"""),2.0)</f>
        <v>2</v>
      </c>
      <c r="AN210" s="133" t="str">
        <f>IFERROR(__xludf.DUMMYFUNCTION("""COMPUTED_VALUE"""),"0")</f>
        <v>0</v>
      </c>
      <c r="AO210" s="133">
        <f>IFERROR(__xludf.DUMMYFUNCTION("""COMPUTED_VALUE"""),2.0)</f>
        <v>2</v>
      </c>
      <c r="AP210" s="155" t="s">
        <v>2461</v>
      </c>
    </row>
    <row r="211">
      <c r="A211" s="555">
        <f>IFERROR(__xludf.DUMMYFUNCTION("""COMPUTED_VALUE"""),207.0)</f>
        <v>207</v>
      </c>
      <c r="B211" s="555" t="str">
        <f>IFERROR(__xludf.DUMMYFUNCTION("""COMPUTED_VALUE"""),"yahm23cs@cmrit.ac.in")</f>
        <v>yahm23cs@cmrit.ac.in</v>
      </c>
      <c r="C211" s="172" t="str">
        <f>IFERROR(__xludf.DUMMYFUNCTION("""COMPUTED_VALUE"""),"Yashwanth H M")</f>
        <v>Yashwanth H M</v>
      </c>
      <c r="D211" s="261" t="str">
        <f>IFERROR(__xludf.DUMMYFUNCTION("""COMPUTED_VALUE"""),"1CR23CS215")</f>
        <v>1CR23CS215</v>
      </c>
      <c r="E211" s="563">
        <f>IFERROR(__xludf.DUMMYFUNCTION("""COMPUTED_VALUE"""),9.11085529E9)</f>
        <v>9110855290</v>
      </c>
      <c r="F211" s="155" t="str">
        <f>IFERROR(__xludf.DUMMYFUNCTION("""COMPUTED_VALUE"""),"CSE")</f>
        <v>CSE</v>
      </c>
      <c r="G211" s="158"/>
      <c r="H211" s="559">
        <f>IFERROR(__xludf.DUMMYFUNCTION("""COMPUTED_VALUE"""),70.0)</f>
        <v>70</v>
      </c>
      <c r="I211" s="559">
        <f>IFERROR(__xludf.DUMMYFUNCTION("""COMPUTED_VALUE"""),72.0)</f>
        <v>72</v>
      </c>
      <c r="J211" s="559">
        <f>IFERROR(__xludf.DUMMYFUNCTION("""COMPUTED_VALUE"""),24.0)</f>
        <v>24</v>
      </c>
      <c r="K211" s="559">
        <f>IFERROR(__xludf.DUMMYFUNCTION("""COMPUTED_VALUE"""),14.0)</f>
        <v>14</v>
      </c>
      <c r="L211" s="560">
        <f>IFERROR(__xludf.DUMMYFUNCTION("""COMPUTED_VALUE"""),50.0)</f>
        <v>50</v>
      </c>
      <c r="M211" s="561">
        <f>IFERROR(__xludf.DUMMYFUNCTION("""COMPUTED_VALUE"""),0.0)</f>
        <v>0</v>
      </c>
      <c r="N211" s="561">
        <f>IFERROR(__xludf.DUMMYFUNCTION("""COMPUTED_VALUE"""),0.0)</f>
        <v>0</v>
      </c>
      <c r="O211" s="560"/>
      <c r="P211" s="562">
        <f>IFERROR(__xludf.DUMMYFUNCTION("""COMPUTED_VALUE"""),80.0)</f>
        <v>80</v>
      </c>
      <c r="Q211" s="562">
        <f>IFERROR(__xludf.DUMMYFUNCTION("""COMPUTED_VALUE"""),50.0)</f>
        <v>50</v>
      </c>
      <c r="R211" s="562">
        <f>IFERROR(__xludf.DUMMYFUNCTION("""COMPUTED_VALUE"""),0.0)</f>
        <v>0</v>
      </c>
      <c r="S211" s="562"/>
      <c r="T211" s="217">
        <f>IFERROR(__xludf.DUMMYFUNCTION("""COMPUTED_VALUE"""),11.0)</f>
        <v>11</v>
      </c>
      <c r="U211" s="217">
        <f>IFERROR(__xludf.DUMMYFUNCTION("""COMPUTED_VALUE"""),19.0)</f>
        <v>19</v>
      </c>
      <c r="V211" s="217"/>
      <c r="W211" s="217"/>
      <c r="X211" s="217">
        <f>IFERROR(__xludf.DUMMYFUNCTION("""COMPUTED_VALUE"""),84.0)</f>
        <v>84</v>
      </c>
      <c r="Y211" s="217"/>
      <c r="Z211" s="217"/>
      <c r="AA211" s="481">
        <f>IFERROR(__xludf.DUMMYFUNCTION("""COMPUTED_VALUE"""),2.0)</f>
        <v>2</v>
      </c>
      <c r="AB211" s="481">
        <f>IFERROR(__xludf.DUMMYFUNCTION("""COMPUTED_VALUE"""),65.0)</f>
        <v>65</v>
      </c>
      <c r="AC211" s="481">
        <f>IFERROR(__xludf.DUMMYFUNCTION("""COMPUTED_VALUE"""),70.0)</f>
        <v>70</v>
      </c>
      <c r="AD211" s="481">
        <f>IFERROR(__xludf.DUMMYFUNCTION("""COMPUTED_VALUE"""),0.0)</f>
        <v>0</v>
      </c>
      <c r="AE211" s="481">
        <f>IFERROR(__xludf.DUMMYFUNCTION("""COMPUTED_VALUE"""),10.0)</f>
        <v>10</v>
      </c>
      <c r="AF211" s="481"/>
      <c r="AG211" s="481">
        <f>IFERROR(__xludf.DUMMYFUNCTION("""COMPUTED_VALUE"""),0.0)</f>
        <v>0</v>
      </c>
      <c r="AH211" s="481"/>
      <c r="AI211" s="158"/>
      <c r="AJ211" s="158"/>
      <c r="AK211" s="133">
        <f>IFERROR(__xludf.DUMMYFUNCTION("""COMPUTED_VALUE"""),2.0)</f>
        <v>2</v>
      </c>
      <c r="AL211" s="133">
        <f>IFERROR(__xludf.DUMMYFUNCTION("""COMPUTED_VALUE"""),1.0)</f>
        <v>1</v>
      </c>
      <c r="AM211" s="133">
        <f>IFERROR(__xludf.DUMMYFUNCTION("""COMPUTED_VALUE"""),2.0)</f>
        <v>2</v>
      </c>
      <c r="AN211" s="133" t="str">
        <f>IFERROR(__xludf.DUMMYFUNCTION("""COMPUTED_VALUE"""),"3")</f>
        <v>3</v>
      </c>
      <c r="AO211" s="133">
        <f>IFERROR(__xludf.DUMMYFUNCTION("""COMPUTED_VALUE"""),2.0)</f>
        <v>2</v>
      </c>
      <c r="AP211" s="155" t="s">
        <v>2461</v>
      </c>
    </row>
    <row r="212">
      <c r="A212" s="555">
        <f>IFERROR(__xludf.DUMMYFUNCTION("""COMPUTED_VALUE"""),208.0)</f>
        <v>208</v>
      </c>
      <c r="B212" s="555" t="str">
        <f>IFERROR(__xludf.DUMMYFUNCTION("""COMPUTED_VALUE"""),"yan 23cs@cmrit.ac.in")</f>
        <v>yan 23cs@cmrit.ac.in</v>
      </c>
      <c r="C212" s="564" t="str">
        <f>IFERROR(__xludf.DUMMYFUNCTION("""COMPUTED_VALUE"""),"Yashwanth N S")</f>
        <v>Yashwanth N S</v>
      </c>
      <c r="D212" s="261" t="str">
        <f>IFERROR(__xludf.DUMMYFUNCTION("""COMPUTED_VALUE"""),"1CR23CS216")</f>
        <v>1CR23CS216</v>
      </c>
      <c r="E212" s="563">
        <f>IFERROR(__xludf.DUMMYFUNCTION("""COMPUTED_VALUE"""),8.550089328E9)</f>
        <v>8550089328</v>
      </c>
      <c r="F212" s="155" t="str">
        <f>IFERROR(__xludf.DUMMYFUNCTION("""COMPUTED_VALUE"""),"CSE")</f>
        <v>CSE</v>
      </c>
      <c r="G212" s="158"/>
      <c r="H212" s="559">
        <f>IFERROR(__xludf.DUMMYFUNCTION("""COMPUTED_VALUE"""),83.0)</f>
        <v>83</v>
      </c>
      <c r="I212" s="559">
        <f>IFERROR(__xludf.DUMMYFUNCTION("""COMPUTED_VALUE"""),74.0)</f>
        <v>74</v>
      </c>
      <c r="J212" s="559">
        <f>IFERROR(__xludf.DUMMYFUNCTION("""COMPUTED_VALUE"""),75.0)</f>
        <v>75</v>
      </c>
      <c r="K212" s="559">
        <f>IFERROR(__xludf.DUMMYFUNCTION("""COMPUTED_VALUE"""),70.0)</f>
        <v>70</v>
      </c>
      <c r="L212" s="560">
        <f>IFERROR(__xludf.DUMMYFUNCTION("""COMPUTED_VALUE"""),50.0)</f>
        <v>50</v>
      </c>
      <c r="M212" s="561">
        <f>IFERROR(__xludf.DUMMYFUNCTION("""COMPUTED_VALUE"""),10.0)</f>
        <v>10</v>
      </c>
      <c r="N212" s="561">
        <f>IFERROR(__xludf.DUMMYFUNCTION("""COMPUTED_VALUE"""),50.0)</f>
        <v>50</v>
      </c>
      <c r="O212" s="560"/>
      <c r="P212" s="562">
        <f>IFERROR(__xludf.DUMMYFUNCTION("""COMPUTED_VALUE"""),70.0)</f>
        <v>70</v>
      </c>
      <c r="Q212" s="562">
        <f>IFERROR(__xludf.DUMMYFUNCTION("""COMPUTED_VALUE"""),50.0)</f>
        <v>50</v>
      </c>
      <c r="R212" s="562">
        <f>IFERROR(__xludf.DUMMYFUNCTION("""COMPUTED_VALUE"""),86.0)</f>
        <v>86</v>
      </c>
      <c r="S212" s="562"/>
      <c r="T212" s="217">
        <f>IFERROR(__xludf.DUMMYFUNCTION("""COMPUTED_VALUE"""),7.0)</f>
        <v>7</v>
      </c>
      <c r="U212" s="217">
        <f>IFERROR(__xludf.DUMMYFUNCTION("""COMPUTED_VALUE"""),19.0)</f>
        <v>19</v>
      </c>
      <c r="V212" s="217">
        <f>IFERROR(__xludf.DUMMYFUNCTION("""COMPUTED_VALUE"""),56.0)</f>
        <v>56</v>
      </c>
      <c r="W212" s="217">
        <f>IFERROR(__xludf.DUMMYFUNCTION("""COMPUTED_VALUE"""),40.0)</f>
        <v>40</v>
      </c>
      <c r="X212" s="217">
        <f>IFERROR(__xludf.DUMMYFUNCTION("""COMPUTED_VALUE"""),88.0)</f>
        <v>88</v>
      </c>
      <c r="Y212" s="217"/>
      <c r="Z212" s="217"/>
      <c r="AA212" s="481">
        <f>IFERROR(__xludf.DUMMYFUNCTION("""COMPUTED_VALUE"""),40.0)</f>
        <v>40</v>
      </c>
      <c r="AB212" s="481">
        <f>IFERROR(__xludf.DUMMYFUNCTION("""COMPUTED_VALUE"""),17.5)</f>
        <v>17.5</v>
      </c>
      <c r="AC212" s="481">
        <f>IFERROR(__xludf.DUMMYFUNCTION("""COMPUTED_VALUE"""),82.5)</f>
        <v>82.5</v>
      </c>
      <c r="AD212" s="481">
        <f>IFERROR(__xludf.DUMMYFUNCTION("""COMPUTED_VALUE"""),81.0)</f>
        <v>81</v>
      </c>
      <c r="AE212" s="481">
        <f>IFERROR(__xludf.DUMMYFUNCTION("""COMPUTED_VALUE"""),70.0)</f>
        <v>70</v>
      </c>
      <c r="AF212" s="481"/>
      <c r="AG212" s="481">
        <f>IFERROR(__xludf.DUMMYFUNCTION("""COMPUTED_VALUE"""),58.0)</f>
        <v>58</v>
      </c>
      <c r="AH212" s="481"/>
      <c r="AI212" s="158"/>
      <c r="AJ212" s="158"/>
      <c r="AK212" s="133">
        <f>IFERROR(__xludf.DUMMYFUNCTION("""COMPUTED_VALUE"""),4.0)</f>
        <v>4</v>
      </c>
      <c r="AL212" s="133">
        <f>IFERROR(__xludf.DUMMYFUNCTION("""COMPUTED_VALUE"""),1.0)</f>
        <v>1</v>
      </c>
      <c r="AM212" s="133">
        <f>IFERROR(__xludf.DUMMYFUNCTION("""COMPUTED_VALUE"""),0.0)</f>
        <v>0</v>
      </c>
      <c r="AN212" s="133" t="str">
        <f>IFERROR(__xludf.DUMMYFUNCTION("""COMPUTED_VALUE"""),"0")</f>
        <v>0</v>
      </c>
      <c r="AO212" s="133">
        <f>IFERROR(__xludf.DUMMYFUNCTION("""COMPUTED_VALUE"""),3.0)</f>
        <v>3</v>
      </c>
      <c r="AP212" s="155" t="s">
        <v>2461</v>
      </c>
    </row>
    <row r="213">
      <c r="A213" s="555">
        <f>IFERROR(__xludf.DUMMYFUNCTION("""COMPUTED_VALUE"""),209.0)</f>
        <v>209</v>
      </c>
      <c r="B213" s="555" t="str">
        <f>IFERROR(__xludf.DUMMYFUNCTION("""COMPUTED_VALUE"""),"yare23cs@cmrit.ac.in")</f>
        <v>yare23cs@cmrit.ac.in</v>
      </c>
      <c r="C213" s="172" t="str">
        <f>IFERROR(__xludf.DUMMYFUNCTION("""COMPUTED_VALUE"""),"YASHWANTH REDDY C")</f>
        <v>YASHWANTH REDDY C</v>
      </c>
      <c r="D213" s="261" t="str">
        <f>IFERROR(__xludf.DUMMYFUNCTION("""COMPUTED_VALUE"""),"1CR23CS217")</f>
        <v>1CR23CS217</v>
      </c>
      <c r="E213" s="563">
        <f>IFERROR(__xludf.DUMMYFUNCTION("""COMPUTED_VALUE"""),8.197494345E9)</f>
        <v>8197494345</v>
      </c>
      <c r="F213" s="155" t="str">
        <f>IFERROR(__xludf.DUMMYFUNCTION("""COMPUTED_VALUE"""),"CSE")</f>
        <v>CSE</v>
      </c>
      <c r="G213" s="158"/>
      <c r="H213" s="559">
        <f>IFERROR(__xludf.DUMMYFUNCTION("""COMPUTED_VALUE"""),70.0)</f>
        <v>70</v>
      </c>
      <c r="I213" s="559">
        <f>IFERROR(__xludf.DUMMYFUNCTION("""COMPUTED_VALUE"""),66.0)</f>
        <v>66</v>
      </c>
      <c r="J213" s="559">
        <f>IFERROR(__xludf.DUMMYFUNCTION("""COMPUTED_VALUE"""),53.0)</f>
        <v>53</v>
      </c>
      <c r="K213" s="559">
        <f>IFERROR(__xludf.DUMMYFUNCTION("""COMPUTED_VALUE"""),44.0)</f>
        <v>44</v>
      </c>
      <c r="L213" s="560">
        <f>IFERROR(__xludf.DUMMYFUNCTION("""COMPUTED_VALUE"""),45.0)</f>
        <v>45</v>
      </c>
      <c r="M213" s="561">
        <f>IFERROR(__xludf.DUMMYFUNCTION("""COMPUTED_VALUE"""),28.0)</f>
        <v>28</v>
      </c>
      <c r="N213" s="561">
        <f>IFERROR(__xludf.DUMMYFUNCTION("""COMPUTED_VALUE"""),0.0)</f>
        <v>0</v>
      </c>
      <c r="O213" s="560"/>
      <c r="P213" s="562">
        <f>IFERROR(__xludf.DUMMYFUNCTION("""COMPUTED_VALUE"""),0.0)</f>
        <v>0</v>
      </c>
      <c r="Q213" s="562">
        <f>IFERROR(__xludf.DUMMYFUNCTION("""COMPUTED_VALUE"""),0.0)</f>
        <v>0</v>
      </c>
      <c r="R213" s="562">
        <f>IFERROR(__xludf.DUMMYFUNCTION("""COMPUTED_VALUE"""),0.0)</f>
        <v>0</v>
      </c>
      <c r="S213" s="562"/>
      <c r="T213" s="217">
        <f>IFERROR(__xludf.DUMMYFUNCTION("""COMPUTED_VALUE"""),19.0)</f>
        <v>19</v>
      </c>
      <c r="U213" s="217">
        <f>IFERROR(__xludf.DUMMYFUNCTION("""COMPUTED_VALUE"""),21.0)</f>
        <v>21</v>
      </c>
      <c r="V213" s="217">
        <f>IFERROR(__xludf.DUMMYFUNCTION("""COMPUTED_VALUE"""),40.0)</f>
        <v>40</v>
      </c>
      <c r="W213" s="217"/>
      <c r="X213" s="217">
        <f>IFERROR(__xludf.DUMMYFUNCTION("""COMPUTED_VALUE"""),88.0)</f>
        <v>88</v>
      </c>
      <c r="Y213" s="217"/>
      <c r="Z213" s="217"/>
      <c r="AA213" s="481">
        <f>IFERROR(__xludf.DUMMYFUNCTION("""COMPUTED_VALUE"""),30.0)</f>
        <v>30</v>
      </c>
      <c r="AB213" s="481">
        <f>IFERROR(__xludf.DUMMYFUNCTION("""COMPUTED_VALUE"""),71.25)</f>
        <v>71.25</v>
      </c>
      <c r="AC213" s="481">
        <f>IFERROR(__xludf.DUMMYFUNCTION("""COMPUTED_VALUE"""),0.0)</f>
        <v>0</v>
      </c>
      <c r="AD213" s="481">
        <f>IFERROR(__xludf.DUMMYFUNCTION("""COMPUTED_VALUE"""),82.0)</f>
        <v>82</v>
      </c>
      <c r="AE213" s="481">
        <f>IFERROR(__xludf.DUMMYFUNCTION("""COMPUTED_VALUE"""),10.0)</f>
        <v>10</v>
      </c>
      <c r="AF213" s="481"/>
      <c r="AG213" s="481">
        <f>IFERROR(__xludf.DUMMYFUNCTION("""COMPUTED_VALUE"""),0.0)</f>
        <v>0</v>
      </c>
      <c r="AH213" s="481"/>
      <c r="AI213" s="158"/>
      <c r="AJ213" s="158"/>
      <c r="AK213" s="133">
        <f>IFERROR(__xludf.DUMMYFUNCTION("""COMPUTED_VALUE"""),2.0)</f>
        <v>2</v>
      </c>
      <c r="AL213" s="133">
        <f>IFERROR(__xludf.DUMMYFUNCTION("""COMPUTED_VALUE"""),0.0)</f>
        <v>0</v>
      </c>
      <c r="AM213" s="133">
        <f>IFERROR(__xludf.DUMMYFUNCTION("""COMPUTED_VALUE"""),2.0)</f>
        <v>2</v>
      </c>
      <c r="AN213" s="133" t="str">
        <f>IFERROR(__xludf.DUMMYFUNCTION("""COMPUTED_VALUE"""),"3")</f>
        <v>3</v>
      </c>
      <c r="AO213" s="133">
        <f>IFERROR(__xludf.DUMMYFUNCTION("""COMPUTED_VALUE"""),0.0)</f>
        <v>0</v>
      </c>
      <c r="AP213" s="155" t="s">
        <v>2461</v>
      </c>
    </row>
    <row r="214">
      <c r="A214" s="261">
        <f>IFERROR(__xludf.DUMMYFUNCTION("""COMPUTED_VALUE"""),210.0)</f>
        <v>210</v>
      </c>
      <c r="B214" s="261" t="str">
        <f>IFERROR(__xludf.DUMMYFUNCTION("""COMPUTED_VALUE"""),"yego23cs@cmrit.ac.in")</f>
        <v>yego23cs@cmrit.ac.in</v>
      </c>
      <c r="C214" s="172" t="str">
        <f>IFERROR(__xludf.DUMMYFUNCTION("""COMPUTED_VALUE"""),"Yeshwanth S gowda")</f>
        <v>Yeshwanth S gowda</v>
      </c>
      <c r="D214" s="155" t="str">
        <f>IFERROR(__xludf.DUMMYFUNCTION("""COMPUTED_VALUE"""),"1CR23CS218")</f>
        <v>1CR23CS218</v>
      </c>
      <c r="E214" s="563">
        <f>IFERROR(__xludf.DUMMYFUNCTION("""COMPUTED_VALUE"""),9.353084127E9)</f>
        <v>9353084127</v>
      </c>
      <c r="F214" s="155" t="str">
        <f>IFERROR(__xludf.DUMMYFUNCTION("""COMPUTED_VALUE"""),"CSE")</f>
        <v>CSE</v>
      </c>
      <c r="G214" s="158"/>
      <c r="H214" s="559">
        <f>IFERROR(__xludf.DUMMYFUNCTION("""COMPUTED_VALUE"""),87.0)</f>
        <v>87</v>
      </c>
      <c r="I214" s="559">
        <f>IFERROR(__xludf.DUMMYFUNCTION("""COMPUTED_VALUE"""),82.0)</f>
        <v>82</v>
      </c>
      <c r="J214" s="559">
        <f>IFERROR(__xludf.DUMMYFUNCTION("""COMPUTED_VALUE"""),83.0)</f>
        <v>83</v>
      </c>
      <c r="K214" s="559">
        <f>IFERROR(__xludf.DUMMYFUNCTION("""COMPUTED_VALUE"""),71.0)</f>
        <v>71</v>
      </c>
      <c r="L214" s="560">
        <f>IFERROR(__xludf.DUMMYFUNCTION("""COMPUTED_VALUE"""),52.0)</f>
        <v>52</v>
      </c>
      <c r="M214" s="561">
        <f>IFERROR(__xludf.DUMMYFUNCTION("""COMPUTED_VALUE"""),50.0)</f>
        <v>50</v>
      </c>
      <c r="N214" s="561">
        <f>IFERROR(__xludf.DUMMYFUNCTION("""COMPUTED_VALUE"""),60.0)</f>
        <v>60</v>
      </c>
      <c r="O214" s="560"/>
      <c r="P214" s="562">
        <f>IFERROR(__xludf.DUMMYFUNCTION("""COMPUTED_VALUE"""),72.0)</f>
        <v>72</v>
      </c>
      <c r="Q214" s="562">
        <f>IFERROR(__xludf.DUMMYFUNCTION("""COMPUTED_VALUE"""),50.0)</f>
        <v>50</v>
      </c>
      <c r="R214" s="562">
        <f>IFERROR(__xludf.DUMMYFUNCTION("""COMPUTED_VALUE"""),83.0)</f>
        <v>83</v>
      </c>
      <c r="S214" s="562"/>
      <c r="T214" s="217">
        <f>IFERROR(__xludf.DUMMYFUNCTION("""COMPUTED_VALUE"""),14.0)</f>
        <v>14</v>
      </c>
      <c r="U214" s="217">
        <f>IFERROR(__xludf.DUMMYFUNCTION("""COMPUTED_VALUE"""),22.0)</f>
        <v>22</v>
      </c>
      <c r="V214" s="217">
        <f>IFERROR(__xludf.DUMMYFUNCTION("""COMPUTED_VALUE"""),68.0)</f>
        <v>68</v>
      </c>
      <c r="W214" s="217">
        <f>IFERROR(__xludf.DUMMYFUNCTION("""COMPUTED_VALUE"""),56.0)</f>
        <v>56</v>
      </c>
      <c r="X214" s="217">
        <f>IFERROR(__xludf.DUMMYFUNCTION("""COMPUTED_VALUE"""),80.0)</f>
        <v>80</v>
      </c>
      <c r="Y214" s="217"/>
      <c r="Z214" s="217"/>
      <c r="AA214" s="481">
        <f>IFERROR(__xludf.DUMMYFUNCTION("""COMPUTED_VALUE"""),70.0)</f>
        <v>70</v>
      </c>
      <c r="AB214" s="481">
        <f>IFERROR(__xludf.DUMMYFUNCTION("""COMPUTED_VALUE"""),97.5)</f>
        <v>97.5</v>
      </c>
      <c r="AC214" s="481">
        <f>IFERROR(__xludf.DUMMYFUNCTION("""COMPUTED_VALUE"""),82.5)</f>
        <v>82.5</v>
      </c>
      <c r="AD214" s="481">
        <f>IFERROR(__xludf.DUMMYFUNCTION("""COMPUTED_VALUE"""),100.0)</f>
        <v>100</v>
      </c>
      <c r="AE214" s="481">
        <f>IFERROR(__xludf.DUMMYFUNCTION("""COMPUTED_VALUE"""),86.0)</f>
        <v>86</v>
      </c>
      <c r="AF214" s="481"/>
      <c r="AG214" s="481">
        <f>IFERROR(__xludf.DUMMYFUNCTION("""COMPUTED_VALUE"""),71.0)</f>
        <v>71</v>
      </c>
      <c r="AH214" s="481"/>
      <c r="AI214" s="158"/>
      <c r="AJ214" s="158"/>
      <c r="AK214" s="133">
        <f>IFERROR(__xludf.DUMMYFUNCTION("""COMPUTED_VALUE"""),4.0)</f>
        <v>4</v>
      </c>
      <c r="AL214" s="133">
        <f>IFERROR(__xludf.DUMMYFUNCTION("""COMPUTED_VALUE"""),3.0)</f>
        <v>3</v>
      </c>
      <c r="AM214" s="133">
        <f>IFERROR(__xludf.DUMMYFUNCTION("""COMPUTED_VALUE"""),3.0)</f>
        <v>3</v>
      </c>
      <c r="AN214" s="133" t="str">
        <f>IFERROR(__xludf.DUMMYFUNCTION("""COMPUTED_VALUE"""),"3.5")</f>
        <v>3.5</v>
      </c>
      <c r="AO214" s="133">
        <f>IFERROR(__xludf.DUMMYFUNCTION("""COMPUTED_VALUE"""),3.0)</f>
        <v>3</v>
      </c>
      <c r="AP214" s="155" t="s">
        <v>2461</v>
      </c>
    </row>
    <row r="215">
      <c r="A215" s="261">
        <f>IFERROR(__xludf.DUMMYFUNCTION("""COMPUTED_VALUE"""),211.0)</f>
        <v>211</v>
      </c>
      <c r="B215" s="261" t="str">
        <f>IFERROR(__xludf.DUMMYFUNCTION("""COMPUTED_VALUE"""),"yotn23cs@cmrit.ac.in")</f>
        <v>yotn23cs@cmrit.ac.in</v>
      </c>
      <c r="C215" s="172" t="str">
        <f>IFERROR(__xludf.DUMMYFUNCTION("""COMPUTED_VALUE"""),"Yogeshwar T N")</f>
        <v>Yogeshwar T N</v>
      </c>
      <c r="D215" s="155" t="str">
        <f>IFERROR(__xludf.DUMMYFUNCTION("""COMPUTED_VALUE"""),"1CR23CS219")</f>
        <v>1CR23CS219</v>
      </c>
      <c r="E215" s="563">
        <f>IFERROR(__xludf.DUMMYFUNCTION("""COMPUTED_VALUE"""),7.48331361E9)</f>
        <v>7483313610</v>
      </c>
      <c r="F215" s="155" t="str">
        <f>IFERROR(__xludf.DUMMYFUNCTION("""COMPUTED_VALUE"""),"CSE")</f>
        <v>CSE</v>
      </c>
      <c r="G215" s="158"/>
      <c r="H215" s="559">
        <f>IFERROR(__xludf.DUMMYFUNCTION("""COMPUTED_VALUE"""),78.0)</f>
        <v>78</v>
      </c>
      <c r="I215" s="559">
        <f>IFERROR(__xludf.DUMMYFUNCTION("""COMPUTED_VALUE"""),80.0)</f>
        <v>80</v>
      </c>
      <c r="J215" s="559">
        <f>IFERROR(__xludf.DUMMYFUNCTION("""COMPUTED_VALUE"""),65.0)</f>
        <v>65</v>
      </c>
      <c r="K215" s="559">
        <f>IFERROR(__xludf.DUMMYFUNCTION("""COMPUTED_VALUE"""),70.0)</f>
        <v>70</v>
      </c>
      <c r="L215" s="560">
        <f>IFERROR(__xludf.DUMMYFUNCTION("""COMPUTED_VALUE"""),50.0)</f>
        <v>50</v>
      </c>
      <c r="M215" s="561">
        <f>IFERROR(__xludf.DUMMYFUNCTION("""COMPUTED_VALUE"""),15.0)</f>
        <v>15</v>
      </c>
      <c r="N215" s="561">
        <f>IFERROR(__xludf.DUMMYFUNCTION("""COMPUTED_VALUE"""),50.0)</f>
        <v>50</v>
      </c>
      <c r="O215" s="560"/>
      <c r="P215" s="562">
        <f>IFERROR(__xludf.DUMMYFUNCTION("""COMPUTED_VALUE"""),50.0)</f>
        <v>50</v>
      </c>
      <c r="Q215" s="562">
        <f>IFERROR(__xludf.DUMMYFUNCTION("""COMPUTED_VALUE"""),66.0)</f>
        <v>66</v>
      </c>
      <c r="R215" s="562">
        <f>IFERROR(__xludf.DUMMYFUNCTION("""COMPUTED_VALUE"""),70.0)</f>
        <v>70</v>
      </c>
      <c r="S215" s="562"/>
      <c r="T215" s="217">
        <f>IFERROR(__xludf.DUMMYFUNCTION("""COMPUTED_VALUE"""),10.0)</f>
        <v>10</v>
      </c>
      <c r="U215" s="217">
        <f>IFERROR(__xludf.DUMMYFUNCTION("""COMPUTED_VALUE"""),17.0)</f>
        <v>17</v>
      </c>
      <c r="V215" s="217">
        <f>IFERROR(__xludf.DUMMYFUNCTION("""COMPUTED_VALUE"""),76.0)</f>
        <v>76</v>
      </c>
      <c r="W215" s="217">
        <f>IFERROR(__xludf.DUMMYFUNCTION("""COMPUTED_VALUE"""),32.0)</f>
        <v>32</v>
      </c>
      <c r="X215" s="217">
        <f>IFERROR(__xludf.DUMMYFUNCTION("""COMPUTED_VALUE"""),82.0)</f>
        <v>82</v>
      </c>
      <c r="Y215" s="217"/>
      <c r="Z215" s="217"/>
      <c r="AA215" s="481">
        <f>IFERROR(__xludf.DUMMYFUNCTION("""COMPUTED_VALUE"""),56.0)</f>
        <v>56</v>
      </c>
      <c r="AB215" s="481">
        <f>IFERROR(__xludf.DUMMYFUNCTION("""COMPUTED_VALUE"""),40.0)</f>
        <v>40</v>
      </c>
      <c r="AC215" s="481">
        <f>IFERROR(__xludf.DUMMYFUNCTION("""COMPUTED_VALUE"""),100.0)</f>
        <v>100</v>
      </c>
      <c r="AD215" s="481">
        <f>IFERROR(__xludf.DUMMYFUNCTION("""COMPUTED_VALUE"""),100.0)</f>
        <v>100</v>
      </c>
      <c r="AE215" s="481">
        <f>IFERROR(__xludf.DUMMYFUNCTION("""COMPUTED_VALUE"""),53.0)</f>
        <v>53</v>
      </c>
      <c r="AF215" s="481"/>
      <c r="AG215" s="481">
        <f>IFERROR(__xludf.DUMMYFUNCTION("""COMPUTED_VALUE"""),70.0)</f>
        <v>70</v>
      </c>
      <c r="AH215" s="481"/>
      <c r="AI215" s="158"/>
      <c r="AJ215" s="158"/>
      <c r="AK215" s="133">
        <f>IFERROR(__xludf.DUMMYFUNCTION("""COMPUTED_VALUE"""),2.0)</f>
        <v>2</v>
      </c>
      <c r="AL215" s="133">
        <f>IFERROR(__xludf.DUMMYFUNCTION("""COMPUTED_VALUE"""),1.0)</f>
        <v>1</v>
      </c>
      <c r="AM215" s="133">
        <f>IFERROR(__xludf.DUMMYFUNCTION("""COMPUTED_VALUE"""),2.0)</f>
        <v>2</v>
      </c>
      <c r="AN215" s="133" t="str">
        <f>IFERROR(__xludf.DUMMYFUNCTION("""COMPUTED_VALUE"""),"0")</f>
        <v>0</v>
      </c>
      <c r="AO215" s="133">
        <f>IFERROR(__xludf.DUMMYFUNCTION("""COMPUTED_VALUE"""),3.0)</f>
        <v>3</v>
      </c>
      <c r="AP215" s="155" t="s">
        <v>2461</v>
      </c>
    </row>
    <row r="216">
      <c r="A216" s="261">
        <f>IFERROR(__xludf.DUMMYFUNCTION("""COMPUTED_VALUE"""),212.0)</f>
        <v>212</v>
      </c>
      <c r="B216" s="261" t="str">
        <f>IFERROR(__xludf.DUMMYFUNCTION("""COMPUTED_VALUE"""),"zefa23cs@cmrit.ac.in")</f>
        <v>zefa23cs@cmrit.ac.in</v>
      </c>
      <c r="C216" s="172" t="str">
        <f>IFERROR(__xludf.DUMMYFUNCTION("""COMPUTED_VALUE"""),"ZEBA FATMA")</f>
        <v>ZEBA FATMA</v>
      </c>
      <c r="D216" s="155" t="str">
        <f>IFERROR(__xludf.DUMMYFUNCTION("""COMPUTED_VALUE"""),"1CR23CS220")</f>
        <v>1CR23CS220</v>
      </c>
      <c r="E216" s="563">
        <f>IFERROR(__xludf.DUMMYFUNCTION("""COMPUTED_VALUE"""),8.789839136E9)</f>
        <v>8789839136</v>
      </c>
      <c r="F216" s="155" t="str">
        <f>IFERROR(__xludf.DUMMYFUNCTION("""COMPUTED_VALUE"""),"CSE")</f>
        <v>CSE</v>
      </c>
      <c r="G216" s="158"/>
      <c r="H216" s="559">
        <f>IFERROR(__xludf.DUMMYFUNCTION("""COMPUTED_VALUE"""),85.0)</f>
        <v>85</v>
      </c>
      <c r="I216" s="559">
        <f>IFERROR(__xludf.DUMMYFUNCTION("""COMPUTED_VALUE"""),87.0)</f>
        <v>87</v>
      </c>
      <c r="J216" s="559">
        <f>IFERROR(__xludf.DUMMYFUNCTION("""COMPUTED_VALUE"""),70.0)</f>
        <v>70</v>
      </c>
      <c r="K216" s="559">
        <f>IFERROR(__xludf.DUMMYFUNCTION("""COMPUTED_VALUE"""),79.0)</f>
        <v>79</v>
      </c>
      <c r="L216" s="560">
        <f>IFERROR(__xludf.DUMMYFUNCTION("""COMPUTED_VALUE"""),83.0)</f>
        <v>83</v>
      </c>
      <c r="M216" s="561">
        <f>IFERROR(__xludf.DUMMYFUNCTION("""COMPUTED_VALUE"""),57.0)</f>
        <v>57</v>
      </c>
      <c r="N216" s="561">
        <f>IFERROR(__xludf.DUMMYFUNCTION("""COMPUTED_VALUE"""),67.0)</f>
        <v>67</v>
      </c>
      <c r="O216" s="560"/>
      <c r="P216" s="562">
        <f>IFERROR(__xludf.DUMMYFUNCTION("""COMPUTED_VALUE"""),80.0)</f>
        <v>80</v>
      </c>
      <c r="Q216" s="562">
        <f>IFERROR(__xludf.DUMMYFUNCTION("""COMPUTED_VALUE"""),73.0)</f>
        <v>73</v>
      </c>
      <c r="R216" s="562">
        <f>IFERROR(__xludf.DUMMYFUNCTION("""COMPUTED_VALUE"""),85.0)</f>
        <v>85</v>
      </c>
      <c r="S216" s="562"/>
      <c r="T216" s="217">
        <f>IFERROR(__xludf.DUMMYFUNCTION("""COMPUTED_VALUE"""),11.0)</f>
        <v>11</v>
      </c>
      <c r="U216" s="217">
        <f>IFERROR(__xludf.DUMMYFUNCTION("""COMPUTED_VALUE"""),18.0)</f>
        <v>18</v>
      </c>
      <c r="V216" s="217">
        <f>IFERROR(__xludf.DUMMYFUNCTION("""COMPUTED_VALUE"""),68.0)</f>
        <v>68</v>
      </c>
      <c r="W216" s="217">
        <f>IFERROR(__xludf.DUMMYFUNCTION("""COMPUTED_VALUE"""),56.0)</f>
        <v>56</v>
      </c>
      <c r="X216" s="217">
        <f>IFERROR(__xludf.DUMMYFUNCTION("""COMPUTED_VALUE"""),80.0)</f>
        <v>80</v>
      </c>
      <c r="Y216" s="217"/>
      <c r="Z216" s="217"/>
      <c r="AA216" s="481">
        <f>IFERROR(__xludf.DUMMYFUNCTION("""COMPUTED_VALUE"""),88.0)</f>
        <v>88</v>
      </c>
      <c r="AB216" s="481">
        <f>IFERROR(__xludf.DUMMYFUNCTION("""COMPUTED_VALUE"""),97.5)</f>
        <v>97.5</v>
      </c>
      <c r="AC216" s="481">
        <f>IFERROR(__xludf.DUMMYFUNCTION("""COMPUTED_VALUE"""),97.0)</f>
        <v>97</v>
      </c>
      <c r="AD216" s="481">
        <f>IFERROR(__xludf.DUMMYFUNCTION("""COMPUTED_VALUE"""),100.0)</f>
        <v>100</v>
      </c>
      <c r="AE216" s="481">
        <f>IFERROR(__xludf.DUMMYFUNCTION("""COMPUTED_VALUE"""),91.0)</f>
        <v>91</v>
      </c>
      <c r="AF216" s="481"/>
      <c r="AG216" s="481">
        <f>IFERROR(__xludf.DUMMYFUNCTION("""COMPUTED_VALUE"""),72.0)</f>
        <v>72</v>
      </c>
      <c r="AH216" s="481"/>
      <c r="AI216" s="158"/>
      <c r="AJ216" s="158"/>
      <c r="AK216" s="133">
        <f>IFERROR(__xludf.DUMMYFUNCTION("""COMPUTED_VALUE"""),4.0)</f>
        <v>4</v>
      </c>
      <c r="AL216" s="133">
        <f>IFERROR(__xludf.DUMMYFUNCTION("""COMPUTED_VALUE"""),3.0)</f>
        <v>3</v>
      </c>
      <c r="AM216" s="133">
        <f>IFERROR(__xludf.DUMMYFUNCTION("""COMPUTED_VALUE"""),3.0)</f>
        <v>3</v>
      </c>
      <c r="AN216" s="133" t="str">
        <f>IFERROR(__xludf.DUMMYFUNCTION("""COMPUTED_VALUE"""),"3.5")</f>
        <v>3.5</v>
      </c>
      <c r="AO216" s="133">
        <f>IFERROR(__xludf.DUMMYFUNCTION("""COMPUTED_VALUE"""),3.0)</f>
        <v>3</v>
      </c>
      <c r="AP216" s="155" t="s">
        <v>2461</v>
      </c>
    </row>
    <row r="217">
      <c r="A217" s="261">
        <f>IFERROR(__xludf.DUMMYFUNCTION("""COMPUTED_VALUE"""),213.0)</f>
        <v>213</v>
      </c>
      <c r="B217" s="261" t="str">
        <f>IFERROR(__xludf.DUMMYFUNCTION("""COMPUTED_VALUE"""),"adityanagaraj.cse24.le@cmrit.ac.in")</f>
        <v>adityanagaraj.cse24.le@cmrit.ac.in</v>
      </c>
      <c r="C217" s="172" t="str">
        <f>IFERROR(__xludf.DUMMYFUNCTION("""COMPUTED_VALUE"""),"Aditya Nagaraj Halabavi")</f>
        <v>Aditya Nagaraj Halabavi</v>
      </c>
      <c r="D217" s="155" t="str">
        <f>IFERROR(__xludf.DUMMYFUNCTION("""COMPUTED_VALUE"""),"1CR24CS400")</f>
        <v>1CR24CS400</v>
      </c>
      <c r="E217" s="563">
        <f>IFERROR(__xludf.DUMMYFUNCTION("""COMPUTED_VALUE"""),9.972807348E9)</f>
        <v>9972807348</v>
      </c>
      <c r="F217" s="155" t="str">
        <f>IFERROR(__xludf.DUMMYFUNCTION("""COMPUTED_VALUE"""),"CSE")</f>
        <v>CSE</v>
      </c>
      <c r="G217" s="158"/>
      <c r="H217" s="559">
        <f>IFERROR(__xludf.DUMMYFUNCTION("""COMPUTED_VALUE"""),0.0)</f>
        <v>0</v>
      </c>
      <c r="I217" s="559">
        <f>IFERROR(__xludf.DUMMYFUNCTION("""COMPUTED_VALUE"""),0.0)</f>
        <v>0</v>
      </c>
      <c r="J217" s="559">
        <f>IFERROR(__xludf.DUMMYFUNCTION("""COMPUTED_VALUE"""),70.0)</f>
        <v>70</v>
      </c>
      <c r="K217" s="559">
        <f>IFERROR(__xludf.DUMMYFUNCTION("""COMPUTED_VALUE"""),17.0)</f>
        <v>17</v>
      </c>
      <c r="L217" s="560">
        <f>IFERROR(__xludf.DUMMYFUNCTION("""COMPUTED_VALUE"""),21.0)</f>
        <v>21</v>
      </c>
      <c r="M217" s="561">
        <f>IFERROR(__xludf.DUMMYFUNCTION("""COMPUTED_VALUE"""),13.0)</f>
        <v>13</v>
      </c>
      <c r="N217" s="561">
        <f>IFERROR(__xludf.DUMMYFUNCTION("""COMPUTED_VALUE"""),0.0)</f>
        <v>0</v>
      </c>
      <c r="O217" s="560"/>
      <c r="P217" s="562">
        <f>IFERROR(__xludf.DUMMYFUNCTION("""COMPUTED_VALUE"""),50.0)</f>
        <v>50</v>
      </c>
      <c r="Q217" s="562">
        <f>IFERROR(__xludf.DUMMYFUNCTION("""COMPUTED_VALUE"""),50.0)</f>
        <v>50</v>
      </c>
      <c r="R217" s="562">
        <f>IFERROR(__xludf.DUMMYFUNCTION("""COMPUTED_VALUE"""),90.0)</f>
        <v>90</v>
      </c>
      <c r="S217" s="562"/>
      <c r="T217" s="217"/>
      <c r="U217" s="217"/>
      <c r="V217" s="217">
        <f>IFERROR(__xludf.DUMMYFUNCTION("""COMPUTED_VALUE"""),64.0)</f>
        <v>64</v>
      </c>
      <c r="W217" s="217"/>
      <c r="X217" s="217">
        <f>IFERROR(__xludf.DUMMYFUNCTION("""COMPUTED_VALUE"""),86.0)</f>
        <v>86</v>
      </c>
      <c r="Y217" s="217"/>
      <c r="Z217" s="217"/>
      <c r="AA217" s="481">
        <f>IFERROR(__xludf.DUMMYFUNCTION("""COMPUTED_VALUE"""),40.0)</f>
        <v>40</v>
      </c>
      <c r="AB217" s="481">
        <f>IFERROR(__xludf.DUMMYFUNCTION("""COMPUTED_VALUE"""),5.0)</f>
        <v>5</v>
      </c>
      <c r="AC217" s="481">
        <f>IFERROR(__xludf.DUMMYFUNCTION("""COMPUTED_VALUE"""),5.0)</f>
        <v>5</v>
      </c>
      <c r="AD217" s="481">
        <f>IFERROR(__xludf.DUMMYFUNCTION("""COMPUTED_VALUE"""),100.0)</f>
        <v>100</v>
      </c>
      <c r="AE217" s="481">
        <f>IFERROR(__xludf.DUMMYFUNCTION("""COMPUTED_VALUE"""),10.0)</f>
        <v>10</v>
      </c>
      <c r="AF217" s="481"/>
      <c r="AG217" s="481">
        <f>IFERROR(__xludf.DUMMYFUNCTION("""COMPUTED_VALUE"""),10.0)</f>
        <v>10</v>
      </c>
      <c r="AH217" s="481"/>
      <c r="AI217" s="158"/>
      <c r="AJ217" s="158"/>
      <c r="AK217" s="133">
        <f>IFERROR(__xludf.DUMMYFUNCTION("""COMPUTED_VALUE"""),0.0)</f>
        <v>0</v>
      </c>
      <c r="AL217" s="133">
        <f>IFERROR(__xludf.DUMMYFUNCTION("""COMPUTED_VALUE"""),0.0)</f>
        <v>0</v>
      </c>
      <c r="AM217" s="133">
        <f>IFERROR(__xludf.DUMMYFUNCTION("""COMPUTED_VALUE"""),0.0)</f>
        <v>0</v>
      </c>
      <c r="AN217" s="133" t="str">
        <f>IFERROR(__xludf.DUMMYFUNCTION("""COMPUTED_VALUE"""),"0")</f>
        <v>0</v>
      </c>
      <c r="AO217" s="133">
        <f>IFERROR(__xludf.DUMMYFUNCTION("""COMPUTED_VALUE"""),3.0)</f>
        <v>3</v>
      </c>
      <c r="AP217" s="155" t="s">
        <v>2461</v>
      </c>
    </row>
    <row r="218">
      <c r="A218" s="261">
        <f>IFERROR(__xludf.DUMMYFUNCTION("""COMPUTED_VALUE"""),214.0)</f>
        <v>214</v>
      </c>
      <c r="B218" s="261" t="str">
        <f>IFERROR(__xludf.DUMMYFUNCTION("""COMPUTED_VALUE"""),"aravindakumar.cse24le@cmrit.ac.in")</f>
        <v>aravindakumar.cse24le@cmrit.ac.in</v>
      </c>
      <c r="C218" s="172" t="str">
        <f>IFERROR(__xludf.DUMMYFUNCTION("""COMPUTED_VALUE"""),"ARAVINDA KUMAR S")</f>
        <v>ARAVINDA KUMAR S</v>
      </c>
      <c r="D218" s="155" t="str">
        <f>IFERROR(__xludf.DUMMYFUNCTION("""COMPUTED_VALUE"""),"1CR24CS401")</f>
        <v>1CR24CS401</v>
      </c>
      <c r="E218" s="563">
        <f>IFERROR(__xludf.DUMMYFUNCTION("""COMPUTED_VALUE"""),7.892290948E9)</f>
        <v>7892290948</v>
      </c>
      <c r="F218" s="155" t="str">
        <f>IFERROR(__xludf.DUMMYFUNCTION("""COMPUTED_VALUE"""),"CSE")</f>
        <v>CSE</v>
      </c>
      <c r="G218" s="158"/>
      <c r="H218" s="559">
        <f>IFERROR(__xludf.DUMMYFUNCTION("""COMPUTED_VALUE"""),70.0)</f>
        <v>70</v>
      </c>
      <c r="I218" s="559">
        <f>IFERROR(__xludf.DUMMYFUNCTION("""COMPUTED_VALUE"""),70.0)</f>
        <v>70</v>
      </c>
      <c r="J218" s="559">
        <f>IFERROR(__xludf.DUMMYFUNCTION("""COMPUTED_VALUE"""),70.0)</f>
        <v>70</v>
      </c>
      <c r="K218" s="559">
        <f>IFERROR(__xludf.DUMMYFUNCTION("""COMPUTED_VALUE"""),70.0)</f>
        <v>70</v>
      </c>
      <c r="L218" s="560">
        <f>IFERROR(__xludf.DUMMYFUNCTION("""COMPUTED_VALUE"""),21.0)</f>
        <v>21</v>
      </c>
      <c r="M218" s="561">
        <f>IFERROR(__xludf.DUMMYFUNCTION("""COMPUTED_VALUE"""),15.0)</f>
        <v>15</v>
      </c>
      <c r="N218" s="561">
        <f>IFERROR(__xludf.DUMMYFUNCTION("""COMPUTED_VALUE"""),50.0)</f>
        <v>50</v>
      </c>
      <c r="O218" s="560"/>
      <c r="P218" s="562">
        <f>IFERROR(__xludf.DUMMYFUNCTION("""COMPUTED_VALUE"""),50.0)</f>
        <v>50</v>
      </c>
      <c r="Q218" s="562">
        <f>IFERROR(__xludf.DUMMYFUNCTION("""COMPUTED_VALUE"""),71.0)</f>
        <v>71</v>
      </c>
      <c r="R218" s="562">
        <f>IFERROR(__xludf.DUMMYFUNCTION("""COMPUTED_VALUE"""),91.0)</f>
        <v>91</v>
      </c>
      <c r="S218" s="562"/>
      <c r="T218" s="217"/>
      <c r="U218" s="217"/>
      <c r="V218" s="217">
        <f>IFERROR(__xludf.DUMMYFUNCTION("""COMPUTED_VALUE"""),72.0)</f>
        <v>72</v>
      </c>
      <c r="W218" s="217">
        <f>IFERROR(__xludf.DUMMYFUNCTION("""COMPUTED_VALUE"""),28.0)</f>
        <v>28</v>
      </c>
      <c r="X218" s="217">
        <f>IFERROR(__xludf.DUMMYFUNCTION("""COMPUTED_VALUE"""),72.0)</f>
        <v>72</v>
      </c>
      <c r="Y218" s="217"/>
      <c r="Z218" s="217"/>
      <c r="AA218" s="481">
        <f>IFERROR(__xludf.DUMMYFUNCTION("""COMPUTED_VALUE"""),88.0)</f>
        <v>88</v>
      </c>
      <c r="AB218" s="481">
        <f>IFERROR(__xludf.DUMMYFUNCTION("""COMPUTED_VALUE"""),84.0)</f>
        <v>84</v>
      </c>
      <c r="AC218" s="481">
        <f>IFERROR(__xludf.DUMMYFUNCTION("""COMPUTED_VALUE"""),84.0)</f>
        <v>84</v>
      </c>
      <c r="AD218" s="481">
        <f>IFERROR(__xludf.DUMMYFUNCTION("""COMPUTED_VALUE"""),90.0)</f>
        <v>90</v>
      </c>
      <c r="AE218" s="481">
        <f>IFERROR(__xludf.DUMMYFUNCTION("""COMPUTED_VALUE"""),87.0)</f>
        <v>87</v>
      </c>
      <c r="AF218" s="481"/>
      <c r="AG218" s="481">
        <f>IFERROR(__xludf.DUMMYFUNCTION("""COMPUTED_VALUE"""),29.0)</f>
        <v>29</v>
      </c>
      <c r="AH218" s="481"/>
      <c r="AI218" s="158"/>
      <c r="AJ218" s="158"/>
      <c r="AK218" s="133">
        <f>IFERROR(__xludf.DUMMYFUNCTION("""COMPUTED_VALUE"""),4.0)</f>
        <v>4</v>
      </c>
      <c r="AL218" s="133">
        <f>IFERROR(__xludf.DUMMYFUNCTION("""COMPUTED_VALUE"""),0.0)</f>
        <v>0</v>
      </c>
      <c r="AM218" s="133">
        <f>IFERROR(__xludf.DUMMYFUNCTION("""COMPUTED_VALUE"""),0.0)</f>
        <v>0</v>
      </c>
      <c r="AN218" s="133" t="str">
        <f>IFERROR(__xludf.DUMMYFUNCTION("""COMPUTED_VALUE"""),"3.5")</f>
        <v>3.5</v>
      </c>
      <c r="AO218" s="133">
        <f>IFERROR(__xludf.DUMMYFUNCTION("""COMPUTED_VALUE"""),3.0)</f>
        <v>3</v>
      </c>
      <c r="AP218" s="155" t="s">
        <v>2461</v>
      </c>
    </row>
    <row r="219">
      <c r="A219" s="261">
        <f>IFERROR(__xludf.DUMMYFUNCTION("""COMPUTED_VALUE"""),215.0)</f>
        <v>215</v>
      </c>
      <c r="B219" s="261" t="str">
        <f>IFERROR(__xludf.DUMMYFUNCTION("""COMPUTED_VALUE"""),"Divya.cse24le@cmrit.ac.in")</f>
        <v>Divya.cse24le@cmrit.ac.in</v>
      </c>
      <c r="C219" s="172" t="str">
        <f>IFERROR(__xludf.DUMMYFUNCTION("""COMPUTED_VALUE"""),"DIVYA C")</f>
        <v>DIVYA C</v>
      </c>
      <c r="D219" s="155" t="str">
        <f>IFERROR(__xludf.DUMMYFUNCTION("""COMPUTED_VALUE"""),"1CR24CS402")</f>
        <v>1CR24CS402</v>
      </c>
      <c r="E219" s="563">
        <f>IFERROR(__xludf.DUMMYFUNCTION("""COMPUTED_VALUE"""),7.406107243E9)</f>
        <v>7406107243</v>
      </c>
      <c r="F219" s="155" t="str">
        <f>IFERROR(__xludf.DUMMYFUNCTION("""COMPUTED_VALUE"""),"CSE")</f>
        <v>CSE</v>
      </c>
      <c r="G219" s="158"/>
      <c r="H219" s="559">
        <f>IFERROR(__xludf.DUMMYFUNCTION("""COMPUTED_VALUE"""),65.0)</f>
        <v>65</v>
      </c>
      <c r="I219" s="559">
        <f>IFERROR(__xludf.DUMMYFUNCTION("""COMPUTED_VALUE"""),65.0)</f>
        <v>65</v>
      </c>
      <c r="J219" s="559">
        <f>IFERROR(__xludf.DUMMYFUNCTION("""COMPUTED_VALUE"""),70.0)</f>
        <v>70</v>
      </c>
      <c r="K219" s="559">
        <f>IFERROR(__xludf.DUMMYFUNCTION("""COMPUTED_VALUE"""),70.0)</f>
        <v>70</v>
      </c>
      <c r="L219" s="560">
        <f>IFERROR(__xludf.DUMMYFUNCTION("""COMPUTED_VALUE"""),0.0)</f>
        <v>0</v>
      </c>
      <c r="M219" s="561">
        <f>IFERROR(__xludf.DUMMYFUNCTION("""COMPUTED_VALUE"""),25.0)</f>
        <v>25</v>
      </c>
      <c r="N219" s="561">
        <f>IFERROR(__xludf.DUMMYFUNCTION("""COMPUTED_VALUE"""),20.0)</f>
        <v>20</v>
      </c>
      <c r="O219" s="560"/>
      <c r="P219" s="562">
        <f>IFERROR(__xludf.DUMMYFUNCTION("""COMPUTED_VALUE"""),0.0)</f>
        <v>0</v>
      </c>
      <c r="Q219" s="562">
        <f>IFERROR(__xludf.DUMMYFUNCTION("""COMPUTED_VALUE"""),63.0)</f>
        <v>63</v>
      </c>
      <c r="R219" s="562">
        <f>IFERROR(__xludf.DUMMYFUNCTION("""COMPUTED_VALUE"""),86.0)</f>
        <v>86</v>
      </c>
      <c r="S219" s="562"/>
      <c r="T219" s="217"/>
      <c r="U219" s="217"/>
      <c r="V219" s="217">
        <f>IFERROR(__xludf.DUMMYFUNCTION("""COMPUTED_VALUE"""),64.0)</f>
        <v>64</v>
      </c>
      <c r="W219" s="217">
        <f>IFERROR(__xludf.DUMMYFUNCTION("""COMPUTED_VALUE"""),44.0)</f>
        <v>44</v>
      </c>
      <c r="X219" s="217">
        <f>IFERROR(__xludf.DUMMYFUNCTION("""COMPUTED_VALUE"""),76.0)</f>
        <v>76</v>
      </c>
      <c r="Y219" s="217"/>
      <c r="Z219" s="217"/>
      <c r="AA219" s="481"/>
      <c r="AB219" s="481">
        <f>IFERROR(__xludf.DUMMYFUNCTION("""COMPUTED_VALUE"""),22.5)</f>
        <v>22.5</v>
      </c>
      <c r="AC219" s="481">
        <f>IFERROR(__xludf.DUMMYFUNCTION("""COMPUTED_VALUE"""),22.5)</f>
        <v>22.5</v>
      </c>
      <c r="AD219" s="481">
        <f>IFERROR(__xludf.DUMMYFUNCTION("""COMPUTED_VALUE"""),60.0)</f>
        <v>60</v>
      </c>
      <c r="AE219" s="481">
        <f>IFERROR(__xludf.DUMMYFUNCTION("""COMPUTED_VALUE"""),30.0)</f>
        <v>30</v>
      </c>
      <c r="AF219" s="481"/>
      <c r="AG219" s="481">
        <f>IFERROR(__xludf.DUMMYFUNCTION("""COMPUTED_VALUE"""),70.0)</f>
        <v>70</v>
      </c>
      <c r="AH219" s="481"/>
      <c r="AI219" s="158"/>
      <c r="AJ219" s="158"/>
      <c r="AK219" s="133">
        <f>IFERROR(__xludf.DUMMYFUNCTION("""COMPUTED_VALUE"""),4.0)</f>
        <v>4</v>
      </c>
      <c r="AL219" s="133">
        <f>IFERROR(__xludf.DUMMYFUNCTION("""COMPUTED_VALUE"""),0.0)</f>
        <v>0</v>
      </c>
      <c r="AM219" s="133">
        <f>IFERROR(__xludf.DUMMYFUNCTION("""COMPUTED_VALUE"""),0.0)</f>
        <v>0</v>
      </c>
      <c r="AN219" s="133" t="str">
        <f>IFERROR(__xludf.DUMMYFUNCTION("""COMPUTED_VALUE"""),"0")</f>
        <v>0</v>
      </c>
      <c r="AO219" s="133">
        <f>IFERROR(__xludf.DUMMYFUNCTION("""COMPUTED_VALUE"""),0.0)</f>
        <v>0</v>
      </c>
      <c r="AP219" s="155" t="s">
        <v>2461</v>
      </c>
    </row>
    <row r="220">
      <c r="A220" s="261">
        <f>IFERROR(__xludf.DUMMYFUNCTION("""COMPUTED_VALUE"""),216.0)</f>
        <v>216</v>
      </c>
      <c r="B220" s="261" t="str">
        <f>IFERROR(__xludf.DUMMYFUNCTION("""COMPUTED_VALUE"""),"gangotri.cse24le@cmrit.ac.in")</f>
        <v>gangotri.cse24le@cmrit.ac.in</v>
      </c>
      <c r="C220" s="172" t="str">
        <f>IFERROR(__xludf.DUMMYFUNCTION("""COMPUTED_VALUE"""),"Gangotri D")</f>
        <v>Gangotri D</v>
      </c>
      <c r="D220" s="155" t="str">
        <f>IFERROR(__xludf.DUMMYFUNCTION("""COMPUTED_VALUE"""),"1CR24CS403")</f>
        <v>1CR24CS403</v>
      </c>
      <c r="E220" s="563">
        <f>IFERROR(__xludf.DUMMYFUNCTION("""COMPUTED_VALUE"""),7.619298371E9)</f>
        <v>7619298371</v>
      </c>
      <c r="F220" s="155" t="str">
        <f>IFERROR(__xludf.DUMMYFUNCTION("""COMPUTED_VALUE"""),"CSE")</f>
        <v>CSE</v>
      </c>
      <c r="G220" s="158"/>
      <c r="H220" s="559">
        <f>IFERROR(__xludf.DUMMYFUNCTION("""COMPUTED_VALUE"""),65.0)</f>
        <v>65</v>
      </c>
      <c r="I220" s="559">
        <f>IFERROR(__xludf.DUMMYFUNCTION("""COMPUTED_VALUE"""),65.0)</f>
        <v>65</v>
      </c>
      <c r="J220" s="559">
        <f>IFERROR(__xludf.DUMMYFUNCTION("""COMPUTED_VALUE"""),70.0)</f>
        <v>70</v>
      </c>
      <c r="K220" s="559">
        <f>IFERROR(__xludf.DUMMYFUNCTION("""COMPUTED_VALUE"""),73.0)</f>
        <v>73</v>
      </c>
      <c r="L220" s="560">
        <f>IFERROR(__xludf.DUMMYFUNCTION("""COMPUTED_VALUE"""),50.0)</f>
        <v>50</v>
      </c>
      <c r="M220" s="561">
        <f>IFERROR(__xludf.DUMMYFUNCTION("""COMPUTED_VALUE"""),15.0)</f>
        <v>15</v>
      </c>
      <c r="N220" s="561">
        <f>IFERROR(__xludf.DUMMYFUNCTION("""COMPUTED_VALUE"""),28.0)</f>
        <v>28</v>
      </c>
      <c r="O220" s="560"/>
      <c r="P220" s="562">
        <f>IFERROR(__xludf.DUMMYFUNCTION("""COMPUTED_VALUE"""),50.0)</f>
        <v>50</v>
      </c>
      <c r="Q220" s="562">
        <f>IFERROR(__xludf.DUMMYFUNCTION("""COMPUTED_VALUE"""),63.0)</f>
        <v>63</v>
      </c>
      <c r="R220" s="562">
        <f>IFERROR(__xludf.DUMMYFUNCTION("""COMPUTED_VALUE"""),77.0)</f>
        <v>77</v>
      </c>
      <c r="S220" s="562"/>
      <c r="T220" s="217"/>
      <c r="U220" s="217"/>
      <c r="V220" s="217">
        <f>IFERROR(__xludf.DUMMYFUNCTION("""COMPUTED_VALUE"""),52.0)</f>
        <v>52</v>
      </c>
      <c r="W220" s="217">
        <f>IFERROR(__xludf.DUMMYFUNCTION("""COMPUTED_VALUE"""),44.0)</f>
        <v>44</v>
      </c>
      <c r="X220" s="217">
        <f>IFERROR(__xludf.DUMMYFUNCTION("""COMPUTED_VALUE"""),62.0)</f>
        <v>62</v>
      </c>
      <c r="Y220" s="217"/>
      <c r="Z220" s="217"/>
      <c r="AA220" s="481"/>
      <c r="AB220" s="481">
        <f>IFERROR(__xludf.DUMMYFUNCTION("""COMPUTED_VALUE"""),34.5)</f>
        <v>34.5</v>
      </c>
      <c r="AC220" s="481">
        <f>IFERROR(__xludf.DUMMYFUNCTION("""COMPUTED_VALUE"""),34.5)</f>
        <v>34.5</v>
      </c>
      <c r="AD220" s="481">
        <f>IFERROR(__xludf.DUMMYFUNCTION("""COMPUTED_VALUE"""),60.0)</f>
        <v>60</v>
      </c>
      <c r="AE220" s="481">
        <f>IFERROR(__xludf.DUMMYFUNCTION("""COMPUTED_VALUE"""),37.0)</f>
        <v>37</v>
      </c>
      <c r="AF220" s="481"/>
      <c r="AG220" s="481">
        <f>IFERROR(__xludf.DUMMYFUNCTION("""COMPUTED_VALUE"""),63.0)</f>
        <v>63</v>
      </c>
      <c r="AH220" s="481"/>
      <c r="AI220" s="158"/>
      <c r="AJ220" s="158"/>
      <c r="AK220" s="133">
        <f>IFERROR(__xludf.DUMMYFUNCTION("""COMPUTED_VALUE"""),4.0)</f>
        <v>4</v>
      </c>
      <c r="AL220" s="133">
        <f>IFERROR(__xludf.DUMMYFUNCTION("""COMPUTED_VALUE"""),1.0)</f>
        <v>1</v>
      </c>
      <c r="AM220" s="133">
        <f>IFERROR(__xludf.DUMMYFUNCTION("""COMPUTED_VALUE"""),0.0)</f>
        <v>0</v>
      </c>
      <c r="AN220" s="133" t="str">
        <f>IFERROR(__xludf.DUMMYFUNCTION("""COMPUTED_VALUE"""),"0")</f>
        <v>0</v>
      </c>
      <c r="AO220" s="133">
        <f>IFERROR(__xludf.DUMMYFUNCTION("""COMPUTED_VALUE"""),3.0)</f>
        <v>3</v>
      </c>
      <c r="AP220" s="155" t="s">
        <v>2461</v>
      </c>
    </row>
    <row r="221">
      <c r="A221" s="261">
        <f>IFERROR(__xludf.DUMMYFUNCTION("""COMPUTED_VALUE"""),217.0)</f>
        <v>217</v>
      </c>
      <c r="B221" s="261" t="str">
        <f>IFERROR(__xludf.DUMMYFUNCTION("""COMPUTED_VALUE"""),"gurupadayya.cse24le@cmrit.ac.in")</f>
        <v>gurupadayya.cse24le@cmrit.ac.in</v>
      </c>
      <c r="C221" s="172" t="str">
        <f>IFERROR(__xludf.DUMMYFUNCTION("""COMPUTED_VALUE"""),"GURU G MATHAPATI")</f>
        <v>GURU G MATHAPATI</v>
      </c>
      <c r="D221" s="155" t="str">
        <f>IFERROR(__xludf.DUMMYFUNCTION("""COMPUTED_VALUE"""),"1CR24CS404")</f>
        <v>1CR24CS404</v>
      </c>
      <c r="E221" s="563">
        <f>IFERROR(__xludf.DUMMYFUNCTION("""COMPUTED_VALUE"""),9.731212043E9)</f>
        <v>9731212043</v>
      </c>
      <c r="F221" s="155" t="str">
        <f>IFERROR(__xludf.DUMMYFUNCTION("""COMPUTED_VALUE"""),"CSE")</f>
        <v>CSE</v>
      </c>
      <c r="G221" s="158"/>
      <c r="H221" s="559">
        <f>IFERROR(__xludf.DUMMYFUNCTION("""COMPUTED_VALUE"""),68.0)</f>
        <v>68</v>
      </c>
      <c r="I221" s="559">
        <f>IFERROR(__xludf.DUMMYFUNCTION("""COMPUTED_VALUE"""),32.0)</f>
        <v>32</v>
      </c>
      <c r="J221" s="559">
        <f>IFERROR(__xludf.DUMMYFUNCTION("""COMPUTED_VALUE"""),61.0)</f>
        <v>61</v>
      </c>
      <c r="K221" s="559">
        <f>IFERROR(__xludf.DUMMYFUNCTION("""COMPUTED_VALUE"""),75.0)</f>
        <v>75</v>
      </c>
      <c r="L221" s="560">
        <f>IFERROR(__xludf.DUMMYFUNCTION("""COMPUTED_VALUE"""),5.0)</f>
        <v>5</v>
      </c>
      <c r="M221" s="561">
        <f>IFERROR(__xludf.DUMMYFUNCTION("""COMPUTED_VALUE"""),0.0)</f>
        <v>0</v>
      </c>
      <c r="N221" s="561">
        <f>IFERROR(__xludf.DUMMYFUNCTION("""COMPUTED_VALUE"""),50.0)</f>
        <v>50</v>
      </c>
      <c r="O221" s="560"/>
      <c r="P221" s="562">
        <f>IFERROR(__xludf.DUMMYFUNCTION("""COMPUTED_VALUE"""),50.0)</f>
        <v>50</v>
      </c>
      <c r="Q221" s="562">
        <f>IFERROR(__xludf.DUMMYFUNCTION("""COMPUTED_VALUE"""),65.0)</f>
        <v>65</v>
      </c>
      <c r="R221" s="562">
        <f>IFERROR(__xludf.DUMMYFUNCTION("""COMPUTED_VALUE"""),78.0)</f>
        <v>78</v>
      </c>
      <c r="S221" s="562"/>
      <c r="T221" s="217"/>
      <c r="U221" s="217"/>
      <c r="V221" s="217"/>
      <c r="W221" s="217">
        <f>IFERROR(__xludf.DUMMYFUNCTION("""COMPUTED_VALUE"""),80.0)</f>
        <v>80</v>
      </c>
      <c r="X221" s="217">
        <f>IFERROR(__xludf.DUMMYFUNCTION("""COMPUTED_VALUE"""),76.0)</f>
        <v>76</v>
      </c>
      <c r="Y221" s="217"/>
      <c r="Z221" s="217"/>
      <c r="AA221" s="481"/>
      <c r="AB221" s="481">
        <f>IFERROR(__xludf.DUMMYFUNCTION("""COMPUTED_VALUE"""),74.5)</f>
        <v>74.5</v>
      </c>
      <c r="AC221" s="481">
        <f>IFERROR(__xludf.DUMMYFUNCTION("""COMPUTED_VALUE"""),74.5)</f>
        <v>74.5</v>
      </c>
      <c r="AD221" s="481">
        <f>IFERROR(__xludf.DUMMYFUNCTION("""COMPUTED_VALUE"""),100.0)</f>
        <v>100</v>
      </c>
      <c r="AE221" s="481">
        <f>IFERROR(__xludf.DUMMYFUNCTION("""COMPUTED_VALUE"""),26.0)</f>
        <v>26</v>
      </c>
      <c r="AF221" s="481"/>
      <c r="AG221" s="481">
        <f>IFERROR(__xludf.DUMMYFUNCTION("""COMPUTED_VALUE"""),54.0)</f>
        <v>54</v>
      </c>
      <c r="AH221" s="481"/>
      <c r="AI221" s="158"/>
      <c r="AJ221" s="158"/>
      <c r="AK221" s="133">
        <f>IFERROR(__xludf.DUMMYFUNCTION("""COMPUTED_VALUE"""),1.0)</f>
        <v>1</v>
      </c>
      <c r="AL221" s="133">
        <f>IFERROR(__xludf.DUMMYFUNCTION("""COMPUTED_VALUE"""),0.0)</f>
        <v>0</v>
      </c>
      <c r="AM221" s="133">
        <f>IFERROR(__xludf.DUMMYFUNCTION("""COMPUTED_VALUE"""),0.0)</f>
        <v>0</v>
      </c>
      <c r="AN221" s="133" t="str">
        <f>IFERROR(__xludf.DUMMYFUNCTION("""COMPUTED_VALUE"""),"3")</f>
        <v>3</v>
      </c>
      <c r="AO221" s="133">
        <f>IFERROR(__xludf.DUMMYFUNCTION("""COMPUTED_VALUE"""),3.0)</f>
        <v>3</v>
      </c>
      <c r="AP221" s="155" t="s">
        <v>2461</v>
      </c>
    </row>
    <row r="222">
      <c r="A222" s="261">
        <f>IFERROR(__xludf.DUMMYFUNCTION("""COMPUTED_VALUE"""),218.0)</f>
        <v>218</v>
      </c>
      <c r="B222" s="261" t="str">
        <f>IFERROR(__xludf.DUMMYFUNCTION("""COMPUTED_VALUE"""),"hitendra.cse24le@cmrit.ac.in")</f>
        <v>hitendra.cse24le@cmrit.ac.in</v>
      </c>
      <c r="C222" s="172" t="str">
        <f>IFERROR(__xludf.DUMMYFUNCTION("""COMPUTED_VALUE"""),"HITENDRA S")</f>
        <v>HITENDRA S</v>
      </c>
      <c r="D222" s="155" t="str">
        <f>IFERROR(__xludf.DUMMYFUNCTION("""COMPUTED_VALUE"""),"1CR24CS405")</f>
        <v>1CR24CS405</v>
      </c>
      <c r="E222" s="563">
        <f>IFERROR(__xludf.DUMMYFUNCTION("""COMPUTED_VALUE"""),9.590983034E9)</f>
        <v>9590983034</v>
      </c>
      <c r="F222" s="155" t="str">
        <f>IFERROR(__xludf.DUMMYFUNCTION("""COMPUTED_VALUE"""),"CSE")</f>
        <v>CSE</v>
      </c>
      <c r="G222" s="158"/>
      <c r="H222" s="559">
        <f>IFERROR(__xludf.DUMMYFUNCTION("""COMPUTED_VALUE"""),70.0)</f>
        <v>70</v>
      </c>
      <c r="I222" s="559">
        <f>IFERROR(__xludf.DUMMYFUNCTION("""COMPUTED_VALUE"""),70.0)</f>
        <v>70</v>
      </c>
      <c r="J222" s="559">
        <f>IFERROR(__xludf.DUMMYFUNCTION("""COMPUTED_VALUE"""),70.0)</f>
        <v>70</v>
      </c>
      <c r="K222" s="559">
        <f>IFERROR(__xludf.DUMMYFUNCTION("""COMPUTED_VALUE"""),70.0)</f>
        <v>70</v>
      </c>
      <c r="L222" s="560">
        <f>IFERROR(__xludf.DUMMYFUNCTION("""COMPUTED_VALUE"""),50.0)</f>
        <v>50</v>
      </c>
      <c r="M222" s="561">
        <f>IFERROR(__xludf.DUMMYFUNCTION("""COMPUTED_VALUE"""),50.0)</f>
        <v>50</v>
      </c>
      <c r="N222" s="561">
        <f>IFERROR(__xludf.DUMMYFUNCTION("""COMPUTED_VALUE"""),50.0)</f>
        <v>50</v>
      </c>
      <c r="O222" s="560"/>
      <c r="P222" s="562">
        <f>IFERROR(__xludf.DUMMYFUNCTION("""COMPUTED_VALUE"""),50.0)</f>
        <v>50</v>
      </c>
      <c r="Q222" s="562">
        <f>IFERROR(__xludf.DUMMYFUNCTION("""COMPUTED_VALUE"""),62.0)</f>
        <v>62</v>
      </c>
      <c r="R222" s="562">
        <f>IFERROR(__xludf.DUMMYFUNCTION("""COMPUTED_VALUE"""),83.0)</f>
        <v>83</v>
      </c>
      <c r="S222" s="562"/>
      <c r="T222" s="217"/>
      <c r="U222" s="217"/>
      <c r="V222" s="217">
        <f>IFERROR(__xludf.DUMMYFUNCTION("""COMPUTED_VALUE"""),56.0)</f>
        <v>56</v>
      </c>
      <c r="W222" s="217">
        <f>IFERROR(__xludf.DUMMYFUNCTION("""COMPUTED_VALUE"""),68.0)</f>
        <v>68</v>
      </c>
      <c r="X222" s="217">
        <f>IFERROR(__xludf.DUMMYFUNCTION("""COMPUTED_VALUE"""),82.0)</f>
        <v>82</v>
      </c>
      <c r="Y222" s="217"/>
      <c r="Z222" s="217"/>
      <c r="AA222" s="481"/>
      <c r="AB222" s="481">
        <f>IFERROR(__xludf.DUMMYFUNCTION("""COMPUTED_VALUE"""),64.5)</f>
        <v>64.5</v>
      </c>
      <c r="AC222" s="481">
        <f>IFERROR(__xludf.DUMMYFUNCTION("""COMPUTED_VALUE"""),64.5)</f>
        <v>64.5</v>
      </c>
      <c r="AD222" s="481">
        <f>IFERROR(__xludf.DUMMYFUNCTION("""COMPUTED_VALUE"""),85.0)</f>
        <v>85</v>
      </c>
      <c r="AE222" s="481">
        <f>IFERROR(__xludf.DUMMYFUNCTION("""COMPUTED_VALUE"""),86.0)</f>
        <v>86</v>
      </c>
      <c r="AF222" s="481"/>
      <c r="AG222" s="481">
        <f>IFERROR(__xludf.DUMMYFUNCTION("""COMPUTED_VALUE"""),74.0)</f>
        <v>74</v>
      </c>
      <c r="AH222" s="481"/>
      <c r="AI222" s="158"/>
      <c r="AJ222" s="158"/>
      <c r="AK222" s="133">
        <f>IFERROR(__xludf.DUMMYFUNCTION("""COMPUTED_VALUE"""),4.0)</f>
        <v>4</v>
      </c>
      <c r="AL222" s="133">
        <f>IFERROR(__xludf.DUMMYFUNCTION("""COMPUTED_VALUE"""),3.0)</f>
        <v>3</v>
      </c>
      <c r="AM222" s="133">
        <f>IFERROR(__xludf.DUMMYFUNCTION("""COMPUTED_VALUE"""),0.0)</f>
        <v>0</v>
      </c>
      <c r="AN222" s="133" t="str">
        <f>IFERROR(__xludf.DUMMYFUNCTION("""COMPUTED_VALUE"""),"3.5")</f>
        <v>3.5</v>
      </c>
      <c r="AO222" s="133">
        <f>IFERROR(__xludf.DUMMYFUNCTION("""COMPUTED_VALUE"""),3.0)</f>
        <v>3</v>
      </c>
      <c r="AP222" s="155" t="s">
        <v>2461</v>
      </c>
    </row>
    <row r="223">
      <c r="A223" s="261">
        <f>IFERROR(__xludf.DUMMYFUNCTION("""COMPUTED_VALUE"""),219.0)</f>
        <v>219</v>
      </c>
      <c r="B223" s="261" t="str">
        <f>IFERROR(__xludf.DUMMYFUNCTION("""COMPUTED_VALUE"""),"hrishikesh.cse24le@cmrit.ac.in")</f>
        <v>hrishikesh.cse24le@cmrit.ac.in</v>
      </c>
      <c r="C223" s="172" t="str">
        <f>IFERROR(__xludf.DUMMYFUNCTION("""COMPUTED_VALUE"""),"Hrishikesh A")</f>
        <v>Hrishikesh A</v>
      </c>
      <c r="D223" s="155" t="str">
        <f>IFERROR(__xludf.DUMMYFUNCTION("""COMPUTED_VALUE"""),"1CR24CS406")</f>
        <v>1CR24CS406</v>
      </c>
      <c r="E223" s="563">
        <f>IFERROR(__xludf.DUMMYFUNCTION("""COMPUTED_VALUE"""),9.380166683E9)</f>
        <v>9380166683</v>
      </c>
      <c r="F223" s="155" t="str">
        <f>IFERROR(__xludf.DUMMYFUNCTION("""COMPUTED_VALUE"""),"CSE")</f>
        <v>CSE</v>
      </c>
      <c r="G223" s="158"/>
      <c r="H223" s="559">
        <f>IFERROR(__xludf.DUMMYFUNCTION("""COMPUTED_VALUE"""),70.0)</f>
        <v>70</v>
      </c>
      <c r="I223" s="559">
        <f>IFERROR(__xludf.DUMMYFUNCTION("""COMPUTED_VALUE"""),70.0)</f>
        <v>70</v>
      </c>
      <c r="J223" s="559">
        <f>IFERROR(__xludf.DUMMYFUNCTION("""COMPUTED_VALUE"""),33.0)</f>
        <v>33</v>
      </c>
      <c r="K223" s="559">
        <f>IFERROR(__xludf.DUMMYFUNCTION("""COMPUTED_VALUE"""),6.0)</f>
        <v>6</v>
      </c>
      <c r="L223" s="560">
        <f>IFERROR(__xludf.DUMMYFUNCTION("""COMPUTED_VALUE"""),0.0)</f>
        <v>0</v>
      </c>
      <c r="M223" s="561">
        <f>IFERROR(__xludf.DUMMYFUNCTION("""COMPUTED_VALUE"""),6.0)</f>
        <v>6</v>
      </c>
      <c r="N223" s="561">
        <f>IFERROR(__xludf.DUMMYFUNCTION("""COMPUTED_VALUE"""),0.0)</f>
        <v>0</v>
      </c>
      <c r="O223" s="560"/>
      <c r="P223" s="562">
        <f>IFERROR(__xludf.DUMMYFUNCTION("""COMPUTED_VALUE"""),0.0)</f>
        <v>0</v>
      </c>
      <c r="Q223" s="562">
        <f>IFERROR(__xludf.DUMMYFUNCTION("""COMPUTED_VALUE"""),0.0)</f>
        <v>0</v>
      </c>
      <c r="R223" s="562">
        <f>IFERROR(__xludf.DUMMYFUNCTION("""COMPUTED_VALUE"""),0.0)</f>
        <v>0</v>
      </c>
      <c r="S223" s="562"/>
      <c r="T223" s="217"/>
      <c r="U223" s="217"/>
      <c r="V223" s="217"/>
      <c r="W223" s="217"/>
      <c r="X223" s="217"/>
      <c r="Y223" s="217"/>
      <c r="Z223" s="217"/>
      <c r="AA223" s="481"/>
      <c r="AB223" s="481">
        <f>IFERROR(__xludf.DUMMYFUNCTION("""COMPUTED_VALUE"""),0.0)</f>
        <v>0</v>
      </c>
      <c r="AC223" s="481">
        <f>IFERROR(__xludf.DUMMYFUNCTION("""COMPUTED_VALUE"""),0.0)</f>
        <v>0</v>
      </c>
      <c r="AD223" s="481">
        <f>IFERROR(__xludf.DUMMYFUNCTION("""COMPUTED_VALUE"""),0.0)</f>
        <v>0</v>
      </c>
      <c r="AE223" s="481">
        <f>IFERROR(__xludf.DUMMYFUNCTION("""COMPUTED_VALUE"""),10.0)</f>
        <v>10</v>
      </c>
      <c r="AF223" s="481"/>
      <c r="AG223" s="481">
        <f>IFERROR(__xludf.DUMMYFUNCTION("""COMPUTED_VALUE"""),0.0)</f>
        <v>0</v>
      </c>
      <c r="AH223" s="481"/>
      <c r="AI223" s="158"/>
      <c r="AJ223" s="158"/>
      <c r="AK223" s="133">
        <f>IFERROR(__xludf.DUMMYFUNCTION("""COMPUTED_VALUE"""),2.0)</f>
        <v>2</v>
      </c>
      <c r="AL223" s="133">
        <f>IFERROR(__xludf.DUMMYFUNCTION("""COMPUTED_VALUE"""),0.0)</f>
        <v>0</v>
      </c>
      <c r="AM223" s="133">
        <f>IFERROR(__xludf.DUMMYFUNCTION("""COMPUTED_VALUE"""),0.0)</f>
        <v>0</v>
      </c>
      <c r="AN223" s="133" t="str">
        <f>IFERROR(__xludf.DUMMYFUNCTION("""COMPUTED_VALUE"""),"0")</f>
        <v>0</v>
      </c>
      <c r="AO223" s="133">
        <f>IFERROR(__xludf.DUMMYFUNCTION("""COMPUTED_VALUE"""),0.0)</f>
        <v>0</v>
      </c>
      <c r="AP223" s="155" t="s">
        <v>2461</v>
      </c>
    </row>
    <row r="224">
      <c r="A224" s="155">
        <f>IFERROR(__xludf.DUMMYFUNCTION("""COMPUTED_VALUE"""),220.0)</f>
        <v>220</v>
      </c>
      <c r="B224" s="155" t="str">
        <f>IFERROR(__xludf.DUMMYFUNCTION("""COMPUTED_VALUE"""),"kavya.cse24le@cmrit.ac.in")</f>
        <v>kavya.cse24le@cmrit.ac.in</v>
      </c>
      <c r="C224" s="174" t="str">
        <f>IFERROR(__xludf.DUMMYFUNCTION("""COMPUTED_VALUE"""),"Kavya")</f>
        <v>Kavya</v>
      </c>
      <c r="D224" s="155" t="str">
        <f>IFERROR(__xludf.DUMMYFUNCTION("""COMPUTED_VALUE"""),"1CR24CS407")</f>
        <v>1CR24CS407</v>
      </c>
      <c r="E224" s="563">
        <f>IFERROR(__xludf.DUMMYFUNCTION("""COMPUTED_VALUE"""),7.259938538E9)</f>
        <v>7259938538</v>
      </c>
      <c r="F224" s="155" t="str">
        <f>IFERROR(__xludf.DUMMYFUNCTION("""COMPUTED_VALUE"""),"CSE")</f>
        <v>CSE</v>
      </c>
      <c r="G224" s="158"/>
      <c r="H224" s="559">
        <f>IFERROR(__xludf.DUMMYFUNCTION("""COMPUTED_VALUE"""),70.0)</f>
        <v>70</v>
      </c>
      <c r="I224" s="559">
        <f>IFERROR(__xludf.DUMMYFUNCTION("""COMPUTED_VALUE"""),70.0)</f>
        <v>70</v>
      </c>
      <c r="J224" s="559">
        <f>IFERROR(__xludf.DUMMYFUNCTION("""COMPUTED_VALUE"""),52.0)</f>
        <v>52</v>
      </c>
      <c r="K224" s="559">
        <f>IFERROR(__xludf.DUMMYFUNCTION("""COMPUTED_VALUE"""),48.0)</f>
        <v>48</v>
      </c>
      <c r="L224" s="560">
        <f>IFERROR(__xludf.DUMMYFUNCTION("""COMPUTED_VALUE"""),0.0)</f>
        <v>0</v>
      </c>
      <c r="M224" s="561">
        <f>IFERROR(__xludf.DUMMYFUNCTION("""COMPUTED_VALUE"""),3.0)</f>
        <v>3</v>
      </c>
      <c r="N224" s="561">
        <f>IFERROR(__xludf.DUMMYFUNCTION("""COMPUTED_VALUE"""),0.0)</f>
        <v>0</v>
      </c>
      <c r="O224" s="560"/>
      <c r="P224" s="562">
        <f>IFERROR(__xludf.DUMMYFUNCTION("""COMPUTED_VALUE"""),0.0)</f>
        <v>0</v>
      </c>
      <c r="Q224" s="562">
        <f>IFERROR(__xludf.DUMMYFUNCTION("""COMPUTED_VALUE"""),63.0)</f>
        <v>63</v>
      </c>
      <c r="R224" s="562">
        <f>IFERROR(__xludf.DUMMYFUNCTION("""COMPUTED_VALUE"""),0.0)</f>
        <v>0</v>
      </c>
      <c r="S224" s="562"/>
      <c r="T224" s="217"/>
      <c r="U224" s="217"/>
      <c r="V224" s="217">
        <f>IFERROR(__xludf.DUMMYFUNCTION("""COMPUTED_VALUE"""),56.0)</f>
        <v>56</v>
      </c>
      <c r="W224" s="217">
        <f>IFERROR(__xludf.DUMMYFUNCTION("""COMPUTED_VALUE"""),32.0)</f>
        <v>32</v>
      </c>
      <c r="X224" s="217"/>
      <c r="Y224" s="217"/>
      <c r="Z224" s="217"/>
      <c r="AA224" s="481"/>
      <c r="AB224" s="481">
        <f>IFERROR(__xludf.DUMMYFUNCTION("""COMPUTED_VALUE"""),1.5)</f>
        <v>1.5</v>
      </c>
      <c r="AC224" s="481">
        <f>IFERROR(__xludf.DUMMYFUNCTION("""COMPUTED_VALUE"""),1.5)</f>
        <v>1.5</v>
      </c>
      <c r="AD224" s="481">
        <f>IFERROR(__xludf.DUMMYFUNCTION("""COMPUTED_VALUE"""),2.0)</f>
        <v>2</v>
      </c>
      <c r="AE224" s="481">
        <f>IFERROR(__xludf.DUMMYFUNCTION("""COMPUTED_VALUE"""),10.0)</f>
        <v>10</v>
      </c>
      <c r="AF224" s="481"/>
      <c r="AG224" s="481">
        <f>IFERROR(__xludf.DUMMYFUNCTION("""COMPUTED_VALUE"""),0.0)</f>
        <v>0</v>
      </c>
      <c r="AH224" s="481"/>
      <c r="AI224" s="158"/>
      <c r="AJ224" s="158"/>
      <c r="AK224" s="133">
        <f>IFERROR(__xludf.DUMMYFUNCTION("""COMPUTED_VALUE"""),2.0)</f>
        <v>2</v>
      </c>
      <c r="AL224" s="133">
        <f>IFERROR(__xludf.DUMMYFUNCTION("""COMPUTED_VALUE"""),0.0)</f>
        <v>0</v>
      </c>
      <c r="AM224" s="133">
        <f>IFERROR(__xludf.DUMMYFUNCTION("""COMPUTED_VALUE"""),0.0)</f>
        <v>0</v>
      </c>
      <c r="AN224" s="133" t="str">
        <f>IFERROR(__xludf.DUMMYFUNCTION("""COMPUTED_VALUE"""),"0")</f>
        <v>0</v>
      </c>
      <c r="AO224" s="133">
        <f>IFERROR(__xludf.DUMMYFUNCTION("""COMPUTED_VALUE"""),0.0)</f>
        <v>0</v>
      </c>
      <c r="AP224" s="155" t="s">
        <v>2461</v>
      </c>
    </row>
    <row r="225">
      <c r="A225" s="155">
        <f>IFERROR(__xludf.DUMMYFUNCTION("""COMPUTED_VALUE"""),221.0)</f>
        <v>221</v>
      </c>
      <c r="B225" s="155" t="str">
        <f>IFERROR(__xludf.DUMMYFUNCTION("""COMPUTED_VALUE"""),"lekhan.cse24le@cmrit.ac.in")</f>
        <v>lekhan.cse24le@cmrit.ac.in</v>
      </c>
      <c r="C225" s="174" t="str">
        <f>IFERROR(__xludf.DUMMYFUNCTION("""COMPUTED_VALUE"""),"LEKHAN V R")</f>
        <v>LEKHAN V R</v>
      </c>
      <c r="D225" s="155" t="str">
        <f>IFERROR(__xludf.DUMMYFUNCTION("""COMPUTED_VALUE"""),"1CR24CS408")</f>
        <v>1CR24CS408</v>
      </c>
      <c r="E225" s="563">
        <f>IFERROR(__xludf.DUMMYFUNCTION("""COMPUTED_VALUE"""),7.349410633E9)</f>
        <v>7349410633</v>
      </c>
      <c r="F225" s="155" t="str">
        <f>IFERROR(__xludf.DUMMYFUNCTION("""COMPUTED_VALUE"""),"CSE")</f>
        <v>CSE</v>
      </c>
      <c r="G225" s="158"/>
      <c r="H225" s="559">
        <f>IFERROR(__xludf.DUMMYFUNCTION("""COMPUTED_VALUE"""),70.0)</f>
        <v>70</v>
      </c>
      <c r="I225" s="559">
        <f>IFERROR(__xludf.DUMMYFUNCTION("""COMPUTED_VALUE"""),70.0)</f>
        <v>70</v>
      </c>
      <c r="J225" s="559">
        <f>IFERROR(__xludf.DUMMYFUNCTION("""COMPUTED_VALUE"""),70.0)</f>
        <v>70</v>
      </c>
      <c r="K225" s="559">
        <f>IFERROR(__xludf.DUMMYFUNCTION("""COMPUTED_VALUE"""),70.0)</f>
        <v>70</v>
      </c>
      <c r="L225" s="560">
        <f>IFERROR(__xludf.DUMMYFUNCTION("""COMPUTED_VALUE"""),50.0)</f>
        <v>50</v>
      </c>
      <c r="M225" s="561">
        <f>IFERROR(__xludf.DUMMYFUNCTION("""COMPUTED_VALUE"""),8.0)</f>
        <v>8</v>
      </c>
      <c r="N225" s="561">
        <f>IFERROR(__xludf.DUMMYFUNCTION("""COMPUTED_VALUE"""),0.0)</f>
        <v>0</v>
      </c>
      <c r="O225" s="560"/>
      <c r="P225" s="562">
        <f>IFERROR(__xludf.DUMMYFUNCTION("""COMPUTED_VALUE"""),50.0)</f>
        <v>50</v>
      </c>
      <c r="Q225" s="562">
        <f>IFERROR(__xludf.DUMMYFUNCTION("""COMPUTED_VALUE"""),0.0)</f>
        <v>0</v>
      </c>
      <c r="R225" s="562">
        <f>IFERROR(__xludf.DUMMYFUNCTION("""COMPUTED_VALUE"""),88.0)</f>
        <v>88</v>
      </c>
      <c r="S225" s="562"/>
      <c r="T225" s="217"/>
      <c r="U225" s="217"/>
      <c r="V225" s="217">
        <f>IFERROR(__xludf.DUMMYFUNCTION("""COMPUTED_VALUE"""),48.0)</f>
        <v>48</v>
      </c>
      <c r="W225" s="217"/>
      <c r="X225" s="217">
        <f>IFERROR(__xludf.DUMMYFUNCTION("""COMPUTED_VALUE"""),74.0)</f>
        <v>74</v>
      </c>
      <c r="Y225" s="217"/>
      <c r="Z225" s="217"/>
      <c r="AA225" s="481"/>
      <c r="AB225" s="481">
        <f>IFERROR(__xludf.DUMMYFUNCTION("""COMPUTED_VALUE"""),70.0)</f>
        <v>70</v>
      </c>
      <c r="AC225" s="481">
        <f>IFERROR(__xludf.DUMMYFUNCTION("""COMPUTED_VALUE"""),70.0)</f>
        <v>70</v>
      </c>
      <c r="AD225" s="481">
        <f>IFERROR(__xludf.DUMMYFUNCTION("""COMPUTED_VALUE"""),83.0)</f>
        <v>83</v>
      </c>
      <c r="AE225" s="481">
        <f>IFERROR(__xludf.DUMMYFUNCTION("""COMPUTED_VALUE"""),10.0)</f>
        <v>10</v>
      </c>
      <c r="AF225" s="481"/>
      <c r="AG225" s="481">
        <f>IFERROR(__xludf.DUMMYFUNCTION("""COMPUTED_VALUE"""),10.0)</f>
        <v>10</v>
      </c>
      <c r="AH225" s="481"/>
      <c r="AI225" s="158"/>
      <c r="AJ225" s="158"/>
      <c r="AK225" s="133">
        <f>IFERROR(__xludf.DUMMYFUNCTION("""COMPUTED_VALUE"""),4.0)</f>
        <v>4</v>
      </c>
      <c r="AL225" s="133">
        <f>IFERROR(__xludf.DUMMYFUNCTION("""COMPUTED_VALUE"""),1.0)</f>
        <v>1</v>
      </c>
      <c r="AM225" s="133">
        <f>IFERROR(__xludf.DUMMYFUNCTION("""COMPUTED_VALUE"""),0.0)</f>
        <v>0</v>
      </c>
      <c r="AN225" s="133" t="str">
        <f>IFERROR(__xludf.DUMMYFUNCTION("""COMPUTED_VALUE"""),"3")</f>
        <v>3</v>
      </c>
      <c r="AO225" s="133">
        <f>IFERROR(__xludf.DUMMYFUNCTION("""COMPUTED_VALUE"""),1.0)</f>
        <v>1</v>
      </c>
      <c r="AP225" s="155" t="s">
        <v>2461</v>
      </c>
    </row>
    <row r="226">
      <c r="A226" s="155">
        <f>IFERROR(__xludf.DUMMYFUNCTION("""COMPUTED_VALUE"""),222.0)</f>
        <v>222</v>
      </c>
      <c r="B226" s="155" t="str">
        <f>IFERROR(__xludf.DUMMYFUNCTION("""COMPUTED_VALUE"""),"mokshith.cse24le@cmrit.ac.in")</f>
        <v>mokshith.cse24le@cmrit.ac.in</v>
      </c>
      <c r="C226" s="174" t="str">
        <f>IFERROR(__xludf.DUMMYFUNCTION("""COMPUTED_VALUE"""),"Mokshith M S")</f>
        <v>Mokshith M S</v>
      </c>
      <c r="D226" s="155" t="str">
        <f>IFERROR(__xludf.DUMMYFUNCTION("""COMPUTED_VALUE"""),"1CR24CS409")</f>
        <v>1CR24CS409</v>
      </c>
      <c r="E226" s="563">
        <f>IFERROR(__xludf.DUMMYFUNCTION("""COMPUTED_VALUE"""),9.353884238E9)</f>
        <v>9353884238</v>
      </c>
      <c r="F226" s="155" t="str">
        <f>IFERROR(__xludf.DUMMYFUNCTION("""COMPUTED_VALUE"""),"CSE")</f>
        <v>CSE</v>
      </c>
      <c r="G226" s="158"/>
      <c r="H226" s="559">
        <f>IFERROR(__xludf.DUMMYFUNCTION("""COMPUTED_VALUE"""),70.0)</f>
        <v>70</v>
      </c>
      <c r="I226" s="559">
        <f>IFERROR(__xludf.DUMMYFUNCTION("""COMPUTED_VALUE"""),70.0)</f>
        <v>70</v>
      </c>
      <c r="J226" s="559">
        <f>IFERROR(__xludf.DUMMYFUNCTION("""COMPUTED_VALUE"""),81.0)</f>
        <v>81</v>
      </c>
      <c r="K226" s="559">
        <f>IFERROR(__xludf.DUMMYFUNCTION("""COMPUTED_VALUE"""),70.0)</f>
        <v>70</v>
      </c>
      <c r="L226" s="560">
        <f>IFERROR(__xludf.DUMMYFUNCTION("""COMPUTED_VALUE"""),50.0)</f>
        <v>50</v>
      </c>
      <c r="M226" s="561">
        <f>IFERROR(__xludf.DUMMYFUNCTION("""COMPUTED_VALUE"""),50.0)</f>
        <v>50</v>
      </c>
      <c r="N226" s="561">
        <f>IFERROR(__xludf.DUMMYFUNCTION("""COMPUTED_VALUE"""),50.0)</f>
        <v>50</v>
      </c>
      <c r="O226" s="560"/>
      <c r="P226" s="562">
        <f>IFERROR(__xludf.DUMMYFUNCTION("""COMPUTED_VALUE"""),50.0)</f>
        <v>50</v>
      </c>
      <c r="Q226" s="562">
        <f>IFERROR(__xludf.DUMMYFUNCTION("""COMPUTED_VALUE"""),62.0)</f>
        <v>62</v>
      </c>
      <c r="R226" s="562">
        <f>IFERROR(__xludf.DUMMYFUNCTION("""COMPUTED_VALUE"""),77.0)</f>
        <v>77</v>
      </c>
      <c r="S226" s="562"/>
      <c r="T226" s="217"/>
      <c r="U226" s="217"/>
      <c r="V226" s="217">
        <f>IFERROR(__xludf.DUMMYFUNCTION("""COMPUTED_VALUE"""),12.0)</f>
        <v>12</v>
      </c>
      <c r="W226" s="217">
        <f>IFERROR(__xludf.DUMMYFUNCTION("""COMPUTED_VALUE"""),64.0)</f>
        <v>64</v>
      </c>
      <c r="X226" s="217">
        <f>IFERROR(__xludf.DUMMYFUNCTION("""COMPUTED_VALUE"""),80.0)</f>
        <v>80</v>
      </c>
      <c r="Y226" s="217"/>
      <c r="Z226" s="217"/>
      <c r="AA226" s="481"/>
      <c r="AB226" s="481">
        <f>IFERROR(__xludf.DUMMYFUNCTION("""COMPUTED_VALUE"""),65.0)</f>
        <v>65</v>
      </c>
      <c r="AC226" s="481">
        <f>IFERROR(__xludf.DUMMYFUNCTION("""COMPUTED_VALUE"""),65.0)</f>
        <v>65</v>
      </c>
      <c r="AD226" s="481">
        <f>IFERROR(__xludf.DUMMYFUNCTION("""COMPUTED_VALUE"""),61.0)</f>
        <v>61</v>
      </c>
      <c r="AE226" s="481">
        <f>IFERROR(__xludf.DUMMYFUNCTION("""COMPUTED_VALUE"""),81.0)</f>
        <v>81</v>
      </c>
      <c r="AF226" s="481"/>
      <c r="AG226" s="481">
        <f>IFERROR(__xludf.DUMMYFUNCTION("""COMPUTED_VALUE"""),22.0)</f>
        <v>22</v>
      </c>
      <c r="AH226" s="481"/>
      <c r="AI226" s="158"/>
      <c r="AJ226" s="158"/>
      <c r="AK226" s="133">
        <f>IFERROR(__xludf.DUMMYFUNCTION("""COMPUTED_VALUE"""),4.0)</f>
        <v>4</v>
      </c>
      <c r="AL226" s="133">
        <f>IFERROR(__xludf.DUMMYFUNCTION("""COMPUTED_VALUE"""),3.0)</f>
        <v>3</v>
      </c>
      <c r="AM226" s="133">
        <f>IFERROR(__xludf.DUMMYFUNCTION("""COMPUTED_VALUE"""),0.0)</f>
        <v>0</v>
      </c>
      <c r="AN226" s="133" t="str">
        <f>IFERROR(__xludf.DUMMYFUNCTION("""COMPUTED_VALUE"""),"3.5")</f>
        <v>3.5</v>
      </c>
      <c r="AO226" s="133">
        <f>IFERROR(__xludf.DUMMYFUNCTION("""COMPUTED_VALUE"""),3.0)</f>
        <v>3</v>
      </c>
      <c r="AP226" s="155" t="s">
        <v>2461</v>
      </c>
    </row>
    <row r="227">
      <c r="A227" s="261">
        <f>IFERROR(__xludf.DUMMYFUNCTION("""COMPUTED_VALUE"""),223.0)</f>
        <v>223</v>
      </c>
      <c r="B227" s="261" t="str">
        <f>IFERROR(__xludf.DUMMYFUNCTION("""COMPUTED_VALUE"""),"preetham.cse24le@cmrit.ac.in")</f>
        <v>preetham.cse24le@cmrit.ac.in</v>
      </c>
      <c r="C227" s="172" t="str">
        <f>IFERROR(__xludf.DUMMYFUNCTION("""COMPUTED_VALUE"""),"Preetham K V")</f>
        <v>Preetham K V</v>
      </c>
      <c r="D227" s="155" t="str">
        <f>IFERROR(__xludf.DUMMYFUNCTION("""COMPUTED_VALUE"""),"1CR24CS410")</f>
        <v>1CR24CS410</v>
      </c>
      <c r="E227" s="563">
        <f>IFERROR(__xludf.DUMMYFUNCTION("""COMPUTED_VALUE"""),8.073135746E9)</f>
        <v>8073135746</v>
      </c>
      <c r="F227" s="155" t="str">
        <f>IFERROR(__xludf.DUMMYFUNCTION("""COMPUTED_VALUE"""),"CSE")</f>
        <v>CSE</v>
      </c>
      <c r="G227" s="158"/>
      <c r="H227" s="559">
        <f>IFERROR(__xludf.DUMMYFUNCTION("""COMPUTED_VALUE"""),0.0)</f>
        <v>0</v>
      </c>
      <c r="I227" s="559">
        <f>IFERROR(__xludf.DUMMYFUNCTION("""COMPUTED_VALUE"""),0.0)</f>
        <v>0</v>
      </c>
      <c r="J227" s="559">
        <f>IFERROR(__xludf.DUMMYFUNCTION("""COMPUTED_VALUE"""),70.0)</f>
        <v>70</v>
      </c>
      <c r="K227" s="559">
        <f>IFERROR(__xludf.DUMMYFUNCTION("""COMPUTED_VALUE"""),51.0)</f>
        <v>51</v>
      </c>
      <c r="L227" s="560">
        <f>IFERROR(__xludf.DUMMYFUNCTION("""COMPUTED_VALUE"""),0.0)</f>
        <v>0</v>
      </c>
      <c r="M227" s="561">
        <f>IFERROR(__xludf.DUMMYFUNCTION("""COMPUTED_VALUE"""),0.0)</f>
        <v>0</v>
      </c>
      <c r="N227" s="561">
        <f>IFERROR(__xludf.DUMMYFUNCTION("""COMPUTED_VALUE"""),9.0)</f>
        <v>9</v>
      </c>
      <c r="O227" s="560"/>
      <c r="P227" s="562">
        <f>IFERROR(__xludf.DUMMYFUNCTION("""COMPUTED_VALUE"""),0.0)</f>
        <v>0</v>
      </c>
      <c r="Q227" s="562">
        <f>IFERROR(__xludf.DUMMYFUNCTION("""COMPUTED_VALUE"""),0.0)</f>
        <v>0</v>
      </c>
      <c r="R227" s="562">
        <f>IFERROR(__xludf.DUMMYFUNCTION("""COMPUTED_VALUE"""),0.0)</f>
        <v>0</v>
      </c>
      <c r="S227" s="562"/>
      <c r="T227" s="217"/>
      <c r="U227" s="217"/>
      <c r="V227" s="217"/>
      <c r="W227" s="217">
        <f>IFERROR(__xludf.DUMMYFUNCTION("""COMPUTED_VALUE"""),80.0)</f>
        <v>80</v>
      </c>
      <c r="X227" s="217">
        <f>IFERROR(__xludf.DUMMYFUNCTION("""COMPUTED_VALUE"""),68.0)</f>
        <v>68</v>
      </c>
      <c r="Y227" s="217"/>
      <c r="Z227" s="217"/>
      <c r="AA227" s="481"/>
      <c r="AB227" s="481">
        <f>IFERROR(__xludf.DUMMYFUNCTION("""COMPUTED_VALUE"""),0.0)</f>
        <v>0</v>
      </c>
      <c r="AC227" s="481">
        <f>IFERROR(__xludf.DUMMYFUNCTION("""COMPUTED_VALUE"""),0.0)</f>
        <v>0</v>
      </c>
      <c r="AD227" s="481">
        <f>IFERROR(__xludf.DUMMYFUNCTION("""COMPUTED_VALUE"""),0.0)</f>
        <v>0</v>
      </c>
      <c r="AE227" s="481">
        <f>IFERROR(__xludf.DUMMYFUNCTION("""COMPUTED_VALUE"""),10.0)</f>
        <v>10</v>
      </c>
      <c r="AF227" s="481"/>
      <c r="AG227" s="481">
        <f>IFERROR(__xludf.DUMMYFUNCTION("""COMPUTED_VALUE"""),0.0)</f>
        <v>0</v>
      </c>
      <c r="AH227" s="481"/>
      <c r="AI227" s="158"/>
      <c r="AJ227" s="158"/>
      <c r="AK227" s="133">
        <f>IFERROR(__xludf.DUMMYFUNCTION("""COMPUTED_VALUE"""),0.0)</f>
        <v>0</v>
      </c>
      <c r="AL227" s="133">
        <f>IFERROR(__xludf.DUMMYFUNCTION("""COMPUTED_VALUE"""),0.0)</f>
        <v>0</v>
      </c>
      <c r="AM227" s="133">
        <f>IFERROR(__xludf.DUMMYFUNCTION("""COMPUTED_VALUE"""),0.0)</f>
        <v>0</v>
      </c>
      <c r="AN227" s="133" t="str">
        <f>IFERROR(__xludf.DUMMYFUNCTION("""COMPUTED_VALUE"""),"0")</f>
        <v>0</v>
      </c>
      <c r="AO227" s="133">
        <f>IFERROR(__xludf.DUMMYFUNCTION("""COMPUTED_VALUE"""),0.0)</f>
        <v>0</v>
      </c>
      <c r="AP227" s="155" t="s">
        <v>2461</v>
      </c>
    </row>
    <row r="228">
      <c r="A228" s="261">
        <f>IFERROR(__xludf.DUMMYFUNCTION("""COMPUTED_VALUE"""),224.0)</f>
        <v>224</v>
      </c>
      <c r="B228" s="261" t="str">
        <f>IFERROR(__xludf.DUMMYFUNCTION("""COMPUTED_VALUE"""),"pushpalatha.cse24le@cmrit.ac.in")</f>
        <v>pushpalatha.cse24le@cmrit.ac.in</v>
      </c>
      <c r="C228" s="172" t="str">
        <f>IFERROR(__xludf.DUMMYFUNCTION("""COMPUTED_VALUE"""),"Pushpalatha D R")</f>
        <v>Pushpalatha D R</v>
      </c>
      <c r="D228" s="155" t="str">
        <f>IFERROR(__xludf.DUMMYFUNCTION("""COMPUTED_VALUE"""),"1CR24CS411")</f>
        <v>1CR24CS411</v>
      </c>
      <c r="E228" s="563">
        <f>IFERROR(__xludf.DUMMYFUNCTION("""COMPUTED_VALUE"""),8.088536572E9)</f>
        <v>8088536572</v>
      </c>
      <c r="F228" s="155" t="str">
        <f>IFERROR(__xludf.DUMMYFUNCTION("""COMPUTED_VALUE"""),"CSE")</f>
        <v>CSE</v>
      </c>
      <c r="G228" s="158"/>
      <c r="H228" s="559">
        <f>IFERROR(__xludf.DUMMYFUNCTION("""COMPUTED_VALUE"""),52.0)</f>
        <v>52</v>
      </c>
      <c r="I228" s="559">
        <f>IFERROR(__xludf.DUMMYFUNCTION("""COMPUTED_VALUE"""),36.0)</f>
        <v>36</v>
      </c>
      <c r="J228" s="559">
        <f>IFERROR(__xludf.DUMMYFUNCTION("""COMPUTED_VALUE"""),70.0)</f>
        <v>70</v>
      </c>
      <c r="K228" s="559">
        <f>IFERROR(__xludf.DUMMYFUNCTION("""COMPUTED_VALUE"""),74.0)</f>
        <v>74</v>
      </c>
      <c r="L228" s="560">
        <f>IFERROR(__xludf.DUMMYFUNCTION("""COMPUTED_VALUE"""),7.0)</f>
        <v>7</v>
      </c>
      <c r="M228" s="561">
        <f>IFERROR(__xludf.DUMMYFUNCTION("""COMPUTED_VALUE"""),0.0)</f>
        <v>0</v>
      </c>
      <c r="N228" s="561">
        <f>IFERROR(__xludf.DUMMYFUNCTION("""COMPUTED_VALUE"""),0.0)</f>
        <v>0</v>
      </c>
      <c r="O228" s="560"/>
      <c r="P228" s="562">
        <f>IFERROR(__xludf.DUMMYFUNCTION("""COMPUTED_VALUE"""),0.0)</f>
        <v>0</v>
      </c>
      <c r="Q228" s="562">
        <f>IFERROR(__xludf.DUMMYFUNCTION("""COMPUTED_VALUE"""),63.0)</f>
        <v>63</v>
      </c>
      <c r="R228" s="562">
        <f>IFERROR(__xludf.DUMMYFUNCTION("""COMPUTED_VALUE"""),0.0)</f>
        <v>0</v>
      </c>
      <c r="S228" s="562"/>
      <c r="T228" s="217"/>
      <c r="U228" s="217"/>
      <c r="V228" s="217">
        <f>IFERROR(__xludf.DUMMYFUNCTION("""COMPUTED_VALUE"""),64.0)</f>
        <v>64</v>
      </c>
      <c r="W228" s="217">
        <f>IFERROR(__xludf.DUMMYFUNCTION("""COMPUTED_VALUE"""),32.0)</f>
        <v>32</v>
      </c>
      <c r="X228" s="217"/>
      <c r="Y228" s="217"/>
      <c r="Z228" s="217"/>
      <c r="AA228" s="481"/>
      <c r="AB228" s="481">
        <f>IFERROR(__xludf.DUMMYFUNCTION("""COMPUTED_VALUE"""),1.5)</f>
        <v>1.5</v>
      </c>
      <c r="AC228" s="481">
        <f>IFERROR(__xludf.DUMMYFUNCTION("""COMPUTED_VALUE"""),1.5)</f>
        <v>1.5</v>
      </c>
      <c r="AD228" s="481">
        <f>IFERROR(__xludf.DUMMYFUNCTION("""COMPUTED_VALUE"""),0.0)</f>
        <v>0</v>
      </c>
      <c r="AE228" s="481">
        <f>IFERROR(__xludf.DUMMYFUNCTION("""COMPUTED_VALUE"""),10.0)</f>
        <v>10</v>
      </c>
      <c r="AF228" s="481"/>
      <c r="AG228" s="481">
        <f>IFERROR(__xludf.DUMMYFUNCTION("""COMPUTED_VALUE"""),0.0)</f>
        <v>0</v>
      </c>
      <c r="AH228" s="481"/>
      <c r="AI228" s="158"/>
      <c r="AJ228" s="158"/>
      <c r="AK228" s="133">
        <f>IFERROR(__xludf.DUMMYFUNCTION("""COMPUTED_VALUE"""),0.0)</f>
        <v>0</v>
      </c>
      <c r="AL228" s="133">
        <f>IFERROR(__xludf.DUMMYFUNCTION("""COMPUTED_VALUE"""),0.0)</f>
        <v>0</v>
      </c>
      <c r="AM228" s="133">
        <f>IFERROR(__xludf.DUMMYFUNCTION("""COMPUTED_VALUE"""),0.0)</f>
        <v>0</v>
      </c>
      <c r="AN228" s="133" t="str">
        <f>IFERROR(__xludf.DUMMYFUNCTION("""COMPUTED_VALUE"""),"0")</f>
        <v>0</v>
      </c>
      <c r="AO228" s="133">
        <f>IFERROR(__xludf.DUMMYFUNCTION("""COMPUTED_VALUE"""),0.0)</f>
        <v>0</v>
      </c>
      <c r="AP228" s="155" t="s">
        <v>2461</v>
      </c>
    </row>
    <row r="229">
      <c r="A229" s="261">
        <f>IFERROR(__xludf.DUMMYFUNCTION("""COMPUTED_VALUE"""),225.0)</f>
        <v>225</v>
      </c>
      <c r="B229" s="261" t="str">
        <f>IFERROR(__xludf.DUMMYFUNCTION("""COMPUTED_VALUE"""),"rajatshankar.cse24le@cmrit.ac.in")</f>
        <v>rajatshankar.cse24le@cmrit.ac.in</v>
      </c>
      <c r="C229" s="172" t="str">
        <f>IFERROR(__xludf.DUMMYFUNCTION("""COMPUTED_VALUE"""),"RAJAT SHANKAR NAIK")</f>
        <v>RAJAT SHANKAR NAIK</v>
      </c>
      <c r="D229" s="155" t="str">
        <f>IFERROR(__xludf.DUMMYFUNCTION("""COMPUTED_VALUE"""),"1CR24CS412")</f>
        <v>1CR24CS412</v>
      </c>
      <c r="E229" s="563">
        <f>IFERROR(__xludf.DUMMYFUNCTION("""COMPUTED_VALUE"""),9.900931808E9)</f>
        <v>9900931808</v>
      </c>
      <c r="F229" s="155" t="str">
        <f>IFERROR(__xludf.DUMMYFUNCTION("""COMPUTED_VALUE"""),"CSE")</f>
        <v>CSE</v>
      </c>
      <c r="G229" s="158"/>
      <c r="H229" s="559">
        <f>IFERROR(__xludf.DUMMYFUNCTION("""COMPUTED_VALUE"""),70.0)</f>
        <v>70</v>
      </c>
      <c r="I229" s="559">
        <f>IFERROR(__xludf.DUMMYFUNCTION("""COMPUTED_VALUE"""),70.0)</f>
        <v>70</v>
      </c>
      <c r="J229" s="559">
        <f>IFERROR(__xludf.DUMMYFUNCTION("""COMPUTED_VALUE"""),70.0)</f>
        <v>70</v>
      </c>
      <c r="K229" s="559">
        <f>IFERROR(__xludf.DUMMYFUNCTION("""COMPUTED_VALUE"""),70.0)</f>
        <v>70</v>
      </c>
      <c r="L229" s="560">
        <f>IFERROR(__xludf.DUMMYFUNCTION("""COMPUTED_VALUE"""),20.0)</f>
        <v>20</v>
      </c>
      <c r="M229" s="561">
        <f>IFERROR(__xludf.DUMMYFUNCTION("""COMPUTED_VALUE"""),18.0)</f>
        <v>18</v>
      </c>
      <c r="N229" s="561">
        <f>IFERROR(__xludf.DUMMYFUNCTION("""COMPUTED_VALUE"""),50.0)</f>
        <v>50</v>
      </c>
      <c r="O229" s="560"/>
      <c r="P229" s="562">
        <f>IFERROR(__xludf.DUMMYFUNCTION("""COMPUTED_VALUE"""),50.0)</f>
        <v>50</v>
      </c>
      <c r="Q229" s="562">
        <f>IFERROR(__xludf.DUMMYFUNCTION("""COMPUTED_VALUE"""),71.0)</f>
        <v>71</v>
      </c>
      <c r="R229" s="562">
        <f>IFERROR(__xludf.DUMMYFUNCTION("""COMPUTED_VALUE"""),75.0)</f>
        <v>75</v>
      </c>
      <c r="S229" s="562"/>
      <c r="T229" s="217"/>
      <c r="U229" s="217"/>
      <c r="V229" s="217">
        <f>IFERROR(__xludf.DUMMYFUNCTION("""COMPUTED_VALUE"""),72.0)</f>
        <v>72</v>
      </c>
      <c r="W229" s="217">
        <f>IFERROR(__xludf.DUMMYFUNCTION("""COMPUTED_VALUE"""),28.0)</f>
        <v>28</v>
      </c>
      <c r="X229" s="217">
        <f>IFERROR(__xludf.DUMMYFUNCTION("""COMPUTED_VALUE"""),72.0)</f>
        <v>72</v>
      </c>
      <c r="Y229" s="217"/>
      <c r="Z229" s="217"/>
      <c r="AA229" s="481"/>
      <c r="AB229" s="481">
        <f>IFERROR(__xludf.DUMMYFUNCTION("""COMPUTED_VALUE"""),50.0)</f>
        <v>50</v>
      </c>
      <c r="AC229" s="481">
        <f>IFERROR(__xludf.DUMMYFUNCTION("""COMPUTED_VALUE"""),60.0)</f>
        <v>60</v>
      </c>
      <c r="AD229" s="481">
        <f>IFERROR(__xludf.DUMMYFUNCTION("""COMPUTED_VALUE"""),90.0)</f>
        <v>90</v>
      </c>
      <c r="AE229" s="481">
        <f>IFERROR(__xludf.DUMMYFUNCTION("""COMPUTED_VALUE"""),70.0)</f>
        <v>70</v>
      </c>
      <c r="AF229" s="481"/>
      <c r="AG229" s="481">
        <f>IFERROR(__xludf.DUMMYFUNCTION("""COMPUTED_VALUE"""),0.0)</f>
        <v>0</v>
      </c>
      <c r="AH229" s="481"/>
      <c r="AI229" s="158"/>
      <c r="AJ229" s="158"/>
      <c r="AK229" s="133">
        <f>IFERROR(__xludf.DUMMYFUNCTION("""COMPUTED_VALUE"""),4.0)</f>
        <v>4</v>
      </c>
      <c r="AL229" s="133">
        <f>IFERROR(__xludf.DUMMYFUNCTION("""COMPUTED_VALUE"""),0.0)</f>
        <v>0</v>
      </c>
      <c r="AM229" s="133">
        <f>IFERROR(__xludf.DUMMYFUNCTION("""COMPUTED_VALUE"""),0.0)</f>
        <v>0</v>
      </c>
      <c r="AN229" s="133" t="str">
        <f>IFERROR(__xludf.DUMMYFUNCTION("""COMPUTED_VALUE"""),"3.5")</f>
        <v>3.5</v>
      </c>
      <c r="AO229" s="133">
        <f>IFERROR(__xludf.DUMMYFUNCTION("""COMPUTED_VALUE"""),3.0)</f>
        <v>3</v>
      </c>
      <c r="AP229" s="155" t="s">
        <v>2461</v>
      </c>
    </row>
    <row r="230">
      <c r="A230" s="261">
        <f>IFERROR(__xludf.DUMMYFUNCTION("""COMPUTED_VALUE"""),226.0)</f>
        <v>226</v>
      </c>
      <c r="B230" s="261" t="str">
        <f>IFERROR(__xludf.DUMMYFUNCTION("""COMPUTED_VALUE"""),"sachin.cse24le@cmrit.ac.in")</f>
        <v>sachin.cse24le@cmrit.ac.in</v>
      </c>
      <c r="C230" s="172" t="str">
        <f>IFERROR(__xludf.DUMMYFUNCTION("""COMPUTED_VALUE"""),"Sachin U N")</f>
        <v>Sachin U N</v>
      </c>
      <c r="D230" s="155" t="str">
        <f>IFERROR(__xludf.DUMMYFUNCTION("""COMPUTED_VALUE"""),"1CR24CS413")</f>
        <v>1CR24CS413</v>
      </c>
      <c r="E230" s="563">
        <f>IFERROR(__xludf.DUMMYFUNCTION("""COMPUTED_VALUE"""),9.019954603E9)</f>
        <v>9019954603</v>
      </c>
      <c r="F230" s="155" t="str">
        <f>IFERROR(__xludf.DUMMYFUNCTION("""COMPUTED_VALUE"""),"CSE")</f>
        <v>CSE</v>
      </c>
      <c r="G230" s="158"/>
      <c r="H230" s="559">
        <f>IFERROR(__xludf.DUMMYFUNCTION("""COMPUTED_VALUE"""),70.0)</f>
        <v>70</v>
      </c>
      <c r="I230" s="559">
        <f>IFERROR(__xludf.DUMMYFUNCTION("""COMPUTED_VALUE"""),70.0)</f>
        <v>70</v>
      </c>
      <c r="J230" s="559">
        <f>IFERROR(__xludf.DUMMYFUNCTION("""COMPUTED_VALUE"""),70.0)</f>
        <v>70</v>
      </c>
      <c r="K230" s="559">
        <f>IFERROR(__xludf.DUMMYFUNCTION("""COMPUTED_VALUE"""),70.0)</f>
        <v>70</v>
      </c>
      <c r="L230" s="560">
        <f>IFERROR(__xludf.DUMMYFUNCTION("""COMPUTED_VALUE"""),50.0)</f>
        <v>50</v>
      </c>
      <c r="M230" s="561">
        <f>IFERROR(__xludf.DUMMYFUNCTION("""COMPUTED_VALUE"""),31.0)</f>
        <v>31</v>
      </c>
      <c r="N230" s="561">
        <f>IFERROR(__xludf.DUMMYFUNCTION("""COMPUTED_VALUE"""),50.0)</f>
        <v>50</v>
      </c>
      <c r="O230" s="560"/>
      <c r="P230" s="562">
        <f>IFERROR(__xludf.DUMMYFUNCTION("""COMPUTED_VALUE"""),50.0)</f>
        <v>50</v>
      </c>
      <c r="Q230" s="562">
        <f>IFERROR(__xludf.DUMMYFUNCTION("""COMPUTED_VALUE"""),0.0)</f>
        <v>0</v>
      </c>
      <c r="R230" s="562">
        <f>IFERROR(__xludf.DUMMYFUNCTION("""COMPUTED_VALUE"""),81.0)</f>
        <v>81</v>
      </c>
      <c r="S230" s="562"/>
      <c r="T230" s="217"/>
      <c r="U230" s="217"/>
      <c r="V230" s="217">
        <f>IFERROR(__xludf.DUMMYFUNCTION("""COMPUTED_VALUE"""),84.0)</f>
        <v>84</v>
      </c>
      <c r="W230" s="217">
        <f>IFERROR(__xludf.DUMMYFUNCTION("""COMPUTED_VALUE"""),44.0)</f>
        <v>44</v>
      </c>
      <c r="X230" s="217">
        <f>IFERROR(__xludf.DUMMYFUNCTION("""COMPUTED_VALUE"""),86.0)</f>
        <v>86</v>
      </c>
      <c r="Y230" s="217"/>
      <c r="Z230" s="217"/>
      <c r="AA230" s="481"/>
      <c r="AB230" s="481">
        <f>IFERROR(__xludf.DUMMYFUNCTION("""COMPUTED_VALUE"""),80.0)</f>
        <v>80</v>
      </c>
      <c r="AC230" s="481">
        <f>IFERROR(__xludf.DUMMYFUNCTION("""COMPUTED_VALUE"""),80.0)</f>
        <v>80</v>
      </c>
      <c r="AD230" s="481">
        <f>IFERROR(__xludf.DUMMYFUNCTION("""COMPUTED_VALUE"""),83.0)</f>
        <v>83</v>
      </c>
      <c r="AE230" s="481">
        <f>IFERROR(__xludf.DUMMYFUNCTION("""COMPUTED_VALUE"""),23.0)</f>
        <v>23</v>
      </c>
      <c r="AF230" s="481"/>
      <c r="AG230" s="481">
        <f>IFERROR(__xludf.DUMMYFUNCTION("""COMPUTED_VALUE"""),57.0)</f>
        <v>57</v>
      </c>
      <c r="AH230" s="481"/>
      <c r="AI230" s="158"/>
      <c r="AJ230" s="158"/>
      <c r="AK230" s="133">
        <f>IFERROR(__xludf.DUMMYFUNCTION("""COMPUTED_VALUE"""),4.0)</f>
        <v>4</v>
      </c>
      <c r="AL230" s="133">
        <f>IFERROR(__xludf.DUMMYFUNCTION("""COMPUTED_VALUE"""),1.0)</f>
        <v>1</v>
      </c>
      <c r="AM230" s="133">
        <f>IFERROR(__xludf.DUMMYFUNCTION("""COMPUTED_VALUE"""),0.0)</f>
        <v>0</v>
      </c>
      <c r="AN230" s="133" t="str">
        <f>IFERROR(__xludf.DUMMYFUNCTION("""COMPUTED_VALUE"""),"3")</f>
        <v>3</v>
      </c>
      <c r="AO230" s="133">
        <f>IFERROR(__xludf.DUMMYFUNCTION("""COMPUTED_VALUE"""),1.0)</f>
        <v>1</v>
      </c>
      <c r="AP230" s="155" t="s">
        <v>2461</v>
      </c>
    </row>
    <row r="231">
      <c r="A231" s="261">
        <f>IFERROR(__xludf.DUMMYFUNCTION("""COMPUTED_VALUE"""),227.0)</f>
        <v>227</v>
      </c>
      <c r="B231" s="261" t="str">
        <f>IFERROR(__xludf.DUMMYFUNCTION("""COMPUTED_VALUE"""),"sainath.cse24le@cmrit.ac.in")</f>
        <v>sainath.cse24le@cmrit.ac.in</v>
      </c>
      <c r="C231" s="172" t="str">
        <f>IFERROR(__xludf.DUMMYFUNCTION("""COMPUTED_VALUE"""),"Sainath M")</f>
        <v>Sainath M</v>
      </c>
      <c r="D231" s="155" t="str">
        <f>IFERROR(__xludf.DUMMYFUNCTION("""COMPUTED_VALUE"""),"1CR24CS414")</f>
        <v>1CR24CS414</v>
      </c>
      <c r="E231" s="563">
        <f>IFERROR(__xludf.DUMMYFUNCTION("""COMPUTED_VALUE"""),9.611739465E9)</f>
        <v>9611739465</v>
      </c>
      <c r="F231" s="155" t="str">
        <f>IFERROR(__xludf.DUMMYFUNCTION("""COMPUTED_VALUE"""),"CSE")</f>
        <v>CSE</v>
      </c>
      <c r="G231" s="158"/>
      <c r="H231" s="559">
        <f>IFERROR(__xludf.DUMMYFUNCTION("""COMPUTED_VALUE"""),70.0)</f>
        <v>70</v>
      </c>
      <c r="I231" s="559">
        <f>IFERROR(__xludf.DUMMYFUNCTION("""COMPUTED_VALUE"""),70.0)</f>
        <v>70</v>
      </c>
      <c r="J231" s="559">
        <f>IFERROR(__xludf.DUMMYFUNCTION("""COMPUTED_VALUE"""),70.0)</f>
        <v>70</v>
      </c>
      <c r="K231" s="559">
        <f>IFERROR(__xludf.DUMMYFUNCTION("""COMPUTED_VALUE"""),70.0)</f>
        <v>70</v>
      </c>
      <c r="L231" s="560">
        <f>IFERROR(__xludf.DUMMYFUNCTION("""COMPUTED_VALUE"""),50.0)</f>
        <v>50</v>
      </c>
      <c r="M231" s="561">
        <f>IFERROR(__xludf.DUMMYFUNCTION("""COMPUTED_VALUE"""),10.0)</f>
        <v>10</v>
      </c>
      <c r="N231" s="561">
        <f>IFERROR(__xludf.DUMMYFUNCTION("""COMPUTED_VALUE"""),50.0)</f>
        <v>50</v>
      </c>
      <c r="O231" s="560"/>
      <c r="P231" s="562">
        <f>IFERROR(__xludf.DUMMYFUNCTION("""COMPUTED_VALUE"""),50.0)</f>
        <v>50</v>
      </c>
      <c r="Q231" s="562">
        <f>IFERROR(__xludf.DUMMYFUNCTION("""COMPUTED_VALUE"""),71.0)</f>
        <v>71</v>
      </c>
      <c r="R231" s="562">
        <f>IFERROR(__xludf.DUMMYFUNCTION("""COMPUTED_VALUE"""),83.0)</f>
        <v>83</v>
      </c>
      <c r="S231" s="562"/>
      <c r="T231" s="217"/>
      <c r="U231" s="217"/>
      <c r="V231" s="217">
        <f>IFERROR(__xludf.DUMMYFUNCTION("""COMPUTED_VALUE"""),64.0)</f>
        <v>64</v>
      </c>
      <c r="W231" s="217">
        <f>IFERROR(__xludf.DUMMYFUNCTION("""COMPUTED_VALUE"""),36.0)</f>
        <v>36</v>
      </c>
      <c r="X231" s="217">
        <f>IFERROR(__xludf.DUMMYFUNCTION("""COMPUTED_VALUE"""),70.0)</f>
        <v>70</v>
      </c>
      <c r="Y231" s="217"/>
      <c r="Z231" s="217"/>
      <c r="AA231" s="481"/>
      <c r="AB231" s="481">
        <f>IFERROR(__xludf.DUMMYFUNCTION("""COMPUTED_VALUE"""),43.5)</f>
        <v>43.5</v>
      </c>
      <c r="AC231" s="481">
        <f>IFERROR(__xludf.DUMMYFUNCTION("""COMPUTED_VALUE"""),43.5)</f>
        <v>43.5</v>
      </c>
      <c r="AD231" s="481">
        <f>IFERROR(__xludf.DUMMYFUNCTION("""COMPUTED_VALUE"""),90.0)</f>
        <v>90</v>
      </c>
      <c r="AE231" s="481">
        <f>IFERROR(__xludf.DUMMYFUNCTION("""COMPUTED_VALUE"""),70.0)</f>
        <v>70</v>
      </c>
      <c r="AF231" s="481"/>
      <c r="AG231" s="481">
        <f>IFERROR(__xludf.DUMMYFUNCTION("""COMPUTED_VALUE"""),27.0)</f>
        <v>27</v>
      </c>
      <c r="AH231" s="481"/>
      <c r="AI231" s="158"/>
      <c r="AJ231" s="158"/>
      <c r="AK231" s="133">
        <f>IFERROR(__xludf.DUMMYFUNCTION("""COMPUTED_VALUE"""),4.0)</f>
        <v>4</v>
      </c>
      <c r="AL231" s="133">
        <f>IFERROR(__xludf.DUMMYFUNCTION("""COMPUTED_VALUE"""),1.0)</f>
        <v>1</v>
      </c>
      <c r="AM231" s="133">
        <f>IFERROR(__xludf.DUMMYFUNCTION("""COMPUTED_VALUE"""),0.0)</f>
        <v>0</v>
      </c>
      <c r="AN231" s="133" t="str">
        <f>IFERROR(__xludf.DUMMYFUNCTION("""COMPUTED_VALUE"""),"0")</f>
        <v>0</v>
      </c>
      <c r="AO231" s="133">
        <f>IFERROR(__xludf.DUMMYFUNCTION("""COMPUTED_VALUE"""),3.0)</f>
        <v>3</v>
      </c>
      <c r="AP231" s="155" t="s">
        <v>2461</v>
      </c>
    </row>
    <row r="232">
      <c r="A232" s="261">
        <f>IFERROR(__xludf.DUMMYFUNCTION("""COMPUTED_VALUE"""),228.0)</f>
        <v>228</v>
      </c>
      <c r="B232" s="261" t="str">
        <f>IFERROR(__xludf.DUMMYFUNCTION("""COMPUTED_VALUE"""),"saurabh.cse24le@cmrit.ac.in")</f>
        <v>saurabh.cse24le@cmrit.ac.in</v>
      </c>
      <c r="C232" s="172" t="str">
        <f>IFERROR(__xludf.DUMMYFUNCTION("""COMPUTED_VALUE"""),"SAURABH GAUR")</f>
        <v>SAURABH GAUR</v>
      </c>
      <c r="D232" s="155" t="str">
        <f>IFERROR(__xludf.DUMMYFUNCTION("""COMPUTED_VALUE"""),"1CR24CS415")</f>
        <v>1CR24CS415</v>
      </c>
      <c r="E232" s="563">
        <f>IFERROR(__xludf.DUMMYFUNCTION("""COMPUTED_VALUE"""),7.34914023E9)</f>
        <v>7349140230</v>
      </c>
      <c r="F232" s="155" t="str">
        <f>IFERROR(__xludf.DUMMYFUNCTION("""COMPUTED_VALUE"""),"CSE")</f>
        <v>CSE</v>
      </c>
      <c r="G232" s="158"/>
      <c r="H232" s="559">
        <f>IFERROR(__xludf.DUMMYFUNCTION("""COMPUTED_VALUE"""),70.0)</f>
        <v>70</v>
      </c>
      <c r="I232" s="559">
        <f>IFERROR(__xludf.DUMMYFUNCTION("""COMPUTED_VALUE"""),70.0)</f>
        <v>70</v>
      </c>
      <c r="J232" s="559">
        <f>IFERROR(__xludf.DUMMYFUNCTION("""COMPUTED_VALUE"""),70.0)</f>
        <v>70</v>
      </c>
      <c r="K232" s="559">
        <f>IFERROR(__xludf.DUMMYFUNCTION("""COMPUTED_VALUE"""),70.0)</f>
        <v>70</v>
      </c>
      <c r="L232" s="560">
        <f>IFERROR(__xludf.DUMMYFUNCTION("""COMPUTED_VALUE"""),50.0)</f>
        <v>50</v>
      </c>
      <c r="M232" s="561">
        <f>IFERROR(__xludf.DUMMYFUNCTION("""COMPUTED_VALUE"""),8.0)</f>
        <v>8</v>
      </c>
      <c r="N232" s="561">
        <f>IFERROR(__xludf.DUMMYFUNCTION("""COMPUTED_VALUE"""),50.0)</f>
        <v>50</v>
      </c>
      <c r="O232" s="560"/>
      <c r="P232" s="562">
        <f>IFERROR(__xludf.DUMMYFUNCTION("""COMPUTED_VALUE"""),50.0)</f>
        <v>50</v>
      </c>
      <c r="Q232" s="562">
        <f>IFERROR(__xludf.DUMMYFUNCTION("""COMPUTED_VALUE"""),63.0)</f>
        <v>63</v>
      </c>
      <c r="R232" s="562">
        <f>IFERROR(__xludf.DUMMYFUNCTION("""COMPUTED_VALUE"""),91.0)</f>
        <v>91</v>
      </c>
      <c r="S232" s="562"/>
      <c r="T232" s="217"/>
      <c r="U232" s="217"/>
      <c r="V232" s="217">
        <f>IFERROR(__xludf.DUMMYFUNCTION("""COMPUTED_VALUE"""),52.0)</f>
        <v>52</v>
      </c>
      <c r="W232" s="217">
        <f>IFERROR(__xludf.DUMMYFUNCTION("""COMPUTED_VALUE"""),36.0)</f>
        <v>36</v>
      </c>
      <c r="X232" s="217">
        <f>IFERROR(__xludf.DUMMYFUNCTION("""COMPUTED_VALUE"""),74.0)</f>
        <v>74</v>
      </c>
      <c r="Y232" s="217"/>
      <c r="Z232" s="217"/>
      <c r="AA232" s="481"/>
      <c r="AB232" s="481">
        <f>IFERROR(__xludf.DUMMYFUNCTION("""COMPUTED_VALUE"""),100.0)</f>
        <v>100</v>
      </c>
      <c r="AC232" s="481">
        <f>IFERROR(__xludf.DUMMYFUNCTION("""COMPUTED_VALUE"""),100.0)</f>
        <v>100</v>
      </c>
      <c r="AD232" s="481">
        <f>IFERROR(__xludf.DUMMYFUNCTION("""COMPUTED_VALUE"""),90.0)</f>
        <v>90</v>
      </c>
      <c r="AE232" s="481">
        <f>IFERROR(__xludf.DUMMYFUNCTION("""COMPUTED_VALUE"""),70.0)</f>
        <v>70</v>
      </c>
      <c r="AF232" s="481"/>
      <c r="AG232" s="481">
        <f>IFERROR(__xludf.DUMMYFUNCTION("""COMPUTED_VALUE"""),31.0)</f>
        <v>31</v>
      </c>
      <c r="AH232" s="481"/>
      <c r="AI232" s="158"/>
      <c r="AJ232" s="158"/>
      <c r="AK232" s="133">
        <f>IFERROR(__xludf.DUMMYFUNCTION("""COMPUTED_VALUE"""),4.0)</f>
        <v>4</v>
      </c>
      <c r="AL232" s="133">
        <f>IFERROR(__xludf.DUMMYFUNCTION("""COMPUTED_VALUE"""),1.0)</f>
        <v>1</v>
      </c>
      <c r="AM232" s="133">
        <f>IFERROR(__xludf.DUMMYFUNCTION("""COMPUTED_VALUE"""),0.0)</f>
        <v>0</v>
      </c>
      <c r="AN232" s="133" t="str">
        <f>IFERROR(__xludf.DUMMYFUNCTION("""COMPUTED_VALUE"""),"3.5")</f>
        <v>3.5</v>
      </c>
      <c r="AO232" s="133">
        <f>IFERROR(__xludf.DUMMYFUNCTION("""COMPUTED_VALUE"""),3.0)</f>
        <v>3</v>
      </c>
      <c r="AP232" s="155" t="s">
        <v>2461</v>
      </c>
    </row>
    <row r="233">
      <c r="A233" s="261">
        <f>IFERROR(__xludf.DUMMYFUNCTION("""COMPUTED_VALUE"""),229.0)</f>
        <v>229</v>
      </c>
      <c r="B233" s="261" t="str">
        <f>IFERROR(__xludf.DUMMYFUNCTION("""COMPUTED_VALUE"""),"sowmya.cse24le@cmrit.ac.in")</f>
        <v>sowmya.cse24le@cmrit.ac.in</v>
      </c>
      <c r="C233" s="172" t="str">
        <f>IFERROR(__xludf.DUMMYFUNCTION("""COMPUTED_VALUE"""),"Sowmya D R")</f>
        <v>Sowmya D R</v>
      </c>
      <c r="D233" s="155" t="str">
        <f>IFERROR(__xludf.DUMMYFUNCTION("""COMPUTED_VALUE"""),"1CR24CS416")</f>
        <v>1CR24CS416</v>
      </c>
      <c r="E233" s="563">
        <f>IFERROR(__xludf.DUMMYFUNCTION("""COMPUTED_VALUE"""),9.35306394E9)</f>
        <v>9353063940</v>
      </c>
      <c r="F233" s="155" t="str">
        <f>IFERROR(__xludf.DUMMYFUNCTION("""COMPUTED_VALUE"""),"CSE")</f>
        <v>CSE</v>
      </c>
      <c r="G233" s="158"/>
      <c r="H233" s="559">
        <f>IFERROR(__xludf.DUMMYFUNCTION("""COMPUTED_VALUE"""),70.0)</f>
        <v>70</v>
      </c>
      <c r="I233" s="559">
        <f>IFERROR(__xludf.DUMMYFUNCTION("""COMPUTED_VALUE"""),70.0)</f>
        <v>70</v>
      </c>
      <c r="J233" s="559">
        <f>IFERROR(__xludf.DUMMYFUNCTION("""COMPUTED_VALUE"""),52.0)</f>
        <v>52</v>
      </c>
      <c r="K233" s="559">
        <f>IFERROR(__xludf.DUMMYFUNCTION("""COMPUTED_VALUE"""),41.0)</f>
        <v>41</v>
      </c>
      <c r="L233" s="560">
        <f>IFERROR(__xludf.DUMMYFUNCTION("""COMPUTED_VALUE"""),13.0)</f>
        <v>13</v>
      </c>
      <c r="M233" s="561">
        <f>IFERROR(__xludf.DUMMYFUNCTION("""COMPUTED_VALUE"""),0.0)</f>
        <v>0</v>
      </c>
      <c r="N233" s="561">
        <f>IFERROR(__xludf.DUMMYFUNCTION("""COMPUTED_VALUE"""),0.0)</f>
        <v>0</v>
      </c>
      <c r="O233" s="560"/>
      <c r="P233" s="562">
        <f>IFERROR(__xludf.DUMMYFUNCTION("""COMPUTED_VALUE"""),0.0)</f>
        <v>0</v>
      </c>
      <c r="Q233" s="562">
        <f>IFERROR(__xludf.DUMMYFUNCTION("""COMPUTED_VALUE"""),0.0)</f>
        <v>0</v>
      </c>
      <c r="R233" s="562">
        <f>IFERROR(__xludf.DUMMYFUNCTION("""COMPUTED_VALUE"""),0.0)</f>
        <v>0</v>
      </c>
      <c r="S233" s="562"/>
      <c r="T233" s="217"/>
      <c r="U233" s="217"/>
      <c r="V233" s="217"/>
      <c r="W233" s="217"/>
      <c r="X233" s="217"/>
      <c r="Y233" s="217"/>
      <c r="Z233" s="217"/>
      <c r="AA233" s="481"/>
      <c r="AB233" s="481">
        <f>IFERROR(__xludf.DUMMYFUNCTION("""COMPUTED_VALUE"""),0.0)</f>
        <v>0</v>
      </c>
      <c r="AC233" s="481">
        <f>IFERROR(__xludf.DUMMYFUNCTION("""COMPUTED_VALUE"""),0.0)</f>
        <v>0</v>
      </c>
      <c r="AD233" s="481">
        <f>IFERROR(__xludf.DUMMYFUNCTION("""COMPUTED_VALUE"""),0.0)</f>
        <v>0</v>
      </c>
      <c r="AE233" s="481">
        <f>IFERROR(__xludf.DUMMYFUNCTION("""COMPUTED_VALUE"""),10.0)</f>
        <v>10</v>
      </c>
      <c r="AF233" s="481"/>
      <c r="AG233" s="481">
        <f>IFERROR(__xludf.DUMMYFUNCTION("""COMPUTED_VALUE"""),0.0)</f>
        <v>0</v>
      </c>
      <c r="AH233" s="481"/>
      <c r="AI233" s="158"/>
      <c r="AJ233" s="158"/>
      <c r="AK233" s="133">
        <f>IFERROR(__xludf.DUMMYFUNCTION("""COMPUTED_VALUE"""),2.0)</f>
        <v>2</v>
      </c>
      <c r="AL233" s="133">
        <f>IFERROR(__xludf.DUMMYFUNCTION("""COMPUTED_VALUE"""),0.0)</f>
        <v>0</v>
      </c>
      <c r="AM233" s="133">
        <f>IFERROR(__xludf.DUMMYFUNCTION("""COMPUTED_VALUE"""),0.0)</f>
        <v>0</v>
      </c>
      <c r="AN233" s="133" t="str">
        <f>IFERROR(__xludf.DUMMYFUNCTION("""COMPUTED_VALUE"""),"0")</f>
        <v>0</v>
      </c>
      <c r="AO233" s="133">
        <f>IFERROR(__xludf.DUMMYFUNCTION("""COMPUTED_VALUE"""),0.0)</f>
        <v>0</v>
      </c>
      <c r="AP233" s="155" t="s">
        <v>2461</v>
      </c>
    </row>
    <row r="234">
      <c r="A234" s="261">
        <f>IFERROR(__xludf.DUMMYFUNCTION("""COMPUTED_VALUE"""),230.0)</f>
        <v>230</v>
      </c>
      <c r="B234" s="261" t="str">
        <f>IFERROR(__xludf.DUMMYFUNCTION("""COMPUTED_VALUE"""),"vishwanath.cse24le@cmrit.ac.in")</f>
        <v>vishwanath.cse24le@cmrit.ac.in</v>
      </c>
      <c r="C234" s="172" t="str">
        <f>IFERROR(__xludf.DUMMYFUNCTION("""COMPUTED_VALUE"""),"Vishwanath")</f>
        <v>Vishwanath</v>
      </c>
      <c r="D234" s="155" t="str">
        <f>IFERROR(__xludf.DUMMYFUNCTION("""COMPUTED_VALUE"""),"1CR24CS417")</f>
        <v>1CR24CS417</v>
      </c>
      <c r="E234" s="563">
        <f>IFERROR(__xludf.DUMMYFUNCTION("""COMPUTED_VALUE"""),9.606357807E9)</f>
        <v>9606357807</v>
      </c>
      <c r="F234" s="155" t="str">
        <f>IFERROR(__xludf.DUMMYFUNCTION("""COMPUTED_VALUE"""),"CSE")</f>
        <v>CSE</v>
      </c>
      <c r="G234" s="158"/>
      <c r="H234" s="559">
        <f>IFERROR(__xludf.DUMMYFUNCTION("""COMPUTED_VALUE"""),70.0)</f>
        <v>70</v>
      </c>
      <c r="I234" s="559">
        <f>IFERROR(__xludf.DUMMYFUNCTION("""COMPUTED_VALUE"""),70.0)</f>
        <v>70</v>
      </c>
      <c r="J234" s="559">
        <f>IFERROR(__xludf.DUMMYFUNCTION("""COMPUTED_VALUE"""),20.0)</f>
        <v>20</v>
      </c>
      <c r="K234" s="559">
        <f>IFERROR(__xludf.DUMMYFUNCTION("""COMPUTED_VALUE"""),30.0)</f>
        <v>30</v>
      </c>
      <c r="L234" s="560">
        <f>IFERROR(__xludf.DUMMYFUNCTION("""COMPUTED_VALUE"""),0.0)</f>
        <v>0</v>
      </c>
      <c r="M234" s="561">
        <f>IFERROR(__xludf.DUMMYFUNCTION("""COMPUTED_VALUE"""),0.0)</f>
        <v>0</v>
      </c>
      <c r="N234" s="561">
        <f>IFERROR(__xludf.DUMMYFUNCTION("""COMPUTED_VALUE"""),0.0)</f>
        <v>0</v>
      </c>
      <c r="O234" s="560"/>
      <c r="P234" s="562">
        <f>IFERROR(__xludf.DUMMYFUNCTION("""COMPUTED_VALUE"""),0.0)</f>
        <v>0</v>
      </c>
      <c r="Q234" s="562">
        <f>IFERROR(__xludf.DUMMYFUNCTION("""COMPUTED_VALUE"""),0.0)</f>
        <v>0</v>
      </c>
      <c r="R234" s="562">
        <f>IFERROR(__xludf.DUMMYFUNCTION("""COMPUTED_VALUE"""),0.0)</f>
        <v>0</v>
      </c>
      <c r="S234" s="562"/>
      <c r="T234" s="217"/>
      <c r="U234" s="217"/>
      <c r="V234" s="217"/>
      <c r="W234" s="217"/>
      <c r="X234" s="217">
        <f>IFERROR(__xludf.DUMMYFUNCTION("""COMPUTED_VALUE"""),80.0)</f>
        <v>80</v>
      </c>
      <c r="Y234" s="217"/>
      <c r="Z234" s="217"/>
      <c r="AA234" s="481"/>
      <c r="AB234" s="481">
        <f>IFERROR(__xludf.DUMMYFUNCTION("""COMPUTED_VALUE"""),10.0)</f>
        <v>10</v>
      </c>
      <c r="AC234" s="481">
        <f>IFERROR(__xludf.DUMMYFUNCTION("""COMPUTED_VALUE"""),10.0)</f>
        <v>10</v>
      </c>
      <c r="AD234" s="481">
        <f>IFERROR(__xludf.DUMMYFUNCTION("""COMPUTED_VALUE"""),0.0)</f>
        <v>0</v>
      </c>
      <c r="AE234" s="481">
        <f>IFERROR(__xludf.DUMMYFUNCTION("""COMPUTED_VALUE"""),10.0)</f>
        <v>10</v>
      </c>
      <c r="AF234" s="481"/>
      <c r="AG234" s="481">
        <f>IFERROR(__xludf.DUMMYFUNCTION("""COMPUTED_VALUE"""),0.0)</f>
        <v>0</v>
      </c>
      <c r="AH234" s="481"/>
      <c r="AI234" s="158"/>
      <c r="AJ234" s="158"/>
      <c r="AK234" s="133">
        <f>IFERROR(__xludf.DUMMYFUNCTION("""COMPUTED_VALUE"""),2.0)</f>
        <v>2</v>
      </c>
      <c r="AL234" s="133">
        <f>IFERROR(__xludf.DUMMYFUNCTION("""COMPUTED_VALUE"""),0.0)</f>
        <v>0</v>
      </c>
      <c r="AM234" s="133">
        <f>IFERROR(__xludf.DUMMYFUNCTION("""COMPUTED_VALUE"""),0.0)</f>
        <v>0</v>
      </c>
      <c r="AN234" s="133" t="str">
        <f>IFERROR(__xludf.DUMMYFUNCTION("""COMPUTED_VALUE"""),"0")</f>
        <v>0</v>
      </c>
      <c r="AO234" s="133">
        <f>IFERROR(__xludf.DUMMYFUNCTION("""COMPUTED_VALUE"""),0.0)</f>
        <v>0</v>
      </c>
      <c r="AP234" s="155" t="s">
        <v>2461</v>
      </c>
    </row>
    <row r="235">
      <c r="A235" s="261">
        <f>IFERROR(__xludf.DUMMYFUNCTION("""COMPUTED_VALUE"""),231.0)</f>
        <v>231</v>
      </c>
      <c r="B235" s="261" t="str">
        <f>IFERROR(__xludf.DUMMYFUNCTION("""COMPUTED_VALUE"""),"mohm22cs@cmrit.ac.in")</f>
        <v>mohm22cs@cmrit.ac.in</v>
      </c>
      <c r="C235" s="172" t="str">
        <f>IFERROR(__xludf.DUMMYFUNCTION("""COMPUTED_VALUE"""),"M Mohan")</f>
        <v>M Mohan</v>
      </c>
      <c r="D235" s="155" t="str">
        <f>IFERROR(__xludf.DUMMYFUNCTION("""COMPUTED_VALUE"""),"1CR22CS094")</f>
        <v>1CR22CS094</v>
      </c>
      <c r="E235" s="563">
        <f>IFERROR(__xludf.DUMMYFUNCTION("""COMPUTED_VALUE"""),6.366666546E9)</f>
        <v>6366666546</v>
      </c>
      <c r="F235" s="155" t="str">
        <f>IFERROR(__xludf.DUMMYFUNCTION("""COMPUTED_VALUE"""),"CSE")</f>
        <v>CSE</v>
      </c>
      <c r="G235" s="158"/>
      <c r="H235" s="559">
        <f>IFERROR(__xludf.DUMMYFUNCTION("""COMPUTED_VALUE"""),70.0)</f>
        <v>70</v>
      </c>
      <c r="I235" s="559">
        <f>IFERROR(__xludf.DUMMYFUNCTION("""COMPUTED_VALUE"""),70.0)</f>
        <v>70</v>
      </c>
      <c r="J235" s="559">
        <f>IFERROR(__xludf.DUMMYFUNCTION("""COMPUTED_VALUE"""),29.0)</f>
        <v>29</v>
      </c>
      <c r="K235" s="559">
        <f>IFERROR(__xludf.DUMMYFUNCTION("""COMPUTED_VALUE"""),8.0)</f>
        <v>8</v>
      </c>
      <c r="L235" s="560">
        <f>IFERROR(__xludf.DUMMYFUNCTION("""COMPUTED_VALUE"""),0.0)</f>
        <v>0</v>
      </c>
      <c r="M235" s="561">
        <f>IFERROR(__xludf.DUMMYFUNCTION("""COMPUTED_VALUE"""),13.0)</f>
        <v>13</v>
      </c>
      <c r="N235" s="561">
        <f>IFERROR(__xludf.DUMMYFUNCTION("""COMPUTED_VALUE"""),0.0)</f>
        <v>0</v>
      </c>
      <c r="O235" s="560"/>
      <c r="P235" s="562">
        <f>IFERROR(__xludf.DUMMYFUNCTION("""COMPUTED_VALUE"""),0.0)</f>
        <v>0</v>
      </c>
      <c r="Q235" s="562">
        <f>IFERROR(__xludf.DUMMYFUNCTION("""COMPUTED_VALUE"""),0.0)</f>
        <v>0</v>
      </c>
      <c r="R235" s="562">
        <f>IFERROR(__xludf.DUMMYFUNCTION("""COMPUTED_VALUE"""),0.0)</f>
        <v>0</v>
      </c>
      <c r="S235" s="562"/>
      <c r="T235" s="217"/>
      <c r="U235" s="217"/>
      <c r="V235" s="217"/>
      <c r="W235" s="217"/>
      <c r="X235" s="217"/>
      <c r="Y235" s="217"/>
      <c r="Z235" s="217"/>
      <c r="AA235" s="481"/>
      <c r="AB235" s="481">
        <f>IFERROR(__xludf.DUMMYFUNCTION("""COMPUTED_VALUE"""),0.0)</f>
        <v>0</v>
      </c>
      <c r="AC235" s="481">
        <f>IFERROR(__xludf.DUMMYFUNCTION("""COMPUTED_VALUE"""),0.0)</f>
        <v>0</v>
      </c>
      <c r="AD235" s="481">
        <f>IFERROR(__xludf.DUMMYFUNCTION("""COMPUTED_VALUE"""),0.0)</f>
        <v>0</v>
      </c>
      <c r="AE235" s="481">
        <f>IFERROR(__xludf.DUMMYFUNCTION("""COMPUTED_VALUE"""),10.0)</f>
        <v>10</v>
      </c>
      <c r="AF235" s="481"/>
      <c r="AG235" s="481">
        <f>IFERROR(__xludf.DUMMYFUNCTION("""COMPUTED_VALUE"""),0.0)</f>
        <v>0</v>
      </c>
      <c r="AH235" s="481"/>
      <c r="AI235" s="158"/>
      <c r="AJ235" s="158"/>
      <c r="AK235" s="133">
        <f>IFERROR(__xludf.DUMMYFUNCTION("""COMPUTED_VALUE"""),2.0)</f>
        <v>2</v>
      </c>
      <c r="AL235" s="133">
        <f>IFERROR(__xludf.DUMMYFUNCTION("""COMPUTED_VALUE"""),0.0)</f>
        <v>0</v>
      </c>
      <c r="AM235" s="133">
        <f>IFERROR(__xludf.DUMMYFUNCTION("""COMPUTED_VALUE"""),0.0)</f>
        <v>0</v>
      </c>
      <c r="AN235" s="133" t="str">
        <f>IFERROR(__xludf.DUMMYFUNCTION("""COMPUTED_VALUE"""),"0")</f>
        <v>0</v>
      </c>
      <c r="AO235" s="133">
        <f>IFERROR(__xludf.DUMMYFUNCTION("""COMPUTED_VALUE"""),0.0)</f>
        <v>0</v>
      </c>
      <c r="AP235" s="155" t="s">
        <v>2461</v>
      </c>
    </row>
    <row r="236">
      <c r="A236" s="261">
        <f>IFERROR(__xludf.DUMMYFUNCTION("""COMPUTED_VALUE"""),232.0)</f>
        <v>232</v>
      </c>
      <c r="B236" s="261" t="str">
        <f>IFERROR(__xludf.DUMMYFUNCTION("""COMPUTED_VALUE"""),"nadi22cs@cmrit.ac.in")</f>
        <v>nadi22cs@cmrit.ac.in</v>
      </c>
      <c r="C236" s="172" t="str">
        <f>IFERROR(__xludf.DUMMYFUNCTION("""COMPUTED_VALUE"""),"Naman Didwania")</f>
        <v>Naman Didwania</v>
      </c>
      <c r="D236" s="155" t="str">
        <f>IFERROR(__xludf.DUMMYFUNCTION("""COMPUTED_VALUE"""),"1CR22CS116")</f>
        <v>1CR22CS116</v>
      </c>
      <c r="E236" s="563">
        <f>IFERROR(__xludf.DUMMYFUNCTION("""COMPUTED_VALUE"""),8.294976377E9)</f>
        <v>8294976377</v>
      </c>
      <c r="F236" s="155" t="str">
        <f>IFERROR(__xludf.DUMMYFUNCTION("""COMPUTED_VALUE"""),"CSE")</f>
        <v>CSE</v>
      </c>
      <c r="G236" s="158"/>
      <c r="H236" s="559">
        <f>IFERROR(__xludf.DUMMYFUNCTION("""COMPUTED_VALUE"""),70.0)</f>
        <v>70</v>
      </c>
      <c r="I236" s="559">
        <f>IFERROR(__xludf.DUMMYFUNCTION("""COMPUTED_VALUE"""),70.0)</f>
        <v>70</v>
      </c>
      <c r="J236" s="559">
        <f>IFERROR(__xludf.DUMMYFUNCTION("""COMPUTED_VALUE"""),0.0)</f>
        <v>0</v>
      </c>
      <c r="K236" s="559">
        <f>IFERROR(__xludf.DUMMYFUNCTION("""COMPUTED_VALUE"""),0.0)</f>
        <v>0</v>
      </c>
      <c r="L236" s="560">
        <f>IFERROR(__xludf.DUMMYFUNCTION("""COMPUTED_VALUE"""),0.0)</f>
        <v>0</v>
      </c>
      <c r="M236" s="561">
        <f>IFERROR(__xludf.DUMMYFUNCTION("""COMPUTED_VALUE"""),0.0)</f>
        <v>0</v>
      </c>
      <c r="N236" s="561">
        <f>IFERROR(__xludf.DUMMYFUNCTION("""COMPUTED_VALUE"""),0.0)</f>
        <v>0</v>
      </c>
      <c r="O236" s="560"/>
      <c r="P236" s="562">
        <f>IFERROR(__xludf.DUMMYFUNCTION("""COMPUTED_VALUE"""),0.0)</f>
        <v>0</v>
      </c>
      <c r="Q236" s="562">
        <f>IFERROR(__xludf.DUMMYFUNCTION("""COMPUTED_VALUE"""),0.0)</f>
        <v>0</v>
      </c>
      <c r="R236" s="562">
        <f>IFERROR(__xludf.DUMMYFUNCTION("""COMPUTED_VALUE"""),0.0)</f>
        <v>0</v>
      </c>
      <c r="S236" s="562"/>
      <c r="T236" s="217"/>
      <c r="U236" s="217"/>
      <c r="V236" s="217"/>
      <c r="W236" s="217"/>
      <c r="X236" s="217"/>
      <c r="Y236" s="217"/>
      <c r="Z236" s="217"/>
      <c r="AA236" s="481"/>
      <c r="AB236" s="481">
        <f>IFERROR(__xludf.DUMMYFUNCTION("""COMPUTED_VALUE"""),0.0)</f>
        <v>0</v>
      </c>
      <c r="AC236" s="481">
        <f>IFERROR(__xludf.DUMMYFUNCTION("""COMPUTED_VALUE"""),0.0)</f>
        <v>0</v>
      </c>
      <c r="AD236" s="481">
        <f>IFERROR(__xludf.DUMMYFUNCTION("""COMPUTED_VALUE"""),0.0)</f>
        <v>0</v>
      </c>
      <c r="AE236" s="481">
        <f>IFERROR(__xludf.DUMMYFUNCTION("""COMPUTED_VALUE"""),10.0)</f>
        <v>10</v>
      </c>
      <c r="AF236" s="481"/>
      <c r="AG236" s="481">
        <f>IFERROR(__xludf.DUMMYFUNCTION("""COMPUTED_VALUE"""),0.0)</f>
        <v>0</v>
      </c>
      <c r="AH236" s="481"/>
      <c r="AI236" s="158"/>
      <c r="AJ236" s="158"/>
      <c r="AK236" s="133">
        <f>IFERROR(__xludf.DUMMYFUNCTION("""COMPUTED_VALUE"""),2.0)</f>
        <v>2</v>
      </c>
      <c r="AL236" s="133">
        <f>IFERROR(__xludf.DUMMYFUNCTION("""COMPUTED_VALUE"""),0.0)</f>
        <v>0</v>
      </c>
      <c r="AM236" s="133">
        <f>IFERROR(__xludf.DUMMYFUNCTION("""COMPUTED_VALUE"""),0.0)</f>
        <v>0</v>
      </c>
      <c r="AN236" s="133" t="str">
        <f>IFERROR(__xludf.DUMMYFUNCTION("""COMPUTED_VALUE"""),"0")</f>
        <v>0</v>
      </c>
      <c r="AO236" s="133">
        <f>IFERROR(__xludf.DUMMYFUNCTION("""COMPUTED_VALUE"""),0.0)</f>
        <v>0</v>
      </c>
      <c r="AP236" s="155" t="s">
        <v>2461</v>
      </c>
    </row>
    <row r="237">
      <c r="A237" s="261">
        <f>IFERROR(__xludf.DUMMYFUNCTION("""COMPUTED_VALUE"""),233.0)</f>
        <v>233</v>
      </c>
      <c r="B237" s="261" t="str">
        <f>IFERROR(__xludf.DUMMYFUNCTION("""COMPUTED_VALUE"""),"sulkh22cs@cmrit.ac.in")</f>
        <v>sulkh22cs@cmrit.ac.in</v>
      </c>
      <c r="C237" s="172" t="str">
        <f>IFERROR(__xludf.DUMMYFUNCTION("""COMPUTED_VALUE"""),"Sulaiman Khan")</f>
        <v>Sulaiman Khan</v>
      </c>
      <c r="D237" s="155" t="str">
        <f>IFERROR(__xludf.DUMMYFUNCTION("""COMPUTED_VALUE"""),"1CR22CS194")</f>
        <v>1CR22CS194</v>
      </c>
      <c r="E237" s="563">
        <f>IFERROR(__xludf.DUMMYFUNCTION("""COMPUTED_VALUE"""),9.693253481E9)</f>
        <v>9693253481</v>
      </c>
      <c r="F237" s="155" t="str">
        <f>IFERROR(__xludf.DUMMYFUNCTION("""COMPUTED_VALUE"""),"CSE")</f>
        <v>CSE</v>
      </c>
      <c r="G237" s="158"/>
      <c r="H237" s="559">
        <f>IFERROR(__xludf.DUMMYFUNCTION("""COMPUTED_VALUE"""),0.0)</f>
        <v>0</v>
      </c>
      <c r="I237" s="559">
        <f>IFERROR(__xludf.DUMMYFUNCTION("""COMPUTED_VALUE"""),0.0)</f>
        <v>0</v>
      </c>
      <c r="J237" s="559">
        <f>IFERROR(__xludf.DUMMYFUNCTION("""COMPUTED_VALUE"""),30.0)</f>
        <v>30</v>
      </c>
      <c r="K237" s="559">
        <f>IFERROR(__xludf.DUMMYFUNCTION("""COMPUTED_VALUE"""),50.0)</f>
        <v>50</v>
      </c>
      <c r="L237" s="560">
        <f>IFERROR(__xludf.DUMMYFUNCTION("""COMPUTED_VALUE"""),0.0)</f>
        <v>0</v>
      </c>
      <c r="M237" s="561">
        <f>IFERROR(__xludf.DUMMYFUNCTION("""COMPUTED_VALUE"""),23.0)</f>
        <v>23</v>
      </c>
      <c r="N237" s="561">
        <f>IFERROR(__xludf.DUMMYFUNCTION("""COMPUTED_VALUE"""),0.0)</f>
        <v>0</v>
      </c>
      <c r="O237" s="560"/>
      <c r="P237" s="562">
        <f>IFERROR(__xludf.DUMMYFUNCTION("""COMPUTED_VALUE"""),0.0)</f>
        <v>0</v>
      </c>
      <c r="Q237" s="562">
        <f>IFERROR(__xludf.DUMMYFUNCTION("""COMPUTED_VALUE"""),0.0)</f>
        <v>0</v>
      </c>
      <c r="R237" s="562">
        <f>IFERROR(__xludf.DUMMYFUNCTION("""COMPUTED_VALUE"""),0.0)</f>
        <v>0</v>
      </c>
      <c r="S237" s="562"/>
      <c r="T237" s="217"/>
      <c r="U237" s="217"/>
      <c r="V237" s="217"/>
      <c r="W237" s="217"/>
      <c r="X237" s="217"/>
      <c r="Y237" s="217"/>
      <c r="Z237" s="217"/>
      <c r="AA237" s="481"/>
      <c r="AB237" s="481">
        <f>IFERROR(__xludf.DUMMYFUNCTION("""COMPUTED_VALUE"""),0.0)</f>
        <v>0</v>
      </c>
      <c r="AC237" s="481">
        <f>IFERROR(__xludf.DUMMYFUNCTION("""COMPUTED_VALUE"""),0.0)</f>
        <v>0</v>
      </c>
      <c r="AD237" s="481">
        <f>IFERROR(__xludf.DUMMYFUNCTION("""COMPUTED_VALUE"""),1.0)</f>
        <v>1</v>
      </c>
      <c r="AE237" s="481">
        <f>IFERROR(__xludf.DUMMYFUNCTION("""COMPUTED_VALUE"""),10.0)</f>
        <v>10</v>
      </c>
      <c r="AF237" s="481"/>
      <c r="AG237" s="481">
        <f>IFERROR(__xludf.DUMMYFUNCTION("""COMPUTED_VALUE"""),10.0)</f>
        <v>10</v>
      </c>
      <c r="AH237" s="481"/>
      <c r="AI237" s="158"/>
      <c r="AJ237" s="158"/>
      <c r="AK237" s="133">
        <f>IFERROR(__xludf.DUMMYFUNCTION("""COMPUTED_VALUE"""),0.0)</f>
        <v>0</v>
      </c>
      <c r="AL237" s="133">
        <f>IFERROR(__xludf.DUMMYFUNCTION("""COMPUTED_VALUE"""),0.0)</f>
        <v>0</v>
      </c>
      <c r="AM237" s="133">
        <f>IFERROR(__xludf.DUMMYFUNCTION("""COMPUTED_VALUE"""),0.0)</f>
        <v>0</v>
      </c>
      <c r="AN237" s="133" t="str">
        <f>IFERROR(__xludf.DUMMYFUNCTION("""COMPUTED_VALUE"""),"0")</f>
        <v>0</v>
      </c>
      <c r="AO237" s="133">
        <f>IFERROR(__xludf.DUMMYFUNCTION("""COMPUTED_VALUE"""),0.0)</f>
        <v>0</v>
      </c>
      <c r="AP237" s="155" t="s">
        <v>2461</v>
      </c>
    </row>
    <row r="238">
      <c r="A238" s="261">
        <f>IFERROR(__xludf.DUMMYFUNCTION("""COMPUTED_VALUE"""),234.0)</f>
        <v>234</v>
      </c>
      <c r="B238" s="261" t="str">
        <f>IFERROR(__xludf.DUMMYFUNCTION("""COMPUTED_VALUE"""),"vave22cs@cmrit.ac.in")</f>
        <v>vave22cs@cmrit.ac.in</v>
      </c>
      <c r="C238" s="172" t="str">
        <f>IFERROR(__xludf.DUMMYFUNCTION("""COMPUTED_VALUE"""),"Varun Venugopal")</f>
        <v>Varun Venugopal</v>
      </c>
      <c r="D238" s="155" t="str">
        <f>IFERROR(__xludf.DUMMYFUNCTION("""COMPUTED_VALUE"""),"1CR22CS209")</f>
        <v>1CR22CS209</v>
      </c>
      <c r="E238" s="563">
        <f>IFERROR(__xludf.DUMMYFUNCTION("""COMPUTED_VALUE"""),9.606879393E9)</f>
        <v>9606879393</v>
      </c>
      <c r="F238" s="155" t="str">
        <f>IFERROR(__xludf.DUMMYFUNCTION("""COMPUTED_VALUE"""),"CSE")</f>
        <v>CSE</v>
      </c>
      <c r="G238" s="158"/>
      <c r="H238" s="559">
        <f>IFERROR(__xludf.DUMMYFUNCTION("""COMPUTED_VALUE"""),0.0)</f>
        <v>0</v>
      </c>
      <c r="I238" s="559">
        <f>IFERROR(__xludf.DUMMYFUNCTION("""COMPUTED_VALUE"""),0.0)</f>
        <v>0</v>
      </c>
      <c r="J238" s="559">
        <f>IFERROR(__xludf.DUMMYFUNCTION("""COMPUTED_VALUE"""),45.0)</f>
        <v>45</v>
      </c>
      <c r="K238" s="559">
        <f>IFERROR(__xludf.DUMMYFUNCTION("""COMPUTED_VALUE"""),17.0)</f>
        <v>17</v>
      </c>
      <c r="L238" s="560">
        <f>IFERROR(__xludf.DUMMYFUNCTION("""COMPUTED_VALUE"""),0.0)</f>
        <v>0</v>
      </c>
      <c r="M238" s="561">
        <f>IFERROR(__xludf.DUMMYFUNCTION("""COMPUTED_VALUE"""),15.0)</f>
        <v>15</v>
      </c>
      <c r="N238" s="561">
        <f>IFERROR(__xludf.DUMMYFUNCTION("""COMPUTED_VALUE"""),0.0)</f>
        <v>0</v>
      </c>
      <c r="O238" s="560"/>
      <c r="P238" s="562">
        <f>IFERROR(__xludf.DUMMYFUNCTION("""COMPUTED_VALUE"""),0.0)</f>
        <v>0</v>
      </c>
      <c r="Q238" s="562">
        <f>IFERROR(__xludf.DUMMYFUNCTION("""COMPUTED_VALUE"""),65.0)</f>
        <v>65</v>
      </c>
      <c r="R238" s="562">
        <f>IFERROR(__xludf.DUMMYFUNCTION("""COMPUTED_VALUE"""),0.0)</f>
        <v>0</v>
      </c>
      <c r="S238" s="562"/>
      <c r="T238" s="217"/>
      <c r="U238" s="217"/>
      <c r="V238" s="217"/>
      <c r="W238" s="217"/>
      <c r="X238" s="217"/>
      <c r="Y238" s="217"/>
      <c r="Z238" s="217"/>
      <c r="AA238" s="481"/>
      <c r="AB238" s="481">
        <f>IFERROR(__xludf.DUMMYFUNCTION("""COMPUTED_VALUE"""),0.0)</f>
        <v>0</v>
      </c>
      <c r="AC238" s="481">
        <f>IFERROR(__xludf.DUMMYFUNCTION("""COMPUTED_VALUE"""),0.0)</f>
        <v>0</v>
      </c>
      <c r="AD238" s="481">
        <f>IFERROR(__xludf.DUMMYFUNCTION("""COMPUTED_VALUE"""),0.0)</f>
        <v>0</v>
      </c>
      <c r="AE238" s="481">
        <f>IFERROR(__xludf.DUMMYFUNCTION("""COMPUTED_VALUE"""),10.0)</f>
        <v>10</v>
      </c>
      <c r="AF238" s="481"/>
      <c r="AG238" s="481">
        <f>IFERROR(__xludf.DUMMYFUNCTION("""COMPUTED_VALUE"""),0.0)</f>
        <v>0</v>
      </c>
      <c r="AH238" s="481"/>
      <c r="AI238" s="158"/>
      <c r="AJ238" s="158"/>
      <c r="AK238" s="133">
        <f>IFERROR(__xludf.DUMMYFUNCTION("""COMPUTED_VALUE"""),0.0)</f>
        <v>0</v>
      </c>
      <c r="AL238" s="133">
        <f>IFERROR(__xludf.DUMMYFUNCTION("""COMPUTED_VALUE"""),0.0)</f>
        <v>0</v>
      </c>
      <c r="AM238" s="133">
        <f>IFERROR(__xludf.DUMMYFUNCTION("""COMPUTED_VALUE"""),0.0)</f>
        <v>0</v>
      </c>
      <c r="AN238" s="133" t="str">
        <f>IFERROR(__xludf.DUMMYFUNCTION("""COMPUTED_VALUE"""),"0")</f>
        <v>0</v>
      </c>
      <c r="AO238" s="133">
        <f>IFERROR(__xludf.DUMMYFUNCTION("""COMPUTED_VALUE"""),0.0)</f>
        <v>0</v>
      </c>
      <c r="AP238" s="155" t="s">
        <v>2461</v>
      </c>
    </row>
    <row r="239">
      <c r="A239" s="261">
        <f>IFERROR(__xludf.DUMMYFUNCTION("""COMPUTED_VALUE"""),1.0)</f>
        <v>1</v>
      </c>
      <c r="B239" s="261" t="str">
        <f>IFERROR(__xludf.DUMMYFUNCTION("""COMPUTED_VALUE"""),"aapr23ise@cmrit.ac.in")</f>
        <v>aapr23ise@cmrit.ac.in</v>
      </c>
      <c r="C239" s="172" t="str">
        <f>IFERROR(__xludf.DUMMYFUNCTION("""COMPUTED_VALUE"""),"AAMITH PRAMOD")</f>
        <v>AAMITH PRAMOD</v>
      </c>
      <c r="D239" s="155" t="str">
        <f>IFERROR(__xludf.DUMMYFUNCTION("""COMPUTED_VALUE"""),"1CR23IS001")</f>
        <v>1CR23IS001</v>
      </c>
      <c r="E239" s="563">
        <f>IFERROR(__xludf.DUMMYFUNCTION("""COMPUTED_VALUE"""),9.148164893E9)</f>
        <v>9148164893</v>
      </c>
      <c r="F239" s="155" t="str">
        <f>IFERROR(__xludf.DUMMYFUNCTION("""COMPUTED_VALUE"""),"ISE")</f>
        <v>ISE</v>
      </c>
      <c r="G239" s="158"/>
      <c r="H239" s="559">
        <f>IFERROR(__xludf.DUMMYFUNCTION("""COMPUTED_VALUE"""),84.0)</f>
        <v>84</v>
      </c>
      <c r="I239" s="559">
        <f>IFERROR(__xludf.DUMMYFUNCTION("""COMPUTED_VALUE"""),88.0)</f>
        <v>88</v>
      </c>
      <c r="J239" s="559">
        <f>IFERROR(__xludf.DUMMYFUNCTION("""COMPUTED_VALUE"""),5.0)</f>
        <v>5</v>
      </c>
      <c r="K239" s="559">
        <f>IFERROR(__xludf.DUMMYFUNCTION("""COMPUTED_VALUE"""),10.0)</f>
        <v>10</v>
      </c>
      <c r="L239" s="560">
        <f>IFERROR(__xludf.DUMMYFUNCTION("""COMPUTED_VALUE"""),5.0)</f>
        <v>5</v>
      </c>
      <c r="M239" s="561">
        <f>IFERROR(__xludf.DUMMYFUNCTION("""COMPUTED_VALUE"""),0.0)</f>
        <v>0</v>
      </c>
      <c r="N239" s="561">
        <f>IFERROR(__xludf.DUMMYFUNCTION("""COMPUTED_VALUE"""),0.0)</f>
        <v>0</v>
      </c>
      <c r="O239" s="560"/>
      <c r="P239" s="562">
        <f>IFERROR(__xludf.DUMMYFUNCTION("""COMPUTED_VALUE"""),0.0)</f>
        <v>0</v>
      </c>
      <c r="Q239" s="562">
        <f>IFERROR(__xludf.DUMMYFUNCTION("""COMPUTED_VALUE"""),0.0)</f>
        <v>0</v>
      </c>
      <c r="R239" s="562">
        <f>IFERROR(__xludf.DUMMYFUNCTION("""COMPUTED_VALUE"""),0.0)</f>
        <v>0</v>
      </c>
      <c r="S239" s="562"/>
      <c r="T239" s="217">
        <f>IFERROR(__xludf.DUMMYFUNCTION("""COMPUTED_VALUE"""),15.0)</f>
        <v>15</v>
      </c>
      <c r="U239" s="217">
        <f>IFERROR(__xludf.DUMMYFUNCTION("""COMPUTED_VALUE"""),18.0)</f>
        <v>18</v>
      </c>
      <c r="V239" s="217"/>
      <c r="W239" s="217"/>
      <c r="X239" s="217">
        <f>IFERROR(__xludf.DUMMYFUNCTION("""COMPUTED_VALUE"""),0.0)</f>
        <v>0</v>
      </c>
      <c r="Y239" s="217"/>
      <c r="Z239" s="217"/>
      <c r="AA239" s="481">
        <f>IFERROR(__xludf.DUMMYFUNCTION("""COMPUTED_VALUE"""),100.0)</f>
        <v>100</v>
      </c>
      <c r="AB239" s="481">
        <f>IFERROR(__xludf.DUMMYFUNCTION("""COMPUTED_VALUE"""),72.0)</f>
        <v>72</v>
      </c>
      <c r="AC239" s="481">
        <f>IFERROR(__xludf.DUMMYFUNCTION("""COMPUTED_VALUE"""),0.0)</f>
        <v>0</v>
      </c>
      <c r="AD239" s="481">
        <f>IFERROR(__xludf.DUMMYFUNCTION("""COMPUTED_VALUE"""),0.0)</f>
        <v>0</v>
      </c>
      <c r="AE239" s="481">
        <f>IFERROR(__xludf.DUMMYFUNCTION("""COMPUTED_VALUE"""),10.0)</f>
        <v>10</v>
      </c>
      <c r="AF239" s="481"/>
      <c r="AG239" s="481">
        <f>IFERROR(__xludf.DUMMYFUNCTION("""COMPUTED_VALUE"""),25.0)</f>
        <v>25</v>
      </c>
      <c r="AH239" s="481"/>
      <c r="AI239" s="158"/>
      <c r="AJ239" s="158"/>
      <c r="AK239" s="133">
        <f>IFERROR(__xludf.DUMMYFUNCTION("""COMPUTED_VALUE"""),2.0)</f>
        <v>2</v>
      </c>
      <c r="AL239" s="133">
        <f>IFERROR(__xludf.DUMMYFUNCTION("""COMPUTED_VALUE"""),0.0)</f>
        <v>0</v>
      </c>
      <c r="AM239" s="133">
        <f>IFERROR(__xludf.DUMMYFUNCTION("""COMPUTED_VALUE"""),2.0)</f>
        <v>2</v>
      </c>
      <c r="AN239" s="133" t="str">
        <f>IFERROR(__xludf.DUMMYFUNCTION("""COMPUTED_VALUE"""),"2")</f>
        <v>2</v>
      </c>
      <c r="AO239" s="133">
        <f>IFERROR(__xludf.DUMMYFUNCTION("""COMPUTED_VALUE"""),0.0)</f>
        <v>0</v>
      </c>
      <c r="AP239" s="155" t="s">
        <v>2461</v>
      </c>
    </row>
    <row r="240">
      <c r="A240" s="261">
        <f>IFERROR(__xludf.DUMMYFUNCTION("""COMPUTED_VALUE"""),2.0)</f>
        <v>2</v>
      </c>
      <c r="B240" s="261" t="str">
        <f>IFERROR(__xludf.DUMMYFUNCTION("""COMPUTED_VALUE"""),"aab23ise@cmrit.ac.in")</f>
        <v>aab23ise@cmrit.ac.in</v>
      </c>
      <c r="C240" s="172" t="str">
        <f>IFERROR(__xludf.DUMMYFUNCTION("""COMPUTED_VALUE"""),"AARYA B")</f>
        <v>AARYA B</v>
      </c>
      <c r="D240" s="155" t="str">
        <f>IFERROR(__xludf.DUMMYFUNCTION("""COMPUTED_VALUE"""),"1CR23IS002")</f>
        <v>1CR23IS002</v>
      </c>
      <c r="E240" s="563">
        <f>IFERROR(__xludf.DUMMYFUNCTION("""COMPUTED_VALUE"""),9.845718382E9)</f>
        <v>9845718382</v>
      </c>
      <c r="F240" s="155" t="str">
        <f>IFERROR(__xludf.DUMMYFUNCTION("""COMPUTED_VALUE"""),"ISE")</f>
        <v>ISE</v>
      </c>
      <c r="G240" s="158"/>
      <c r="H240" s="559">
        <f>IFERROR(__xludf.DUMMYFUNCTION("""COMPUTED_VALUE"""),83.0)</f>
        <v>83</v>
      </c>
      <c r="I240" s="559">
        <f>IFERROR(__xludf.DUMMYFUNCTION("""COMPUTED_VALUE"""),93.0)</f>
        <v>93</v>
      </c>
      <c r="J240" s="559">
        <f>IFERROR(__xludf.DUMMYFUNCTION("""COMPUTED_VALUE"""),73.0)</f>
        <v>73</v>
      </c>
      <c r="K240" s="559">
        <f>IFERROR(__xludf.DUMMYFUNCTION("""COMPUTED_VALUE"""),75.0)</f>
        <v>75</v>
      </c>
      <c r="L240" s="560">
        <f>IFERROR(__xludf.DUMMYFUNCTION("""COMPUTED_VALUE"""),67.0)</f>
        <v>67</v>
      </c>
      <c r="M240" s="561">
        <f>IFERROR(__xludf.DUMMYFUNCTION("""COMPUTED_VALUE"""),50.0)</f>
        <v>50</v>
      </c>
      <c r="N240" s="561">
        <f>IFERROR(__xludf.DUMMYFUNCTION("""COMPUTED_VALUE"""),50.0)</f>
        <v>50</v>
      </c>
      <c r="O240" s="560"/>
      <c r="P240" s="562">
        <f>IFERROR(__xludf.DUMMYFUNCTION("""COMPUTED_VALUE"""),93.0)</f>
        <v>93</v>
      </c>
      <c r="Q240" s="562">
        <f>IFERROR(__xludf.DUMMYFUNCTION("""COMPUTED_VALUE"""),72.0)</f>
        <v>72</v>
      </c>
      <c r="R240" s="562">
        <f>IFERROR(__xludf.DUMMYFUNCTION("""COMPUTED_VALUE"""),89.0)</f>
        <v>89</v>
      </c>
      <c r="S240" s="562"/>
      <c r="T240" s="217">
        <f>IFERROR(__xludf.DUMMYFUNCTION("""COMPUTED_VALUE"""),11.0)</f>
        <v>11</v>
      </c>
      <c r="U240" s="217">
        <f>IFERROR(__xludf.DUMMYFUNCTION("""COMPUTED_VALUE"""),18.0)</f>
        <v>18</v>
      </c>
      <c r="V240" s="217"/>
      <c r="W240" s="217">
        <f>IFERROR(__xludf.DUMMYFUNCTION("""COMPUTED_VALUE"""),48.0)</f>
        <v>48</v>
      </c>
      <c r="X240" s="217">
        <f>IFERROR(__xludf.DUMMYFUNCTION("""COMPUTED_VALUE"""),44.0)</f>
        <v>44</v>
      </c>
      <c r="Y240" s="217"/>
      <c r="Z240" s="217"/>
      <c r="AA240" s="481">
        <f>IFERROR(__xludf.DUMMYFUNCTION("""COMPUTED_VALUE"""),100.0)</f>
        <v>100</v>
      </c>
      <c r="AB240" s="481">
        <f>IFERROR(__xludf.DUMMYFUNCTION("""COMPUTED_VALUE"""),100.0)</f>
        <v>100</v>
      </c>
      <c r="AC240" s="481">
        <f>IFERROR(__xludf.DUMMYFUNCTION("""COMPUTED_VALUE"""),68.0)</f>
        <v>68</v>
      </c>
      <c r="AD240" s="481">
        <f>IFERROR(__xludf.DUMMYFUNCTION("""COMPUTED_VALUE"""),30.0)</f>
        <v>30</v>
      </c>
      <c r="AE240" s="481">
        <f>IFERROR(__xludf.DUMMYFUNCTION("""COMPUTED_VALUE"""),70.0)</f>
        <v>70</v>
      </c>
      <c r="AF240" s="481"/>
      <c r="AG240" s="481">
        <f>IFERROR(__xludf.DUMMYFUNCTION("""COMPUTED_VALUE"""),49.0)</f>
        <v>49</v>
      </c>
      <c r="AH240" s="481"/>
      <c r="AI240" s="158"/>
      <c r="AJ240" s="158"/>
      <c r="AK240" s="133">
        <f>IFERROR(__xludf.DUMMYFUNCTION("""COMPUTED_VALUE"""),4.0)</f>
        <v>4</v>
      </c>
      <c r="AL240" s="133">
        <f>IFERROR(__xludf.DUMMYFUNCTION("""COMPUTED_VALUE"""),3.0)</f>
        <v>3</v>
      </c>
      <c r="AM240" s="133">
        <f>IFERROR(__xludf.DUMMYFUNCTION("""COMPUTED_VALUE"""),2.0)</f>
        <v>2</v>
      </c>
      <c r="AN240" s="133" t="str">
        <f>IFERROR(__xludf.DUMMYFUNCTION("""COMPUTED_VALUE"""),"3.5")</f>
        <v>3.5</v>
      </c>
      <c r="AO240" s="133">
        <f>IFERROR(__xludf.DUMMYFUNCTION("""COMPUTED_VALUE"""),3.0)</f>
        <v>3</v>
      </c>
      <c r="AP240" s="155" t="s">
        <v>2461</v>
      </c>
    </row>
    <row r="241">
      <c r="A241" s="261">
        <f>IFERROR(__xludf.DUMMYFUNCTION("""COMPUTED_VALUE"""),3.0)</f>
        <v>3</v>
      </c>
      <c r="B241" s="261" t="str">
        <f>IFERROR(__xludf.DUMMYFUNCTION("""COMPUTED_VALUE"""),"aara23ise@cmrit.ac.in")</f>
        <v>aara23ise@cmrit.ac.in</v>
      </c>
      <c r="C241" s="172" t="str">
        <f>IFERROR(__xludf.DUMMYFUNCTION("""COMPUTED_VALUE"""),"AASTHA RAI")</f>
        <v>AASTHA RAI</v>
      </c>
      <c r="D241" s="155" t="str">
        <f>IFERROR(__xludf.DUMMYFUNCTION("""COMPUTED_VALUE"""),"1CR23IS003")</f>
        <v>1CR23IS003</v>
      </c>
      <c r="E241" s="563">
        <f>IFERROR(__xludf.DUMMYFUNCTION("""COMPUTED_VALUE"""),9.234321003E9)</f>
        <v>9234321003</v>
      </c>
      <c r="F241" s="155" t="str">
        <f>IFERROR(__xludf.DUMMYFUNCTION("""COMPUTED_VALUE"""),"ISE")</f>
        <v>ISE</v>
      </c>
      <c r="G241" s="158"/>
      <c r="H241" s="559">
        <f>IFERROR(__xludf.DUMMYFUNCTION("""COMPUTED_VALUE"""),77.0)</f>
        <v>77</v>
      </c>
      <c r="I241" s="559">
        <f>IFERROR(__xludf.DUMMYFUNCTION("""COMPUTED_VALUE"""),91.0)</f>
        <v>91</v>
      </c>
      <c r="J241" s="559">
        <f>IFERROR(__xludf.DUMMYFUNCTION("""COMPUTED_VALUE"""),71.0)</f>
        <v>71</v>
      </c>
      <c r="K241" s="559">
        <f>IFERROR(__xludf.DUMMYFUNCTION("""COMPUTED_VALUE"""),75.0)</f>
        <v>75</v>
      </c>
      <c r="L241" s="560">
        <f>IFERROR(__xludf.DUMMYFUNCTION("""COMPUTED_VALUE"""),50.0)</f>
        <v>50</v>
      </c>
      <c r="M241" s="561">
        <f>IFERROR(__xludf.DUMMYFUNCTION("""COMPUTED_VALUE"""),50.0)</f>
        <v>50</v>
      </c>
      <c r="N241" s="561">
        <f>IFERROR(__xludf.DUMMYFUNCTION("""COMPUTED_VALUE"""),42.0)</f>
        <v>42</v>
      </c>
      <c r="O241" s="560"/>
      <c r="P241" s="562">
        <f>IFERROR(__xludf.DUMMYFUNCTION("""COMPUTED_VALUE"""),80.0)</f>
        <v>80</v>
      </c>
      <c r="Q241" s="562">
        <f>IFERROR(__xludf.DUMMYFUNCTION("""COMPUTED_VALUE"""),55.0)</f>
        <v>55</v>
      </c>
      <c r="R241" s="562">
        <f>IFERROR(__xludf.DUMMYFUNCTION("""COMPUTED_VALUE"""),50.0)</f>
        <v>50</v>
      </c>
      <c r="S241" s="562"/>
      <c r="T241" s="217">
        <f>IFERROR(__xludf.DUMMYFUNCTION("""COMPUTED_VALUE"""),17.0)</f>
        <v>17</v>
      </c>
      <c r="U241" s="217">
        <f>IFERROR(__xludf.DUMMYFUNCTION("""COMPUTED_VALUE"""),23.0)</f>
        <v>23</v>
      </c>
      <c r="V241" s="217">
        <f>IFERROR(__xludf.DUMMYFUNCTION("""COMPUTED_VALUE"""),42.0)</f>
        <v>42</v>
      </c>
      <c r="W241" s="217">
        <f>IFERROR(__xludf.DUMMYFUNCTION("""COMPUTED_VALUE"""),60.0)</f>
        <v>60</v>
      </c>
      <c r="X241" s="217">
        <f>IFERROR(__xludf.DUMMYFUNCTION("""COMPUTED_VALUE"""),64.0)</f>
        <v>64</v>
      </c>
      <c r="Y241" s="217"/>
      <c r="Z241" s="217"/>
      <c r="AA241" s="481">
        <f>IFERROR(__xludf.DUMMYFUNCTION("""COMPUTED_VALUE"""),100.0)</f>
        <v>100</v>
      </c>
      <c r="AB241" s="481">
        <f>IFERROR(__xludf.DUMMYFUNCTION("""COMPUTED_VALUE"""),81.0)</f>
        <v>81</v>
      </c>
      <c r="AC241" s="481">
        <f>IFERROR(__xludf.DUMMYFUNCTION("""COMPUTED_VALUE"""),47.0)</f>
        <v>47</v>
      </c>
      <c r="AD241" s="481">
        <f>IFERROR(__xludf.DUMMYFUNCTION("""COMPUTED_VALUE"""),38.0)</f>
        <v>38</v>
      </c>
      <c r="AE241" s="481">
        <f>IFERROR(__xludf.DUMMYFUNCTION("""COMPUTED_VALUE"""),15.0)</f>
        <v>15</v>
      </c>
      <c r="AF241" s="481"/>
      <c r="AG241" s="481">
        <f>IFERROR(__xludf.DUMMYFUNCTION("""COMPUTED_VALUE"""),43.0)</f>
        <v>43</v>
      </c>
      <c r="AH241" s="481"/>
      <c r="AI241" s="158"/>
      <c r="AJ241" s="158"/>
      <c r="AK241" s="133">
        <f>IFERROR(__xludf.DUMMYFUNCTION("""COMPUTED_VALUE"""),4.0)</f>
        <v>4</v>
      </c>
      <c r="AL241" s="133">
        <f>IFERROR(__xludf.DUMMYFUNCTION("""COMPUTED_VALUE"""),2.0)</f>
        <v>2</v>
      </c>
      <c r="AM241" s="133">
        <f>IFERROR(__xludf.DUMMYFUNCTION("""COMPUTED_VALUE"""),3.0)</f>
        <v>3</v>
      </c>
      <c r="AN241" s="133" t="str">
        <f>IFERROR(__xludf.DUMMYFUNCTION("""COMPUTED_VALUE"""),"2")</f>
        <v>2</v>
      </c>
      <c r="AO241" s="133">
        <f>IFERROR(__xludf.DUMMYFUNCTION("""COMPUTED_VALUE"""),3.0)</f>
        <v>3</v>
      </c>
      <c r="AP241" s="155" t="s">
        <v>2461</v>
      </c>
    </row>
    <row r="242">
      <c r="A242" s="261">
        <f>IFERROR(__xludf.DUMMYFUNCTION("""COMPUTED_VALUE"""),4.0)</f>
        <v>4</v>
      </c>
      <c r="B242" s="261" t="str">
        <f>IFERROR(__xludf.DUMMYFUNCTION("""COMPUTED_VALUE"""),"aasi23ise@cmrit.ac.in")</f>
        <v>aasi23ise@cmrit.ac.in</v>
      </c>
      <c r="C242" s="172" t="str">
        <f>IFERROR(__xludf.DUMMYFUNCTION("""COMPUTED_VALUE"""),"AAYUSH SINGH")</f>
        <v>AAYUSH SINGH</v>
      </c>
      <c r="D242" s="155" t="str">
        <f>IFERROR(__xludf.DUMMYFUNCTION("""COMPUTED_VALUE"""),"1CR23IS004")</f>
        <v>1CR23IS004</v>
      </c>
      <c r="E242" s="563">
        <f>IFERROR(__xludf.DUMMYFUNCTION("""COMPUTED_VALUE"""),9.366741579E9)</f>
        <v>9366741579</v>
      </c>
      <c r="F242" s="155" t="str">
        <f>IFERROR(__xludf.DUMMYFUNCTION("""COMPUTED_VALUE"""),"ISE")</f>
        <v>ISE</v>
      </c>
      <c r="G242" s="158"/>
      <c r="H242" s="559">
        <f>IFERROR(__xludf.DUMMYFUNCTION("""COMPUTED_VALUE"""),80.0)</f>
        <v>80</v>
      </c>
      <c r="I242" s="559">
        <f>IFERROR(__xludf.DUMMYFUNCTION("""COMPUTED_VALUE"""),87.0)</f>
        <v>87</v>
      </c>
      <c r="J242" s="559">
        <f>IFERROR(__xludf.DUMMYFUNCTION("""COMPUTED_VALUE"""),70.0)</f>
        <v>70</v>
      </c>
      <c r="K242" s="559">
        <f>IFERROR(__xludf.DUMMYFUNCTION("""COMPUTED_VALUE"""),70.0)</f>
        <v>70</v>
      </c>
      <c r="L242" s="560">
        <f>IFERROR(__xludf.DUMMYFUNCTION("""COMPUTED_VALUE"""),50.0)</f>
        <v>50</v>
      </c>
      <c r="M242" s="561">
        <f>IFERROR(__xludf.DUMMYFUNCTION("""COMPUTED_VALUE"""),58.0)</f>
        <v>58</v>
      </c>
      <c r="N242" s="561">
        <f>IFERROR(__xludf.DUMMYFUNCTION("""COMPUTED_VALUE"""),20.0)</f>
        <v>20</v>
      </c>
      <c r="O242" s="560"/>
      <c r="P242" s="562">
        <f>IFERROR(__xludf.DUMMYFUNCTION("""COMPUTED_VALUE"""),80.0)</f>
        <v>80</v>
      </c>
      <c r="Q242" s="562">
        <f>IFERROR(__xludf.DUMMYFUNCTION("""COMPUTED_VALUE"""),50.0)</f>
        <v>50</v>
      </c>
      <c r="R242" s="562">
        <f>IFERROR(__xludf.DUMMYFUNCTION("""COMPUTED_VALUE"""),50.0)</f>
        <v>50</v>
      </c>
      <c r="S242" s="562"/>
      <c r="T242" s="217">
        <f>IFERROR(__xludf.DUMMYFUNCTION("""COMPUTED_VALUE"""),19.0)</f>
        <v>19</v>
      </c>
      <c r="U242" s="217">
        <f>IFERROR(__xludf.DUMMYFUNCTION("""COMPUTED_VALUE"""),22.0)</f>
        <v>22</v>
      </c>
      <c r="V242" s="217">
        <f>IFERROR(__xludf.DUMMYFUNCTION("""COMPUTED_VALUE"""),38.0)</f>
        <v>38</v>
      </c>
      <c r="W242" s="217">
        <f>IFERROR(__xludf.DUMMYFUNCTION("""COMPUTED_VALUE"""),56.0)</f>
        <v>56</v>
      </c>
      <c r="X242" s="217">
        <f>IFERROR(__xludf.DUMMYFUNCTION("""COMPUTED_VALUE"""),56.0)</f>
        <v>56</v>
      </c>
      <c r="Y242" s="217"/>
      <c r="Z242" s="217"/>
      <c r="AA242" s="481">
        <f>IFERROR(__xludf.DUMMYFUNCTION("""COMPUTED_VALUE"""),100.0)</f>
        <v>100</v>
      </c>
      <c r="AB242" s="481">
        <f>IFERROR(__xludf.DUMMYFUNCTION("""COMPUTED_VALUE"""),81.0)</f>
        <v>81</v>
      </c>
      <c r="AC242" s="481">
        <f>IFERROR(__xludf.DUMMYFUNCTION("""COMPUTED_VALUE"""),32.0)</f>
        <v>32</v>
      </c>
      <c r="AD242" s="481">
        <f>IFERROR(__xludf.DUMMYFUNCTION("""COMPUTED_VALUE"""),100.0)</f>
        <v>100</v>
      </c>
      <c r="AE242" s="481">
        <f>IFERROR(__xludf.DUMMYFUNCTION("""COMPUTED_VALUE"""),22.0)</f>
        <v>22</v>
      </c>
      <c r="AF242" s="481"/>
      <c r="AG242" s="481">
        <f>IFERROR(__xludf.DUMMYFUNCTION("""COMPUTED_VALUE"""),72.0)</f>
        <v>72</v>
      </c>
      <c r="AH242" s="481"/>
      <c r="AI242" s="158"/>
      <c r="AJ242" s="158"/>
      <c r="AK242" s="133">
        <f>IFERROR(__xludf.DUMMYFUNCTION("""COMPUTED_VALUE"""),4.0)</f>
        <v>4</v>
      </c>
      <c r="AL242" s="133">
        <f>IFERROR(__xludf.DUMMYFUNCTION("""COMPUTED_VALUE"""),2.0)</f>
        <v>2</v>
      </c>
      <c r="AM242" s="133">
        <f>IFERROR(__xludf.DUMMYFUNCTION("""COMPUTED_VALUE"""),3.0)</f>
        <v>3</v>
      </c>
      <c r="AN242" s="133" t="str">
        <f>IFERROR(__xludf.DUMMYFUNCTION("""COMPUTED_VALUE"""),"3")</f>
        <v>3</v>
      </c>
      <c r="AO242" s="133">
        <f>IFERROR(__xludf.DUMMYFUNCTION("""COMPUTED_VALUE"""),3.0)</f>
        <v>3</v>
      </c>
      <c r="AP242" s="155" t="s">
        <v>2461</v>
      </c>
    </row>
    <row r="243">
      <c r="A243" s="261">
        <f>IFERROR(__xludf.DUMMYFUNCTION("""COMPUTED_VALUE"""),5.0)</f>
        <v>5</v>
      </c>
      <c r="B243" s="261" t="str">
        <f>IFERROR(__xludf.DUMMYFUNCTION("""COMPUTED_VALUE"""),"abti23ise@cmrit.ac.in")</f>
        <v>abti23ise@cmrit.ac.in</v>
      </c>
      <c r="C243" s="172" t="str">
        <f>IFERROR(__xludf.DUMMYFUNCTION("""COMPUTED_VALUE"""),"ABHISHEK KUMAR TIWARI")</f>
        <v>ABHISHEK KUMAR TIWARI</v>
      </c>
      <c r="D243" s="155" t="str">
        <f>IFERROR(__xludf.DUMMYFUNCTION("""COMPUTED_VALUE"""),"1CR23IS005")</f>
        <v>1CR23IS005</v>
      </c>
      <c r="E243" s="563">
        <f>IFERROR(__xludf.DUMMYFUNCTION("""COMPUTED_VALUE"""),9.835158844E9)</f>
        <v>9835158844</v>
      </c>
      <c r="F243" s="155" t="str">
        <f>IFERROR(__xludf.DUMMYFUNCTION("""COMPUTED_VALUE"""),"ISE")</f>
        <v>ISE</v>
      </c>
      <c r="G243" s="158"/>
      <c r="H243" s="559">
        <f>IFERROR(__xludf.DUMMYFUNCTION("""COMPUTED_VALUE"""),84.0)</f>
        <v>84</v>
      </c>
      <c r="I243" s="559">
        <f>IFERROR(__xludf.DUMMYFUNCTION("""COMPUTED_VALUE"""),84.0)</f>
        <v>84</v>
      </c>
      <c r="J243" s="559">
        <f>IFERROR(__xludf.DUMMYFUNCTION("""COMPUTED_VALUE"""),70.0)</f>
        <v>70</v>
      </c>
      <c r="K243" s="559">
        <f>IFERROR(__xludf.DUMMYFUNCTION("""COMPUTED_VALUE"""),70.0)</f>
        <v>70</v>
      </c>
      <c r="L243" s="560">
        <f>IFERROR(__xludf.DUMMYFUNCTION("""COMPUTED_VALUE"""),50.0)</f>
        <v>50</v>
      </c>
      <c r="M243" s="561">
        <f>IFERROR(__xludf.DUMMYFUNCTION("""COMPUTED_VALUE"""),55.0)</f>
        <v>55</v>
      </c>
      <c r="N243" s="561">
        <f>IFERROR(__xludf.DUMMYFUNCTION("""COMPUTED_VALUE"""),62.0)</f>
        <v>62</v>
      </c>
      <c r="O243" s="560"/>
      <c r="P243" s="562">
        <f>IFERROR(__xludf.DUMMYFUNCTION("""COMPUTED_VALUE"""),50.0)</f>
        <v>50</v>
      </c>
      <c r="Q243" s="562">
        <f>IFERROR(__xludf.DUMMYFUNCTION("""COMPUTED_VALUE"""),50.0)</f>
        <v>50</v>
      </c>
      <c r="R243" s="562">
        <f>IFERROR(__xludf.DUMMYFUNCTION("""COMPUTED_VALUE"""),66.0)</f>
        <v>66</v>
      </c>
      <c r="S243" s="562"/>
      <c r="T243" s="217">
        <f>IFERROR(__xludf.DUMMYFUNCTION("""COMPUTED_VALUE"""),20.0)</f>
        <v>20</v>
      </c>
      <c r="U243" s="217"/>
      <c r="V243" s="217"/>
      <c r="W243" s="217">
        <f>IFERROR(__xludf.DUMMYFUNCTION("""COMPUTED_VALUE"""),56.0)</f>
        <v>56</v>
      </c>
      <c r="X243" s="217">
        <f>IFERROR(__xludf.DUMMYFUNCTION("""COMPUTED_VALUE"""),64.0)</f>
        <v>64</v>
      </c>
      <c r="Y243" s="217"/>
      <c r="Z243" s="217"/>
      <c r="AA243" s="481">
        <f>IFERROR(__xludf.DUMMYFUNCTION("""COMPUTED_VALUE"""),92.0)</f>
        <v>92</v>
      </c>
      <c r="AB243" s="481">
        <f>IFERROR(__xludf.DUMMYFUNCTION("""COMPUTED_VALUE"""),100.0)</f>
        <v>100</v>
      </c>
      <c r="AC243" s="481">
        <f>IFERROR(__xludf.DUMMYFUNCTION("""COMPUTED_VALUE"""),52.0)</f>
        <v>52</v>
      </c>
      <c r="AD243" s="481">
        <f>IFERROR(__xludf.DUMMYFUNCTION("""COMPUTED_VALUE"""),70.0)</f>
        <v>70</v>
      </c>
      <c r="AE243" s="481">
        <f>IFERROR(__xludf.DUMMYFUNCTION("""COMPUTED_VALUE"""),80.0)</f>
        <v>80</v>
      </c>
      <c r="AF243" s="481"/>
      <c r="AG243" s="481">
        <f>IFERROR(__xludf.DUMMYFUNCTION("""COMPUTED_VALUE"""),46.0)</f>
        <v>46</v>
      </c>
      <c r="AH243" s="481"/>
      <c r="AI243" s="158"/>
      <c r="AJ243" s="158"/>
      <c r="AK243" s="133">
        <f>IFERROR(__xludf.DUMMYFUNCTION("""COMPUTED_VALUE"""),4.0)</f>
        <v>4</v>
      </c>
      <c r="AL243" s="133">
        <f>IFERROR(__xludf.DUMMYFUNCTION("""COMPUTED_VALUE"""),3.0)</f>
        <v>3</v>
      </c>
      <c r="AM243" s="133">
        <f>IFERROR(__xludf.DUMMYFUNCTION("""COMPUTED_VALUE"""),3.0)</f>
        <v>3</v>
      </c>
      <c r="AN243" s="133" t="str">
        <f>IFERROR(__xludf.DUMMYFUNCTION("""COMPUTED_VALUE"""),"3.5")</f>
        <v>3.5</v>
      </c>
      <c r="AO243" s="133">
        <f>IFERROR(__xludf.DUMMYFUNCTION("""COMPUTED_VALUE"""),3.0)</f>
        <v>3</v>
      </c>
      <c r="AP243" s="155" t="s">
        <v>2461</v>
      </c>
    </row>
    <row r="244">
      <c r="A244" s="261">
        <f>IFERROR(__xludf.DUMMYFUNCTION("""COMPUTED_VALUE"""),6.0)</f>
        <v>6</v>
      </c>
      <c r="B244" s="261" t="str">
        <f>IFERROR(__xludf.DUMMYFUNCTION("""COMPUTED_VALUE"""),"abm23ise@cmrit.ac.in")</f>
        <v>abm23ise@cmrit.ac.in</v>
      </c>
      <c r="C244" s="172" t="str">
        <f>IFERROR(__xludf.DUMMYFUNCTION("""COMPUTED_VALUE"""),"ABHISHEK M")</f>
        <v>ABHISHEK M</v>
      </c>
      <c r="D244" s="155" t="str">
        <f>IFERROR(__xludf.DUMMYFUNCTION("""COMPUTED_VALUE"""),"1CR23IS006")</f>
        <v>1CR23IS006</v>
      </c>
      <c r="E244" s="563">
        <f>IFERROR(__xludf.DUMMYFUNCTION("""COMPUTED_VALUE"""),9.108526725E9)</f>
        <v>9108526725</v>
      </c>
      <c r="F244" s="155" t="str">
        <f>IFERROR(__xludf.DUMMYFUNCTION("""COMPUTED_VALUE"""),"ISE")</f>
        <v>ISE</v>
      </c>
      <c r="G244" s="158"/>
      <c r="H244" s="559">
        <f>IFERROR(__xludf.DUMMYFUNCTION("""COMPUTED_VALUE"""),72.0)</f>
        <v>72</v>
      </c>
      <c r="I244" s="559">
        <f>IFERROR(__xludf.DUMMYFUNCTION("""COMPUTED_VALUE"""),86.0)</f>
        <v>86</v>
      </c>
      <c r="J244" s="559">
        <f>IFERROR(__xludf.DUMMYFUNCTION("""COMPUTED_VALUE"""),70.0)</f>
        <v>70</v>
      </c>
      <c r="K244" s="559">
        <f>IFERROR(__xludf.DUMMYFUNCTION("""COMPUTED_VALUE"""),70.0)</f>
        <v>70</v>
      </c>
      <c r="L244" s="560">
        <f>IFERROR(__xludf.DUMMYFUNCTION("""COMPUTED_VALUE"""),50.0)</f>
        <v>50</v>
      </c>
      <c r="M244" s="561">
        <f>IFERROR(__xludf.DUMMYFUNCTION("""COMPUTED_VALUE"""),50.0)</f>
        <v>50</v>
      </c>
      <c r="N244" s="561">
        <f>IFERROR(__xludf.DUMMYFUNCTION("""COMPUTED_VALUE"""),8.0)</f>
        <v>8</v>
      </c>
      <c r="O244" s="560"/>
      <c r="P244" s="562">
        <f>IFERROR(__xludf.DUMMYFUNCTION("""COMPUTED_VALUE"""),82.0)</f>
        <v>82</v>
      </c>
      <c r="Q244" s="562">
        <f>IFERROR(__xludf.DUMMYFUNCTION("""COMPUTED_VALUE"""),50.0)</f>
        <v>50</v>
      </c>
      <c r="R244" s="562">
        <f>IFERROR(__xludf.DUMMYFUNCTION("""COMPUTED_VALUE"""),78.0)</f>
        <v>78</v>
      </c>
      <c r="S244" s="562"/>
      <c r="T244" s="217">
        <f>IFERROR(__xludf.DUMMYFUNCTION("""COMPUTED_VALUE"""),11.0)</f>
        <v>11</v>
      </c>
      <c r="U244" s="217">
        <f>IFERROR(__xludf.DUMMYFUNCTION("""COMPUTED_VALUE"""),21.0)</f>
        <v>21</v>
      </c>
      <c r="V244" s="217">
        <f>IFERROR(__xludf.DUMMYFUNCTION("""COMPUTED_VALUE"""),44.0)</f>
        <v>44</v>
      </c>
      <c r="W244" s="217"/>
      <c r="X244" s="217">
        <f>IFERROR(__xludf.DUMMYFUNCTION("""COMPUTED_VALUE"""),92.0)</f>
        <v>92</v>
      </c>
      <c r="Y244" s="217"/>
      <c r="Z244" s="217"/>
      <c r="AA244" s="481">
        <f>IFERROR(__xludf.DUMMYFUNCTION("""COMPUTED_VALUE"""),52.0)</f>
        <v>52</v>
      </c>
      <c r="AB244" s="481">
        <f>IFERROR(__xludf.DUMMYFUNCTION("""COMPUTED_VALUE"""),88.0)</f>
        <v>88</v>
      </c>
      <c r="AC244" s="481">
        <f>IFERROR(__xludf.DUMMYFUNCTION("""COMPUTED_VALUE"""),83.0)</f>
        <v>83</v>
      </c>
      <c r="AD244" s="481">
        <f>IFERROR(__xludf.DUMMYFUNCTION("""COMPUTED_VALUE"""),100.0)</f>
        <v>100</v>
      </c>
      <c r="AE244" s="481">
        <f>IFERROR(__xludf.DUMMYFUNCTION("""COMPUTED_VALUE"""),70.0)</f>
        <v>70</v>
      </c>
      <c r="AF244" s="481"/>
      <c r="AG244" s="481">
        <f>IFERROR(__xludf.DUMMYFUNCTION("""COMPUTED_VALUE"""),28.0)</f>
        <v>28</v>
      </c>
      <c r="AH244" s="481"/>
      <c r="AI244" s="158"/>
      <c r="AJ244" s="158"/>
      <c r="AK244" s="133">
        <f>IFERROR(__xludf.DUMMYFUNCTION("""COMPUTED_VALUE"""),4.0)</f>
        <v>4</v>
      </c>
      <c r="AL244" s="133">
        <f>IFERROR(__xludf.DUMMYFUNCTION("""COMPUTED_VALUE"""),2.0)</f>
        <v>2</v>
      </c>
      <c r="AM244" s="133">
        <f>IFERROR(__xludf.DUMMYFUNCTION("""COMPUTED_VALUE"""),2.0)</f>
        <v>2</v>
      </c>
      <c r="AN244" s="133" t="str">
        <f>IFERROR(__xludf.DUMMYFUNCTION("""COMPUTED_VALUE"""),"3.5")</f>
        <v>3.5</v>
      </c>
      <c r="AO244" s="133">
        <f>IFERROR(__xludf.DUMMYFUNCTION("""COMPUTED_VALUE"""),3.0)</f>
        <v>3</v>
      </c>
      <c r="AP244" s="155" t="s">
        <v>2461</v>
      </c>
    </row>
    <row r="245">
      <c r="A245" s="261">
        <f>IFERROR(__xludf.DUMMYFUNCTION("""COMPUTED_VALUE"""),7.0)</f>
        <v>7</v>
      </c>
      <c r="B245" s="261" t="str">
        <f>IFERROR(__xludf.DUMMYFUNCTION("""COMPUTED_VALUE"""),"ahsu23ise@cmrit.ac.in")</f>
        <v>ahsu23ise@cmrit.ac.in</v>
      </c>
      <c r="C245" s="172" t="str">
        <f>IFERROR(__xludf.DUMMYFUNCTION("""COMPUTED_VALUE"""),"AHIMANSHU SURYAM")</f>
        <v>AHIMANSHU SURYAM</v>
      </c>
      <c r="D245" s="155" t="str">
        <f>IFERROR(__xludf.DUMMYFUNCTION("""COMPUTED_VALUE"""),"1CR23IS007")</f>
        <v>1CR23IS007</v>
      </c>
      <c r="E245" s="563">
        <f>IFERROR(__xludf.DUMMYFUNCTION("""COMPUTED_VALUE"""),9.631886999E9)</f>
        <v>9631886999</v>
      </c>
      <c r="F245" s="155" t="str">
        <f>IFERROR(__xludf.DUMMYFUNCTION("""COMPUTED_VALUE"""),"ISE")</f>
        <v>ISE</v>
      </c>
      <c r="G245" s="158"/>
      <c r="H245" s="559">
        <f>IFERROR(__xludf.DUMMYFUNCTION("""COMPUTED_VALUE"""),75.0)</f>
        <v>75</v>
      </c>
      <c r="I245" s="559">
        <f>IFERROR(__xludf.DUMMYFUNCTION("""COMPUTED_VALUE"""),86.0)</f>
        <v>86</v>
      </c>
      <c r="J245" s="559">
        <f>IFERROR(__xludf.DUMMYFUNCTION("""COMPUTED_VALUE"""),70.0)</f>
        <v>70</v>
      </c>
      <c r="K245" s="559">
        <f>IFERROR(__xludf.DUMMYFUNCTION("""COMPUTED_VALUE"""),70.0)</f>
        <v>70</v>
      </c>
      <c r="L245" s="560">
        <f>IFERROR(__xludf.DUMMYFUNCTION("""COMPUTED_VALUE"""),50.0)</f>
        <v>50</v>
      </c>
      <c r="M245" s="561">
        <f>IFERROR(__xludf.DUMMYFUNCTION("""COMPUTED_VALUE"""),50.0)</f>
        <v>50</v>
      </c>
      <c r="N245" s="561">
        <f>IFERROR(__xludf.DUMMYFUNCTION("""COMPUTED_VALUE"""),58.0)</f>
        <v>58</v>
      </c>
      <c r="O245" s="560"/>
      <c r="P245" s="562">
        <f>IFERROR(__xludf.DUMMYFUNCTION("""COMPUTED_VALUE"""),50.0)</f>
        <v>50</v>
      </c>
      <c r="Q245" s="562">
        <f>IFERROR(__xludf.DUMMYFUNCTION("""COMPUTED_VALUE"""),50.0)</f>
        <v>50</v>
      </c>
      <c r="R245" s="562">
        <f>IFERROR(__xludf.DUMMYFUNCTION("""COMPUTED_VALUE"""),50.0)</f>
        <v>50</v>
      </c>
      <c r="S245" s="562"/>
      <c r="T245" s="217">
        <f>IFERROR(__xludf.DUMMYFUNCTION("""COMPUTED_VALUE"""),22.0)</f>
        <v>22</v>
      </c>
      <c r="U245" s="217">
        <f>IFERROR(__xludf.DUMMYFUNCTION("""COMPUTED_VALUE"""),24.0)</f>
        <v>24</v>
      </c>
      <c r="V245" s="217">
        <f>IFERROR(__xludf.DUMMYFUNCTION("""COMPUTED_VALUE"""),46.0)</f>
        <v>46</v>
      </c>
      <c r="W245" s="217">
        <f>IFERROR(__xludf.DUMMYFUNCTION("""COMPUTED_VALUE"""),50.0)</f>
        <v>50</v>
      </c>
      <c r="X245" s="217">
        <f>IFERROR(__xludf.DUMMYFUNCTION("""COMPUTED_VALUE"""),84.0)</f>
        <v>84</v>
      </c>
      <c r="Y245" s="217"/>
      <c r="Z245" s="217"/>
      <c r="AA245" s="481">
        <f>IFERROR(__xludf.DUMMYFUNCTION("""COMPUTED_VALUE"""),100.0)</f>
        <v>100</v>
      </c>
      <c r="AB245" s="481">
        <f>IFERROR(__xludf.DUMMYFUNCTION("""COMPUTED_VALUE"""),99.0)</f>
        <v>99</v>
      </c>
      <c r="AC245" s="481">
        <f>IFERROR(__xludf.DUMMYFUNCTION("""COMPUTED_VALUE"""),77.0)</f>
        <v>77</v>
      </c>
      <c r="AD245" s="481">
        <f>IFERROR(__xludf.DUMMYFUNCTION("""COMPUTED_VALUE"""),69.0)</f>
        <v>69</v>
      </c>
      <c r="AE245" s="481">
        <f>IFERROR(__xludf.DUMMYFUNCTION("""COMPUTED_VALUE"""),70.0)</f>
        <v>70</v>
      </c>
      <c r="AF245" s="481"/>
      <c r="AG245" s="481">
        <f>IFERROR(__xludf.DUMMYFUNCTION("""COMPUTED_VALUE"""),45.0)</f>
        <v>45</v>
      </c>
      <c r="AH245" s="481"/>
      <c r="AI245" s="158"/>
      <c r="AJ245" s="158"/>
      <c r="AK245" s="133">
        <f>IFERROR(__xludf.DUMMYFUNCTION("""COMPUTED_VALUE"""),4.0)</f>
        <v>4</v>
      </c>
      <c r="AL245" s="133">
        <f>IFERROR(__xludf.DUMMYFUNCTION("""COMPUTED_VALUE"""),3.0)</f>
        <v>3</v>
      </c>
      <c r="AM245" s="133">
        <f>IFERROR(__xludf.DUMMYFUNCTION("""COMPUTED_VALUE"""),3.0)</f>
        <v>3</v>
      </c>
      <c r="AN245" s="133" t="str">
        <f>IFERROR(__xludf.DUMMYFUNCTION("""COMPUTED_VALUE"""),"3.5")</f>
        <v>3.5</v>
      </c>
      <c r="AO245" s="133">
        <f>IFERROR(__xludf.DUMMYFUNCTION("""COMPUTED_VALUE"""),3.0)</f>
        <v>3</v>
      </c>
      <c r="AP245" s="155" t="s">
        <v>2461</v>
      </c>
    </row>
    <row r="246">
      <c r="A246" s="261">
        <f>IFERROR(__xludf.DUMMYFUNCTION("""COMPUTED_VALUE"""),8.0)</f>
        <v>8</v>
      </c>
      <c r="B246" s="261" t="str">
        <f>IFERROR(__xludf.DUMMYFUNCTION("""COMPUTED_VALUE"""),"akpa23ise@cmrit.ac.in")</f>
        <v>akpa23ise@cmrit.ac.in</v>
      </c>
      <c r="C246" s="172" t="str">
        <f>IFERROR(__xludf.DUMMYFUNCTION("""COMPUTED_VALUE"""),"AKANKSHA PANDIT")</f>
        <v>AKANKSHA PANDIT</v>
      </c>
      <c r="D246" s="155" t="str">
        <f>IFERROR(__xludf.DUMMYFUNCTION("""COMPUTED_VALUE"""),"1CR23IS008")</f>
        <v>1CR23IS008</v>
      </c>
      <c r="E246" s="563">
        <f>IFERROR(__xludf.DUMMYFUNCTION("""COMPUTED_VALUE"""),9.148868051E9)</f>
        <v>9148868051</v>
      </c>
      <c r="F246" s="155" t="str">
        <f>IFERROR(__xludf.DUMMYFUNCTION("""COMPUTED_VALUE"""),"ISE")</f>
        <v>ISE</v>
      </c>
      <c r="G246" s="158"/>
      <c r="H246" s="559">
        <f>IFERROR(__xludf.DUMMYFUNCTION("""COMPUTED_VALUE"""),79.0)</f>
        <v>79</v>
      </c>
      <c r="I246" s="559">
        <f>IFERROR(__xludf.DUMMYFUNCTION("""COMPUTED_VALUE"""),88.0)</f>
        <v>88</v>
      </c>
      <c r="J246" s="559">
        <f>IFERROR(__xludf.DUMMYFUNCTION("""COMPUTED_VALUE"""),70.0)</f>
        <v>70</v>
      </c>
      <c r="K246" s="559">
        <f>IFERROR(__xludf.DUMMYFUNCTION("""COMPUTED_VALUE"""),70.0)</f>
        <v>70</v>
      </c>
      <c r="L246" s="560">
        <f>IFERROR(__xludf.DUMMYFUNCTION("""COMPUTED_VALUE"""),50.0)</f>
        <v>50</v>
      </c>
      <c r="M246" s="561">
        <f>IFERROR(__xludf.DUMMYFUNCTION("""COMPUTED_VALUE"""),50.0)</f>
        <v>50</v>
      </c>
      <c r="N246" s="561">
        <f>IFERROR(__xludf.DUMMYFUNCTION("""COMPUTED_VALUE"""),52.0)</f>
        <v>52</v>
      </c>
      <c r="O246" s="560"/>
      <c r="P246" s="562">
        <f>IFERROR(__xludf.DUMMYFUNCTION("""COMPUTED_VALUE"""),80.0)</f>
        <v>80</v>
      </c>
      <c r="Q246" s="562">
        <f>IFERROR(__xludf.DUMMYFUNCTION("""COMPUTED_VALUE"""),50.0)</f>
        <v>50</v>
      </c>
      <c r="R246" s="562">
        <f>IFERROR(__xludf.DUMMYFUNCTION("""COMPUTED_VALUE"""),87.0)</f>
        <v>87</v>
      </c>
      <c r="S246" s="562"/>
      <c r="T246" s="217">
        <f>IFERROR(__xludf.DUMMYFUNCTION("""COMPUTED_VALUE"""),12.0)</f>
        <v>12</v>
      </c>
      <c r="U246" s="217">
        <f>IFERROR(__xludf.DUMMYFUNCTION("""COMPUTED_VALUE"""),11.0)</f>
        <v>11</v>
      </c>
      <c r="V246" s="217"/>
      <c r="W246" s="217">
        <f>IFERROR(__xludf.DUMMYFUNCTION("""COMPUTED_VALUE"""),68.0)</f>
        <v>68</v>
      </c>
      <c r="X246" s="217">
        <f>IFERROR(__xludf.DUMMYFUNCTION("""COMPUTED_VALUE"""),68.0)</f>
        <v>68</v>
      </c>
      <c r="Y246" s="217"/>
      <c r="Z246" s="217"/>
      <c r="AA246" s="481">
        <f>IFERROR(__xludf.DUMMYFUNCTION("""COMPUTED_VALUE"""),100.0)</f>
        <v>100</v>
      </c>
      <c r="AB246" s="481">
        <f>IFERROR(__xludf.DUMMYFUNCTION("""COMPUTED_VALUE"""),100.0)</f>
        <v>100</v>
      </c>
      <c r="AC246" s="481">
        <f>IFERROR(__xludf.DUMMYFUNCTION("""COMPUTED_VALUE"""),77.0)</f>
        <v>77</v>
      </c>
      <c r="AD246" s="481">
        <f>IFERROR(__xludf.DUMMYFUNCTION("""COMPUTED_VALUE"""),64.0)</f>
        <v>64</v>
      </c>
      <c r="AE246" s="481">
        <f>IFERROR(__xludf.DUMMYFUNCTION("""COMPUTED_VALUE"""),70.0)</f>
        <v>70</v>
      </c>
      <c r="AF246" s="481"/>
      <c r="AG246" s="481">
        <f>IFERROR(__xludf.DUMMYFUNCTION("""COMPUTED_VALUE"""),47.0)</f>
        <v>47</v>
      </c>
      <c r="AH246" s="481"/>
      <c r="AI246" s="158"/>
      <c r="AJ246" s="158"/>
      <c r="AK246" s="133">
        <f>IFERROR(__xludf.DUMMYFUNCTION("""COMPUTED_VALUE"""),4.0)</f>
        <v>4</v>
      </c>
      <c r="AL246" s="133">
        <f>IFERROR(__xludf.DUMMYFUNCTION("""COMPUTED_VALUE"""),3.0)</f>
        <v>3</v>
      </c>
      <c r="AM246" s="133">
        <f>IFERROR(__xludf.DUMMYFUNCTION("""COMPUTED_VALUE"""),3.0)</f>
        <v>3</v>
      </c>
      <c r="AN246" s="133" t="str">
        <f>IFERROR(__xludf.DUMMYFUNCTION("""COMPUTED_VALUE"""),"3.5")</f>
        <v>3.5</v>
      </c>
      <c r="AO246" s="133">
        <f>IFERROR(__xludf.DUMMYFUNCTION("""COMPUTED_VALUE"""),3.0)</f>
        <v>3</v>
      </c>
      <c r="AP246" s="155" t="s">
        <v>2461</v>
      </c>
    </row>
    <row r="247">
      <c r="A247" s="261">
        <f>IFERROR(__xludf.DUMMYFUNCTION("""COMPUTED_VALUE"""),9.0)</f>
        <v>9</v>
      </c>
      <c r="B247" s="261" t="str">
        <f>IFERROR(__xludf.DUMMYFUNCTION("""COMPUTED_VALUE"""),"akku23ise@cmrit.ac.in")</f>
        <v>akku23ise@cmrit.ac.in</v>
      </c>
      <c r="C247" s="172" t="str">
        <f>IFERROR(__xludf.DUMMYFUNCTION("""COMPUTED_VALUE"""),"AKANSHA KUMARI")</f>
        <v>AKANSHA KUMARI</v>
      </c>
      <c r="D247" s="155" t="str">
        <f>IFERROR(__xludf.DUMMYFUNCTION("""COMPUTED_VALUE"""),"1CR23IS009")</f>
        <v>1CR23IS009</v>
      </c>
      <c r="E247" s="563">
        <f>IFERROR(__xludf.DUMMYFUNCTION("""COMPUTED_VALUE"""),7.488695488E9)</f>
        <v>7488695488</v>
      </c>
      <c r="F247" s="155" t="str">
        <f>IFERROR(__xludf.DUMMYFUNCTION("""COMPUTED_VALUE"""),"ISE")</f>
        <v>ISE</v>
      </c>
      <c r="G247" s="158"/>
      <c r="H247" s="559">
        <f>IFERROR(__xludf.DUMMYFUNCTION("""COMPUTED_VALUE"""),83.0)</f>
        <v>83</v>
      </c>
      <c r="I247" s="559">
        <f>IFERROR(__xludf.DUMMYFUNCTION("""COMPUTED_VALUE"""),84.0)</f>
        <v>84</v>
      </c>
      <c r="J247" s="559">
        <f>IFERROR(__xludf.DUMMYFUNCTION("""COMPUTED_VALUE"""),70.0)</f>
        <v>70</v>
      </c>
      <c r="K247" s="559">
        <f>IFERROR(__xludf.DUMMYFUNCTION("""COMPUTED_VALUE"""),70.0)</f>
        <v>70</v>
      </c>
      <c r="L247" s="560">
        <f>IFERROR(__xludf.DUMMYFUNCTION("""COMPUTED_VALUE"""),50.0)</f>
        <v>50</v>
      </c>
      <c r="M247" s="561">
        <f>IFERROR(__xludf.DUMMYFUNCTION("""COMPUTED_VALUE"""),24.0)</f>
        <v>24</v>
      </c>
      <c r="N247" s="561">
        <f>IFERROR(__xludf.DUMMYFUNCTION("""COMPUTED_VALUE"""),50.0)</f>
        <v>50</v>
      </c>
      <c r="O247" s="560"/>
      <c r="P247" s="562">
        <f>IFERROR(__xludf.DUMMYFUNCTION("""COMPUTED_VALUE"""),81.0)</f>
        <v>81</v>
      </c>
      <c r="Q247" s="562">
        <f>IFERROR(__xludf.DUMMYFUNCTION("""COMPUTED_VALUE"""),50.0)</f>
        <v>50</v>
      </c>
      <c r="R247" s="562">
        <f>IFERROR(__xludf.DUMMYFUNCTION("""COMPUTED_VALUE"""),83.0)</f>
        <v>83</v>
      </c>
      <c r="S247" s="562"/>
      <c r="T247" s="217">
        <f>IFERROR(__xludf.DUMMYFUNCTION("""COMPUTED_VALUE"""),13.0)</f>
        <v>13</v>
      </c>
      <c r="U247" s="217">
        <f>IFERROR(__xludf.DUMMYFUNCTION("""COMPUTED_VALUE"""),13.0)</f>
        <v>13</v>
      </c>
      <c r="V247" s="217"/>
      <c r="W247" s="217">
        <f>IFERROR(__xludf.DUMMYFUNCTION("""COMPUTED_VALUE"""),60.0)</f>
        <v>60</v>
      </c>
      <c r="X247" s="217">
        <f>IFERROR(__xludf.DUMMYFUNCTION("""COMPUTED_VALUE"""),84.0)</f>
        <v>84</v>
      </c>
      <c r="Y247" s="217"/>
      <c r="Z247" s="217"/>
      <c r="AA247" s="481">
        <f>IFERROR(__xludf.DUMMYFUNCTION("""COMPUTED_VALUE"""),100.0)</f>
        <v>100</v>
      </c>
      <c r="AB247" s="481">
        <f>IFERROR(__xludf.DUMMYFUNCTION("""COMPUTED_VALUE"""),100.0)</f>
        <v>100</v>
      </c>
      <c r="AC247" s="481">
        <f>IFERROR(__xludf.DUMMYFUNCTION("""COMPUTED_VALUE"""),77.0)</f>
        <v>77</v>
      </c>
      <c r="AD247" s="481">
        <f>IFERROR(__xludf.DUMMYFUNCTION("""COMPUTED_VALUE"""),64.0)</f>
        <v>64</v>
      </c>
      <c r="AE247" s="481">
        <f>IFERROR(__xludf.DUMMYFUNCTION("""COMPUTED_VALUE"""),78.0)</f>
        <v>78</v>
      </c>
      <c r="AF247" s="481"/>
      <c r="AG247" s="481">
        <f>IFERROR(__xludf.DUMMYFUNCTION("""COMPUTED_VALUE"""),29.0)</f>
        <v>29</v>
      </c>
      <c r="AH247" s="481"/>
      <c r="AI247" s="158"/>
      <c r="AJ247" s="158"/>
      <c r="AK247" s="133">
        <f>IFERROR(__xludf.DUMMYFUNCTION("""COMPUTED_VALUE"""),4.0)</f>
        <v>4</v>
      </c>
      <c r="AL247" s="133">
        <f>IFERROR(__xludf.DUMMYFUNCTION("""COMPUTED_VALUE"""),1.0)</f>
        <v>1</v>
      </c>
      <c r="AM247" s="133">
        <f>IFERROR(__xludf.DUMMYFUNCTION("""COMPUTED_VALUE"""),3.0)</f>
        <v>3</v>
      </c>
      <c r="AN247" s="133" t="str">
        <f>IFERROR(__xludf.DUMMYFUNCTION("""COMPUTED_VALUE"""),"3.5")</f>
        <v>3.5</v>
      </c>
      <c r="AO247" s="133">
        <f>IFERROR(__xludf.DUMMYFUNCTION("""COMPUTED_VALUE"""),3.0)</f>
        <v>3</v>
      </c>
      <c r="AP247" s="155" t="s">
        <v>3706</v>
      </c>
    </row>
    <row r="248">
      <c r="A248" s="261">
        <f>IFERROR(__xludf.DUMMYFUNCTION("""COMPUTED_VALUE"""),10.0)</f>
        <v>10</v>
      </c>
      <c r="B248" s="261" t="str">
        <f>IFERROR(__xludf.DUMMYFUNCTION("""COMPUTED_VALUE"""),"aks23ise@cmrit.ac.in")</f>
        <v>aks23ise@cmrit.ac.in</v>
      </c>
      <c r="C248" s="172" t="str">
        <f>IFERROR(__xludf.DUMMYFUNCTION("""COMPUTED_VALUE"""),"AKSHATA SHASTRI S")</f>
        <v>AKSHATA SHASTRI S</v>
      </c>
      <c r="D248" s="155" t="str">
        <f>IFERROR(__xludf.DUMMYFUNCTION("""COMPUTED_VALUE"""),"1CR23IS010")</f>
        <v>1CR23IS010</v>
      </c>
      <c r="E248" s="563">
        <f>IFERROR(__xludf.DUMMYFUNCTION("""COMPUTED_VALUE"""),9.113857044E9)</f>
        <v>9113857044</v>
      </c>
      <c r="F248" s="155" t="str">
        <f>IFERROR(__xludf.DUMMYFUNCTION("""COMPUTED_VALUE"""),"ISE")</f>
        <v>ISE</v>
      </c>
      <c r="G248" s="158"/>
      <c r="H248" s="559">
        <f>IFERROR(__xludf.DUMMYFUNCTION("""COMPUTED_VALUE"""),72.0)</f>
        <v>72</v>
      </c>
      <c r="I248" s="559">
        <f>IFERROR(__xludf.DUMMYFUNCTION("""COMPUTED_VALUE"""),92.0)</f>
        <v>92</v>
      </c>
      <c r="J248" s="559">
        <f>IFERROR(__xludf.DUMMYFUNCTION("""COMPUTED_VALUE"""),70.0)</f>
        <v>70</v>
      </c>
      <c r="K248" s="559">
        <f>IFERROR(__xludf.DUMMYFUNCTION("""COMPUTED_VALUE"""),73.0)</f>
        <v>73</v>
      </c>
      <c r="L248" s="560">
        <f>IFERROR(__xludf.DUMMYFUNCTION("""COMPUTED_VALUE"""),50.0)</f>
        <v>50</v>
      </c>
      <c r="M248" s="561">
        <f>IFERROR(__xludf.DUMMYFUNCTION("""COMPUTED_VALUE"""),22.0)</f>
        <v>22</v>
      </c>
      <c r="N248" s="561">
        <f>IFERROR(__xludf.DUMMYFUNCTION("""COMPUTED_VALUE"""),55.0)</f>
        <v>55</v>
      </c>
      <c r="O248" s="560"/>
      <c r="P248" s="562">
        <f>IFERROR(__xludf.DUMMYFUNCTION("""COMPUTED_VALUE"""),91.0)</f>
        <v>91</v>
      </c>
      <c r="Q248" s="562">
        <f>IFERROR(__xludf.DUMMYFUNCTION("""COMPUTED_VALUE"""),55.0)</f>
        <v>55</v>
      </c>
      <c r="R248" s="562">
        <f>IFERROR(__xludf.DUMMYFUNCTION("""COMPUTED_VALUE"""),50.0)</f>
        <v>50</v>
      </c>
      <c r="S248" s="562"/>
      <c r="T248" s="217">
        <f>IFERROR(__xludf.DUMMYFUNCTION("""COMPUTED_VALUE"""),11.0)</f>
        <v>11</v>
      </c>
      <c r="U248" s="217">
        <f>IFERROR(__xludf.DUMMYFUNCTION("""COMPUTED_VALUE"""),24.0)</f>
        <v>24</v>
      </c>
      <c r="V248" s="217">
        <f>IFERROR(__xludf.DUMMYFUNCTION("""COMPUTED_VALUE"""),42.0)</f>
        <v>42</v>
      </c>
      <c r="W248" s="217">
        <f>IFERROR(__xludf.DUMMYFUNCTION("""COMPUTED_VALUE"""),56.0)</f>
        <v>56</v>
      </c>
      <c r="X248" s="217">
        <f>IFERROR(__xludf.DUMMYFUNCTION("""COMPUTED_VALUE"""),64.0)</f>
        <v>64</v>
      </c>
      <c r="Y248" s="217"/>
      <c r="Z248" s="217"/>
      <c r="AA248" s="481">
        <f>IFERROR(__xludf.DUMMYFUNCTION("""COMPUTED_VALUE"""),84.0)</f>
        <v>84</v>
      </c>
      <c r="AB248" s="481">
        <f>IFERROR(__xludf.DUMMYFUNCTION("""COMPUTED_VALUE"""),100.0)</f>
        <v>100</v>
      </c>
      <c r="AC248" s="481">
        <f>IFERROR(__xludf.DUMMYFUNCTION("""COMPUTED_VALUE"""),66.0)</f>
        <v>66</v>
      </c>
      <c r="AD248" s="481">
        <f>IFERROR(__xludf.DUMMYFUNCTION("""COMPUTED_VALUE"""),83.0)</f>
        <v>83</v>
      </c>
      <c r="AE248" s="481">
        <f>IFERROR(__xludf.DUMMYFUNCTION("""COMPUTED_VALUE"""),70.0)</f>
        <v>70</v>
      </c>
      <c r="AF248" s="481"/>
      <c r="AG248" s="481">
        <f>IFERROR(__xludf.DUMMYFUNCTION("""COMPUTED_VALUE"""),45.0)</f>
        <v>45</v>
      </c>
      <c r="AH248" s="481"/>
      <c r="AI248" s="158"/>
      <c r="AJ248" s="158"/>
      <c r="AK248" s="133">
        <f>IFERROR(__xludf.DUMMYFUNCTION("""COMPUTED_VALUE"""),4.0)</f>
        <v>4</v>
      </c>
      <c r="AL248" s="133">
        <f>IFERROR(__xludf.DUMMYFUNCTION("""COMPUTED_VALUE"""),1.0)</f>
        <v>1</v>
      </c>
      <c r="AM248" s="133">
        <f>IFERROR(__xludf.DUMMYFUNCTION("""COMPUTED_VALUE"""),3.0)</f>
        <v>3</v>
      </c>
      <c r="AN248" s="133" t="str">
        <f>IFERROR(__xludf.DUMMYFUNCTION("""COMPUTED_VALUE"""),"3.5")</f>
        <v>3.5</v>
      </c>
      <c r="AO248" s="133">
        <f>IFERROR(__xludf.DUMMYFUNCTION("""COMPUTED_VALUE"""),3.0)</f>
        <v>3</v>
      </c>
      <c r="AP248" s="155" t="s">
        <v>3706</v>
      </c>
    </row>
    <row r="249">
      <c r="A249" s="261">
        <f>IFERROR(__xludf.DUMMYFUNCTION("""COMPUTED_VALUE"""),11.0)</f>
        <v>11</v>
      </c>
      <c r="B249" s="261" t="str">
        <f>IFERROR(__xludf.DUMMYFUNCTION("""COMPUTED_VALUE"""),"alpa23ise@cmrit.ac.in")</f>
        <v>alpa23ise@cmrit.ac.in</v>
      </c>
      <c r="C249" s="172" t="str">
        <f>IFERROR(__xludf.DUMMYFUNCTION("""COMPUTED_VALUE"""),"Alina Paul")</f>
        <v>Alina Paul</v>
      </c>
      <c r="D249" s="155" t="str">
        <f>IFERROR(__xludf.DUMMYFUNCTION("""COMPUTED_VALUE"""),"1CR23IS011")</f>
        <v>1CR23IS011</v>
      </c>
      <c r="E249" s="563">
        <f>IFERROR(__xludf.DUMMYFUNCTION("""COMPUTED_VALUE"""),7.975790986E9)</f>
        <v>7975790986</v>
      </c>
      <c r="F249" s="155" t="str">
        <f>IFERROR(__xludf.DUMMYFUNCTION("""COMPUTED_VALUE"""),"ISE")</f>
        <v>ISE</v>
      </c>
      <c r="G249" s="158"/>
      <c r="H249" s="559">
        <f>IFERROR(__xludf.DUMMYFUNCTION("""COMPUTED_VALUE"""),87.0)</f>
        <v>87</v>
      </c>
      <c r="I249" s="559">
        <f>IFERROR(__xludf.DUMMYFUNCTION("""COMPUTED_VALUE"""),91.0)</f>
        <v>91</v>
      </c>
      <c r="J249" s="559">
        <f>IFERROR(__xludf.DUMMYFUNCTION("""COMPUTED_VALUE"""),70.0)</f>
        <v>70</v>
      </c>
      <c r="K249" s="559">
        <f>IFERROR(__xludf.DUMMYFUNCTION("""COMPUTED_VALUE"""),73.0)</f>
        <v>73</v>
      </c>
      <c r="L249" s="560">
        <f>IFERROR(__xludf.DUMMYFUNCTION("""COMPUTED_VALUE"""),50.0)</f>
        <v>50</v>
      </c>
      <c r="M249" s="561">
        <f>IFERROR(__xludf.DUMMYFUNCTION("""COMPUTED_VALUE"""),44.0)</f>
        <v>44</v>
      </c>
      <c r="N249" s="561">
        <f>IFERROR(__xludf.DUMMYFUNCTION("""COMPUTED_VALUE"""),50.0)</f>
        <v>50</v>
      </c>
      <c r="O249" s="560"/>
      <c r="P249" s="562">
        <f>IFERROR(__xludf.DUMMYFUNCTION("""COMPUTED_VALUE"""),79.0)</f>
        <v>79</v>
      </c>
      <c r="Q249" s="562">
        <f>IFERROR(__xludf.DUMMYFUNCTION("""COMPUTED_VALUE"""),81.0)</f>
        <v>81</v>
      </c>
      <c r="R249" s="562">
        <f>IFERROR(__xludf.DUMMYFUNCTION("""COMPUTED_VALUE"""),50.0)</f>
        <v>50</v>
      </c>
      <c r="S249" s="562"/>
      <c r="T249" s="217">
        <f>IFERROR(__xludf.DUMMYFUNCTION("""COMPUTED_VALUE"""),20.0)</f>
        <v>20</v>
      </c>
      <c r="U249" s="217">
        <f>IFERROR(__xludf.DUMMYFUNCTION("""COMPUTED_VALUE"""),23.0)</f>
        <v>23</v>
      </c>
      <c r="V249" s="217">
        <f>IFERROR(__xludf.DUMMYFUNCTION("""COMPUTED_VALUE"""),34.0)</f>
        <v>34</v>
      </c>
      <c r="W249" s="217">
        <f>IFERROR(__xludf.DUMMYFUNCTION("""COMPUTED_VALUE"""),68.0)</f>
        <v>68</v>
      </c>
      <c r="X249" s="217">
        <f>IFERROR(__xludf.DUMMYFUNCTION("""COMPUTED_VALUE"""),60.0)</f>
        <v>60</v>
      </c>
      <c r="Y249" s="217"/>
      <c r="Z249" s="217"/>
      <c r="AA249" s="481">
        <f>IFERROR(__xludf.DUMMYFUNCTION("""COMPUTED_VALUE"""),88.0)</f>
        <v>88</v>
      </c>
      <c r="AB249" s="481">
        <f>IFERROR(__xludf.DUMMYFUNCTION("""COMPUTED_VALUE"""),97.0)</f>
        <v>97</v>
      </c>
      <c r="AC249" s="481">
        <f>IFERROR(__xludf.DUMMYFUNCTION("""COMPUTED_VALUE"""),69.0)</f>
        <v>69</v>
      </c>
      <c r="AD249" s="481">
        <f>IFERROR(__xludf.DUMMYFUNCTION("""COMPUTED_VALUE"""),85.0)</f>
        <v>85</v>
      </c>
      <c r="AE249" s="481">
        <f>IFERROR(__xludf.DUMMYFUNCTION("""COMPUTED_VALUE"""),75.0)</f>
        <v>75</v>
      </c>
      <c r="AF249" s="481"/>
      <c r="AG249" s="481">
        <f>IFERROR(__xludf.DUMMYFUNCTION("""COMPUTED_VALUE"""),78.0)</f>
        <v>78</v>
      </c>
      <c r="AH249" s="481"/>
      <c r="AI249" s="158"/>
      <c r="AJ249" s="158"/>
      <c r="AK249" s="133">
        <f>IFERROR(__xludf.DUMMYFUNCTION("""COMPUTED_VALUE"""),4.0)</f>
        <v>4</v>
      </c>
      <c r="AL249" s="133">
        <f>IFERROR(__xludf.DUMMYFUNCTION("""COMPUTED_VALUE"""),1.0)</f>
        <v>1</v>
      </c>
      <c r="AM249" s="133">
        <f>IFERROR(__xludf.DUMMYFUNCTION("""COMPUTED_VALUE"""),3.0)</f>
        <v>3</v>
      </c>
      <c r="AN249" s="133" t="str">
        <f>IFERROR(__xludf.DUMMYFUNCTION("""COMPUTED_VALUE"""),"3.5")</f>
        <v>3.5</v>
      </c>
      <c r="AO249" s="133">
        <f>IFERROR(__xludf.DUMMYFUNCTION("""COMPUTED_VALUE"""),3.0)</f>
        <v>3</v>
      </c>
      <c r="AP249" s="155" t="s">
        <v>3706</v>
      </c>
    </row>
    <row r="250">
      <c r="A250" s="261">
        <f>IFERROR(__xludf.DUMMYFUNCTION("""COMPUTED_VALUE"""),12.0)</f>
        <v>12</v>
      </c>
      <c r="B250" s="261" t="str">
        <f>IFERROR(__xludf.DUMMYFUNCTION("""COMPUTED_VALUE"""),"amsh23ise@cmrit.ac.in")</f>
        <v>amsh23ise@cmrit.ac.in</v>
      </c>
      <c r="C250" s="172" t="str">
        <f>IFERROR(__xludf.DUMMYFUNCTION("""COMPUTED_VALUE"""),"AMAN SHEKHAR")</f>
        <v>AMAN SHEKHAR</v>
      </c>
      <c r="D250" s="155" t="str">
        <f>IFERROR(__xludf.DUMMYFUNCTION("""COMPUTED_VALUE"""),"1CR23IS012")</f>
        <v>1CR23IS012</v>
      </c>
      <c r="E250" s="563">
        <f>IFERROR(__xludf.DUMMYFUNCTION("""COMPUTED_VALUE"""),9.5324104E9)</f>
        <v>9532410400</v>
      </c>
      <c r="F250" s="155" t="str">
        <f>IFERROR(__xludf.DUMMYFUNCTION("""COMPUTED_VALUE"""),"ISE")</f>
        <v>ISE</v>
      </c>
      <c r="G250" s="158"/>
      <c r="H250" s="559">
        <f>IFERROR(__xludf.DUMMYFUNCTION("""COMPUTED_VALUE"""),81.0)</f>
        <v>81</v>
      </c>
      <c r="I250" s="559">
        <f>IFERROR(__xludf.DUMMYFUNCTION("""COMPUTED_VALUE"""),79.0)</f>
        <v>79</v>
      </c>
      <c r="J250" s="559">
        <f>IFERROR(__xludf.DUMMYFUNCTION("""COMPUTED_VALUE"""),70.0)</f>
        <v>70</v>
      </c>
      <c r="K250" s="559">
        <f>IFERROR(__xludf.DUMMYFUNCTION("""COMPUTED_VALUE"""),70.0)</f>
        <v>70</v>
      </c>
      <c r="L250" s="560">
        <f>IFERROR(__xludf.DUMMYFUNCTION("""COMPUTED_VALUE"""),50.0)</f>
        <v>50</v>
      </c>
      <c r="M250" s="561">
        <f>IFERROR(__xludf.DUMMYFUNCTION("""COMPUTED_VALUE"""),57.0)</f>
        <v>57</v>
      </c>
      <c r="N250" s="561">
        <f>IFERROR(__xludf.DUMMYFUNCTION("""COMPUTED_VALUE"""),50.0)</f>
        <v>50</v>
      </c>
      <c r="O250" s="560"/>
      <c r="P250" s="562">
        <f>IFERROR(__xludf.DUMMYFUNCTION("""COMPUTED_VALUE"""),79.0)</f>
        <v>79</v>
      </c>
      <c r="Q250" s="562">
        <f>IFERROR(__xludf.DUMMYFUNCTION("""COMPUTED_VALUE"""),50.0)</f>
        <v>50</v>
      </c>
      <c r="R250" s="562">
        <f>IFERROR(__xludf.DUMMYFUNCTION("""COMPUTED_VALUE"""),50.0)</f>
        <v>50</v>
      </c>
      <c r="S250" s="562"/>
      <c r="T250" s="217">
        <f>IFERROR(__xludf.DUMMYFUNCTION("""COMPUTED_VALUE"""),17.0)</f>
        <v>17</v>
      </c>
      <c r="U250" s="217">
        <f>IFERROR(__xludf.DUMMYFUNCTION("""COMPUTED_VALUE"""),22.0)</f>
        <v>22</v>
      </c>
      <c r="V250" s="217">
        <f>IFERROR(__xludf.DUMMYFUNCTION("""COMPUTED_VALUE"""),46.0)</f>
        <v>46</v>
      </c>
      <c r="W250" s="217">
        <f>IFERROR(__xludf.DUMMYFUNCTION("""COMPUTED_VALUE"""),52.0)</f>
        <v>52</v>
      </c>
      <c r="X250" s="217">
        <f>IFERROR(__xludf.DUMMYFUNCTION("""COMPUTED_VALUE"""),72.0)</f>
        <v>72</v>
      </c>
      <c r="Y250" s="217"/>
      <c r="Z250" s="217"/>
      <c r="AA250" s="481">
        <f>IFERROR(__xludf.DUMMYFUNCTION("""COMPUTED_VALUE"""),100.0)</f>
        <v>100</v>
      </c>
      <c r="AB250" s="481">
        <f>IFERROR(__xludf.DUMMYFUNCTION("""COMPUTED_VALUE"""),100.0)</f>
        <v>100</v>
      </c>
      <c r="AC250" s="481">
        <f>IFERROR(__xludf.DUMMYFUNCTION("""COMPUTED_VALUE"""),69.0)</f>
        <v>69</v>
      </c>
      <c r="AD250" s="481">
        <f>IFERROR(__xludf.DUMMYFUNCTION("""COMPUTED_VALUE"""),79.0)</f>
        <v>79</v>
      </c>
      <c r="AE250" s="481">
        <f>IFERROR(__xludf.DUMMYFUNCTION("""COMPUTED_VALUE"""),70.0)</f>
        <v>70</v>
      </c>
      <c r="AF250" s="481"/>
      <c r="AG250" s="481">
        <f>IFERROR(__xludf.DUMMYFUNCTION("""COMPUTED_VALUE"""),44.0)</f>
        <v>44</v>
      </c>
      <c r="AH250" s="481"/>
      <c r="AI250" s="158"/>
      <c r="AJ250" s="158"/>
      <c r="AK250" s="133">
        <f>IFERROR(__xludf.DUMMYFUNCTION("""COMPUTED_VALUE"""),4.0)</f>
        <v>4</v>
      </c>
      <c r="AL250" s="133">
        <f>IFERROR(__xludf.DUMMYFUNCTION("""COMPUTED_VALUE"""),3.0)</f>
        <v>3</v>
      </c>
      <c r="AM250" s="133">
        <f>IFERROR(__xludf.DUMMYFUNCTION("""COMPUTED_VALUE"""),3.0)</f>
        <v>3</v>
      </c>
      <c r="AN250" s="133" t="str">
        <f>IFERROR(__xludf.DUMMYFUNCTION("""COMPUTED_VALUE"""),"3.5")</f>
        <v>3.5</v>
      </c>
      <c r="AO250" s="133">
        <f>IFERROR(__xludf.DUMMYFUNCTION("""COMPUTED_VALUE"""),3.0)</f>
        <v>3</v>
      </c>
      <c r="AP250" s="155" t="s">
        <v>3706</v>
      </c>
    </row>
    <row r="251">
      <c r="A251" s="261">
        <f>IFERROR(__xludf.DUMMYFUNCTION("""COMPUTED_VALUE"""),13.0)</f>
        <v>13</v>
      </c>
      <c r="B251" s="261" t="str">
        <f>IFERROR(__xludf.DUMMYFUNCTION("""COMPUTED_VALUE"""),"amkr23ise@cmrit.ac.in")</f>
        <v>amkr23ise@cmrit.ac.in</v>
      </c>
      <c r="C251" s="172" t="str">
        <f>IFERROR(__xludf.DUMMYFUNCTION("""COMPUTED_VALUE"""),"AMI KRISHNA")</f>
        <v>AMI KRISHNA</v>
      </c>
      <c r="D251" s="155" t="str">
        <f>IFERROR(__xludf.DUMMYFUNCTION("""COMPUTED_VALUE"""),"1CR23IS013")</f>
        <v>1CR23IS013</v>
      </c>
      <c r="E251" s="563">
        <f>IFERROR(__xludf.DUMMYFUNCTION("""COMPUTED_VALUE"""),9.122791845E9)</f>
        <v>9122791845</v>
      </c>
      <c r="F251" s="155" t="str">
        <f>IFERROR(__xludf.DUMMYFUNCTION("""COMPUTED_VALUE"""),"ISE")</f>
        <v>ISE</v>
      </c>
      <c r="G251" s="158"/>
      <c r="H251" s="559">
        <f>IFERROR(__xludf.DUMMYFUNCTION("""COMPUTED_VALUE"""),83.0)</f>
        <v>83</v>
      </c>
      <c r="I251" s="559">
        <f>IFERROR(__xludf.DUMMYFUNCTION("""COMPUTED_VALUE"""),75.0)</f>
        <v>75</v>
      </c>
      <c r="J251" s="559">
        <f>IFERROR(__xludf.DUMMYFUNCTION("""COMPUTED_VALUE"""),70.0)</f>
        <v>70</v>
      </c>
      <c r="K251" s="559">
        <f>IFERROR(__xludf.DUMMYFUNCTION("""COMPUTED_VALUE"""),75.0)</f>
        <v>75</v>
      </c>
      <c r="L251" s="560">
        <f>IFERROR(__xludf.DUMMYFUNCTION("""COMPUTED_VALUE"""),50.0)</f>
        <v>50</v>
      </c>
      <c r="M251" s="561">
        <f>IFERROR(__xludf.DUMMYFUNCTION("""COMPUTED_VALUE"""),20.0)</f>
        <v>20</v>
      </c>
      <c r="N251" s="561">
        <f>IFERROR(__xludf.DUMMYFUNCTION("""COMPUTED_VALUE"""),32.0)</f>
        <v>32</v>
      </c>
      <c r="O251" s="560"/>
      <c r="P251" s="562">
        <f>IFERROR(__xludf.DUMMYFUNCTION("""COMPUTED_VALUE"""),77.0)</f>
        <v>77</v>
      </c>
      <c r="Q251" s="562">
        <f>IFERROR(__xludf.DUMMYFUNCTION("""COMPUTED_VALUE"""),70.0)</f>
        <v>70</v>
      </c>
      <c r="R251" s="562">
        <f>IFERROR(__xludf.DUMMYFUNCTION("""COMPUTED_VALUE"""),76.0)</f>
        <v>76</v>
      </c>
      <c r="S251" s="562"/>
      <c r="T251" s="217">
        <f>IFERROR(__xludf.DUMMYFUNCTION("""COMPUTED_VALUE"""),11.0)</f>
        <v>11</v>
      </c>
      <c r="U251" s="217"/>
      <c r="V251" s="217">
        <f>IFERROR(__xludf.DUMMYFUNCTION("""COMPUTED_VALUE"""),44.0)</f>
        <v>44</v>
      </c>
      <c r="W251" s="217">
        <f>IFERROR(__xludf.DUMMYFUNCTION("""COMPUTED_VALUE"""),36.0)</f>
        <v>36</v>
      </c>
      <c r="X251" s="217">
        <f>IFERROR(__xludf.DUMMYFUNCTION("""COMPUTED_VALUE"""),28.0)</f>
        <v>28</v>
      </c>
      <c r="Y251" s="217"/>
      <c r="Z251" s="217"/>
      <c r="AA251" s="481">
        <f>IFERROR(__xludf.DUMMYFUNCTION("""COMPUTED_VALUE"""),64.0)</f>
        <v>64</v>
      </c>
      <c r="AB251" s="481">
        <f>IFERROR(__xludf.DUMMYFUNCTION("""COMPUTED_VALUE"""),72.0)</f>
        <v>72</v>
      </c>
      <c r="AC251" s="481">
        <f>IFERROR(__xludf.DUMMYFUNCTION("""COMPUTED_VALUE"""),25.0)</f>
        <v>25</v>
      </c>
      <c r="AD251" s="481">
        <f>IFERROR(__xludf.DUMMYFUNCTION("""COMPUTED_VALUE"""),75.0)</f>
        <v>75</v>
      </c>
      <c r="AE251" s="481">
        <f>IFERROR(__xludf.DUMMYFUNCTION("""COMPUTED_VALUE"""),17.0)</f>
        <v>17</v>
      </c>
      <c r="AF251" s="481"/>
      <c r="AG251" s="481">
        <f>IFERROR(__xludf.DUMMYFUNCTION("""COMPUTED_VALUE"""),64.0)</f>
        <v>64</v>
      </c>
      <c r="AH251" s="481"/>
      <c r="AI251" s="158"/>
      <c r="AJ251" s="158"/>
      <c r="AK251" s="133">
        <f>IFERROR(__xludf.DUMMYFUNCTION("""COMPUTED_VALUE"""),4.0)</f>
        <v>4</v>
      </c>
      <c r="AL251" s="133">
        <f>IFERROR(__xludf.DUMMYFUNCTION("""COMPUTED_VALUE"""),1.0)</f>
        <v>1</v>
      </c>
      <c r="AM251" s="133">
        <f>IFERROR(__xludf.DUMMYFUNCTION("""COMPUTED_VALUE"""),2.0)</f>
        <v>2</v>
      </c>
      <c r="AN251" s="133" t="str">
        <f>IFERROR(__xludf.DUMMYFUNCTION("""COMPUTED_VALUE"""),"3")</f>
        <v>3</v>
      </c>
      <c r="AO251" s="133">
        <f>IFERROR(__xludf.DUMMYFUNCTION("""COMPUTED_VALUE"""),3.0)</f>
        <v>3</v>
      </c>
      <c r="AP251" s="155" t="s">
        <v>3706</v>
      </c>
    </row>
    <row r="252">
      <c r="A252" s="261">
        <f>IFERROR(__xludf.DUMMYFUNCTION("""COMPUTED_VALUE"""),14.0)</f>
        <v>14</v>
      </c>
      <c r="B252" s="261" t="str">
        <f>IFERROR(__xludf.DUMMYFUNCTION("""COMPUTED_VALUE"""),"anra23ise@cmrit.ac.in")</f>
        <v>anra23ise@cmrit.ac.in</v>
      </c>
      <c r="C252" s="172" t="str">
        <f>IFERROR(__xludf.DUMMYFUNCTION("""COMPUTED_VALUE"""),"ANANYA RANE")</f>
        <v>ANANYA RANE</v>
      </c>
      <c r="D252" s="155" t="str">
        <f>IFERROR(__xludf.DUMMYFUNCTION("""COMPUTED_VALUE"""),"1CR23IS014")</f>
        <v>1CR23IS014</v>
      </c>
      <c r="E252" s="563">
        <f>IFERROR(__xludf.DUMMYFUNCTION("""COMPUTED_VALUE"""),9.845961023E9)</f>
        <v>9845961023</v>
      </c>
      <c r="F252" s="155" t="str">
        <f>IFERROR(__xludf.DUMMYFUNCTION("""COMPUTED_VALUE"""),"ISE")</f>
        <v>ISE</v>
      </c>
      <c r="G252" s="158"/>
      <c r="H252" s="559">
        <f>IFERROR(__xludf.DUMMYFUNCTION("""COMPUTED_VALUE"""),85.0)</f>
        <v>85</v>
      </c>
      <c r="I252" s="559">
        <f>IFERROR(__xludf.DUMMYFUNCTION("""COMPUTED_VALUE"""),97.0)</f>
        <v>97</v>
      </c>
      <c r="J252" s="559">
        <f>IFERROR(__xludf.DUMMYFUNCTION("""COMPUTED_VALUE"""),88.0)</f>
        <v>88</v>
      </c>
      <c r="K252" s="559">
        <f>IFERROR(__xludf.DUMMYFUNCTION("""COMPUTED_VALUE"""),73.0)</f>
        <v>73</v>
      </c>
      <c r="L252" s="560">
        <f>IFERROR(__xludf.DUMMYFUNCTION("""COMPUTED_VALUE"""),52.0)</f>
        <v>52</v>
      </c>
      <c r="M252" s="561">
        <f>IFERROR(__xludf.DUMMYFUNCTION("""COMPUTED_VALUE"""),50.0)</f>
        <v>50</v>
      </c>
      <c r="N252" s="561">
        <f>IFERROR(__xludf.DUMMYFUNCTION("""COMPUTED_VALUE"""),55.0)</f>
        <v>55</v>
      </c>
      <c r="O252" s="560"/>
      <c r="P252" s="562">
        <f>IFERROR(__xludf.DUMMYFUNCTION("""COMPUTED_VALUE"""),80.0)</f>
        <v>80</v>
      </c>
      <c r="Q252" s="562">
        <f>IFERROR(__xludf.DUMMYFUNCTION("""COMPUTED_VALUE"""),84.0)</f>
        <v>84</v>
      </c>
      <c r="R252" s="562">
        <f>IFERROR(__xludf.DUMMYFUNCTION("""COMPUTED_VALUE"""),93.0)</f>
        <v>93</v>
      </c>
      <c r="S252" s="562"/>
      <c r="T252" s="217">
        <f>IFERROR(__xludf.DUMMYFUNCTION("""COMPUTED_VALUE"""),13.0)</f>
        <v>13</v>
      </c>
      <c r="U252" s="217">
        <f>IFERROR(__xludf.DUMMYFUNCTION("""COMPUTED_VALUE"""),14.0)</f>
        <v>14</v>
      </c>
      <c r="V252" s="217">
        <f>IFERROR(__xludf.DUMMYFUNCTION("""COMPUTED_VALUE"""),42.0)</f>
        <v>42</v>
      </c>
      <c r="W252" s="217">
        <f>IFERROR(__xludf.DUMMYFUNCTION("""COMPUTED_VALUE"""),44.0)</f>
        <v>44</v>
      </c>
      <c r="X252" s="217">
        <f>IFERROR(__xludf.DUMMYFUNCTION("""COMPUTED_VALUE"""),80.0)</f>
        <v>80</v>
      </c>
      <c r="Y252" s="217"/>
      <c r="Z252" s="217"/>
      <c r="AA252" s="481">
        <f>IFERROR(__xludf.DUMMYFUNCTION("""COMPUTED_VALUE"""),92.0)</f>
        <v>92</v>
      </c>
      <c r="AB252" s="481">
        <f>IFERROR(__xludf.DUMMYFUNCTION("""COMPUTED_VALUE"""),97.0)</f>
        <v>97</v>
      </c>
      <c r="AC252" s="481">
        <f>IFERROR(__xludf.DUMMYFUNCTION("""COMPUTED_VALUE"""),63.0)</f>
        <v>63</v>
      </c>
      <c r="AD252" s="481">
        <f>IFERROR(__xludf.DUMMYFUNCTION("""COMPUTED_VALUE"""),34.0)</f>
        <v>34</v>
      </c>
      <c r="AE252" s="481">
        <f>IFERROR(__xludf.DUMMYFUNCTION("""COMPUTED_VALUE"""),70.0)</f>
        <v>70</v>
      </c>
      <c r="AF252" s="481"/>
      <c r="AG252" s="481">
        <f>IFERROR(__xludf.DUMMYFUNCTION("""COMPUTED_VALUE"""),70.0)</f>
        <v>70</v>
      </c>
      <c r="AH252" s="481"/>
      <c r="AI252" s="158"/>
      <c r="AJ252" s="158"/>
      <c r="AK252" s="133">
        <f>IFERROR(__xludf.DUMMYFUNCTION("""COMPUTED_VALUE"""),4.0)</f>
        <v>4</v>
      </c>
      <c r="AL252" s="133">
        <f>IFERROR(__xludf.DUMMYFUNCTION("""COMPUTED_VALUE"""),3.0)</f>
        <v>3</v>
      </c>
      <c r="AM252" s="133">
        <f>IFERROR(__xludf.DUMMYFUNCTION("""COMPUTED_VALUE"""),2.0)</f>
        <v>2</v>
      </c>
      <c r="AN252" s="133" t="str">
        <f>IFERROR(__xludf.DUMMYFUNCTION("""COMPUTED_VALUE"""),"3.5")</f>
        <v>3.5</v>
      </c>
      <c r="AO252" s="133">
        <f>IFERROR(__xludf.DUMMYFUNCTION("""COMPUTED_VALUE"""),3.0)</f>
        <v>3</v>
      </c>
      <c r="AP252" s="155" t="s">
        <v>3706</v>
      </c>
    </row>
    <row r="253">
      <c r="A253" s="261">
        <f>IFERROR(__xludf.DUMMYFUNCTION("""COMPUTED_VALUE"""),15.0)</f>
        <v>15</v>
      </c>
      <c r="B253" s="261" t="str">
        <f>IFERROR(__xludf.DUMMYFUNCTION("""COMPUTED_VALUE"""),"anve23ise@cmrit.ac.in")</f>
        <v>anve23ise@cmrit.ac.in</v>
      </c>
      <c r="C253" s="172" t="str">
        <f>IFERROR(__xludf.DUMMYFUNCTION("""COMPUTED_VALUE"""),"ANANYA VERMA")</f>
        <v>ANANYA VERMA</v>
      </c>
      <c r="D253" s="155" t="str">
        <f>IFERROR(__xludf.DUMMYFUNCTION("""COMPUTED_VALUE"""),"1CR23IS015")</f>
        <v>1CR23IS015</v>
      </c>
      <c r="E253" s="563">
        <f>IFERROR(__xludf.DUMMYFUNCTION("""COMPUTED_VALUE"""),8.105722737E9)</f>
        <v>8105722737</v>
      </c>
      <c r="F253" s="155" t="str">
        <f>IFERROR(__xludf.DUMMYFUNCTION("""COMPUTED_VALUE"""),"ISE")</f>
        <v>ISE</v>
      </c>
      <c r="G253" s="158"/>
      <c r="H253" s="559">
        <f>IFERROR(__xludf.DUMMYFUNCTION("""COMPUTED_VALUE"""),75.0)</f>
        <v>75</v>
      </c>
      <c r="I253" s="559">
        <f>IFERROR(__xludf.DUMMYFUNCTION("""COMPUTED_VALUE"""),86.0)</f>
        <v>86</v>
      </c>
      <c r="J253" s="559">
        <f>IFERROR(__xludf.DUMMYFUNCTION("""COMPUTED_VALUE"""),70.0)</f>
        <v>70</v>
      </c>
      <c r="K253" s="559">
        <f>IFERROR(__xludf.DUMMYFUNCTION("""COMPUTED_VALUE"""),72.0)</f>
        <v>72</v>
      </c>
      <c r="L253" s="560">
        <f>IFERROR(__xludf.DUMMYFUNCTION("""COMPUTED_VALUE"""),50.0)</f>
        <v>50</v>
      </c>
      <c r="M253" s="561">
        <f>IFERROR(__xludf.DUMMYFUNCTION("""COMPUTED_VALUE"""),50.0)</f>
        <v>50</v>
      </c>
      <c r="N253" s="561">
        <f>IFERROR(__xludf.DUMMYFUNCTION("""COMPUTED_VALUE"""),47.0)</f>
        <v>47</v>
      </c>
      <c r="O253" s="560"/>
      <c r="P253" s="562">
        <f>IFERROR(__xludf.DUMMYFUNCTION("""COMPUTED_VALUE"""),80.0)</f>
        <v>80</v>
      </c>
      <c r="Q253" s="562">
        <f>IFERROR(__xludf.DUMMYFUNCTION("""COMPUTED_VALUE"""),55.0)</f>
        <v>55</v>
      </c>
      <c r="R253" s="562">
        <f>IFERROR(__xludf.DUMMYFUNCTION("""COMPUTED_VALUE"""),50.0)</f>
        <v>50</v>
      </c>
      <c r="S253" s="562"/>
      <c r="T253" s="217">
        <f>IFERROR(__xludf.DUMMYFUNCTION("""COMPUTED_VALUE"""),19.0)</f>
        <v>19</v>
      </c>
      <c r="U253" s="217">
        <f>IFERROR(__xludf.DUMMYFUNCTION("""COMPUTED_VALUE"""),24.0)</f>
        <v>24</v>
      </c>
      <c r="V253" s="217">
        <f>IFERROR(__xludf.DUMMYFUNCTION("""COMPUTED_VALUE"""),48.0)</f>
        <v>48</v>
      </c>
      <c r="W253" s="217">
        <f>IFERROR(__xludf.DUMMYFUNCTION("""COMPUTED_VALUE"""),48.0)</f>
        <v>48</v>
      </c>
      <c r="X253" s="217">
        <f>IFERROR(__xludf.DUMMYFUNCTION("""COMPUTED_VALUE"""),80.0)</f>
        <v>80</v>
      </c>
      <c r="Y253" s="217"/>
      <c r="Z253" s="217"/>
      <c r="AA253" s="481">
        <f>IFERROR(__xludf.DUMMYFUNCTION("""COMPUTED_VALUE"""),100.0)</f>
        <v>100</v>
      </c>
      <c r="AB253" s="481">
        <f>IFERROR(__xludf.DUMMYFUNCTION("""COMPUTED_VALUE"""),97.0)</f>
        <v>97</v>
      </c>
      <c r="AC253" s="481">
        <f>IFERROR(__xludf.DUMMYFUNCTION("""COMPUTED_VALUE"""),47.0)</f>
        <v>47</v>
      </c>
      <c r="AD253" s="481">
        <f>IFERROR(__xludf.DUMMYFUNCTION("""COMPUTED_VALUE"""),44.0)</f>
        <v>44</v>
      </c>
      <c r="AE253" s="481">
        <f>IFERROR(__xludf.DUMMYFUNCTION("""COMPUTED_VALUE"""),24.0)</f>
        <v>24</v>
      </c>
      <c r="AF253" s="481"/>
      <c r="AG253" s="481">
        <f>IFERROR(__xludf.DUMMYFUNCTION("""COMPUTED_VALUE"""),46.0)</f>
        <v>46</v>
      </c>
      <c r="AH253" s="481"/>
      <c r="AI253" s="158"/>
      <c r="AJ253" s="158"/>
      <c r="AK253" s="133">
        <f>IFERROR(__xludf.DUMMYFUNCTION("""COMPUTED_VALUE"""),4.0)</f>
        <v>4</v>
      </c>
      <c r="AL253" s="133">
        <f>IFERROR(__xludf.DUMMYFUNCTION("""COMPUTED_VALUE"""),2.0)</f>
        <v>2</v>
      </c>
      <c r="AM253" s="133">
        <f>IFERROR(__xludf.DUMMYFUNCTION("""COMPUTED_VALUE"""),2.0)</f>
        <v>2</v>
      </c>
      <c r="AN253" s="133" t="str">
        <f>IFERROR(__xludf.DUMMYFUNCTION("""COMPUTED_VALUE"""),"2")</f>
        <v>2</v>
      </c>
      <c r="AO253" s="133">
        <f>IFERROR(__xludf.DUMMYFUNCTION("""COMPUTED_VALUE"""),3.0)</f>
        <v>3</v>
      </c>
      <c r="AP253" s="155" t="s">
        <v>3706</v>
      </c>
    </row>
    <row r="254">
      <c r="A254" s="261">
        <f>IFERROR(__xludf.DUMMYFUNCTION("""COMPUTED_VALUE"""),16.0)</f>
        <v>16</v>
      </c>
      <c r="B254" s="261" t="str">
        <f>IFERROR(__xludf.DUMMYFUNCTION("""COMPUTED_VALUE"""),"ansi23ise@cmrit.ac.in")</f>
        <v>ansi23ise@cmrit.ac.in</v>
      </c>
      <c r="C254" s="172" t="str">
        <f>IFERROR(__xludf.DUMMYFUNCTION("""COMPUTED_VALUE"""),"ANKITA SIVARAMAKRISHNAN")</f>
        <v>ANKITA SIVARAMAKRISHNAN</v>
      </c>
      <c r="D254" s="155" t="str">
        <f>IFERROR(__xludf.DUMMYFUNCTION("""COMPUTED_VALUE"""),"1CR23IS016")</f>
        <v>1CR23IS016</v>
      </c>
      <c r="E254" s="563">
        <f>IFERROR(__xludf.DUMMYFUNCTION("""COMPUTED_VALUE"""),6.364353888E9)</f>
        <v>6364353888</v>
      </c>
      <c r="F254" s="155" t="str">
        <f>IFERROR(__xludf.DUMMYFUNCTION("""COMPUTED_VALUE"""),"ISE")</f>
        <v>ISE</v>
      </c>
      <c r="G254" s="158"/>
      <c r="H254" s="559">
        <f>IFERROR(__xludf.DUMMYFUNCTION("""COMPUTED_VALUE"""),85.0)</f>
        <v>85</v>
      </c>
      <c r="I254" s="559">
        <f>IFERROR(__xludf.DUMMYFUNCTION("""COMPUTED_VALUE"""),96.0)</f>
        <v>96</v>
      </c>
      <c r="J254" s="559">
        <f>IFERROR(__xludf.DUMMYFUNCTION("""COMPUTED_VALUE"""),77.0)</f>
        <v>77</v>
      </c>
      <c r="K254" s="559">
        <f>IFERROR(__xludf.DUMMYFUNCTION("""COMPUTED_VALUE"""),74.0)</f>
        <v>74</v>
      </c>
      <c r="L254" s="560">
        <f>IFERROR(__xludf.DUMMYFUNCTION("""COMPUTED_VALUE"""),44.0)</f>
        <v>44</v>
      </c>
      <c r="M254" s="561">
        <f>IFERROR(__xludf.DUMMYFUNCTION("""COMPUTED_VALUE"""),33.0)</f>
        <v>33</v>
      </c>
      <c r="N254" s="561">
        <f>IFERROR(__xludf.DUMMYFUNCTION("""COMPUTED_VALUE"""),22.0)</f>
        <v>22</v>
      </c>
      <c r="O254" s="560"/>
      <c r="P254" s="562">
        <f>IFERROR(__xludf.DUMMYFUNCTION("""COMPUTED_VALUE"""),93.0)</f>
        <v>93</v>
      </c>
      <c r="Q254" s="562">
        <f>IFERROR(__xludf.DUMMYFUNCTION("""COMPUTED_VALUE"""),70.0)</f>
        <v>70</v>
      </c>
      <c r="R254" s="562">
        <f>IFERROR(__xludf.DUMMYFUNCTION("""COMPUTED_VALUE"""),84.0)</f>
        <v>84</v>
      </c>
      <c r="S254" s="562"/>
      <c r="T254" s="217">
        <f>IFERROR(__xludf.DUMMYFUNCTION("""COMPUTED_VALUE"""),14.0)</f>
        <v>14</v>
      </c>
      <c r="U254" s="217">
        <f>IFERROR(__xludf.DUMMYFUNCTION("""COMPUTED_VALUE"""),17.0)</f>
        <v>17</v>
      </c>
      <c r="V254" s="217">
        <f>IFERROR(__xludf.DUMMYFUNCTION("""COMPUTED_VALUE"""),44.0)</f>
        <v>44</v>
      </c>
      <c r="W254" s="217">
        <f>IFERROR(__xludf.DUMMYFUNCTION("""COMPUTED_VALUE"""),44.0)</f>
        <v>44</v>
      </c>
      <c r="X254" s="217">
        <f>IFERROR(__xludf.DUMMYFUNCTION("""COMPUTED_VALUE"""),0.0)</f>
        <v>0</v>
      </c>
      <c r="Y254" s="217"/>
      <c r="Z254" s="217"/>
      <c r="AA254" s="481">
        <f>IFERROR(__xludf.DUMMYFUNCTION("""COMPUTED_VALUE"""),100.0)</f>
        <v>100</v>
      </c>
      <c r="AB254" s="481">
        <f>IFERROR(__xludf.DUMMYFUNCTION("""COMPUTED_VALUE"""),100.0)</f>
        <v>100</v>
      </c>
      <c r="AC254" s="481">
        <f>IFERROR(__xludf.DUMMYFUNCTION("""COMPUTED_VALUE"""),27.0)</f>
        <v>27</v>
      </c>
      <c r="AD254" s="481">
        <f>IFERROR(__xludf.DUMMYFUNCTION("""COMPUTED_VALUE"""),60.0)</f>
        <v>60</v>
      </c>
      <c r="AE254" s="481">
        <f>IFERROR(__xludf.DUMMYFUNCTION("""COMPUTED_VALUE"""),41.0)</f>
        <v>41</v>
      </c>
      <c r="AF254" s="481"/>
      <c r="AG254" s="481">
        <f>IFERROR(__xludf.DUMMYFUNCTION("""COMPUTED_VALUE"""),74.0)</f>
        <v>74</v>
      </c>
      <c r="AH254" s="481"/>
      <c r="AI254" s="158"/>
      <c r="AJ254" s="158"/>
      <c r="AK254" s="133">
        <f>IFERROR(__xludf.DUMMYFUNCTION("""COMPUTED_VALUE"""),4.0)</f>
        <v>4</v>
      </c>
      <c r="AL254" s="133">
        <f>IFERROR(__xludf.DUMMYFUNCTION("""COMPUTED_VALUE"""),0.0)</f>
        <v>0</v>
      </c>
      <c r="AM254" s="133">
        <f>IFERROR(__xludf.DUMMYFUNCTION("""COMPUTED_VALUE"""),2.0)</f>
        <v>2</v>
      </c>
      <c r="AN254" s="133" t="str">
        <f>IFERROR(__xludf.DUMMYFUNCTION("""COMPUTED_VALUE"""),"3")</f>
        <v>3</v>
      </c>
      <c r="AO254" s="133">
        <f>IFERROR(__xludf.DUMMYFUNCTION("""COMPUTED_VALUE"""),3.0)</f>
        <v>3</v>
      </c>
      <c r="AP254" s="155" t="s">
        <v>3706</v>
      </c>
    </row>
    <row r="255">
      <c r="A255" s="261">
        <f>IFERROR(__xludf.DUMMYFUNCTION("""COMPUTED_VALUE"""),17.0)</f>
        <v>17</v>
      </c>
      <c r="B255" s="261" t="str">
        <f>IFERROR(__xludf.DUMMYFUNCTION("""COMPUTED_VALUE"""),"anbs23ise@cmrit.ac.in")</f>
        <v>anbs23ise@cmrit.ac.in</v>
      </c>
      <c r="C255" s="172" t="str">
        <f>IFERROR(__xludf.DUMMYFUNCTION("""COMPUTED_VALUE"""),"ANUSHKA B S")</f>
        <v>ANUSHKA B S</v>
      </c>
      <c r="D255" s="155" t="str">
        <f>IFERROR(__xludf.DUMMYFUNCTION("""COMPUTED_VALUE"""),"1CR23IS017")</f>
        <v>1CR23IS017</v>
      </c>
      <c r="E255" s="563">
        <f>IFERROR(__xludf.DUMMYFUNCTION("""COMPUTED_VALUE"""),8.073959737E9)</f>
        <v>8073959737</v>
      </c>
      <c r="F255" s="155" t="str">
        <f>IFERROR(__xludf.DUMMYFUNCTION("""COMPUTED_VALUE"""),"ISE")</f>
        <v>ISE</v>
      </c>
      <c r="G255" s="158"/>
      <c r="H255" s="559">
        <f>IFERROR(__xludf.DUMMYFUNCTION("""COMPUTED_VALUE"""),86.0)</f>
        <v>86</v>
      </c>
      <c r="I255" s="559">
        <f>IFERROR(__xludf.DUMMYFUNCTION("""COMPUTED_VALUE"""),90.0)</f>
        <v>90</v>
      </c>
      <c r="J255" s="559">
        <f>IFERROR(__xludf.DUMMYFUNCTION("""COMPUTED_VALUE"""),70.0)</f>
        <v>70</v>
      </c>
      <c r="K255" s="559">
        <f>IFERROR(__xludf.DUMMYFUNCTION("""COMPUTED_VALUE"""),77.0)</f>
        <v>77</v>
      </c>
      <c r="L255" s="560">
        <f>IFERROR(__xludf.DUMMYFUNCTION("""COMPUTED_VALUE"""),50.0)</f>
        <v>50</v>
      </c>
      <c r="M255" s="561">
        <f>IFERROR(__xludf.DUMMYFUNCTION("""COMPUTED_VALUE"""),50.0)</f>
        <v>50</v>
      </c>
      <c r="N255" s="561">
        <f>IFERROR(__xludf.DUMMYFUNCTION("""COMPUTED_VALUE"""),51.0)</f>
        <v>51</v>
      </c>
      <c r="O255" s="560"/>
      <c r="P255" s="562">
        <f>IFERROR(__xludf.DUMMYFUNCTION("""COMPUTED_VALUE"""),80.0)</f>
        <v>80</v>
      </c>
      <c r="Q255" s="562">
        <f>IFERROR(__xludf.DUMMYFUNCTION("""COMPUTED_VALUE"""),78.0)</f>
        <v>78</v>
      </c>
      <c r="R255" s="562">
        <f>IFERROR(__xludf.DUMMYFUNCTION("""COMPUTED_VALUE"""),63.0)</f>
        <v>63</v>
      </c>
      <c r="S255" s="562"/>
      <c r="T255" s="217">
        <f>IFERROR(__xludf.DUMMYFUNCTION("""COMPUTED_VALUE"""),12.0)</f>
        <v>12</v>
      </c>
      <c r="U255" s="217">
        <f>IFERROR(__xludf.DUMMYFUNCTION("""COMPUTED_VALUE"""),21.0)</f>
        <v>21</v>
      </c>
      <c r="V255" s="217"/>
      <c r="W255" s="217">
        <f>IFERROR(__xludf.DUMMYFUNCTION("""COMPUTED_VALUE"""),48.0)</f>
        <v>48</v>
      </c>
      <c r="X255" s="217">
        <f>IFERROR(__xludf.DUMMYFUNCTION("""COMPUTED_VALUE"""),84.0)</f>
        <v>84</v>
      </c>
      <c r="Y255" s="217"/>
      <c r="Z255" s="217"/>
      <c r="AA255" s="481">
        <f>IFERROR(__xludf.DUMMYFUNCTION("""COMPUTED_VALUE"""),66.0)</f>
        <v>66</v>
      </c>
      <c r="AB255" s="481">
        <f>IFERROR(__xludf.DUMMYFUNCTION("""COMPUTED_VALUE"""),100.0)</f>
        <v>100</v>
      </c>
      <c r="AC255" s="481">
        <f>IFERROR(__xludf.DUMMYFUNCTION("""COMPUTED_VALUE"""),67.0)</f>
        <v>67</v>
      </c>
      <c r="AD255" s="481">
        <f>IFERROR(__xludf.DUMMYFUNCTION("""COMPUTED_VALUE"""),100.0)</f>
        <v>100</v>
      </c>
      <c r="AE255" s="481">
        <f>IFERROR(__xludf.DUMMYFUNCTION("""COMPUTED_VALUE"""),70.0)</f>
        <v>70</v>
      </c>
      <c r="AF255" s="481"/>
      <c r="AG255" s="481">
        <f>IFERROR(__xludf.DUMMYFUNCTION("""COMPUTED_VALUE"""),79.0)</f>
        <v>79</v>
      </c>
      <c r="AH255" s="481"/>
      <c r="AI255" s="158"/>
      <c r="AJ255" s="158"/>
      <c r="AK255" s="133">
        <f>IFERROR(__xludf.DUMMYFUNCTION("""COMPUTED_VALUE"""),4.0)</f>
        <v>4</v>
      </c>
      <c r="AL255" s="133">
        <f>IFERROR(__xludf.DUMMYFUNCTION("""COMPUTED_VALUE"""),3.0)</f>
        <v>3</v>
      </c>
      <c r="AM255" s="133">
        <f>IFERROR(__xludf.DUMMYFUNCTION("""COMPUTED_VALUE"""),2.0)</f>
        <v>2</v>
      </c>
      <c r="AN255" s="133" t="str">
        <f>IFERROR(__xludf.DUMMYFUNCTION("""COMPUTED_VALUE"""),"3.5")</f>
        <v>3.5</v>
      </c>
      <c r="AO255" s="133">
        <f>IFERROR(__xludf.DUMMYFUNCTION("""COMPUTED_VALUE"""),3.0)</f>
        <v>3</v>
      </c>
      <c r="AP255" s="155" t="s">
        <v>3706</v>
      </c>
    </row>
    <row r="256">
      <c r="A256" s="261">
        <f>IFERROR(__xludf.DUMMYFUNCTION("""COMPUTED_VALUE"""),18.0)</f>
        <v>18</v>
      </c>
      <c r="B256" s="261" t="str">
        <f>IFERROR(__xludf.DUMMYFUNCTION("""COMPUTED_VALUE"""),"anusi23ise@cmrit.ac.in")</f>
        <v>anusi23ise@cmrit.ac.in</v>
      </c>
      <c r="C256" s="172" t="str">
        <f>IFERROR(__xludf.DUMMYFUNCTION("""COMPUTED_VALUE"""),"ANUSHKA SINHA")</f>
        <v>ANUSHKA SINHA</v>
      </c>
      <c r="D256" s="155" t="str">
        <f>IFERROR(__xludf.DUMMYFUNCTION("""COMPUTED_VALUE"""),"1CR23IS018")</f>
        <v>1CR23IS018</v>
      </c>
      <c r="E256" s="563">
        <f>IFERROR(__xludf.DUMMYFUNCTION("""COMPUTED_VALUE"""),9.695140116E9)</f>
        <v>9695140116</v>
      </c>
      <c r="F256" s="155" t="str">
        <f>IFERROR(__xludf.DUMMYFUNCTION("""COMPUTED_VALUE"""),"ISE")</f>
        <v>ISE</v>
      </c>
      <c r="G256" s="158"/>
      <c r="H256" s="559">
        <f>IFERROR(__xludf.DUMMYFUNCTION("""COMPUTED_VALUE"""),80.0)</f>
        <v>80</v>
      </c>
      <c r="I256" s="559">
        <f>IFERROR(__xludf.DUMMYFUNCTION("""COMPUTED_VALUE"""),84.0)</f>
        <v>84</v>
      </c>
      <c r="J256" s="559">
        <f>IFERROR(__xludf.DUMMYFUNCTION("""COMPUTED_VALUE"""),70.0)</f>
        <v>70</v>
      </c>
      <c r="K256" s="559">
        <f>IFERROR(__xludf.DUMMYFUNCTION("""COMPUTED_VALUE"""),70.0)</f>
        <v>70</v>
      </c>
      <c r="L256" s="560">
        <f>IFERROR(__xludf.DUMMYFUNCTION("""COMPUTED_VALUE"""),50.0)</f>
        <v>50</v>
      </c>
      <c r="M256" s="561">
        <f>IFERROR(__xludf.DUMMYFUNCTION("""COMPUTED_VALUE"""),50.0)</f>
        <v>50</v>
      </c>
      <c r="N256" s="561">
        <f>IFERROR(__xludf.DUMMYFUNCTION("""COMPUTED_VALUE"""),58.0)</f>
        <v>58</v>
      </c>
      <c r="O256" s="560"/>
      <c r="P256" s="562">
        <f>IFERROR(__xludf.DUMMYFUNCTION("""COMPUTED_VALUE"""),91.0)</f>
        <v>91</v>
      </c>
      <c r="Q256" s="562">
        <f>IFERROR(__xludf.DUMMYFUNCTION("""COMPUTED_VALUE"""),84.0)</f>
        <v>84</v>
      </c>
      <c r="R256" s="562">
        <f>IFERROR(__xludf.DUMMYFUNCTION("""COMPUTED_VALUE"""),50.0)</f>
        <v>50</v>
      </c>
      <c r="S256" s="562"/>
      <c r="T256" s="217">
        <f>IFERROR(__xludf.DUMMYFUNCTION("""COMPUTED_VALUE"""),10.0)</f>
        <v>10</v>
      </c>
      <c r="U256" s="217">
        <f>IFERROR(__xludf.DUMMYFUNCTION("""COMPUTED_VALUE"""),19.0)</f>
        <v>19</v>
      </c>
      <c r="V256" s="217">
        <f>IFERROR(__xludf.DUMMYFUNCTION("""COMPUTED_VALUE"""),46.0)</f>
        <v>46</v>
      </c>
      <c r="W256" s="217">
        <f>IFERROR(__xludf.DUMMYFUNCTION("""COMPUTED_VALUE"""),60.0)</f>
        <v>60</v>
      </c>
      <c r="X256" s="217">
        <f>IFERROR(__xludf.DUMMYFUNCTION("""COMPUTED_VALUE"""),84.0)</f>
        <v>84</v>
      </c>
      <c r="Y256" s="217"/>
      <c r="Z256" s="217"/>
      <c r="AA256" s="481">
        <f>IFERROR(__xludf.DUMMYFUNCTION("""COMPUTED_VALUE"""),100.0)</f>
        <v>100</v>
      </c>
      <c r="AB256" s="481">
        <f>IFERROR(__xludf.DUMMYFUNCTION("""COMPUTED_VALUE"""),98.0)</f>
        <v>98</v>
      </c>
      <c r="AC256" s="481">
        <f>IFERROR(__xludf.DUMMYFUNCTION("""COMPUTED_VALUE"""),87.0)</f>
        <v>87</v>
      </c>
      <c r="AD256" s="481">
        <f>IFERROR(__xludf.DUMMYFUNCTION("""COMPUTED_VALUE"""),70.0)</f>
        <v>70</v>
      </c>
      <c r="AE256" s="481">
        <f>IFERROR(__xludf.DUMMYFUNCTION("""COMPUTED_VALUE"""),26.0)</f>
        <v>26</v>
      </c>
      <c r="AF256" s="481"/>
      <c r="AG256" s="481">
        <f>IFERROR(__xludf.DUMMYFUNCTION("""COMPUTED_VALUE"""),71.0)</f>
        <v>71</v>
      </c>
      <c r="AH256" s="481"/>
      <c r="AI256" s="158"/>
      <c r="AJ256" s="158"/>
      <c r="AK256" s="133">
        <f>IFERROR(__xludf.DUMMYFUNCTION("""COMPUTED_VALUE"""),4.0)</f>
        <v>4</v>
      </c>
      <c r="AL256" s="133">
        <f>IFERROR(__xludf.DUMMYFUNCTION("""COMPUTED_VALUE"""),3.0)</f>
        <v>3</v>
      </c>
      <c r="AM256" s="133">
        <f>IFERROR(__xludf.DUMMYFUNCTION("""COMPUTED_VALUE"""),3.0)</f>
        <v>3</v>
      </c>
      <c r="AN256" s="133" t="str">
        <f>IFERROR(__xludf.DUMMYFUNCTION("""COMPUTED_VALUE"""),"3")</f>
        <v>3</v>
      </c>
      <c r="AO256" s="133">
        <f>IFERROR(__xludf.DUMMYFUNCTION("""COMPUTED_VALUE"""),3.0)</f>
        <v>3</v>
      </c>
      <c r="AP256" s="155" t="s">
        <v>3706</v>
      </c>
    </row>
    <row r="257">
      <c r="A257" s="261">
        <f>IFERROR(__xludf.DUMMYFUNCTION("""COMPUTED_VALUE"""),19.0)</f>
        <v>19</v>
      </c>
      <c r="B257" s="261" t="str">
        <f>IFERROR(__xludf.DUMMYFUNCTION("""COMPUTED_VALUE"""),"appa23ise@cmrit.ac.in")</f>
        <v>appa23ise@cmrit.ac.in</v>
      </c>
      <c r="C257" s="172" t="str">
        <f>IFERROR(__xludf.DUMMYFUNCTION("""COMPUTED_VALUE"""),"APARICHITA PADHEE")</f>
        <v>APARICHITA PADHEE</v>
      </c>
      <c r="D257" s="155" t="str">
        <f>IFERROR(__xludf.DUMMYFUNCTION("""COMPUTED_VALUE"""),"1CR23IS019")</f>
        <v>1CR23IS019</v>
      </c>
      <c r="E257" s="563">
        <f>IFERROR(__xludf.DUMMYFUNCTION("""COMPUTED_VALUE"""),9.01904283E9)</f>
        <v>9019042830</v>
      </c>
      <c r="F257" s="155" t="str">
        <f>IFERROR(__xludf.DUMMYFUNCTION("""COMPUTED_VALUE"""),"ISE")</f>
        <v>ISE</v>
      </c>
      <c r="G257" s="158"/>
      <c r="H257" s="559">
        <f>IFERROR(__xludf.DUMMYFUNCTION("""COMPUTED_VALUE"""),87.0)</f>
        <v>87</v>
      </c>
      <c r="I257" s="559">
        <f>IFERROR(__xludf.DUMMYFUNCTION("""COMPUTED_VALUE"""),96.0)</f>
        <v>96</v>
      </c>
      <c r="J257" s="559">
        <f>IFERROR(__xludf.DUMMYFUNCTION("""COMPUTED_VALUE"""),70.0)</f>
        <v>70</v>
      </c>
      <c r="K257" s="559">
        <f>IFERROR(__xludf.DUMMYFUNCTION("""COMPUTED_VALUE"""),72.0)</f>
        <v>72</v>
      </c>
      <c r="L257" s="560">
        <f>IFERROR(__xludf.DUMMYFUNCTION("""COMPUTED_VALUE"""),50.0)</f>
        <v>50</v>
      </c>
      <c r="M257" s="561">
        <f>IFERROR(__xludf.DUMMYFUNCTION("""COMPUTED_VALUE"""),57.0)</f>
        <v>57</v>
      </c>
      <c r="N257" s="561">
        <f>IFERROR(__xludf.DUMMYFUNCTION("""COMPUTED_VALUE"""),45.0)</f>
        <v>45</v>
      </c>
      <c r="O257" s="560"/>
      <c r="P257" s="562">
        <f>IFERROR(__xludf.DUMMYFUNCTION("""COMPUTED_VALUE"""),77.0)</f>
        <v>77</v>
      </c>
      <c r="Q257" s="562">
        <f>IFERROR(__xludf.DUMMYFUNCTION("""COMPUTED_VALUE"""),84.0)</f>
        <v>84</v>
      </c>
      <c r="R257" s="562">
        <f>IFERROR(__xludf.DUMMYFUNCTION("""COMPUTED_VALUE"""),83.0)</f>
        <v>83</v>
      </c>
      <c r="S257" s="562"/>
      <c r="T257" s="217">
        <f>IFERROR(__xludf.DUMMYFUNCTION("""COMPUTED_VALUE"""),16.0)</f>
        <v>16</v>
      </c>
      <c r="U257" s="217">
        <f>IFERROR(__xludf.DUMMYFUNCTION("""COMPUTED_VALUE"""),19.0)</f>
        <v>19</v>
      </c>
      <c r="V257" s="217">
        <f>IFERROR(__xludf.DUMMYFUNCTION("""COMPUTED_VALUE"""),46.0)</f>
        <v>46</v>
      </c>
      <c r="W257" s="217"/>
      <c r="X257" s="217">
        <f>IFERROR(__xludf.DUMMYFUNCTION("""COMPUTED_VALUE"""),84.0)</f>
        <v>84</v>
      </c>
      <c r="Y257" s="217"/>
      <c r="Z257" s="217"/>
      <c r="AA257" s="481">
        <f>IFERROR(__xludf.DUMMYFUNCTION("""COMPUTED_VALUE"""),94.0)</f>
        <v>94</v>
      </c>
      <c r="AB257" s="481">
        <f>IFERROR(__xludf.DUMMYFUNCTION("""COMPUTED_VALUE"""),97.0)</f>
        <v>97</v>
      </c>
      <c r="AC257" s="481">
        <f>IFERROR(__xludf.DUMMYFUNCTION("""COMPUTED_VALUE"""),97.0)</f>
        <v>97</v>
      </c>
      <c r="AD257" s="481">
        <f>IFERROR(__xludf.DUMMYFUNCTION("""COMPUTED_VALUE"""),70.0)</f>
        <v>70</v>
      </c>
      <c r="AE257" s="481">
        <f>IFERROR(__xludf.DUMMYFUNCTION("""COMPUTED_VALUE"""),70.0)</f>
        <v>70</v>
      </c>
      <c r="AF257" s="481"/>
      <c r="AG257" s="481">
        <f>IFERROR(__xludf.DUMMYFUNCTION("""COMPUTED_VALUE"""),75.0)</f>
        <v>75</v>
      </c>
      <c r="AH257" s="481"/>
      <c r="AI257" s="158"/>
      <c r="AJ257" s="158"/>
      <c r="AK257" s="133">
        <f>IFERROR(__xludf.DUMMYFUNCTION("""COMPUTED_VALUE"""),4.0)</f>
        <v>4</v>
      </c>
      <c r="AL257" s="133">
        <f>IFERROR(__xludf.DUMMYFUNCTION("""COMPUTED_VALUE"""),2.0)</f>
        <v>2</v>
      </c>
      <c r="AM257" s="133">
        <f>IFERROR(__xludf.DUMMYFUNCTION("""COMPUTED_VALUE"""),2.0)</f>
        <v>2</v>
      </c>
      <c r="AN257" s="133" t="str">
        <f>IFERROR(__xludf.DUMMYFUNCTION("""COMPUTED_VALUE"""),"3.5")</f>
        <v>3.5</v>
      </c>
      <c r="AO257" s="133">
        <f>IFERROR(__xludf.DUMMYFUNCTION("""COMPUTED_VALUE"""),3.0)</f>
        <v>3</v>
      </c>
      <c r="AP257" s="155" t="s">
        <v>3706</v>
      </c>
    </row>
    <row r="258">
      <c r="A258" s="261">
        <f>IFERROR(__xludf.DUMMYFUNCTION("""COMPUTED_VALUE"""),20.0)</f>
        <v>20</v>
      </c>
      <c r="B258" s="261" t="str">
        <f>IFERROR(__xludf.DUMMYFUNCTION("""COMPUTED_VALUE"""),"arp23ise@cmrit.ac.in")</f>
        <v>arp23ise@cmrit.ac.in</v>
      </c>
      <c r="C258" s="172" t="str">
        <f>IFERROR(__xludf.DUMMYFUNCTION("""COMPUTED_VALUE"""),"ARYA P")</f>
        <v>ARYA P</v>
      </c>
      <c r="D258" s="155" t="str">
        <f>IFERROR(__xludf.DUMMYFUNCTION("""COMPUTED_VALUE"""),"1CR23IS020")</f>
        <v>1CR23IS020</v>
      </c>
      <c r="E258" s="563">
        <f>IFERROR(__xludf.DUMMYFUNCTION("""COMPUTED_VALUE"""),8.861152354E9)</f>
        <v>8861152354</v>
      </c>
      <c r="F258" s="155" t="str">
        <f>IFERROR(__xludf.DUMMYFUNCTION("""COMPUTED_VALUE"""),"ISE")</f>
        <v>ISE</v>
      </c>
      <c r="G258" s="158"/>
      <c r="H258" s="559">
        <f>IFERROR(__xludf.DUMMYFUNCTION("""COMPUTED_VALUE"""),76.0)</f>
        <v>76</v>
      </c>
      <c r="I258" s="559">
        <f>IFERROR(__xludf.DUMMYFUNCTION("""COMPUTED_VALUE"""),81.0)</f>
        <v>81</v>
      </c>
      <c r="J258" s="559">
        <f>IFERROR(__xludf.DUMMYFUNCTION("""COMPUTED_VALUE"""),6.0)</f>
        <v>6</v>
      </c>
      <c r="K258" s="559">
        <f>IFERROR(__xludf.DUMMYFUNCTION("""COMPUTED_VALUE"""),10.0)</f>
        <v>10</v>
      </c>
      <c r="L258" s="560">
        <f>IFERROR(__xludf.DUMMYFUNCTION("""COMPUTED_VALUE"""),14.0)</f>
        <v>14</v>
      </c>
      <c r="M258" s="561">
        <f>IFERROR(__xludf.DUMMYFUNCTION("""COMPUTED_VALUE"""),0.0)</f>
        <v>0</v>
      </c>
      <c r="N258" s="561">
        <f>IFERROR(__xludf.DUMMYFUNCTION("""COMPUTED_VALUE"""),0.0)</f>
        <v>0</v>
      </c>
      <c r="O258" s="560"/>
      <c r="P258" s="562">
        <f>IFERROR(__xludf.DUMMYFUNCTION("""COMPUTED_VALUE"""),0.0)</f>
        <v>0</v>
      </c>
      <c r="Q258" s="562">
        <f>IFERROR(__xludf.DUMMYFUNCTION("""COMPUTED_VALUE"""),0.0)</f>
        <v>0</v>
      </c>
      <c r="R258" s="562">
        <f>IFERROR(__xludf.DUMMYFUNCTION("""COMPUTED_VALUE"""),0.0)</f>
        <v>0</v>
      </c>
      <c r="S258" s="562"/>
      <c r="T258" s="217"/>
      <c r="U258" s="217"/>
      <c r="V258" s="217"/>
      <c r="W258" s="217"/>
      <c r="X258" s="217">
        <f>IFERROR(__xludf.DUMMYFUNCTION("""COMPUTED_VALUE"""),0.0)</f>
        <v>0</v>
      </c>
      <c r="Y258" s="217"/>
      <c r="Z258" s="217"/>
      <c r="AA258" s="481">
        <f>IFERROR(__xludf.DUMMYFUNCTION("""COMPUTED_VALUE"""),64.0)</f>
        <v>64</v>
      </c>
      <c r="AB258" s="481">
        <f>IFERROR(__xludf.DUMMYFUNCTION("""COMPUTED_VALUE"""),95.0)</f>
        <v>95</v>
      </c>
      <c r="AC258" s="481">
        <f>IFERROR(__xludf.DUMMYFUNCTION("""COMPUTED_VALUE"""),0.0)</f>
        <v>0</v>
      </c>
      <c r="AD258" s="481">
        <f>IFERROR(__xludf.DUMMYFUNCTION("""COMPUTED_VALUE"""),0.0)</f>
        <v>0</v>
      </c>
      <c r="AE258" s="481">
        <f>IFERROR(__xludf.DUMMYFUNCTION("""COMPUTED_VALUE"""),10.0)</f>
        <v>10</v>
      </c>
      <c r="AF258" s="481"/>
      <c r="AG258" s="481">
        <f>IFERROR(__xludf.DUMMYFUNCTION("""COMPUTED_VALUE"""),32.0)</f>
        <v>32</v>
      </c>
      <c r="AH258" s="481"/>
      <c r="AI258" s="158"/>
      <c r="AJ258" s="158"/>
      <c r="AK258" s="133">
        <f>IFERROR(__xludf.DUMMYFUNCTION("""COMPUTED_VALUE"""),2.0)</f>
        <v>2</v>
      </c>
      <c r="AL258" s="133">
        <f>IFERROR(__xludf.DUMMYFUNCTION("""COMPUTED_VALUE"""),0.0)</f>
        <v>0</v>
      </c>
      <c r="AM258" s="133">
        <f>IFERROR(__xludf.DUMMYFUNCTION("""COMPUTED_VALUE"""),2.0)</f>
        <v>2</v>
      </c>
      <c r="AN258" s="133" t="str">
        <f>IFERROR(__xludf.DUMMYFUNCTION("""COMPUTED_VALUE"""),"2")</f>
        <v>2</v>
      </c>
      <c r="AO258" s="133">
        <f>IFERROR(__xludf.DUMMYFUNCTION("""COMPUTED_VALUE"""),0.0)</f>
        <v>0</v>
      </c>
      <c r="AP258" s="155" t="s">
        <v>3706</v>
      </c>
    </row>
    <row r="259">
      <c r="A259" s="261">
        <f>IFERROR(__xludf.DUMMYFUNCTION("""COMPUTED_VALUE"""),21.0)</f>
        <v>21</v>
      </c>
      <c r="B259" s="261" t="str">
        <f>IFERROR(__xludf.DUMMYFUNCTION("""COMPUTED_VALUE"""),"arsw23ise@cmrit.ac.in")</f>
        <v>arsw23ise@cmrit.ac.in</v>
      </c>
      <c r="C259" s="172" t="str">
        <f>IFERROR(__xludf.DUMMYFUNCTION("""COMPUTED_VALUE"""),"ARYA SWARAJ")</f>
        <v>ARYA SWARAJ</v>
      </c>
      <c r="D259" s="155" t="str">
        <f>IFERROR(__xludf.DUMMYFUNCTION("""COMPUTED_VALUE"""),"1CR23IS021")</f>
        <v>1CR23IS021</v>
      </c>
      <c r="E259" s="563">
        <f>IFERROR(__xludf.DUMMYFUNCTION("""COMPUTED_VALUE"""),8.789567983E9)</f>
        <v>8789567983</v>
      </c>
      <c r="F259" s="155" t="str">
        <f>IFERROR(__xludf.DUMMYFUNCTION("""COMPUTED_VALUE"""),"ISE")</f>
        <v>ISE</v>
      </c>
      <c r="G259" s="158"/>
      <c r="H259" s="559">
        <f>IFERROR(__xludf.DUMMYFUNCTION("""COMPUTED_VALUE"""),84.0)</f>
        <v>84</v>
      </c>
      <c r="I259" s="559">
        <f>IFERROR(__xludf.DUMMYFUNCTION("""COMPUTED_VALUE"""),85.0)</f>
        <v>85</v>
      </c>
      <c r="J259" s="559">
        <f>IFERROR(__xludf.DUMMYFUNCTION("""COMPUTED_VALUE"""),78.0)</f>
        <v>78</v>
      </c>
      <c r="K259" s="559">
        <f>IFERROR(__xludf.DUMMYFUNCTION("""COMPUTED_VALUE"""),71.0)</f>
        <v>71</v>
      </c>
      <c r="L259" s="560">
        <f>IFERROR(__xludf.DUMMYFUNCTION("""COMPUTED_VALUE"""),32.0)</f>
        <v>32</v>
      </c>
      <c r="M259" s="561">
        <f>IFERROR(__xludf.DUMMYFUNCTION("""COMPUTED_VALUE"""),37.0)</f>
        <v>37</v>
      </c>
      <c r="N259" s="561">
        <f>IFERROR(__xludf.DUMMYFUNCTION("""COMPUTED_VALUE"""),0.0)</f>
        <v>0</v>
      </c>
      <c r="O259" s="560"/>
      <c r="P259" s="562">
        <f>IFERROR(__xludf.DUMMYFUNCTION("""COMPUTED_VALUE"""),77.0)</f>
        <v>77</v>
      </c>
      <c r="Q259" s="562">
        <f>IFERROR(__xludf.DUMMYFUNCTION("""COMPUTED_VALUE"""),55.0)</f>
        <v>55</v>
      </c>
      <c r="R259" s="562">
        <f>IFERROR(__xludf.DUMMYFUNCTION("""COMPUTED_VALUE"""),0.0)</f>
        <v>0</v>
      </c>
      <c r="S259" s="562"/>
      <c r="T259" s="217">
        <f>IFERROR(__xludf.DUMMYFUNCTION("""COMPUTED_VALUE"""),12.0)</f>
        <v>12</v>
      </c>
      <c r="U259" s="217">
        <f>IFERROR(__xludf.DUMMYFUNCTION("""COMPUTED_VALUE"""),23.0)</f>
        <v>23</v>
      </c>
      <c r="V259" s="217">
        <f>IFERROR(__xludf.DUMMYFUNCTION("""COMPUTED_VALUE"""),48.0)</f>
        <v>48</v>
      </c>
      <c r="W259" s="217"/>
      <c r="X259" s="217">
        <f>IFERROR(__xludf.DUMMYFUNCTION("""COMPUTED_VALUE"""),28.0)</f>
        <v>28</v>
      </c>
      <c r="Y259" s="217"/>
      <c r="Z259" s="217"/>
      <c r="AA259" s="481">
        <f>IFERROR(__xludf.DUMMYFUNCTION("""COMPUTED_VALUE"""),100.0)</f>
        <v>100</v>
      </c>
      <c r="AB259" s="481">
        <f>IFERROR(__xludf.DUMMYFUNCTION("""COMPUTED_VALUE"""),100.0)</f>
        <v>100</v>
      </c>
      <c r="AC259" s="481">
        <f>IFERROR(__xludf.DUMMYFUNCTION("""COMPUTED_VALUE"""),44.0)</f>
        <v>44</v>
      </c>
      <c r="AD259" s="481">
        <f>IFERROR(__xludf.DUMMYFUNCTION("""COMPUTED_VALUE"""),70.0)</f>
        <v>70</v>
      </c>
      <c r="AE259" s="481">
        <f>IFERROR(__xludf.DUMMYFUNCTION("""COMPUTED_VALUE"""),23.0)</f>
        <v>23</v>
      </c>
      <c r="AF259" s="481"/>
      <c r="AG259" s="481">
        <f>IFERROR(__xludf.DUMMYFUNCTION("""COMPUTED_VALUE"""),42.0)</f>
        <v>42</v>
      </c>
      <c r="AH259" s="481"/>
      <c r="AI259" s="158"/>
      <c r="AJ259" s="158"/>
      <c r="AK259" s="133">
        <f>IFERROR(__xludf.DUMMYFUNCTION("""COMPUTED_VALUE"""),4.0)</f>
        <v>4</v>
      </c>
      <c r="AL259" s="133">
        <f>IFERROR(__xludf.DUMMYFUNCTION("""COMPUTED_VALUE"""),0.0)</f>
        <v>0</v>
      </c>
      <c r="AM259" s="133">
        <f>IFERROR(__xludf.DUMMYFUNCTION("""COMPUTED_VALUE"""),2.0)</f>
        <v>2</v>
      </c>
      <c r="AN259" s="133" t="str">
        <f>IFERROR(__xludf.DUMMYFUNCTION("""COMPUTED_VALUE"""),"3")</f>
        <v>3</v>
      </c>
      <c r="AO259" s="133">
        <f>IFERROR(__xludf.DUMMYFUNCTION("""COMPUTED_VALUE"""),2.0)</f>
        <v>2</v>
      </c>
      <c r="AP259" s="155" t="s">
        <v>3706</v>
      </c>
    </row>
    <row r="260">
      <c r="A260" s="261">
        <f>IFERROR(__xludf.DUMMYFUNCTION("""COMPUTED_VALUE"""),22.0)</f>
        <v>22</v>
      </c>
      <c r="B260" s="261" t="str">
        <f>IFERROR(__xludf.DUMMYFUNCTION("""COMPUTED_VALUE"""),"arna23ise@cmrit.ac.in")</f>
        <v>arna23ise@cmrit.ac.in</v>
      </c>
      <c r="C260" s="172" t="str">
        <f>IFERROR(__xludf.DUMMYFUNCTION("""COMPUTED_VALUE"""),"ARYAN NARESH")</f>
        <v>ARYAN NARESH</v>
      </c>
      <c r="D260" s="155" t="str">
        <f>IFERROR(__xludf.DUMMYFUNCTION("""COMPUTED_VALUE"""),"1CR23IS022")</f>
        <v>1CR23IS022</v>
      </c>
      <c r="E260" s="563">
        <f>IFERROR(__xludf.DUMMYFUNCTION("""COMPUTED_VALUE"""),8.97945911E9)</f>
        <v>8979459110</v>
      </c>
      <c r="F260" s="155" t="str">
        <f>IFERROR(__xludf.DUMMYFUNCTION("""COMPUTED_VALUE"""),"ISE")</f>
        <v>ISE</v>
      </c>
      <c r="G260" s="158"/>
      <c r="H260" s="559">
        <f>IFERROR(__xludf.DUMMYFUNCTION("""COMPUTED_VALUE"""),75.0)</f>
        <v>75</v>
      </c>
      <c r="I260" s="559">
        <f>IFERROR(__xludf.DUMMYFUNCTION("""COMPUTED_VALUE"""),84.0)</f>
        <v>84</v>
      </c>
      <c r="J260" s="559">
        <f>IFERROR(__xludf.DUMMYFUNCTION("""COMPUTED_VALUE"""),70.0)</f>
        <v>70</v>
      </c>
      <c r="K260" s="559">
        <f>IFERROR(__xludf.DUMMYFUNCTION("""COMPUTED_VALUE"""),70.0)</f>
        <v>70</v>
      </c>
      <c r="L260" s="560">
        <f>IFERROR(__xludf.DUMMYFUNCTION("""COMPUTED_VALUE"""),50.0)</f>
        <v>50</v>
      </c>
      <c r="M260" s="561">
        <f>IFERROR(__xludf.DUMMYFUNCTION("""COMPUTED_VALUE"""),13.0)</f>
        <v>13</v>
      </c>
      <c r="N260" s="561">
        <f>IFERROR(__xludf.DUMMYFUNCTION("""COMPUTED_VALUE"""),17.0)</f>
        <v>17</v>
      </c>
      <c r="O260" s="560"/>
      <c r="P260" s="562">
        <f>IFERROR(__xludf.DUMMYFUNCTION("""COMPUTED_VALUE"""),79.0)</f>
        <v>79</v>
      </c>
      <c r="Q260" s="562">
        <f>IFERROR(__xludf.DUMMYFUNCTION("""COMPUTED_VALUE"""),50.0)</f>
        <v>50</v>
      </c>
      <c r="R260" s="562">
        <f>IFERROR(__xludf.DUMMYFUNCTION("""COMPUTED_VALUE"""),50.0)</f>
        <v>50</v>
      </c>
      <c r="S260" s="562"/>
      <c r="T260" s="217">
        <f>IFERROR(__xludf.DUMMYFUNCTION("""COMPUTED_VALUE"""),20.0)</f>
        <v>20</v>
      </c>
      <c r="U260" s="217">
        <f>IFERROR(__xludf.DUMMYFUNCTION("""COMPUTED_VALUE"""),22.0)</f>
        <v>22</v>
      </c>
      <c r="V260" s="217">
        <f>IFERROR(__xludf.DUMMYFUNCTION("""COMPUTED_VALUE"""),40.0)</f>
        <v>40</v>
      </c>
      <c r="W260" s="217">
        <f>IFERROR(__xludf.DUMMYFUNCTION("""COMPUTED_VALUE"""),64.0)</f>
        <v>64</v>
      </c>
      <c r="X260" s="217">
        <f>IFERROR(__xludf.DUMMYFUNCTION("""COMPUTED_VALUE"""),76.0)</f>
        <v>76</v>
      </c>
      <c r="Y260" s="217"/>
      <c r="Z260" s="217"/>
      <c r="AA260" s="481">
        <f>IFERROR(__xludf.DUMMYFUNCTION("""COMPUTED_VALUE"""),100.0)</f>
        <v>100</v>
      </c>
      <c r="AB260" s="481">
        <f>IFERROR(__xludf.DUMMYFUNCTION("""COMPUTED_VALUE"""),87.0)</f>
        <v>87</v>
      </c>
      <c r="AC260" s="481">
        <f>IFERROR(__xludf.DUMMYFUNCTION("""COMPUTED_VALUE"""),52.0)</f>
        <v>52</v>
      </c>
      <c r="AD260" s="481">
        <f>IFERROR(__xludf.DUMMYFUNCTION("""COMPUTED_VALUE"""),65.0)</f>
        <v>65</v>
      </c>
      <c r="AE260" s="481">
        <f>IFERROR(__xludf.DUMMYFUNCTION("""COMPUTED_VALUE"""),36.0)</f>
        <v>36</v>
      </c>
      <c r="AF260" s="481"/>
      <c r="AG260" s="481">
        <f>IFERROR(__xludf.DUMMYFUNCTION("""COMPUTED_VALUE"""),42.0)</f>
        <v>42</v>
      </c>
      <c r="AH260" s="481"/>
      <c r="AI260" s="158"/>
      <c r="AJ260" s="158"/>
      <c r="AK260" s="133">
        <f>IFERROR(__xludf.DUMMYFUNCTION("""COMPUTED_VALUE"""),4.0)</f>
        <v>4</v>
      </c>
      <c r="AL260" s="133">
        <f>IFERROR(__xludf.DUMMYFUNCTION("""COMPUTED_VALUE"""),1.0)</f>
        <v>1</v>
      </c>
      <c r="AM260" s="133">
        <f>IFERROR(__xludf.DUMMYFUNCTION("""COMPUTED_VALUE"""),3.0)</f>
        <v>3</v>
      </c>
      <c r="AN260" s="133" t="str">
        <f>IFERROR(__xludf.DUMMYFUNCTION("""COMPUTED_VALUE"""),"3")</f>
        <v>3</v>
      </c>
      <c r="AO260" s="133">
        <f>IFERROR(__xludf.DUMMYFUNCTION("""COMPUTED_VALUE"""),3.0)</f>
        <v>3</v>
      </c>
      <c r="AP260" s="155" t="s">
        <v>3706</v>
      </c>
    </row>
    <row r="261">
      <c r="A261" s="261">
        <f>IFERROR(__xludf.DUMMYFUNCTION("""COMPUTED_VALUE"""),23.0)</f>
        <v>23</v>
      </c>
      <c r="B261" s="261" t="str">
        <f>IFERROR(__xludf.DUMMYFUNCTION("""COMPUTED_VALUE"""),"assh23ise@cmrit.ac.in")</f>
        <v>assh23ise@cmrit.ac.in</v>
      </c>
      <c r="C261" s="172" t="str">
        <f>IFERROR(__xludf.DUMMYFUNCTION("""COMPUTED_VALUE"""),"ASHMIT SHAW")</f>
        <v>ASHMIT SHAW</v>
      </c>
      <c r="D261" s="155" t="str">
        <f>IFERROR(__xludf.DUMMYFUNCTION("""COMPUTED_VALUE"""),"1CR23IS023")</f>
        <v>1CR23IS023</v>
      </c>
      <c r="E261" s="563">
        <f>IFERROR(__xludf.DUMMYFUNCTION("""COMPUTED_VALUE"""),7.003118896E9)</f>
        <v>7003118896</v>
      </c>
      <c r="F261" s="155" t="str">
        <f>IFERROR(__xludf.DUMMYFUNCTION("""COMPUTED_VALUE"""),"ISE")</f>
        <v>ISE</v>
      </c>
      <c r="G261" s="158"/>
      <c r="H261" s="559">
        <f>IFERROR(__xludf.DUMMYFUNCTION("""COMPUTED_VALUE"""),73.0)</f>
        <v>73</v>
      </c>
      <c r="I261" s="559">
        <f>IFERROR(__xludf.DUMMYFUNCTION("""COMPUTED_VALUE"""),86.0)</f>
        <v>86</v>
      </c>
      <c r="J261" s="559">
        <f>IFERROR(__xludf.DUMMYFUNCTION("""COMPUTED_VALUE"""),70.0)</f>
        <v>70</v>
      </c>
      <c r="K261" s="559">
        <f>IFERROR(__xludf.DUMMYFUNCTION("""COMPUTED_VALUE"""),70.0)</f>
        <v>70</v>
      </c>
      <c r="L261" s="560">
        <f>IFERROR(__xludf.DUMMYFUNCTION("""COMPUTED_VALUE"""),50.0)</f>
        <v>50</v>
      </c>
      <c r="M261" s="561">
        <f>IFERROR(__xludf.DUMMYFUNCTION("""COMPUTED_VALUE"""),52.0)</f>
        <v>52</v>
      </c>
      <c r="N261" s="561">
        <f>IFERROR(__xludf.DUMMYFUNCTION("""COMPUTED_VALUE"""),50.0)</f>
        <v>50</v>
      </c>
      <c r="O261" s="560"/>
      <c r="P261" s="562">
        <f>IFERROR(__xludf.DUMMYFUNCTION("""COMPUTED_VALUE"""),50.0)</f>
        <v>50</v>
      </c>
      <c r="Q261" s="562">
        <f>IFERROR(__xludf.DUMMYFUNCTION("""COMPUTED_VALUE"""),50.0)</f>
        <v>50</v>
      </c>
      <c r="R261" s="562">
        <f>IFERROR(__xludf.DUMMYFUNCTION("""COMPUTED_VALUE"""),80.0)</f>
        <v>80</v>
      </c>
      <c r="S261" s="562"/>
      <c r="T261" s="217">
        <f>IFERROR(__xludf.DUMMYFUNCTION("""COMPUTED_VALUE"""),20.0)</f>
        <v>20</v>
      </c>
      <c r="U261" s="217">
        <f>IFERROR(__xludf.DUMMYFUNCTION("""COMPUTED_VALUE"""),22.0)</f>
        <v>22</v>
      </c>
      <c r="V261" s="217">
        <f>IFERROR(__xludf.DUMMYFUNCTION("""COMPUTED_VALUE"""),44.0)</f>
        <v>44</v>
      </c>
      <c r="W261" s="217">
        <f>IFERROR(__xludf.DUMMYFUNCTION("""COMPUTED_VALUE"""),50.0)</f>
        <v>50</v>
      </c>
      <c r="X261" s="217">
        <f>IFERROR(__xludf.DUMMYFUNCTION("""COMPUTED_VALUE"""),0.0)</f>
        <v>0</v>
      </c>
      <c r="Y261" s="217"/>
      <c r="Z261" s="217"/>
      <c r="AA261" s="481">
        <f>IFERROR(__xludf.DUMMYFUNCTION("""COMPUTED_VALUE"""),61.0)</f>
        <v>61</v>
      </c>
      <c r="AB261" s="481">
        <f>IFERROR(__xludf.DUMMYFUNCTION("""COMPUTED_VALUE"""),100.0)</f>
        <v>100</v>
      </c>
      <c r="AC261" s="481">
        <f>IFERROR(__xludf.DUMMYFUNCTION("""COMPUTED_VALUE"""),87.0)</f>
        <v>87</v>
      </c>
      <c r="AD261" s="481">
        <f>IFERROR(__xludf.DUMMYFUNCTION("""COMPUTED_VALUE"""),90.0)</f>
        <v>90</v>
      </c>
      <c r="AE261" s="481">
        <f>IFERROR(__xludf.DUMMYFUNCTION("""COMPUTED_VALUE"""),75.0)</f>
        <v>75</v>
      </c>
      <c r="AF261" s="481"/>
      <c r="AG261" s="481">
        <f>IFERROR(__xludf.DUMMYFUNCTION("""COMPUTED_VALUE"""),28.0)</f>
        <v>28</v>
      </c>
      <c r="AH261" s="481"/>
      <c r="AI261" s="158"/>
      <c r="AJ261" s="158"/>
      <c r="AK261" s="133">
        <f>IFERROR(__xludf.DUMMYFUNCTION("""COMPUTED_VALUE"""),4.0)</f>
        <v>4</v>
      </c>
      <c r="AL261" s="133">
        <f>IFERROR(__xludf.DUMMYFUNCTION("""COMPUTED_VALUE"""),3.0)</f>
        <v>3</v>
      </c>
      <c r="AM261" s="133">
        <f>IFERROR(__xludf.DUMMYFUNCTION("""COMPUTED_VALUE"""),3.0)</f>
        <v>3</v>
      </c>
      <c r="AN261" s="133" t="str">
        <f>IFERROR(__xludf.DUMMYFUNCTION("""COMPUTED_VALUE"""),"3.5")</f>
        <v>3.5</v>
      </c>
      <c r="AO261" s="133">
        <f>IFERROR(__xludf.DUMMYFUNCTION("""COMPUTED_VALUE"""),3.0)</f>
        <v>3</v>
      </c>
      <c r="AP261" s="155" t="s">
        <v>3706</v>
      </c>
    </row>
    <row r="262">
      <c r="A262" s="261">
        <f>IFERROR(__xludf.DUMMYFUNCTION("""COMPUTED_VALUE"""),24.0)</f>
        <v>24</v>
      </c>
      <c r="B262" s="261" t="str">
        <f>IFERROR(__xludf.DUMMYFUNCTION("""COMPUTED_VALUE"""),"asmd23ise@cmrit.ac.in")</f>
        <v>asmd23ise@cmrit.ac.in</v>
      </c>
      <c r="C262" s="172" t="str">
        <f>IFERROR(__xludf.DUMMYFUNCTION("""COMPUTED_VALUE"""),"ASHWIJ M D")</f>
        <v>ASHWIJ M D</v>
      </c>
      <c r="D262" s="155" t="str">
        <f>IFERROR(__xludf.DUMMYFUNCTION("""COMPUTED_VALUE"""),"1CR23IS024")</f>
        <v>1CR23IS024</v>
      </c>
      <c r="E262" s="563">
        <f>IFERROR(__xludf.DUMMYFUNCTION("""COMPUTED_VALUE"""),8.861268788E9)</f>
        <v>8861268788</v>
      </c>
      <c r="F262" s="155" t="str">
        <f>IFERROR(__xludf.DUMMYFUNCTION("""COMPUTED_VALUE"""),"ISE")</f>
        <v>ISE</v>
      </c>
      <c r="G262" s="158"/>
      <c r="H262" s="559">
        <f>IFERROR(__xludf.DUMMYFUNCTION("""COMPUTED_VALUE"""),71.0)</f>
        <v>71</v>
      </c>
      <c r="I262" s="559">
        <f>IFERROR(__xludf.DUMMYFUNCTION("""COMPUTED_VALUE"""),79.0)</f>
        <v>79</v>
      </c>
      <c r="J262" s="559">
        <f>IFERROR(__xludf.DUMMYFUNCTION("""COMPUTED_VALUE"""),70.0)</f>
        <v>70</v>
      </c>
      <c r="K262" s="559">
        <f>IFERROR(__xludf.DUMMYFUNCTION("""COMPUTED_VALUE"""),70.0)</f>
        <v>70</v>
      </c>
      <c r="L262" s="560">
        <f>IFERROR(__xludf.DUMMYFUNCTION("""COMPUTED_VALUE"""),50.0)</f>
        <v>50</v>
      </c>
      <c r="M262" s="561">
        <f>IFERROR(__xludf.DUMMYFUNCTION("""COMPUTED_VALUE"""),53.0)</f>
        <v>53</v>
      </c>
      <c r="N262" s="561">
        <f>IFERROR(__xludf.DUMMYFUNCTION("""COMPUTED_VALUE"""),26.0)</f>
        <v>26</v>
      </c>
      <c r="O262" s="560"/>
      <c r="P262" s="562">
        <f>IFERROR(__xludf.DUMMYFUNCTION("""COMPUTED_VALUE"""),50.0)</f>
        <v>50</v>
      </c>
      <c r="Q262" s="562">
        <f>IFERROR(__xludf.DUMMYFUNCTION("""COMPUTED_VALUE"""),50.0)</f>
        <v>50</v>
      </c>
      <c r="R262" s="562">
        <f>IFERROR(__xludf.DUMMYFUNCTION("""COMPUTED_VALUE"""),50.0)</f>
        <v>50</v>
      </c>
      <c r="S262" s="562"/>
      <c r="T262" s="217">
        <f>IFERROR(__xludf.DUMMYFUNCTION("""COMPUTED_VALUE"""),21.0)</f>
        <v>21</v>
      </c>
      <c r="U262" s="217">
        <f>IFERROR(__xludf.DUMMYFUNCTION("""COMPUTED_VALUE"""),23.0)</f>
        <v>23</v>
      </c>
      <c r="V262" s="217">
        <f>IFERROR(__xludf.DUMMYFUNCTION("""COMPUTED_VALUE"""),46.0)</f>
        <v>46</v>
      </c>
      <c r="W262" s="217">
        <f>IFERROR(__xludf.DUMMYFUNCTION("""COMPUTED_VALUE"""),64.0)</f>
        <v>64</v>
      </c>
      <c r="X262" s="217">
        <f>IFERROR(__xludf.DUMMYFUNCTION("""COMPUTED_VALUE"""),76.0)</f>
        <v>76</v>
      </c>
      <c r="Y262" s="217"/>
      <c r="Z262" s="217"/>
      <c r="AA262" s="481">
        <f>IFERROR(__xludf.DUMMYFUNCTION("""COMPUTED_VALUE"""),38.0)</f>
        <v>38</v>
      </c>
      <c r="AB262" s="481">
        <f>IFERROR(__xludf.DUMMYFUNCTION("""COMPUTED_VALUE"""),87.0)</f>
        <v>87</v>
      </c>
      <c r="AC262" s="481">
        <f>IFERROR(__xludf.DUMMYFUNCTION("""COMPUTED_VALUE"""),20.0)</f>
        <v>20</v>
      </c>
      <c r="AD262" s="481">
        <f>IFERROR(__xludf.DUMMYFUNCTION("""COMPUTED_VALUE"""),90.0)</f>
        <v>90</v>
      </c>
      <c r="AE262" s="481">
        <f>IFERROR(__xludf.DUMMYFUNCTION("""COMPUTED_VALUE"""),39.0)</f>
        <v>39</v>
      </c>
      <c r="AF262" s="481"/>
      <c r="AG262" s="481">
        <f>IFERROR(__xludf.DUMMYFUNCTION("""COMPUTED_VALUE"""),35.0)</f>
        <v>35</v>
      </c>
      <c r="AH262" s="481"/>
      <c r="AI262" s="158"/>
      <c r="AJ262" s="158"/>
      <c r="AK262" s="133">
        <f>IFERROR(__xludf.DUMMYFUNCTION("""COMPUTED_VALUE"""),4.0)</f>
        <v>4</v>
      </c>
      <c r="AL262" s="133">
        <f>IFERROR(__xludf.DUMMYFUNCTION("""COMPUTED_VALUE"""),2.0)</f>
        <v>2</v>
      </c>
      <c r="AM262" s="133">
        <f>IFERROR(__xludf.DUMMYFUNCTION("""COMPUTED_VALUE"""),3.0)</f>
        <v>3</v>
      </c>
      <c r="AN262" s="133" t="str">
        <f>IFERROR(__xludf.DUMMYFUNCTION("""COMPUTED_VALUE"""),"3")</f>
        <v>3</v>
      </c>
      <c r="AO262" s="133">
        <f>IFERROR(__xludf.DUMMYFUNCTION("""COMPUTED_VALUE"""),3.0)</f>
        <v>3</v>
      </c>
      <c r="AP262" s="155" t="s">
        <v>3706</v>
      </c>
    </row>
    <row r="263">
      <c r="A263" s="261">
        <f>IFERROR(__xludf.DUMMYFUNCTION("""COMPUTED_VALUE"""),25.0)</f>
        <v>25</v>
      </c>
      <c r="B263" s="261" t="str">
        <f>IFERROR(__xludf.DUMMYFUNCTION("""COMPUTED_VALUE"""),"ask23ise@cmrit.ac.in")</f>
        <v>ask23ise@cmrit.ac.in</v>
      </c>
      <c r="C263" s="172" t="str">
        <f>IFERROR(__xludf.DUMMYFUNCTION("""COMPUTED_VALUE"""),"ASHWIN K")</f>
        <v>ASHWIN K</v>
      </c>
      <c r="D263" s="155" t="str">
        <f>IFERROR(__xludf.DUMMYFUNCTION("""COMPUTED_VALUE"""),"1CR23IS025")</f>
        <v>1CR23IS025</v>
      </c>
      <c r="E263" s="563">
        <f>IFERROR(__xludf.DUMMYFUNCTION("""COMPUTED_VALUE"""),7.204551967E9)</f>
        <v>7204551967</v>
      </c>
      <c r="F263" s="155" t="str">
        <f>IFERROR(__xludf.DUMMYFUNCTION("""COMPUTED_VALUE"""),"ISE")</f>
        <v>ISE</v>
      </c>
      <c r="G263" s="158"/>
      <c r="H263" s="559">
        <f>IFERROR(__xludf.DUMMYFUNCTION("""COMPUTED_VALUE"""),78.0)</f>
        <v>78</v>
      </c>
      <c r="I263" s="559">
        <f>IFERROR(__xludf.DUMMYFUNCTION("""COMPUTED_VALUE"""),85.0)</f>
        <v>85</v>
      </c>
      <c r="J263" s="559">
        <f>IFERROR(__xludf.DUMMYFUNCTION("""COMPUTED_VALUE"""),70.0)</f>
        <v>70</v>
      </c>
      <c r="K263" s="559">
        <f>IFERROR(__xludf.DUMMYFUNCTION("""COMPUTED_VALUE"""),70.0)</f>
        <v>70</v>
      </c>
      <c r="L263" s="560">
        <f>IFERROR(__xludf.DUMMYFUNCTION("""COMPUTED_VALUE"""),50.0)</f>
        <v>50</v>
      </c>
      <c r="M263" s="561">
        <f>IFERROR(__xludf.DUMMYFUNCTION("""COMPUTED_VALUE"""),41.0)</f>
        <v>41</v>
      </c>
      <c r="N263" s="561">
        <f>IFERROR(__xludf.DUMMYFUNCTION("""COMPUTED_VALUE"""),29.0)</f>
        <v>29</v>
      </c>
      <c r="O263" s="560"/>
      <c r="P263" s="562">
        <f>IFERROR(__xludf.DUMMYFUNCTION("""COMPUTED_VALUE"""),50.0)</f>
        <v>50</v>
      </c>
      <c r="Q263" s="562">
        <f>IFERROR(__xludf.DUMMYFUNCTION("""COMPUTED_VALUE"""),70.0)</f>
        <v>70</v>
      </c>
      <c r="R263" s="562">
        <f>IFERROR(__xludf.DUMMYFUNCTION("""COMPUTED_VALUE"""),85.0)</f>
        <v>85</v>
      </c>
      <c r="S263" s="562"/>
      <c r="T263" s="217">
        <f>IFERROR(__xludf.DUMMYFUNCTION("""COMPUTED_VALUE"""),10.0)</f>
        <v>10</v>
      </c>
      <c r="U263" s="217">
        <f>IFERROR(__xludf.DUMMYFUNCTION("""COMPUTED_VALUE"""),23.0)</f>
        <v>23</v>
      </c>
      <c r="V263" s="217"/>
      <c r="W263" s="217">
        <f>IFERROR(__xludf.DUMMYFUNCTION("""COMPUTED_VALUE"""),36.0)</f>
        <v>36</v>
      </c>
      <c r="X263" s="217">
        <f>IFERROR(__xludf.DUMMYFUNCTION("""COMPUTED_VALUE"""),88.0)</f>
        <v>88</v>
      </c>
      <c r="Y263" s="217"/>
      <c r="Z263" s="217"/>
      <c r="AA263" s="481">
        <f>IFERROR(__xludf.DUMMYFUNCTION("""COMPUTED_VALUE"""),100.0)</f>
        <v>100</v>
      </c>
      <c r="AB263" s="481">
        <f>IFERROR(__xludf.DUMMYFUNCTION("""COMPUTED_VALUE"""),90.0)</f>
        <v>90</v>
      </c>
      <c r="AC263" s="481">
        <f>IFERROR(__xludf.DUMMYFUNCTION("""COMPUTED_VALUE"""),71.0)</f>
        <v>71</v>
      </c>
      <c r="AD263" s="481">
        <f>IFERROR(__xludf.DUMMYFUNCTION("""COMPUTED_VALUE"""),79.0)</f>
        <v>79</v>
      </c>
      <c r="AE263" s="481">
        <f>IFERROR(__xludf.DUMMYFUNCTION("""COMPUTED_VALUE"""),70.0)</f>
        <v>70</v>
      </c>
      <c r="AF263" s="481"/>
      <c r="AG263" s="481">
        <f>IFERROR(__xludf.DUMMYFUNCTION("""COMPUTED_VALUE"""),42.0)</f>
        <v>42</v>
      </c>
      <c r="AH263" s="481"/>
      <c r="AI263" s="158"/>
      <c r="AJ263" s="158"/>
      <c r="AK263" s="133">
        <f>IFERROR(__xludf.DUMMYFUNCTION("""COMPUTED_VALUE"""),4.0)</f>
        <v>4</v>
      </c>
      <c r="AL263" s="133">
        <f>IFERROR(__xludf.DUMMYFUNCTION("""COMPUTED_VALUE"""),1.0)</f>
        <v>1</v>
      </c>
      <c r="AM263" s="133">
        <f>IFERROR(__xludf.DUMMYFUNCTION("""COMPUTED_VALUE"""),2.0)</f>
        <v>2</v>
      </c>
      <c r="AN263" s="133" t="str">
        <f>IFERROR(__xludf.DUMMYFUNCTION("""COMPUTED_VALUE"""),"3.5")</f>
        <v>3.5</v>
      </c>
      <c r="AO263" s="133">
        <f>IFERROR(__xludf.DUMMYFUNCTION("""COMPUTED_VALUE"""),3.0)</f>
        <v>3</v>
      </c>
      <c r="AP263" s="155" t="s">
        <v>3706</v>
      </c>
    </row>
    <row r="264">
      <c r="A264" s="261">
        <f>IFERROR(__xludf.DUMMYFUNCTION("""COMPUTED_VALUE"""),26.0)</f>
        <v>26</v>
      </c>
      <c r="B264" s="261" t="str">
        <f>IFERROR(__xludf.DUMMYFUNCTION("""COMPUTED_VALUE"""),"atus23ise@cmrit.ac.in")</f>
        <v>atus23ise@cmrit.ac.in</v>
      </c>
      <c r="C264" s="172" t="str">
        <f>IFERROR(__xludf.DUMMYFUNCTION("""COMPUTED_VALUE"""),"ATHARV SAUNLO USCOICAR")</f>
        <v>ATHARV SAUNLO USCOICAR</v>
      </c>
      <c r="D264" s="155" t="str">
        <f>IFERROR(__xludf.DUMMYFUNCTION("""COMPUTED_VALUE"""),"1CR23IS026")</f>
        <v>1CR23IS026</v>
      </c>
      <c r="E264" s="563">
        <f>IFERROR(__xludf.DUMMYFUNCTION("""COMPUTED_VALUE"""),9.326373636E9)</f>
        <v>9326373636</v>
      </c>
      <c r="F264" s="155" t="str">
        <f>IFERROR(__xludf.DUMMYFUNCTION("""COMPUTED_VALUE"""),"ISE")</f>
        <v>ISE</v>
      </c>
      <c r="G264" s="158"/>
      <c r="H264" s="559">
        <f>IFERROR(__xludf.DUMMYFUNCTION("""COMPUTED_VALUE"""),82.0)</f>
        <v>82</v>
      </c>
      <c r="I264" s="559">
        <f>IFERROR(__xludf.DUMMYFUNCTION("""COMPUTED_VALUE"""),88.0)</f>
        <v>88</v>
      </c>
      <c r="J264" s="559">
        <f>IFERROR(__xludf.DUMMYFUNCTION("""COMPUTED_VALUE"""),70.0)</f>
        <v>70</v>
      </c>
      <c r="K264" s="559">
        <f>IFERROR(__xludf.DUMMYFUNCTION("""COMPUTED_VALUE"""),70.0)</f>
        <v>70</v>
      </c>
      <c r="L264" s="560">
        <f>IFERROR(__xludf.DUMMYFUNCTION("""COMPUTED_VALUE"""),50.0)</f>
        <v>50</v>
      </c>
      <c r="M264" s="561">
        <f>IFERROR(__xludf.DUMMYFUNCTION("""COMPUTED_VALUE"""),8.0)</f>
        <v>8</v>
      </c>
      <c r="N264" s="561">
        <f>IFERROR(__xludf.DUMMYFUNCTION("""COMPUTED_VALUE"""),12.0)</f>
        <v>12</v>
      </c>
      <c r="O264" s="560"/>
      <c r="P264" s="562">
        <f>IFERROR(__xludf.DUMMYFUNCTION("""COMPUTED_VALUE"""),80.0)</f>
        <v>80</v>
      </c>
      <c r="Q264" s="562">
        <f>IFERROR(__xludf.DUMMYFUNCTION("""COMPUTED_VALUE"""),50.0)</f>
        <v>50</v>
      </c>
      <c r="R264" s="562">
        <f>IFERROR(__xludf.DUMMYFUNCTION("""COMPUTED_VALUE"""),86.0)</f>
        <v>86</v>
      </c>
      <c r="S264" s="562"/>
      <c r="T264" s="217">
        <f>IFERROR(__xludf.DUMMYFUNCTION("""COMPUTED_VALUE"""),12.0)</f>
        <v>12</v>
      </c>
      <c r="U264" s="217">
        <f>IFERROR(__xludf.DUMMYFUNCTION("""COMPUTED_VALUE"""),17.0)</f>
        <v>17</v>
      </c>
      <c r="V264" s="217">
        <f>IFERROR(__xludf.DUMMYFUNCTION("""COMPUTED_VALUE"""),46.0)</f>
        <v>46</v>
      </c>
      <c r="W264" s="217">
        <f>IFERROR(__xludf.DUMMYFUNCTION("""COMPUTED_VALUE"""),64.0)</f>
        <v>64</v>
      </c>
      <c r="X264" s="217">
        <f>IFERROR(__xludf.DUMMYFUNCTION("""COMPUTED_VALUE"""),92.0)</f>
        <v>92</v>
      </c>
      <c r="Y264" s="217"/>
      <c r="Z264" s="217"/>
      <c r="AA264" s="481">
        <f>IFERROR(__xludf.DUMMYFUNCTION("""COMPUTED_VALUE"""),98.0)</f>
        <v>98</v>
      </c>
      <c r="AB264" s="481">
        <f>IFERROR(__xludf.DUMMYFUNCTION("""COMPUTED_VALUE"""),100.0)</f>
        <v>100</v>
      </c>
      <c r="AC264" s="481">
        <f>IFERROR(__xludf.DUMMYFUNCTION("""COMPUTED_VALUE"""),74.0)</f>
        <v>74</v>
      </c>
      <c r="AD264" s="481">
        <f>IFERROR(__xludf.DUMMYFUNCTION("""COMPUTED_VALUE"""),60.0)</f>
        <v>60</v>
      </c>
      <c r="AE264" s="481">
        <f>IFERROR(__xludf.DUMMYFUNCTION("""COMPUTED_VALUE"""),80.0)</f>
        <v>80</v>
      </c>
      <c r="AF264" s="481"/>
      <c r="AG264" s="481">
        <f>IFERROR(__xludf.DUMMYFUNCTION("""COMPUTED_VALUE"""),46.0)</f>
        <v>46</v>
      </c>
      <c r="AH264" s="481"/>
      <c r="AI264" s="158"/>
      <c r="AJ264" s="158"/>
      <c r="AK264" s="133">
        <f>IFERROR(__xludf.DUMMYFUNCTION("""COMPUTED_VALUE"""),4.0)</f>
        <v>4</v>
      </c>
      <c r="AL264" s="133">
        <f>IFERROR(__xludf.DUMMYFUNCTION("""COMPUTED_VALUE"""),1.0)</f>
        <v>1</v>
      </c>
      <c r="AM264" s="133">
        <f>IFERROR(__xludf.DUMMYFUNCTION("""COMPUTED_VALUE"""),3.0)</f>
        <v>3</v>
      </c>
      <c r="AN264" s="133" t="str">
        <f>IFERROR(__xludf.DUMMYFUNCTION("""COMPUTED_VALUE"""),"3.5")</f>
        <v>3.5</v>
      </c>
      <c r="AO264" s="133">
        <f>IFERROR(__xludf.DUMMYFUNCTION("""COMPUTED_VALUE"""),3.0)</f>
        <v>3</v>
      </c>
      <c r="AP264" s="155" t="s">
        <v>3706</v>
      </c>
    </row>
    <row r="265">
      <c r="A265" s="261">
        <f>IFERROR(__xludf.DUMMYFUNCTION("""COMPUTED_VALUE"""),27.0)</f>
        <v>27</v>
      </c>
      <c r="B265" s="261" t="str">
        <f>IFERROR(__xludf.DUMMYFUNCTION("""COMPUTED_VALUE"""),"bapa23ise@cmrit.ac.in")</f>
        <v>bapa23ise@cmrit.ac.in</v>
      </c>
      <c r="C265" s="172" t="str">
        <f>IFERROR(__xludf.DUMMYFUNCTION("""COMPUTED_VALUE"""),"BALARAJ MALLAPPA PARANATTI")</f>
        <v>BALARAJ MALLAPPA PARANATTI</v>
      </c>
      <c r="D265" s="155" t="str">
        <f>IFERROR(__xludf.DUMMYFUNCTION("""COMPUTED_VALUE"""),"1CR23IS027")</f>
        <v>1CR23IS027</v>
      </c>
      <c r="E265" s="563">
        <f>IFERROR(__xludf.DUMMYFUNCTION("""COMPUTED_VALUE"""),7.676079693E9)</f>
        <v>7676079693</v>
      </c>
      <c r="F265" s="155" t="str">
        <f>IFERROR(__xludf.DUMMYFUNCTION("""COMPUTED_VALUE"""),"ISE")</f>
        <v>ISE</v>
      </c>
      <c r="G265" s="158"/>
      <c r="H265" s="559">
        <f>IFERROR(__xludf.DUMMYFUNCTION("""COMPUTED_VALUE"""),70.0)</f>
        <v>70</v>
      </c>
      <c r="I265" s="559">
        <f>IFERROR(__xludf.DUMMYFUNCTION("""COMPUTED_VALUE"""),76.0)</f>
        <v>76</v>
      </c>
      <c r="J265" s="559">
        <f>IFERROR(__xludf.DUMMYFUNCTION("""COMPUTED_VALUE"""),76.0)</f>
        <v>76</v>
      </c>
      <c r="K265" s="559">
        <f>IFERROR(__xludf.DUMMYFUNCTION("""COMPUTED_VALUE"""),70.0)</f>
        <v>70</v>
      </c>
      <c r="L265" s="560">
        <f>IFERROR(__xludf.DUMMYFUNCTION("""COMPUTED_VALUE"""),50.0)</f>
        <v>50</v>
      </c>
      <c r="M265" s="561">
        <f>IFERROR(__xludf.DUMMYFUNCTION("""COMPUTED_VALUE"""),50.0)</f>
        <v>50</v>
      </c>
      <c r="N265" s="561">
        <f>IFERROR(__xludf.DUMMYFUNCTION("""COMPUTED_VALUE"""),50.0)</f>
        <v>50</v>
      </c>
      <c r="O265" s="560"/>
      <c r="P265" s="562">
        <f>IFERROR(__xludf.DUMMYFUNCTION("""COMPUTED_VALUE"""),77.0)</f>
        <v>77</v>
      </c>
      <c r="Q265" s="562">
        <f>IFERROR(__xludf.DUMMYFUNCTION("""COMPUTED_VALUE"""),50.0)</f>
        <v>50</v>
      </c>
      <c r="R265" s="562">
        <f>IFERROR(__xludf.DUMMYFUNCTION("""COMPUTED_VALUE"""),50.0)</f>
        <v>50</v>
      </c>
      <c r="S265" s="562"/>
      <c r="T265" s="217">
        <f>IFERROR(__xludf.DUMMYFUNCTION("""COMPUTED_VALUE"""),11.0)</f>
        <v>11</v>
      </c>
      <c r="U265" s="217">
        <f>IFERROR(__xludf.DUMMYFUNCTION("""COMPUTED_VALUE"""),24.0)</f>
        <v>24</v>
      </c>
      <c r="V265" s="217">
        <f>IFERROR(__xludf.DUMMYFUNCTION("""COMPUTED_VALUE"""),46.0)</f>
        <v>46</v>
      </c>
      <c r="W265" s="217">
        <f>IFERROR(__xludf.DUMMYFUNCTION("""COMPUTED_VALUE"""),64.0)</f>
        <v>64</v>
      </c>
      <c r="X265" s="217">
        <f>IFERROR(__xludf.DUMMYFUNCTION("""COMPUTED_VALUE"""),84.0)</f>
        <v>84</v>
      </c>
      <c r="Y265" s="217"/>
      <c r="Z265" s="217"/>
      <c r="AA265" s="481">
        <f>IFERROR(__xludf.DUMMYFUNCTION("""COMPUTED_VALUE"""),52.0)</f>
        <v>52</v>
      </c>
      <c r="AB265" s="481">
        <f>IFERROR(__xludf.DUMMYFUNCTION("""COMPUTED_VALUE"""),100.0)</f>
        <v>100</v>
      </c>
      <c r="AC265" s="481">
        <f>IFERROR(__xludf.DUMMYFUNCTION("""COMPUTED_VALUE"""),66.0)</f>
        <v>66</v>
      </c>
      <c r="AD265" s="481">
        <f>IFERROR(__xludf.DUMMYFUNCTION("""COMPUTED_VALUE"""),60.0)</f>
        <v>60</v>
      </c>
      <c r="AE265" s="481">
        <f>IFERROR(__xludf.DUMMYFUNCTION("""COMPUTED_VALUE"""),70.0)</f>
        <v>70</v>
      </c>
      <c r="AF265" s="481"/>
      <c r="AG265" s="481">
        <f>IFERROR(__xludf.DUMMYFUNCTION("""COMPUTED_VALUE"""),71.0)</f>
        <v>71</v>
      </c>
      <c r="AH265" s="481"/>
      <c r="AI265" s="158"/>
      <c r="AJ265" s="158"/>
      <c r="AK265" s="133">
        <f>IFERROR(__xludf.DUMMYFUNCTION("""COMPUTED_VALUE"""),4.0)</f>
        <v>4</v>
      </c>
      <c r="AL265" s="133">
        <f>IFERROR(__xludf.DUMMYFUNCTION("""COMPUTED_VALUE"""),3.0)</f>
        <v>3</v>
      </c>
      <c r="AM265" s="133">
        <f>IFERROR(__xludf.DUMMYFUNCTION("""COMPUTED_VALUE"""),3.0)</f>
        <v>3</v>
      </c>
      <c r="AN265" s="133" t="str">
        <f>IFERROR(__xludf.DUMMYFUNCTION("""COMPUTED_VALUE"""),"3.5")</f>
        <v>3.5</v>
      </c>
      <c r="AO265" s="133">
        <f>IFERROR(__xludf.DUMMYFUNCTION("""COMPUTED_VALUE"""),3.0)</f>
        <v>3</v>
      </c>
      <c r="AP265" s="155" t="s">
        <v>3706</v>
      </c>
    </row>
    <row r="266">
      <c r="A266" s="261">
        <f>IFERROR(__xludf.DUMMYFUNCTION("""COMPUTED_VALUE"""),28.0)</f>
        <v>28</v>
      </c>
      <c r="B266" s="261" t="str">
        <f>IFERROR(__xludf.DUMMYFUNCTION("""COMPUTED_VALUE"""),"bek23ise@cmrit.ac.in")</f>
        <v>bek23ise@cmrit.ac.in</v>
      </c>
      <c r="C266" s="172" t="str">
        <f>IFERROR(__xludf.DUMMYFUNCTION("""COMPUTED_VALUE"""),"BEESHMA ARJUN K")</f>
        <v>BEESHMA ARJUN K</v>
      </c>
      <c r="D266" s="155" t="str">
        <f>IFERROR(__xludf.DUMMYFUNCTION("""COMPUTED_VALUE"""),"1CR23IS028")</f>
        <v>1CR23IS028</v>
      </c>
      <c r="E266" s="563">
        <f>IFERROR(__xludf.DUMMYFUNCTION("""COMPUTED_VALUE"""),7.975584486E9)</f>
        <v>7975584486</v>
      </c>
      <c r="F266" s="155" t="str">
        <f>IFERROR(__xludf.DUMMYFUNCTION("""COMPUTED_VALUE"""),"ISE")</f>
        <v>ISE</v>
      </c>
      <c r="G266" s="158"/>
      <c r="H266" s="559">
        <f>IFERROR(__xludf.DUMMYFUNCTION("""COMPUTED_VALUE"""),74.0)</f>
        <v>74</v>
      </c>
      <c r="I266" s="559">
        <f>IFERROR(__xludf.DUMMYFUNCTION("""COMPUTED_VALUE"""),86.0)</f>
        <v>86</v>
      </c>
      <c r="J266" s="559">
        <f>IFERROR(__xludf.DUMMYFUNCTION("""COMPUTED_VALUE"""),76.0)</f>
        <v>76</v>
      </c>
      <c r="K266" s="559">
        <f>IFERROR(__xludf.DUMMYFUNCTION("""COMPUTED_VALUE"""),70.0)</f>
        <v>70</v>
      </c>
      <c r="L266" s="560">
        <f>IFERROR(__xludf.DUMMYFUNCTION("""COMPUTED_VALUE"""),64.0)</f>
        <v>64</v>
      </c>
      <c r="M266" s="561">
        <f>IFERROR(__xludf.DUMMYFUNCTION("""COMPUTED_VALUE"""),64.0)</f>
        <v>64</v>
      </c>
      <c r="N266" s="561">
        <f>IFERROR(__xludf.DUMMYFUNCTION("""COMPUTED_VALUE"""),70.0)</f>
        <v>70</v>
      </c>
      <c r="O266" s="560"/>
      <c r="P266" s="562">
        <f>IFERROR(__xludf.DUMMYFUNCTION("""COMPUTED_VALUE"""),77.0)</f>
        <v>77</v>
      </c>
      <c r="Q266" s="562">
        <f>IFERROR(__xludf.DUMMYFUNCTION("""COMPUTED_VALUE"""),70.0)</f>
        <v>70</v>
      </c>
      <c r="R266" s="562">
        <f>IFERROR(__xludf.DUMMYFUNCTION("""COMPUTED_VALUE"""),81.0)</f>
        <v>81</v>
      </c>
      <c r="S266" s="562"/>
      <c r="T266" s="217">
        <f>IFERROR(__xludf.DUMMYFUNCTION("""COMPUTED_VALUE"""),14.0)</f>
        <v>14</v>
      </c>
      <c r="U266" s="217">
        <f>IFERROR(__xludf.DUMMYFUNCTION("""COMPUTED_VALUE"""),22.0)</f>
        <v>22</v>
      </c>
      <c r="V266" s="217"/>
      <c r="W266" s="217">
        <f>IFERROR(__xludf.DUMMYFUNCTION("""COMPUTED_VALUE"""),64.0)</f>
        <v>64</v>
      </c>
      <c r="X266" s="217">
        <f>IFERROR(__xludf.DUMMYFUNCTION("""COMPUTED_VALUE"""),72.0)</f>
        <v>72</v>
      </c>
      <c r="Y266" s="217"/>
      <c r="Z266" s="217"/>
      <c r="AA266" s="481">
        <f>IFERROR(__xludf.DUMMYFUNCTION("""COMPUTED_VALUE"""),96.0)</f>
        <v>96</v>
      </c>
      <c r="AB266" s="481">
        <f>IFERROR(__xludf.DUMMYFUNCTION("""COMPUTED_VALUE"""),100.0)</f>
        <v>100</v>
      </c>
      <c r="AC266" s="481">
        <f>IFERROR(__xludf.DUMMYFUNCTION("""COMPUTED_VALUE"""),80.0)</f>
        <v>80</v>
      </c>
      <c r="AD266" s="481">
        <f>IFERROR(__xludf.DUMMYFUNCTION("""COMPUTED_VALUE"""),75.0)</f>
        <v>75</v>
      </c>
      <c r="AE266" s="481">
        <f>IFERROR(__xludf.DUMMYFUNCTION("""COMPUTED_VALUE"""),77.0)</f>
        <v>77</v>
      </c>
      <c r="AF266" s="481"/>
      <c r="AG266" s="481">
        <f>IFERROR(__xludf.DUMMYFUNCTION("""COMPUTED_VALUE"""),69.0)</f>
        <v>69</v>
      </c>
      <c r="AH266" s="481"/>
      <c r="AI266" s="158"/>
      <c r="AJ266" s="158"/>
      <c r="AK266" s="133">
        <f>IFERROR(__xludf.DUMMYFUNCTION("""COMPUTED_VALUE"""),4.0)</f>
        <v>4</v>
      </c>
      <c r="AL266" s="133">
        <f>IFERROR(__xludf.DUMMYFUNCTION("""COMPUTED_VALUE"""),3.0)</f>
        <v>3</v>
      </c>
      <c r="AM266" s="133">
        <f>IFERROR(__xludf.DUMMYFUNCTION("""COMPUTED_VALUE"""),3.0)</f>
        <v>3</v>
      </c>
      <c r="AN266" s="133" t="str">
        <f>IFERROR(__xludf.DUMMYFUNCTION("""COMPUTED_VALUE"""),"3.5")</f>
        <v>3.5</v>
      </c>
      <c r="AO266" s="133">
        <f>IFERROR(__xludf.DUMMYFUNCTION("""COMPUTED_VALUE"""),3.0)</f>
        <v>3</v>
      </c>
      <c r="AP266" s="155" t="s">
        <v>3706</v>
      </c>
    </row>
    <row r="267">
      <c r="A267" s="261">
        <f>IFERROR(__xludf.DUMMYFUNCTION("""COMPUTED_VALUE"""),29.0)</f>
        <v>29</v>
      </c>
      <c r="B267" s="261" t="str">
        <f>IFERROR(__xludf.DUMMYFUNCTION("""COMPUTED_VALUE"""),"bhc23ise@cmrit.ac.in")</f>
        <v>bhc23ise@cmrit.ac.in</v>
      </c>
      <c r="C267" s="172" t="str">
        <f>IFERROR(__xludf.DUMMYFUNCTION("""COMPUTED_VALUE"""),"BHANU PRAKASHREDDY C")</f>
        <v>BHANU PRAKASHREDDY C</v>
      </c>
      <c r="D267" s="155" t="str">
        <f>IFERROR(__xludf.DUMMYFUNCTION("""COMPUTED_VALUE"""),"1CR23IS029")</f>
        <v>1CR23IS029</v>
      </c>
      <c r="E267" s="563">
        <f>IFERROR(__xludf.DUMMYFUNCTION("""COMPUTED_VALUE"""),9.945419326E9)</f>
        <v>9945419326</v>
      </c>
      <c r="F267" s="155" t="str">
        <f>IFERROR(__xludf.DUMMYFUNCTION("""COMPUTED_VALUE"""),"ISE")</f>
        <v>ISE</v>
      </c>
      <c r="G267" s="158"/>
      <c r="H267" s="559">
        <f>IFERROR(__xludf.DUMMYFUNCTION("""COMPUTED_VALUE"""),70.0)</f>
        <v>70</v>
      </c>
      <c r="I267" s="559">
        <f>IFERROR(__xludf.DUMMYFUNCTION("""COMPUTED_VALUE"""),83.0)</f>
        <v>83</v>
      </c>
      <c r="J267" s="559">
        <f>IFERROR(__xludf.DUMMYFUNCTION("""COMPUTED_VALUE"""),70.0)</f>
        <v>70</v>
      </c>
      <c r="K267" s="559">
        <f>IFERROR(__xludf.DUMMYFUNCTION("""COMPUTED_VALUE"""),70.0)</f>
        <v>70</v>
      </c>
      <c r="L267" s="560">
        <f>IFERROR(__xludf.DUMMYFUNCTION("""COMPUTED_VALUE"""),50.0)</f>
        <v>50</v>
      </c>
      <c r="M267" s="561">
        <f>IFERROR(__xludf.DUMMYFUNCTION("""COMPUTED_VALUE"""),37.0)</f>
        <v>37</v>
      </c>
      <c r="N267" s="561">
        <f>IFERROR(__xludf.DUMMYFUNCTION("""COMPUTED_VALUE"""),11.0)</f>
        <v>11</v>
      </c>
      <c r="O267" s="560"/>
      <c r="P267" s="562">
        <f>IFERROR(__xludf.DUMMYFUNCTION("""COMPUTED_VALUE"""),90.0)</f>
        <v>90</v>
      </c>
      <c r="Q267" s="562">
        <f>IFERROR(__xludf.DUMMYFUNCTION("""COMPUTED_VALUE"""),50.0)</f>
        <v>50</v>
      </c>
      <c r="R267" s="562">
        <f>IFERROR(__xludf.DUMMYFUNCTION("""COMPUTED_VALUE"""),82.0)</f>
        <v>82</v>
      </c>
      <c r="S267" s="562"/>
      <c r="T267" s="217">
        <f>IFERROR(__xludf.DUMMYFUNCTION("""COMPUTED_VALUE"""),18.0)</f>
        <v>18</v>
      </c>
      <c r="U267" s="217">
        <f>IFERROR(__xludf.DUMMYFUNCTION("""COMPUTED_VALUE"""),24.0)</f>
        <v>24</v>
      </c>
      <c r="V267" s="217">
        <f>IFERROR(__xludf.DUMMYFUNCTION("""COMPUTED_VALUE"""),42.0)</f>
        <v>42</v>
      </c>
      <c r="W267" s="217">
        <f>IFERROR(__xludf.DUMMYFUNCTION("""COMPUTED_VALUE"""),52.0)</f>
        <v>52</v>
      </c>
      <c r="X267" s="217">
        <f>IFERROR(__xludf.DUMMYFUNCTION("""COMPUTED_VALUE"""),72.0)</f>
        <v>72</v>
      </c>
      <c r="Y267" s="217"/>
      <c r="Z267" s="217"/>
      <c r="AA267" s="481">
        <f>IFERROR(__xludf.DUMMYFUNCTION("""COMPUTED_VALUE"""),12.0)</f>
        <v>12</v>
      </c>
      <c r="AB267" s="481">
        <f>IFERROR(__xludf.DUMMYFUNCTION("""COMPUTED_VALUE"""),90.0)</f>
        <v>90</v>
      </c>
      <c r="AC267" s="481">
        <f>IFERROR(__xludf.DUMMYFUNCTION("""COMPUTED_VALUE"""),62.0)</f>
        <v>62</v>
      </c>
      <c r="AD267" s="481">
        <f>IFERROR(__xludf.DUMMYFUNCTION("""COMPUTED_VALUE"""),60.0)</f>
        <v>60</v>
      </c>
      <c r="AE267" s="481">
        <f>IFERROR(__xludf.DUMMYFUNCTION("""COMPUTED_VALUE"""),52.0)</f>
        <v>52</v>
      </c>
      <c r="AF267" s="481"/>
      <c r="AG267" s="481">
        <f>IFERROR(__xludf.DUMMYFUNCTION("""COMPUTED_VALUE"""),30.0)</f>
        <v>30</v>
      </c>
      <c r="AH267" s="481"/>
      <c r="AI267" s="158"/>
      <c r="AJ267" s="158"/>
      <c r="AK267" s="133">
        <f>IFERROR(__xludf.DUMMYFUNCTION("""COMPUTED_VALUE"""),4.0)</f>
        <v>4</v>
      </c>
      <c r="AL267" s="133">
        <f>IFERROR(__xludf.DUMMYFUNCTION("""COMPUTED_VALUE"""),1.0)</f>
        <v>1</v>
      </c>
      <c r="AM267" s="133">
        <f>IFERROR(__xludf.DUMMYFUNCTION("""COMPUTED_VALUE"""),3.0)</f>
        <v>3</v>
      </c>
      <c r="AN267" s="133" t="str">
        <f>IFERROR(__xludf.DUMMYFUNCTION("""COMPUTED_VALUE"""),"3")</f>
        <v>3</v>
      </c>
      <c r="AO267" s="133">
        <f>IFERROR(__xludf.DUMMYFUNCTION("""COMPUTED_VALUE"""),3.0)</f>
        <v>3</v>
      </c>
      <c r="AP267" s="155" t="s">
        <v>3706</v>
      </c>
    </row>
    <row r="268">
      <c r="A268" s="261">
        <f>IFERROR(__xludf.DUMMYFUNCTION("""COMPUTED_VALUE"""),30.0)</f>
        <v>30</v>
      </c>
      <c r="B268" s="261" t="str">
        <f>IFERROR(__xludf.DUMMYFUNCTION("""COMPUTED_VALUE"""),"bhgm23ise@cmrit.ac.in")</f>
        <v>bhgm23ise@cmrit.ac.in</v>
      </c>
      <c r="C268" s="172" t="str">
        <f>IFERROR(__xludf.DUMMYFUNCTION("""COMPUTED_VALUE"""),"BHARATH G M")</f>
        <v>BHARATH G M</v>
      </c>
      <c r="D268" s="155" t="str">
        <f>IFERROR(__xludf.DUMMYFUNCTION("""COMPUTED_VALUE"""),"1CR23IS030")</f>
        <v>1CR23IS030</v>
      </c>
      <c r="E268" s="563">
        <f>IFERROR(__xludf.DUMMYFUNCTION("""COMPUTED_VALUE"""),6.361673647E9)</f>
        <v>6361673647</v>
      </c>
      <c r="F268" s="155" t="str">
        <f>IFERROR(__xludf.DUMMYFUNCTION("""COMPUTED_VALUE"""),"ISE")</f>
        <v>ISE</v>
      </c>
      <c r="G268" s="158"/>
      <c r="H268" s="559">
        <f>IFERROR(__xludf.DUMMYFUNCTION("""COMPUTED_VALUE"""),70.0)</f>
        <v>70</v>
      </c>
      <c r="I268" s="559">
        <f>IFERROR(__xludf.DUMMYFUNCTION("""COMPUTED_VALUE"""),75.0)</f>
        <v>75</v>
      </c>
      <c r="J268" s="559">
        <f>IFERROR(__xludf.DUMMYFUNCTION("""COMPUTED_VALUE"""),70.0)</f>
        <v>70</v>
      </c>
      <c r="K268" s="559">
        <f>IFERROR(__xludf.DUMMYFUNCTION("""COMPUTED_VALUE"""),70.0)</f>
        <v>70</v>
      </c>
      <c r="L268" s="560">
        <f>IFERROR(__xludf.DUMMYFUNCTION("""COMPUTED_VALUE"""),21.0)</f>
        <v>21</v>
      </c>
      <c r="M268" s="561">
        <f>IFERROR(__xludf.DUMMYFUNCTION("""COMPUTED_VALUE"""),50.0)</f>
        <v>50</v>
      </c>
      <c r="N268" s="561">
        <f>IFERROR(__xludf.DUMMYFUNCTION("""COMPUTED_VALUE"""),50.0)</f>
        <v>50</v>
      </c>
      <c r="O268" s="560"/>
      <c r="P268" s="562">
        <f>IFERROR(__xludf.DUMMYFUNCTION("""COMPUTED_VALUE"""),50.0)</f>
        <v>50</v>
      </c>
      <c r="Q268" s="562">
        <f>IFERROR(__xludf.DUMMYFUNCTION("""COMPUTED_VALUE"""),50.0)</f>
        <v>50</v>
      </c>
      <c r="R268" s="562">
        <f>IFERROR(__xludf.DUMMYFUNCTION("""COMPUTED_VALUE"""),50.0)</f>
        <v>50</v>
      </c>
      <c r="S268" s="562"/>
      <c r="T268" s="217">
        <f>IFERROR(__xludf.DUMMYFUNCTION("""COMPUTED_VALUE"""),11.0)</f>
        <v>11</v>
      </c>
      <c r="U268" s="217">
        <f>IFERROR(__xludf.DUMMYFUNCTION("""COMPUTED_VALUE"""),21.0)</f>
        <v>21</v>
      </c>
      <c r="V268" s="217">
        <f>IFERROR(__xludf.DUMMYFUNCTION("""COMPUTED_VALUE"""),42.0)</f>
        <v>42</v>
      </c>
      <c r="W268" s="217">
        <f>IFERROR(__xludf.DUMMYFUNCTION("""COMPUTED_VALUE"""),64.0)</f>
        <v>64</v>
      </c>
      <c r="X268" s="217">
        <f>IFERROR(__xludf.DUMMYFUNCTION("""COMPUTED_VALUE"""),68.0)</f>
        <v>68</v>
      </c>
      <c r="Y268" s="217"/>
      <c r="Z268" s="217"/>
      <c r="AA268" s="481">
        <f>IFERROR(__xludf.DUMMYFUNCTION("""COMPUTED_VALUE"""),26.0)</f>
        <v>26</v>
      </c>
      <c r="AB268" s="481">
        <f>IFERROR(__xludf.DUMMYFUNCTION("""COMPUTED_VALUE"""),87.0)</f>
        <v>87</v>
      </c>
      <c r="AC268" s="481">
        <f>IFERROR(__xludf.DUMMYFUNCTION("""COMPUTED_VALUE"""),61.0)</f>
        <v>61</v>
      </c>
      <c r="AD268" s="481">
        <f>IFERROR(__xludf.DUMMYFUNCTION("""COMPUTED_VALUE"""),60.0)</f>
        <v>60</v>
      </c>
      <c r="AE268" s="481">
        <f>IFERROR(__xludf.DUMMYFUNCTION("""COMPUTED_VALUE"""),15.0)</f>
        <v>15</v>
      </c>
      <c r="AF268" s="481"/>
      <c r="AG268" s="481">
        <f>IFERROR(__xludf.DUMMYFUNCTION("""COMPUTED_VALUE"""),33.0)</f>
        <v>33</v>
      </c>
      <c r="AH268" s="481"/>
      <c r="AI268" s="158"/>
      <c r="AJ268" s="158"/>
      <c r="AK268" s="133">
        <f>IFERROR(__xludf.DUMMYFUNCTION("""COMPUTED_VALUE"""),4.0)</f>
        <v>4</v>
      </c>
      <c r="AL268" s="133">
        <f>IFERROR(__xludf.DUMMYFUNCTION("""COMPUTED_VALUE"""),0.0)</f>
        <v>0</v>
      </c>
      <c r="AM268" s="133">
        <f>IFERROR(__xludf.DUMMYFUNCTION("""COMPUTED_VALUE"""),3.0)</f>
        <v>3</v>
      </c>
      <c r="AN268" s="133" t="str">
        <f>IFERROR(__xludf.DUMMYFUNCTION("""COMPUTED_VALUE"""),"3")</f>
        <v>3</v>
      </c>
      <c r="AO268" s="133">
        <f>IFERROR(__xludf.DUMMYFUNCTION("""COMPUTED_VALUE"""),3.0)</f>
        <v>3</v>
      </c>
      <c r="AP268" s="155" t="s">
        <v>3706</v>
      </c>
    </row>
    <row r="269">
      <c r="A269" s="261">
        <f>IFERROR(__xludf.DUMMYFUNCTION("""COMPUTED_VALUE"""),31.0)</f>
        <v>31</v>
      </c>
      <c r="B269" s="261" t="str">
        <f>IFERROR(__xludf.DUMMYFUNCTION("""COMPUTED_VALUE"""),"bhg23ise@cmrit.ac.in")</f>
        <v>bhg23ise@cmrit.ac.in</v>
      </c>
      <c r="C269" s="172" t="str">
        <f>IFERROR(__xludf.DUMMYFUNCTION("""COMPUTED_VALUE"""),"BHAVYASHREE G")</f>
        <v>BHAVYASHREE G</v>
      </c>
      <c r="D269" s="155" t="str">
        <f>IFERROR(__xludf.DUMMYFUNCTION("""COMPUTED_VALUE"""),"1CR23IS031")</f>
        <v>1CR23IS031</v>
      </c>
      <c r="E269" s="563">
        <f>IFERROR(__xludf.DUMMYFUNCTION("""COMPUTED_VALUE"""),9.483310578E9)</f>
        <v>9483310578</v>
      </c>
      <c r="F269" s="155" t="str">
        <f>IFERROR(__xludf.DUMMYFUNCTION("""COMPUTED_VALUE"""),"ISE")</f>
        <v>ISE</v>
      </c>
      <c r="G269" s="158"/>
      <c r="H269" s="559">
        <f>IFERROR(__xludf.DUMMYFUNCTION("""COMPUTED_VALUE"""),65.0)</f>
        <v>65</v>
      </c>
      <c r="I269" s="559">
        <f>IFERROR(__xludf.DUMMYFUNCTION("""COMPUTED_VALUE"""),79.0)</f>
        <v>79</v>
      </c>
      <c r="J269" s="559">
        <f>IFERROR(__xludf.DUMMYFUNCTION("""COMPUTED_VALUE"""),70.0)</f>
        <v>70</v>
      </c>
      <c r="K269" s="559">
        <f>IFERROR(__xludf.DUMMYFUNCTION("""COMPUTED_VALUE"""),73.0)</f>
        <v>73</v>
      </c>
      <c r="L269" s="560">
        <f>IFERROR(__xludf.DUMMYFUNCTION("""COMPUTED_VALUE"""),28.0)</f>
        <v>28</v>
      </c>
      <c r="M269" s="561">
        <f>IFERROR(__xludf.DUMMYFUNCTION("""COMPUTED_VALUE"""),41.0)</f>
        <v>41</v>
      </c>
      <c r="N269" s="561">
        <f>IFERROR(__xludf.DUMMYFUNCTION("""COMPUTED_VALUE"""),50.0)</f>
        <v>50</v>
      </c>
      <c r="O269" s="560"/>
      <c r="P269" s="562">
        <f>IFERROR(__xludf.DUMMYFUNCTION("""COMPUTED_VALUE"""),91.0)</f>
        <v>91</v>
      </c>
      <c r="Q269" s="562">
        <f>IFERROR(__xludf.DUMMYFUNCTION("""COMPUTED_VALUE"""),55.0)</f>
        <v>55</v>
      </c>
      <c r="R269" s="562">
        <f>IFERROR(__xludf.DUMMYFUNCTION("""COMPUTED_VALUE"""),86.0)</f>
        <v>86</v>
      </c>
      <c r="S269" s="562"/>
      <c r="T269" s="217">
        <f>IFERROR(__xludf.DUMMYFUNCTION("""COMPUTED_VALUE"""),20.0)</f>
        <v>20</v>
      </c>
      <c r="U269" s="217">
        <f>IFERROR(__xludf.DUMMYFUNCTION("""COMPUTED_VALUE"""),22.0)</f>
        <v>22</v>
      </c>
      <c r="V269" s="217">
        <f>IFERROR(__xludf.DUMMYFUNCTION("""COMPUTED_VALUE"""),48.0)</f>
        <v>48</v>
      </c>
      <c r="W269" s="217">
        <f>IFERROR(__xludf.DUMMYFUNCTION("""COMPUTED_VALUE"""),60.0)</f>
        <v>60</v>
      </c>
      <c r="X269" s="217">
        <f>IFERROR(__xludf.DUMMYFUNCTION("""COMPUTED_VALUE"""),76.0)</f>
        <v>76</v>
      </c>
      <c r="Y269" s="217"/>
      <c r="Z269" s="217"/>
      <c r="AA269" s="481">
        <f>IFERROR(__xludf.DUMMYFUNCTION("""COMPUTED_VALUE"""),100.0)</f>
        <v>100</v>
      </c>
      <c r="AB269" s="481">
        <f>IFERROR(__xludf.DUMMYFUNCTION("""COMPUTED_VALUE"""),93.0)</f>
        <v>93</v>
      </c>
      <c r="AC269" s="481">
        <f>IFERROR(__xludf.DUMMYFUNCTION("""COMPUTED_VALUE"""),70.0)</f>
        <v>70</v>
      </c>
      <c r="AD269" s="481">
        <f>IFERROR(__xludf.DUMMYFUNCTION("""COMPUTED_VALUE"""),60.0)</f>
        <v>60</v>
      </c>
      <c r="AE269" s="481">
        <f>IFERROR(__xludf.DUMMYFUNCTION("""COMPUTED_VALUE"""),61.0)</f>
        <v>61</v>
      </c>
      <c r="AF269" s="481"/>
      <c r="AG269" s="481">
        <f>IFERROR(__xludf.DUMMYFUNCTION("""COMPUTED_VALUE"""),67.0)</f>
        <v>67</v>
      </c>
      <c r="AH269" s="481"/>
      <c r="AI269" s="158"/>
      <c r="AJ269" s="158"/>
      <c r="AK269" s="133">
        <f>IFERROR(__xludf.DUMMYFUNCTION("""COMPUTED_VALUE"""),4.0)</f>
        <v>4</v>
      </c>
      <c r="AL269" s="133">
        <f>IFERROR(__xludf.DUMMYFUNCTION("""COMPUTED_VALUE"""),0.0)</f>
        <v>0</v>
      </c>
      <c r="AM269" s="133">
        <f>IFERROR(__xludf.DUMMYFUNCTION("""COMPUTED_VALUE"""),3.0)</f>
        <v>3</v>
      </c>
      <c r="AN269" s="133" t="str">
        <f>IFERROR(__xludf.DUMMYFUNCTION("""COMPUTED_VALUE"""),"3")</f>
        <v>3</v>
      </c>
      <c r="AO269" s="133">
        <f>IFERROR(__xludf.DUMMYFUNCTION("""COMPUTED_VALUE"""),3.0)</f>
        <v>3</v>
      </c>
      <c r="AP269" s="155" t="s">
        <v>3706</v>
      </c>
    </row>
    <row r="270">
      <c r="A270" s="261">
        <f>IFERROR(__xludf.DUMMYFUNCTION("""COMPUTED_VALUE"""),32.0)</f>
        <v>32</v>
      </c>
      <c r="B270" s="261" t="str">
        <f>IFERROR(__xludf.DUMMYFUNCTION("""COMPUTED_VALUE"""),"bhma23ise@cmrit.ac.in")</f>
        <v>bhma23ise@cmrit.ac.in</v>
      </c>
      <c r="C270" s="172" t="str">
        <f>IFERROR(__xludf.DUMMYFUNCTION("""COMPUTED_VALUE"""),"BHOOMIKA MANTUR")</f>
        <v>BHOOMIKA MANTUR</v>
      </c>
      <c r="D270" s="155" t="str">
        <f>IFERROR(__xludf.DUMMYFUNCTION("""COMPUTED_VALUE"""),"1CR23IS032")</f>
        <v>1CR23IS032</v>
      </c>
      <c r="E270" s="563">
        <f>IFERROR(__xludf.DUMMYFUNCTION("""COMPUTED_VALUE"""),6.362442718E9)</f>
        <v>6362442718</v>
      </c>
      <c r="F270" s="155" t="str">
        <f>IFERROR(__xludf.DUMMYFUNCTION("""COMPUTED_VALUE"""),"ISE")</f>
        <v>ISE</v>
      </c>
      <c r="G270" s="158"/>
      <c r="H270" s="559">
        <f>IFERROR(__xludf.DUMMYFUNCTION("""COMPUTED_VALUE"""),77.0)</f>
        <v>77</v>
      </c>
      <c r="I270" s="559">
        <f>IFERROR(__xludf.DUMMYFUNCTION("""COMPUTED_VALUE"""),84.0)</f>
        <v>84</v>
      </c>
      <c r="J270" s="559">
        <f>IFERROR(__xludf.DUMMYFUNCTION("""COMPUTED_VALUE"""),70.0)</f>
        <v>70</v>
      </c>
      <c r="K270" s="559">
        <f>IFERROR(__xludf.DUMMYFUNCTION("""COMPUTED_VALUE"""),70.0)</f>
        <v>70</v>
      </c>
      <c r="L270" s="560">
        <f>IFERROR(__xludf.DUMMYFUNCTION("""COMPUTED_VALUE"""),54.0)</f>
        <v>54</v>
      </c>
      <c r="M270" s="561">
        <f>IFERROR(__xludf.DUMMYFUNCTION("""COMPUTED_VALUE"""),58.0)</f>
        <v>58</v>
      </c>
      <c r="N270" s="561">
        <f>IFERROR(__xludf.DUMMYFUNCTION("""COMPUTED_VALUE"""),56.0)</f>
        <v>56</v>
      </c>
      <c r="O270" s="560"/>
      <c r="P270" s="562">
        <f>IFERROR(__xludf.DUMMYFUNCTION("""COMPUTED_VALUE"""),50.0)</f>
        <v>50</v>
      </c>
      <c r="Q270" s="562">
        <f>IFERROR(__xludf.DUMMYFUNCTION("""COMPUTED_VALUE"""),58.0)</f>
        <v>58</v>
      </c>
      <c r="R270" s="562">
        <f>IFERROR(__xludf.DUMMYFUNCTION("""COMPUTED_VALUE"""),78.0)</f>
        <v>78</v>
      </c>
      <c r="S270" s="562"/>
      <c r="T270" s="217">
        <f>IFERROR(__xludf.DUMMYFUNCTION("""COMPUTED_VALUE"""),12.0)</f>
        <v>12</v>
      </c>
      <c r="U270" s="217">
        <f>IFERROR(__xludf.DUMMYFUNCTION("""COMPUTED_VALUE"""),23.0)</f>
        <v>23</v>
      </c>
      <c r="V270" s="217">
        <f>IFERROR(__xludf.DUMMYFUNCTION("""COMPUTED_VALUE"""),48.0)</f>
        <v>48</v>
      </c>
      <c r="W270" s="217">
        <f>IFERROR(__xludf.DUMMYFUNCTION("""COMPUTED_VALUE"""),56.0)</f>
        <v>56</v>
      </c>
      <c r="X270" s="217">
        <f>IFERROR(__xludf.DUMMYFUNCTION("""COMPUTED_VALUE"""),72.0)</f>
        <v>72</v>
      </c>
      <c r="Y270" s="217"/>
      <c r="Z270" s="217"/>
      <c r="AA270" s="481">
        <f>IFERROR(__xludf.DUMMYFUNCTION("""COMPUTED_VALUE"""),94.0)</f>
        <v>94</v>
      </c>
      <c r="AB270" s="481">
        <f>IFERROR(__xludf.DUMMYFUNCTION("""COMPUTED_VALUE"""),93.0)</f>
        <v>93</v>
      </c>
      <c r="AC270" s="481">
        <f>IFERROR(__xludf.DUMMYFUNCTION("""COMPUTED_VALUE"""),77.0)</f>
        <v>77</v>
      </c>
      <c r="AD270" s="481">
        <f>IFERROR(__xludf.DUMMYFUNCTION("""COMPUTED_VALUE"""),77.0)</f>
        <v>77</v>
      </c>
      <c r="AE270" s="481">
        <f>IFERROR(__xludf.DUMMYFUNCTION("""COMPUTED_VALUE"""),70.0)</f>
        <v>70</v>
      </c>
      <c r="AF270" s="481"/>
      <c r="AG270" s="481">
        <f>IFERROR(__xludf.DUMMYFUNCTION("""COMPUTED_VALUE"""),69.0)</f>
        <v>69</v>
      </c>
      <c r="AH270" s="481"/>
      <c r="AI270" s="158"/>
      <c r="AJ270" s="158"/>
      <c r="AK270" s="133">
        <f>IFERROR(__xludf.DUMMYFUNCTION("""COMPUTED_VALUE"""),4.0)</f>
        <v>4</v>
      </c>
      <c r="AL270" s="133">
        <f>IFERROR(__xludf.DUMMYFUNCTION("""COMPUTED_VALUE"""),3.0)</f>
        <v>3</v>
      </c>
      <c r="AM270" s="133">
        <f>IFERROR(__xludf.DUMMYFUNCTION("""COMPUTED_VALUE"""),3.0)</f>
        <v>3</v>
      </c>
      <c r="AN270" s="133" t="str">
        <f>IFERROR(__xludf.DUMMYFUNCTION("""COMPUTED_VALUE"""),"3.5")</f>
        <v>3.5</v>
      </c>
      <c r="AO270" s="133">
        <f>IFERROR(__xludf.DUMMYFUNCTION("""COMPUTED_VALUE"""),3.0)</f>
        <v>3</v>
      </c>
      <c r="AP270" s="155" t="s">
        <v>3706</v>
      </c>
    </row>
    <row r="271">
      <c r="A271" s="261">
        <f>IFERROR(__xludf.DUMMYFUNCTION("""COMPUTED_VALUE"""),33.0)</f>
        <v>33</v>
      </c>
      <c r="B271" s="261" t="str">
        <f>IFERROR(__xludf.DUMMYFUNCTION("""COMPUTED_VALUE"""),"bich23ise@cmrit.ac.in")</f>
        <v>bich23ise@cmrit.ac.in</v>
      </c>
      <c r="C271" s="172" t="str">
        <f>IFERROR(__xludf.DUMMYFUNCTION("""COMPUTED_VALUE"""),"BIBEK CHAUBE")</f>
        <v>BIBEK CHAUBE</v>
      </c>
      <c r="D271" s="155" t="str">
        <f>IFERROR(__xludf.DUMMYFUNCTION("""COMPUTED_VALUE"""),"1CR23IS033")</f>
        <v>1CR23IS033</v>
      </c>
      <c r="E271" s="563">
        <f>IFERROR(__xludf.DUMMYFUNCTION("""COMPUTED_VALUE"""),7.570971724E9)</f>
        <v>7570971724</v>
      </c>
      <c r="F271" s="155" t="str">
        <f>IFERROR(__xludf.DUMMYFUNCTION("""COMPUTED_VALUE"""),"ISE")</f>
        <v>ISE</v>
      </c>
      <c r="G271" s="158"/>
      <c r="H271" s="559">
        <f>IFERROR(__xludf.DUMMYFUNCTION("""COMPUTED_VALUE"""),62.0)</f>
        <v>62</v>
      </c>
      <c r="I271" s="559">
        <f>IFERROR(__xludf.DUMMYFUNCTION("""COMPUTED_VALUE"""),70.0)</f>
        <v>70</v>
      </c>
      <c r="J271" s="559">
        <f>IFERROR(__xludf.DUMMYFUNCTION("""COMPUTED_VALUE"""),26.0)</f>
        <v>26</v>
      </c>
      <c r="K271" s="559">
        <f>IFERROR(__xludf.DUMMYFUNCTION("""COMPUTED_VALUE"""),30.0)</f>
        <v>30</v>
      </c>
      <c r="L271" s="560">
        <f>IFERROR(__xludf.DUMMYFUNCTION("""COMPUTED_VALUE"""),28.0)</f>
        <v>28</v>
      </c>
      <c r="M271" s="561">
        <f>IFERROR(__xludf.DUMMYFUNCTION("""COMPUTED_VALUE"""),0.0)</f>
        <v>0</v>
      </c>
      <c r="N271" s="561">
        <f>IFERROR(__xludf.DUMMYFUNCTION("""COMPUTED_VALUE"""),0.0)</f>
        <v>0</v>
      </c>
      <c r="O271" s="560"/>
      <c r="P271" s="562">
        <f>IFERROR(__xludf.DUMMYFUNCTION("""COMPUTED_VALUE"""),0.0)</f>
        <v>0</v>
      </c>
      <c r="Q271" s="562">
        <f>IFERROR(__xludf.DUMMYFUNCTION("""COMPUTED_VALUE"""),0.0)</f>
        <v>0</v>
      </c>
      <c r="R271" s="562">
        <f>IFERROR(__xludf.DUMMYFUNCTION("""COMPUTED_VALUE"""),0.0)</f>
        <v>0</v>
      </c>
      <c r="S271" s="562"/>
      <c r="T271" s="217">
        <f>IFERROR(__xludf.DUMMYFUNCTION("""COMPUTED_VALUE"""),12.0)</f>
        <v>12</v>
      </c>
      <c r="U271" s="217">
        <f>IFERROR(__xludf.DUMMYFUNCTION("""COMPUTED_VALUE"""),19.0)</f>
        <v>19</v>
      </c>
      <c r="V271" s="217"/>
      <c r="W271" s="217"/>
      <c r="X271" s="217">
        <f>IFERROR(__xludf.DUMMYFUNCTION("""COMPUTED_VALUE"""),0.0)</f>
        <v>0</v>
      </c>
      <c r="Y271" s="217"/>
      <c r="Z271" s="217"/>
      <c r="AA271" s="481">
        <f>IFERROR(__xludf.DUMMYFUNCTION("""COMPUTED_VALUE"""),24.0)</f>
        <v>24</v>
      </c>
      <c r="AB271" s="481">
        <f>IFERROR(__xludf.DUMMYFUNCTION("""COMPUTED_VALUE"""),86.0)</f>
        <v>86</v>
      </c>
      <c r="AC271" s="481">
        <f>IFERROR(__xludf.DUMMYFUNCTION("""COMPUTED_VALUE"""),0.0)</f>
        <v>0</v>
      </c>
      <c r="AD271" s="481">
        <f>IFERROR(__xludf.DUMMYFUNCTION("""COMPUTED_VALUE"""),0.0)</f>
        <v>0</v>
      </c>
      <c r="AE271" s="481">
        <f>IFERROR(__xludf.DUMMYFUNCTION("""COMPUTED_VALUE"""),10.0)</f>
        <v>10</v>
      </c>
      <c r="AF271" s="481"/>
      <c r="AG271" s="481">
        <f>IFERROR(__xludf.DUMMYFUNCTION("""COMPUTED_VALUE"""),30.0)</f>
        <v>30</v>
      </c>
      <c r="AH271" s="481"/>
      <c r="AI271" s="158"/>
      <c r="AJ271" s="158"/>
      <c r="AK271" s="133">
        <f>IFERROR(__xludf.DUMMYFUNCTION("""COMPUTED_VALUE"""),0.0)</f>
        <v>0</v>
      </c>
      <c r="AL271" s="133">
        <f>IFERROR(__xludf.DUMMYFUNCTION("""COMPUTED_VALUE"""),0.0)</f>
        <v>0</v>
      </c>
      <c r="AM271" s="133">
        <f>IFERROR(__xludf.DUMMYFUNCTION("""COMPUTED_VALUE"""),2.0)</f>
        <v>2</v>
      </c>
      <c r="AN271" s="133" t="str">
        <f>IFERROR(__xludf.DUMMYFUNCTION("""COMPUTED_VALUE"""),"2")</f>
        <v>2</v>
      </c>
      <c r="AO271" s="133">
        <f>IFERROR(__xludf.DUMMYFUNCTION("""COMPUTED_VALUE"""),0.0)</f>
        <v>0</v>
      </c>
      <c r="AP271" s="155" t="s">
        <v>3706</v>
      </c>
    </row>
    <row r="272">
      <c r="A272" s="261">
        <f>IFERROR(__xludf.DUMMYFUNCTION("""COMPUTED_VALUE"""),34.0)</f>
        <v>34</v>
      </c>
      <c r="B272" s="261" t="str">
        <f>IFERROR(__xludf.DUMMYFUNCTION("""COMPUTED_VALUE"""),"bike23ise@cmrit.ac.in")</f>
        <v>bike23ise@cmrit.ac.in</v>
      </c>
      <c r="C272" s="172" t="str">
        <f>IFERROR(__xludf.DUMMYFUNCTION("""COMPUTED_VALUE"""),"BIJJAMULA KEERTHI")</f>
        <v>BIJJAMULA KEERTHI</v>
      </c>
      <c r="D272" s="155" t="str">
        <f>IFERROR(__xludf.DUMMYFUNCTION("""COMPUTED_VALUE"""),"1CR23IS034")</f>
        <v>1CR23IS034</v>
      </c>
      <c r="E272" s="563">
        <f>IFERROR(__xludf.DUMMYFUNCTION("""COMPUTED_VALUE"""),9.908667847E9)</f>
        <v>9908667847</v>
      </c>
      <c r="F272" s="155" t="str">
        <f>IFERROR(__xludf.DUMMYFUNCTION("""COMPUTED_VALUE"""),"ISE")</f>
        <v>ISE</v>
      </c>
      <c r="G272" s="158"/>
      <c r="H272" s="559">
        <f>IFERROR(__xludf.DUMMYFUNCTION("""COMPUTED_VALUE"""),65.0)</f>
        <v>65</v>
      </c>
      <c r="I272" s="559">
        <f>IFERROR(__xludf.DUMMYFUNCTION("""COMPUTED_VALUE"""),76.0)</f>
        <v>76</v>
      </c>
      <c r="J272" s="559">
        <f>IFERROR(__xludf.DUMMYFUNCTION("""COMPUTED_VALUE"""),70.0)</f>
        <v>70</v>
      </c>
      <c r="K272" s="559">
        <f>IFERROR(__xludf.DUMMYFUNCTION("""COMPUTED_VALUE"""),70.0)</f>
        <v>70</v>
      </c>
      <c r="L272" s="560">
        <f>IFERROR(__xludf.DUMMYFUNCTION("""COMPUTED_VALUE"""),50.0)</f>
        <v>50</v>
      </c>
      <c r="M272" s="561">
        <f>IFERROR(__xludf.DUMMYFUNCTION("""COMPUTED_VALUE"""),50.0)</f>
        <v>50</v>
      </c>
      <c r="N272" s="561">
        <f>IFERROR(__xludf.DUMMYFUNCTION("""COMPUTED_VALUE"""),50.0)</f>
        <v>50</v>
      </c>
      <c r="O272" s="560"/>
      <c r="P272" s="562">
        <f>IFERROR(__xludf.DUMMYFUNCTION("""COMPUTED_VALUE"""),50.0)</f>
        <v>50</v>
      </c>
      <c r="Q272" s="562">
        <f>IFERROR(__xludf.DUMMYFUNCTION("""COMPUTED_VALUE"""),55.0)</f>
        <v>55</v>
      </c>
      <c r="R272" s="562">
        <f>IFERROR(__xludf.DUMMYFUNCTION("""COMPUTED_VALUE"""),50.0)</f>
        <v>50</v>
      </c>
      <c r="S272" s="562"/>
      <c r="T272" s="217">
        <f>IFERROR(__xludf.DUMMYFUNCTION("""COMPUTED_VALUE"""),20.0)</f>
        <v>20</v>
      </c>
      <c r="U272" s="217">
        <f>IFERROR(__xludf.DUMMYFUNCTION("""COMPUTED_VALUE"""),22.0)</f>
        <v>22</v>
      </c>
      <c r="V272" s="217">
        <f>IFERROR(__xludf.DUMMYFUNCTION("""COMPUTED_VALUE"""),48.0)</f>
        <v>48</v>
      </c>
      <c r="W272" s="217">
        <f>IFERROR(__xludf.DUMMYFUNCTION("""COMPUTED_VALUE"""),64.0)</f>
        <v>64</v>
      </c>
      <c r="X272" s="217">
        <f>IFERROR(__xludf.DUMMYFUNCTION("""COMPUTED_VALUE"""),64.0)</f>
        <v>64</v>
      </c>
      <c r="Y272" s="217"/>
      <c r="Z272" s="217"/>
      <c r="AA272" s="481">
        <f>IFERROR(__xludf.DUMMYFUNCTION("""COMPUTED_VALUE"""),100.0)</f>
        <v>100</v>
      </c>
      <c r="AB272" s="481">
        <f>IFERROR(__xludf.DUMMYFUNCTION("""COMPUTED_VALUE"""),87.0)</f>
        <v>87</v>
      </c>
      <c r="AC272" s="481">
        <f>IFERROR(__xludf.DUMMYFUNCTION("""COMPUTED_VALUE"""),60.0)</f>
        <v>60</v>
      </c>
      <c r="AD272" s="481">
        <f>IFERROR(__xludf.DUMMYFUNCTION("""COMPUTED_VALUE"""),60.0)</f>
        <v>60</v>
      </c>
      <c r="AE272" s="481">
        <f>IFERROR(__xludf.DUMMYFUNCTION("""COMPUTED_VALUE"""),50.0)</f>
        <v>50</v>
      </c>
      <c r="AF272" s="481"/>
      <c r="AG272" s="481">
        <f>IFERROR(__xludf.DUMMYFUNCTION("""COMPUTED_VALUE"""),33.0)</f>
        <v>33</v>
      </c>
      <c r="AH272" s="481"/>
      <c r="AI272" s="158"/>
      <c r="AJ272" s="158"/>
      <c r="AK272" s="133">
        <f>IFERROR(__xludf.DUMMYFUNCTION("""COMPUTED_VALUE"""),4.0)</f>
        <v>4</v>
      </c>
      <c r="AL272" s="133">
        <f>IFERROR(__xludf.DUMMYFUNCTION("""COMPUTED_VALUE"""),3.0)</f>
        <v>3</v>
      </c>
      <c r="AM272" s="133">
        <f>IFERROR(__xludf.DUMMYFUNCTION("""COMPUTED_VALUE"""),3.0)</f>
        <v>3</v>
      </c>
      <c r="AN272" s="133" t="str">
        <f>IFERROR(__xludf.DUMMYFUNCTION("""COMPUTED_VALUE"""),"3")</f>
        <v>3</v>
      </c>
      <c r="AO272" s="133">
        <f>IFERROR(__xludf.DUMMYFUNCTION("""COMPUTED_VALUE"""),3.0)</f>
        <v>3</v>
      </c>
      <c r="AP272" s="155" t="s">
        <v>3706</v>
      </c>
    </row>
    <row r="273">
      <c r="A273" s="261">
        <f>IFERROR(__xludf.DUMMYFUNCTION("""COMPUTED_VALUE"""),35.0)</f>
        <v>35</v>
      </c>
      <c r="B273" s="261" t="str">
        <f>IFERROR(__xludf.DUMMYFUNCTION("""COMPUTED_VALUE"""),"cvpu23ise@cmrit.ac.in")</f>
        <v>cvpu23ise@cmrit.ac.in</v>
      </c>
      <c r="C273" s="172" t="str">
        <f>IFERROR(__xludf.DUMMYFUNCTION("""COMPUTED_VALUE"""),"C V PUNEETH RAJ")</f>
        <v>C V PUNEETH RAJ</v>
      </c>
      <c r="D273" s="155" t="str">
        <f>IFERROR(__xludf.DUMMYFUNCTION("""COMPUTED_VALUE"""),"1CR23IS035")</f>
        <v>1CR23IS035</v>
      </c>
      <c r="E273" s="563">
        <f>IFERROR(__xludf.DUMMYFUNCTION("""COMPUTED_VALUE"""),8.050317779E9)</f>
        <v>8050317779</v>
      </c>
      <c r="F273" s="155" t="str">
        <f>IFERROR(__xludf.DUMMYFUNCTION("""COMPUTED_VALUE"""),"ISE")</f>
        <v>ISE</v>
      </c>
      <c r="G273" s="158"/>
      <c r="H273" s="559">
        <f>IFERROR(__xludf.DUMMYFUNCTION("""COMPUTED_VALUE"""),69.0)</f>
        <v>69</v>
      </c>
      <c r="I273" s="559">
        <f>IFERROR(__xludf.DUMMYFUNCTION("""COMPUTED_VALUE"""),80.0)</f>
        <v>80</v>
      </c>
      <c r="J273" s="559">
        <f>IFERROR(__xludf.DUMMYFUNCTION("""COMPUTED_VALUE"""),46.0)</f>
        <v>46</v>
      </c>
      <c r="K273" s="559">
        <f>IFERROR(__xludf.DUMMYFUNCTION("""COMPUTED_VALUE"""),70.0)</f>
        <v>70</v>
      </c>
      <c r="L273" s="560">
        <f>IFERROR(__xludf.DUMMYFUNCTION("""COMPUTED_VALUE"""),50.0)</f>
        <v>50</v>
      </c>
      <c r="M273" s="561">
        <f>IFERROR(__xludf.DUMMYFUNCTION("""COMPUTED_VALUE"""),50.0)</f>
        <v>50</v>
      </c>
      <c r="N273" s="561">
        <f>IFERROR(__xludf.DUMMYFUNCTION("""COMPUTED_VALUE"""),58.0)</f>
        <v>58</v>
      </c>
      <c r="O273" s="560"/>
      <c r="P273" s="562">
        <f>IFERROR(__xludf.DUMMYFUNCTION("""COMPUTED_VALUE"""),84.0)</f>
        <v>84</v>
      </c>
      <c r="Q273" s="562">
        <f>IFERROR(__xludf.DUMMYFUNCTION("""COMPUTED_VALUE"""),70.0)</f>
        <v>70</v>
      </c>
      <c r="R273" s="562">
        <f>IFERROR(__xludf.DUMMYFUNCTION("""COMPUTED_VALUE"""),70.0)</f>
        <v>70</v>
      </c>
      <c r="S273" s="562"/>
      <c r="T273" s="217">
        <f>IFERROR(__xludf.DUMMYFUNCTION("""COMPUTED_VALUE"""),12.0)</f>
        <v>12</v>
      </c>
      <c r="U273" s="217">
        <f>IFERROR(__xludf.DUMMYFUNCTION("""COMPUTED_VALUE"""),22.0)</f>
        <v>22</v>
      </c>
      <c r="V273" s="217">
        <f>IFERROR(__xludf.DUMMYFUNCTION("""COMPUTED_VALUE"""),46.0)</f>
        <v>46</v>
      </c>
      <c r="W273" s="217">
        <f>IFERROR(__xludf.DUMMYFUNCTION("""COMPUTED_VALUE"""),64.0)</f>
        <v>64</v>
      </c>
      <c r="X273" s="217">
        <f>IFERROR(__xludf.DUMMYFUNCTION("""COMPUTED_VALUE"""),88.0)</f>
        <v>88</v>
      </c>
      <c r="Y273" s="217"/>
      <c r="Z273" s="217"/>
      <c r="AA273" s="481">
        <f>IFERROR(__xludf.DUMMYFUNCTION("""COMPUTED_VALUE"""),70.0)</f>
        <v>70</v>
      </c>
      <c r="AB273" s="481">
        <f>IFERROR(__xludf.DUMMYFUNCTION("""COMPUTED_VALUE"""),71.0)</f>
        <v>71</v>
      </c>
      <c r="AC273" s="481">
        <f>IFERROR(__xludf.DUMMYFUNCTION("""COMPUTED_VALUE"""),72.0)</f>
        <v>72</v>
      </c>
      <c r="AD273" s="481">
        <f>IFERROR(__xludf.DUMMYFUNCTION("""COMPUTED_VALUE"""),60.0)</f>
        <v>60</v>
      </c>
      <c r="AE273" s="481">
        <f>IFERROR(__xludf.DUMMYFUNCTION("""COMPUTED_VALUE"""),70.0)</f>
        <v>70</v>
      </c>
      <c r="AF273" s="481"/>
      <c r="AG273" s="481">
        <f>IFERROR(__xludf.DUMMYFUNCTION("""COMPUTED_VALUE"""),36.0)</f>
        <v>36</v>
      </c>
      <c r="AH273" s="481"/>
      <c r="AI273" s="158"/>
      <c r="AJ273" s="158"/>
      <c r="AK273" s="133">
        <f>IFERROR(__xludf.DUMMYFUNCTION("""COMPUTED_VALUE"""),2.0)</f>
        <v>2</v>
      </c>
      <c r="AL273" s="133">
        <f>IFERROR(__xludf.DUMMYFUNCTION("""COMPUTED_VALUE"""),3.0)</f>
        <v>3</v>
      </c>
      <c r="AM273" s="133">
        <f>IFERROR(__xludf.DUMMYFUNCTION("""COMPUTED_VALUE"""),3.0)</f>
        <v>3</v>
      </c>
      <c r="AN273" s="133" t="str">
        <f>IFERROR(__xludf.DUMMYFUNCTION("""COMPUTED_VALUE"""),"3.5")</f>
        <v>3.5</v>
      </c>
      <c r="AO273" s="133">
        <f>IFERROR(__xludf.DUMMYFUNCTION("""COMPUTED_VALUE"""),3.0)</f>
        <v>3</v>
      </c>
      <c r="AP273" s="155" t="s">
        <v>3706</v>
      </c>
    </row>
    <row r="274">
      <c r="A274" s="261">
        <f>IFERROR(__xludf.DUMMYFUNCTION("""COMPUTED_VALUE"""),36.0)</f>
        <v>36</v>
      </c>
      <c r="B274" s="261" t="str">
        <f>IFERROR(__xludf.DUMMYFUNCTION("""COMPUTED_VALUE"""),"chac23ise@cmrit.ac.in")</f>
        <v>chac23ise@cmrit.ac.in</v>
      </c>
      <c r="C274" s="172" t="str">
        <f>IFERROR(__xludf.DUMMYFUNCTION("""COMPUTED_VALUE"""),"CHANDAN U ACHAR")</f>
        <v>CHANDAN U ACHAR</v>
      </c>
      <c r="D274" s="155" t="str">
        <f>IFERROR(__xludf.DUMMYFUNCTION("""COMPUTED_VALUE"""),"1CR23IS036")</f>
        <v>1CR23IS036</v>
      </c>
      <c r="E274" s="563">
        <f>IFERROR(__xludf.DUMMYFUNCTION("""COMPUTED_VALUE"""),7.48329448E9)</f>
        <v>7483294480</v>
      </c>
      <c r="F274" s="155" t="str">
        <f>IFERROR(__xludf.DUMMYFUNCTION("""COMPUTED_VALUE"""),"ISE")</f>
        <v>ISE</v>
      </c>
      <c r="G274" s="158"/>
      <c r="H274" s="559">
        <f>IFERROR(__xludf.DUMMYFUNCTION("""COMPUTED_VALUE"""),79.0)</f>
        <v>79</v>
      </c>
      <c r="I274" s="559">
        <f>IFERROR(__xludf.DUMMYFUNCTION("""COMPUTED_VALUE"""),82.0)</f>
        <v>82</v>
      </c>
      <c r="J274" s="559">
        <f>IFERROR(__xludf.DUMMYFUNCTION("""COMPUTED_VALUE"""),70.0)</f>
        <v>70</v>
      </c>
      <c r="K274" s="559">
        <f>IFERROR(__xludf.DUMMYFUNCTION("""COMPUTED_VALUE"""),70.0)</f>
        <v>70</v>
      </c>
      <c r="L274" s="560">
        <f>IFERROR(__xludf.DUMMYFUNCTION("""COMPUTED_VALUE"""),50.0)</f>
        <v>50</v>
      </c>
      <c r="M274" s="561">
        <f>IFERROR(__xludf.DUMMYFUNCTION("""COMPUTED_VALUE"""),10.0)</f>
        <v>10</v>
      </c>
      <c r="N274" s="561">
        <f>IFERROR(__xludf.DUMMYFUNCTION("""COMPUTED_VALUE"""),15.0)</f>
        <v>15</v>
      </c>
      <c r="O274" s="560"/>
      <c r="P274" s="562">
        <f>IFERROR(__xludf.DUMMYFUNCTION("""COMPUTED_VALUE"""),50.0)</f>
        <v>50</v>
      </c>
      <c r="Q274" s="562">
        <f>IFERROR(__xludf.DUMMYFUNCTION("""COMPUTED_VALUE"""),50.0)</f>
        <v>50</v>
      </c>
      <c r="R274" s="562">
        <f>IFERROR(__xludf.DUMMYFUNCTION("""COMPUTED_VALUE"""),50.0)</f>
        <v>50</v>
      </c>
      <c r="S274" s="562"/>
      <c r="T274" s="217">
        <f>IFERROR(__xludf.DUMMYFUNCTION("""COMPUTED_VALUE"""),13.0)</f>
        <v>13</v>
      </c>
      <c r="U274" s="217">
        <f>IFERROR(__xludf.DUMMYFUNCTION("""COMPUTED_VALUE"""),24.0)</f>
        <v>24</v>
      </c>
      <c r="V274" s="217">
        <f>IFERROR(__xludf.DUMMYFUNCTION("""COMPUTED_VALUE"""),46.0)</f>
        <v>46</v>
      </c>
      <c r="W274" s="217">
        <f>IFERROR(__xludf.DUMMYFUNCTION("""COMPUTED_VALUE"""),72.0)</f>
        <v>72</v>
      </c>
      <c r="X274" s="217">
        <f>IFERROR(__xludf.DUMMYFUNCTION("""COMPUTED_VALUE"""),68.0)</f>
        <v>68</v>
      </c>
      <c r="Y274" s="217"/>
      <c r="Z274" s="217"/>
      <c r="AA274" s="481">
        <f>IFERROR(__xludf.DUMMYFUNCTION("""COMPUTED_VALUE"""),4.0)</f>
        <v>4</v>
      </c>
      <c r="AB274" s="481">
        <f>IFERROR(__xludf.DUMMYFUNCTION("""COMPUTED_VALUE"""),87.0)</f>
        <v>87</v>
      </c>
      <c r="AC274" s="481">
        <f>IFERROR(__xludf.DUMMYFUNCTION("""COMPUTED_VALUE"""),40.0)</f>
        <v>40</v>
      </c>
      <c r="AD274" s="481">
        <f>IFERROR(__xludf.DUMMYFUNCTION("""COMPUTED_VALUE"""),0.0)</f>
        <v>0</v>
      </c>
      <c r="AE274" s="481">
        <f>IFERROR(__xludf.DUMMYFUNCTION("""COMPUTED_VALUE"""),70.0)</f>
        <v>70</v>
      </c>
      <c r="AF274" s="481"/>
      <c r="AG274" s="481">
        <f>IFERROR(__xludf.DUMMYFUNCTION("""COMPUTED_VALUE"""),32.0)</f>
        <v>32</v>
      </c>
      <c r="AH274" s="481"/>
      <c r="AI274" s="158"/>
      <c r="AJ274" s="158"/>
      <c r="AK274" s="133">
        <f>IFERROR(__xludf.DUMMYFUNCTION("""COMPUTED_VALUE"""),4.0)</f>
        <v>4</v>
      </c>
      <c r="AL274" s="133">
        <f>IFERROR(__xludf.DUMMYFUNCTION("""COMPUTED_VALUE"""),1.0)</f>
        <v>1</v>
      </c>
      <c r="AM274" s="133">
        <f>IFERROR(__xludf.DUMMYFUNCTION("""COMPUTED_VALUE"""),3.0)</f>
        <v>3</v>
      </c>
      <c r="AN274" s="133" t="str">
        <f>IFERROR(__xludf.DUMMYFUNCTION("""COMPUTED_VALUE"""),"2")</f>
        <v>2</v>
      </c>
      <c r="AO274" s="133">
        <f>IFERROR(__xludf.DUMMYFUNCTION("""COMPUTED_VALUE"""),3.0)</f>
        <v>3</v>
      </c>
      <c r="AP274" s="155" t="s">
        <v>3706</v>
      </c>
    </row>
    <row r="275">
      <c r="A275" s="261">
        <f>IFERROR(__xludf.DUMMYFUNCTION("""COMPUTED_VALUE"""),37.0)</f>
        <v>37</v>
      </c>
      <c r="B275" s="261" t="str">
        <f>IFERROR(__xludf.DUMMYFUNCTION("""COMPUTED_VALUE"""),"chrb23ise@cmrit.ac.in")</f>
        <v>chrb23ise@cmrit.ac.in</v>
      </c>
      <c r="C275" s="172" t="str">
        <f>IFERROR(__xludf.DUMMYFUNCTION("""COMPUTED_VALUE"""),"CHANDANA R B")</f>
        <v>CHANDANA R B</v>
      </c>
      <c r="D275" s="155" t="str">
        <f>IFERROR(__xludf.DUMMYFUNCTION("""COMPUTED_VALUE"""),"1CR23IS037")</f>
        <v>1CR23IS037</v>
      </c>
      <c r="E275" s="563">
        <f>IFERROR(__xludf.DUMMYFUNCTION("""COMPUTED_VALUE"""),8.54899346E9)</f>
        <v>8548993460</v>
      </c>
      <c r="F275" s="155" t="str">
        <f>IFERROR(__xludf.DUMMYFUNCTION("""COMPUTED_VALUE"""),"ISE")</f>
        <v>ISE</v>
      </c>
      <c r="G275" s="158"/>
      <c r="H275" s="559">
        <f>IFERROR(__xludf.DUMMYFUNCTION("""COMPUTED_VALUE"""),73.0)</f>
        <v>73</v>
      </c>
      <c r="I275" s="559">
        <f>IFERROR(__xludf.DUMMYFUNCTION("""COMPUTED_VALUE"""),81.0)</f>
        <v>81</v>
      </c>
      <c r="J275" s="559">
        <f>IFERROR(__xludf.DUMMYFUNCTION("""COMPUTED_VALUE"""),70.0)</f>
        <v>70</v>
      </c>
      <c r="K275" s="559">
        <f>IFERROR(__xludf.DUMMYFUNCTION("""COMPUTED_VALUE"""),81.0)</f>
        <v>81</v>
      </c>
      <c r="L275" s="560">
        <f>IFERROR(__xludf.DUMMYFUNCTION("""COMPUTED_VALUE"""),50.0)</f>
        <v>50</v>
      </c>
      <c r="M275" s="561">
        <f>IFERROR(__xludf.DUMMYFUNCTION("""COMPUTED_VALUE"""),50.0)</f>
        <v>50</v>
      </c>
      <c r="N275" s="561">
        <f>IFERROR(__xludf.DUMMYFUNCTION("""COMPUTED_VALUE"""),61.0)</f>
        <v>61</v>
      </c>
      <c r="O275" s="560"/>
      <c r="P275" s="562">
        <f>IFERROR(__xludf.DUMMYFUNCTION("""COMPUTED_VALUE"""),78.0)</f>
        <v>78</v>
      </c>
      <c r="Q275" s="562">
        <f>IFERROR(__xludf.DUMMYFUNCTION("""COMPUTED_VALUE"""),78.0)</f>
        <v>78</v>
      </c>
      <c r="R275" s="562">
        <f>IFERROR(__xludf.DUMMYFUNCTION("""COMPUTED_VALUE"""),77.0)</f>
        <v>77</v>
      </c>
      <c r="S275" s="562"/>
      <c r="T275" s="217">
        <f>IFERROR(__xludf.DUMMYFUNCTION("""COMPUTED_VALUE"""),13.0)</f>
        <v>13</v>
      </c>
      <c r="U275" s="217">
        <f>IFERROR(__xludf.DUMMYFUNCTION("""COMPUTED_VALUE"""),23.0)</f>
        <v>23</v>
      </c>
      <c r="V275" s="217"/>
      <c r="W275" s="217">
        <f>IFERROR(__xludf.DUMMYFUNCTION("""COMPUTED_VALUE"""),72.0)</f>
        <v>72</v>
      </c>
      <c r="X275" s="217">
        <f>IFERROR(__xludf.DUMMYFUNCTION("""COMPUTED_VALUE"""),68.0)</f>
        <v>68</v>
      </c>
      <c r="Y275" s="217"/>
      <c r="Z275" s="217"/>
      <c r="AA275" s="481">
        <f>IFERROR(__xludf.DUMMYFUNCTION("""COMPUTED_VALUE"""),4.0)</f>
        <v>4</v>
      </c>
      <c r="AB275" s="481">
        <f>IFERROR(__xludf.DUMMYFUNCTION("""COMPUTED_VALUE"""),91.0)</f>
        <v>91</v>
      </c>
      <c r="AC275" s="481">
        <f>IFERROR(__xludf.DUMMYFUNCTION("""COMPUTED_VALUE"""),62.0)</f>
        <v>62</v>
      </c>
      <c r="AD275" s="481">
        <f>IFERROR(__xludf.DUMMYFUNCTION("""COMPUTED_VALUE"""),100.0)</f>
        <v>100</v>
      </c>
      <c r="AE275" s="481">
        <f>IFERROR(__xludf.DUMMYFUNCTION("""COMPUTED_VALUE"""),70.0)</f>
        <v>70</v>
      </c>
      <c r="AF275" s="481"/>
      <c r="AG275" s="481">
        <f>IFERROR(__xludf.DUMMYFUNCTION("""COMPUTED_VALUE"""),72.0)</f>
        <v>72</v>
      </c>
      <c r="AH275" s="481"/>
      <c r="AI275" s="158"/>
      <c r="AJ275" s="158"/>
      <c r="AK275" s="133">
        <f>IFERROR(__xludf.DUMMYFUNCTION("""COMPUTED_VALUE"""),4.0)</f>
        <v>4</v>
      </c>
      <c r="AL275" s="133">
        <f>IFERROR(__xludf.DUMMYFUNCTION("""COMPUTED_VALUE"""),3.0)</f>
        <v>3</v>
      </c>
      <c r="AM275" s="133">
        <f>IFERROR(__xludf.DUMMYFUNCTION("""COMPUTED_VALUE"""),3.0)</f>
        <v>3</v>
      </c>
      <c r="AN275" s="133" t="str">
        <f>IFERROR(__xludf.DUMMYFUNCTION("""COMPUTED_VALUE"""),"3.5")</f>
        <v>3.5</v>
      </c>
      <c r="AO275" s="133">
        <f>IFERROR(__xludf.DUMMYFUNCTION("""COMPUTED_VALUE"""),3.0)</f>
        <v>3</v>
      </c>
      <c r="AP275" s="155" t="s">
        <v>3706</v>
      </c>
    </row>
    <row r="276">
      <c r="A276" s="261">
        <f>IFERROR(__xludf.DUMMYFUNCTION("""COMPUTED_VALUE"""),38.0)</f>
        <v>38</v>
      </c>
      <c r="B276" s="261" t="str">
        <f>IFERROR(__xludf.DUMMYFUNCTION("""COMPUTED_VALUE"""),"chud23ise@cmrit.ac.in")</f>
        <v>chud23ise@cmrit.ac.in</v>
      </c>
      <c r="C276" s="172" t="str">
        <f>IFERROR(__xludf.DUMMYFUNCTION("""COMPUTED_VALUE"""),"CHICHILI UDAYA SREE")</f>
        <v>CHICHILI UDAYA SREE</v>
      </c>
      <c r="D276" s="155" t="str">
        <f>IFERROR(__xludf.DUMMYFUNCTION("""COMPUTED_VALUE"""),"1CR23IS038")</f>
        <v>1CR23IS038</v>
      </c>
      <c r="E276" s="563">
        <f>IFERROR(__xludf.DUMMYFUNCTION("""COMPUTED_VALUE"""),8.179448036E9)</f>
        <v>8179448036</v>
      </c>
      <c r="F276" s="155" t="str">
        <f>IFERROR(__xludf.DUMMYFUNCTION("""COMPUTED_VALUE"""),"ISE")</f>
        <v>ISE</v>
      </c>
      <c r="G276" s="158"/>
      <c r="H276" s="559">
        <f>IFERROR(__xludf.DUMMYFUNCTION("""COMPUTED_VALUE"""),65.0)</f>
        <v>65</v>
      </c>
      <c r="I276" s="559">
        <f>IFERROR(__xludf.DUMMYFUNCTION("""COMPUTED_VALUE"""),65.0)</f>
        <v>65</v>
      </c>
      <c r="J276" s="559">
        <f>IFERROR(__xludf.DUMMYFUNCTION("""COMPUTED_VALUE"""),70.0)</f>
        <v>70</v>
      </c>
      <c r="K276" s="559">
        <f>IFERROR(__xludf.DUMMYFUNCTION("""COMPUTED_VALUE"""),70.0)</f>
        <v>70</v>
      </c>
      <c r="L276" s="560">
        <f>IFERROR(__xludf.DUMMYFUNCTION("""COMPUTED_VALUE"""),50.0)</f>
        <v>50</v>
      </c>
      <c r="M276" s="561">
        <f>IFERROR(__xludf.DUMMYFUNCTION("""COMPUTED_VALUE"""),18.0)</f>
        <v>18</v>
      </c>
      <c r="N276" s="561">
        <f>IFERROR(__xludf.DUMMYFUNCTION("""COMPUTED_VALUE"""),0.0)</f>
        <v>0</v>
      </c>
      <c r="O276" s="560"/>
      <c r="P276" s="562">
        <f>IFERROR(__xludf.DUMMYFUNCTION("""COMPUTED_VALUE"""),77.0)</f>
        <v>77</v>
      </c>
      <c r="Q276" s="562">
        <f>IFERROR(__xludf.DUMMYFUNCTION("""COMPUTED_VALUE"""),55.0)</f>
        <v>55</v>
      </c>
      <c r="R276" s="562">
        <f>IFERROR(__xludf.DUMMYFUNCTION("""COMPUTED_VALUE"""),78.0)</f>
        <v>78</v>
      </c>
      <c r="S276" s="562"/>
      <c r="T276" s="217">
        <f>IFERROR(__xludf.DUMMYFUNCTION("""COMPUTED_VALUE"""),10.0)</f>
        <v>10</v>
      </c>
      <c r="U276" s="217">
        <f>IFERROR(__xludf.DUMMYFUNCTION("""COMPUTED_VALUE"""),15.0)</f>
        <v>15</v>
      </c>
      <c r="V276" s="217"/>
      <c r="W276" s="217">
        <f>IFERROR(__xludf.DUMMYFUNCTION("""COMPUTED_VALUE"""),60.0)</f>
        <v>60</v>
      </c>
      <c r="X276" s="217">
        <f>IFERROR(__xludf.DUMMYFUNCTION("""COMPUTED_VALUE"""),68.0)</f>
        <v>68</v>
      </c>
      <c r="Y276" s="217"/>
      <c r="Z276" s="217"/>
      <c r="AA276" s="481">
        <f>IFERROR(__xludf.DUMMYFUNCTION("""COMPUTED_VALUE"""),0.0)</f>
        <v>0</v>
      </c>
      <c r="AB276" s="481">
        <f>IFERROR(__xludf.DUMMYFUNCTION("""COMPUTED_VALUE"""),55.0)</f>
        <v>55</v>
      </c>
      <c r="AC276" s="481">
        <f>IFERROR(__xludf.DUMMYFUNCTION("""COMPUTED_VALUE"""),17.0)</f>
        <v>17</v>
      </c>
      <c r="AD276" s="481">
        <f>IFERROR(__xludf.DUMMYFUNCTION("""COMPUTED_VALUE"""),32.0)</f>
        <v>32</v>
      </c>
      <c r="AE276" s="481">
        <f>IFERROR(__xludf.DUMMYFUNCTION("""COMPUTED_VALUE"""),10.0)</f>
        <v>10</v>
      </c>
      <c r="AF276" s="481"/>
      <c r="AG276" s="481">
        <f>IFERROR(__xludf.DUMMYFUNCTION("""COMPUTED_VALUE"""),36.0)</f>
        <v>36</v>
      </c>
      <c r="AH276" s="481"/>
      <c r="AI276" s="158"/>
      <c r="AJ276" s="158"/>
      <c r="AK276" s="133">
        <f>IFERROR(__xludf.DUMMYFUNCTION("""COMPUTED_VALUE"""),4.0)</f>
        <v>4</v>
      </c>
      <c r="AL276" s="133">
        <f>IFERROR(__xludf.DUMMYFUNCTION("""COMPUTED_VALUE"""),1.0)</f>
        <v>1</v>
      </c>
      <c r="AM276" s="133">
        <f>IFERROR(__xludf.DUMMYFUNCTION("""COMPUTED_VALUE"""),3.0)</f>
        <v>3</v>
      </c>
      <c r="AN276" s="133" t="str">
        <f>IFERROR(__xludf.DUMMYFUNCTION("""COMPUTED_VALUE"""),"2")</f>
        <v>2</v>
      </c>
      <c r="AO276" s="133">
        <f>IFERROR(__xludf.DUMMYFUNCTION("""COMPUTED_VALUE"""),3.0)</f>
        <v>3</v>
      </c>
      <c r="AP276" s="155" t="s">
        <v>3706</v>
      </c>
    </row>
    <row r="277">
      <c r="A277" s="261">
        <f>IFERROR(__xludf.DUMMYFUNCTION("""COMPUTED_VALUE"""),39.0)</f>
        <v>39</v>
      </c>
      <c r="B277" s="261" t="str">
        <f>IFERROR(__xludf.DUMMYFUNCTION("""COMPUTED_VALUE"""),"chpp23ise@cmrit.ac.in")</f>
        <v>chpp23ise@cmrit.ac.in</v>
      </c>
      <c r="C277" s="172" t="str">
        <f>IFERROR(__xludf.DUMMYFUNCTION("""COMPUTED_VALUE"""),"CHINMAYEE P P")</f>
        <v>CHINMAYEE P P</v>
      </c>
      <c r="D277" s="155" t="str">
        <f>IFERROR(__xludf.DUMMYFUNCTION("""COMPUTED_VALUE"""),"1CR23IS039")</f>
        <v>1CR23IS039</v>
      </c>
      <c r="E277" s="563">
        <f>IFERROR(__xludf.DUMMYFUNCTION("""COMPUTED_VALUE"""),8.296104117E9)</f>
        <v>8296104117</v>
      </c>
      <c r="F277" s="155" t="str">
        <f>IFERROR(__xludf.DUMMYFUNCTION("""COMPUTED_VALUE"""),"ISE")</f>
        <v>ISE</v>
      </c>
      <c r="G277" s="158"/>
      <c r="H277" s="559">
        <f>IFERROR(__xludf.DUMMYFUNCTION("""COMPUTED_VALUE"""),90.0)</f>
        <v>90</v>
      </c>
      <c r="I277" s="559">
        <f>IFERROR(__xludf.DUMMYFUNCTION("""COMPUTED_VALUE"""),87.0)</f>
        <v>87</v>
      </c>
      <c r="J277" s="559">
        <f>IFERROR(__xludf.DUMMYFUNCTION("""COMPUTED_VALUE"""),70.0)</f>
        <v>70</v>
      </c>
      <c r="K277" s="559">
        <f>IFERROR(__xludf.DUMMYFUNCTION("""COMPUTED_VALUE"""),70.0)</f>
        <v>70</v>
      </c>
      <c r="L277" s="560">
        <f>IFERROR(__xludf.DUMMYFUNCTION("""COMPUTED_VALUE"""),50.0)</f>
        <v>50</v>
      </c>
      <c r="M277" s="561">
        <f>IFERROR(__xludf.DUMMYFUNCTION("""COMPUTED_VALUE"""),52.0)</f>
        <v>52</v>
      </c>
      <c r="N277" s="561">
        <f>IFERROR(__xludf.DUMMYFUNCTION("""COMPUTED_VALUE"""),58.0)</f>
        <v>58</v>
      </c>
      <c r="O277" s="560"/>
      <c r="P277" s="562">
        <f>IFERROR(__xludf.DUMMYFUNCTION("""COMPUTED_VALUE"""),77.0)</f>
        <v>77</v>
      </c>
      <c r="Q277" s="562">
        <f>IFERROR(__xludf.DUMMYFUNCTION("""COMPUTED_VALUE"""),84.0)</f>
        <v>84</v>
      </c>
      <c r="R277" s="562">
        <f>IFERROR(__xludf.DUMMYFUNCTION("""COMPUTED_VALUE"""),92.0)</f>
        <v>92</v>
      </c>
      <c r="S277" s="562"/>
      <c r="T277" s="217">
        <f>IFERROR(__xludf.DUMMYFUNCTION("""COMPUTED_VALUE"""),13.0)</f>
        <v>13</v>
      </c>
      <c r="U277" s="217">
        <f>IFERROR(__xludf.DUMMYFUNCTION("""COMPUTED_VALUE"""),18.0)</f>
        <v>18</v>
      </c>
      <c r="V277" s="217">
        <f>IFERROR(__xludf.DUMMYFUNCTION("""COMPUTED_VALUE"""),44.0)</f>
        <v>44</v>
      </c>
      <c r="W277" s="217">
        <f>IFERROR(__xludf.DUMMYFUNCTION("""COMPUTED_VALUE"""),72.0)</f>
        <v>72</v>
      </c>
      <c r="X277" s="217">
        <f>IFERROR(__xludf.DUMMYFUNCTION("""COMPUTED_VALUE"""),92.0)</f>
        <v>92</v>
      </c>
      <c r="Y277" s="217"/>
      <c r="Z277" s="217"/>
      <c r="AA277" s="481">
        <f>IFERROR(__xludf.DUMMYFUNCTION("""COMPUTED_VALUE"""),70.0)</f>
        <v>70</v>
      </c>
      <c r="AB277" s="481">
        <f>IFERROR(__xludf.DUMMYFUNCTION("""COMPUTED_VALUE"""),95.0)</f>
        <v>95</v>
      </c>
      <c r="AC277" s="481">
        <f>IFERROR(__xludf.DUMMYFUNCTION("""COMPUTED_VALUE"""),79.0)</f>
        <v>79</v>
      </c>
      <c r="AD277" s="481">
        <f>IFERROR(__xludf.DUMMYFUNCTION("""COMPUTED_VALUE"""),80.0)</f>
        <v>80</v>
      </c>
      <c r="AE277" s="481">
        <f>IFERROR(__xludf.DUMMYFUNCTION("""COMPUTED_VALUE"""),70.0)</f>
        <v>70</v>
      </c>
      <c r="AF277" s="481"/>
      <c r="AG277" s="481">
        <f>IFERROR(__xludf.DUMMYFUNCTION("""COMPUTED_VALUE"""),71.0)</f>
        <v>71</v>
      </c>
      <c r="AH277" s="481"/>
      <c r="AI277" s="158"/>
      <c r="AJ277" s="158"/>
      <c r="AK277" s="133">
        <f>IFERROR(__xludf.DUMMYFUNCTION("""COMPUTED_VALUE"""),4.0)</f>
        <v>4</v>
      </c>
      <c r="AL277" s="133">
        <f>IFERROR(__xludf.DUMMYFUNCTION("""COMPUTED_VALUE"""),3.0)</f>
        <v>3</v>
      </c>
      <c r="AM277" s="133">
        <f>IFERROR(__xludf.DUMMYFUNCTION("""COMPUTED_VALUE"""),3.0)</f>
        <v>3</v>
      </c>
      <c r="AN277" s="133" t="str">
        <f>IFERROR(__xludf.DUMMYFUNCTION("""COMPUTED_VALUE"""),"3.5")</f>
        <v>3.5</v>
      </c>
      <c r="AO277" s="133">
        <f>IFERROR(__xludf.DUMMYFUNCTION("""COMPUTED_VALUE"""),3.0)</f>
        <v>3</v>
      </c>
      <c r="AP277" s="155" t="s">
        <v>3706</v>
      </c>
    </row>
    <row r="278">
      <c r="A278" s="261">
        <f>IFERROR(__xludf.DUMMYFUNCTION("""COMPUTED_VALUE"""),40.0)</f>
        <v>40</v>
      </c>
      <c r="B278" s="261" t="str">
        <f>IFERROR(__xludf.DUMMYFUNCTION("""COMPUTED_VALUE"""),"chsk23ise@cmrit.ac.in")</f>
        <v>chsk23ise@cmrit.ac.in</v>
      </c>
      <c r="C278" s="172" t="str">
        <f>IFERROR(__xludf.DUMMYFUNCTION("""COMPUTED_VALUE"""),"CHIRAG S K")</f>
        <v>CHIRAG S K</v>
      </c>
      <c r="D278" s="155" t="str">
        <f>IFERROR(__xludf.DUMMYFUNCTION("""COMPUTED_VALUE"""),"1CR23IS040")</f>
        <v>1CR23IS040</v>
      </c>
      <c r="E278" s="563">
        <f>IFERROR(__xludf.DUMMYFUNCTION("""COMPUTED_VALUE"""),8.431399276E9)</f>
        <v>8431399276</v>
      </c>
      <c r="F278" s="155" t="str">
        <f>IFERROR(__xludf.DUMMYFUNCTION("""COMPUTED_VALUE"""),"ISE")</f>
        <v>ISE</v>
      </c>
      <c r="G278" s="158"/>
      <c r="H278" s="559">
        <f>IFERROR(__xludf.DUMMYFUNCTION("""COMPUTED_VALUE"""),71.0)</f>
        <v>71</v>
      </c>
      <c r="I278" s="559">
        <f>IFERROR(__xludf.DUMMYFUNCTION("""COMPUTED_VALUE"""),76.0)</f>
        <v>76</v>
      </c>
      <c r="J278" s="559">
        <f>IFERROR(__xludf.DUMMYFUNCTION("""COMPUTED_VALUE"""),70.0)</f>
        <v>70</v>
      </c>
      <c r="K278" s="559">
        <f>IFERROR(__xludf.DUMMYFUNCTION("""COMPUTED_VALUE"""),70.0)</f>
        <v>70</v>
      </c>
      <c r="L278" s="560">
        <f>IFERROR(__xludf.DUMMYFUNCTION("""COMPUTED_VALUE"""),50.0)</f>
        <v>50</v>
      </c>
      <c r="M278" s="561">
        <f>IFERROR(__xludf.DUMMYFUNCTION("""COMPUTED_VALUE"""),46.0)</f>
        <v>46</v>
      </c>
      <c r="N278" s="561">
        <f>IFERROR(__xludf.DUMMYFUNCTION("""COMPUTED_VALUE"""),13.0)</f>
        <v>13</v>
      </c>
      <c r="O278" s="560"/>
      <c r="P278" s="562">
        <f>IFERROR(__xludf.DUMMYFUNCTION("""COMPUTED_VALUE"""),78.0)</f>
        <v>78</v>
      </c>
      <c r="Q278" s="562">
        <f>IFERROR(__xludf.DUMMYFUNCTION("""COMPUTED_VALUE"""),50.0)</f>
        <v>50</v>
      </c>
      <c r="R278" s="562">
        <f>IFERROR(__xludf.DUMMYFUNCTION("""COMPUTED_VALUE"""),0.0)</f>
        <v>0</v>
      </c>
      <c r="S278" s="562"/>
      <c r="T278" s="217">
        <f>IFERROR(__xludf.DUMMYFUNCTION("""COMPUTED_VALUE"""),17.0)</f>
        <v>17</v>
      </c>
      <c r="U278" s="217">
        <f>IFERROR(__xludf.DUMMYFUNCTION("""COMPUTED_VALUE"""),19.0)</f>
        <v>19</v>
      </c>
      <c r="V278" s="217"/>
      <c r="W278" s="217">
        <f>IFERROR(__xludf.DUMMYFUNCTION("""COMPUTED_VALUE"""),80.0)</f>
        <v>80</v>
      </c>
      <c r="X278" s="217">
        <f>IFERROR(__xludf.DUMMYFUNCTION("""COMPUTED_VALUE"""),80.0)</f>
        <v>80</v>
      </c>
      <c r="Y278" s="217"/>
      <c r="Z278" s="217"/>
      <c r="AA278" s="481">
        <f>IFERROR(__xludf.DUMMYFUNCTION("""COMPUTED_VALUE"""),20.0)</f>
        <v>20</v>
      </c>
      <c r="AB278" s="481">
        <f>IFERROR(__xludf.DUMMYFUNCTION("""COMPUTED_VALUE"""),62.0)</f>
        <v>62</v>
      </c>
      <c r="AC278" s="481">
        <f>IFERROR(__xludf.DUMMYFUNCTION("""COMPUTED_VALUE"""),42.0)</f>
        <v>42</v>
      </c>
      <c r="AD278" s="481">
        <f>IFERROR(__xludf.DUMMYFUNCTION("""COMPUTED_VALUE"""),60.0)</f>
        <v>60</v>
      </c>
      <c r="AE278" s="481">
        <f>IFERROR(__xludf.DUMMYFUNCTION("""COMPUTED_VALUE"""),70.0)</f>
        <v>70</v>
      </c>
      <c r="AF278" s="481"/>
      <c r="AG278" s="481">
        <f>IFERROR(__xludf.DUMMYFUNCTION("""COMPUTED_VALUE"""),32.0)</f>
        <v>32</v>
      </c>
      <c r="AH278" s="481"/>
      <c r="AI278" s="158"/>
      <c r="AJ278" s="158"/>
      <c r="AK278" s="133">
        <f>IFERROR(__xludf.DUMMYFUNCTION("""COMPUTED_VALUE"""),4.0)</f>
        <v>4</v>
      </c>
      <c r="AL278" s="133">
        <f>IFERROR(__xludf.DUMMYFUNCTION("""COMPUTED_VALUE"""),1.0)</f>
        <v>1</v>
      </c>
      <c r="AM278" s="133">
        <f>IFERROR(__xludf.DUMMYFUNCTION("""COMPUTED_VALUE"""),3.0)</f>
        <v>3</v>
      </c>
      <c r="AN278" s="133" t="str">
        <f>IFERROR(__xludf.DUMMYFUNCTION("""COMPUTED_VALUE"""),"3.5")</f>
        <v>3.5</v>
      </c>
      <c r="AO278" s="133">
        <f>IFERROR(__xludf.DUMMYFUNCTION("""COMPUTED_VALUE"""),2.0)</f>
        <v>2</v>
      </c>
      <c r="AP278" s="155" t="s">
        <v>3706</v>
      </c>
    </row>
    <row r="279">
      <c r="A279" s="261">
        <f>IFERROR(__xludf.DUMMYFUNCTION("""COMPUTED_VALUE"""),41.0)</f>
        <v>41</v>
      </c>
      <c r="B279" s="261" t="str">
        <f>IFERROR(__xludf.DUMMYFUNCTION("""COMPUTED_VALUE"""),"de23ise@cmrit.ac.in")</f>
        <v>de23ise@cmrit.ac.in</v>
      </c>
      <c r="C279" s="172" t="str">
        <f>IFERROR(__xludf.DUMMYFUNCTION("""COMPUTED_VALUE"""),"DEEKSHA")</f>
        <v>DEEKSHA</v>
      </c>
      <c r="D279" s="155" t="str">
        <f>IFERROR(__xludf.DUMMYFUNCTION("""COMPUTED_VALUE"""),"1CR23IS041")</f>
        <v>1CR23IS041</v>
      </c>
      <c r="E279" s="563">
        <f>IFERROR(__xludf.DUMMYFUNCTION("""COMPUTED_VALUE"""),7.483742826E9)</f>
        <v>7483742826</v>
      </c>
      <c r="F279" s="155" t="str">
        <f>IFERROR(__xludf.DUMMYFUNCTION("""COMPUTED_VALUE"""),"ISE")</f>
        <v>ISE</v>
      </c>
      <c r="G279" s="158"/>
      <c r="H279" s="559">
        <f>IFERROR(__xludf.DUMMYFUNCTION("""COMPUTED_VALUE"""),78.0)</f>
        <v>78</v>
      </c>
      <c r="I279" s="559">
        <f>IFERROR(__xludf.DUMMYFUNCTION("""COMPUTED_VALUE"""),84.0)</f>
        <v>84</v>
      </c>
      <c r="J279" s="559">
        <f>IFERROR(__xludf.DUMMYFUNCTION("""COMPUTED_VALUE"""),76.0)</f>
        <v>76</v>
      </c>
      <c r="K279" s="559">
        <f>IFERROR(__xludf.DUMMYFUNCTION("""COMPUTED_VALUE"""),74.0)</f>
        <v>74</v>
      </c>
      <c r="L279" s="560">
        <f>IFERROR(__xludf.DUMMYFUNCTION("""COMPUTED_VALUE"""),50.0)</f>
        <v>50</v>
      </c>
      <c r="M279" s="561">
        <f>IFERROR(__xludf.DUMMYFUNCTION("""COMPUTED_VALUE"""),42.0)</f>
        <v>42</v>
      </c>
      <c r="N279" s="561">
        <f>IFERROR(__xludf.DUMMYFUNCTION("""COMPUTED_VALUE"""),53.0)</f>
        <v>53</v>
      </c>
      <c r="O279" s="560"/>
      <c r="P279" s="562">
        <f>IFERROR(__xludf.DUMMYFUNCTION("""COMPUTED_VALUE"""),77.0)</f>
        <v>77</v>
      </c>
      <c r="Q279" s="562">
        <f>IFERROR(__xludf.DUMMYFUNCTION("""COMPUTED_VALUE"""),55.0)</f>
        <v>55</v>
      </c>
      <c r="R279" s="562">
        <f>IFERROR(__xludf.DUMMYFUNCTION("""COMPUTED_VALUE"""),86.0)</f>
        <v>86</v>
      </c>
      <c r="S279" s="562"/>
      <c r="T279" s="217">
        <f>IFERROR(__xludf.DUMMYFUNCTION("""COMPUTED_VALUE"""),16.0)</f>
        <v>16</v>
      </c>
      <c r="U279" s="217">
        <f>IFERROR(__xludf.DUMMYFUNCTION("""COMPUTED_VALUE"""),19.0)</f>
        <v>19</v>
      </c>
      <c r="V279" s="217">
        <f>IFERROR(__xludf.DUMMYFUNCTION("""COMPUTED_VALUE"""),44.0)</f>
        <v>44</v>
      </c>
      <c r="W279" s="217">
        <f>IFERROR(__xludf.DUMMYFUNCTION("""COMPUTED_VALUE"""),64.0)</f>
        <v>64</v>
      </c>
      <c r="X279" s="217">
        <f>IFERROR(__xludf.DUMMYFUNCTION("""COMPUTED_VALUE"""),80.0)</f>
        <v>80</v>
      </c>
      <c r="Y279" s="217"/>
      <c r="Z279" s="217"/>
      <c r="AA279" s="481">
        <f>IFERROR(__xludf.DUMMYFUNCTION("""COMPUTED_VALUE"""),68.0)</f>
        <v>68</v>
      </c>
      <c r="AB279" s="481">
        <f>IFERROR(__xludf.DUMMYFUNCTION("""COMPUTED_VALUE"""),100.0)</f>
        <v>100</v>
      </c>
      <c r="AC279" s="481">
        <f>IFERROR(__xludf.DUMMYFUNCTION("""COMPUTED_VALUE"""),67.0)</f>
        <v>67</v>
      </c>
      <c r="AD279" s="481">
        <f>IFERROR(__xludf.DUMMYFUNCTION("""COMPUTED_VALUE"""),60.0)</f>
        <v>60</v>
      </c>
      <c r="AE279" s="481">
        <f>IFERROR(__xludf.DUMMYFUNCTION("""COMPUTED_VALUE"""),70.0)</f>
        <v>70</v>
      </c>
      <c r="AF279" s="481"/>
      <c r="AG279" s="481">
        <f>IFERROR(__xludf.DUMMYFUNCTION("""COMPUTED_VALUE"""),78.0)</f>
        <v>78</v>
      </c>
      <c r="AH279" s="481"/>
      <c r="AI279" s="158"/>
      <c r="AJ279" s="158"/>
      <c r="AK279" s="133">
        <f>IFERROR(__xludf.DUMMYFUNCTION("""COMPUTED_VALUE"""),4.0)</f>
        <v>4</v>
      </c>
      <c r="AL279" s="133">
        <f>IFERROR(__xludf.DUMMYFUNCTION("""COMPUTED_VALUE"""),1.0)</f>
        <v>1</v>
      </c>
      <c r="AM279" s="133">
        <f>IFERROR(__xludf.DUMMYFUNCTION("""COMPUTED_VALUE"""),3.0)</f>
        <v>3</v>
      </c>
      <c r="AN279" s="133" t="str">
        <f>IFERROR(__xludf.DUMMYFUNCTION("""COMPUTED_VALUE"""),"3.5")</f>
        <v>3.5</v>
      </c>
      <c r="AO279" s="133">
        <f>IFERROR(__xludf.DUMMYFUNCTION("""COMPUTED_VALUE"""),3.0)</f>
        <v>3</v>
      </c>
      <c r="AP279" s="155" t="s">
        <v>3706</v>
      </c>
    </row>
    <row r="280">
      <c r="A280" s="261">
        <f>IFERROR(__xludf.DUMMYFUNCTION("""COMPUTED_VALUE"""),42.0)</f>
        <v>42</v>
      </c>
      <c r="B280" s="261" t="str">
        <f>IFERROR(__xludf.DUMMYFUNCTION("""COMPUTED_VALUE"""),"dekv23ise@cmrit.ac.in")</f>
        <v>dekv23ise@cmrit.ac.in</v>
      </c>
      <c r="C280" s="172" t="str">
        <f>IFERROR(__xludf.DUMMYFUNCTION("""COMPUTED_VALUE"""),"DEEKSHA K V")</f>
        <v>DEEKSHA K V</v>
      </c>
      <c r="D280" s="155" t="str">
        <f>IFERROR(__xludf.DUMMYFUNCTION("""COMPUTED_VALUE"""),"1CR23IS042")</f>
        <v>1CR23IS042</v>
      </c>
      <c r="E280" s="563"/>
      <c r="F280" s="155" t="str">
        <f>IFERROR(__xludf.DUMMYFUNCTION("""COMPUTED_VALUE"""),"ISE")</f>
        <v>ISE</v>
      </c>
      <c r="G280" s="158"/>
      <c r="H280" s="559">
        <f>IFERROR(__xludf.DUMMYFUNCTION("""COMPUTED_VALUE"""),68.0)</f>
        <v>68</v>
      </c>
      <c r="I280" s="559">
        <f>IFERROR(__xludf.DUMMYFUNCTION("""COMPUTED_VALUE"""),85.0)</f>
        <v>85</v>
      </c>
      <c r="J280" s="559">
        <f>IFERROR(__xludf.DUMMYFUNCTION("""COMPUTED_VALUE"""),70.0)</f>
        <v>70</v>
      </c>
      <c r="K280" s="559">
        <f>IFERROR(__xludf.DUMMYFUNCTION("""COMPUTED_VALUE"""),75.0)</f>
        <v>75</v>
      </c>
      <c r="L280" s="560">
        <f>IFERROR(__xludf.DUMMYFUNCTION("""COMPUTED_VALUE"""),50.0)</f>
        <v>50</v>
      </c>
      <c r="M280" s="561">
        <f>IFERROR(__xludf.DUMMYFUNCTION("""COMPUTED_VALUE"""),50.0)</f>
        <v>50</v>
      </c>
      <c r="N280" s="561">
        <f>IFERROR(__xludf.DUMMYFUNCTION("""COMPUTED_VALUE"""),50.0)</f>
        <v>50</v>
      </c>
      <c r="O280" s="560"/>
      <c r="P280" s="562">
        <f>IFERROR(__xludf.DUMMYFUNCTION("""COMPUTED_VALUE"""),81.0)</f>
        <v>81</v>
      </c>
      <c r="Q280" s="562">
        <f>IFERROR(__xludf.DUMMYFUNCTION("""COMPUTED_VALUE"""),55.0)</f>
        <v>55</v>
      </c>
      <c r="R280" s="562">
        <f>IFERROR(__xludf.DUMMYFUNCTION("""COMPUTED_VALUE"""),84.0)</f>
        <v>84</v>
      </c>
      <c r="S280" s="562"/>
      <c r="T280" s="217">
        <f>IFERROR(__xludf.DUMMYFUNCTION("""COMPUTED_VALUE"""),10.0)</f>
        <v>10</v>
      </c>
      <c r="U280" s="217">
        <f>IFERROR(__xludf.DUMMYFUNCTION("""COMPUTED_VALUE"""),21.0)</f>
        <v>21</v>
      </c>
      <c r="V280" s="217"/>
      <c r="W280" s="217">
        <f>IFERROR(__xludf.DUMMYFUNCTION("""COMPUTED_VALUE"""),68.0)</f>
        <v>68</v>
      </c>
      <c r="X280" s="217">
        <f>IFERROR(__xludf.DUMMYFUNCTION("""COMPUTED_VALUE"""),80.0)</f>
        <v>80</v>
      </c>
      <c r="Y280" s="217"/>
      <c r="Z280" s="217"/>
      <c r="AA280" s="481">
        <f>IFERROR(__xludf.DUMMYFUNCTION("""COMPUTED_VALUE"""),14.0)</f>
        <v>14</v>
      </c>
      <c r="AB280" s="481">
        <f>IFERROR(__xludf.DUMMYFUNCTION("""COMPUTED_VALUE"""),100.0)</f>
        <v>100</v>
      </c>
      <c r="AC280" s="481">
        <f>IFERROR(__xludf.DUMMYFUNCTION("""COMPUTED_VALUE"""),67.0)</f>
        <v>67</v>
      </c>
      <c r="AD280" s="481">
        <f>IFERROR(__xludf.DUMMYFUNCTION("""COMPUTED_VALUE"""),60.0)</f>
        <v>60</v>
      </c>
      <c r="AE280" s="481">
        <f>IFERROR(__xludf.DUMMYFUNCTION("""COMPUTED_VALUE"""),70.0)</f>
        <v>70</v>
      </c>
      <c r="AF280" s="481"/>
      <c r="AG280" s="481">
        <f>IFERROR(__xludf.DUMMYFUNCTION("""COMPUTED_VALUE"""),75.0)</f>
        <v>75</v>
      </c>
      <c r="AH280" s="481"/>
      <c r="AI280" s="158"/>
      <c r="AJ280" s="158"/>
      <c r="AK280" s="133">
        <f>IFERROR(__xludf.DUMMYFUNCTION("""COMPUTED_VALUE"""),4.0)</f>
        <v>4</v>
      </c>
      <c r="AL280" s="133">
        <f>IFERROR(__xludf.DUMMYFUNCTION("""COMPUTED_VALUE"""),3.0)</f>
        <v>3</v>
      </c>
      <c r="AM280" s="133">
        <f>IFERROR(__xludf.DUMMYFUNCTION("""COMPUTED_VALUE"""),3.0)</f>
        <v>3</v>
      </c>
      <c r="AN280" s="133" t="str">
        <f>IFERROR(__xludf.DUMMYFUNCTION("""COMPUTED_VALUE"""),"3.5")</f>
        <v>3.5</v>
      </c>
      <c r="AO280" s="133">
        <f>IFERROR(__xludf.DUMMYFUNCTION("""COMPUTED_VALUE"""),3.0)</f>
        <v>3</v>
      </c>
      <c r="AP280" s="155" t="s">
        <v>3706</v>
      </c>
    </row>
    <row r="281">
      <c r="A281" s="261">
        <f>IFERROR(__xludf.DUMMYFUNCTION("""COMPUTED_VALUE"""),43.0)</f>
        <v>43</v>
      </c>
      <c r="B281" s="261" t="str">
        <f>IFERROR(__xludf.DUMMYFUNCTION("""COMPUTED_VALUE"""),"depa23ise@cmrit.ac.in")</f>
        <v>depa23ise@cmrit.ac.in</v>
      </c>
      <c r="C281" s="172" t="str">
        <f>IFERROR(__xludf.DUMMYFUNCTION("""COMPUTED_VALUE"""),"DEEKSHA PANDU")</f>
        <v>DEEKSHA PANDU</v>
      </c>
      <c r="D281" s="155" t="str">
        <f>IFERROR(__xludf.DUMMYFUNCTION("""COMPUTED_VALUE"""),"1CR23IS043")</f>
        <v>1CR23IS043</v>
      </c>
      <c r="E281" s="563">
        <f>IFERROR(__xludf.DUMMYFUNCTION("""COMPUTED_VALUE"""),8.431566846E9)</f>
        <v>8431566846</v>
      </c>
      <c r="F281" s="155" t="str">
        <f>IFERROR(__xludf.DUMMYFUNCTION("""COMPUTED_VALUE"""),"ISE")</f>
        <v>ISE</v>
      </c>
      <c r="G281" s="158"/>
      <c r="H281" s="559">
        <f>IFERROR(__xludf.DUMMYFUNCTION("""COMPUTED_VALUE"""),83.0)</f>
        <v>83</v>
      </c>
      <c r="I281" s="559">
        <f>IFERROR(__xludf.DUMMYFUNCTION("""COMPUTED_VALUE"""),89.0)</f>
        <v>89</v>
      </c>
      <c r="J281" s="559">
        <f>IFERROR(__xludf.DUMMYFUNCTION("""COMPUTED_VALUE"""),83.0)</f>
        <v>83</v>
      </c>
      <c r="K281" s="559">
        <f>IFERROR(__xludf.DUMMYFUNCTION("""COMPUTED_VALUE"""),74.0)</f>
        <v>74</v>
      </c>
      <c r="L281" s="560">
        <f>IFERROR(__xludf.DUMMYFUNCTION("""COMPUTED_VALUE"""),50.0)</f>
        <v>50</v>
      </c>
      <c r="M281" s="561">
        <f>IFERROR(__xludf.DUMMYFUNCTION("""COMPUTED_VALUE"""),50.0)</f>
        <v>50</v>
      </c>
      <c r="N281" s="561">
        <f>IFERROR(__xludf.DUMMYFUNCTION("""COMPUTED_VALUE"""),50.0)</f>
        <v>50</v>
      </c>
      <c r="O281" s="560"/>
      <c r="P281" s="562">
        <f>IFERROR(__xludf.DUMMYFUNCTION("""COMPUTED_VALUE"""),86.0)</f>
        <v>86</v>
      </c>
      <c r="Q281" s="562">
        <f>IFERROR(__xludf.DUMMYFUNCTION("""COMPUTED_VALUE"""),81.0)</f>
        <v>81</v>
      </c>
      <c r="R281" s="562">
        <f>IFERROR(__xludf.DUMMYFUNCTION("""COMPUTED_VALUE"""),85.0)</f>
        <v>85</v>
      </c>
      <c r="S281" s="562"/>
      <c r="T281" s="217">
        <f>IFERROR(__xludf.DUMMYFUNCTION("""COMPUTED_VALUE"""),11.0)</f>
        <v>11</v>
      </c>
      <c r="U281" s="217">
        <f>IFERROR(__xludf.DUMMYFUNCTION("""COMPUTED_VALUE"""),25.0)</f>
        <v>25</v>
      </c>
      <c r="V281" s="217">
        <f>IFERROR(__xludf.DUMMYFUNCTION("""COMPUTED_VALUE"""),46.0)</f>
        <v>46</v>
      </c>
      <c r="W281" s="217">
        <f>IFERROR(__xludf.DUMMYFUNCTION("""COMPUTED_VALUE"""),68.0)</f>
        <v>68</v>
      </c>
      <c r="X281" s="217">
        <f>IFERROR(__xludf.DUMMYFUNCTION("""COMPUTED_VALUE"""),92.0)</f>
        <v>92</v>
      </c>
      <c r="Y281" s="217"/>
      <c r="Z281" s="217"/>
      <c r="AA281" s="481">
        <f>IFERROR(__xludf.DUMMYFUNCTION("""COMPUTED_VALUE"""),8.0)</f>
        <v>8</v>
      </c>
      <c r="AB281" s="481">
        <f>IFERROR(__xludf.DUMMYFUNCTION("""COMPUTED_VALUE"""),86.0)</f>
        <v>86</v>
      </c>
      <c r="AC281" s="481">
        <f>IFERROR(__xludf.DUMMYFUNCTION("""COMPUTED_VALUE"""),32.0)</f>
        <v>32</v>
      </c>
      <c r="AD281" s="481">
        <f>IFERROR(__xludf.DUMMYFUNCTION("""COMPUTED_VALUE"""),60.0)</f>
        <v>60</v>
      </c>
      <c r="AE281" s="481">
        <f>IFERROR(__xludf.DUMMYFUNCTION("""COMPUTED_VALUE"""),70.0)</f>
        <v>70</v>
      </c>
      <c r="AF281" s="481"/>
      <c r="AG281" s="481">
        <f>IFERROR(__xludf.DUMMYFUNCTION("""COMPUTED_VALUE"""),77.0)</f>
        <v>77</v>
      </c>
      <c r="AH281" s="481"/>
      <c r="AI281" s="158"/>
      <c r="AJ281" s="158"/>
      <c r="AK281" s="133">
        <f>IFERROR(__xludf.DUMMYFUNCTION("""COMPUTED_VALUE"""),4.0)</f>
        <v>4</v>
      </c>
      <c r="AL281" s="133">
        <f>IFERROR(__xludf.DUMMYFUNCTION("""COMPUTED_VALUE"""),3.0)</f>
        <v>3</v>
      </c>
      <c r="AM281" s="133">
        <f>IFERROR(__xludf.DUMMYFUNCTION("""COMPUTED_VALUE"""),3.0)</f>
        <v>3</v>
      </c>
      <c r="AN281" s="133" t="str">
        <f>IFERROR(__xludf.DUMMYFUNCTION("""COMPUTED_VALUE"""),"3.5")</f>
        <v>3.5</v>
      </c>
      <c r="AO281" s="133">
        <f>IFERROR(__xludf.DUMMYFUNCTION("""COMPUTED_VALUE"""),3.0)</f>
        <v>3</v>
      </c>
      <c r="AP281" s="155" t="s">
        <v>3706</v>
      </c>
    </row>
    <row r="282">
      <c r="A282" s="261">
        <f>IFERROR(__xludf.DUMMYFUNCTION("""COMPUTED_VALUE"""),44.0)</f>
        <v>44</v>
      </c>
      <c r="B282" s="261" t="str">
        <f>IFERROR(__xludf.DUMMYFUNCTION("""COMPUTED_VALUE"""),"demv23ise@cmrit.ac.in")</f>
        <v>demv23ise@cmrit.ac.in</v>
      </c>
      <c r="C282" s="172" t="str">
        <f>IFERROR(__xludf.DUMMYFUNCTION("""COMPUTED_VALUE"""),"DEEPAK M V")</f>
        <v>DEEPAK M V</v>
      </c>
      <c r="D282" s="155" t="str">
        <f>IFERROR(__xludf.DUMMYFUNCTION("""COMPUTED_VALUE"""),"1CR23IS045")</f>
        <v>1CR23IS045</v>
      </c>
      <c r="E282" s="563">
        <f>IFERROR(__xludf.DUMMYFUNCTION("""COMPUTED_VALUE"""),9.108379543E9)</f>
        <v>9108379543</v>
      </c>
      <c r="F282" s="155" t="str">
        <f>IFERROR(__xludf.DUMMYFUNCTION("""COMPUTED_VALUE"""),"ISE")</f>
        <v>ISE</v>
      </c>
      <c r="G282" s="158"/>
      <c r="H282" s="559">
        <f>IFERROR(__xludf.DUMMYFUNCTION("""COMPUTED_VALUE"""),70.0)</f>
        <v>70</v>
      </c>
      <c r="I282" s="559">
        <f>IFERROR(__xludf.DUMMYFUNCTION("""COMPUTED_VALUE"""),86.0)</f>
        <v>86</v>
      </c>
      <c r="J282" s="559">
        <f>IFERROR(__xludf.DUMMYFUNCTION("""COMPUTED_VALUE"""),70.0)</f>
        <v>70</v>
      </c>
      <c r="K282" s="559">
        <f>IFERROR(__xludf.DUMMYFUNCTION("""COMPUTED_VALUE"""),70.0)</f>
        <v>70</v>
      </c>
      <c r="L282" s="560">
        <f>IFERROR(__xludf.DUMMYFUNCTION("""COMPUTED_VALUE"""),50.0)</f>
        <v>50</v>
      </c>
      <c r="M282" s="561">
        <f>IFERROR(__xludf.DUMMYFUNCTION("""COMPUTED_VALUE"""),30.0)</f>
        <v>30</v>
      </c>
      <c r="N282" s="561">
        <f>IFERROR(__xludf.DUMMYFUNCTION("""COMPUTED_VALUE"""),34.0)</f>
        <v>34</v>
      </c>
      <c r="O282" s="560"/>
      <c r="P282" s="562">
        <f>IFERROR(__xludf.DUMMYFUNCTION("""COMPUTED_VALUE"""),82.0)</f>
        <v>82</v>
      </c>
      <c r="Q282" s="562">
        <f>IFERROR(__xludf.DUMMYFUNCTION("""COMPUTED_VALUE"""),58.0)</f>
        <v>58</v>
      </c>
      <c r="R282" s="562">
        <f>IFERROR(__xludf.DUMMYFUNCTION("""COMPUTED_VALUE"""),50.0)</f>
        <v>50</v>
      </c>
      <c r="S282" s="562"/>
      <c r="T282" s="217">
        <f>IFERROR(__xludf.DUMMYFUNCTION("""COMPUTED_VALUE"""),11.0)</f>
        <v>11</v>
      </c>
      <c r="U282" s="217">
        <f>IFERROR(__xludf.DUMMYFUNCTION("""COMPUTED_VALUE"""),22.0)</f>
        <v>22</v>
      </c>
      <c r="V282" s="217">
        <f>IFERROR(__xludf.DUMMYFUNCTION("""COMPUTED_VALUE"""),44.0)</f>
        <v>44</v>
      </c>
      <c r="W282" s="217">
        <f>IFERROR(__xludf.DUMMYFUNCTION("""COMPUTED_VALUE"""),68.0)</f>
        <v>68</v>
      </c>
      <c r="X282" s="217">
        <f>IFERROR(__xludf.DUMMYFUNCTION("""COMPUTED_VALUE"""),76.0)</f>
        <v>76</v>
      </c>
      <c r="Y282" s="217"/>
      <c r="Z282" s="217"/>
      <c r="AA282" s="481">
        <f>IFERROR(__xludf.DUMMYFUNCTION("""COMPUTED_VALUE"""),6.0)</f>
        <v>6</v>
      </c>
      <c r="AB282" s="481">
        <f>IFERROR(__xludf.DUMMYFUNCTION("""COMPUTED_VALUE"""),97.0)</f>
        <v>97</v>
      </c>
      <c r="AC282" s="481">
        <f>IFERROR(__xludf.DUMMYFUNCTION("""COMPUTED_VALUE"""),48.0)</f>
        <v>48</v>
      </c>
      <c r="AD282" s="481">
        <f>IFERROR(__xludf.DUMMYFUNCTION("""COMPUTED_VALUE"""),80.0)</f>
        <v>80</v>
      </c>
      <c r="AE282" s="481">
        <f>IFERROR(__xludf.DUMMYFUNCTION("""COMPUTED_VALUE"""),70.0)</f>
        <v>70</v>
      </c>
      <c r="AF282" s="481"/>
      <c r="AG282" s="481">
        <f>IFERROR(__xludf.DUMMYFUNCTION("""COMPUTED_VALUE"""),56.0)</f>
        <v>56</v>
      </c>
      <c r="AH282" s="481"/>
      <c r="AI282" s="158"/>
      <c r="AJ282" s="158"/>
      <c r="AK282" s="133">
        <f>IFERROR(__xludf.DUMMYFUNCTION("""COMPUTED_VALUE"""),4.0)</f>
        <v>4</v>
      </c>
      <c r="AL282" s="133">
        <f>IFERROR(__xludf.DUMMYFUNCTION("""COMPUTED_VALUE"""),1.0)</f>
        <v>1</v>
      </c>
      <c r="AM282" s="133">
        <f>IFERROR(__xludf.DUMMYFUNCTION("""COMPUTED_VALUE"""),3.0)</f>
        <v>3</v>
      </c>
      <c r="AN282" s="133" t="str">
        <f>IFERROR(__xludf.DUMMYFUNCTION("""COMPUTED_VALUE"""),"3.5")</f>
        <v>3.5</v>
      </c>
      <c r="AO282" s="133">
        <f>IFERROR(__xludf.DUMMYFUNCTION("""COMPUTED_VALUE"""),3.0)</f>
        <v>3</v>
      </c>
      <c r="AP282" s="155" t="s">
        <v>3706</v>
      </c>
    </row>
    <row r="283">
      <c r="A283" s="155">
        <f>IFERROR(__xludf.DUMMYFUNCTION("""COMPUTED_VALUE"""),45.0)</f>
        <v>45</v>
      </c>
      <c r="B283" s="155" t="str">
        <f>IFERROR(__xludf.DUMMYFUNCTION("""COMPUTED_VALUE"""),"dhys23ise@cmrit.ac.in")</f>
        <v>dhys23ise@cmrit.ac.in</v>
      </c>
      <c r="C283" s="174" t="str">
        <f>IFERROR(__xludf.DUMMYFUNCTION("""COMPUTED_VALUE"""),"DHANUSH Y S")</f>
        <v>DHANUSH Y S</v>
      </c>
      <c r="D283" s="155" t="str">
        <f>IFERROR(__xludf.DUMMYFUNCTION("""COMPUTED_VALUE"""),"1CR23IS046")</f>
        <v>1CR23IS046</v>
      </c>
      <c r="E283" s="563">
        <f>IFERROR(__xludf.DUMMYFUNCTION("""COMPUTED_VALUE"""),7.204970628E9)</f>
        <v>7204970628</v>
      </c>
      <c r="F283" s="155" t="str">
        <f>IFERROR(__xludf.DUMMYFUNCTION("""COMPUTED_VALUE"""),"ISE")</f>
        <v>ISE</v>
      </c>
      <c r="G283" s="158"/>
      <c r="H283" s="559">
        <f>IFERROR(__xludf.DUMMYFUNCTION("""COMPUTED_VALUE"""),70.0)</f>
        <v>70</v>
      </c>
      <c r="I283" s="559">
        <f>IFERROR(__xludf.DUMMYFUNCTION("""COMPUTED_VALUE"""),70.0)</f>
        <v>70</v>
      </c>
      <c r="J283" s="559">
        <f>IFERROR(__xludf.DUMMYFUNCTION("""COMPUTED_VALUE"""),70.0)</f>
        <v>70</v>
      </c>
      <c r="K283" s="559">
        <f>IFERROR(__xludf.DUMMYFUNCTION("""COMPUTED_VALUE"""),70.0)</f>
        <v>70</v>
      </c>
      <c r="L283" s="560">
        <f>IFERROR(__xludf.DUMMYFUNCTION("""COMPUTED_VALUE"""),50.0)</f>
        <v>50</v>
      </c>
      <c r="M283" s="561">
        <f>IFERROR(__xludf.DUMMYFUNCTION("""COMPUTED_VALUE"""),34.0)</f>
        <v>34</v>
      </c>
      <c r="N283" s="561">
        <f>IFERROR(__xludf.DUMMYFUNCTION("""COMPUTED_VALUE"""),50.0)</f>
        <v>50</v>
      </c>
      <c r="O283" s="560"/>
      <c r="P283" s="562">
        <f>IFERROR(__xludf.DUMMYFUNCTION("""COMPUTED_VALUE"""),78.0)</f>
        <v>78</v>
      </c>
      <c r="Q283" s="562">
        <f>IFERROR(__xludf.DUMMYFUNCTION("""COMPUTED_VALUE"""),50.0)</f>
        <v>50</v>
      </c>
      <c r="R283" s="562">
        <f>IFERROR(__xludf.DUMMYFUNCTION("""COMPUTED_VALUE"""),85.0)</f>
        <v>85</v>
      </c>
      <c r="S283" s="562"/>
      <c r="T283" s="217">
        <f>IFERROR(__xludf.DUMMYFUNCTION("""COMPUTED_VALUE"""),21.0)</f>
        <v>21</v>
      </c>
      <c r="U283" s="217">
        <f>IFERROR(__xludf.DUMMYFUNCTION("""COMPUTED_VALUE"""),24.0)</f>
        <v>24</v>
      </c>
      <c r="V283" s="217">
        <f>IFERROR(__xludf.DUMMYFUNCTION("""COMPUTED_VALUE"""),46.0)</f>
        <v>46</v>
      </c>
      <c r="W283" s="217">
        <f>IFERROR(__xludf.DUMMYFUNCTION("""COMPUTED_VALUE"""),72.0)</f>
        <v>72</v>
      </c>
      <c r="X283" s="217">
        <f>IFERROR(__xludf.DUMMYFUNCTION("""COMPUTED_VALUE"""),76.0)</f>
        <v>76</v>
      </c>
      <c r="Y283" s="217"/>
      <c r="Z283" s="217"/>
      <c r="AA283" s="481">
        <f>IFERROR(__xludf.DUMMYFUNCTION("""COMPUTED_VALUE"""),64.0)</f>
        <v>64</v>
      </c>
      <c r="AB283" s="481">
        <f>IFERROR(__xludf.DUMMYFUNCTION("""COMPUTED_VALUE"""),92.0)</f>
        <v>92</v>
      </c>
      <c r="AC283" s="481">
        <f>IFERROR(__xludf.DUMMYFUNCTION("""COMPUTED_VALUE"""),61.0)</f>
        <v>61</v>
      </c>
      <c r="AD283" s="481">
        <f>IFERROR(__xludf.DUMMYFUNCTION("""COMPUTED_VALUE"""),100.0)</f>
        <v>100</v>
      </c>
      <c r="AE283" s="481">
        <f>IFERROR(__xludf.DUMMYFUNCTION("""COMPUTED_VALUE"""),34.0)</f>
        <v>34</v>
      </c>
      <c r="AF283" s="481"/>
      <c r="AG283" s="481">
        <f>IFERROR(__xludf.DUMMYFUNCTION("""COMPUTED_VALUE"""),36.0)</f>
        <v>36</v>
      </c>
      <c r="AH283" s="481"/>
      <c r="AI283" s="158"/>
      <c r="AJ283" s="158"/>
      <c r="AK283" s="133">
        <f>IFERROR(__xludf.DUMMYFUNCTION("""COMPUTED_VALUE"""),4.0)</f>
        <v>4</v>
      </c>
      <c r="AL283" s="133">
        <f>IFERROR(__xludf.DUMMYFUNCTION("""COMPUTED_VALUE"""),1.0)</f>
        <v>1</v>
      </c>
      <c r="AM283" s="133">
        <f>IFERROR(__xludf.DUMMYFUNCTION("""COMPUTED_VALUE"""),3.0)</f>
        <v>3</v>
      </c>
      <c r="AN283" s="133" t="str">
        <f>IFERROR(__xludf.DUMMYFUNCTION("""COMPUTED_VALUE"""),"3")</f>
        <v>3</v>
      </c>
      <c r="AO283" s="133">
        <f>IFERROR(__xludf.DUMMYFUNCTION("""COMPUTED_VALUE"""),3.0)</f>
        <v>3</v>
      </c>
      <c r="AP283" s="155" t="s">
        <v>3706</v>
      </c>
    </row>
    <row r="284">
      <c r="A284" s="155">
        <f>IFERROR(__xludf.DUMMYFUNCTION("""COMPUTED_VALUE"""),46.0)</f>
        <v>46</v>
      </c>
      <c r="B284" s="155" t="str">
        <f>IFERROR(__xludf.DUMMYFUNCTION("""COMPUTED_VALUE"""),"dibh23ise@cmrit.ac.in")</f>
        <v>dibh23ise@cmrit.ac.in</v>
      </c>
      <c r="C284" s="174" t="str">
        <f>IFERROR(__xludf.DUMMYFUNCTION("""COMPUTED_VALUE"""),"Dikshit Bhusal")</f>
        <v>Dikshit Bhusal</v>
      </c>
      <c r="D284" s="155" t="str">
        <f>IFERROR(__xludf.DUMMYFUNCTION("""COMPUTED_VALUE"""),"1CR23IS047")</f>
        <v>1CR23IS047</v>
      </c>
      <c r="E284" s="563">
        <f>IFERROR(__xludf.DUMMYFUNCTION("""COMPUTED_VALUE"""),9.845334254E9)</f>
        <v>9845334254</v>
      </c>
      <c r="F284" s="155" t="str">
        <f>IFERROR(__xludf.DUMMYFUNCTION("""COMPUTED_VALUE"""),"ISE")</f>
        <v>ISE</v>
      </c>
      <c r="G284" s="158"/>
      <c r="H284" s="559">
        <f>IFERROR(__xludf.DUMMYFUNCTION("""COMPUTED_VALUE"""),68.0)</f>
        <v>68</v>
      </c>
      <c r="I284" s="559">
        <f>IFERROR(__xludf.DUMMYFUNCTION("""COMPUTED_VALUE"""),70.0)</f>
        <v>70</v>
      </c>
      <c r="J284" s="559">
        <f>IFERROR(__xludf.DUMMYFUNCTION("""COMPUTED_VALUE"""),70.0)</f>
        <v>70</v>
      </c>
      <c r="K284" s="559">
        <f>IFERROR(__xludf.DUMMYFUNCTION("""COMPUTED_VALUE"""),70.0)</f>
        <v>70</v>
      </c>
      <c r="L284" s="560">
        <f>IFERROR(__xludf.DUMMYFUNCTION("""COMPUTED_VALUE"""),12.0)</f>
        <v>12</v>
      </c>
      <c r="M284" s="561">
        <f>IFERROR(__xludf.DUMMYFUNCTION("""COMPUTED_VALUE"""),0.0)</f>
        <v>0</v>
      </c>
      <c r="N284" s="561">
        <f>IFERROR(__xludf.DUMMYFUNCTION("""COMPUTED_VALUE"""),0.0)</f>
        <v>0</v>
      </c>
      <c r="O284" s="560"/>
      <c r="P284" s="562">
        <f>IFERROR(__xludf.DUMMYFUNCTION("""COMPUTED_VALUE"""),0.0)</f>
        <v>0</v>
      </c>
      <c r="Q284" s="562">
        <f>IFERROR(__xludf.DUMMYFUNCTION("""COMPUTED_VALUE"""),0.0)</f>
        <v>0</v>
      </c>
      <c r="R284" s="562">
        <f>IFERROR(__xludf.DUMMYFUNCTION("""COMPUTED_VALUE"""),0.0)</f>
        <v>0</v>
      </c>
      <c r="S284" s="562"/>
      <c r="T284" s="217">
        <f>IFERROR(__xludf.DUMMYFUNCTION("""COMPUTED_VALUE"""),13.0)</f>
        <v>13</v>
      </c>
      <c r="U284" s="217">
        <f>IFERROR(__xludf.DUMMYFUNCTION("""COMPUTED_VALUE"""),19.0)</f>
        <v>19</v>
      </c>
      <c r="V284" s="217">
        <f>IFERROR(__xludf.DUMMYFUNCTION("""COMPUTED_VALUE"""),36.0)</f>
        <v>36</v>
      </c>
      <c r="W284" s="217">
        <f>IFERROR(__xludf.DUMMYFUNCTION("""COMPUTED_VALUE"""),32.0)</f>
        <v>32</v>
      </c>
      <c r="X284" s="217">
        <f>IFERROR(__xludf.DUMMYFUNCTION("""COMPUTED_VALUE"""),68.0)</f>
        <v>68</v>
      </c>
      <c r="Y284" s="217"/>
      <c r="Z284" s="217"/>
      <c r="AA284" s="481">
        <f>IFERROR(__xludf.DUMMYFUNCTION("""COMPUTED_VALUE"""),20.0)</f>
        <v>20</v>
      </c>
      <c r="AB284" s="481">
        <f>IFERROR(__xludf.DUMMYFUNCTION("""COMPUTED_VALUE"""),56.0)</f>
        <v>56</v>
      </c>
      <c r="AC284" s="481">
        <f>IFERROR(__xludf.DUMMYFUNCTION("""COMPUTED_VALUE"""),0.0)</f>
        <v>0</v>
      </c>
      <c r="AD284" s="481">
        <f>IFERROR(__xludf.DUMMYFUNCTION("""COMPUTED_VALUE"""),0.0)</f>
        <v>0</v>
      </c>
      <c r="AE284" s="481">
        <f>IFERROR(__xludf.DUMMYFUNCTION("""COMPUTED_VALUE"""),10.0)</f>
        <v>10</v>
      </c>
      <c r="AF284" s="481"/>
      <c r="AG284" s="481">
        <f>IFERROR(__xludf.DUMMYFUNCTION("""COMPUTED_VALUE"""),30.0)</f>
        <v>30</v>
      </c>
      <c r="AH284" s="481"/>
      <c r="AI284" s="158"/>
      <c r="AJ284" s="158"/>
      <c r="AK284" s="133">
        <f>IFERROR(__xludf.DUMMYFUNCTION("""COMPUTED_VALUE"""),4.0)</f>
        <v>4</v>
      </c>
      <c r="AL284" s="133">
        <f>IFERROR(__xludf.DUMMYFUNCTION("""COMPUTED_VALUE"""),0.0)</f>
        <v>0</v>
      </c>
      <c r="AM284" s="133">
        <f>IFERROR(__xludf.DUMMYFUNCTION("""COMPUTED_VALUE"""),2.0)</f>
        <v>2</v>
      </c>
      <c r="AN284" s="133" t="str">
        <f>IFERROR(__xludf.DUMMYFUNCTION("""COMPUTED_VALUE"""),"2")</f>
        <v>2</v>
      </c>
      <c r="AO284" s="133">
        <f>IFERROR(__xludf.DUMMYFUNCTION("""COMPUTED_VALUE"""),0.0)</f>
        <v>0</v>
      </c>
      <c r="AP284" s="155" t="s">
        <v>3706</v>
      </c>
    </row>
    <row r="285">
      <c r="A285" s="155">
        <f>IFERROR(__xludf.DUMMYFUNCTION("""COMPUTED_VALUE"""),47.0)</f>
        <v>47</v>
      </c>
      <c r="B285" s="155" t="str">
        <f>IFERROR(__xludf.DUMMYFUNCTION("""COMPUTED_VALUE"""),"divt23ise@cmrit.ac.in")</f>
        <v>divt23ise@cmrit.ac.in</v>
      </c>
      <c r="C285" s="174" t="str">
        <f>IFERROR(__xludf.DUMMYFUNCTION("""COMPUTED_VALUE"""),"DILIP KUMAR V T")</f>
        <v>DILIP KUMAR V T</v>
      </c>
      <c r="D285" s="155" t="str">
        <f>IFERROR(__xludf.DUMMYFUNCTION("""COMPUTED_VALUE"""),"1CR23IS048")</f>
        <v>1CR23IS048</v>
      </c>
      <c r="E285" s="563">
        <f>IFERROR(__xludf.DUMMYFUNCTION("""COMPUTED_VALUE"""),6.361772158E9)</f>
        <v>6361772158</v>
      </c>
      <c r="F285" s="155" t="str">
        <f>IFERROR(__xludf.DUMMYFUNCTION("""COMPUTED_VALUE"""),"ISE")</f>
        <v>ISE</v>
      </c>
      <c r="G285" s="158"/>
      <c r="H285" s="559">
        <f>IFERROR(__xludf.DUMMYFUNCTION("""COMPUTED_VALUE"""),77.0)</f>
        <v>77</v>
      </c>
      <c r="I285" s="559">
        <f>IFERROR(__xludf.DUMMYFUNCTION("""COMPUTED_VALUE"""),82.0)</f>
        <v>82</v>
      </c>
      <c r="J285" s="559">
        <f>IFERROR(__xludf.DUMMYFUNCTION("""COMPUTED_VALUE"""),71.0)</f>
        <v>71</v>
      </c>
      <c r="K285" s="559">
        <f>IFERROR(__xludf.DUMMYFUNCTION("""COMPUTED_VALUE"""),70.0)</f>
        <v>70</v>
      </c>
      <c r="L285" s="560">
        <f>IFERROR(__xludf.DUMMYFUNCTION("""COMPUTED_VALUE"""),24.0)</f>
        <v>24</v>
      </c>
      <c r="M285" s="561">
        <f>IFERROR(__xludf.DUMMYFUNCTION("""COMPUTED_VALUE"""),46.0)</f>
        <v>46</v>
      </c>
      <c r="N285" s="561">
        <f>IFERROR(__xludf.DUMMYFUNCTION("""COMPUTED_VALUE"""),53.0)</f>
        <v>53</v>
      </c>
      <c r="O285" s="560"/>
      <c r="P285" s="562">
        <f>IFERROR(__xludf.DUMMYFUNCTION("""COMPUTED_VALUE"""),86.0)</f>
        <v>86</v>
      </c>
      <c r="Q285" s="562">
        <f>IFERROR(__xludf.DUMMYFUNCTION("""COMPUTED_VALUE"""),50.0)</f>
        <v>50</v>
      </c>
      <c r="R285" s="562">
        <f>IFERROR(__xludf.DUMMYFUNCTION("""COMPUTED_VALUE"""),88.0)</f>
        <v>88</v>
      </c>
      <c r="S285" s="562"/>
      <c r="T285" s="217">
        <f>IFERROR(__xludf.DUMMYFUNCTION("""COMPUTED_VALUE"""),19.0)</f>
        <v>19</v>
      </c>
      <c r="U285" s="217">
        <f>IFERROR(__xludf.DUMMYFUNCTION("""COMPUTED_VALUE"""),24.0)</f>
        <v>24</v>
      </c>
      <c r="V285" s="217">
        <f>IFERROR(__xludf.DUMMYFUNCTION("""COMPUTED_VALUE"""),46.0)</f>
        <v>46</v>
      </c>
      <c r="W285" s="217">
        <f>IFERROR(__xludf.DUMMYFUNCTION("""COMPUTED_VALUE"""),52.0)</f>
        <v>52</v>
      </c>
      <c r="X285" s="217">
        <f>IFERROR(__xludf.DUMMYFUNCTION("""COMPUTED_VALUE"""),72.0)</f>
        <v>72</v>
      </c>
      <c r="Y285" s="217"/>
      <c r="Z285" s="217"/>
      <c r="AA285" s="481">
        <f>IFERROR(__xludf.DUMMYFUNCTION("""COMPUTED_VALUE"""),39.6)</f>
        <v>39.6</v>
      </c>
      <c r="AB285" s="481">
        <f>IFERROR(__xludf.DUMMYFUNCTION("""COMPUTED_VALUE"""),95.0)</f>
        <v>95</v>
      </c>
      <c r="AC285" s="481">
        <f>IFERROR(__xludf.DUMMYFUNCTION("""COMPUTED_VALUE"""),77.0)</f>
        <v>77</v>
      </c>
      <c r="AD285" s="481">
        <f>IFERROR(__xludf.DUMMYFUNCTION("""COMPUTED_VALUE"""),90.0)</f>
        <v>90</v>
      </c>
      <c r="AE285" s="481">
        <f>IFERROR(__xludf.DUMMYFUNCTION("""COMPUTED_VALUE"""),71.0)</f>
        <v>71</v>
      </c>
      <c r="AF285" s="481"/>
      <c r="AG285" s="481">
        <f>IFERROR(__xludf.DUMMYFUNCTION("""COMPUTED_VALUE"""),71.0)</f>
        <v>71</v>
      </c>
      <c r="AH285" s="481"/>
      <c r="AI285" s="158"/>
      <c r="AJ285" s="158"/>
      <c r="AK285" s="133">
        <f>IFERROR(__xludf.DUMMYFUNCTION("""COMPUTED_VALUE"""),4.0)</f>
        <v>4</v>
      </c>
      <c r="AL285" s="133">
        <f>IFERROR(__xludf.DUMMYFUNCTION("""COMPUTED_VALUE"""),0.0)</f>
        <v>0</v>
      </c>
      <c r="AM285" s="133">
        <f>IFERROR(__xludf.DUMMYFUNCTION("""COMPUTED_VALUE"""),3.0)</f>
        <v>3</v>
      </c>
      <c r="AN285" s="133" t="str">
        <f>IFERROR(__xludf.DUMMYFUNCTION("""COMPUTED_VALUE"""),"3.5")</f>
        <v>3.5</v>
      </c>
      <c r="AO285" s="133">
        <f>IFERROR(__xludf.DUMMYFUNCTION("""COMPUTED_VALUE"""),3.0)</f>
        <v>3</v>
      </c>
      <c r="AP285" s="155" t="s">
        <v>3706</v>
      </c>
    </row>
    <row r="286">
      <c r="A286" s="261">
        <f>IFERROR(__xludf.DUMMYFUNCTION("""COMPUTED_VALUE"""),48.0)</f>
        <v>48</v>
      </c>
      <c r="B286" s="261" t="str">
        <f>IFERROR(__xludf.DUMMYFUNCTION("""COMPUTED_VALUE"""),"dika23ise@cmrit.ac.in")</f>
        <v>dika23ise@cmrit.ac.in</v>
      </c>
      <c r="C286" s="172" t="str">
        <f>IFERROR(__xludf.DUMMYFUNCTION("""COMPUTED_VALUE"""),"DIVIJ BELLIAPPA K A")</f>
        <v>DIVIJ BELLIAPPA K A</v>
      </c>
      <c r="D286" s="155" t="str">
        <f>IFERROR(__xludf.DUMMYFUNCTION("""COMPUTED_VALUE"""),"1CR23IS049")</f>
        <v>1CR23IS049</v>
      </c>
      <c r="E286" s="563">
        <f>IFERROR(__xludf.DUMMYFUNCTION("""COMPUTED_VALUE"""),9.663548648E9)</f>
        <v>9663548648</v>
      </c>
      <c r="F286" s="155" t="str">
        <f>IFERROR(__xludf.DUMMYFUNCTION("""COMPUTED_VALUE"""),"ISE")</f>
        <v>ISE</v>
      </c>
      <c r="G286" s="158"/>
      <c r="H286" s="559">
        <f>IFERROR(__xludf.DUMMYFUNCTION("""COMPUTED_VALUE"""),70.0)</f>
        <v>70</v>
      </c>
      <c r="I286" s="559">
        <f>IFERROR(__xludf.DUMMYFUNCTION("""COMPUTED_VALUE"""),80.0)</f>
        <v>80</v>
      </c>
      <c r="J286" s="559">
        <f>IFERROR(__xludf.DUMMYFUNCTION("""COMPUTED_VALUE"""),73.0)</f>
        <v>73</v>
      </c>
      <c r="K286" s="559">
        <f>IFERROR(__xludf.DUMMYFUNCTION("""COMPUTED_VALUE"""),70.0)</f>
        <v>70</v>
      </c>
      <c r="L286" s="560">
        <f>IFERROR(__xludf.DUMMYFUNCTION("""COMPUTED_VALUE"""),38.0)</f>
        <v>38</v>
      </c>
      <c r="M286" s="561">
        <f>IFERROR(__xludf.DUMMYFUNCTION("""COMPUTED_VALUE"""),50.0)</f>
        <v>50</v>
      </c>
      <c r="N286" s="561">
        <f>IFERROR(__xludf.DUMMYFUNCTION("""COMPUTED_VALUE"""),58.0)</f>
        <v>58</v>
      </c>
      <c r="O286" s="560"/>
      <c r="P286" s="562">
        <f>IFERROR(__xludf.DUMMYFUNCTION("""COMPUTED_VALUE"""),78.0)</f>
        <v>78</v>
      </c>
      <c r="Q286" s="562">
        <f>IFERROR(__xludf.DUMMYFUNCTION("""COMPUTED_VALUE"""),50.0)</f>
        <v>50</v>
      </c>
      <c r="R286" s="562">
        <f>IFERROR(__xludf.DUMMYFUNCTION("""COMPUTED_VALUE"""),75.0)</f>
        <v>75</v>
      </c>
      <c r="S286" s="562"/>
      <c r="T286" s="217">
        <f>IFERROR(__xludf.DUMMYFUNCTION("""COMPUTED_VALUE"""),12.0)</f>
        <v>12</v>
      </c>
      <c r="U286" s="217">
        <f>IFERROR(__xludf.DUMMYFUNCTION("""COMPUTED_VALUE"""),19.0)</f>
        <v>19</v>
      </c>
      <c r="V286" s="217">
        <f>IFERROR(__xludf.DUMMYFUNCTION("""COMPUTED_VALUE"""),46.0)</f>
        <v>46</v>
      </c>
      <c r="W286" s="217">
        <f>IFERROR(__xludf.DUMMYFUNCTION("""COMPUTED_VALUE"""),56.0)</f>
        <v>56</v>
      </c>
      <c r="X286" s="217">
        <f>IFERROR(__xludf.DUMMYFUNCTION("""COMPUTED_VALUE"""),80.0)</f>
        <v>80</v>
      </c>
      <c r="Y286" s="217"/>
      <c r="Z286" s="217"/>
      <c r="AA286" s="481">
        <f>IFERROR(__xludf.DUMMYFUNCTION("""COMPUTED_VALUE"""),100.0)</f>
        <v>100</v>
      </c>
      <c r="AB286" s="481">
        <f>IFERROR(__xludf.DUMMYFUNCTION("""COMPUTED_VALUE"""),92.0)</f>
        <v>92</v>
      </c>
      <c r="AC286" s="481">
        <f>IFERROR(__xludf.DUMMYFUNCTION("""COMPUTED_VALUE"""),67.0)</f>
        <v>67</v>
      </c>
      <c r="AD286" s="481">
        <f>IFERROR(__xludf.DUMMYFUNCTION("""COMPUTED_VALUE"""),63.0)</f>
        <v>63</v>
      </c>
      <c r="AE286" s="481">
        <f>IFERROR(__xludf.DUMMYFUNCTION("""COMPUTED_VALUE"""),80.0)</f>
        <v>80</v>
      </c>
      <c r="AF286" s="481"/>
      <c r="AG286" s="481">
        <f>IFERROR(__xludf.DUMMYFUNCTION("""COMPUTED_VALUE"""),54.0)</f>
        <v>54</v>
      </c>
      <c r="AH286" s="481"/>
      <c r="AI286" s="158"/>
      <c r="AJ286" s="158"/>
      <c r="AK286" s="133">
        <f>IFERROR(__xludf.DUMMYFUNCTION("""COMPUTED_VALUE"""),4.0)</f>
        <v>4</v>
      </c>
      <c r="AL286" s="133">
        <f>IFERROR(__xludf.DUMMYFUNCTION("""COMPUTED_VALUE"""),0.0)</f>
        <v>0</v>
      </c>
      <c r="AM286" s="133">
        <f>IFERROR(__xludf.DUMMYFUNCTION("""COMPUTED_VALUE"""),3.0)</f>
        <v>3</v>
      </c>
      <c r="AN286" s="133" t="str">
        <f>IFERROR(__xludf.DUMMYFUNCTION("""COMPUTED_VALUE"""),"3.5")</f>
        <v>3.5</v>
      </c>
      <c r="AO286" s="133">
        <f>IFERROR(__xludf.DUMMYFUNCTION("""COMPUTED_VALUE"""),3.0)</f>
        <v>3</v>
      </c>
      <c r="AP286" s="155" t="s">
        <v>3706</v>
      </c>
    </row>
    <row r="287">
      <c r="A287" s="261">
        <f>IFERROR(__xludf.DUMMYFUNCTION("""COMPUTED_VALUE"""),49.0)</f>
        <v>49</v>
      </c>
      <c r="B287" s="261" t="str">
        <f>IFERROR(__xludf.DUMMYFUNCTION("""COMPUTED_VALUE"""),"eab23ise@cmrit.ac.in")</f>
        <v>eab23ise@cmrit.ac.in</v>
      </c>
      <c r="C287" s="172" t="str">
        <f>IFERROR(__xludf.DUMMYFUNCTION("""COMPUTED_VALUE"""),"E ABHILASH")</f>
        <v>E ABHILASH</v>
      </c>
      <c r="D287" s="155" t="str">
        <f>IFERROR(__xludf.DUMMYFUNCTION("""COMPUTED_VALUE"""),"1CR23IS050")</f>
        <v>1CR23IS050</v>
      </c>
      <c r="E287" s="563">
        <f>IFERROR(__xludf.DUMMYFUNCTION("""COMPUTED_VALUE"""),7.022410424E9)</f>
        <v>7022410424</v>
      </c>
      <c r="F287" s="155" t="str">
        <f>IFERROR(__xludf.DUMMYFUNCTION("""COMPUTED_VALUE"""),"ISE")</f>
        <v>ISE</v>
      </c>
      <c r="G287" s="158"/>
      <c r="H287" s="559">
        <f>IFERROR(__xludf.DUMMYFUNCTION("""COMPUTED_VALUE"""),70.0)</f>
        <v>70</v>
      </c>
      <c r="I287" s="559">
        <f>IFERROR(__xludf.DUMMYFUNCTION("""COMPUTED_VALUE"""),79.0)</f>
        <v>79</v>
      </c>
      <c r="J287" s="559">
        <f>IFERROR(__xludf.DUMMYFUNCTION("""COMPUTED_VALUE"""),70.0)</f>
        <v>70</v>
      </c>
      <c r="K287" s="559">
        <f>IFERROR(__xludf.DUMMYFUNCTION("""COMPUTED_VALUE"""),70.0)</f>
        <v>70</v>
      </c>
      <c r="L287" s="560">
        <f>IFERROR(__xludf.DUMMYFUNCTION("""COMPUTED_VALUE"""),50.0)</f>
        <v>50</v>
      </c>
      <c r="M287" s="561">
        <f>IFERROR(__xludf.DUMMYFUNCTION("""COMPUTED_VALUE"""),43.0)</f>
        <v>43</v>
      </c>
      <c r="N287" s="561">
        <f>IFERROR(__xludf.DUMMYFUNCTION("""COMPUTED_VALUE"""),50.0)</f>
        <v>50</v>
      </c>
      <c r="O287" s="560"/>
      <c r="P287" s="562">
        <f>IFERROR(__xludf.DUMMYFUNCTION("""COMPUTED_VALUE"""),81.0)</f>
        <v>81</v>
      </c>
      <c r="Q287" s="562">
        <f>IFERROR(__xludf.DUMMYFUNCTION("""COMPUTED_VALUE"""),50.0)</f>
        <v>50</v>
      </c>
      <c r="R287" s="562">
        <f>IFERROR(__xludf.DUMMYFUNCTION("""COMPUTED_VALUE"""),84.0)</f>
        <v>84</v>
      </c>
      <c r="S287" s="562"/>
      <c r="T287" s="217">
        <f>IFERROR(__xludf.DUMMYFUNCTION("""COMPUTED_VALUE"""),19.0)</f>
        <v>19</v>
      </c>
      <c r="U287" s="217">
        <f>IFERROR(__xludf.DUMMYFUNCTION("""COMPUTED_VALUE"""),20.0)</f>
        <v>20</v>
      </c>
      <c r="V287" s="217">
        <f>IFERROR(__xludf.DUMMYFUNCTION("""COMPUTED_VALUE"""),46.0)</f>
        <v>46</v>
      </c>
      <c r="W287" s="217">
        <f>IFERROR(__xludf.DUMMYFUNCTION("""COMPUTED_VALUE"""),48.0)</f>
        <v>48</v>
      </c>
      <c r="X287" s="217">
        <f>IFERROR(__xludf.DUMMYFUNCTION("""COMPUTED_VALUE"""),76.0)</f>
        <v>76</v>
      </c>
      <c r="Y287" s="217"/>
      <c r="Z287" s="217"/>
      <c r="AA287" s="481">
        <f>IFERROR(__xludf.DUMMYFUNCTION("""COMPUTED_VALUE"""),16.0)</f>
        <v>16</v>
      </c>
      <c r="AB287" s="481">
        <f>IFERROR(__xludf.DUMMYFUNCTION("""COMPUTED_VALUE"""),97.0)</f>
        <v>97</v>
      </c>
      <c r="AC287" s="481">
        <f>IFERROR(__xludf.DUMMYFUNCTION("""COMPUTED_VALUE"""),37.0)</f>
        <v>37</v>
      </c>
      <c r="AD287" s="481">
        <f>IFERROR(__xludf.DUMMYFUNCTION("""COMPUTED_VALUE"""),67.0)</f>
        <v>67</v>
      </c>
      <c r="AE287" s="481">
        <f>IFERROR(__xludf.DUMMYFUNCTION("""COMPUTED_VALUE"""),80.0)</f>
        <v>80</v>
      </c>
      <c r="AF287" s="481"/>
      <c r="AG287" s="481">
        <f>IFERROR(__xludf.DUMMYFUNCTION("""COMPUTED_VALUE"""),50.0)</f>
        <v>50</v>
      </c>
      <c r="AH287" s="481"/>
      <c r="AI287" s="158"/>
      <c r="AJ287" s="158"/>
      <c r="AK287" s="133">
        <f>IFERROR(__xludf.DUMMYFUNCTION("""COMPUTED_VALUE"""),4.0)</f>
        <v>4</v>
      </c>
      <c r="AL287" s="133">
        <f>IFERROR(__xludf.DUMMYFUNCTION("""COMPUTED_VALUE"""),1.0)</f>
        <v>1</v>
      </c>
      <c r="AM287" s="133">
        <f>IFERROR(__xludf.DUMMYFUNCTION("""COMPUTED_VALUE"""),2.0)</f>
        <v>2</v>
      </c>
      <c r="AN287" s="133" t="str">
        <f>IFERROR(__xludf.DUMMYFUNCTION("""COMPUTED_VALUE"""),"3.5")</f>
        <v>3.5</v>
      </c>
      <c r="AO287" s="133">
        <f>IFERROR(__xludf.DUMMYFUNCTION("""COMPUTED_VALUE"""),3.0)</f>
        <v>3</v>
      </c>
      <c r="AP287" s="155" t="s">
        <v>3706</v>
      </c>
    </row>
    <row r="288">
      <c r="A288" s="261">
        <f>IFERROR(__xludf.DUMMYFUNCTION("""COMPUTED_VALUE"""),50.0)</f>
        <v>50</v>
      </c>
      <c r="B288" s="261" t="str">
        <f>IFERROR(__xludf.DUMMYFUNCTION("""COMPUTED_VALUE"""),"epr23ise@cmrit.ac.in")</f>
        <v>epr23ise@cmrit.ac.in</v>
      </c>
      <c r="C288" s="172" t="str">
        <f>IFERROR(__xludf.DUMMYFUNCTION("""COMPUTED_VALUE"""),"E PRISCILLA SHINY")</f>
        <v>E PRISCILLA SHINY</v>
      </c>
      <c r="D288" s="155" t="str">
        <f>IFERROR(__xludf.DUMMYFUNCTION("""COMPUTED_VALUE"""),"1CR23IS051")</f>
        <v>1CR23IS051</v>
      </c>
      <c r="E288" s="563">
        <f>IFERROR(__xludf.DUMMYFUNCTION("""COMPUTED_VALUE"""),8.792896274E9)</f>
        <v>8792896274</v>
      </c>
      <c r="F288" s="155" t="str">
        <f>IFERROR(__xludf.DUMMYFUNCTION("""COMPUTED_VALUE"""),"ISE")</f>
        <v>ISE</v>
      </c>
      <c r="G288" s="158"/>
      <c r="H288" s="559">
        <f>IFERROR(__xludf.DUMMYFUNCTION("""COMPUTED_VALUE"""),87.0)</f>
        <v>87</v>
      </c>
      <c r="I288" s="559">
        <f>IFERROR(__xludf.DUMMYFUNCTION("""COMPUTED_VALUE"""),90.0)</f>
        <v>90</v>
      </c>
      <c r="J288" s="559">
        <f>IFERROR(__xludf.DUMMYFUNCTION("""COMPUTED_VALUE"""),88.0)</f>
        <v>88</v>
      </c>
      <c r="K288" s="559">
        <f>IFERROR(__xludf.DUMMYFUNCTION("""COMPUTED_VALUE"""),73.0)</f>
        <v>73</v>
      </c>
      <c r="L288" s="560">
        <f>IFERROR(__xludf.DUMMYFUNCTION("""COMPUTED_VALUE"""),50.0)</f>
        <v>50</v>
      </c>
      <c r="M288" s="561">
        <f>IFERROR(__xludf.DUMMYFUNCTION("""COMPUTED_VALUE"""),43.0)</f>
        <v>43</v>
      </c>
      <c r="N288" s="561">
        <f>IFERROR(__xludf.DUMMYFUNCTION("""COMPUTED_VALUE"""),50.0)</f>
        <v>50</v>
      </c>
      <c r="O288" s="560"/>
      <c r="P288" s="562">
        <f>IFERROR(__xludf.DUMMYFUNCTION("""COMPUTED_VALUE"""),80.0)</f>
        <v>80</v>
      </c>
      <c r="Q288" s="562">
        <f>IFERROR(__xludf.DUMMYFUNCTION("""COMPUTED_VALUE"""),55.0)</f>
        <v>55</v>
      </c>
      <c r="R288" s="562">
        <f>IFERROR(__xludf.DUMMYFUNCTION("""COMPUTED_VALUE"""),83.0)</f>
        <v>83</v>
      </c>
      <c r="S288" s="562"/>
      <c r="T288" s="217">
        <f>IFERROR(__xludf.DUMMYFUNCTION("""COMPUTED_VALUE"""),13.0)</f>
        <v>13</v>
      </c>
      <c r="U288" s="217">
        <f>IFERROR(__xludf.DUMMYFUNCTION("""COMPUTED_VALUE"""),23.0)</f>
        <v>23</v>
      </c>
      <c r="V288" s="217">
        <f>IFERROR(__xludf.DUMMYFUNCTION("""COMPUTED_VALUE"""),40.0)</f>
        <v>40</v>
      </c>
      <c r="W288" s="217">
        <f>IFERROR(__xludf.DUMMYFUNCTION("""COMPUTED_VALUE"""),48.0)</f>
        <v>48</v>
      </c>
      <c r="X288" s="217">
        <f>IFERROR(__xludf.DUMMYFUNCTION("""COMPUTED_VALUE"""),80.0)</f>
        <v>80</v>
      </c>
      <c r="Y288" s="217"/>
      <c r="Z288" s="217"/>
      <c r="AA288" s="481">
        <f>IFERROR(__xludf.DUMMYFUNCTION("""COMPUTED_VALUE"""),74.0)</f>
        <v>74</v>
      </c>
      <c r="AB288" s="481">
        <f>IFERROR(__xludf.DUMMYFUNCTION("""COMPUTED_VALUE"""),100.0)</f>
        <v>100</v>
      </c>
      <c r="AC288" s="481">
        <f>IFERROR(__xludf.DUMMYFUNCTION("""COMPUTED_VALUE"""),51.0)</f>
        <v>51</v>
      </c>
      <c r="AD288" s="481">
        <f>IFERROR(__xludf.DUMMYFUNCTION("""COMPUTED_VALUE"""),60.0)</f>
        <v>60</v>
      </c>
      <c r="AE288" s="481">
        <f>IFERROR(__xludf.DUMMYFUNCTION("""COMPUTED_VALUE"""),42.0)</f>
        <v>42</v>
      </c>
      <c r="AF288" s="481"/>
      <c r="AG288" s="481">
        <f>IFERROR(__xludf.DUMMYFUNCTION("""COMPUTED_VALUE"""),77.0)</f>
        <v>77</v>
      </c>
      <c r="AH288" s="481"/>
      <c r="AI288" s="158"/>
      <c r="AJ288" s="158"/>
      <c r="AK288" s="133">
        <f>IFERROR(__xludf.DUMMYFUNCTION("""COMPUTED_VALUE"""),4.0)</f>
        <v>4</v>
      </c>
      <c r="AL288" s="133">
        <f>IFERROR(__xludf.DUMMYFUNCTION("""COMPUTED_VALUE"""),1.0)</f>
        <v>1</v>
      </c>
      <c r="AM288" s="133">
        <f>IFERROR(__xludf.DUMMYFUNCTION("""COMPUTED_VALUE"""),2.0)</f>
        <v>2</v>
      </c>
      <c r="AN288" s="133" t="str">
        <f>IFERROR(__xludf.DUMMYFUNCTION("""COMPUTED_VALUE"""),"3")</f>
        <v>3</v>
      </c>
      <c r="AO288" s="133">
        <f>IFERROR(__xludf.DUMMYFUNCTION("""COMPUTED_VALUE"""),3.0)</f>
        <v>3</v>
      </c>
      <c r="AP288" s="155" t="s">
        <v>3706</v>
      </c>
    </row>
    <row r="289">
      <c r="A289" s="261">
        <f>IFERROR(__xludf.DUMMYFUNCTION("""COMPUTED_VALUE"""),51.0)</f>
        <v>51</v>
      </c>
      <c r="B289" s="261" t="str">
        <f>IFERROR(__xludf.DUMMYFUNCTION("""COMPUTED_VALUE"""),"ekma23ise@cmrit.ac.in")</f>
        <v>ekma23ise@cmrit.ac.in</v>
      </c>
      <c r="C289" s="172" t="str">
        <f>IFERROR(__xludf.DUMMYFUNCTION("""COMPUTED_VALUE"""),"EKTA MANJUNATH")</f>
        <v>EKTA MANJUNATH</v>
      </c>
      <c r="D289" s="155" t="str">
        <f>IFERROR(__xludf.DUMMYFUNCTION("""COMPUTED_VALUE"""),"1CR23IS052")</f>
        <v>1CR23IS052</v>
      </c>
      <c r="E289" s="563">
        <f>IFERROR(__xludf.DUMMYFUNCTION("""COMPUTED_VALUE"""),9.900174647E9)</f>
        <v>9900174647</v>
      </c>
      <c r="F289" s="155" t="str">
        <f>IFERROR(__xludf.DUMMYFUNCTION("""COMPUTED_VALUE"""),"ISE")</f>
        <v>ISE</v>
      </c>
      <c r="G289" s="158"/>
      <c r="H289" s="559">
        <f>IFERROR(__xludf.DUMMYFUNCTION("""COMPUTED_VALUE"""),70.0)</f>
        <v>70</v>
      </c>
      <c r="I289" s="559">
        <f>IFERROR(__xludf.DUMMYFUNCTION("""COMPUTED_VALUE"""),74.0)</f>
        <v>74</v>
      </c>
      <c r="J289" s="559">
        <f>IFERROR(__xludf.DUMMYFUNCTION("""COMPUTED_VALUE"""),70.0)</f>
        <v>70</v>
      </c>
      <c r="K289" s="559">
        <f>IFERROR(__xludf.DUMMYFUNCTION("""COMPUTED_VALUE"""),70.0)</f>
        <v>70</v>
      </c>
      <c r="L289" s="560">
        <f>IFERROR(__xludf.DUMMYFUNCTION("""COMPUTED_VALUE"""),23.0)</f>
        <v>23</v>
      </c>
      <c r="M289" s="561">
        <f>IFERROR(__xludf.DUMMYFUNCTION("""COMPUTED_VALUE"""),14.0)</f>
        <v>14</v>
      </c>
      <c r="N289" s="561">
        <f>IFERROR(__xludf.DUMMYFUNCTION("""COMPUTED_VALUE"""),19.0)</f>
        <v>19</v>
      </c>
      <c r="O289" s="560"/>
      <c r="P289" s="562">
        <f>IFERROR(__xludf.DUMMYFUNCTION("""COMPUTED_VALUE"""),50.0)</f>
        <v>50</v>
      </c>
      <c r="Q289" s="562">
        <f>IFERROR(__xludf.DUMMYFUNCTION("""COMPUTED_VALUE"""),55.0)</f>
        <v>55</v>
      </c>
      <c r="R289" s="562">
        <f>IFERROR(__xludf.DUMMYFUNCTION("""COMPUTED_VALUE"""),50.0)</f>
        <v>50</v>
      </c>
      <c r="S289" s="562"/>
      <c r="T289" s="217">
        <f>IFERROR(__xludf.DUMMYFUNCTION("""COMPUTED_VALUE"""),14.0)</f>
        <v>14</v>
      </c>
      <c r="U289" s="217">
        <f>IFERROR(__xludf.DUMMYFUNCTION("""COMPUTED_VALUE"""),19.0)</f>
        <v>19</v>
      </c>
      <c r="V289" s="217"/>
      <c r="W289" s="217">
        <f>IFERROR(__xludf.DUMMYFUNCTION("""COMPUTED_VALUE"""),28.0)</f>
        <v>28</v>
      </c>
      <c r="X289" s="217">
        <f>IFERROR(__xludf.DUMMYFUNCTION("""COMPUTED_VALUE"""),68.0)</f>
        <v>68</v>
      </c>
      <c r="Y289" s="217"/>
      <c r="Z289" s="217"/>
      <c r="AA289" s="481">
        <f>IFERROR(__xludf.DUMMYFUNCTION("""COMPUTED_VALUE"""),32.0)</f>
        <v>32</v>
      </c>
      <c r="AB289" s="481">
        <f>IFERROR(__xludf.DUMMYFUNCTION("""COMPUTED_VALUE"""),71.0)</f>
        <v>71</v>
      </c>
      <c r="AC289" s="481">
        <f>IFERROR(__xludf.DUMMYFUNCTION("""COMPUTED_VALUE"""),25.0)</f>
        <v>25</v>
      </c>
      <c r="AD289" s="481">
        <f>IFERROR(__xludf.DUMMYFUNCTION("""COMPUTED_VALUE"""),70.0)</f>
        <v>70</v>
      </c>
      <c r="AE289" s="481">
        <f>IFERROR(__xludf.DUMMYFUNCTION("""COMPUTED_VALUE"""),70.0)</f>
        <v>70</v>
      </c>
      <c r="AF289" s="481"/>
      <c r="AG289" s="481">
        <f>IFERROR(__xludf.DUMMYFUNCTION("""COMPUTED_VALUE"""),42.0)</f>
        <v>42</v>
      </c>
      <c r="AH289" s="481"/>
      <c r="AI289" s="158"/>
      <c r="AJ289" s="158"/>
      <c r="AK289" s="133">
        <f>IFERROR(__xludf.DUMMYFUNCTION("""COMPUTED_VALUE"""),4.0)</f>
        <v>4</v>
      </c>
      <c r="AL289" s="133">
        <f>IFERROR(__xludf.DUMMYFUNCTION("""COMPUTED_VALUE"""),0.0)</f>
        <v>0</v>
      </c>
      <c r="AM289" s="133">
        <f>IFERROR(__xludf.DUMMYFUNCTION("""COMPUTED_VALUE"""),2.0)</f>
        <v>2</v>
      </c>
      <c r="AN289" s="133" t="str">
        <f>IFERROR(__xludf.DUMMYFUNCTION("""COMPUTED_VALUE"""),"3.5")</f>
        <v>3.5</v>
      </c>
      <c r="AO289" s="133">
        <f>IFERROR(__xludf.DUMMYFUNCTION("""COMPUTED_VALUE"""),3.0)</f>
        <v>3</v>
      </c>
      <c r="AP289" s="155" t="s">
        <v>3706</v>
      </c>
    </row>
    <row r="290">
      <c r="A290" s="261">
        <f>IFERROR(__xludf.DUMMYFUNCTION("""COMPUTED_VALUE"""),52.0)</f>
        <v>52</v>
      </c>
      <c r="B290" s="261" t="str">
        <f>IFERROR(__xludf.DUMMYFUNCTION("""COMPUTED_VALUE"""),"endi23ise@cmrit.ac.in")</f>
        <v>endi23ise@cmrit.ac.in</v>
      </c>
      <c r="C290" s="172" t="str">
        <f>IFERROR(__xludf.DUMMYFUNCTION("""COMPUTED_VALUE"""),"ENDLA DINEESH REDDY")</f>
        <v>ENDLA DINEESH REDDY</v>
      </c>
      <c r="D290" s="155" t="str">
        <f>IFERROR(__xludf.DUMMYFUNCTION("""COMPUTED_VALUE"""),"1CR23IS053")</f>
        <v>1CR23IS053</v>
      </c>
      <c r="E290" s="563">
        <f>IFERROR(__xludf.DUMMYFUNCTION("""COMPUTED_VALUE"""),8.951860058E9)</f>
        <v>8951860058</v>
      </c>
      <c r="F290" s="155" t="str">
        <f>IFERROR(__xludf.DUMMYFUNCTION("""COMPUTED_VALUE"""),"ISE")</f>
        <v>ISE</v>
      </c>
      <c r="G290" s="158"/>
      <c r="H290" s="559">
        <f>IFERROR(__xludf.DUMMYFUNCTION("""COMPUTED_VALUE"""),66.0)</f>
        <v>66</v>
      </c>
      <c r="I290" s="559">
        <f>IFERROR(__xludf.DUMMYFUNCTION("""COMPUTED_VALUE"""),61.0)</f>
        <v>61</v>
      </c>
      <c r="J290" s="559">
        <f>IFERROR(__xludf.DUMMYFUNCTION("""COMPUTED_VALUE"""),6.0)</f>
        <v>6</v>
      </c>
      <c r="K290" s="559">
        <f>IFERROR(__xludf.DUMMYFUNCTION("""COMPUTED_VALUE"""),12.0)</f>
        <v>12</v>
      </c>
      <c r="L290" s="560">
        <f>IFERROR(__xludf.DUMMYFUNCTION("""COMPUTED_VALUE"""),25.0)</f>
        <v>25</v>
      </c>
      <c r="M290" s="561">
        <f>IFERROR(__xludf.DUMMYFUNCTION("""COMPUTED_VALUE"""),0.0)</f>
        <v>0</v>
      </c>
      <c r="N290" s="561">
        <f>IFERROR(__xludf.DUMMYFUNCTION("""COMPUTED_VALUE"""),0.0)</f>
        <v>0</v>
      </c>
      <c r="O290" s="560"/>
      <c r="P290" s="562">
        <f>IFERROR(__xludf.DUMMYFUNCTION("""COMPUTED_VALUE"""),84.0)</f>
        <v>84</v>
      </c>
      <c r="Q290" s="562">
        <f>IFERROR(__xludf.DUMMYFUNCTION("""COMPUTED_VALUE"""),0.0)</f>
        <v>0</v>
      </c>
      <c r="R290" s="562">
        <f>IFERROR(__xludf.DUMMYFUNCTION("""COMPUTED_VALUE"""),0.0)</f>
        <v>0</v>
      </c>
      <c r="S290" s="562"/>
      <c r="T290" s="217"/>
      <c r="U290" s="217"/>
      <c r="V290" s="217"/>
      <c r="W290" s="217"/>
      <c r="X290" s="217">
        <f>IFERROR(__xludf.DUMMYFUNCTION("""COMPUTED_VALUE"""),0.0)</f>
        <v>0</v>
      </c>
      <c r="Y290" s="217"/>
      <c r="Z290" s="217"/>
      <c r="AA290" s="481">
        <f>IFERROR(__xludf.DUMMYFUNCTION("""COMPUTED_VALUE"""),0.0)</f>
        <v>0</v>
      </c>
      <c r="AB290" s="481">
        <f>IFERROR(__xludf.DUMMYFUNCTION("""COMPUTED_VALUE"""),47.0)</f>
        <v>47</v>
      </c>
      <c r="AC290" s="481">
        <f>IFERROR(__xludf.DUMMYFUNCTION("""COMPUTED_VALUE"""),0.0)</f>
        <v>0</v>
      </c>
      <c r="AD290" s="481">
        <f>IFERROR(__xludf.DUMMYFUNCTION("""COMPUTED_VALUE"""),0.0)</f>
        <v>0</v>
      </c>
      <c r="AE290" s="481">
        <f>IFERROR(__xludf.DUMMYFUNCTION("""COMPUTED_VALUE"""),10.0)</f>
        <v>10</v>
      </c>
      <c r="AF290" s="481"/>
      <c r="AG290" s="481">
        <f>IFERROR(__xludf.DUMMYFUNCTION("""COMPUTED_VALUE"""),25.0)</f>
        <v>25</v>
      </c>
      <c r="AH290" s="481"/>
      <c r="AI290" s="158"/>
      <c r="AJ290" s="158"/>
      <c r="AK290" s="133">
        <f>IFERROR(__xludf.DUMMYFUNCTION("""COMPUTED_VALUE"""),1.0)</f>
        <v>1</v>
      </c>
      <c r="AL290" s="133">
        <f>IFERROR(__xludf.DUMMYFUNCTION("""COMPUTED_VALUE"""),0.0)</f>
        <v>0</v>
      </c>
      <c r="AM290" s="133">
        <f>IFERROR(__xludf.DUMMYFUNCTION("""COMPUTED_VALUE"""),2.0)</f>
        <v>2</v>
      </c>
      <c r="AN290" s="133" t="str">
        <f>IFERROR(__xludf.DUMMYFUNCTION("""COMPUTED_VALUE"""),"0")</f>
        <v>0</v>
      </c>
      <c r="AO290" s="133">
        <f>IFERROR(__xludf.DUMMYFUNCTION("""COMPUTED_VALUE"""),1.0)</f>
        <v>1</v>
      </c>
      <c r="AP290" s="155" t="s">
        <v>3706</v>
      </c>
    </row>
    <row r="291">
      <c r="A291" s="261">
        <f>IFERROR(__xludf.DUMMYFUNCTION("""COMPUTED_VALUE"""),53.0)</f>
        <v>53</v>
      </c>
      <c r="B291" s="261" t="str">
        <f>IFERROR(__xludf.DUMMYFUNCTION("""COMPUTED_VALUE"""),"gch23ise@cmrit.ac.in")</f>
        <v>gch23ise@cmrit.ac.in</v>
      </c>
      <c r="C291" s="172" t="str">
        <f>IFERROR(__xludf.DUMMYFUNCTION("""COMPUTED_VALUE"""),"G AGRATHA CHOWDARY")</f>
        <v>G AGRATHA CHOWDARY</v>
      </c>
      <c r="D291" s="155" t="str">
        <f>IFERROR(__xludf.DUMMYFUNCTION("""COMPUTED_VALUE"""),"1CR23IS054")</f>
        <v>1CR23IS054</v>
      </c>
      <c r="E291" s="563">
        <f>IFERROR(__xludf.DUMMYFUNCTION("""COMPUTED_VALUE"""),7.207351051E9)</f>
        <v>7207351051</v>
      </c>
      <c r="F291" s="155" t="str">
        <f>IFERROR(__xludf.DUMMYFUNCTION("""COMPUTED_VALUE"""),"ISE")</f>
        <v>ISE</v>
      </c>
      <c r="G291" s="158"/>
      <c r="H291" s="559">
        <f>IFERROR(__xludf.DUMMYFUNCTION("""COMPUTED_VALUE"""),75.0)</f>
        <v>75</v>
      </c>
      <c r="I291" s="559">
        <f>IFERROR(__xludf.DUMMYFUNCTION("""COMPUTED_VALUE"""),86.0)</f>
        <v>86</v>
      </c>
      <c r="J291" s="559">
        <f>IFERROR(__xludf.DUMMYFUNCTION("""COMPUTED_VALUE"""),70.0)</f>
        <v>70</v>
      </c>
      <c r="K291" s="559">
        <f>IFERROR(__xludf.DUMMYFUNCTION("""COMPUTED_VALUE"""),70.0)</f>
        <v>70</v>
      </c>
      <c r="L291" s="560">
        <f>IFERROR(__xludf.DUMMYFUNCTION("""COMPUTED_VALUE"""),51.0)</f>
        <v>51</v>
      </c>
      <c r="M291" s="561">
        <f>IFERROR(__xludf.DUMMYFUNCTION("""COMPUTED_VALUE"""),44.0)</f>
        <v>44</v>
      </c>
      <c r="N291" s="561">
        <f>IFERROR(__xludf.DUMMYFUNCTION("""COMPUTED_VALUE"""),50.0)</f>
        <v>50</v>
      </c>
      <c r="O291" s="560"/>
      <c r="P291" s="562">
        <f>IFERROR(__xludf.DUMMYFUNCTION("""COMPUTED_VALUE"""),50.0)</f>
        <v>50</v>
      </c>
      <c r="Q291" s="562">
        <f>IFERROR(__xludf.DUMMYFUNCTION("""COMPUTED_VALUE"""),55.0)</f>
        <v>55</v>
      </c>
      <c r="R291" s="562">
        <f>IFERROR(__xludf.DUMMYFUNCTION("""COMPUTED_VALUE"""),50.0)</f>
        <v>50</v>
      </c>
      <c r="S291" s="562"/>
      <c r="T291" s="217">
        <f>IFERROR(__xludf.DUMMYFUNCTION("""COMPUTED_VALUE"""),16.0)</f>
        <v>16</v>
      </c>
      <c r="U291" s="217">
        <f>IFERROR(__xludf.DUMMYFUNCTION("""COMPUTED_VALUE"""),24.0)</f>
        <v>24</v>
      </c>
      <c r="V291" s="217">
        <f>IFERROR(__xludf.DUMMYFUNCTION("""COMPUTED_VALUE"""),48.0)</f>
        <v>48</v>
      </c>
      <c r="W291" s="217">
        <f>IFERROR(__xludf.DUMMYFUNCTION("""COMPUTED_VALUE"""),36.0)</f>
        <v>36</v>
      </c>
      <c r="X291" s="217">
        <f>IFERROR(__xludf.DUMMYFUNCTION("""COMPUTED_VALUE"""),72.0)</f>
        <v>72</v>
      </c>
      <c r="Y291" s="217"/>
      <c r="Z291" s="217"/>
      <c r="AA291" s="481">
        <f>IFERROR(__xludf.DUMMYFUNCTION("""COMPUTED_VALUE"""),36.0)</f>
        <v>36</v>
      </c>
      <c r="AB291" s="481">
        <f>IFERROR(__xludf.DUMMYFUNCTION("""COMPUTED_VALUE"""),97.0)</f>
        <v>97</v>
      </c>
      <c r="AC291" s="481">
        <f>IFERROR(__xludf.DUMMYFUNCTION("""COMPUTED_VALUE"""),60.0)</f>
        <v>60</v>
      </c>
      <c r="AD291" s="481">
        <f>IFERROR(__xludf.DUMMYFUNCTION("""COMPUTED_VALUE"""),63.0)</f>
        <v>63</v>
      </c>
      <c r="AE291" s="481">
        <f>IFERROR(__xludf.DUMMYFUNCTION("""COMPUTED_VALUE"""),46.0)</f>
        <v>46</v>
      </c>
      <c r="AF291" s="481"/>
      <c r="AG291" s="481">
        <f>IFERROR(__xludf.DUMMYFUNCTION("""COMPUTED_VALUE"""),72.0)</f>
        <v>72</v>
      </c>
      <c r="AH291" s="481"/>
      <c r="AI291" s="158"/>
      <c r="AJ291" s="158"/>
      <c r="AK291" s="133">
        <f>IFERROR(__xludf.DUMMYFUNCTION("""COMPUTED_VALUE"""),4.0)</f>
        <v>4</v>
      </c>
      <c r="AL291" s="133">
        <f>IFERROR(__xludf.DUMMYFUNCTION("""COMPUTED_VALUE"""),1.0)</f>
        <v>1</v>
      </c>
      <c r="AM291" s="133">
        <f>IFERROR(__xludf.DUMMYFUNCTION("""COMPUTED_VALUE"""),2.0)</f>
        <v>2</v>
      </c>
      <c r="AN291" s="133" t="str">
        <f>IFERROR(__xludf.DUMMYFUNCTION("""COMPUTED_VALUE"""),"3")</f>
        <v>3</v>
      </c>
      <c r="AO291" s="133">
        <f>IFERROR(__xludf.DUMMYFUNCTION("""COMPUTED_VALUE"""),3.0)</f>
        <v>3</v>
      </c>
      <c r="AP291" s="155" t="s">
        <v>3706</v>
      </c>
    </row>
    <row r="292">
      <c r="A292" s="261">
        <f>IFERROR(__xludf.DUMMYFUNCTION("""COMPUTED_VALUE"""),54.0)</f>
        <v>54</v>
      </c>
      <c r="B292" s="261" t="str">
        <f>IFERROR(__xludf.DUMMYFUNCTION("""COMPUTED_VALUE"""),"gna23ise@cmrit.ac.in")</f>
        <v>gna23ise@cmrit.ac.in</v>
      </c>
      <c r="C292" s="172" t="str">
        <f>IFERROR(__xludf.DUMMYFUNCTION("""COMPUTED_VALUE"""),"G NAVANEETHA")</f>
        <v>G NAVANEETHA</v>
      </c>
      <c r="D292" s="155" t="str">
        <f>IFERROR(__xludf.DUMMYFUNCTION("""COMPUTED_VALUE"""),"1CR23IS055")</f>
        <v>1CR23IS055</v>
      </c>
      <c r="E292" s="563">
        <f>IFERROR(__xludf.DUMMYFUNCTION("""COMPUTED_VALUE"""),6.360353508E9)</f>
        <v>6360353508</v>
      </c>
      <c r="F292" s="155" t="str">
        <f>IFERROR(__xludf.DUMMYFUNCTION("""COMPUTED_VALUE"""),"ISE")</f>
        <v>ISE</v>
      </c>
      <c r="G292" s="158"/>
      <c r="H292" s="559">
        <f>IFERROR(__xludf.DUMMYFUNCTION("""COMPUTED_VALUE"""),70.0)</f>
        <v>70</v>
      </c>
      <c r="I292" s="559">
        <f>IFERROR(__xludf.DUMMYFUNCTION("""COMPUTED_VALUE"""),76.0)</f>
        <v>76</v>
      </c>
      <c r="J292" s="559">
        <f>IFERROR(__xludf.DUMMYFUNCTION("""COMPUTED_VALUE"""),70.0)</f>
        <v>70</v>
      </c>
      <c r="K292" s="559">
        <f>IFERROR(__xludf.DUMMYFUNCTION("""COMPUTED_VALUE"""),70.0)</f>
        <v>70</v>
      </c>
      <c r="L292" s="560">
        <f>IFERROR(__xludf.DUMMYFUNCTION("""COMPUTED_VALUE"""),50.0)</f>
        <v>50</v>
      </c>
      <c r="M292" s="561">
        <f>IFERROR(__xludf.DUMMYFUNCTION("""COMPUTED_VALUE"""),50.0)</f>
        <v>50</v>
      </c>
      <c r="N292" s="561">
        <f>IFERROR(__xludf.DUMMYFUNCTION("""COMPUTED_VALUE"""),50.0)</f>
        <v>50</v>
      </c>
      <c r="O292" s="560"/>
      <c r="P292" s="562">
        <f>IFERROR(__xludf.DUMMYFUNCTION("""COMPUTED_VALUE"""),77.0)</f>
        <v>77</v>
      </c>
      <c r="Q292" s="562">
        <f>IFERROR(__xludf.DUMMYFUNCTION("""COMPUTED_VALUE"""),55.0)</f>
        <v>55</v>
      </c>
      <c r="R292" s="562">
        <f>IFERROR(__xludf.DUMMYFUNCTION("""COMPUTED_VALUE"""),85.0)</f>
        <v>85</v>
      </c>
      <c r="S292" s="562"/>
      <c r="T292" s="217">
        <f>IFERROR(__xludf.DUMMYFUNCTION("""COMPUTED_VALUE"""),21.0)</f>
        <v>21</v>
      </c>
      <c r="U292" s="217">
        <f>IFERROR(__xludf.DUMMYFUNCTION("""COMPUTED_VALUE"""),23.0)</f>
        <v>23</v>
      </c>
      <c r="V292" s="217">
        <f>IFERROR(__xludf.DUMMYFUNCTION("""COMPUTED_VALUE"""),48.0)</f>
        <v>48</v>
      </c>
      <c r="W292" s="217">
        <f>IFERROR(__xludf.DUMMYFUNCTION("""COMPUTED_VALUE"""),36.0)</f>
        <v>36</v>
      </c>
      <c r="X292" s="217">
        <f>IFERROR(__xludf.DUMMYFUNCTION("""COMPUTED_VALUE"""),64.0)</f>
        <v>64</v>
      </c>
      <c r="Y292" s="217"/>
      <c r="Z292" s="217"/>
      <c r="AA292" s="481">
        <f>IFERROR(__xludf.DUMMYFUNCTION("""COMPUTED_VALUE"""),100.0)</f>
        <v>100</v>
      </c>
      <c r="AB292" s="481">
        <f>IFERROR(__xludf.DUMMYFUNCTION("""COMPUTED_VALUE"""),75.0)</f>
        <v>75</v>
      </c>
      <c r="AC292" s="481">
        <f>IFERROR(__xludf.DUMMYFUNCTION("""COMPUTED_VALUE"""),79.0)</f>
        <v>79</v>
      </c>
      <c r="AD292" s="481">
        <f>IFERROR(__xludf.DUMMYFUNCTION("""COMPUTED_VALUE"""),63.0)</f>
        <v>63</v>
      </c>
      <c r="AE292" s="481">
        <f>IFERROR(__xludf.DUMMYFUNCTION("""COMPUTED_VALUE"""),46.0)</f>
        <v>46</v>
      </c>
      <c r="AF292" s="481"/>
      <c r="AG292" s="481">
        <f>IFERROR(__xludf.DUMMYFUNCTION("""COMPUTED_VALUE"""),41.0)</f>
        <v>41</v>
      </c>
      <c r="AH292" s="481"/>
      <c r="AI292" s="158"/>
      <c r="AJ292" s="158"/>
      <c r="AK292" s="133">
        <f>IFERROR(__xludf.DUMMYFUNCTION("""COMPUTED_VALUE"""),4.0)</f>
        <v>4</v>
      </c>
      <c r="AL292" s="133">
        <f>IFERROR(__xludf.DUMMYFUNCTION("""COMPUTED_VALUE"""),3.0)</f>
        <v>3</v>
      </c>
      <c r="AM292" s="133">
        <f>IFERROR(__xludf.DUMMYFUNCTION("""COMPUTED_VALUE"""),2.0)</f>
        <v>2</v>
      </c>
      <c r="AN292" s="133" t="str">
        <f>IFERROR(__xludf.DUMMYFUNCTION("""COMPUTED_VALUE"""),"3")</f>
        <v>3</v>
      </c>
      <c r="AO292" s="133">
        <f>IFERROR(__xludf.DUMMYFUNCTION("""COMPUTED_VALUE"""),3.0)</f>
        <v>3</v>
      </c>
      <c r="AP292" s="155" t="s">
        <v>3706</v>
      </c>
    </row>
    <row r="293">
      <c r="A293" s="261">
        <f>IFERROR(__xludf.DUMMYFUNCTION("""COMPUTED_VALUE"""),55.0)</f>
        <v>55</v>
      </c>
      <c r="B293" s="261" t="str">
        <f>IFERROR(__xludf.DUMMYFUNCTION("""COMPUTED_VALUE"""),"gor23ise@cmrit.ac.in")</f>
        <v>gor23ise@cmrit.ac.in</v>
      </c>
      <c r="C293" s="172" t="str">
        <f>IFERROR(__xludf.DUMMYFUNCTION("""COMPUTED_VALUE"""),"GOWTHAMA R")</f>
        <v>GOWTHAMA R</v>
      </c>
      <c r="D293" s="155" t="str">
        <f>IFERROR(__xludf.DUMMYFUNCTION("""COMPUTED_VALUE"""),"1CR23IS056")</f>
        <v>1CR23IS056</v>
      </c>
      <c r="E293" s="563">
        <f>IFERROR(__xludf.DUMMYFUNCTION("""COMPUTED_VALUE"""),7.975325464E9)</f>
        <v>7975325464</v>
      </c>
      <c r="F293" s="155" t="str">
        <f>IFERROR(__xludf.DUMMYFUNCTION("""COMPUTED_VALUE"""),"ISE")</f>
        <v>ISE</v>
      </c>
      <c r="G293" s="158"/>
      <c r="H293" s="559">
        <f>IFERROR(__xludf.DUMMYFUNCTION("""COMPUTED_VALUE"""),70.0)</f>
        <v>70</v>
      </c>
      <c r="I293" s="559">
        <f>IFERROR(__xludf.DUMMYFUNCTION("""COMPUTED_VALUE"""),70.0)</f>
        <v>70</v>
      </c>
      <c r="J293" s="559">
        <f>IFERROR(__xludf.DUMMYFUNCTION("""COMPUTED_VALUE"""),70.0)</f>
        <v>70</v>
      </c>
      <c r="K293" s="559">
        <f>IFERROR(__xludf.DUMMYFUNCTION("""COMPUTED_VALUE"""),84.0)</f>
        <v>84</v>
      </c>
      <c r="L293" s="560">
        <f>IFERROR(__xludf.DUMMYFUNCTION("""COMPUTED_VALUE"""),40.0)</f>
        <v>40</v>
      </c>
      <c r="M293" s="561">
        <f>IFERROR(__xludf.DUMMYFUNCTION("""COMPUTED_VALUE"""),40.0)</f>
        <v>40</v>
      </c>
      <c r="N293" s="561">
        <f>IFERROR(__xludf.DUMMYFUNCTION("""COMPUTED_VALUE"""),50.0)</f>
        <v>50</v>
      </c>
      <c r="O293" s="560"/>
      <c r="P293" s="562">
        <f>IFERROR(__xludf.DUMMYFUNCTION("""COMPUTED_VALUE"""),82.0)</f>
        <v>82</v>
      </c>
      <c r="Q293" s="562">
        <f>IFERROR(__xludf.DUMMYFUNCTION("""COMPUTED_VALUE"""),50.0)</f>
        <v>50</v>
      </c>
      <c r="R293" s="562">
        <f>IFERROR(__xludf.DUMMYFUNCTION("""COMPUTED_VALUE"""),50.0)</f>
        <v>50</v>
      </c>
      <c r="S293" s="562"/>
      <c r="T293" s="217">
        <f>IFERROR(__xludf.DUMMYFUNCTION("""COMPUTED_VALUE"""),14.0)</f>
        <v>14</v>
      </c>
      <c r="U293" s="217">
        <f>IFERROR(__xludf.DUMMYFUNCTION("""COMPUTED_VALUE"""),24.0)</f>
        <v>24</v>
      </c>
      <c r="V293" s="217">
        <f>IFERROR(__xludf.DUMMYFUNCTION("""COMPUTED_VALUE"""),46.0)</f>
        <v>46</v>
      </c>
      <c r="W293" s="217">
        <f>IFERROR(__xludf.DUMMYFUNCTION("""COMPUTED_VALUE"""),40.0)</f>
        <v>40</v>
      </c>
      <c r="X293" s="217">
        <f>IFERROR(__xludf.DUMMYFUNCTION("""COMPUTED_VALUE"""),72.0)</f>
        <v>72</v>
      </c>
      <c r="Y293" s="217"/>
      <c r="Z293" s="217"/>
      <c r="AA293" s="481">
        <f>IFERROR(__xludf.DUMMYFUNCTION("""COMPUTED_VALUE"""),44.0)</f>
        <v>44</v>
      </c>
      <c r="AB293" s="481">
        <f>IFERROR(__xludf.DUMMYFUNCTION("""COMPUTED_VALUE"""),100.0)</f>
        <v>100</v>
      </c>
      <c r="AC293" s="481">
        <f>IFERROR(__xludf.DUMMYFUNCTION("""COMPUTED_VALUE"""),63.0)</f>
        <v>63</v>
      </c>
      <c r="AD293" s="481">
        <f>IFERROR(__xludf.DUMMYFUNCTION("""COMPUTED_VALUE"""),100.0)</f>
        <v>100</v>
      </c>
      <c r="AE293" s="481">
        <f>IFERROR(__xludf.DUMMYFUNCTION("""COMPUTED_VALUE"""),80.0)</f>
        <v>80</v>
      </c>
      <c r="AF293" s="481"/>
      <c r="AG293" s="481">
        <f>IFERROR(__xludf.DUMMYFUNCTION("""COMPUTED_VALUE"""),71.0)</f>
        <v>71</v>
      </c>
      <c r="AH293" s="481"/>
      <c r="AI293" s="158"/>
      <c r="AJ293" s="158"/>
      <c r="AK293" s="133">
        <f>IFERROR(__xludf.DUMMYFUNCTION("""COMPUTED_VALUE"""),4.0)</f>
        <v>4</v>
      </c>
      <c r="AL293" s="133">
        <f>IFERROR(__xludf.DUMMYFUNCTION("""COMPUTED_VALUE"""),0.0)</f>
        <v>0</v>
      </c>
      <c r="AM293" s="133">
        <f>IFERROR(__xludf.DUMMYFUNCTION("""COMPUTED_VALUE"""),2.0)</f>
        <v>2</v>
      </c>
      <c r="AN293" s="133" t="str">
        <f>IFERROR(__xludf.DUMMYFUNCTION("""COMPUTED_VALUE"""),"3.5")</f>
        <v>3.5</v>
      </c>
      <c r="AO293" s="133">
        <f>IFERROR(__xludf.DUMMYFUNCTION("""COMPUTED_VALUE"""),3.0)</f>
        <v>3</v>
      </c>
      <c r="AP293" s="155" t="s">
        <v>3706</v>
      </c>
    </row>
    <row r="294">
      <c r="A294" s="261">
        <f>IFERROR(__xludf.DUMMYFUNCTION("""COMPUTED_VALUE"""),56.0)</f>
        <v>56</v>
      </c>
      <c r="B294" s="261" t="str">
        <f>IFERROR(__xludf.DUMMYFUNCTION("""COMPUTED_VALUE"""),"hbpr23ise@cmrit.ac.in")</f>
        <v>hbpr23ise@cmrit.ac.in</v>
      </c>
      <c r="C294" s="172" t="str">
        <f>IFERROR(__xludf.DUMMYFUNCTION("""COMPUTED_VALUE"""),"H B PRIYA")</f>
        <v>H B PRIYA</v>
      </c>
      <c r="D294" s="155" t="str">
        <f>IFERROR(__xludf.DUMMYFUNCTION("""COMPUTED_VALUE"""),"1CR23IS057")</f>
        <v>1CR23IS057</v>
      </c>
      <c r="E294" s="563">
        <f>IFERROR(__xludf.DUMMYFUNCTION("""COMPUTED_VALUE"""),7.892793139E9)</f>
        <v>7892793139</v>
      </c>
      <c r="F294" s="155" t="str">
        <f>IFERROR(__xludf.DUMMYFUNCTION("""COMPUTED_VALUE"""),"ISE")</f>
        <v>ISE</v>
      </c>
      <c r="G294" s="158"/>
      <c r="H294" s="559">
        <f>IFERROR(__xludf.DUMMYFUNCTION("""COMPUTED_VALUE"""),80.0)</f>
        <v>80</v>
      </c>
      <c r="I294" s="559">
        <f>IFERROR(__xludf.DUMMYFUNCTION("""COMPUTED_VALUE"""),90.0)</f>
        <v>90</v>
      </c>
      <c r="J294" s="559">
        <f>IFERROR(__xludf.DUMMYFUNCTION("""COMPUTED_VALUE"""),76.0)</f>
        <v>76</v>
      </c>
      <c r="K294" s="559">
        <f>IFERROR(__xludf.DUMMYFUNCTION("""COMPUTED_VALUE"""),78.0)</f>
        <v>78</v>
      </c>
      <c r="L294" s="560">
        <f>IFERROR(__xludf.DUMMYFUNCTION("""COMPUTED_VALUE"""),57.0)</f>
        <v>57</v>
      </c>
      <c r="M294" s="561">
        <f>IFERROR(__xludf.DUMMYFUNCTION("""COMPUTED_VALUE"""),50.0)</f>
        <v>50</v>
      </c>
      <c r="N294" s="561">
        <f>IFERROR(__xludf.DUMMYFUNCTION("""COMPUTED_VALUE"""),55.0)</f>
        <v>55</v>
      </c>
      <c r="O294" s="560"/>
      <c r="P294" s="562">
        <f>IFERROR(__xludf.DUMMYFUNCTION("""COMPUTED_VALUE"""),86.0)</f>
        <v>86</v>
      </c>
      <c r="Q294" s="562">
        <f>IFERROR(__xludf.DUMMYFUNCTION("""COMPUTED_VALUE"""),81.0)</f>
        <v>81</v>
      </c>
      <c r="R294" s="562">
        <f>IFERROR(__xludf.DUMMYFUNCTION("""COMPUTED_VALUE"""),87.0)</f>
        <v>87</v>
      </c>
      <c r="S294" s="562"/>
      <c r="T294" s="217">
        <f>IFERROR(__xludf.DUMMYFUNCTION("""COMPUTED_VALUE"""),10.0)</f>
        <v>10</v>
      </c>
      <c r="U294" s="217">
        <f>IFERROR(__xludf.DUMMYFUNCTION("""COMPUTED_VALUE"""),23.0)</f>
        <v>23</v>
      </c>
      <c r="V294" s="217">
        <f>IFERROR(__xludf.DUMMYFUNCTION("""COMPUTED_VALUE"""),46.0)</f>
        <v>46</v>
      </c>
      <c r="W294" s="217">
        <f>IFERROR(__xludf.DUMMYFUNCTION("""COMPUTED_VALUE"""),52.0)</f>
        <v>52</v>
      </c>
      <c r="X294" s="217">
        <f>IFERROR(__xludf.DUMMYFUNCTION("""COMPUTED_VALUE"""),80.0)</f>
        <v>80</v>
      </c>
      <c r="Y294" s="217"/>
      <c r="Z294" s="217"/>
      <c r="AA294" s="481">
        <f>IFERROR(__xludf.DUMMYFUNCTION("""COMPUTED_VALUE"""),46.0)</f>
        <v>46</v>
      </c>
      <c r="AB294" s="481">
        <f>IFERROR(__xludf.DUMMYFUNCTION("""COMPUTED_VALUE"""),87.0)</f>
        <v>87</v>
      </c>
      <c r="AC294" s="481">
        <f>IFERROR(__xludf.DUMMYFUNCTION("""COMPUTED_VALUE"""),82.0)</f>
        <v>82</v>
      </c>
      <c r="AD294" s="481">
        <f>IFERROR(__xludf.DUMMYFUNCTION("""COMPUTED_VALUE"""),100.0)</f>
        <v>100</v>
      </c>
      <c r="AE294" s="481">
        <f>IFERROR(__xludf.DUMMYFUNCTION("""COMPUTED_VALUE"""),70.0)</f>
        <v>70</v>
      </c>
      <c r="AF294" s="481"/>
      <c r="AG294" s="481">
        <f>IFERROR(__xludf.DUMMYFUNCTION("""COMPUTED_VALUE"""),75.0)</f>
        <v>75</v>
      </c>
      <c r="AH294" s="481"/>
      <c r="AI294" s="158"/>
      <c r="AJ294" s="158"/>
      <c r="AK294" s="133">
        <f>IFERROR(__xludf.DUMMYFUNCTION("""COMPUTED_VALUE"""),4.0)</f>
        <v>4</v>
      </c>
      <c r="AL294" s="133">
        <f>IFERROR(__xludf.DUMMYFUNCTION("""COMPUTED_VALUE"""),3.0)</f>
        <v>3</v>
      </c>
      <c r="AM294" s="133">
        <f>IFERROR(__xludf.DUMMYFUNCTION("""COMPUTED_VALUE"""),3.0)</f>
        <v>3</v>
      </c>
      <c r="AN294" s="133" t="str">
        <f>IFERROR(__xludf.DUMMYFUNCTION("""COMPUTED_VALUE"""),"3.5")</f>
        <v>3.5</v>
      </c>
      <c r="AO294" s="133">
        <f>IFERROR(__xludf.DUMMYFUNCTION("""COMPUTED_VALUE"""),3.0)</f>
        <v>3</v>
      </c>
      <c r="AP294" s="155" t="s">
        <v>3706</v>
      </c>
    </row>
    <row r="295">
      <c r="A295" s="261">
        <f>IFERROR(__xludf.DUMMYFUNCTION("""COMPUTED_VALUE"""),57.0)</f>
        <v>57</v>
      </c>
      <c r="B295" s="261" t="str">
        <f>IFERROR(__xludf.DUMMYFUNCTION("""COMPUTED_VALUE"""),"hvsk23ise@cmrit.ac.in")</f>
        <v>hvsk23ise@cmrit.ac.in</v>
      </c>
      <c r="C295" s="172" t="str">
        <f>IFERROR(__xludf.DUMMYFUNCTION("""COMPUTED_VALUE"""),"H V SKANDA")</f>
        <v>H V SKANDA</v>
      </c>
      <c r="D295" s="155" t="str">
        <f>IFERROR(__xludf.DUMMYFUNCTION("""COMPUTED_VALUE"""),"1CR23IS058")</f>
        <v>1CR23IS058</v>
      </c>
      <c r="E295" s="563">
        <f>IFERROR(__xludf.DUMMYFUNCTION("""COMPUTED_VALUE"""),7.676514396E9)</f>
        <v>7676514396</v>
      </c>
      <c r="F295" s="155" t="str">
        <f>IFERROR(__xludf.DUMMYFUNCTION("""COMPUTED_VALUE"""),"ISE")</f>
        <v>ISE</v>
      </c>
      <c r="G295" s="158"/>
      <c r="H295" s="559">
        <f>IFERROR(__xludf.DUMMYFUNCTION("""COMPUTED_VALUE"""),70.0)</f>
        <v>70</v>
      </c>
      <c r="I295" s="559">
        <f>IFERROR(__xludf.DUMMYFUNCTION("""COMPUTED_VALUE"""),75.0)</f>
        <v>75</v>
      </c>
      <c r="J295" s="559">
        <f>IFERROR(__xludf.DUMMYFUNCTION("""COMPUTED_VALUE"""),70.0)</f>
        <v>70</v>
      </c>
      <c r="K295" s="559">
        <f>IFERROR(__xludf.DUMMYFUNCTION("""COMPUTED_VALUE"""),71.0)</f>
        <v>71</v>
      </c>
      <c r="L295" s="560">
        <f>IFERROR(__xludf.DUMMYFUNCTION("""COMPUTED_VALUE"""),50.0)</f>
        <v>50</v>
      </c>
      <c r="M295" s="561">
        <f>IFERROR(__xludf.DUMMYFUNCTION("""COMPUTED_VALUE"""),50.0)</f>
        <v>50</v>
      </c>
      <c r="N295" s="561">
        <f>IFERROR(__xludf.DUMMYFUNCTION("""COMPUTED_VALUE"""),50.0)</f>
        <v>50</v>
      </c>
      <c r="O295" s="560"/>
      <c r="P295" s="562">
        <f>IFERROR(__xludf.DUMMYFUNCTION("""COMPUTED_VALUE"""),77.0)</f>
        <v>77</v>
      </c>
      <c r="Q295" s="562">
        <f>IFERROR(__xludf.DUMMYFUNCTION("""COMPUTED_VALUE"""),58.0)</f>
        <v>58</v>
      </c>
      <c r="R295" s="562">
        <f>IFERROR(__xludf.DUMMYFUNCTION("""COMPUTED_VALUE"""),81.0)</f>
        <v>81</v>
      </c>
      <c r="S295" s="562"/>
      <c r="T295" s="217">
        <f>IFERROR(__xludf.DUMMYFUNCTION("""COMPUTED_VALUE"""),13.0)</f>
        <v>13</v>
      </c>
      <c r="U295" s="217">
        <f>IFERROR(__xludf.DUMMYFUNCTION("""COMPUTED_VALUE"""),22.0)</f>
        <v>22</v>
      </c>
      <c r="V295" s="217">
        <f>IFERROR(__xludf.DUMMYFUNCTION("""COMPUTED_VALUE"""),38.0)</f>
        <v>38</v>
      </c>
      <c r="W295" s="217">
        <f>IFERROR(__xludf.DUMMYFUNCTION("""COMPUTED_VALUE"""),48.0)</f>
        <v>48</v>
      </c>
      <c r="X295" s="217">
        <f>IFERROR(__xludf.DUMMYFUNCTION("""COMPUTED_VALUE"""),68.0)</f>
        <v>68</v>
      </c>
      <c r="Y295" s="217"/>
      <c r="Z295" s="217"/>
      <c r="AA295" s="481">
        <f>IFERROR(__xludf.DUMMYFUNCTION("""COMPUTED_VALUE"""),94.0)</f>
        <v>94</v>
      </c>
      <c r="AB295" s="481">
        <f>IFERROR(__xludf.DUMMYFUNCTION("""COMPUTED_VALUE"""),100.0)</f>
        <v>100</v>
      </c>
      <c r="AC295" s="481">
        <f>IFERROR(__xludf.DUMMYFUNCTION("""COMPUTED_VALUE"""),93.0)</f>
        <v>93</v>
      </c>
      <c r="AD295" s="481">
        <f>IFERROR(__xludf.DUMMYFUNCTION("""COMPUTED_VALUE"""),67.0)</f>
        <v>67</v>
      </c>
      <c r="AE295" s="481">
        <f>IFERROR(__xludf.DUMMYFUNCTION("""COMPUTED_VALUE"""),80.0)</f>
        <v>80</v>
      </c>
      <c r="AF295" s="481"/>
      <c r="AG295" s="481">
        <f>IFERROR(__xludf.DUMMYFUNCTION("""COMPUTED_VALUE"""),69.0)</f>
        <v>69</v>
      </c>
      <c r="AH295" s="481"/>
      <c r="AI295" s="158"/>
      <c r="AJ295" s="158"/>
      <c r="AK295" s="133">
        <f>IFERROR(__xludf.DUMMYFUNCTION("""COMPUTED_VALUE"""),4.0)</f>
        <v>4</v>
      </c>
      <c r="AL295" s="133">
        <f>IFERROR(__xludf.DUMMYFUNCTION("""COMPUTED_VALUE"""),3.0)</f>
        <v>3</v>
      </c>
      <c r="AM295" s="133">
        <f>IFERROR(__xludf.DUMMYFUNCTION("""COMPUTED_VALUE"""),2.0)</f>
        <v>2</v>
      </c>
      <c r="AN295" s="133" t="str">
        <f>IFERROR(__xludf.DUMMYFUNCTION("""COMPUTED_VALUE"""),"3.5")</f>
        <v>3.5</v>
      </c>
      <c r="AO295" s="133">
        <f>IFERROR(__xludf.DUMMYFUNCTION("""COMPUTED_VALUE"""),3.0)</f>
        <v>3</v>
      </c>
      <c r="AP295" s="155" t="s">
        <v>3706</v>
      </c>
    </row>
    <row r="296">
      <c r="A296" s="261">
        <f>IFERROR(__xludf.DUMMYFUNCTION("""COMPUTED_VALUE"""),58.0)</f>
        <v>58</v>
      </c>
      <c r="B296" s="261" t="str">
        <f>IFERROR(__xludf.DUMMYFUNCTION("""COMPUTED_VALUE"""),"has23ise@cmrit.ac.in")</f>
        <v>has23ise@cmrit.ac.in</v>
      </c>
      <c r="C296" s="172" t="str">
        <f>IFERROR(__xludf.DUMMYFUNCTION("""COMPUTED_VALUE"""),"HARINI S")</f>
        <v>HARINI S</v>
      </c>
      <c r="D296" s="155" t="str">
        <f>IFERROR(__xludf.DUMMYFUNCTION("""COMPUTED_VALUE"""),"1CR23IS059")</f>
        <v>1CR23IS059</v>
      </c>
      <c r="E296" s="563">
        <f>IFERROR(__xludf.DUMMYFUNCTION("""COMPUTED_VALUE"""),9.513610317E9)</f>
        <v>9513610317</v>
      </c>
      <c r="F296" s="155" t="str">
        <f>IFERROR(__xludf.DUMMYFUNCTION("""COMPUTED_VALUE"""),"ISE")</f>
        <v>ISE</v>
      </c>
      <c r="G296" s="158"/>
      <c r="H296" s="559">
        <f>IFERROR(__xludf.DUMMYFUNCTION("""COMPUTED_VALUE"""),67.0)</f>
        <v>67</v>
      </c>
      <c r="I296" s="559">
        <f>IFERROR(__xludf.DUMMYFUNCTION("""COMPUTED_VALUE"""),82.0)</f>
        <v>82</v>
      </c>
      <c r="J296" s="559">
        <f>IFERROR(__xludf.DUMMYFUNCTION("""COMPUTED_VALUE"""),70.0)</f>
        <v>70</v>
      </c>
      <c r="K296" s="559">
        <f>IFERROR(__xludf.DUMMYFUNCTION("""COMPUTED_VALUE"""),57.0)</f>
        <v>57</v>
      </c>
      <c r="L296" s="560">
        <f>IFERROR(__xludf.DUMMYFUNCTION("""COMPUTED_VALUE"""),6.0)</f>
        <v>6</v>
      </c>
      <c r="M296" s="561">
        <f>IFERROR(__xludf.DUMMYFUNCTION("""COMPUTED_VALUE"""),42.0)</f>
        <v>42</v>
      </c>
      <c r="N296" s="561">
        <f>IFERROR(__xludf.DUMMYFUNCTION("""COMPUTED_VALUE"""),0.0)</f>
        <v>0</v>
      </c>
      <c r="O296" s="560"/>
      <c r="P296" s="562">
        <f>IFERROR(__xludf.DUMMYFUNCTION("""COMPUTED_VALUE"""),0.0)</f>
        <v>0</v>
      </c>
      <c r="Q296" s="562">
        <f>IFERROR(__xludf.DUMMYFUNCTION("""COMPUTED_VALUE"""),0.0)</f>
        <v>0</v>
      </c>
      <c r="R296" s="562">
        <f>IFERROR(__xludf.DUMMYFUNCTION("""COMPUTED_VALUE"""),0.0)</f>
        <v>0</v>
      </c>
      <c r="S296" s="562"/>
      <c r="T296" s="217">
        <f>IFERROR(__xludf.DUMMYFUNCTION("""COMPUTED_VALUE"""),16.0)</f>
        <v>16</v>
      </c>
      <c r="U296" s="217">
        <f>IFERROR(__xludf.DUMMYFUNCTION("""COMPUTED_VALUE"""),17.0)</f>
        <v>17</v>
      </c>
      <c r="V296" s="217"/>
      <c r="W296" s="217">
        <f>IFERROR(__xludf.DUMMYFUNCTION("""COMPUTED_VALUE"""),40.0)</f>
        <v>40</v>
      </c>
      <c r="X296" s="217">
        <f>IFERROR(__xludf.DUMMYFUNCTION("""COMPUTED_VALUE"""),0.0)</f>
        <v>0</v>
      </c>
      <c r="Y296" s="217"/>
      <c r="Z296" s="217"/>
      <c r="AA296" s="481">
        <f>IFERROR(__xludf.DUMMYFUNCTION("""COMPUTED_VALUE"""),60.0)</f>
        <v>60</v>
      </c>
      <c r="AB296" s="481">
        <f>IFERROR(__xludf.DUMMYFUNCTION("""COMPUTED_VALUE"""),71.0)</f>
        <v>71</v>
      </c>
      <c r="AC296" s="481">
        <f>IFERROR(__xludf.DUMMYFUNCTION("""COMPUTED_VALUE"""),10.0)</f>
        <v>10</v>
      </c>
      <c r="AD296" s="481">
        <f>IFERROR(__xludf.DUMMYFUNCTION("""COMPUTED_VALUE"""),0.0)</f>
        <v>0</v>
      </c>
      <c r="AE296" s="481">
        <f>IFERROR(__xludf.DUMMYFUNCTION("""COMPUTED_VALUE"""),10.0)</f>
        <v>10</v>
      </c>
      <c r="AF296" s="481"/>
      <c r="AG296" s="481">
        <f>IFERROR(__xludf.DUMMYFUNCTION("""COMPUTED_VALUE"""),27.0)</f>
        <v>27</v>
      </c>
      <c r="AH296" s="481"/>
      <c r="AI296" s="158"/>
      <c r="AJ296" s="158"/>
      <c r="AK296" s="133">
        <f>IFERROR(__xludf.DUMMYFUNCTION("""COMPUTED_VALUE"""),3.0)</f>
        <v>3</v>
      </c>
      <c r="AL296" s="133">
        <f>IFERROR(__xludf.DUMMYFUNCTION("""COMPUTED_VALUE"""),0.0)</f>
        <v>0</v>
      </c>
      <c r="AM296" s="133">
        <f>IFERROR(__xludf.DUMMYFUNCTION("""COMPUTED_VALUE"""),2.0)</f>
        <v>2</v>
      </c>
      <c r="AN296" s="133" t="str">
        <f>IFERROR(__xludf.DUMMYFUNCTION("""COMPUTED_VALUE"""),"2")</f>
        <v>2</v>
      </c>
      <c r="AO296" s="133">
        <f>IFERROR(__xludf.DUMMYFUNCTION("""COMPUTED_VALUE"""),0.0)</f>
        <v>0</v>
      </c>
      <c r="AP296" s="155" t="s">
        <v>3706</v>
      </c>
    </row>
    <row r="297">
      <c r="A297" s="261">
        <f>IFERROR(__xludf.DUMMYFUNCTION("""COMPUTED_VALUE"""),59.0)</f>
        <v>59</v>
      </c>
      <c r="B297" s="261" t="str">
        <f>IFERROR(__xludf.DUMMYFUNCTION("""COMPUTED_VALUE"""),"haba23ise@cmrit.ac.in")</f>
        <v>haba23ise@cmrit.ac.in</v>
      </c>
      <c r="C297" s="172" t="str">
        <f>IFERROR(__xludf.DUMMYFUNCTION("""COMPUTED_VALUE"""),"HARSH BAGRI")</f>
        <v>HARSH BAGRI</v>
      </c>
      <c r="D297" s="155" t="str">
        <f>IFERROR(__xludf.DUMMYFUNCTION("""COMPUTED_VALUE"""),"1CR23IS060")</f>
        <v>1CR23IS060</v>
      </c>
      <c r="E297" s="563">
        <f>IFERROR(__xludf.DUMMYFUNCTION("""COMPUTED_VALUE"""),7.377379265E9)</f>
        <v>7377379265</v>
      </c>
      <c r="F297" s="155" t="str">
        <f>IFERROR(__xludf.DUMMYFUNCTION("""COMPUTED_VALUE"""),"ISE")</f>
        <v>ISE</v>
      </c>
      <c r="G297" s="158"/>
      <c r="H297" s="559">
        <f>IFERROR(__xludf.DUMMYFUNCTION("""COMPUTED_VALUE"""),78.0)</f>
        <v>78</v>
      </c>
      <c r="I297" s="559">
        <f>IFERROR(__xludf.DUMMYFUNCTION("""COMPUTED_VALUE"""),82.0)</f>
        <v>82</v>
      </c>
      <c r="J297" s="559">
        <f>IFERROR(__xludf.DUMMYFUNCTION("""COMPUTED_VALUE"""),70.0)</f>
        <v>70</v>
      </c>
      <c r="K297" s="559">
        <f>IFERROR(__xludf.DUMMYFUNCTION("""COMPUTED_VALUE"""),70.0)</f>
        <v>70</v>
      </c>
      <c r="L297" s="560">
        <f>IFERROR(__xludf.DUMMYFUNCTION("""COMPUTED_VALUE"""),54.0)</f>
        <v>54</v>
      </c>
      <c r="M297" s="561">
        <f>IFERROR(__xludf.DUMMYFUNCTION("""COMPUTED_VALUE"""),38.0)</f>
        <v>38</v>
      </c>
      <c r="N297" s="561">
        <f>IFERROR(__xludf.DUMMYFUNCTION("""COMPUTED_VALUE"""),64.0)</f>
        <v>64</v>
      </c>
      <c r="O297" s="560"/>
      <c r="P297" s="562">
        <f>IFERROR(__xludf.DUMMYFUNCTION("""COMPUTED_VALUE"""),50.0)</f>
        <v>50</v>
      </c>
      <c r="Q297" s="562">
        <f>IFERROR(__xludf.DUMMYFUNCTION("""COMPUTED_VALUE"""),50.0)</f>
        <v>50</v>
      </c>
      <c r="R297" s="562">
        <f>IFERROR(__xludf.DUMMYFUNCTION("""COMPUTED_VALUE"""),87.0)</f>
        <v>87</v>
      </c>
      <c r="S297" s="562"/>
      <c r="T297" s="217">
        <f>IFERROR(__xludf.DUMMYFUNCTION("""COMPUTED_VALUE"""),16.0)</f>
        <v>16</v>
      </c>
      <c r="U297" s="217">
        <f>IFERROR(__xludf.DUMMYFUNCTION("""COMPUTED_VALUE"""),23.0)</f>
        <v>23</v>
      </c>
      <c r="V297" s="217"/>
      <c r="W297" s="217"/>
      <c r="X297" s="217">
        <f>IFERROR(__xludf.DUMMYFUNCTION("""COMPUTED_VALUE"""),88.0)</f>
        <v>88</v>
      </c>
      <c r="Y297" s="217"/>
      <c r="Z297" s="217"/>
      <c r="AA297" s="481">
        <f>IFERROR(__xludf.DUMMYFUNCTION("""COMPUTED_VALUE"""),80.0)</f>
        <v>80</v>
      </c>
      <c r="AB297" s="481">
        <f>IFERROR(__xludf.DUMMYFUNCTION("""COMPUTED_VALUE"""),100.0)</f>
        <v>100</v>
      </c>
      <c r="AC297" s="481">
        <f>IFERROR(__xludf.DUMMYFUNCTION("""COMPUTED_VALUE"""),12.0)</f>
        <v>12</v>
      </c>
      <c r="AD297" s="481">
        <f>IFERROR(__xludf.DUMMYFUNCTION("""COMPUTED_VALUE"""),90.0)</f>
        <v>90</v>
      </c>
      <c r="AE297" s="481">
        <f>IFERROR(__xludf.DUMMYFUNCTION("""COMPUTED_VALUE"""),70.0)</f>
        <v>70</v>
      </c>
      <c r="AF297" s="481"/>
      <c r="AG297" s="481">
        <f>IFERROR(__xludf.DUMMYFUNCTION("""COMPUTED_VALUE"""),49.0)</f>
        <v>49</v>
      </c>
      <c r="AH297" s="481"/>
      <c r="AI297" s="158"/>
      <c r="AJ297" s="158"/>
      <c r="AK297" s="133">
        <f>IFERROR(__xludf.DUMMYFUNCTION("""COMPUTED_VALUE"""),4.0)</f>
        <v>4</v>
      </c>
      <c r="AL297" s="133">
        <f>IFERROR(__xludf.DUMMYFUNCTION("""COMPUTED_VALUE"""),1.0)</f>
        <v>1</v>
      </c>
      <c r="AM297" s="133">
        <f>IFERROR(__xludf.DUMMYFUNCTION("""COMPUTED_VALUE"""),2.0)</f>
        <v>2</v>
      </c>
      <c r="AN297" s="133" t="str">
        <f>IFERROR(__xludf.DUMMYFUNCTION("""COMPUTED_VALUE"""),"3.5")</f>
        <v>3.5</v>
      </c>
      <c r="AO297" s="133">
        <f>IFERROR(__xludf.DUMMYFUNCTION("""COMPUTED_VALUE"""),3.0)</f>
        <v>3</v>
      </c>
      <c r="AP297" s="155" t="s">
        <v>3706</v>
      </c>
    </row>
    <row r="298">
      <c r="A298" s="261">
        <f>IFERROR(__xludf.DUMMYFUNCTION("""COMPUTED_VALUE"""),60.0)</f>
        <v>60</v>
      </c>
      <c r="B298" s="261" t="str">
        <f>IFERROR(__xludf.DUMMYFUNCTION("""COMPUTED_VALUE"""),"hapa23ise@cmrit.ac.in")</f>
        <v>hapa23ise@cmrit.ac.in</v>
      </c>
      <c r="C298" s="172" t="str">
        <f>IFERROR(__xludf.DUMMYFUNCTION("""COMPUTED_VALUE"""),"HARSH PARASAR")</f>
        <v>HARSH PARASAR</v>
      </c>
      <c r="D298" s="155" t="str">
        <f>IFERROR(__xludf.DUMMYFUNCTION("""COMPUTED_VALUE"""),"1CR23IS061")</f>
        <v>1CR23IS061</v>
      </c>
      <c r="E298" s="563">
        <f>IFERROR(__xludf.DUMMYFUNCTION("""COMPUTED_VALUE"""),8.789984965E9)</f>
        <v>8789984965</v>
      </c>
      <c r="F298" s="155" t="str">
        <f>IFERROR(__xludf.DUMMYFUNCTION("""COMPUTED_VALUE"""),"ISE")</f>
        <v>ISE</v>
      </c>
      <c r="G298" s="158"/>
      <c r="H298" s="559">
        <f>IFERROR(__xludf.DUMMYFUNCTION("""COMPUTED_VALUE"""),88.0)</f>
        <v>88</v>
      </c>
      <c r="I298" s="559">
        <f>IFERROR(__xludf.DUMMYFUNCTION("""COMPUTED_VALUE"""),91.0)</f>
        <v>91</v>
      </c>
      <c r="J298" s="559">
        <f>IFERROR(__xludf.DUMMYFUNCTION("""COMPUTED_VALUE"""),70.0)</f>
        <v>70</v>
      </c>
      <c r="K298" s="559">
        <f>IFERROR(__xludf.DUMMYFUNCTION("""COMPUTED_VALUE"""),70.0)</f>
        <v>70</v>
      </c>
      <c r="L298" s="560">
        <f>IFERROR(__xludf.DUMMYFUNCTION("""COMPUTED_VALUE"""),50.0)</f>
        <v>50</v>
      </c>
      <c r="M298" s="561">
        <f>IFERROR(__xludf.DUMMYFUNCTION("""COMPUTED_VALUE"""),61.0)</f>
        <v>61</v>
      </c>
      <c r="N298" s="561">
        <f>IFERROR(__xludf.DUMMYFUNCTION("""COMPUTED_VALUE"""),57.0)</f>
        <v>57</v>
      </c>
      <c r="O298" s="560"/>
      <c r="P298" s="562">
        <f>IFERROR(__xludf.DUMMYFUNCTION("""COMPUTED_VALUE"""),50.0)</f>
        <v>50</v>
      </c>
      <c r="Q298" s="562">
        <f>IFERROR(__xludf.DUMMYFUNCTION("""COMPUTED_VALUE"""),50.0)</f>
        <v>50</v>
      </c>
      <c r="R298" s="562">
        <f>IFERROR(__xludf.DUMMYFUNCTION("""COMPUTED_VALUE"""),92.0)</f>
        <v>92</v>
      </c>
      <c r="S298" s="562"/>
      <c r="T298" s="217">
        <f>IFERROR(__xludf.DUMMYFUNCTION("""COMPUTED_VALUE"""),11.0)</f>
        <v>11</v>
      </c>
      <c r="U298" s="217">
        <f>IFERROR(__xludf.DUMMYFUNCTION("""COMPUTED_VALUE"""),22.0)</f>
        <v>22</v>
      </c>
      <c r="V298" s="217">
        <f>IFERROR(__xludf.DUMMYFUNCTION("""COMPUTED_VALUE"""),46.0)</f>
        <v>46</v>
      </c>
      <c r="W298" s="217">
        <f>IFERROR(__xludf.DUMMYFUNCTION("""COMPUTED_VALUE"""),56.0)</f>
        <v>56</v>
      </c>
      <c r="X298" s="217">
        <f>IFERROR(__xludf.DUMMYFUNCTION("""COMPUTED_VALUE"""),88.0)</f>
        <v>88</v>
      </c>
      <c r="Y298" s="217"/>
      <c r="Z298" s="217"/>
      <c r="AA298" s="481">
        <f>IFERROR(__xludf.DUMMYFUNCTION("""COMPUTED_VALUE"""),0.0)</f>
        <v>0</v>
      </c>
      <c r="AB298" s="481">
        <f>IFERROR(__xludf.DUMMYFUNCTION("""COMPUTED_VALUE"""),100.0)</f>
        <v>100</v>
      </c>
      <c r="AC298" s="481">
        <f>IFERROR(__xludf.DUMMYFUNCTION("""COMPUTED_VALUE"""),69.0)</f>
        <v>69</v>
      </c>
      <c r="AD298" s="481">
        <f>IFERROR(__xludf.DUMMYFUNCTION("""COMPUTED_VALUE"""),90.0)</f>
        <v>90</v>
      </c>
      <c r="AE298" s="481">
        <f>IFERROR(__xludf.DUMMYFUNCTION("""COMPUTED_VALUE"""),73.0)</f>
        <v>73</v>
      </c>
      <c r="AF298" s="481"/>
      <c r="AG298" s="481">
        <f>IFERROR(__xludf.DUMMYFUNCTION("""COMPUTED_VALUE"""),74.0)</f>
        <v>74</v>
      </c>
      <c r="AH298" s="481"/>
      <c r="AI298" s="158"/>
      <c r="AJ298" s="158"/>
      <c r="AK298" s="133">
        <f>IFERROR(__xludf.DUMMYFUNCTION("""COMPUTED_VALUE"""),4.0)</f>
        <v>4</v>
      </c>
      <c r="AL298" s="133">
        <f>IFERROR(__xludf.DUMMYFUNCTION("""COMPUTED_VALUE"""),3.0)</f>
        <v>3</v>
      </c>
      <c r="AM298" s="133">
        <f>IFERROR(__xludf.DUMMYFUNCTION("""COMPUTED_VALUE"""),3.0)</f>
        <v>3</v>
      </c>
      <c r="AN298" s="133" t="str">
        <f>IFERROR(__xludf.DUMMYFUNCTION("""COMPUTED_VALUE"""),"3.5")</f>
        <v>3.5</v>
      </c>
      <c r="AO298" s="133">
        <f>IFERROR(__xludf.DUMMYFUNCTION("""COMPUTED_VALUE"""),3.0)</f>
        <v>3</v>
      </c>
      <c r="AP298" s="155" t="s">
        <v>3706</v>
      </c>
    </row>
    <row r="299">
      <c r="A299" s="261">
        <f>IFERROR(__xludf.DUMMYFUNCTION("""COMPUTED_VALUE"""),61.0)</f>
        <v>61</v>
      </c>
      <c r="B299" s="261" t="str">
        <f>IFERROR(__xludf.DUMMYFUNCTION("""COMPUTED_VALUE"""),"hara23ise@cmrit.ac.in")</f>
        <v>hara23ise@cmrit.ac.in</v>
      </c>
      <c r="C299" s="172" t="str">
        <f>IFERROR(__xludf.DUMMYFUNCTION("""COMPUTED_VALUE"""),"HARSH RAJ")</f>
        <v>HARSH RAJ</v>
      </c>
      <c r="D299" s="155" t="str">
        <f>IFERROR(__xludf.DUMMYFUNCTION("""COMPUTED_VALUE"""),"1CR23IS062")</f>
        <v>1CR23IS062</v>
      </c>
      <c r="E299" s="563">
        <f>IFERROR(__xludf.DUMMYFUNCTION("""COMPUTED_VALUE"""),9.060334568E9)</f>
        <v>9060334568</v>
      </c>
      <c r="F299" s="155" t="str">
        <f>IFERROR(__xludf.DUMMYFUNCTION("""COMPUTED_VALUE"""),"ISE")</f>
        <v>ISE</v>
      </c>
      <c r="G299" s="158"/>
      <c r="H299" s="559">
        <f>IFERROR(__xludf.DUMMYFUNCTION("""COMPUTED_VALUE"""),76.0)</f>
        <v>76</v>
      </c>
      <c r="I299" s="559">
        <f>IFERROR(__xludf.DUMMYFUNCTION("""COMPUTED_VALUE"""),85.0)</f>
        <v>85</v>
      </c>
      <c r="J299" s="559">
        <f>IFERROR(__xludf.DUMMYFUNCTION("""COMPUTED_VALUE"""),70.0)</f>
        <v>70</v>
      </c>
      <c r="K299" s="559">
        <f>IFERROR(__xludf.DUMMYFUNCTION("""COMPUTED_VALUE"""),70.0)</f>
        <v>70</v>
      </c>
      <c r="L299" s="560">
        <f>IFERROR(__xludf.DUMMYFUNCTION("""COMPUTED_VALUE"""),77.0)</f>
        <v>77</v>
      </c>
      <c r="M299" s="561">
        <f>IFERROR(__xludf.DUMMYFUNCTION("""COMPUTED_VALUE"""),70.0)</f>
        <v>70</v>
      </c>
      <c r="N299" s="561">
        <f>IFERROR(__xludf.DUMMYFUNCTION("""COMPUTED_VALUE"""),59.0)</f>
        <v>59</v>
      </c>
      <c r="O299" s="560"/>
      <c r="P299" s="562">
        <f>IFERROR(__xludf.DUMMYFUNCTION("""COMPUTED_VALUE"""),50.0)</f>
        <v>50</v>
      </c>
      <c r="Q299" s="562">
        <f>IFERROR(__xludf.DUMMYFUNCTION("""COMPUTED_VALUE"""),84.0)</f>
        <v>84</v>
      </c>
      <c r="R299" s="562">
        <f>IFERROR(__xludf.DUMMYFUNCTION("""COMPUTED_VALUE"""),92.0)</f>
        <v>92</v>
      </c>
      <c r="S299" s="562"/>
      <c r="T299" s="217">
        <f>IFERROR(__xludf.DUMMYFUNCTION("""COMPUTED_VALUE"""),17.0)</f>
        <v>17</v>
      </c>
      <c r="U299" s="217">
        <f>IFERROR(__xludf.DUMMYFUNCTION("""COMPUTED_VALUE"""),22.0)</f>
        <v>22</v>
      </c>
      <c r="V299" s="217">
        <f>IFERROR(__xludf.DUMMYFUNCTION("""COMPUTED_VALUE"""),30.0)</f>
        <v>30</v>
      </c>
      <c r="W299" s="217"/>
      <c r="X299" s="217">
        <f>IFERROR(__xludf.DUMMYFUNCTION("""COMPUTED_VALUE"""),84.0)</f>
        <v>84</v>
      </c>
      <c r="Y299" s="217"/>
      <c r="Z299" s="217"/>
      <c r="AA299" s="481">
        <f>IFERROR(__xludf.DUMMYFUNCTION("""COMPUTED_VALUE"""),84.0)</f>
        <v>84</v>
      </c>
      <c r="AB299" s="481">
        <f>IFERROR(__xludf.DUMMYFUNCTION("""COMPUTED_VALUE"""),97.0)</f>
        <v>97</v>
      </c>
      <c r="AC299" s="481">
        <f>IFERROR(__xludf.DUMMYFUNCTION("""COMPUTED_VALUE"""),92.0)</f>
        <v>92</v>
      </c>
      <c r="AD299" s="481">
        <f>IFERROR(__xludf.DUMMYFUNCTION("""COMPUTED_VALUE"""),82.0)</f>
        <v>82</v>
      </c>
      <c r="AE299" s="481">
        <f>IFERROR(__xludf.DUMMYFUNCTION("""COMPUTED_VALUE"""),70.0)</f>
        <v>70</v>
      </c>
      <c r="AF299" s="481"/>
      <c r="AG299" s="481">
        <f>IFERROR(__xludf.DUMMYFUNCTION("""COMPUTED_VALUE"""),74.0)</f>
        <v>74</v>
      </c>
      <c r="AH299" s="481"/>
      <c r="AI299" s="158"/>
      <c r="AJ299" s="158"/>
      <c r="AK299" s="133">
        <f>IFERROR(__xludf.DUMMYFUNCTION("""COMPUTED_VALUE"""),4.0)</f>
        <v>4</v>
      </c>
      <c r="AL299" s="133">
        <f>IFERROR(__xludf.DUMMYFUNCTION("""COMPUTED_VALUE"""),3.0)</f>
        <v>3</v>
      </c>
      <c r="AM299" s="133">
        <f>IFERROR(__xludf.DUMMYFUNCTION("""COMPUTED_VALUE"""),2.0)</f>
        <v>2</v>
      </c>
      <c r="AN299" s="133" t="str">
        <f>IFERROR(__xludf.DUMMYFUNCTION("""COMPUTED_VALUE"""),"3.5")</f>
        <v>3.5</v>
      </c>
      <c r="AO299" s="133">
        <f>IFERROR(__xludf.DUMMYFUNCTION("""COMPUTED_VALUE"""),3.0)</f>
        <v>3</v>
      </c>
      <c r="AP299" s="155" t="s">
        <v>3706</v>
      </c>
    </row>
    <row r="300">
      <c r="A300" s="261">
        <f>IFERROR(__xludf.DUMMYFUNCTION("""COMPUTED_VALUE"""),62.0)</f>
        <v>62</v>
      </c>
      <c r="B300" s="261" t="str">
        <f>IFERROR(__xludf.DUMMYFUNCTION("""COMPUTED_VALUE"""),"hat23ise@cmrit.ac.in")</f>
        <v>hat23ise@cmrit.ac.in</v>
      </c>
      <c r="C300" s="172" t="str">
        <f>IFERROR(__xludf.DUMMYFUNCTION("""COMPUTED_VALUE"""),"harsha vardhan t")</f>
        <v>harsha vardhan t</v>
      </c>
      <c r="D300" s="155" t="str">
        <f>IFERROR(__xludf.DUMMYFUNCTION("""COMPUTED_VALUE"""),"1CR23IS063")</f>
        <v>1CR23IS063</v>
      </c>
      <c r="E300" s="563">
        <f>IFERROR(__xludf.DUMMYFUNCTION("""COMPUTED_VALUE"""),9.108653457E9)</f>
        <v>9108653457</v>
      </c>
      <c r="F300" s="155" t="str">
        <f>IFERROR(__xludf.DUMMYFUNCTION("""COMPUTED_VALUE"""),"ISE")</f>
        <v>ISE</v>
      </c>
      <c r="G300" s="158"/>
      <c r="H300" s="559">
        <f>IFERROR(__xludf.DUMMYFUNCTION("""COMPUTED_VALUE"""),71.0)</f>
        <v>71</v>
      </c>
      <c r="I300" s="559">
        <f>IFERROR(__xludf.DUMMYFUNCTION("""COMPUTED_VALUE"""),88.0)</f>
        <v>88</v>
      </c>
      <c r="J300" s="559">
        <f>IFERROR(__xludf.DUMMYFUNCTION("""COMPUTED_VALUE"""),70.0)</f>
        <v>70</v>
      </c>
      <c r="K300" s="559">
        <f>IFERROR(__xludf.DUMMYFUNCTION("""COMPUTED_VALUE"""),70.0)</f>
        <v>70</v>
      </c>
      <c r="L300" s="560">
        <f>IFERROR(__xludf.DUMMYFUNCTION("""COMPUTED_VALUE"""),50.0)</f>
        <v>50</v>
      </c>
      <c r="M300" s="561">
        <f>IFERROR(__xludf.DUMMYFUNCTION("""COMPUTED_VALUE"""),21.0)</f>
        <v>21</v>
      </c>
      <c r="N300" s="561">
        <f>IFERROR(__xludf.DUMMYFUNCTION("""COMPUTED_VALUE"""),53.0)</f>
        <v>53</v>
      </c>
      <c r="O300" s="560"/>
      <c r="P300" s="562">
        <f>IFERROR(__xludf.DUMMYFUNCTION("""COMPUTED_VALUE"""),78.0)</f>
        <v>78</v>
      </c>
      <c r="Q300" s="562">
        <f>IFERROR(__xludf.DUMMYFUNCTION("""COMPUTED_VALUE"""),84.0)</f>
        <v>84</v>
      </c>
      <c r="R300" s="562">
        <f>IFERROR(__xludf.DUMMYFUNCTION("""COMPUTED_VALUE"""),83.0)</f>
        <v>83</v>
      </c>
      <c r="S300" s="562"/>
      <c r="T300" s="217">
        <f>IFERROR(__xludf.DUMMYFUNCTION("""COMPUTED_VALUE"""),11.0)</f>
        <v>11</v>
      </c>
      <c r="U300" s="217">
        <f>IFERROR(__xludf.DUMMYFUNCTION("""COMPUTED_VALUE"""),19.0)</f>
        <v>19</v>
      </c>
      <c r="V300" s="217">
        <f>IFERROR(__xludf.DUMMYFUNCTION("""COMPUTED_VALUE"""),38.0)</f>
        <v>38</v>
      </c>
      <c r="W300" s="217">
        <f>IFERROR(__xludf.DUMMYFUNCTION("""COMPUTED_VALUE"""),44.0)</f>
        <v>44</v>
      </c>
      <c r="X300" s="217">
        <f>IFERROR(__xludf.DUMMYFUNCTION("""COMPUTED_VALUE"""),80.0)</f>
        <v>80</v>
      </c>
      <c r="Y300" s="217"/>
      <c r="Z300" s="217"/>
      <c r="AA300" s="481">
        <f>IFERROR(__xludf.DUMMYFUNCTION("""COMPUTED_VALUE"""),24.0)</f>
        <v>24</v>
      </c>
      <c r="AB300" s="481">
        <f>IFERROR(__xludf.DUMMYFUNCTION("""COMPUTED_VALUE"""),89.0)</f>
        <v>89</v>
      </c>
      <c r="AC300" s="481">
        <f>IFERROR(__xludf.DUMMYFUNCTION("""COMPUTED_VALUE"""),36.0)</f>
        <v>36</v>
      </c>
      <c r="AD300" s="481">
        <f>IFERROR(__xludf.DUMMYFUNCTION("""COMPUTED_VALUE"""),70.0)</f>
        <v>70</v>
      </c>
      <c r="AE300" s="481"/>
      <c r="AF300" s="481"/>
      <c r="AG300" s="481">
        <f>IFERROR(__xludf.DUMMYFUNCTION("""COMPUTED_VALUE"""),39.0)</f>
        <v>39</v>
      </c>
      <c r="AH300" s="481"/>
      <c r="AI300" s="158"/>
      <c r="AJ300" s="158"/>
      <c r="AK300" s="133">
        <f>IFERROR(__xludf.DUMMYFUNCTION("""COMPUTED_VALUE"""),4.0)</f>
        <v>4</v>
      </c>
      <c r="AL300" s="133">
        <f>IFERROR(__xludf.DUMMYFUNCTION("""COMPUTED_VALUE"""),1.0)</f>
        <v>1</v>
      </c>
      <c r="AM300" s="133">
        <f>IFERROR(__xludf.DUMMYFUNCTION("""COMPUTED_VALUE"""),2.0)</f>
        <v>2</v>
      </c>
      <c r="AN300" s="133" t="str">
        <f>IFERROR(__xludf.DUMMYFUNCTION("""COMPUTED_VALUE"""),"3.5")</f>
        <v>3.5</v>
      </c>
      <c r="AO300" s="133">
        <f>IFERROR(__xludf.DUMMYFUNCTION("""COMPUTED_VALUE"""),3.0)</f>
        <v>3</v>
      </c>
      <c r="AP300" s="155" t="s">
        <v>3706</v>
      </c>
    </row>
    <row r="301">
      <c r="A301" s="261">
        <f>IFERROR(__xludf.DUMMYFUNCTION("""COMPUTED_VALUE"""),63.0)</f>
        <v>63</v>
      </c>
      <c r="B301" s="261" t="str">
        <f>IFERROR(__xludf.DUMMYFUNCTION("""COMPUTED_VALUE"""),"hap23ise@cmrit.ac.in")</f>
        <v>hap23ise@cmrit.ac.in</v>
      </c>
      <c r="C301" s="172" t="str">
        <f>IFERROR(__xludf.DUMMYFUNCTION("""COMPUTED_VALUE"""),"HARSHITHA P")</f>
        <v>HARSHITHA P</v>
      </c>
      <c r="D301" s="155" t="str">
        <f>IFERROR(__xludf.DUMMYFUNCTION("""COMPUTED_VALUE"""),"1CR23IS064")</f>
        <v>1CR23IS064</v>
      </c>
      <c r="E301" s="563">
        <f>IFERROR(__xludf.DUMMYFUNCTION("""COMPUTED_VALUE"""),8.453021336E9)</f>
        <v>8453021336</v>
      </c>
      <c r="F301" s="155" t="str">
        <f>IFERROR(__xludf.DUMMYFUNCTION("""COMPUTED_VALUE"""),"ISE")</f>
        <v>ISE</v>
      </c>
      <c r="G301" s="158"/>
      <c r="H301" s="559">
        <f>IFERROR(__xludf.DUMMYFUNCTION("""COMPUTED_VALUE"""),75.0)</f>
        <v>75</v>
      </c>
      <c r="I301" s="559">
        <f>IFERROR(__xludf.DUMMYFUNCTION("""COMPUTED_VALUE"""),86.0)</f>
        <v>86</v>
      </c>
      <c r="J301" s="559">
        <f>IFERROR(__xludf.DUMMYFUNCTION("""COMPUTED_VALUE"""),70.0)</f>
        <v>70</v>
      </c>
      <c r="K301" s="559">
        <f>IFERROR(__xludf.DUMMYFUNCTION("""COMPUTED_VALUE"""),73.0)</f>
        <v>73</v>
      </c>
      <c r="L301" s="560">
        <f>IFERROR(__xludf.DUMMYFUNCTION("""COMPUTED_VALUE"""),12.0)</f>
        <v>12</v>
      </c>
      <c r="M301" s="561">
        <f>IFERROR(__xludf.DUMMYFUNCTION("""COMPUTED_VALUE"""),39.0)</f>
        <v>39</v>
      </c>
      <c r="N301" s="561">
        <f>IFERROR(__xludf.DUMMYFUNCTION("""COMPUTED_VALUE"""),60.0)</f>
        <v>60</v>
      </c>
      <c r="O301" s="560"/>
      <c r="P301" s="562">
        <f>IFERROR(__xludf.DUMMYFUNCTION("""COMPUTED_VALUE"""),86.0)</f>
        <v>86</v>
      </c>
      <c r="Q301" s="562">
        <f>IFERROR(__xludf.DUMMYFUNCTION("""COMPUTED_VALUE"""),84.0)</f>
        <v>84</v>
      </c>
      <c r="R301" s="562">
        <f>IFERROR(__xludf.DUMMYFUNCTION("""COMPUTED_VALUE"""),72.0)</f>
        <v>72</v>
      </c>
      <c r="S301" s="562"/>
      <c r="T301" s="217">
        <f>IFERROR(__xludf.DUMMYFUNCTION("""COMPUTED_VALUE"""),11.0)</f>
        <v>11</v>
      </c>
      <c r="U301" s="217">
        <f>IFERROR(__xludf.DUMMYFUNCTION("""COMPUTED_VALUE"""),21.0)</f>
        <v>21</v>
      </c>
      <c r="V301" s="217">
        <f>IFERROR(__xludf.DUMMYFUNCTION("""COMPUTED_VALUE"""),42.0)</f>
        <v>42</v>
      </c>
      <c r="W301" s="217">
        <f>IFERROR(__xludf.DUMMYFUNCTION("""COMPUTED_VALUE"""),48.0)</f>
        <v>48</v>
      </c>
      <c r="X301" s="217">
        <f>IFERROR(__xludf.DUMMYFUNCTION("""COMPUTED_VALUE"""),68.0)</f>
        <v>68</v>
      </c>
      <c r="Y301" s="217"/>
      <c r="Z301" s="217"/>
      <c r="AA301" s="481">
        <f>IFERROR(__xludf.DUMMYFUNCTION("""COMPUTED_VALUE"""),20.0)</f>
        <v>20</v>
      </c>
      <c r="AB301" s="481">
        <f>IFERROR(__xludf.DUMMYFUNCTION("""COMPUTED_VALUE"""),97.0)</f>
        <v>97</v>
      </c>
      <c r="AC301" s="481">
        <f>IFERROR(__xludf.DUMMYFUNCTION("""COMPUTED_VALUE"""),37.0)</f>
        <v>37</v>
      </c>
      <c r="AD301" s="481">
        <f>IFERROR(__xludf.DUMMYFUNCTION("""COMPUTED_VALUE"""),70.0)</f>
        <v>70</v>
      </c>
      <c r="AE301" s="481">
        <f>IFERROR(__xludf.DUMMYFUNCTION("""COMPUTED_VALUE"""),71.0)</f>
        <v>71</v>
      </c>
      <c r="AF301" s="481"/>
      <c r="AG301" s="481">
        <f>IFERROR(__xludf.DUMMYFUNCTION("""COMPUTED_VALUE"""),45.0)</f>
        <v>45</v>
      </c>
      <c r="AH301" s="481"/>
      <c r="AI301" s="158"/>
      <c r="AJ301" s="158"/>
      <c r="AK301" s="133">
        <f>IFERROR(__xludf.DUMMYFUNCTION("""COMPUTED_VALUE"""),4.0)</f>
        <v>4</v>
      </c>
      <c r="AL301" s="133">
        <f>IFERROR(__xludf.DUMMYFUNCTION("""COMPUTED_VALUE"""),0.0)</f>
        <v>0</v>
      </c>
      <c r="AM301" s="133">
        <f>IFERROR(__xludf.DUMMYFUNCTION("""COMPUTED_VALUE"""),2.0)</f>
        <v>2</v>
      </c>
      <c r="AN301" s="133" t="str">
        <f>IFERROR(__xludf.DUMMYFUNCTION("""COMPUTED_VALUE"""),"3.5")</f>
        <v>3.5</v>
      </c>
      <c r="AO301" s="133">
        <f>IFERROR(__xludf.DUMMYFUNCTION("""COMPUTED_VALUE"""),3.0)</f>
        <v>3</v>
      </c>
      <c r="AP301" s="155" t="s">
        <v>3706</v>
      </c>
    </row>
    <row r="302">
      <c r="A302" s="261">
        <f>IFERROR(__xludf.DUMMYFUNCTION("""COMPUTED_VALUE"""),64.0)</f>
        <v>64</v>
      </c>
      <c r="B302" s="261" t="str">
        <f>IFERROR(__xludf.DUMMYFUNCTION("""COMPUTED_VALUE"""),"heay23ise@cmrit.ac.in")</f>
        <v>heay23ise@cmrit.ac.in</v>
      </c>
      <c r="C302" s="172" t="str">
        <f>IFERROR(__xludf.DUMMYFUNCTION("""COMPUTED_VALUE"""),"HEMANTH KUMAR A Y")</f>
        <v>HEMANTH KUMAR A Y</v>
      </c>
      <c r="D302" s="155" t="str">
        <f>IFERROR(__xludf.DUMMYFUNCTION("""COMPUTED_VALUE"""),"1CR23IS065")</f>
        <v>1CR23IS065</v>
      </c>
      <c r="E302" s="563">
        <f>IFERROR(__xludf.DUMMYFUNCTION("""COMPUTED_VALUE"""),6.362396179E9)</f>
        <v>6362396179</v>
      </c>
      <c r="F302" s="155" t="str">
        <f>IFERROR(__xludf.DUMMYFUNCTION("""COMPUTED_VALUE"""),"ISE")</f>
        <v>ISE</v>
      </c>
      <c r="G302" s="158"/>
      <c r="H302" s="559"/>
      <c r="I302" s="559">
        <f>IFERROR(__xludf.DUMMYFUNCTION("""COMPUTED_VALUE"""),78.0)</f>
        <v>78</v>
      </c>
      <c r="J302" s="559">
        <f>IFERROR(__xludf.DUMMYFUNCTION("""COMPUTED_VALUE"""),5.0)</f>
        <v>5</v>
      </c>
      <c r="K302" s="559">
        <f>IFERROR(__xludf.DUMMYFUNCTION("""COMPUTED_VALUE"""),10.0)</f>
        <v>10</v>
      </c>
      <c r="L302" s="560">
        <f>IFERROR(__xludf.DUMMYFUNCTION("""COMPUTED_VALUE"""),0.0)</f>
        <v>0</v>
      </c>
      <c r="M302" s="561">
        <f>IFERROR(__xludf.DUMMYFUNCTION("""COMPUTED_VALUE"""),0.0)</f>
        <v>0</v>
      </c>
      <c r="N302" s="561">
        <f>IFERROR(__xludf.DUMMYFUNCTION("""COMPUTED_VALUE"""),0.0)</f>
        <v>0</v>
      </c>
      <c r="O302" s="560"/>
      <c r="P302" s="562">
        <f>IFERROR(__xludf.DUMMYFUNCTION("""COMPUTED_VALUE"""),77.0)</f>
        <v>77</v>
      </c>
      <c r="Q302" s="562">
        <f>IFERROR(__xludf.DUMMYFUNCTION("""COMPUTED_VALUE"""),0.0)</f>
        <v>0</v>
      </c>
      <c r="R302" s="562">
        <f>IFERROR(__xludf.DUMMYFUNCTION("""COMPUTED_VALUE"""),0.0)</f>
        <v>0</v>
      </c>
      <c r="S302" s="562"/>
      <c r="T302" s="217"/>
      <c r="U302" s="217">
        <f>IFERROR(__xludf.DUMMYFUNCTION("""COMPUTED_VALUE"""),8.0)</f>
        <v>8</v>
      </c>
      <c r="V302" s="217"/>
      <c r="W302" s="217"/>
      <c r="X302" s="217">
        <f>IFERROR(__xludf.DUMMYFUNCTION("""COMPUTED_VALUE"""),0.0)</f>
        <v>0</v>
      </c>
      <c r="Y302" s="217"/>
      <c r="Z302" s="217"/>
      <c r="AA302" s="481">
        <f>IFERROR(__xludf.DUMMYFUNCTION("""COMPUTED_VALUE"""),32.0)</f>
        <v>32</v>
      </c>
      <c r="AB302" s="481">
        <f>IFERROR(__xludf.DUMMYFUNCTION("""COMPUTED_VALUE"""),42.0)</f>
        <v>42</v>
      </c>
      <c r="AC302" s="481">
        <f>IFERROR(__xludf.DUMMYFUNCTION("""COMPUTED_VALUE"""),0.0)</f>
        <v>0</v>
      </c>
      <c r="AD302" s="481">
        <f>IFERROR(__xludf.DUMMYFUNCTION("""COMPUTED_VALUE"""),0.0)</f>
        <v>0</v>
      </c>
      <c r="AE302" s="481">
        <f>IFERROR(__xludf.DUMMYFUNCTION("""COMPUTED_VALUE"""),10.0)</f>
        <v>10</v>
      </c>
      <c r="AF302" s="481"/>
      <c r="AG302" s="481">
        <f>IFERROR(__xludf.DUMMYFUNCTION("""COMPUTED_VALUE"""),20.0)</f>
        <v>20</v>
      </c>
      <c r="AH302" s="481"/>
      <c r="AI302" s="158"/>
      <c r="AJ302" s="158"/>
      <c r="AK302" s="133">
        <f>IFERROR(__xludf.DUMMYFUNCTION("""COMPUTED_VALUE"""),0.0)</f>
        <v>0</v>
      </c>
      <c r="AL302" s="133">
        <f>IFERROR(__xludf.DUMMYFUNCTION("""COMPUTED_VALUE"""),0.0)</f>
        <v>0</v>
      </c>
      <c r="AM302" s="133">
        <f>IFERROR(__xludf.DUMMYFUNCTION("""COMPUTED_VALUE"""),0.0)</f>
        <v>0</v>
      </c>
      <c r="AN302" s="133" t="str">
        <f>IFERROR(__xludf.DUMMYFUNCTION("""COMPUTED_VALUE"""),"0")</f>
        <v>0</v>
      </c>
      <c r="AO302" s="133">
        <f>IFERROR(__xludf.DUMMYFUNCTION("""COMPUTED_VALUE"""),1.0)</f>
        <v>1</v>
      </c>
      <c r="AP302" s="155" t="s">
        <v>3706</v>
      </c>
    </row>
    <row r="303">
      <c r="A303" s="261">
        <f>IFERROR(__xludf.DUMMYFUNCTION("""COMPUTED_VALUE"""),65.0)</f>
        <v>65</v>
      </c>
      <c r="B303" s="261" t="str">
        <f>IFERROR(__xludf.DUMMYFUNCTION("""COMPUTED_VALUE"""),"inas23ise@cmrit.ac.in")</f>
        <v>inas23ise@cmrit.ac.in</v>
      </c>
      <c r="C303" s="172" t="str">
        <f>IFERROR(__xludf.DUMMYFUNCTION("""COMPUTED_VALUE"""),"INDRAJITH A S")</f>
        <v>INDRAJITH A S</v>
      </c>
      <c r="D303" s="155" t="str">
        <f>IFERROR(__xludf.DUMMYFUNCTION("""COMPUTED_VALUE"""),"1CR23IS066")</f>
        <v>1CR23IS066</v>
      </c>
      <c r="E303" s="563">
        <f>IFERROR(__xludf.DUMMYFUNCTION("""COMPUTED_VALUE"""),8.217470754E9)</f>
        <v>8217470754</v>
      </c>
      <c r="F303" s="155" t="str">
        <f>IFERROR(__xludf.DUMMYFUNCTION("""COMPUTED_VALUE"""),"ISE")</f>
        <v>ISE</v>
      </c>
      <c r="G303" s="158"/>
      <c r="H303" s="559">
        <f>IFERROR(__xludf.DUMMYFUNCTION("""COMPUTED_VALUE"""),70.0)</f>
        <v>70</v>
      </c>
      <c r="I303" s="559">
        <f>IFERROR(__xludf.DUMMYFUNCTION("""COMPUTED_VALUE"""),74.0)</f>
        <v>74</v>
      </c>
      <c r="J303" s="559">
        <f>IFERROR(__xludf.DUMMYFUNCTION("""COMPUTED_VALUE"""),70.0)</f>
        <v>70</v>
      </c>
      <c r="K303" s="559">
        <f>IFERROR(__xludf.DUMMYFUNCTION("""COMPUTED_VALUE"""),79.0)</f>
        <v>79</v>
      </c>
      <c r="L303" s="560">
        <f>IFERROR(__xludf.DUMMYFUNCTION("""COMPUTED_VALUE"""),50.0)</f>
        <v>50</v>
      </c>
      <c r="M303" s="561">
        <f>IFERROR(__xludf.DUMMYFUNCTION("""COMPUTED_VALUE"""),67.0)</f>
        <v>67</v>
      </c>
      <c r="N303" s="561">
        <f>IFERROR(__xludf.DUMMYFUNCTION("""COMPUTED_VALUE"""),22.0)</f>
        <v>22</v>
      </c>
      <c r="O303" s="560"/>
      <c r="P303" s="562">
        <f>IFERROR(__xludf.DUMMYFUNCTION("""COMPUTED_VALUE"""),50.0)</f>
        <v>50</v>
      </c>
      <c r="Q303" s="562">
        <f>IFERROR(__xludf.DUMMYFUNCTION("""COMPUTED_VALUE"""),50.0)</f>
        <v>50</v>
      </c>
      <c r="R303" s="562">
        <f>IFERROR(__xludf.DUMMYFUNCTION("""COMPUTED_VALUE"""),82.0)</f>
        <v>82</v>
      </c>
      <c r="S303" s="562"/>
      <c r="T303" s="217">
        <f>IFERROR(__xludf.DUMMYFUNCTION("""COMPUTED_VALUE"""),13.0)</f>
        <v>13</v>
      </c>
      <c r="U303" s="217">
        <f>IFERROR(__xludf.DUMMYFUNCTION("""COMPUTED_VALUE"""),24.0)</f>
        <v>24</v>
      </c>
      <c r="V303" s="217">
        <f>IFERROR(__xludf.DUMMYFUNCTION("""COMPUTED_VALUE"""),48.0)</f>
        <v>48</v>
      </c>
      <c r="W303" s="217">
        <f>IFERROR(__xludf.DUMMYFUNCTION("""COMPUTED_VALUE"""),60.0)</f>
        <v>60</v>
      </c>
      <c r="X303" s="217">
        <f>IFERROR(__xludf.DUMMYFUNCTION("""COMPUTED_VALUE"""),96.0)</f>
        <v>96</v>
      </c>
      <c r="Y303" s="217"/>
      <c r="Z303" s="217"/>
      <c r="AA303" s="481">
        <f>IFERROR(__xludf.DUMMYFUNCTION("""COMPUTED_VALUE"""),60.0)</f>
        <v>60</v>
      </c>
      <c r="AB303" s="481">
        <f>IFERROR(__xludf.DUMMYFUNCTION("""COMPUTED_VALUE"""),79.0)</f>
        <v>79</v>
      </c>
      <c r="AC303" s="481">
        <f>IFERROR(__xludf.DUMMYFUNCTION("""COMPUTED_VALUE"""),100.0)</f>
        <v>100</v>
      </c>
      <c r="AD303" s="481">
        <f>IFERROR(__xludf.DUMMYFUNCTION("""COMPUTED_VALUE"""),92.0)</f>
        <v>92</v>
      </c>
      <c r="AE303" s="481">
        <f>IFERROR(__xludf.DUMMYFUNCTION("""COMPUTED_VALUE"""),80.0)</f>
        <v>80</v>
      </c>
      <c r="AF303" s="481"/>
      <c r="AG303" s="481">
        <f>IFERROR(__xludf.DUMMYFUNCTION("""COMPUTED_VALUE"""),35.0)</f>
        <v>35</v>
      </c>
      <c r="AH303" s="481"/>
      <c r="AI303" s="158"/>
      <c r="AJ303" s="158"/>
      <c r="AK303" s="133">
        <f>IFERROR(__xludf.DUMMYFUNCTION("""COMPUTED_VALUE"""),4.0)</f>
        <v>4</v>
      </c>
      <c r="AL303" s="133">
        <f>IFERROR(__xludf.DUMMYFUNCTION("""COMPUTED_VALUE"""),2.0)</f>
        <v>2</v>
      </c>
      <c r="AM303" s="133">
        <f>IFERROR(__xludf.DUMMYFUNCTION("""COMPUTED_VALUE"""),3.0)</f>
        <v>3</v>
      </c>
      <c r="AN303" s="133" t="str">
        <f>IFERROR(__xludf.DUMMYFUNCTION("""COMPUTED_VALUE"""),"3.5")</f>
        <v>3.5</v>
      </c>
      <c r="AO303" s="133">
        <f>IFERROR(__xludf.DUMMYFUNCTION("""COMPUTED_VALUE"""),3.0)</f>
        <v>3</v>
      </c>
      <c r="AP303" s="155" t="s">
        <v>3706</v>
      </c>
    </row>
    <row r="304">
      <c r="A304" s="261">
        <f>IFERROR(__xludf.DUMMYFUNCTION("""COMPUTED_VALUE"""),66.0)</f>
        <v>66</v>
      </c>
      <c r="B304" s="261" t="str">
        <f>IFERROR(__xludf.DUMMYFUNCTION("""COMPUTED_VALUE"""),"isja23ise@cmrit.ac.in")</f>
        <v>isja23ise@cmrit.ac.in</v>
      </c>
      <c r="C304" s="172" t="str">
        <f>IFERROR(__xludf.DUMMYFUNCTION("""COMPUTED_VALUE"""),"ISHITA JAIN")</f>
        <v>ISHITA JAIN</v>
      </c>
      <c r="D304" s="155" t="str">
        <f>IFERROR(__xludf.DUMMYFUNCTION("""COMPUTED_VALUE"""),"1CR23IS068")</f>
        <v>1CR23IS068</v>
      </c>
      <c r="E304" s="563">
        <f>IFERROR(__xludf.DUMMYFUNCTION("""COMPUTED_VALUE"""),9.611509675E9)</f>
        <v>9611509675</v>
      </c>
      <c r="F304" s="155" t="str">
        <f>IFERROR(__xludf.DUMMYFUNCTION("""COMPUTED_VALUE"""),"ISE")</f>
        <v>ISE</v>
      </c>
      <c r="G304" s="158"/>
      <c r="H304" s="559">
        <f>IFERROR(__xludf.DUMMYFUNCTION("""COMPUTED_VALUE"""),81.0)</f>
        <v>81</v>
      </c>
      <c r="I304" s="559">
        <f>IFERROR(__xludf.DUMMYFUNCTION("""COMPUTED_VALUE"""),86.0)</f>
        <v>86</v>
      </c>
      <c r="J304" s="559">
        <f>IFERROR(__xludf.DUMMYFUNCTION("""COMPUTED_VALUE"""),87.0)</f>
        <v>87</v>
      </c>
      <c r="K304" s="559">
        <f>IFERROR(__xludf.DUMMYFUNCTION("""COMPUTED_VALUE"""),72.0)</f>
        <v>72</v>
      </c>
      <c r="L304" s="560">
        <f>IFERROR(__xludf.DUMMYFUNCTION("""COMPUTED_VALUE"""),50.0)</f>
        <v>50</v>
      </c>
      <c r="M304" s="561">
        <f>IFERROR(__xludf.DUMMYFUNCTION("""COMPUTED_VALUE"""),21.0)</f>
        <v>21</v>
      </c>
      <c r="N304" s="561">
        <f>IFERROR(__xludf.DUMMYFUNCTION("""COMPUTED_VALUE"""),50.0)</f>
        <v>50</v>
      </c>
      <c r="O304" s="560"/>
      <c r="P304" s="562">
        <f>IFERROR(__xludf.DUMMYFUNCTION("""COMPUTED_VALUE"""),50.0)</f>
        <v>50</v>
      </c>
      <c r="Q304" s="562">
        <f>IFERROR(__xludf.DUMMYFUNCTION("""COMPUTED_VALUE"""),84.0)</f>
        <v>84</v>
      </c>
      <c r="R304" s="562">
        <f>IFERROR(__xludf.DUMMYFUNCTION("""COMPUTED_VALUE"""),70.0)</f>
        <v>70</v>
      </c>
      <c r="S304" s="562"/>
      <c r="T304" s="217">
        <f>IFERROR(__xludf.DUMMYFUNCTION("""COMPUTED_VALUE"""),17.0)</f>
        <v>17</v>
      </c>
      <c r="U304" s="217">
        <f>IFERROR(__xludf.DUMMYFUNCTION("""COMPUTED_VALUE"""),25.0)</f>
        <v>25</v>
      </c>
      <c r="V304" s="217">
        <f>IFERROR(__xludf.DUMMYFUNCTION("""COMPUTED_VALUE"""),40.0)</f>
        <v>40</v>
      </c>
      <c r="W304" s="217"/>
      <c r="X304" s="217">
        <f>IFERROR(__xludf.DUMMYFUNCTION("""COMPUTED_VALUE"""),76.0)</f>
        <v>76</v>
      </c>
      <c r="Y304" s="217"/>
      <c r="Z304" s="217"/>
      <c r="AA304" s="481">
        <f>IFERROR(__xludf.DUMMYFUNCTION("""COMPUTED_VALUE"""),15.0)</f>
        <v>15</v>
      </c>
      <c r="AB304" s="481">
        <f>IFERROR(__xludf.DUMMYFUNCTION("""COMPUTED_VALUE"""),54.0)</f>
        <v>54</v>
      </c>
      <c r="AC304" s="481">
        <f>IFERROR(__xludf.DUMMYFUNCTION("""COMPUTED_VALUE"""),33.0)</f>
        <v>33</v>
      </c>
      <c r="AD304" s="481">
        <f>IFERROR(__xludf.DUMMYFUNCTION("""COMPUTED_VALUE"""),60.0)</f>
        <v>60</v>
      </c>
      <c r="AE304" s="481">
        <f>IFERROR(__xludf.DUMMYFUNCTION("""COMPUTED_VALUE"""),70.0)</f>
        <v>70</v>
      </c>
      <c r="AF304" s="481"/>
      <c r="AG304" s="481">
        <f>IFERROR(__xludf.DUMMYFUNCTION("""COMPUTED_VALUE"""),62.0)</f>
        <v>62</v>
      </c>
      <c r="AH304" s="481"/>
      <c r="AI304" s="158"/>
      <c r="AJ304" s="158"/>
      <c r="AK304" s="133">
        <f>IFERROR(__xludf.DUMMYFUNCTION("""COMPUTED_VALUE"""),4.0)</f>
        <v>4</v>
      </c>
      <c r="AL304" s="133">
        <f>IFERROR(__xludf.DUMMYFUNCTION("""COMPUTED_VALUE"""),1.0)</f>
        <v>1</v>
      </c>
      <c r="AM304" s="133">
        <f>IFERROR(__xludf.DUMMYFUNCTION("""COMPUTED_VALUE"""),2.0)</f>
        <v>2</v>
      </c>
      <c r="AN304" s="133" t="str">
        <f>IFERROR(__xludf.DUMMYFUNCTION("""COMPUTED_VALUE"""),"3.5")</f>
        <v>3.5</v>
      </c>
      <c r="AO304" s="133">
        <f>IFERROR(__xludf.DUMMYFUNCTION("""COMPUTED_VALUE"""),3.0)</f>
        <v>3</v>
      </c>
      <c r="AP304" s="155" t="s">
        <v>3706</v>
      </c>
    </row>
    <row r="305">
      <c r="A305" s="261">
        <f>IFERROR(__xludf.DUMMYFUNCTION("""COMPUTED_VALUE"""),67.0)</f>
        <v>67</v>
      </c>
      <c r="B305" s="261" t="str">
        <f>IFERROR(__xludf.DUMMYFUNCTION("""COMPUTED_VALUE"""),"jke23ise@cmrit.ac.in")</f>
        <v>jke23ise@cmrit.ac.in</v>
      </c>
      <c r="C305" s="172" t="str">
        <f>IFERROR(__xludf.DUMMYFUNCTION("""COMPUTED_VALUE"""),"J KESHAV")</f>
        <v>J KESHAV</v>
      </c>
      <c r="D305" s="155" t="str">
        <f>IFERROR(__xludf.DUMMYFUNCTION("""COMPUTED_VALUE"""),"1CR23IS069")</f>
        <v>1CR23IS069</v>
      </c>
      <c r="E305" s="563">
        <f>IFERROR(__xludf.DUMMYFUNCTION("""COMPUTED_VALUE"""),8.971212957E9)</f>
        <v>8971212957</v>
      </c>
      <c r="F305" s="155" t="str">
        <f>IFERROR(__xludf.DUMMYFUNCTION("""COMPUTED_VALUE"""),"ISE")</f>
        <v>ISE</v>
      </c>
      <c r="G305" s="158"/>
      <c r="H305" s="559">
        <f>IFERROR(__xludf.DUMMYFUNCTION("""COMPUTED_VALUE"""),80.0)</f>
        <v>80</v>
      </c>
      <c r="I305" s="559">
        <f>IFERROR(__xludf.DUMMYFUNCTION("""COMPUTED_VALUE"""),84.0)</f>
        <v>84</v>
      </c>
      <c r="J305" s="559">
        <f>IFERROR(__xludf.DUMMYFUNCTION("""COMPUTED_VALUE"""),20.0)</f>
        <v>20</v>
      </c>
      <c r="K305" s="559">
        <f>IFERROR(__xludf.DUMMYFUNCTION("""COMPUTED_VALUE"""),70.0)</f>
        <v>70</v>
      </c>
      <c r="L305" s="560">
        <f>IFERROR(__xludf.DUMMYFUNCTION("""COMPUTED_VALUE"""),50.0)</f>
        <v>50</v>
      </c>
      <c r="M305" s="561">
        <f>IFERROR(__xludf.DUMMYFUNCTION("""COMPUTED_VALUE"""),15.0)</f>
        <v>15</v>
      </c>
      <c r="N305" s="561">
        <f>IFERROR(__xludf.DUMMYFUNCTION("""COMPUTED_VALUE"""),41.0)</f>
        <v>41</v>
      </c>
      <c r="O305" s="560"/>
      <c r="P305" s="562">
        <f>IFERROR(__xludf.DUMMYFUNCTION("""COMPUTED_VALUE"""),50.0)</f>
        <v>50</v>
      </c>
      <c r="Q305" s="562">
        <f>IFERROR(__xludf.DUMMYFUNCTION("""COMPUTED_VALUE"""),66.0)</f>
        <v>66</v>
      </c>
      <c r="R305" s="562">
        <f>IFERROR(__xludf.DUMMYFUNCTION("""COMPUTED_VALUE"""),94.0)</f>
        <v>94</v>
      </c>
      <c r="S305" s="562"/>
      <c r="T305" s="217">
        <f>IFERROR(__xludf.DUMMYFUNCTION("""COMPUTED_VALUE"""),17.0)</f>
        <v>17</v>
      </c>
      <c r="U305" s="217">
        <f>IFERROR(__xludf.DUMMYFUNCTION("""COMPUTED_VALUE"""),20.0)</f>
        <v>20</v>
      </c>
      <c r="V305" s="217"/>
      <c r="W305" s="217">
        <f>IFERROR(__xludf.DUMMYFUNCTION("""COMPUTED_VALUE"""),60.0)</f>
        <v>60</v>
      </c>
      <c r="X305" s="217">
        <f>IFERROR(__xludf.DUMMYFUNCTION("""COMPUTED_VALUE"""),88.0)</f>
        <v>88</v>
      </c>
      <c r="Y305" s="217"/>
      <c r="Z305" s="217"/>
      <c r="AA305" s="481">
        <f>IFERROR(__xludf.DUMMYFUNCTION("""COMPUTED_VALUE"""),22.0)</f>
        <v>22</v>
      </c>
      <c r="AB305" s="481">
        <f>IFERROR(__xludf.DUMMYFUNCTION("""COMPUTED_VALUE"""),83.0)</f>
        <v>83</v>
      </c>
      <c r="AC305" s="481">
        <f>IFERROR(__xludf.DUMMYFUNCTION("""COMPUTED_VALUE"""),70.0)</f>
        <v>70</v>
      </c>
      <c r="AD305" s="481">
        <f>IFERROR(__xludf.DUMMYFUNCTION("""COMPUTED_VALUE"""),100.0)</f>
        <v>100</v>
      </c>
      <c r="AE305" s="481">
        <f>IFERROR(__xludf.DUMMYFUNCTION("""COMPUTED_VALUE"""),14.0)</f>
        <v>14</v>
      </c>
      <c r="AF305" s="481"/>
      <c r="AG305" s="481">
        <f>IFERROR(__xludf.DUMMYFUNCTION("""COMPUTED_VALUE"""),70.0)</f>
        <v>70</v>
      </c>
      <c r="AH305" s="481"/>
      <c r="AI305" s="158"/>
      <c r="AJ305" s="158"/>
      <c r="AK305" s="133">
        <f>IFERROR(__xludf.DUMMYFUNCTION("""COMPUTED_VALUE"""),2.0)</f>
        <v>2</v>
      </c>
      <c r="AL305" s="133">
        <f>IFERROR(__xludf.DUMMYFUNCTION("""COMPUTED_VALUE"""),1.0)</f>
        <v>1</v>
      </c>
      <c r="AM305" s="133">
        <f>IFERROR(__xludf.DUMMYFUNCTION("""COMPUTED_VALUE"""),3.0)</f>
        <v>3</v>
      </c>
      <c r="AN305" s="133" t="str">
        <f>IFERROR(__xludf.DUMMYFUNCTION("""COMPUTED_VALUE"""),"3")</f>
        <v>3</v>
      </c>
      <c r="AO305" s="133">
        <f>IFERROR(__xludf.DUMMYFUNCTION("""COMPUTED_VALUE"""),3.0)</f>
        <v>3</v>
      </c>
      <c r="AP305" s="155" t="s">
        <v>3706</v>
      </c>
    </row>
    <row r="306">
      <c r="A306" s="261">
        <f>IFERROR(__xludf.DUMMYFUNCTION("""COMPUTED_VALUE"""),68.0)</f>
        <v>68</v>
      </c>
      <c r="B306" s="261" t="str">
        <f>IFERROR(__xludf.DUMMYFUNCTION("""COMPUTED_VALUE"""),"jash23ise@cmrit.ac.in")</f>
        <v>jash23ise@cmrit.ac.in</v>
      </c>
      <c r="C306" s="172" t="str">
        <f>IFERROR(__xludf.DUMMYFUNCTION("""COMPUTED_VALUE"""),"jai shruthi n")</f>
        <v>jai shruthi n</v>
      </c>
      <c r="D306" s="155" t="str">
        <f>IFERROR(__xludf.DUMMYFUNCTION("""COMPUTED_VALUE"""),"1CR23IS070")</f>
        <v>1CR23IS070</v>
      </c>
      <c r="E306" s="563"/>
      <c r="F306" s="155" t="str">
        <f>IFERROR(__xludf.DUMMYFUNCTION("""COMPUTED_VALUE"""),"ISE")</f>
        <v>ISE</v>
      </c>
      <c r="G306" s="158"/>
      <c r="H306" s="559">
        <f>IFERROR(__xludf.DUMMYFUNCTION("""COMPUTED_VALUE"""),78.0)</f>
        <v>78</v>
      </c>
      <c r="I306" s="559">
        <f>IFERROR(__xludf.DUMMYFUNCTION("""COMPUTED_VALUE"""),86.0)</f>
        <v>86</v>
      </c>
      <c r="J306" s="559">
        <f>IFERROR(__xludf.DUMMYFUNCTION("""COMPUTED_VALUE"""),70.0)</f>
        <v>70</v>
      </c>
      <c r="K306" s="559">
        <f>IFERROR(__xludf.DUMMYFUNCTION("""COMPUTED_VALUE"""),70.0)</f>
        <v>70</v>
      </c>
      <c r="L306" s="560">
        <f>IFERROR(__xludf.DUMMYFUNCTION("""COMPUTED_VALUE"""),50.0)</f>
        <v>50</v>
      </c>
      <c r="M306" s="561">
        <f>IFERROR(__xludf.DUMMYFUNCTION("""COMPUTED_VALUE"""),29.0)</f>
        <v>29</v>
      </c>
      <c r="N306" s="561">
        <f>IFERROR(__xludf.DUMMYFUNCTION("""COMPUTED_VALUE"""),50.0)</f>
        <v>50</v>
      </c>
      <c r="O306" s="560"/>
      <c r="P306" s="562">
        <f>IFERROR(__xludf.DUMMYFUNCTION("""COMPUTED_VALUE"""),79.0)</f>
        <v>79</v>
      </c>
      <c r="Q306" s="562">
        <f>IFERROR(__xludf.DUMMYFUNCTION("""COMPUTED_VALUE"""),62.0)</f>
        <v>62</v>
      </c>
      <c r="R306" s="562">
        <f>IFERROR(__xludf.DUMMYFUNCTION("""COMPUTED_VALUE"""),76.0)</f>
        <v>76</v>
      </c>
      <c r="S306" s="562"/>
      <c r="T306" s="217">
        <f>IFERROR(__xludf.DUMMYFUNCTION("""COMPUTED_VALUE"""),12.0)</f>
        <v>12</v>
      </c>
      <c r="U306" s="217">
        <f>IFERROR(__xludf.DUMMYFUNCTION("""COMPUTED_VALUE"""),23.0)</f>
        <v>23</v>
      </c>
      <c r="V306" s="217">
        <f>IFERROR(__xludf.DUMMYFUNCTION("""COMPUTED_VALUE"""),46.0)</f>
        <v>46</v>
      </c>
      <c r="W306" s="217">
        <f>IFERROR(__xludf.DUMMYFUNCTION("""COMPUTED_VALUE"""),44.0)</f>
        <v>44</v>
      </c>
      <c r="X306" s="217">
        <f>IFERROR(__xludf.DUMMYFUNCTION("""COMPUTED_VALUE"""),80.0)</f>
        <v>80</v>
      </c>
      <c r="Y306" s="217"/>
      <c r="Z306" s="217"/>
      <c r="AA306" s="481">
        <f>IFERROR(__xludf.DUMMYFUNCTION("""COMPUTED_VALUE"""),0.0)</f>
        <v>0</v>
      </c>
      <c r="AB306" s="481">
        <f>IFERROR(__xludf.DUMMYFUNCTION("""COMPUTED_VALUE"""),87.0)</f>
        <v>87</v>
      </c>
      <c r="AC306" s="481">
        <f>IFERROR(__xludf.DUMMYFUNCTION("""COMPUTED_VALUE"""),42.0)</f>
        <v>42</v>
      </c>
      <c r="AD306" s="481">
        <f>IFERROR(__xludf.DUMMYFUNCTION("""COMPUTED_VALUE"""),100.0)</f>
        <v>100</v>
      </c>
      <c r="AE306" s="481">
        <f>IFERROR(__xludf.DUMMYFUNCTION("""COMPUTED_VALUE"""),70.0)</f>
        <v>70</v>
      </c>
      <c r="AF306" s="481"/>
      <c r="AG306" s="481">
        <f>IFERROR(__xludf.DUMMYFUNCTION("""COMPUTED_VALUE"""),70.0)</f>
        <v>70</v>
      </c>
      <c r="AH306" s="481"/>
      <c r="AI306" s="158"/>
      <c r="AJ306" s="158"/>
      <c r="AK306" s="133">
        <f>IFERROR(__xludf.DUMMYFUNCTION("""COMPUTED_VALUE"""),4.0)</f>
        <v>4</v>
      </c>
      <c r="AL306" s="133">
        <f>IFERROR(__xludf.DUMMYFUNCTION("""COMPUTED_VALUE"""),1.0)</f>
        <v>1</v>
      </c>
      <c r="AM306" s="133">
        <f>IFERROR(__xludf.DUMMYFUNCTION("""COMPUTED_VALUE"""),2.0)</f>
        <v>2</v>
      </c>
      <c r="AN306" s="133" t="str">
        <f>IFERROR(__xludf.DUMMYFUNCTION("""COMPUTED_VALUE"""),"3.5")</f>
        <v>3.5</v>
      </c>
      <c r="AO306" s="133">
        <f>IFERROR(__xludf.DUMMYFUNCTION("""COMPUTED_VALUE"""),3.0)</f>
        <v>3</v>
      </c>
      <c r="AP306" s="155" t="s">
        <v>3706</v>
      </c>
    </row>
    <row r="307">
      <c r="A307" s="261">
        <f>IFERROR(__xludf.DUMMYFUNCTION("""COMPUTED_VALUE"""),69.0)</f>
        <v>69</v>
      </c>
      <c r="B307" s="261" t="str">
        <f>IFERROR(__xludf.DUMMYFUNCTION("""COMPUTED_VALUE"""),"jasi23ise@cmrit.ac.in")</f>
        <v>jasi23ise@cmrit.ac.in</v>
      </c>
      <c r="C307" s="172" t="str">
        <f>IFERROR(__xludf.DUMMYFUNCTION("""COMPUTED_VALUE"""),"JAIDEEP SINGH")</f>
        <v>JAIDEEP SINGH</v>
      </c>
      <c r="D307" s="155" t="str">
        <f>IFERROR(__xludf.DUMMYFUNCTION("""COMPUTED_VALUE"""),"1CR23IS071")</f>
        <v>1CR23IS071</v>
      </c>
      <c r="E307" s="563">
        <f>IFERROR(__xludf.DUMMYFUNCTION("""COMPUTED_VALUE"""),9.103213811E9)</f>
        <v>9103213811</v>
      </c>
      <c r="F307" s="155" t="str">
        <f>IFERROR(__xludf.DUMMYFUNCTION("""COMPUTED_VALUE"""),"ISE")</f>
        <v>ISE</v>
      </c>
      <c r="G307" s="158"/>
      <c r="H307" s="559">
        <f>IFERROR(__xludf.DUMMYFUNCTION("""COMPUTED_VALUE"""),74.0)</f>
        <v>74</v>
      </c>
      <c r="I307" s="559">
        <f>IFERROR(__xludf.DUMMYFUNCTION("""COMPUTED_VALUE"""),79.0)</f>
        <v>79</v>
      </c>
      <c r="J307" s="559">
        <f>IFERROR(__xludf.DUMMYFUNCTION("""COMPUTED_VALUE"""),26.0)</f>
        <v>26</v>
      </c>
      <c r="K307" s="559">
        <f>IFERROR(__xludf.DUMMYFUNCTION("""COMPUTED_VALUE"""),70.0)</f>
        <v>70</v>
      </c>
      <c r="L307" s="560">
        <f>IFERROR(__xludf.DUMMYFUNCTION("""COMPUTED_VALUE"""),50.0)</f>
        <v>50</v>
      </c>
      <c r="M307" s="561">
        <f>IFERROR(__xludf.DUMMYFUNCTION("""COMPUTED_VALUE"""),0.0)</f>
        <v>0</v>
      </c>
      <c r="N307" s="561">
        <f>IFERROR(__xludf.DUMMYFUNCTION("""COMPUTED_VALUE"""),9.0)</f>
        <v>9</v>
      </c>
      <c r="O307" s="560"/>
      <c r="P307" s="562">
        <f>IFERROR(__xludf.DUMMYFUNCTION("""COMPUTED_VALUE"""),50.0)</f>
        <v>50</v>
      </c>
      <c r="Q307" s="562">
        <f>IFERROR(__xludf.DUMMYFUNCTION("""COMPUTED_VALUE"""),0.0)</f>
        <v>0</v>
      </c>
      <c r="R307" s="562">
        <f>IFERROR(__xludf.DUMMYFUNCTION("""COMPUTED_VALUE"""),0.0)</f>
        <v>0</v>
      </c>
      <c r="S307" s="562"/>
      <c r="T307" s="217">
        <f>IFERROR(__xludf.DUMMYFUNCTION("""COMPUTED_VALUE"""),11.0)</f>
        <v>11</v>
      </c>
      <c r="U307" s="217">
        <f>IFERROR(__xludf.DUMMYFUNCTION("""COMPUTED_VALUE"""),24.0)</f>
        <v>24</v>
      </c>
      <c r="V307" s="217"/>
      <c r="W307" s="217">
        <f>IFERROR(__xludf.DUMMYFUNCTION("""COMPUTED_VALUE"""),68.0)</f>
        <v>68</v>
      </c>
      <c r="X307" s="217">
        <f>IFERROR(__xludf.DUMMYFUNCTION("""COMPUTED_VALUE"""),80.0)</f>
        <v>80</v>
      </c>
      <c r="Y307" s="217"/>
      <c r="Z307" s="217"/>
      <c r="AA307" s="481">
        <f>IFERROR(__xludf.DUMMYFUNCTION("""COMPUTED_VALUE"""),0.0)</f>
        <v>0</v>
      </c>
      <c r="AB307" s="481">
        <f>IFERROR(__xludf.DUMMYFUNCTION("""COMPUTED_VALUE"""),52.0)</f>
        <v>52</v>
      </c>
      <c r="AC307" s="481">
        <f>IFERROR(__xludf.DUMMYFUNCTION("""COMPUTED_VALUE"""),17.0)</f>
        <v>17</v>
      </c>
      <c r="AD307" s="481">
        <f>IFERROR(__xludf.DUMMYFUNCTION("""COMPUTED_VALUE"""),100.0)</f>
        <v>100</v>
      </c>
      <c r="AE307" s="481">
        <f>IFERROR(__xludf.DUMMYFUNCTION("""COMPUTED_VALUE"""),17.0)</f>
        <v>17</v>
      </c>
      <c r="AF307" s="481"/>
      <c r="AG307" s="481">
        <f>IFERROR(__xludf.DUMMYFUNCTION("""COMPUTED_VALUE"""),79.0)</f>
        <v>79</v>
      </c>
      <c r="AH307" s="481"/>
      <c r="AI307" s="158"/>
      <c r="AJ307" s="158"/>
      <c r="AK307" s="133">
        <f>IFERROR(__xludf.DUMMYFUNCTION("""COMPUTED_VALUE"""),2.0)</f>
        <v>2</v>
      </c>
      <c r="AL307" s="133">
        <f>IFERROR(__xludf.DUMMYFUNCTION("""COMPUTED_VALUE"""),1.0)</f>
        <v>1</v>
      </c>
      <c r="AM307" s="133">
        <f>IFERROR(__xludf.DUMMYFUNCTION("""COMPUTED_VALUE"""),3.0)</f>
        <v>3</v>
      </c>
      <c r="AN307" s="133" t="str">
        <f>IFERROR(__xludf.DUMMYFUNCTION("""COMPUTED_VALUE"""),"3")</f>
        <v>3</v>
      </c>
      <c r="AO307" s="133">
        <f>IFERROR(__xludf.DUMMYFUNCTION("""COMPUTED_VALUE"""),1.0)</f>
        <v>1</v>
      </c>
      <c r="AP307" s="155" t="s">
        <v>3706</v>
      </c>
    </row>
    <row r="308">
      <c r="A308" s="261">
        <f>IFERROR(__xludf.DUMMYFUNCTION("""COMPUTED_VALUE"""),70.0)</f>
        <v>70</v>
      </c>
      <c r="B308" s="261" t="str">
        <f>IFERROR(__xludf.DUMMYFUNCTION("""COMPUTED_VALUE"""),"jisa23ise@cmrit.ac.in")</f>
        <v>jisa23ise@cmrit.ac.in</v>
      </c>
      <c r="C308" s="172" t="str">
        <f>IFERROR(__xludf.DUMMYFUNCTION("""COMPUTED_VALUE"""),"JITIKA SAHA")</f>
        <v>JITIKA SAHA</v>
      </c>
      <c r="D308" s="155" t="str">
        <f>IFERROR(__xludf.DUMMYFUNCTION("""COMPUTED_VALUE"""),"1CR23IS072")</f>
        <v>1CR23IS072</v>
      </c>
      <c r="E308" s="563">
        <f>IFERROR(__xludf.DUMMYFUNCTION("""COMPUTED_VALUE"""),7.209363888E9)</f>
        <v>7209363888</v>
      </c>
      <c r="F308" s="155" t="str">
        <f>IFERROR(__xludf.DUMMYFUNCTION("""COMPUTED_VALUE"""),"ISE")</f>
        <v>ISE</v>
      </c>
      <c r="G308" s="158"/>
      <c r="H308" s="559">
        <f>IFERROR(__xludf.DUMMYFUNCTION("""COMPUTED_VALUE"""),79.0)</f>
        <v>79</v>
      </c>
      <c r="I308" s="559">
        <f>IFERROR(__xludf.DUMMYFUNCTION("""COMPUTED_VALUE"""),77.0)</f>
        <v>77</v>
      </c>
      <c r="J308" s="559">
        <f>IFERROR(__xludf.DUMMYFUNCTION("""COMPUTED_VALUE"""),70.0)</f>
        <v>70</v>
      </c>
      <c r="K308" s="559">
        <f>IFERROR(__xludf.DUMMYFUNCTION("""COMPUTED_VALUE"""),73.0)</f>
        <v>73</v>
      </c>
      <c r="L308" s="560">
        <f>IFERROR(__xludf.DUMMYFUNCTION("""COMPUTED_VALUE"""),50.0)</f>
        <v>50</v>
      </c>
      <c r="M308" s="561">
        <f>IFERROR(__xludf.DUMMYFUNCTION("""COMPUTED_VALUE"""),59.0)</f>
        <v>59</v>
      </c>
      <c r="N308" s="561">
        <f>IFERROR(__xludf.DUMMYFUNCTION("""COMPUTED_VALUE"""),50.0)</f>
        <v>50</v>
      </c>
      <c r="O308" s="560"/>
      <c r="P308" s="562">
        <f>IFERROR(__xludf.DUMMYFUNCTION("""COMPUTED_VALUE"""),50.0)</f>
        <v>50</v>
      </c>
      <c r="Q308" s="562">
        <f>IFERROR(__xludf.DUMMYFUNCTION("""COMPUTED_VALUE"""),62.0)</f>
        <v>62</v>
      </c>
      <c r="R308" s="562">
        <f>IFERROR(__xludf.DUMMYFUNCTION("""COMPUTED_VALUE"""),88.0)</f>
        <v>88</v>
      </c>
      <c r="S308" s="562"/>
      <c r="T308" s="217">
        <f>IFERROR(__xludf.DUMMYFUNCTION("""COMPUTED_VALUE"""),13.0)</f>
        <v>13</v>
      </c>
      <c r="U308" s="217">
        <f>IFERROR(__xludf.DUMMYFUNCTION("""COMPUTED_VALUE"""),19.0)</f>
        <v>19</v>
      </c>
      <c r="V308" s="217">
        <f>IFERROR(__xludf.DUMMYFUNCTION("""COMPUTED_VALUE"""),44.0)</f>
        <v>44</v>
      </c>
      <c r="W308" s="217"/>
      <c r="X308" s="217">
        <f>IFERROR(__xludf.DUMMYFUNCTION("""COMPUTED_VALUE"""),80.0)</f>
        <v>80</v>
      </c>
      <c r="Y308" s="217"/>
      <c r="Z308" s="217"/>
      <c r="AA308" s="481">
        <f>IFERROR(__xludf.DUMMYFUNCTION("""COMPUTED_VALUE"""),90.0)</f>
        <v>90</v>
      </c>
      <c r="AB308" s="481">
        <f>IFERROR(__xludf.DUMMYFUNCTION("""COMPUTED_VALUE"""),70.0)</f>
        <v>70</v>
      </c>
      <c r="AC308" s="481">
        <f>IFERROR(__xludf.DUMMYFUNCTION("""COMPUTED_VALUE"""),65.0)</f>
        <v>65</v>
      </c>
      <c r="AD308" s="481">
        <f>IFERROR(__xludf.DUMMYFUNCTION("""COMPUTED_VALUE"""),75.0)</f>
        <v>75</v>
      </c>
      <c r="AE308" s="481">
        <f>IFERROR(__xludf.DUMMYFUNCTION("""COMPUTED_VALUE"""),70.0)</f>
        <v>70</v>
      </c>
      <c r="AF308" s="481"/>
      <c r="AG308" s="481">
        <f>IFERROR(__xludf.DUMMYFUNCTION("""COMPUTED_VALUE"""),78.0)</f>
        <v>78</v>
      </c>
      <c r="AH308" s="481"/>
      <c r="AI308" s="158"/>
      <c r="AJ308" s="158"/>
      <c r="AK308" s="133">
        <f>IFERROR(__xludf.DUMMYFUNCTION("""COMPUTED_VALUE"""),4.0)</f>
        <v>4</v>
      </c>
      <c r="AL308" s="133">
        <f>IFERROR(__xludf.DUMMYFUNCTION("""COMPUTED_VALUE"""),3.0)</f>
        <v>3</v>
      </c>
      <c r="AM308" s="133">
        <f>IFERROR(__xludf.DUMMYFUNCTION("""COMPUTED_VALUE"""),2.0)</f>
        <v>2</v>
      </c>
      <c r="AN308" s="133" t="str">
        <f>IFERROR(__xludf.DUMMYFUNCTION("""COMPUTED_VALUE"""),"3.5")</f>
        <v>3.5</v>
      </c>
      <c r="AO308" s="133">
        <f>IFERROR(__xludf.DUMMYFUNCTION("""COMPUTED_VALUE"""),3.0)</f>
        <v>3</v>
      </c>
      <c r="AP308" s="155" t="s">
        <v>3706</v>
      </c>
    </row>
    <row r="309">
      <c r="A309" s="261">
        <f>IFERROR(__xludf.DUMMYFUNCTION("""COMPUTED_VALUE"""),71.0)</f>
        <v>71</v>
      </c>
      <c r="B309" s="261" t="str">
        <f>IFERROR(__xludf.DUMMYFUNCTION("""COMPUTED_VALUE"""),"ksa23ise@cmrit.ac.in")</f>
        <v>ksa23ise@cmrit.ac.in</v>
      </c>
      <c r="C309" s="172" t="str">
        <f>IFERROR(__xludf.DUMMYFUNCTION("""COMPUTED_VALUE"""),"K SAMARTH GOUDA")</f>
        <v>K SAMARTH GOUDA</v>
      </c>
      <c r="D309" s="155" t="str">
        <f>IFERROR(__xludf.DUMMYFUNCTION("""COMPUTED_VALUE"""),"1CR23IS073")</f>
        <v>1CR23IS073</v>
      </c>
      <c r="E309" s="563">
        <f>IFERROR(__xludf.DUMMYFUNCTION("""COMPUTED_VALUE"""),7.204423872E9)</f>
        <v>7204423872</v>
      </c>
      <c r="F309" s="155" t="str">
        <f>IFERROR(__xludf.DUMMYFUNCTION("""COMPUTED_VALUE"""),"ISE")</f>
        <v>ISE</v>
      </c>
      <c r="G309" s="158"/>
      <c r="H309" s="559">
        <f>IFERROR(__xludf.DUMMYFUNCTION("""COMPUTED_VALUE"""),76.0)</f>
        <v>76</v>
      </c>
      <c r="I309" s="559">
        <f>IFERROR(__xludf.DUMMYFUNCTION("""COMPUTED_VALUE"""),87.0)</f>
        <v>87</v>
      </c>
      <c r="J309" s="559">
        <f>IFERROR(__xludf.DUMMYFUNCTION("""COMPUTED_VALUE"""),79.0)</f>
        <v>79</v>
      </c>
      <c r="K309" s="559">
        <f>IFERROR(__xludf.DUMMYFUNCTION("""COMPUTED_VALUE"""),76.0)</f>
        <v>76</v>
      </c>
      <c r="L309" s="560">
        <f>IFERROR(__xludf.DUMMYFUNCTION("""COMPUTED_VALUE"""),50.0)</f>
        <v>50</v>
      </c>
      <c r="M309" s="561">
        <f>IFERROR(__xludf.DUMMYFUNCTION("""COMPUTED_VALUE"""),64.0)</f>
        <v>64</v>
      </c>
      <c r="N309" s="561">
        <f>IFERROR(__xludf.DUMMYFUNCTION("""COMPUTED_VALUE"""),50.0)</f>
        <v>50</v>
      </c>
      <c r="O309" s="560"/>
      <c r="P309" s="562">
        <f>IFERROR(__xludf.DUMMYFUNCTION("""COMPUTED_VALUE"""),77.0)</f>
        <v>77</v>
      </c>
      <c r="Q309" s="562">
        <f>IFERROR(__xludf.DUMMYFUNCTION("""COMPUTED_VALUE"""),62.0)</f>
        <v>62</v>
      </c>
      <c r="R309" s="562">
        <f>IFERROR(__xludf.DUMMYFUNCTION("""COMPUTED_VALUE"""),88.0)</f>
        <v>88</v>
      </c>
      <c r="S309" s="562"/>
      <c r="T309" s="217">
        <f>IFERROR(__xludf.DUMMYFUNCTION("""COMPUTED_VALUE"""),12.0)</f>
        <v>12</v>
      </c>
      <c r="U309" s="217">
        <f>IFERROR(__xludf.DUMMYFUNCTION("""COMPUTED_VALUE"""),24.0)</f>
        <v>24</v>
      </c>
      <c r="V309" s="217">
        <f>IFERROR(__xludf.DUMMYFUNCTION("""COMPUTED_VALUE"""),42.0)</f>
        <v>42</v>
      </c>
      <c r="W309" s="217"/>
      <c r="X309" s="217">
        <f>IFERROR(__xludf.DUMMYFUNCTION("""COMPUTED_VALUE"""),80.0)</f>
        <v>80</v>
      </c>
      <c r="Y309" s="217"/>
      <c r="Z309" s="217"/>
      <c r="AA309" s="481">
        <f>IFERROR(__xludf.DUMMYFUNCTION("""COMPUTED_VALUE"""),58.0)</f>
        <v>58</v>
      </c>
      <c r="AB309" s="481">
        <f>IFERROR(__xludf.DUMMYFUNCTION("""COMPUTED_VALUE"""),100.0)</f>
        <v>100</v>
      </c>
      <c r="AC309" s="481">
        <f>IFERROR(__xludf.DUMMYFUNCTION("""COMPUTED_VALUE"""),76.0)</f>
        <v>76</v>
      </c>
      <c r="AD309" s="481">
        <f>IFERROR(__xludf.DUMMYFUNCTION("""COMPUTED_VALUE"""),75.0)</f>
        <v>75</v>
      </c>
      <c r="AE309" s="481">
        <f>IFERROR(__xludf.DUMMYFUNCTION("""COMPUTED_VALUE"""),70.0)</f>
        <v>70</v>
      </c>
      <c r="AF309" s="481"/>
      <c r="AG309" s="481">
        <f>IFERROR(__xludf.DUMMYFUNCTION("""COMPUTED_VALUE"""),78.0)</f>
        <v>78</v>
      </c>
      <c r="AH309" s="481"/>
      <c r="AI309" s="158"/>
      <c r="AJ309" s="158"/>
      <c r="AK309" s="133">
        <f>IFERROR(__xludf.DUMMYFUNCTION("""COMPUTED_VALUE"""),4.0)</f>
        <v>4</v>
      </c>
      <c r="AL309" s="133">
        <f>IFERROR(__xludf.DUMMYFUNCTION("""COMPUTED_VALUE"""),3.0)</f>
        <v>3</v>
      </c>
      <c r="AM309" s="133">
        <f>IFERROR(__xludf.DUMMYFUNCTION("""COMPUTED_VALUE"""),2.0)</f>
        <v>2</v>
      </c>
      <c r="AN309" s="133" t="str">
        <f>IFERROR(__xludf.DUMMYFUNCTION("""COMPUTED_VALUE"""),"3.5")</f>
        <v>3.5</v>
      </c>
      <c r="AO309" s="133">
        <f>IFERROR(__xludf.DUMMYFUNCTION("""COMPUTED_VALUE"""),3.0)</f>
        <v>3</v>
      </c>
      <c r="AP309" s="155" t="s">
        <v>3706</v>
      </c>
    </row>
    <row r="310">
      <c r="A310" s="261">
        <f>IFERROR(__xludf.DUMMYFUNCTION("""COMPUTED_VALUE"""),72.0)</f>
        <v>72</v>
      </c>
      <c r="B310" s="261" t="str">
        <f>IFERROR(__xludf.DUMMYFUNCTION("""COMPUTED_VALUE"""),"kara23ise@cmrit.ac.in")</f>
        <v>kara23ise@cmrit.ac.in</v>
      </c>
      <c r="C310" s="172" t="str">
        <f>IFERROR(__xludf.DUMMYFUNCTION("""COMPUTED_VALUE"""),"KAMPARA RAMA KRISHNA RITHVIK")</f>
        <v>KAMPARA RAMA KRISHNA RITHVIK</v>
      </c>
      <c r="D310" s="155" t="str">
        <f>IFERROR(__xludf.DUMMYFUNCTION("""COMPUTED_VALUE"""),"1CR23IS074")</f>
        <v>1CR23IS074</v>
      </c>
      <c r="E310" s="563">
        <f>IFERROR(__xludf.DUMMYFUNCTION("""COMPUTED_VALUE"""),9.182154389E9)</f>
        <v>9182154389</v>
      </c>
      <c r="F310" s="155" t="str">
        <f>IFERROR(__xludf.DUMMYFUNCTION("""COMPUTED_VALUE"""),"ISE")</f>
        <v>ISE</v>
      </c>
      <c r="G310" s="158"/>
      <c r="H310" s="559">
        <f>IFERROR(__xludf.DUMMYFUNCTION("""COMPUTED_VALUE"""),82.0)</f>
        <v>82</v>
      </c>
      <c r="I310" s="559">
        <f>IFERROR(__xludf.DUMMYFUNCTION("""COMPUTED_VALUE"""),85.0)</f>
        <v>85</v>
      </c>
      <c r="J310" s="559">
        <f>IFERROR(__xludf.DUMMYFUNCTION("""COMPUTED_VALUE"""),5.0)</f>
        <v>5</v>
      </c>
      <c r="K310" s="559">
        <f>IFERROR(__xludf.DUMMYFUNCTION("""COMPUTED_VALUE"""),4.0)</f>
        <v>4</v>
      </c>
      <c r="L310" s="560">
        <f>IFERROR(__xludf.DUMMYFUNCTION("""COMPUTED_VALUE"""),27.0)</f>
        <v>27</v>
      </c>
      <c r="M310" s="561">
        <f>IFERROR(__xludf.DUMMYFUNCTION("""COMPUTED_VALUE"""),0.0)</f>
        <v>0</v>
      </c>
      <c r="N310" s="561">
        <f>IFERROR(__xludf.DUMMYFUNCTION("""COMPUTED_VALUE"""),0.0)</f>
        <v>0</v>
      </c>
      <c r="O310" s="560"/>
      <c r="P310" s="562">
        <f>IFERROR(__xludf.DUMMYFUNCTION("""COMPUTED_VALUE"""),79.0)</f>
        <v>79</v>
      </c>
      <c r="Q310" s="562">
        <f>IFERROR(__xludf.DUMMYFUNCTION("""COMPUTED_VALUE"""),0.0)</f>
        <v>0</v>
      </c>
      <c r="R310" s="562">
        <f>IFERROR(__xludf.DUMMYFUNCTION("""COMPUTED_VALUE"""),0.0)</f>
        <v>0</v>
      </c>
      <c r="S310" s="562"/>
      <c r="T310" s="217">
        <f>IFERROR(__xludf.DUMMYFUNCTION("""COMPUTED_VALUE"""),17.0)</f>
        <v>17</v>
      </c>
      <c r="U310" s="217">
        <f>IFERROR(__xludf.DUMMYFUNCTION("""COMPUTED_VALUE"""),23.0)</f>
        <v>23</v>
      </c>
      <c r="V310" s="217"/>
      <c r="W310" s="217"/>
      <c r="X310" s="217">
        <f>IFERROR(__xludf.DUMMYFUNCTION("""COMPUTED_VALUE"""),0.0)</f>
        <v>0</v>
      </c>
      <c r="Y310" s="217"/>
      <c r="Z310" s="217"/>
      <c r="AA310" s="481">
        <f>IFERROR(__xludf.DUMMYFUNCTION("""COMPUTED_VALUE"""),88.0)</f>
        <v>88</v>
      </c>
      <c r="AB310" s="481">
        <f>IFERROR(__xludf.DUMMYFUNCTION("""COMPUTED_VALUE"""),75.0)</f>
        <v>75</v>
      </c>
      <c r="AC310" s="481">
        <f>IFERROR(__xludf.DUMMYFUNCTION("""COMPUTED_VALUE"""),60.0)</f>
        <v>60</v>
      </c>
      <c r="AD310" s="481">
        <f>IFERROR(__xludf.DUMMYFUNCTION("""COMPUTED_VALUE"""),0.0)</f>
        <v>0</v>
      </c>
      <c r="AE310" s="481">
        <f>IFERROR(__xludf.DUMMYFUNCTION("""COMPUTED_VALUE"""),10.0)</f>
        <v>10</v>
      </c>
      <c r="AF310" s="481"/>
      <c r="AG310" s="481">
        <f>IFERROR(__xludf.DUMMYFUNCTION("""COMPUTED_VALUE"""),10.0)</f>
        <v>10</v>
      </c>
      <c r="AH310" s="481"/>
      <c r="AI310" s="158"/>
      <c r="AJ310" s="158"/>
      <c r="AK310" s="133">
        <f>IFERROR(__xludf.DUMMYFUNCTION("""COMPUTED_VALUE"""),2.0)</f>
        <v>2</v>
      </c>
      <c r="AL310" s="133">
        <f>IFERROR(__xludf.DUMMYFUNCTION("""COMPUTED_VALUE"""),0.0)</f>
        <v>0</v>
      </c>
      <c r="AM310" s="133">
        <f>IFERROR(__xludf.DUMMYFUNCTION("""COMPUTED_VALUE"""),2.0)</f>
        <v>2</v>
      </c>
      <c r="AN310" s="133" t="str">
        <f>IFERROR(__xludf.DUMMYFUNCTION("""COMPUTED_VALUE"""),"3")</f>
        <v>3</v>
      </c>
      <c r="AO310" s="133">
        <f>IFERROR(__xludf.DUMMYFUNCTION("""COMPUTED_VALUE"""),1.0)</f>
        <v>1</v>
      </c>
      <c r="AP310" s="155" t="s">
        <v>3706</v>
      </c>
    </row>
    <row r="311">
      <c r="A311" s="261">
        <f>IFERROR(__xludf.DUMMYFUNCTION("""COMPUTED_VALUE"""),73.0)</f>
        <v>73</v>
      </c>
      <c r="B311" s="261" t="str">
        <f>IFERROR(__xludf.DUMMYFUNCTION("""COMPUTED_VALUE"""),"kaba23ise@cmrit.ac.in")</f>
        <v>kaba23ise@cmrit.ac.in</v>
      </c>
      <c r="C311" s="172" t="str">
        <f>IFERROR(__xludf.DUMMYFUNCTION("""COMPUTED_VALUE"""),"KANAHIYA BARAI")</f>
        <v>KANAHIYA BARAI</v>
      </c>
      <c r="D311" s="155" t="str">
        <f>IFERROR(__xludf.DUMMYFUNCTION("""COMPUTED_VALUE"""),"1CR23IS075")</f>
        <v>1CR23IS075</v>
      </c>
      <c r="E311" s="563">
        <f>IFERROR(__xludf.DUMMYFUNCTION("""COMPUTED_VALUE"""),7.460894558E9)</f>
        <v>7460894558</v>
      </c>
      <c r="F311" s="155" t="str">
        <f>IFERROR(__xludf.DUMMYFUNCTION("""COMPUTED_VALUE"""),"ISE")</f>
        <v>ISE</v>
      </c>
      <c r="G311" s="158"/>
      <c r="H311" s="559">
        <f>IFERROR(__xludf.DUMMYFUNCTION("""COMPUTED_VALUE"""),66.0)</f>
        <v>66</v>
      </c>
      <c r="I311" s="559">
        <f>IFERROR(__xludf.DUMMYFUNCTION("""COMPUTED_VALUE"""),69.0)</f>
        <v>69</v>
      </c>
      <c r="J311" s="559">
        <f>IFERROR(__xludf.DUMMYFUNCTION("""COMPUTED_VALUE"""),70.0)</f>
        <v>70</v>
      </c>
      <c r="K311" s="559">
        <f>IFERROR(__xludf.DUMMYFUNCTION("""COMPUTED_VALUE"""),70.0)</f>
        <v>70</v>
      </c>
      <c r="L311" s="560">
        <f>IFERROR(__xludf.DUMMYFUNCTION("""COMPUTED_VALUE"""),50.0)</f>
        <v>50</v>
      </c>
      <c r="M311" s="561">
        <f>IFERROR(__xludf.DUMMYFUNCTION("""COMPUTED_VALUE"""),21.0)</f>
        <v>21</v>
      </c>
      <c r="N311" s="561">
        <f>IFERROR(__xludf.DUMMYFUNCTION("""COMPUTED_VALUE"""),50.0)</f>
        <v>50</v>
      </c>
      <c r="O311" s="560"/>
      <c r="P311" s="562">
        <f>IFERROR(__xludf.DUMMYFUNCTION("""COMPUTED_VALUE"""),0.0)</f>
        <v>0</v>
      </c>
      <c r="Q311" s="562">
        <f>IFERROR(__xludf.DUMMYFUNCTION("""COMPUTED_VALUE"""),0.0)</f>
        <v>0</v>
      </c>
      <c r="R311" s="562">
        <f>IFERROR(__xludf.DUMMYFUNCTION("""COMPUTED_VALUE"""),87.0)</f>
        <v>87</v>
      </c>
      <c r="S311" s="562"/>
      <c r="T311" s="217">
        <f>IFERROR(__xludf.DUMMYFUNCTION("""COMPUTED_VALUE"""),18.0)</f>
        <v>18</v>
      </c>
      <c r="U311" s="217">
        <f>IFERROR(__xludf.DUMMYFUNCTION("""COMPUTED_VALUE"""),19.0)</f>
        <v>19</v>
      </c>
      <c r="V311" s="217">
        <f>IFERROR(__xludf.DUMMYFUNCTION("""COMPUTED_VALUE"""),46.0)</f>
        <v>46</v>
      </c>
      <c r="W311" s="217">
        <f>IFERROR(__xludf.DUMMYFUNCTION("""COMPUTED_VALUE"""),24.0)</f>
        <v>24</v>
      </c>
      <c r="X311" s="217">
        <f>IFERROR(__xludf.DUMMYFUNCTION("""COMPUTED_VALUE"""),76.0)</f>
        <v>76</v>
      </c>
      <c r="Y311" s="217"/>
      <c r="Z311" s="217"/>
      <c r="AA311" s="481">
        <f>IFERROR(__xludf.DUMMYFUNCTION("""COMPUTED_VALUE"""),45.0)</f>
        <v>45</v>
      </c>
      <c r="AB311" s="481">
        <f>IFERROR(__xludf.DUMMYFUNCTION("""COMPUTED_VALUE"""),43.0)</f>
        <v>43</v>
      </c>
      <c r="AC311" s="481">
        <f>IFERROR(__xludf.DUMMYFUNCTION("""COMPUTED_VALUE"""),0.0)</f>
        <v>0</v>
      </c>
      <c r="AD311" s="481">
        <f>IFERROR(__xludf.DUMMYFUNCTION("""COMPUTED_VALUE"""),0.0)</f>
        <v>0</v>
      </c>
      <c r="AE311" s="481">
        <f>IFERROR(__xludf.DUMMYFUNCTION("""COMPUTED_VALUE"""),10.0)</f>
        <v>10</v>
      </c>
      <c r="AF311" s="481"/>
      <c r="AG311" s="481">
        <f>IFERROR(__xludf.DUMMYFUNCTION("""COMPUTED_VALUE"""),17.0)</f>
        <v>17</v>
      </c>
      <c r="AH311" s="481"/>
      <c r="AI311" s="158"/>
      <c r="AJ311" s="158"/>
      <c r="AK311" s="133">
        <f>IFERROR(__xludf.DUMMYFUNCTION("""COMPUTED_VALUE"""),4.0)</f>
        <v>4</v>
      </c>
      <c r="AL311" s="133">
        <f>IFERROR(__xludf.DUMMYFUNCTION("""COMPUTED_VALUE"""),1.0)</f>
        <v>1</v>
      </c>
      <c r="AM311" s="133">
        <f>IFERROR(__xludf.DUMMYFUNCTION("""COMPUTED_VALUE"""),2.0)</f>
        <v>2</v>
      </c>
      <c r="AN311" s="133" t="str">
        <f>IFERROR(__xludf.DUMMYFUNCTION("""COMPUTED_VALUE"""),"0")</f>
        <v>0</v>
      </c>
      <c r="AO311" s="133">
        <f>IFERROR(__xludf.DUMMYFUNCTION("""COMPUTED_VALUE"""),0.0)</f>
        <v>0</v>
      </c>
      <c r="AP311" s="155" t="s">
        <v>3706</v>
      </c>
    </row>
    <row r="312">
      <c r="A312" s="261">
        <f>IFERROR(__xludf.DUMMYFUNCTION("""COMPUTED_VALUE"""),74.0)</f>
        <v>74</v>
      </c>
      <c r="B312" s="261" t="str">
        <f>IFERROR(__xludf.DUMMYFUNCTION("""COMPUTED_VALUE"""),"kaku23ise@cmrit.ac.in")</f>
        <v>kaku23ise@cmrit.ac.in</v>
      </c>
      <c r="C312" s="172" t="str">
        <f>IFERROR(__xludf.DUMMYFUNCTION("""COMPUTED_VALUE"""),"KARNA KUMAR SAH")</f>
        <v>KARNA KUMAR SAH</v>
      </c>
      <c r="D312" s="155" t="str">
        <f>IFERROR(__xludf.DUMMYFUNCTION("""COMPUTED_VALUE"""),"1CR23IS076")</f>
        <v>1CR23IS076</v>
      </c>
      <c r="E312" s="563">
        <f>IFERROR(__xludf.DUMMYFUNCTION("""COMPUTED_VALUE"""),9.972334509E9)</f>
        <v>9972334509</v>
      </c>
      <c r="F312" s="155" t="str">
        <f>IFERROR(__xludf.DUMMYFUNCTION("""COMPUTED_VALUE"""),"ISE")</f>
        <v>ISE</v>
      </c>
      <c r="G312" s="158"/>
      <c r="H312" s="559">
        <f>IFERROR(__xludf.DUMMYFUNCTION("""COMPUTED_VALUE"""),70.0)</f>
        <v>70</v>
      </c>
      <c r="I312" s="559">
        <f>IFERROR(__xludf.DUMMYFUNCTION("""COMPUTED_VALUE"""),78.0)</f>
        <v>78</v>
      </c>
      <c r="J312" s="559">
        <f>IFERROR(__xludf.DUMMYFUNCTION("""COMPUTED_VALUE"""),70.0)</f>
        <v>70</v>
      </c>
      <c r="K312" s="559">
        <f>IFERROR(__xludf.DUMMYFUNCTION("""COMPUTED_VALUE"""),70.0)</f>
        <v>70</v>
      </c>
      <c r="L312" s="560">
        <f>IFERROR(__xludf.DUMMYFUNCTION("""COMPUTED_VALUE"""),50.0)</f>
        <v>50</v>
      </c>
      <c r="M312" s="561">
        <f>IFERROR(__xludf.DUMMYFUNCTION("""COMPUTED_VALUE"""),5.0)</f>
        <v>5</v>
      </c>
      <c r="N312" s="561">
        <f>IFERROR(__xludf.DUMMYFUNCTION("""COMPUTED_VALUE"""),50.0)</f>
        <v>50</v>
      </c>
      <c r="O312" s="560"/>
      <c r="P312" s="562">
        <f>IFERROR(__xludf.DUMMYFUNCTION("""COMPUTED_VALUE"""),50.0)</f>
        <v>50</v>
      </c>
      <c r="Q312" s="562">
        <f>IFERROR(__xludf.DUMMYFUNCTION("""COMPUTED_VALUE"""),50.0)</f>
        <v>50</v>
      </c>
      <c r="R312" s="562">
        <f>IFERROR(__xludf.DUMMYFUNCTION("""COMPUTED_VALUE"""),0.0)</f>
        <v>0</v>
      </c>
      <c r="S312" s="562"/>
      <c r="T312" s="217">
        <f>IFERROR(__xludf.DUMMYFUNCTION("""COMPUTED_VALUE"""),10.0)</f>
        <v>10</v>
      </c>
      <c r="U312" s="217">
        <f>IFERROR(__xludf.DUMMYFUNCTION("""COMPUTED_VALUE"""),25.0)</f>
        <v>25</v>
      </c>
      <c r="V312" s="217">
        <f>IFERROR(__xludf.DUMMYFUNCTION("""COMPUTED_VALUE"""),44.0)</f>
        <v>44</v>
      </c>
      <c r="W312" s="217">
        <f>IFERROR(__xludf.DUMMYFUNCTION("""COMPUTED_VALUE"""),32.0)</f>
        <v>32</v>
      </c>
      <c r="X312" s="217">
        <f>IFERROR(__xludf.DUMMYFUNCTION("""COMPUTED_VALUE"""),80.0)</f>
        <v>80</v>
      </c>
      <c r="Y312" s="217"/>
      <c r="Z312" s="217"/>
      <c r="AA312" s="481">
        <f>IFERROR(__xludf.DUMMYFUNCTION("""COMPUTED_VALUE"""),12.0)</f>
        <v>12</v>
      </c>
      <c r="AB312" s="481">
        <f>IFERROR(__xludf.DUMMYFUNCTION("""COMPUTED_VALUE"""),79.0)</f>
        <v>79</v>
      </c>
      <c r="AC312" s="481">
        <f>IFERROR(__xludf.DUMMYFUNCTION("""COMPUTED_VALUE"""),0.0)</f>
        <v>0</v>
      </c>
      <c r="AD312" s="481">
        <f>IFERROR(__xludf.DUMMYFUNCTION("""COMPUTED_VALUE"""),32.0)</f>
        <v>32</v>
      </c>
      <c r="AE312" s="481">
        <f>IFERROR(__xludf.DUMMYFUNCTION("""COMPUTED_VALUE"""),10.0)</f>
        <v>10</v>
      </c>
      <c r="AF312" s="481"/>
      <c r="AG312" s="481">
        <f>IFERROR(__xludf.DUMMYFUNCTION("""COMPUTED_VALUE"""),19.0)</f>
        <v>19</v>
      </c>
      <c r="AH312" s="481"/>
      <c r="AI312" s="158"/>
      <c r="AJ312" s="158"/>
      <c r="AK312" s="133">
        <f>IFERROR(__xludf.DUMMYFUNCTION("""COMPUTED_VALUE"""),4.0)</f>
        <v>4</v>
      </c>
      <c r="AL312" s="133">
        <f>IFERROR(__xludf.DUMMYFUNCTION("""COMPUTED_VALUE"""),1.0)</f>
        <v>1</v>
      </c>
      <c r="AM312" s="133">
        <f>IFERROR(__xludf.DUMMYFUNCTION("""COMPUTED_VALUE"""),2.0)</f>
        <v>2</v>
      </c>
      <c r="AN312" s="133" t="str">
        <f>IFERROR(__xludf.DUMMYFUNCTION("""COMPUTED_VALUE"""),"2")</f>
        <v>2</v>
      </c>
      <c r="AO312" s="133">
        <f>IFERROR(__xludf.DUMMYFUNCTION("""COMPUTED_VALUE"""),2.0)</f>
        <v>2</v>
      </c>
      <c r="AP312" s="155" t="s">
        <v>3706</v>
      </c>
    </row>
    <row r="313">
      <c r="A313" s="261">
        <f>IFERROR(__xludf.DUMMYFUNCTION("""COMPUTED_VALUE"""),75.0)</f>
        <v>75</v>
      </c>
      <c r="B313" s="261" t="str">
        <f>IFERROR(__xludf.DUMMYFUNCTION("""COMPUTED_VALUE"""),"kan23ise@cmrit.ac.in")</f>
        <v>kan23ise@cmrit.ac.in</v>
      </c>
      <c r="C313" s="172" t="str">
        <f>IFERROR(__xludf.DUMMYFUNCTION("""COMPUTED_VALUE"""),"KAVANA N")</f>
        <v>KAVANA N</v>
      </c>
      <c r="D313" s="155" t="str">
        <f>IFERROR(__xludf.DUMMYFUNCTION("""COMPUTED_VALUE"""),"1CR23IS077")</f>
        <v>1CR23IS077</v>
      </c>
      <c r="E313" s="563">
        <f>IFERROR(__xludf.DUMMYFUNCTION("""COMPUTED_VALUE"""),8.050955119E9)</f>
        <v>8050955119</v>
      </c>
      <c r="F313" s="155" t="str">
        <f>IFERROR(__xludf.DUMMYFUNCTION("""COMPUTED_VALUE"""),"ISE")</f>
        <v>ISE</v>
      </c>
      <c r="G313" s="158"/>
      <c r="H313" s="559">
        <f>IFERROR(__xludf.DUMMYFUNCTION("""COMPUTED_VALUE"""),77.0)</f>
        <v>77</v>
      </c>
      <c r="I313" s="559">
        <f>IFERROR(__xludf.DUMMYFUNCTION("""COMPUTED_VALUE"""),85.0)</f>
        <v>85</v>
      </c>
      <c r="J313" s="559">
        <f>IFERROR(__xludf.DUMMYFUNCTION("""COMPUTED_VALUE"""),71.0)</f>
        <v>71</v>
      </c>
      <c r="K313" s="559">
        <f>IFERROR(__xludf.DUMMYFUNCTION("""COMPUTED_VALUE"""),79.0)</f>
        <v>79</v>
      </c>
      <c r="L313" s="560">
        <f>IFERROR(__xludf.DUMMYFUNCTION("""COMPUTED_VALUE"""),53.0)</f>
        <v>53</v>
      </c>
      <c r="M313" s="561">
        <f>IFERROR(__xludf.DUMMYFUNCTION("""COMPUTED_VALUE"""),50.0)</f>
        <v>50</v>
      </c>
      <c r="N313" s="561">
        <f>IFERROR(__xludf.DUMMYFUNCTION("""COMPUTED_VALUE"""),50.0)</f>
        <v>50</v>
      </c>
      <c r="O313" s="560"/>
      <c r="P313" s="562">
        <f>IFERROR(__xludf.DUMMYFUNCTION("""COMPUTED_VALUE"""),84.0)</f>
        <v>84</v>
      </c>
      <c r="Q313" s="562">
        <f>IFERROR(__xludf.DUMMYFUNCTION("""COMPUTED_VALUE"""),82.0)</f>
        <v>82</v>
      </c>
      <c r="R313" s="562">
        <f>IFERROR(__xludf.DUMMYFUNCTION("""COMPUTED_VALUE"""),88.0)</f>
        <v>88</v>
      </c>
      <c r="S313" s="562"/>
      <c r="T313" s="217">
        <f>IFERROR(__xludf.DUMMYFUNCTION("""COMPUTED_VALUE"""),11.0)</f>
        <v>11</v>
      </c>
      <c r="U313" s="217">
        <f>IFERROR(__xludf.DUMMYFUNCTION("""COMPUTED_VALUE"""),22.0)</f>
        <v>22</v>
      </c>
      <c r="V313" s="217">
        <f>IFERROR(__xludf.DUMMYFUNCTION("""COMPUTED_VALUE"""),44.0)</f>
        <v>44</v>
      </c>
      <c r="W313" s="217">
        <f>IFERROR(__xludf.DUMMYFUNCTION("""COMPUTED_VALUE"""),44.0)</f>
        <v>44</v>
      </c>
      <c r="X313" s="217">
        <f>IFERROR(__xludf.DUMMYFUNCTION("""COMPUTED_VALUE"""),92.0)</f>
        <v>92</v>
      </c>
      <c r="Y313" s="217"/>
      <c r="Z313" s="217"/>
      <c r="AA313" s="481">
        <f>IFERROR(__xludf.DUMMYFUNCTION("""COMPUTED_VALUE"""),24.0)</f>
        <v>24</v>
      </c>
      <c r="AB313" s="481">
        <f>IFERROR(__xludf.DUMMYFUNCTION("""COMPUTED_VALUE"""),95.0)</f>
        <v>95</v>
      </c>
      <c r="AC313" s="481">
        <f>IFERROR(__xludf.DUMMYFUNCTION("""COMPUTED_VALUE"""),67.0)</f>
        <v>67</v>
      </c>
      <c r="AD313" s="481">
        <f>IFERROR(__xludf.DUMMYFUNCTION("""COMPUTED_VALUE"""),100.0)</f>
        <v>100</v>
      </c>
      <c r="AE313" s="481">
        <f>IFERROR(__xludf.DUMMYFUNCTION("""COMPUTED_VALUE"""),73.0)</f>
        <v>73</v>
      </c>
      <c r="AF313" s="481"/>
      <c r="AG313" s="481">
        <f>IFERROR(__xludf.DUMMYFUNCTION("""COMPUTED_VALUE"""),90.0)</f>
        <v>90</v>
      </c>
      <c r="AH313" s="481"/>
      <c r="AI313" s="158"/>
      <c r="AJ313" s="158"/>
      <c r="AK313" s="133">
        <f>IFERROR(__xludf.DUMMYFUNCTION("""COMPUTED_VALUE"""),4.0)</f>
        <v>4</v>
      </c>
      <c r="AL313" s="133">
        <f>IFERROR(__xludf.DUMMYFUNCTION("""COMPUTED_VALUE"""),3.0)</f>
        <v>3</v>
      </c>
      <c r="AM313" s="133">
        <f>IFERROR(__xludf.DUMMYFUNCTION("""COMPUTED_VALUE"""),2.0)</f>
        <v>2</v>
      </c>
      <c r="AN313" s="133" t="str">
        <f>IFERROR(__xludf.DUMMYFUNCTION("""COMPUTED_VALUE"""),"3.5")</f>
        <v>3.5</v>
      </c>
      <c r="AO313" s="133">
        <f>IFERROR(__xludf.DUMMYFUNCTION("""COMPUTED_VALUE"""),3.0)</f>
        <v>3</v>
      </c>
      <c r="AP313" s="155" t="s">
        <v>3706</v>
      </c>
    </row>
    <row r="314">
      <c r="A314" s="261">
        <f>IFERROR(__xludf.DUMMYFUNCTION("""COMPUTED_VALUE"""),76.0)</f>
        <v>76</v>
      </c>
      <c r="B314" s="261" t="str">
        <f>IFERROR(__xludf.DUMMYFUNCTION("""COMPUTED_VALUE"""),"kek23ise@cmrit.ac.in")</f>
        <v>kek23ise@cmrit.ac.in</v>
      </c>
      <c r="C314" s="172" t="str">
        <f>IFERROR(__xludf.DUMMYFUNCTION("""COMPUTED_VALUE"""),"KEERTHANA K")</f>
        <v>KEERTHANA K</v>
      </c>
      <c r="D314" s="155" t="str">
        <f>IFERROR(__xludf.DUMMYFUNCTION("""COMPUTED_VALUE"""),"1CR23IS078")</f>
        <v>1CR23IS078</v>
      </c>
      <c r="E314" s="563">
        <f>IFERROR(__xludf.DUMMYFUNCTION("""COMPUTED_VALUE"""),9.448853944E9)</f>
        <v>9448853944</v>
      </c>
      <c r="F314" s="155" t="str">
        <f>IFERROR(__xludf.DUMMYFUNCTION("""COMPUTED_VALUE"""),"ISE")</f>
        <v>ISE</v>
      </c>
      <c r="G314" s="158"/>
      <c r="H314" s="559">
        <f>IFERROR(__xludf.DUMMYFUNCTION("""COMPUTED_VALUE"""),80.0)</f>
        <v>80</v>
      </c>
      <c r="I314" s="559">
        <f>IFERROR(__xludf.DUMMYFUNCTION("""COMPUTED_VALUE"""),89.0)</f>
        <v>89</v>
      </c>
      <c r="J314" s="559">
        <f>IFERROR(__xludf.DUMMYFUNCTION("""COMPUTED_VALUE"""),81.0)</f>
        <v>81</v>
      </c>
      <c r="K314" s="559">
        <f>IFERROR(__xludf.DUMMYFUNCTION("""COMPUTED_VALUE"""),83.0)</f>
        <v>83</v>
      </c>
      <c r="L314" s="560">
        <f>IFERROR(__xludf.DUMMYFUNCTION("""COMPUTED_VALUE"""),50.0)</f>
        <v>50</v>
      </c>
      <c r="M314" s="561">
        <f>IFERROR(__xludf.DUMMYFUNCTION("""COMPUTED_VALUE"""),50.0)</f>
        <v>50</v>
      </c>
      <c r="N314" s="561">
        <f>IFERROR(__xludf.DUMMYFUNCTION("""COMPUTED_VALUE"""),51.0)</f>
        <v>51</v>
      </c>
      <c r="O314" s="560"/>
      <c r="P314" s="562">
        <f>IFERROR(__xludf.DUMMYFUNCTION("""COMPUTED_VALUE"""),79.0)</f>
        <v>79</v>
      </c>
      <c r="Q314" s="562">
        <f>IFERROR(__xludf.DUMMYFUNCTION("""COMPUTED_VALUE"""),90.0)</f>
        <v>90</v>
      </c>
      <c r="R314" s="562">
        <f>IFERROR(__xludf.DUMMYFUNCTION("""COMPUTED_VALUE"""),89.0)</f>
        <v>89</v>
      </c>
      <c r="S314" s="562"/>
      <c r="T314" s="217">
        <f>IFERROR(__xludf.DUMMYFUNCTION("""COMPUTED_VALUE"""),12.0)</f>
        <v>12</v>
      </c>
      <c r="U314" s="217">
        <f>IFERROR(__xludf.DUMMYFUNCTION("""COMPUTED_VALUE"""),25.0)</f>
        <v>25</v>
      </c>
      <c r="V314" s="217">
        <f>IFERROR(__xludf.DUMMYFUNCTION("""COMPUTED_VALUE"""),46.0)</f>
        <v>46</v>
      </c>
      <c r="W314" s="217">
        <f>IFERROR(__xludf.DUMMYFUNCTION("""COMPUTED_VALUE"""),52.0)</f>
        <v>52</v>
      </c>
      <c r="X314" s="217">
        <f>IFERROR(__xludf.DUMMYFUNCTION("""COMPUTED_VALUE"""),68.0)</f>
        <v>68</v>
      </c>
      <c r="Y314" s="217"/>
      <c r="Z314" s="217"/>
      <c r="AA314" s="481">
        <f>IFERROR(__xludf.DUMMYFUNCTION("""COMPUTED_VALUE"""),76.0)</f>
        <v>76</v>
      </c>
      <c r="AB314" s="481">
        <f>IFERROR(__xludf.DUMMYFUNCTION("""COMPUTED_VALUE"""),100.0)</f>
        <v>100</v>
      </c>
      <c r="AC314" s="481">
        <f>IFERROR(__xludf.DUMMYFUNCTION("""COMPUTED_VALUE"""),82.0)</f>
        <v>82</v>
      </c>
      <c r="AD314" s="481">
        <f>IFERROR(__xludf.DUMMYFUNCTION("""COMPUTED_VALUE"""),100.0)</f>
        <v>100</v>
      </c>
      <c r="AE314" s="481">
        <f>IFERROR(__xludf.DUMMYFUNCTION("""COMPUTED_VALUE"""),70.0)</f>
        <v>70</v>
      </c>
      <c r="AF314" s="481"/>
      <c r="AG314" s="481">
        <f>IFERROR(__xludf.DUMMYFUNCTION("""COMPUTED_VALUE"""),78.0)</f>
        <v>78</v>
      </c>
      <c r="AH314" s="481"/>
      <c r="AI314" s="158"/>
      <c r="AJ314" s="158"/>
      <c r="AK314" s="133">
        <f>IFERROR(__xludf.DUMMYFUNCTION("""COMPUTED_VALUE"""),4.0)</f>
        <v>4</v>
      </c>
      <c r="AL314" s="133">
        <f>IFERROR(__xludf.DUMMYFUNCTION("""COMPUTED_VALUE"""),3.0)</f>
        <v>3</v>
      </c>
      <c r="AM314" s="133">
        <f>IFERROR(__xludf.DUMMYFUNCTION("""COMPUTED_VALUE"""),3.0)</f>
        <v>3</v>
      </c>
      <c r="AN314" s="133" t="str">
        <f>IFERROR(__xludf.DUMMYFUNCTION("""COMPUTED_VALUE"""),"3.5")</f>
        <v>3.5</v>
      </c>
      <c r="AO314" s="133">
        <f>IFERROR(__xludf.DUMMYFUNCTION("""COMPUTED_VALUE"""),3.0)</f>
        <v>3</v>
      </c>
      <c r="AP314" s="155" t="s">
        <v>3706</v>
      </c>
    </row>
    <row r="315">
      <c r="A315" s="261">
        <f>IFERROR(__xludf.DUMMYFUNCTION("""COMPUTED_VALUE"""),77.0)</f>
        <v>77</v>
      </c>
      <c r="B315" s="261" t="str">
        <f>IFERROR(__xludf.DUMMYFUNCTION("""COMPUTED_VALUE"""),"kegs23ise@cmrit.ac.in")</f>
        <v>kegs23ise@cmrit.ac.in</v>
      </c>
      <c r="C315" s="172" t="str">
        <f>IFERROR(__xludf.DUMMYFUNCTION("""COMPUTED_VALUE"""),"KEERTHI G SINGH")</f>
        <v>KEERTHI G SINGH</v>
      </c>
      <c r="D315" s="155" t="str">
        <f>IFERROR(__xludf.DUMMYFUNCTION("""COMPUTED_VALUE"""),"1CR23IS079")</f>
        <v>1CR23IS079</v>
      </c>
      <c r="E315" s="563">
        <f>IFERROR(__xludf.DUMMYFUNCTION("""COMPUTED_VALUE"""),8.095102712E9)</f>
        <v>8095102712</v>
      </c>
      <c r="F315" s="155" t="str">
        <f>IFERROR(__xludf.DUMMYFUNCTION("""COMPUTED_VALUE"""),"ISE")</f>
        <v>ISE</v>
      </c>
      <c r="G315" s="158"/>
      <c r="H315" s="559">
        <f>IFERROR(__xludf.DUMMYFUNCTION("""COMPUTED_VALUE"""),85.0)</f>
        <v>85</v>
      </c>
      <c r="I315" s="559">
        <f>IFERROR(__xludf.DUMMYFUNCTION("""COMPUTED_VALUE"""),96.0)</f>
        <v>96</v>
      </c>
      <c r="J315" s="559">
        <f>IFERROR(__xludf.DUMMYFUNCTION("""COMPUTED_VALUE"""),77.0)</f>
        <v>77</v>
      </c>
      <c r="K315" s="559">
        <f>IFERROR(__xludf.DUMMYFUNCTION("""COMPUTED_VALUE"""),87.0)</f>
        <v>87</v>
      </c>
      <c r="L315" s="560">
        <f>IFERROR(__xludf.DUMMYFUNCTION("""COMPUTED_VALUE"""),50.0)</f>
        <v>50</v>
      </c>
      <c r="M315" s="561">
        <f>IFERROR(__xludf.DUMMYFUNCTION("""COMPUTED_VALUE"""),53.0)</f>
        <v>53</v>
      </c>
      <c r="N315" s="561">
        <f>IFERROR(__xludf.DUMMYFUNCTION("""COMPUTED_VALUE"""),61.0)</f>
        <v>61</v>
      </c>
      <c r="O315" s="560"/>
      <c r="P315" s="562">
        <f>IFERROR(__xludf.DUMMYFUNCTION("""COMPUTED_VALUE"""),87.0)</f>
        <v>87</v>
      </c>
      <c r="Q315" s="562">
        <f>IFERROR(__xludf.DUMMYFUNCTION("""COMPUTED_VALUE"""),81.0)</f>
        <v>81</v>
      </c>
      <c r="R315" s="562">
        <f>IFERROR(__xludf.DUMMYFUNCTION("""COMPUTED_VALUE"""),89.0)</f>
        <v>89</v>
      </c>
      <c r="S315" s="562"/>
      <c r="T315" s="217">
        <f>IFERROR(__xludf.DUMMYFUNCTION("""COMPUTED_VALUE"""),11.0)</f>
        <v>11</v>
      </c>
      <c r="U315" s="217">
        <f>IFERROR(__xludf.DUMMYFUNCTION("""COMPUTED_VALUE"""),24.0)</f>
        <v>24</v>
      </c>
      <c r="V315" s="217">
        <f>IFERROR(__xludf.DUMMYFUNCTION("""COMPUTED_VALUE"""),46.0)</f>
        <v>46</v>
      </c>
      <c r="W315" s="217">
        <f>IFERROR(__xludf.DUMMYFUNCTION("""COMPUTED_VALUE"""),56.0)</f>
        <v>56</v>
      </c>
      <c r="X315" s="217">
        <f>IFERROR(__xludf.DUMMYFUNCTION("""COMPUTED_VALUE"""),60.0)</f>
        <v>60</v>
      </c>
      <c r="Y315" s="217"/>
      <c r="Z315" s="217"/>
      <c r="AA315" s="481">
        <f>IFERROR(__xludf.DUMMYFUNCTION("""COMPUTED_VALUE"""),70.0)</f>
        <v>70</v>
      </c>
      <c r="AB315" s="481">
        <f>IFERROR(__xludf.DUMMYFUNCTION("""COMPUTED_VALUE"""),100.0)</f>
        <v>100</v>
      </c>
      <c r="AC315" s="481">
        <f>IFERROR(__xludf.DUMMYFUNCTION("""COMPUTED_VALUE"""),72.0)</f>
        <v>72</v>
      </c>
      <c r="AD315" s="481">
        <f>IFERROR(__xludf.DUMMYFUNCTION("""COMPUTED_VALUE"""),70.0)</f>
        <v>70</v>
      </c>
      <c r="AE315" s="481">
        <f>IFERROR(__xludf.DUMMYFUNCTION("""COMPUTED_VALUE"""),70.0)</f>
        <v>70</v>
      </c>
      <c r="AF315" s="481"/>
      <c r="AG315" s="481">
        <f>IFERROR(__xludf.DUMMYFUNCTION("""COMPUTED_VALUE"""),75.0)</f>
        <v>75</v>
      </c>
      <c r="AH315" s="481"/>
      <c r="AI315" s="158"/>
      <c r="AJ315" s="158"/>
      <c r="AK315" s="133">
        <f>IFERROR(__xludf.DUMMYFUNCTION("""COMPUTED_VALUE"""),4.0)</f>
        <v>4</v>
      </c>
      <c r="AL315" s="133">
        <f>IFERROR(__xludf.DUMMYFUNCTION("""COMPUTED_VALUE"""),3.0)</f>
        <v>3</v>
      </c>
      <c r="AM315" s="133">
        <f>IFERROR(__xludf.DUMMYFUNCTION("""COMPUTED_VALUE"""),3.0)</f>
        <v>3</v>
      </c>
      <c r="AN315" s="133" t="str">
        <f>IFERROR(__xludf.DUMMYFUNCTION("""COMPUTED_VALUE"""),"3.5")</f>
        <v>3.5</v>
      </c>
      <c r="AO315" s="133">
        <f>IFERROR(__xludf.DUMMYFUNCTION("""COMPUTED_VALUE"""),3.0)</f>
        <v>3</v>
      </c>
      <c r="AP315" s="155" t="s">
        <v>3706</v>
      </c>
    </row>
    <row r="316">
      <c r="A316" s="261">
        <f>IFERROR(__xludf.DUMMYFUNCTION("""COMPUTED_VALUE"""),78.0)</f>
        <v>78</v>
      </c>
      <c r="B316" s="261" t="str">
        <f>IFERROR(__xludf.DUMMYFUNCTION("""COMPUTED_VALUE"""),"khv23ise@cmrit.ac.in")</f>
        <v>khv23ise@cmrit.ac.in</v>
      </c>
      <c r="C316" s="172" t="str">
        <f>IFERROR(__xludf.DUMMYFUNCTION("""COMPUTED_VALUE"""),"KHUSHI V")</f>
        <v>KHUSHI V</v>
      </c>
      <c r="D316" s="155" t="str">
        <f>IFERROR(__xludf.DUMMYFUNCTION("""COMPUTED_VALUE"""),"1CR23IS080")</f>
        <v>1CR23IS080</v>
      </c>
      <c r="E316" s="563">
        <f>IFERROR(__xludf.DUMMYFUNCTION("""COMPUTED_VALUE"""),9.35312471E9)</f>
        <v>9353124710</v>
      </c>
      <c r="F316" s="155" t="str">
        <f>IFERROR(__xludf.DUMMYFUNCTION("""COMPUTED_VALUE"""),"ISE")</f>
        <v>ISE</v>
      </c>
      <c r="G316" s="158"/>
      <c r="H316" s="559">
        <f>IFERROR(__xludf.DUMMYFUNCTION("""COMPUTED_VALUE"""),81.0)</f>
        <v>81</v>
      </c>
      <c r="I316" s="559">
        <f>IFERROR(__xludf.DUMMYFUNCTION("""COMPUTED_VALUE"""),89.0)</f>
        <v>89</v>
      </c>
      <c r="J316" s="559">
        <f>IFERROR(__xludf.DUMMYFUNCTION("""COMPUTED_VALUE"""),77.0)</f>
        <v>77</v>
      </c>
      <c r="K316" s="559">
        <f>IFERROR(__xludf.DUMMYFUNCTION("""COMPUTED_VALUE"""),70.0)</f>
        <v>70</v>
      </c>
      <c r="L316" s="560">
        <f>IFERROR(__xludf.DUMMYFUNCTION("""COMPUTED_VALUE"""),50.0)</f>
        <v>50</v>
      </c>
      <c r="M316" s="561">
        <f>IFERROR(__xludf.DUMMYFUNCTION("""COMPUTED_VALUE"""),36.0)</f>
        <v>36</v>
      </c>
      <c r="N316" s="561">
        <f>IFERROR(__xludf.DUMMYFUNCTION("""COMPUTED_VALUE"""),6.0)</f>
        <v>6</v>
      </c>
      <c r="O316" s="560"/>
      <c r="P316" s="562">
        <f>IFERROR(__xludf.DUMMYFUNCTION("""COMPUTED_VALUE"""),91.0)</f>
        <v>91</v>
      </c>
      <c r="Q316" s="562">
        <f>IFERROR(__xludf.DUMMYFUNCTION("""COMPUTED_VALUE"""),50.0)</f>
        <v>50</v>
      </c>
      <c r="R316" s="562">
        <f>IFERROR(__xludf.DUMMYFUNCTION("""COMPUTED_VALUE"""),50.0)</f>
        <v>50</v>
      </c>
      <c r="S316" s="562"/>
      <c r="T316" s="217">
        <f>IFERROR(__xludf.DUMMYFUNCTION("""COMPUTED_VALUE"""),12.0)</f>
        <v>12</v>
      </c>
      <c r="U316" s="217">
        <f>IFERROR(__xludf.DUMMYFUNCTION("""COMPUTED_VALUE"""),25.0)</f>
        <v>25</v>
      </c>
      <c r="V316" s="217">
        <f>IFERROR(__xludf.DUMMYFUNCTION("""COMPUTED_VALUE"""),46.0)</f>
        <v>46</v>
      </c>
      <c r="W316" s="217"/>
      <c r="X316" s="217">
        <f>IFERROR(__xludf.DUMMYFUNCTION("""COMPUTED_VALUE"""),72.0)</f>
        <v>72</v>
      </c>
      <c r="Y316" s="217"/>
      <c r="Z316" s="217"/>
      <c r="AA316" s="481">
        <f>IFERROR(__xludf.DUMMYFUNCTION("""COMPUTED_VALUE"""),26.0)</f>
        <v>26</v>
      </c>
      <c r="AB316" s="481">
        <f>IFERROR(__xludf.DUMMYFUNCTION("""COMPUTED_VALUE"""),67.0)</f>
        <v>67</v>
      </c>
      <c r="AC316" s="481">
        <f>IFERROR(__xludf.DUMMYFUNCTION("""COMPUTED_VALUE"""),0.0)</f>
        <v>0</v>
      </c>
      <c r="AD316" s="481">
        <f>IFERROR(__xludf.DUMMYFUNCTION("""COMPUTED_VALUE"""),80.0)</f>
        <v>80</v>
      </c>
      <c r="AE316" s="481">
        <f>IFERROR(__xludf.DUMMYFUNCTION("""COMPUTED_VALUE"""),10.0)</f>
        <v>10</v>
      </c>
      <c r="AF316" s="481"/>
      <c r="AG316" s="481">
        <f>IFERROR(__xludf.DUMMYFUNCTION("""COMPUTED_VALUE"""),10.0)</f>
        <v>10</v>
      </c>
      <c r="AH316" s="481"/>
      <c r="AI316" s="158"/>
      <c r="AJ316" s="158"/>
      <c r="AK316" s="133">
        <f>IFERROR(__xludf.DUMMYFUNCTION("""COMPUTED_VALUE"""),4.0)</f>
        <v>4</v>
      </c>
      <c r="AL316" s="133">
        <f>IFERROR(__xludf.DUMMYFUNCTION("""COMPUTED_VALUE"""),1.0)</f>
        <v>1</v>
      </c>
      <c r="AM316" s="133">
        <f>IFERROR(__xludf.DUMMYFUNCTION("""COMPUTED_VALUE"""),2.0)</f>
        <v>2</v>
      </c>
      <c r="AN316" s="133" t="str">
        <f>IFERROR(__xludf.DUMMYFUNCTION("""COMPUTED_VALUE"""),"3")</f>
        <v>3</v>
      </c>
      <c r="AO316" s="133">
        <f>IFERROR(__xludf.DUMMYFUNCTION("""COMPUTED_VALUE"""),3.0)</f>
        <v>3</v>
      </c>
      <c r="AP316" s="155" t="s">
        <v>3706</v>
      </c>
    </row>
    <row r="317">
      <c r="A317" s="261">
        <f>IFERROR(__xludf.DUMMYFUNCTION("""COMPUTED_VALUE"""),79.0)</f>
        <v>79</v>
      </c>
      <c r="B317" s="261" t="str">
        <f>IFERROR(__xludf.DUMMYFUNCTION("""COMPUTED_VALUE"""),"kip23ise@cmrit.ac.in")</f>
        <v>kip23ise@cmrit.ac.in</v>
      </c>
      <c r="C317" s="172" t="str">
        <f>IFERROR(__xludf.DUMMYFUNCTION("""COMPUTED_VALUE"""),"KISHAN P")</f>
        <v>KISHAN P</v>
      </c>
      <c r="D317" s="155" t="str">
        <f>IFERROR(__xludf.DUMMYFUNCTION("""COMPUTED_VALUE"""),"1CR23IS081")</f>
        <v>1CR23IS081</v>
      </c>
      <c r="E317" s="563">
        <f>IFERROR(__xludf.DUMMYFUNCTION("""COMPUTED_VALUE"""),9.900000874E9)</f>
        <v>9900000874</v>
      </c>
      <c r="F317" s="155" t="str">
        <f>IFERROR(__xludf.DUMMYFUNCTION("""COMPUTED_VALUE"""),"ISE")</f>
        <v>ISE</v>
      </c>
      <c r="G317" s="158"/>
      <c r="H317" s="559">
        <f>IFERROR(__xludf.DUMMYFUNCTION("""COMPUTED_VALUE"""),73.0)</f>
        <v>73</v>
      </c>
      <c r="I317" s="559">
        <f>IFERROR(__xludf.DUMMYFUNCTION("""COMPUTED_VALUE"""),77.0)</f>
        <v>77</v>
      </c>
      <c r="J317" s="559">
        <f>IFERROR(__xludf.DUMMYFUNCTION("""COMPUTED_VALUE"""),26.0)</f>
        <v>26</v>
      </c>
      <c r="K317" s="559">
        <f>IFERROR(__xludf.DUMMYFUNCTION("""COMPUTED_VALUE"""),70.0)</f>
        <v>70</v>
      </c>
      <c r="L317" s="560">
        <f>IFERROR(__xludf.DUMMYFUNCTION("""COMPUTED_VALUE"""),50.0)</f>
        <v>50</v>
      </c>
      <c r="M317" s="561">
        <f>IFERROR(__xludf.DUMMYFUNCTION("""COMPUTED_VALUE"""),51.0)</f>
        <v>51</v>
      </c>
      <c r="N317" s="561">
        <f>IFERROR(__xludf.DUMMYFUNCTION("""COMPUTED_VALUE"""),50.0)</f>
        <v>50</v>
      </c>
      <c r="O317" s="560"/>
      <c r="P317" s="562">
        <f>IFERROR(__xludf.DUMMYFUNCTION("""COMPUTED_VALUE"""),50.0)</f>
        <v>50</v>
      </c>
      <c r="Q317" s="562">
        <f>IFERROR(__xludf.DUMMYFUNCTION("""COMPUTED_VALUE"""),63.0)</f>
        <v>63</v>
      </c>
      <c r="R317" s="562">
        <f>IFERROR(__xludf.DUMMYFUNCTION("""COMPUTED_VALUE"""),74.0)</f>
        <v>74</v>
      </c>
      <c r="S317" s="562"/>
      <c r="T317" s="217">
        <f>IFERROR(__xludf.DUMMYFUNCTION("""COMPUTED_VALUE"""),10.0)</f>
        <v>10</v>
      </c>
      <c r="U317" s="217">
        <f>IFERROR(__xludf.DUMMYFUNCTION("""COMPUTED_VALUE"""),24.0)</f>
        <v>24</v>
      </c>
      <c r="V317" s="217"/>
      <c r="W317" s="217">
        <f>IFERROR(__xludf.DUMMYFUNCTION("""COMPUTED_VALUE"""),36.0)</f>
        <v>36</v>
      </c>
      <c r="X317" s="217">
        <f>IFERROR(__xludf.DUMMYFUNCTION("""COMPUTED_VALUE"""),84.0)</f>
        <v>84</v>
      </c>
      <c r="Y317" s="217"/>
      <c r="Z317" s="217"/>
      <c r="AA317" s="481">
        <f>IFERROR(__xludf.DUMMYFUNCTION("""COMPUTED_VALUE"""),20.0)</f>
        <v>20</v>
      </c>
      <c r="AB317" s="481">
        <f>IFERROR(__xludf.DUMMYFUNCTION("""COMPUTED_VALUE"""),70.0)</f>
        <v>70</v>
      </c>
      <c r="AC317" s="481">
        <f>IFERROR(__xludf.DUMMYFUNCTION("""COMPUTED_VALUE"""),70.0)</f>
        <v>70</v>
      </c>
      <c r="AD317" s="481">
        <f>IFERROR(__xludf.DUMMYFUNCTION("""COMPUTED_VALUE"""),100.0)</f>
        <v>100</v>
      </c>
      <c r="AE317" s="481">
        <f>IFERROR(__xludf.DUMMYFUNCTION("""COMPUTED_VALUE"""),17.0)</f>
        <v>17</v>
      </c>
      <c r="AF317" s="481"/>
      <c r="AG317" s="481">
        <f>IFERROR(__xludf.DUMMYFUNCTION("""COMPUTED_VALUE"""),75.0)</f>
        <v>75</v>
      </c>
      <c r="AH317" s="481"/>
      <c r="AI317" s="158"/>
      <c r="AJ317" s="158"/>
      <c r="AK317" s="133">
        <f>IFERROR(__xludf.DUMMYFUNCTION("""COMPUTED_VALUE"""),2.0)</f>
        <v>2</v>
      </c>
      <c r="AL317" s="133">
        <f>IFERROR(__xludf.DUMMYFUNCTION("""COMPUTED_VALUE"""),3.0)</f>
        <v>3</v>
      </c>
      <c r="AM317" s="133">
        <f>IFERROR(__xludf.DUMMYFUNCTION("""COMPUTED_VALUE"""),2.0)</f>
        <v>2</v>
      </c>
      <c r="AN317" s="133" t="str">
        <f>IFERROR(__xludf.DUMMYFUNCTION("""COMPUTED_VALUE"""),"3")</f>
        <v>3</v>
      </c>
      <c r="AO317" s="133">
        <f>IFERROR(__xludf.DUMMYFUNCTION("""COMPUTED_VALUE"""),3.0)</f>
        <v>3</v>
      </c>
      <c r="AP317" s="155" t="s">
        <v>3706</v>
      </c>
    </row>
    <row r="318">
      <c r="A318" s="261">
        <f>IFERROR(__xludf.DUMMYFUNCTION("""COMPUTED_VALUE"""),80.0)</f>
        <v>80</v>
      </c>
      <c r="B318" s="261" t="str">
        <f>IFERROR(__xludf.DUMMYFUNCTION("""COMPUTED_VALUE"""),"kokv23ise@cmrit.ac.in")</f>
        <v>kokv23ise@cmrit.ac.in</v>
      </c>
      <c r="C318" s="172" t="str">
        <f>IFERROR(__xludf.DUMMYFUNCTION("""COMPUTED_VALUE"""),"KOWSHIK K V")</f>
        <v>KOWSHIK K V</v>
      </c>
      <c r="D318" s="155" t="str">
        <f>IFERROR(__xludf.DUMMYFUNCTION("""COMPUTED_VALUE"""),"1CR23IS082")</f>
        <v>1CR23IS082</v>
      </c>
      <c r="E318" s="563">
        <f>IFERROR(__xludf.DUMMYFUNCTION("""COMPUTED_VALUE"""),8.660851833E9)</f>
        <v>8660851833</v>
      </c>
      <c r="F318" s="155" t="str">
        <f>IFERROR(__xludf.DUMMYFUNCTION("""COMPUTED_VALUE"""),"ISE")</f>
        <v>ISE</v>
      </c>
      <c r="G318" s="158"/>
      <c r="H318" s="559">
        <f>IFERROR(__xludf.DUMMYFUNCTION("""COMPUTED_VALUE"""),71.0)</f>
        <v>71</v>
      </c>
      <c r="I318" s="559">
        <f>IFERROR(__xludf.DUMMYFUNCTION("""COMPUTED_VALUE"""),82.0)</f>
        <v>82</v>
      </c>
      <c r="J318" s="559">
        <f>IFERROR(__xludf.DUMMYFUNCTION("""COMPUTED_VALUE"""),75.0)</f>
        <v>75</v>
      </c>
      <c r="K318" s="559">
        <f>IFERROR(__xludf.DUMMYFUNCTION("""COMPUTED_VALUE"""),70.0)</f>
        <v>70</v>
      </c>
      <c r="L318" s="560">
        <f>IFERROR(__xludf.DUMMYFUNCTION("""COMPUTED_VALUE"""),50.0)</f>
        <v>50</v>
      </c>
      <c r="M318" s="561">
        <f>IFERROR(__xludf.DUMMYFUNCTION("""COMPUTED_VALUE"""),62.0)</f>
        <v>62</v>
      </c>
      <c r="N318" s="561">
        <f>IFERROR(__xludf.DUMMYFUNCTION("""COMPUTED_VALUE"""),7.0)</f>
        <v>7</v>
      </c>
      <c r="O318" s="560"/>
      <c r="P318" s="562">
        <f>IFERROR(__xludf.DUMMYFUNCTION("""COMPUTED_VALUE"""),50.0)</f>
        <v>50</v>
      </c>
      <c r="Q318" s="562">
        <f>IFERROR(__xludf.DUMMYFUNCTION("""COMPUTED_VALUE"""),62.0)</f>
        <v>62</v>
      </c>
      <c r="R318" s="562">
        <f>IFERROR(__xludf.DUMMYFUNCTION("""COMPUTED_VALUE"""),75.0)</f>
        <v>75</v>
      </c>
      <c r="S318" s="562"/>
      <c r="T318" s="217">
        <f>IFERROR(__xludf.DUMMYFUNCTION("""COMPUTED_VALUE"""),18.0)</f>
        <v>18</v>
      </c>
      <c r="U318" s="217">
        <f>IFERROR(__xludf.DUMMYFUNCTION("""COMPUTED_VALUE"""),24.0)</f>
        <v>24</v>
      </c>
      <c r="V318" s="217">
        <f>IFERROR(__xludf.DUMMYFUNCTION("""COMPUTED_VALUE"""),48.0)</f>
        <v>48</v>
      </c>
      <c r="W318" s="217">
        <f>IFERROR(__xludf.DUMMYFUNCTION("""COMPUTED_VALUE"""),52.0)</f>
        <v>52</v>
      </c>
      <c r="X318" s="217">
        <f>IFERROR(__xludf.DUMMYFUNCTION("""COMPUTED_VALUE"""),92.0)</f>
        <v>92</v>
      </c>
      <c r="Y318" s="217"/>
      <c r="Z318" s="217"/>
      <c r="AA318" s="481">
        <f>IFERROR(__xludf.DUMMYFUNCTION("""COMPUTED_VALUE"""),58.0)</f>
        <v>58</v>
      </c>
      <c r="AB318" s="481">
        <f>IFERROR(__xludf.DUMMYFUNCTION("""COMPUTED_VALUE"""),96.0)</f>
        <v>96</v>
      </c>
      <c r="AC318" s="481">
        <f>IFERROR(__xludf.DUMMYFUNCTION("""COMPUTED_VALUE"""),60.0)</f>
        <v>60</v>
      </c>
      <c r="AD318" s="481">
        <f>IFERROR(__xludf.DUMMYFUNCTION("""COMPUTED_VALUE"""),80.0)</f>
        <v>80</v>
      </c>
      <c r="AE318" s="481">
        <f>IFERROR(__xludf.DUMMYFUNCTION("""COMPUTED_VALUE"""),70.0)</f>
        <v>70</v>
      </c>
      <c r="AF318" s="481"/>
      <c r="AG318" s="481">
        <f>IFERROR(__xludf.DUMMYFUNCTION("""COMPUTED_VALUE"""),38.0)</f>
        <v>38</v>
      </c>
      <c r="AH318" s="481"/>
      <c r="AI318" s="158"/>
      <c r="AJ318" s="158"/>
      <c r="AK318" s="133">
        <f>IFERROR(__xludf.DUMMYFUNCTION("""COMPUTED_VALUE"""),4.0)</f>
        <v>4</v>
      </c>
      <c r="AL318" s="133">
        <f>IFERROR(__xludf.DUMMYFUNCTION("""COMPUTED_VALUE"""),2.0)</f>
        <v>2</v>
      </c>
      <c r="AM318" s="133">
        <f>IFERROR(__xludf.DUMMYFUNCTION("""COMPUTED_VALUE"""),3.0)</f>
        <v>3</v>
      </c>
      <c r="AN318" s="133" t="str">
        <f>IFERROR(__xludf.DUMMYFUNCTION("""COMPUTED_VALUE"""),"3.5")</f>
        <v>3.5</v>
      </c>
      <c r="AO318" s="133">
        <f>IFERROR(__xludf.DUMMYFUNCTION("""COMPUTED_VALUE"""),3.0)</f>
        <v>3</v>
      </c>
      <c r="AP318" s="155" t="s">
        <v>3706</v>
      </c>
    </row>
    <row r="319">
      <c r="A319" s="261">
        <f>IFERROR(__xludf.DUMMYFUNCTION("""COMPUTED_VALUE"""),81.0)</f>
        <v>81</v>
      </c>
      <c r="B319" s="261" t="str">
        <f>IFERROR(__xludf.DUMMYFUNCTION("""COMPUTED_VALUE"""),"ksha23ise@cmrit.ac.in")</f>
        <v>ksha23ise@cmrit.ac.in</v>
      </c>
      <c r="C319" s="172" t="str">
        <f>IFERROR(__xludf.DUMMYFUNCTION("""COMPUTED_VALUE"""),"KSHITISH HARISH")</f>
        <v>KSHITISH HARISH</v>
      </c>
      <c r="D319" s="155" t="str">
        <f>IFERROR(__xludf.DUMMYFUNCTION("""COMPUTED_VALUE"""),"1CR23IS083")</f>
        <v>1CR23IS083</v>
      </c>
      <c r="E319" s="563">
        <f>IFERROR(__xludf.DUMMYFUNCTION("""COMPUTED_VALUE"""),9.481226867E9)</f>
        <v>9481226867</v>
      </c>
      <c r="F319" s="155" t="str">
        <f>IFERROR(__xludf.DUMMYFUNCTION("""COMPUTED_VALUE"""),"ISE")</f>
        <v>ISE</v>
      </c>
      <c r="G319" s="158"/>
      <c r="H319" s="559">
        <f>IFERROR(__xludf.DUMMYFUNCTION("""COMPUTED_VALUE"""),91.0)</f>
        <v>91</v>
      </c>
      <c r="I319" s="559">
        <f>IFERROR(__xludf.DUMMYFUNCTION("""COMPUTED_VALUE"""),96.0)</f>
        <v>96</v>
      </c>
      <c r="J319" s="559">
        <f>IFERROR(__xludf.DUMMYFUNCTION("""COMPUTED_VALUE"""),80.0)</f>
        <v>80</v>
      </c>
      <c r="K319" s="559">
        <f>IFERROR(__xludf.DUMMYFUNCTION("""COMPUTED_VALUE"""),90.0)</f>
        <v>90</v>
      </c>
      <c r="L319" s="560">
        <f>IFERROR(__xludf.DUMMYFUNCTION("""COMPUTED_VALUE"""),50.0)</f>
        <v>50</v>
      </c>
      <c r="M319" s="561">
        <f>IFERROR(__xludf.DUMMYFUNCTION("""COMPUTED_VALUE"""),50.0)</f>
        <v>50</v>
      </c>
      <c r="N319" s="561">
        <f>IFERROR(__xludf.DUMMYFUNCTION("""COMPUTED_VALUE"""),50.0)</f>
        <v>50</v>
      </c>
      <c r="O319" s="560"/>
      <c r="P319" s="562">
        <f>IFERROR(__xludf.DUMMYFUNCTION("""COMPUTED_VALUE"""),81.0)</f>
        <v>81</v>
      </c>
      <c r="Q319" s="562">
        <f>IFERROR(__xludf.DUMMYFUNCTION("""COMPUTED_VALUE"""),90.0)</f>
        <v>90</v>
      </c>
      <c r="R319" s="562">
        <f>IFERROR(__xludf.DUMMYFUNCTION("""COMPUTED_VALUE"""),90.0)</f>
        <v>90</v>
      </c>
      <c r="S319" s="562"/>
      <c r="T319" s="217">
        <f>IFERROR(__xludf.DUMMYFUNCTION("""COMPUTED_VALUE"""),13.0)</f>
        <v>13</v>
      </c>
      <c r="U319" s="217">
        <f>IFERROR(__xludf.DUMMYFUNCTION("""COMPUTED_VALUE"""),25.0)</f>
        <v>25</v>
      </c>
      <c r="V319" s="217">
        <f>IFERROR(__xludf.DUMMYFUNCTION("""COMPUTED_VALUE"""),48.0)</f>
        <v>48</v>
      </c>
      <c r="W319" s="217">
        <f>IFERROR(__xludf.DUMMYFUNCTION("""COMPUTED_VALUE"""),44.0)</f>
        <v>44</v>
      </c>
      <c r="X319" s="217">
        <f>IFERROR(__xludf.DUMMYFUNCTION("""COMPUTED_VALUE"""),84.0)</f>
        <v>84</v>
      </c>
      <c r="Y319" s="217"/>
      <c r="Z319" s="217"/>
      <c r="AA319" s="481">
        <f>IFERROR(__xludf.DUMMYFUNCTION("""COMPUTED_VALUE"""),100.0)</f>
        <v>100</v>
      </c>
      <c r="AB319" s="481">
        <f>IFERROR(__xludf.DUMMYFUNCTION("""COMPUTED_VALUE"""),100.0)</f>
        <v>100</v>
      </c>
      <c r="AC319" s="481">
        <f>IFERROR(__xludf.DUMMYFUNCTION("""COMPUTED_VALUE"""),81.0)</f>
        <v>81</v>
      </c>
      <c r="AD319" s="481">
        <f>IFERROR(__xludf.DUMMYFUNCTION("""COMPUTED_VALUE"""),100.0)</f>
        <v>100</v>
      </c>
      <c r="AE319" s="481">
        <f>IFERROR(__xludf.DUMMYFUNCTION("""COMPUTED_VALUE"""),76.0)</f>
        <v>76</v>
      </c>
      <c r="AF319" s="481"/>
      <c r="AG319" s="481">
        <f>IFERROR(__xludf.DUMMYFUNCTION("""COMPUTED_VALUE"""),60.0)</f>
        <v>60</v>
      </c>
      <c r="AH319" s="481"/>
      <c r="AI319" s="158"/>
      <c r="AJ319" s="158"/>
      <c r="AK319" s="133">
        <f>IFERROR(__xludf.DUMMYFUNCTION("""COMPUTED_VALUE"""),4.0)</f>
        <v>4</v>
      </c>
      <c r="AL319" s="133">
        <f>IFERROR(__xludf.DUMMYFUNCTION("""COMPUTED_VALUE"""),3.0)</f>
        <v>3</v>
      </c>
      <c r="AM319" s="133">
        <f>IFERROR(__xludf.DUMMYFUNCTION("""COMPUTED_VALUE"""),2.0)</f>
        <v>2</v>
      </c>
      <c r="AN319" s="133" t="str">
        <f>IFERROR(__xludf.DUMMYFUNCTION("""COMPUTED_VALUE"""),"3.5")</f>
        <v>3.5</v>
      </c>
      <c r="AO319" s="133">
        <f>IFERROR(__xludf.DUMMYFUNCTION("""COMPUTED_VALUE"""),3.0)</f>
        <v>3</v>
      </c>
      <c r="AP319" s="155" t="s">
        <v>3706</v>
      </c>
    </row>
    <row r="320">
      <c r="A320" s="261">
        <f>IFERROR(__xludf.DUMMYFUNCTION("""COMPUTED_VALUE"""),82.0)</f>
        <v>82</v>
      </c>
      <c r="B320" s="261" t="str">
        <f>IFERROR(__xludf.DUMMYFUNCTION("""COMPUTED_VALUE"""),"kuku23ise@cmrit.ac.in")</f>
        <v>kuku23ise@cmrit.ac.in</v>
      </c>
      <c r="C320" s="172" t="str">
        <f>IFERROR(__xludf.DUMMYFUNCTION("""COMPUTED_VALUE"""),"KUSHAGRA")</f>
        <v>KUSHAGRA</v>
      </c>
      <c r="D320" s="155" t="str">
        <f>IFERROR(__xludf.DUMMYFUNCTION("""COMPUTED_VALUE"""),"1CR23IS084")</f>
        <v>1CR23IS084</v>
      </c>
      <c r="E320" s="563">
        <f>IFERROR(__xludf.DUMMYFUNCTION("""COMPUTED_VALUE"""),7.903616747E9)</f>
        <v>7903616747</v>
      </c>
      <c r="F320" s="155" t="str">
        <f>IFERROR(__xludf.DUMMYFUNCTION("""COMPUTED_VALUE"""),"ISE")</f>
        <v>ISE</v>
      </c>
      <c r="G320" s="158"/>
      <c r="H320" s="559">
        <f>IFERROR(__xludf.DUMMYFUNCTION("""COMPUTED_VALUE"""),65.0)</f>
        <v>65</v>
      </c>
      <c r="I320" s="559">
        <f>IFERROR(__xludf.DUMMYFUNCTION("""COMPUTED_VALUE"""),71.0)</f>
        <v>71</v>
      </c>
      <c r="J320" s="559">
        <f>IFERROR(__xludf.DUMMYFUNCTION("""COMPUTED_VALUE"""),29.0)</f>
        <v>29</v>
      </c>
      <c r="K320" s="559">
        <f>IFERROR(__xludf.DUMMYFUNCTION("""COMPUTED_VALUE"""),20.0)</f>
        <v>20</v>
      </c>
      <c r="L320" s="560">
        <f>IFERROR(__xludf.DUMMYFUNCTION("""COMPUTED_VALUE"""),29.0)</f>
        <v>29</v>
      </c>
      <c r="M320" s="561">
        <f>IFERROR(__xludf.DUMMYFUNCTION("""COMPUTED_VALUE"""),21.0)</f>
        <v>21</v>
      </c>
      <c r="N320" s="561">
        <f>IFERROR(__xludf.DUMMYFUNCTION("""COMPUTED_VALUE"""),9.0)</f>
        <v>9</v>
      </c>
      <c r="O320" s="560"/>
      <c r="P320" s="562">
        <f>IFERROR(__xludf.DUMMYFUNCTION("""COMPUTED_VALUE"""),81.0)</f>
        <v>81</v>
      </c>
      <c r="Q320" s="562">
        <f>IFERROR(__xludf.DUMMYFUNCTION("""COMPUTED_VALUE"""),50.0)</f>
        <v>50</v>
      </c>
      <c r="R320" s="562">
        <f>IFERROR(__xludf.DUMMYFUNCTION("""COMPUTED_VALUE"""),0.0)</f>
        <v>0</v>
      </c>
      <c r="S320" s="562"/>
      <c r="T320" s="217">
        <f>IFERROR(__xludf.DUMMYFUNCTION("""COMPUTED_VALUE"""),18.0)</f>
        <v>18</v>
      </c>
      <c r="U320" s="217">
        <f>IFERROR(__xludf.DUMMYFUNCTION("""COMPUTED_VALUE"""),24.0)</f>
        <v>24</v>
      </c>
      <c r="V320" s="217">
        <f>IFERROR(__xludf.DUMMYFUNCTION("""COMPUTED_VALUE"""),46.0)</f>
        <v>46</v>
      </c>
      <c r="W320" s="217">
        <f>IFERROR(__xludf.DUMMYFUNCTION("""COMPUTED_VALUE"""),44.0)</f>
        <v>44</v>
      </c>
      <c r="X320" s="217">
        <f>IFERROR(__xludf.DUMMYFUNCTION("""COMPUTED_VALUE"""),68.0)</f>
        <v>68</v>
      </c>
      <c r="Y320" s="217"/>
      <c r="Z320" s="217"/>
      <c r="AA320" s="481">
        <f>IFERROR(__xludf.DUMMYFUNCTION("""COMPUTED_VALUE"""),60.0)</f>
        <v>60</v>
      </c>
      <c r="AB320" s="481">
        <f>IFERROR(__xludf.DUMMYFUNCTION("""COMPUTED_VALUE"""),20.0)</f>
        <v>20</v>
      </c>
      <c r="AC320" s="481">
        <f>IFERROR(__xludf.DUMMYFUNCTION("""COMPUTED_VALUE"""),0.0)</f>
        <v>0</v>
      </c>
      <c r="AD320" s="481">
        <f>IFERROR(__xludf.DUMMYFUNCTION("""COMPUTED_VALUE"""),65.0)</f>
        <v>65</v>
      </c>
      <c r="AE320" s="481">
        <f>IFERROR(__xludf.DUMMYFUNCTION("""COMPUTED_VALUE"""),10.0)</f>
        <v>10</v>
      </c>
      <c r="AF320" s="481"/>
      <c r="AG320" s="481">
        <f>IFERROR(__xludf.DUMMYFUNCTION("""COMPUTED_VALUE"""),14.0)</f>
        <v>14</v>
      </c>
      <c r="AH320" s="481"/>
      <c r="AI320" s="158"/>
      <c r="AJ320" s="158"/>
      <c r="AK320" s="133">
        <f>IFERROR(__xludf.DUMMYFUNCTION("""COMPUTED_VALUE"""),2.0)</f>
        <v>2</v>
      </c>
      <c r="AL320" s="133">
        <f>IFERROR(__xludf.DUMMYFUNCTION("""COMPUTED_VALUE"""),0.0)</f>
        <v>0</v>
      </c>
      <c r="AM320" s="133">
        <f>IFERROR(__xludf.DUMMYFUNCTION("""COMPUTED_VALUE"""),2.0)</f>
        <v>2</v>
      </c>
      <c r="AN320" s="133" t="str">
        <f>IFERROR(__xludf.DUMMYFUNCTION("""COMPUTED_VALUE"""),"0")</f>
        <v>0</v>
      </c>
      <c r="AO320" s="133">
        <f>IFERROR(__xludf.DUMMYFUNCTION("""COMPUTED_VALUE"""),2.0)</f>
        <v>2</v>
      </c>
      <c r="AP320" s="155" t="s">
        <v>3706</v>
      </c>
    </row>
    <row r="321">
      <c r="A321" s="261">
        <f>IFERROR(__xludf.DUMMYFUNCTION("""COMPUTED_VALUE"""),83.0)</f>
        <v>83</v>
      </c>
      <c r="B321" s="261" t="str">
        <f>IFERROR(__xludf.DUMMYFUNCTION("""COMPUTED_VALUE"""),"kujo23ise@cmrit.ac.in")</f>
        <v>kujo23ise@cmrit.ac.in</v>
      </c>
      <c r="C321" s="172" t="str">
        <f>IFERROR(__xludf.DUMMYFUNCTION("""COMPUTED_VALUE"""),"KUSUM JORAPUR")</f>
        <v>KUSUM JORAPUR</v>
      </c>
      <c r="D321" s="155" t="str">
        <f>IFERROR(__xludf.DUMMYFUNCTION("""COMPUTED_VALUE"""),"1CR23IS085")</f>
        <v>1CR23IS085</v>
      </c>
      <c r="E321" s="563">
        <f>IFERROR(__xludf.DUMMYFUNCTION("""COMPUTED_VALUE"""),9.68665746E9)</f>
        <v>9686657460</v>
      </c>
      <c r="F321" s="155" t="str">
        <f>IFERROR(__xludf.DUMMYFUNCTION("""COMPUTED_VALUE"""),"ISE")</f>
        <v>ISE</v>
      </c>
      <c r="G321" s="158"/>
      <c r="H321" s="559">
        <f>IFERROR(__xludf.DUMMYFUNCTION("""COMPUTED_VALUE"""),85.0)</f>
        <v>85</v>
      </c>
      <c r="I321" s="559">
        <f>IFERROR(__xludf.DUMMYFUNCTION("""COMPUTED_VALUE"""),95.0)</f>
        <v>95</v>
      </c>
      <c r="J321" s="559">
        <f>IFERROR(__xludf.DUMMYFUNCTION("""COMPUTED_VALUE"""),93.0)</f>
        <v>93</v>
      </c>
      <c r="K321" s="559">
        <f>IFERROR(__xludf.DUMMYFUNCTION("""COMPUTED_VALUE"""),82.0)</f>
        <v>82</v>
      </c>
      <c r="L321" s="560">
        <f>IFERROR(__xludf.DUMMYFUNCTION("""COMPUTED_VALUE"""),50.0)</f>
        <v>50</v>
      </c>
      <c r="M321" s="561">
        <f>IFERROR(__xludf.DUMMYFUNCTION("""COMPUTED_VALUE"""),50.0)</f>
        <v>50</v>
      </c>
      <c r="N321" s="561">
        <f>IFERROR(__xludf.DUMMYFUNCTION("""COMPUTED_VALUE"""),50.0)</f>
        <v>50</v>
      </c>
      <c r="O321" s="560"/>
      <c r="P321" s="562">
        <f>IFERROR(__xludf.DUMMYFUNCTION("""COMPUTED_VALUE"""),79.0)</f>
        <v>79</v>
      </c>
      <c r="Q321" s="562">
        <f>IFERROR(__xludf.DUMMYFUNCTION("""COMPUTED_VALUE"""),62.0)</f>
        <v>62</v>
      </c>
      <c r="R321" s="562">
        <f>IFERROR(__xludf.DUMMYFUNCTION("""COMPUTED_VALUE"""),50.0)</f>
        <v>50</v>
      </c>
      <c r="S321" s="562"/>
      <c r="T321" s="217">
        <f>IFERROR(__xludf.DUMMYFUNCTION("""COMPUTED_VALUE"""),12.0)</f>
        <v>12</v>
      </c>
      <c r="U321" s="217">
        <f>IFERROR(__xludf.DUMMYFUNCTION("""COMPUTED_VALUE"""),16.0)</f>
        <v>16</v>
      </c>
      <c r="V321" s="217">
        <f>IFERROR(__xludf.DUMMYFUNCTION("""COMPUTED_VALUE"""),46.0)</f>
        <v>46</v>
      </c>
      <c r="W321" s="217">
        <f>IFERROR(__xludf.DUMMYFUNCTION("""COMPUTED_VALUE"""),44.0)</f>
        <v>44</v>
      </c>
      <c r="X321" s="217">
        <f>IFERROR(__xludf.DUMMYFUNCTION("""COMPUTED_VALUE"""),68.0)</f>
        <v>68</v>
      </c>
      <c r="Y321" s="217"/>
      <c r="Z321" s="217"/>
      <c r="AA321" s="481">
        <f>IFERROR(__xludf.DUMMYFUNCTION("""COMPUTED_VALUE"""),79.0)</f>
        <v>79</v>
      </c>
      <c r="AB321" s="481">
        <f>IFERROR(__xludf.DUMMYFUNCTION("""COMPUTED_VALUE"""),70.0)</f>
        <v>70</v>
      </c>
      <c r="AC321" s="481">
        <f>IFERROR(__xludf.DUMMYFUNCTION("""COMPUTED_VALUE"""),65.0)</f>
        <v>65</v>
      </c>
      <c r="AD321" s="481">
        <f>IFERROR(__xludf.DUMMYFUNCTION("""COMPUTED_VALUE"""),75.0)</f>
        <v>75</v>
      </c>
      <c r="AE321" s="481">
        <f>IFERROR(__xludf.DUMMYFUNCTION("""COMPUTED_VALUE"""),79.0)</f>
        <v>79</v>
      </c>
      <c r="AF321" s="481"/>
      <c r="AG321" s="481">
        <f>IFERROR(__xludf.DUMMYFUNCTION("""COMPUTED_VALUE"""),72.0)</f>
        <v>72</v>
      </c>
      <c r="AH321" s="481"/>
      <c r="AI321" s="158"/>
      <c r="AJ321" s="158"/>
      <c r="AK321" s="133">
        <f>IFERROR(__xludf.DUMMYFUNCTION("""COMPUTED_VALUE"""),4.0)</f>
        <v>4</v>
      </c>
      <c r="AL321" s="133">
        <f>IFERROR(__xludf.DUMMYFUNCTION("""COMPUTED_VALUE"""),3.0)</f>
        <v>3</v>
      </c>
      <c r="AM321" s="133">
        <f>IFERROR(__xludf.DUMMYFUNCTION("""COMPUTED_VALUE"""),2.0)</f>
        <v>2</v>
      </c>
      <c r="AN321" s="133" t="str">
        <f>IFERROR(__xludf.DUMMYFUNCTION("""COMPUTED_VALUE"""),"3.5")</f>
        <v>3.5</v>
      </c>
      <c r="AO321" s="133">
        <f>IFERROR(__xludf.DUMMYFUNCTION("""COMPUTED_VALUE"""),3.0)</f>
        <v>3</v>
      </c>
      <c r="AP321" s="155" t="s">
        <v>3706</v>
      </c>
    </row>
    <row r="322">
      <c r="A322" s="261">
        <f>IFERROR(__xludf.DUMMYFUNCTION("""COMPUTED_VALUE"""),84.0)</f>
        <v>84</v>
      </c>
      <c r="B322" s="261" t="str">
        <f>IFERROR(__xludf.DUMMYFUNCTION("""COMPUTED_VALUE"""),"lde23ise@cmrit.ac.in")</f>
        <v>lde23ise@cmrit.ac.in</v>
      </c>
      <c r="C322" s="172" t="str">
        <f>IFERROR(__xludf.DUMMYFUNCTION("""COMPUTED_VALUE"""),"L DEEPIKA")</f>
        <v>L DEEPIKA</v>
      </c>
      <c r="D322" s="155" t="str">
        <f>IFERROR(__xludf.DUMMYFUNCTION("""COMPUTED_VALUE"""),"1CR23IS086")</f>
        <v>1CR23IS086</v>
      </c>
      <c r="E322" s="563">
        <f>IFERROR(__xludf.DUMMYFUNCTION("""COMPUTED_VALUE"""),7.20431718E9)</f>
        <v>7204317180</v>
      </c>
      <c r="F322" s="155" t="str">
        <f>IFERROR(__xludf.DUMMYFUNCTION("""COMPUTED_VALUE"""),"ISE")</f>
        <v>ISE</v>
      </c>
      <c r="G322" s="158"/>
      <c r="H322" s="559">
        <f>IFERROR(__xludf.DUMMYFUNCTION("""COMPUTED_VALUE"""),70.0)</f>
        <v>70</v>
      </c>
      <c r="I322" s="559">
        <f>IFERROR(__xludf.DUMMYFUNCTION("""COMPUTED_VALUE"""),84.0)</f>
        <v>84</v>
      </c>
      <c r="J322" s="559">
        <f>IFERROR(__xludf.DUMMYFUNCTION("""COMPUTED_VALUE"""),59.0)</f>
        <v>59</v>
      </c>
      <c r="K322" s="559">
        <f>IFERROR(__xludf.DUMMYFUNCTION("""COMPUTED_VALUE"""),70.0)</f>
        <v>70</v>
      </c>
      <c r="L322" s="560">
        <f>IFERROR(__xludf.DUMMYFUNCTION("""COMPUTED_VALUE"""),50.0)</f>
        <v>50</v>
      </c>
      <c r="M322" s="561">
        <f>IFERROR(__xludf.DUMMYFUNCTION("""COMPUTED_VALUE"""),32.0)</f>
        <v>32</v>
      </c>
      <c r="N322" s="561">
        <f>IFERROR(__xludf.DUMMYFUNCTION("""COMPUTED_VALUE"""),12.0)</f>
        <v>12</v>
      </c>
      <c r="O322" s="560"/>
      <c r="P322" s="562">
        <f>IFERROR(__xludf.DUMMYFUNCTION("""COMPUTED_VALUE"""),78.0)</f>
        <v>78</v>
      </c>
      <c r="Q322" s="562">
        <f>IFERROR(__xludf.DUMMYFUNCTION("""COMPUTED_VALUE"""),50.0)</f>
        <v>50</v>
      </c>
      <c r="R322" s="562">
        <f>IFERROR(__xludf.DUMMYFUNCTION("""COMPUTED_VALUE"""),50.0)</f>
        <v>50</v>
      </c>
      <c r="S322" s="562"/>
      <c r="T322" s="217">
        <f>IFERROR(__xludf.DUMMYFUNCTION("""COMPUTED_VALUE"""),14.0)</f>
        <v>14</v>
      </c>
      <c r="U322" s="217">
        <f>IFERROR(__xludf.DUMMYFUNCTION("""COMPUTED_VALUE"""),19.0)</f>
        <v>19</v>
      </c>
      <c r="V322" s="217">
        <f>IFERROR(__xludf.DUMMYFUNCTION("""COMPUTED_VALUE"""),42.0)</f>
        <v>42</v>
      </c>
      <c r="W322" s="217">
        <f>IFERROR(__xludf.DUMMYFUNCTION("""COMPUTED_VALUE"""),56.0)</f>
        <v>56</v>
      </c>
      <c r="X322" s="217">
        <f>IFERROR(__xludf.DUMMYFUNCTION("""COMPUTED_VALUE"""),72.0)</f>
        <v>72</v>
      </c>
      <c r="Y322" s="217"/>
      <c r="Z322" s="217"/>
      <c r="AA322" s="481">
        <f>IFERROR(__xludf.DUMMYFUNCTION("""COMPUTED_VALUE"""),26.0)</f>
        <v>26</v>
      </c>
      <c r="AB322" s="481">
        <f>IFERROR(__xludf.DUMMYFUNCTION("""COMPUTED_VALUE"""),62.0)</f>
        <v>62</v>
      </c>
      <c r="AC322" s="481">
        <f>IFERROR(__xludf.DUMMYFUNCTION("""COMPUTED_VALUE"""),0.0)</f>
        <v>0</v>
      </c>
      <c r="AD322" s="481">
        <f>IFERROR(__xludf.DUMMYFUNCTION("""COMPUTED_VALUE"""),80.0)</f>
        <v>80</v>
      </c>
      <c r="AE322" s="481">
        <f>IFERROR(__xludf.DUMMYFUNCTION("""COMPUTED_VALUE"""),15.0)</f>
        <v>15</v>
      </c>
      <c r="AF322" s="481"/>
      <c r="AG322" s="481">
        <f>IFERROR(__xludf.DUMMYFUNCTION("""COMPUTED_VALUE"""),23.0)</f>
        <v>23</v>
      </c>
      <c r="AH322" s="481"/>
      <c r="AI322" s="158"/>
      <c r="AJ322" s="158"/>
      <c r="AK322" s="133">
        <f>IFERROR(__xludf.DUMMYFUNCTION("""COMPUTED_VALUE"""),2.0)</f>
        <v>2</v>
      </c>
      <c r="AL322" s="133">
        <f>IFERROR(__xludf.DUMMYFUNCTION("""COMPUTED_VALUE"""),1.0)</f>
        <v>1</v>
      </c>
      <c r="AM322" s="133">
        <f>IFERROR(__xludf.DUMMYFUNCTION("""COMPUTED_VALUE"""),3.0)</f>
        <v>3</v>
      </c>
      <c r="AN322" s="133" t="str">
        <f>IFERROR(__xludf.DUMMYFUNCTION("""COMPUTED_VALUE"""),"3")</f>
        <v>3</v>
      </c>
      <c r="AO322" s="133">
        <f>IFERROR(__xludf.DUMMYFUNCTION("""COMPUTED_VALUE"""),3.0)</f>
        <v>3</v>
      </c>
      <c r="AP322" s="155" t="s">
        <v>3706</v>
      </c>
    </row>
    <row r="323">
      <c r="A323" s="261">
        <f>IFERROR(__xludf.DUMMYFUNCTION("""COMPUTED_VALUE"""),85.0)</f>
        <v>85</v>
      </c>
      <c r="B323" s="261" t="str">
        <f>IFERROR(__xludf.DUMMYFUNCTION("""COMPUTED_VALUE"""),"lsni23ise@cmrit.ac.in")</f>
        <v>lsni23ise@cmrit.ac.in</v>
      </c>
      <c r="C323" s="172" t="str">
        <f>IFERROR(__xludf.DUMMYFUNCTION("""COMPUTED_VALUE"""),"L S K SRI NIVASHINI")</f>
        <v>L S K SRI NIVASHINI</v>
      </c>
      <c r="D323" s="155" t="str">
        <f>IFERROR(__xludf.DUMMYFUNCTION("""COMPUTED_VALUE"""),"1CR23IS087")</f>
        <v>1CR23IS087</v>
      </c>
      <c r="E323" s="563">
        <f>IFERROR(__xludf.DUMMYFUNCTION("""COMPUTED_VALUE"""),9.150410381E9)</f>
        <v>9150410381</v>
      </c>
      <c r="F323" s="155" t="str">
        <f>IFERROR(__xludf.DUMMYFUNCTION("""COMPUTED_VALUE"""),"ISE")</f>
        <v>ISE</v>
      </c>
      <c r="G323" s="158"/>
      <c r="H323" s="559">
        <f>IFERROR(__xludf.DUMMYFUNCTION("""COMPUTED_VALUE"""),81.0)</f>
        <v>81</v>
      </c>
      <c r="I323" s="559">
        <f>IFERROR(__xludf.DUMMYFUNCTION("""COMPUTED_VALUE"""),84.0)</f>
        <v>84</v>
      </c>
      <c r="J323" s="559">
        <f>IFERROR(__xludf.DUMMYFUNCTION("""COMPUTED_VALUE"""),73.0)</f>
        <v>73</v>
      </c>
      <c r="K323" s="559">
        <f>IFERROR(__xludf.DUMMYFUNCTION("""COMPUTED_VALUE"""),87.0)</f>
        <v>87</v>
      </c>
      <c r="L323" s="560">
        <f>IFERROR(__xludf.DUMMYFUNCTION("""COMPUTED_VALUE"""),50.0)</f>
        <v>50</v>
      </c>
      <c r="M323" s="561">
        <f>IFERROR(__xludf.DUMMYFUNCTION("""COMPUTED_VALUE"""),50.0)</f>
        <v>50</v>
      </c>
      <c r="N323" s="561">
        <f>IFERROR(__xludf.DUMMYFUNCTION("""COMPUTED_VALUE"""),51.0)</f>
        <v>51</v>
      </c>
      <c r="O323" s="560"/>
      <c r="P323" s="562">
        <f>IFERROR(__xludf.DUMMYFUNCTION("""COMPUTED_VALUE"""),87.0)</f>
        <v>87</v>
      </c>
      <c r="Q323" s="562">
        <f>IFERROR(__xludf.DUMMYFUNCTION("""COMPUTED_VALUE"""),90.0)</f>
        <v>90</v>
      </c>
      <c r="R323" s="562">
        <f>IFERROR(__xludf.DUMMYFUNCTION("""COMPUTED_VALUE"""),74.0)</f>
        <v>74</v>
      </c>
      <c r="S323" s="562"/>
      <c r="T323" s="217">
        <f>IFERROR(__xludf.DUMMYFUNCTION("""COMPUTED_VALUE"""),10.0)</f>
        <v>10</v>
      </c>
      <c r="U323" s="217">
        <f>IFERROR(__xludf.DUMMYFUNCTION("""COMPUTED_VALUE"""),23.0)</f>
        <v>23</v>
      </c>
      <c r="V323" s="217">
        <f>IFERROR(__xludf.DUMMYFUNCTION("""COMPUTED_VALUE"""),46.0)</f>
        <v>46</v>
      </c>
      <c r="W323" s="217">
        <f>IFERROR(__xludf.DUMMYFUNCTION("""COMPUTED_VALUE"""),52.0)</f>
        <v>52</v>
      </c>
      <c r="X323" s="217">
        <f>IFERROR(__xludf.DUMMYFUNCTION("""COMPUTED_VALUE"""),84.0)</f>
        <v>84</v>
      </c>
      <c r="Y323" s="217"/>
      <c r="Z323" s="217"/>
      <c r="AA323" s="481">
        <f>IFERROR(__xludf.DUMMYFUNCTION("""COMPUTED_VALUE"""),68.0)</f>
        <v>68</v>
      </c>
      <c r="AB323" s="481">
        <f>IFERROR(__xludf.DUMMYFUNCTION("""COMPUTED_VALUE"""),100.0)</f>
        <v>100</v>
      </c>
      <c r="AC323" s="481">
        <f>IFERROR(__xludf.DUMMYFUNCTION("""COMPUTED_VALUE"""),73.0)</f>
        <v>73</v>
      </c>
      <c r="AD323" s="481">
        <f>IFERROR(__xludf.DUMMYFUNCTION("""COMPUTED_VALUE"""),100.0)</f>
        <v>100</v>
      </c>
      <c r="AE323" s="481">
        <f>IFERROR(__xludf.DUMMYFUNCTION("""COMPUTED_VALUE"""),74.0)</f>
        <v>74</v>
      </c>
      <c r="AF323" s="481"/>
      <c r="AG323" s="481">
        <f>IFERROR(__xludf.DUMMYFUNCTION("""COMPUTED_VALUE"""),70.0)</f>
        <v>70</v>
      </c>
      <c r="AH323" s="481"/>
      <c r="AI323" s="158"/>
      <c r="AJ323" s="158"/>
      <c r="AK323" s="133">
        <f>IFERROR(__xludf.DUMMYFUNCTION("""COMPUTED_VALUE"""),4.0)</f>
        <v>4</v>
      </c>
      <c r="AL323" s="133">
        <f>IFERROR(__xludf.DUMMYFUNCTION("""COMPUTED_VALUE"""),3.0)</f>
        <v>3</v>
      </c>
      <c r="AM323" s="133">
        <f>IFERROR(__xludf.DUMMYFUNCTION("""COMPUTED_VALUE"""),3.0)</f>
        <v>3</v>
      </c>
      <c r="AN323" s="133" t="str">
        <f>IFERROR(__xludf.DUMMYFUNCTION("""COMPUTED_VALUE"""),"3.5")</f>
        <v>3.5</v>
      </c>
      <c r="AO323" s="133">
        <f>IFERROR(__xludf.DUMMYFUNCTION("""COMPUTED_VALUE"""),3.0)</f>
        <v>3</v>
      </c>
      <c r="AP323" s="155" t="s">
        <v>3706</v>
      </c>
    </row>
    <row r="324">
      <c r="A324" s="261">
        <f>IFERROR(__xludf.DUMMYFUNCTION("""COMPUTED_VALUE"""),86.0)</f>
        <v>86</v>
      </c>
      <c r="B324" s="261" t="str">
        <f>IFERROR(__xludf.DUMMYFUNCTION("""COMPUTED_VALUE"""),"lavh23ise@cmrit.ac.in")</f>
        <v>lavh23ise@cmrit.ac.in</v>
      </c>
      <c r="C324" s="172" t="str">
        <f>IFERROR(__xludf.DUMMYFUNCTION("""COMPUTED_VALUE"""),"LAHARI V H")</f>
        <v>LAHARI V H</v>
      </c>
      <c r="D324" s="155" t="str">
        <f>IFERROR(__xludf.DUMMYFUNCTION("""COMPUTED_VALUE"""),"1CR23IS088")</f>
        <v>1CR23IS088</v>
      </c>
      <c r="E324" s="563">
        <f>IFERROR(__xludf.DUMMYFUNCTION("""COMPUTED_VALUE"""),9.148876443E9)</f>
        <v>9148876443</v>
      </c>
      <c r="F324" s="155" t="str">
        <f>IFERROR(__xludf.DUMMYFUNCTION("""COMPUTED_VALUE"""),"ISE")</f>
        <v>ISE</v>
      </c>
      <c r="G324" s="158"/>
      <c r="H324" s="559">
        <f>IFERROR(__xludf.DUMMYFUNCTION("""COMPUTED_VALUE"""),75.0)</f>
        <v>75</v>
      </c>
      <c r="I324" s="559">
        <f>IFERROR(__xludf.DUMMYFUNCTION("""COMPUTED_VALUE"""),84.0)</f>
        <v>84</v>
      </c>
      <c r="J324" s="559">
        <f>IFERROR(__xludf.DUMMYFUNCTION("""COMPUTED_VALUE"""),75.0)</f>
        <v>75</v>
      </c>
      <c r="K324" s="559">
        <f>IFERROR(__xludf.DUMMYFUNCTION("""COMPUTED_VALUE"""),80.0)</f>
        <v>80</v>
      </c>
      <c r="L324" s="560">
        <f>IFERROR(__xludf.DUMMYFUNCTION("""COMPUTED_VALUE"""),69.0)</f>
        <v>69</v>
      </c>
      <c r="M324" s="561">
        <f>IFERROR(__xludf.DUMMYFUNCTION("""COMPUTED_VALUE"""),37.0)</f>
        <v>37</v>
      </c>
      <c r="N324" s="561">
        <f>IFERROR(__xludf.DUMMYFUNCTION("""COMPUTED_VALUE"""),50.0)</f>
        <v>50</v>
      </c>
      <c r="O324" s="560"/>
      <c r="P324" s="562">
        <f>IFERROR(__xludf.DUMMYFUNCTION("""COMPUTED_VALUE"""),50.0)</f>
        <v>50</v>
      </c>
      <c r="Q324" s="562">
        <f>IFERROR(__xludf.DUMMYFUNCTION("""COMPUTED_VALUE"""),82.0)</f>
        <v>82</v>
      </c>
      <c r="R324" s="562">
        <f>IFERROR(__xludf.DUMMYFUNCTION("""COMPUTED_VALUE"""),86.0)</f>
        <v>86</v>
      </c>
      <c r="S324" s="562"/>
      <c r="T324" s="217">
        <f>IFERROR(__xludf.DUMMYFUNCTION("""COMPUTED_VALUE"""),10.0)</f>
        <v>10</v>
      </c>
      <c r="U324" s="217">
        <f>IFERROR(__xludf.DUMMYFUNCTION("""COMPUTED_VALUE"""),23.0)</f>
        <v>23</v>
      </c>
      <c r="V324" s="217">
        <f>IFERROR(__xludf.DUMMYFUNCTION("""COMPUTED_VALUE"""),46.0)</f>
        <v>46</v>
      </c>
      <c r="W324" s="217">
        <f>IFERROR(__xludf.DUMMYFUNCTION("""COMPUTED_VALUE"""),48.0)</f>
        <v>48</v>
      </c>
      <c r="X324" s="217">
        <f>IFERROR(__xludf.DUMMYFUNCTION("""COMPUTED_VALUE"""),80.0)</f>
        <v>80</v>
      </c>
      <c r="Y324" s="217"/>
      <c r="Z324" s="217"/>
      <c r="AA324" s="481">
        <f>IFERROR(__xludf.DUMMYFUNCTION("""COMPUTED_VALUE"""),80.0)</f>
        <v>80</v>
      </c>
      <c r="AB324" s="481">
        <f>IFERROR(__xludf.DUMMYFUNCTION("""COMPUTED_VALUE"""),97.0)</f>
        <v>97</v>
      </c>
      <c r="AC324" s="481">
        <f>IFERROR(__xludf.DUMMYFUNCTION("""COMPUTED_VALUE"""),70.0)</f>
        <v>70</v>
      </c>
      <c r="AD324" s="481">
        <f>IFERROR(__xludf.DUMMYFUNCTION("""COMPUTED_VALUE"""),80.0)</f>
        <v>80</v>
      </c>
      <c r="AE324" s="481">
        <f>IFERROR(__xludf.DUMMYFUNCTION("""COMPUTED_VALUE"""),72.0)</f>
        <v>72</v>
      </c>
      <c r="AF324" s="481"/>
      <c r="AG324" s="481">
        <f>IFERROR(__xludf.DUMMYFUNCTION("""COMPUTED_VALUE"""),80.0)</f>
        <v>80</v>
      </c>
      <c r="AH324" s="481"/>
      <c r="AI324" s="158"/>
      <c r="AJ324" s="158"/>
      <c r="AK324" s="133">
        <f>IFERROR(__xludf.DUMMYFUNCTION("""COMPUTED_VALUE"""),4.0)</f>
        <v>4</v>
      </c>
      <c r="AL324" s="133">
        <f>IFERROR(__xludf.DUMMYFUNCTION("""COMPUTED_VALUE"""),1.0)</f>
        <v>1</v>
      </c>
      <c r="AM324" s="133">
        <f>IFERROR(__xludf.DUMMYFUNCTION("""COMPUTED_VALUE"""),2.0)</f>
        <v>2</v>
      </c>
      <c r="AN324" s="133" t="str">
        <f>IFERROR(__xludf.DUMMYFUNCTION("""COMPUTED_VALUE"""),"3.5")</f>
        <v>3.5</v>
      </c>
      <c r="AO324" s="133">
        <f>IFERROR(__xludf.DUMMYFUNCTION("""COMPUTED_VALUE"""),3.0)</f>
        <v>3</v>
      </c>
      <c r="AP324" s="155" t="s">
        <v>3706</v>
      </c>
    </row>
    <row r="325">
      <c r="A325" s="261">
        <f>IFERROR(__xludf.DUMMYFUNCTION("""COMPUTED_VALUE"""),87.0)</f>
        <v>87</v>
      </c>
      <c r="B325" s="261" t="str">
        <f>IFERROR(__xludf.DUMMYFUNCTION("""COMPUTED_VALUE"""),"la23ise@cmrit.ac.in")</f>
        <v>la23ise@cmrit.ac.in</v>
      </c>
      <c r="C325" s="172" t="str">
        <f>IFERROR(__xludf.DUMMYFUNCTION("""COMPUTED_VALUE"""),"LAKSHMEESHA")</f>
        <v>LAKSHMEESHA</v>
      </c>
      <c r="D325" s="155" t="str">
        <f>IFERROR(__xludf.DUMMYFUNCTION("""COMPUTED_VALUE"""),"1CR23IS089")</f>
        <v>1CR23IS089</v>
      </c>
      <c r="E325" s="563">
        <f>IFERROR(__xludf.DUMMYFUNCTION("""COMPUTED_VALUE"""),9.741612545E9)</f>
        <v>9741612545</v>
      </c>
      <c r="F325" s="155" t="str">
        <f>IFERROR(__xludf.DUMMYFUNCTION("""COMPUTED_VALUE"""),"ISE")</f>
        <v>ISE</v>
      </c>
      <c r="G325" s="158"/>
      <c r="H325" s="559">
        <f>IFERROR(__xludf.DUMMYFUNCTION("""COMPUTED_VALUE"""),71.0)</f>
        <v>71</v>
      </c>
      <c r="I325" s="559">
        <f>IFERROR(__xludf.DUMMYFUNCTION("""COMPUTED_VALUE"""),77.0)</f>
        <v>77</v>
      </c>
      <c r="J325" s="559">
        <f>IFERROR(__xludf.DUMMYFUNCTION("""COMPUTED_VALUE"""),71.0)</f>
        <v>71</v>
      </c>
      <c r="K325" s="559">
        <f>IFERROR(__xludf.DUMMYFUNCTION("""COMPUTED_VALUE"""),74.0)</f>
        <v>74</v>
      </c>
      <c r="L325" s="560">
        <f>IFERROR(__xludf.DUMMYFUNCTION("""COMPUTED_VALUE"""),50.0)</f>
        <v>50</v>
      </c>
      <c r="M325" s="561">
        <f>IFERROR(__xludf.DUMMYFUNCTION("""COMPUTED_VALUE"""),24.0)</f>
        <v>24</v>
      </c>
      <c r="N325" s="561">
        <f>IFERROR(__xludf.DUMMYFUNCTION("""COMPUTED_VALUE"""),50.0)</f>
        <v>50</v>
      </c>
      <c r="O325" s="560"/>
      <c r="P325" s="562">
        <f>IFERROR(__xludf.DUMMYFUNCTION("""COMPUTED_VALUE"""),68.0)</f>
        <v>68</v>
      </c>
      <c r="Q325" s="562">
        <f>IFERROR(__xludf.DUMMYFUNCTION("""COMPUTED_VALUE"""),62.0)</f>
        <v>62</v>
      </c>
      <c r="R325" s="562">
        <f>IFERROR(__xludf.DUMMYFUNCTION("""COMPUTED_VALUE"""),89.0)</f>
        <v>89</v>
      </c>
      <c r="S325" s="562"/>
      <c r="T325" s="217">
        <f>IFERROR(__xludf.DUMMYFUNCTION("""COMPUTED_VALUE"""),12.0)</f>
        <v>12</v>
      </c>
      <c r="U325" s="217">
        <f>IFERROR(__xludf.DUMMYFUNCTION("""COMPUTED_VALUE"""),24.0)</f>
        <v>24</v>
      </c>
      <c r="V325" s="217">
        <f>IFERROR(__xludf.DUMMYFUNCTION("""COMPUTED_VALUE"""),48.0)</f>
        <v>48</v>
      </c>
      <c r="W325" s="217"/>
      <c r="X325" s="217">
        <f>IFERROR(__xludf.DUMMYFUNCTION("""COMPUTED_VALUE"""),76.0)</f>
        <v>76</v>
      </c>
      <c r="Y325" s="217"/>
      <c r="Z325" s="217"/>
      <c r="AA325" s="481">
        <f>IFERROR(__xludf.DUMMYFUNCTION("""COMPUTED_VALUE"""),45.0)</f>
        <v>45</v>
      </c>
      <c r="AB325" s="481">
        <f>IFERROR(__xludf.DUMMYFUNCTION("""COMPUTED_VALUE"""),100.0)</f>
        <v>100</v>
      </c>
      <c r="AC325" s="481">
        <f>IFERROR(__xludf.DUMMYFUNCTION("""COMPUTED_VALUE"""),67.0)</f>
        <v>67</v>
      </c>
      <c r="AD325" s="481">
        <f>IFERROR(__xludf.DUMMYFUNCTION("""COMPUTED_VALUE"""),60.0)</f>
        <v>60</v>
      </c>
      <c r="AE325" s="481">
        <f>IFERROR(__xludf.DUMMYFUNCTION("""COMPUTED_VALUE"""),70.0)</f>
        <v>70</v>
      </c>
      <c r="AF325" s="481"/>
      <c r="AG325" s="481">
        <f>IFERROR(__xludf.DUMMYFUNCTION("""COMPUTED_VALUE"""),52.0)</f>
        <v>52</v>
      </c>
      <c r="AH325" s="481"/>
      <c r="AI325" s="158"/>
      <c r="AJ325" s="158"/>
      <c r="AK325" s="133">
        <f>IFERROR(__xludf.DUMMYFUNCTION("""COMPUTED_VALUE"""),4.0)</f>
        <v>4</v>
      </c>
      <c r="AL325" s="133">
        <f>IFERROR(__xludf.DUMMYFUNCTION("""COMPUTED_VALUE"""),1.0)</f>
        <v>1</v>
      </c>
      <c r="AM325" s="133">
        <f>IFERROR(__xludf.DUMMYFUNCTION("""COMPUTED_VALUE"""),2.0)</f>
        <v>2</v>
      </c>
      <c r="AN325" s="133" t="str">
        <f>IFERROR(__xludf.DUMMYFUNCTION("""COMPUTED_VALUE"""),"3.5")</f>
        <v>3.5</v>
      </c>
      <c r="AO325" s="133">
        <f>IFERROR(__xludf.DUMMYFUNCTION("""COMPUTED_VALUE"""),3.0)</f>
        <v>3</v>
      </c>
      <c r="AP325" s="155" t="s">
        <v>3706</v>
      </c>
    </row>
    <row r="326">
      <c r="A326" s="261">
        <f>IFERROR(__xludf.DUMMYFUNCTION("""COMPUTED_VALUE"""),88.0)</f>
        <v>88</v>
      </c>
      <c r="B326" s="261" t="str">
        <f>IFERROR(__xludf.DUMMYFUNCTION("""COMPUTED_VALUE"""),"lakr23ise@cmrit.ac.in")</f>
        <v>lakr23ise@cmrit.ac.in</v>
      </c>
      <c r="C326" s="172" t="str">
        <f>IFERROR(__xludf.DUMMYFUNCTION("""COMPUTED_VALUE"""),"LAKSHMI K R")</f>
        <v>LAKSHMI K R</v>
      </c>
      <c r="D326" s="155" t="str">
        <f>IFERROR(__xludf.DUMMYFUNCTION("""COMPUTED_VALUE"""),"1CR23IS090")</f>
        <v>1CR23IS090</v>
      </c>
      <c r="E326" s="563">
        <f>IFERROR(__xludf.DUMMYFUNCTION("""COMPUTED_VALUE"""),7.975950934E9)</f>
        <v>7975950934</v>
      </c>
      <c r="F326" s="155" t="str">
        <f>IFERROR(__xludf.DUMMYFUNCTION("""COMPUTED_VALUE"""),"ISE")</f>
        <v>ISE</v>
      </c>
      <c r="G326" s="158"/>
      <c r="H326" s="559">
        <f>IFERROR(__xludf.DUMMYFUNCTION("""COMPUTED_VALUE"""),70.0)</f>
        <v>70</v>
      </c>
      <c r="I326" s="559">
        <f>IFERROR(__xludf.DUMMYFUNCTION("""COMPUTED_VALUE"""),76.0)</f>
        <v>76</v>
      </c>
      <c r="J326" s="559">
        <f>IFERROR(__xludf.DUMMYFUNCTION("""COMPUTED_VALUE"""),70.0)</f>
        <v>70</v>
      </c>
      <c r="K326" s="559">
        <f>IFERROR(__xludf.DUMMYFUNCTION("""COMPUTED_VALUE"""),70.0)</f>
        <v>70</v>
      </c>
      <c r="L326" s="560">
        <f>IFERROR(__xludf.DUMMYFUNCTION("""COMPUTED_VALUE"""),50.0)</f>
        <v>50</v>
      </c>
      <c r="M326" s="561">
        <f>IFERROR(__xludf.DUMMYFUNCTION("""COMPUTED_VALUE"""),50.0)</f>
        <v>50</v>
      </c>
      <c r="N326" s="561">
        <f>IFERROR(__xludf.DUMMYFUNCTION("""COMPUTED_VALUE"""),50.0)</f>
        <v>50</v>
      </c>
      <c r="O326" s="560"/>
      <c r="P326" s="562">
        <f>IFERROR(__xludf.DUMMYFUNCTION("""COMPUTED_VALUE"""),86.0)</f>
        <v>86</v>
      </c>
      <c r="Q326" s="562">
        <f>IFERROR(__xludf.DUMMYFUNCTION("""COMPUTED_VALUE"""),81.0)</f>
        <v>81</v>
      </c>
      <c r="R326" s="562">
        <f>IFERROR(__xludf.DUMMYFUNCTION("""COMPUTED_VALUE"""),95.0)</f>
        <v>95</v>
      </c>
      <c r="S326" s="562"/>
      <c r="T326" s="217">
        <f>IFERROR(__xludf.DUMMYFUNCTION("""COMPUTED_VALUE"""),12.0)</f>
        <v>12</v>
      </c>
      <c r="U326" s="217">
        <f>IFERROR(__xludf.DUMMYFUNCTION("""COMPUTED_VALUE"""),25.0)</f>
        <v>25</v>
      </c>
      <c r="V326" s="217">
        <f>IFERROR(__xludf.DUMMYFUNCTION("""COMPUTED_VALUE"""),46.0)</f>
        <v>46</v>
      </c>
      <c r="W326" s="217">
        <f>IFERROR(__xludf.DUMMYFUNCTION("""COMPUTED_VALUE"""),80.0)</f>
        <v>80</v>
      </c>
      <c r="X326" s="217">
        <f>IFERROR(__xludf.DUMMYFUNCTION("""COMPUTED_VALUE"""),88.0)</f>
        <v>88</v>
      </c>
      <c r="Y326" s="217"/>
      <c r="Z326" s="217"/>
      <c r="AA326" s="481">
        <f>IFERROR(__xludf.DUMMYFUNCTION("""COMPUTED_VALUE"""),0.0)</f>
        <v>0</v>
      </c>
      <c r="AB326" s="481">
        <f>IFERROR(__xludf.DUMMYFUNCTION("""COMPUTED_VALUE"""),100.0)</f>
        <v>100</v>
      </c>
      <c r="AC326" s="481">
        <f>IFERROR(__xludf.DUMMYFUNCTION("""COMPUTED_VALUE"""),67.0)</f>
        <v>67</v>
      </c>
      <c r="AD326" s="481">
        <f>IFERROR(__xludf.DUMMYFUNCTION("""COMPUTED_VALUE"""),100.0)</f>
        <v>100</v>
      </c>
      <c r="AE326" s="481">
        <f>IFERROR(__xludf.DUMMYFUNCTION("""COMPUTED_VALUE"""),70.0)</f>
        <v>70</v>
      </c>
      <c r="AF326" s="481"/>
      <c r="AG326" s="481">
        <f>IFERROR(__xludf.DUMMYFUNCTION("""COMPUTED_VALUE"""),74.0)</f>
        <v>74</v>
      </c>
      <c r="AH326" s="481"/>
      <c r="AI326" s="158"/>
      <c r="AJ326" s="158"/>
      <c r="AK326" s="133">
        <f>IFERROR(__xludf.DUMMYFUNCTION("""COMPUTED_VALUE"""),4.0)</f>
        <v>4</v>
      </c>
      <c r="AL326" s="133">
        <f>IFERROR(__xludf.DUMMYFUNCTION("""COMPUTED_VALUE"""),3.0)</f>
        <v>3</v>
      </c>
      <c r="AM326" s="133">
        <f>IFERROR(__xludf.DUMMYFUNCTION("""COMPUTED_VALUE"""),3.0)</f>
        <v>3</v>
      </c>
      <c r="AN326" s="133" t="str">
        <f>IFERROR(__xludf.DUMMYFUNCTION("""COMPUTED_VALUE"""),"3.5")</f>
        <v>3.5</v>
      </c>
      <c r="AO326" s="133">
        <f>IFERROR(__xludf.DUMMYFUNCTION("""COMPUTED_VALUE"""),3.0)</f>
        <v>3</v>
      </c>
      <c r="AP326" s="155" t="s">
        <v>3706</v>
      </c>
    </row>
    <row r="327">
      <c r="A327" s="261">
        <f>IFERROR(__xludf.DUMMYFUNCTION("""COMPUTED_VALUE"""),89.0)</f>
        <v>89</v>
      </c>
      <c r="B327" s="261" t="str">
        <f>IFERROR(__xludf.DUMMYFUNCTION("""COMPUTED_VALUE"""),"laav23ise@cmrit.ac.in")</f>
        <v>laav23ise@cmrit.ac.in</v>
      </c>
      <c r="C327" s="172" t="str">
        <f>IFERROR(__xludf.DUMMYFUNCTION("""COMPUTED_VALUE"""),"LAVISH AVINASH")</f>
        <v>LAVISH AVINASH</v>
      </c>
      <c r="D327" s="155" t="str">
        <f>IFERROR(__xludf.DUMMYFUNCTION("""COMPUTED_VALUE"""),"1CR23IS091")</f>
        <v>1CR23IS091</v>
      </c>
      <c r="E327" s="563">
        <f>IFERROR(__xludf.DUMMYFUNCTION("""COMPUTED_VALUE"""),9.686910823E9)</f>
        <v>9686910823</v>
      </c>
      <c r="F327" s="155" t="str">
        <f>IFERROR(__xludf.DUMMYFUNCTION("""COMPUTED_VALUE"""),"ISE")</f>
        <v>ISE</v>
      </c>
      <c r="G327" s="158"/>
      <c r="H327" s="559">
        <f>IFERROR(__xludf.DUMMYFUNCTION("""COMPUTED_VALUE"""),82.0)</f>
        <v>82</v>
      </c>
      <c r="I327" s="559">
        <f>IFERROR(__xludf.DUMMYFUNCTION("""COMPUTED_VALUE"""),88.0)</f>
        <v>88</v>
      </c>
      <c r="J327" s="559">
        <f>IFERROR(__xludf.DUMMYFUNCTION("""COMPUTED_VALUE"""),65.0)</f>
        <v>65</v>
      </c>
      <c r="K327" s="559">
        <f>IFERROR(__xludf.DUMMYFUNCTION("""COMPUTED_VALUE"""),72.0)</f>
        <v>72</v>
      </c>
      <c r="L327" s="560">
        <f>IFERROR(__xludf.DUMMYFUNCTION("""COMPUTED_VALUE"""),51.0)</f>
        <v>51</v>
      </c>
      <c r="M327" s="561">
        <f>IFERROR(__xludf.DUMMYFUNCTION("""COMPUTED_VALUE"""),19.0)</f>
        <v>19</v>
      </c>
      <c r="N327" s="561">
        <f>IFERROR(__xludf.DUMMYFUNCTION("""COMPUTED_VALUE"""),0.0)</f>
        <v>0</v>
      </c>
      <c r="O327" s="560"/>
      <c r="P327" s="562">
        <f>IFERROR(__xludf.DUMMYFUNCTION("""COMPUTED_VALUE"""),81.0)</f>
        <v>81</v>
      </c>
      <c r="Q327" s="562">
        <f>IFERROR(__xludf.DUMMYFUNCTION("""COMPUTED_VALUE"""),84.0)</f>
        <v>84</v>
      </c>
      <c r="R327" s="562">
        <f>IFERROR(__xludf.DUMMYFUNCTION("""COMPUTED_VALUE"""),50.0)</f>
        <v>50</v>
      </c>
      <c r="S327" s="562"/>
      <c r="T327" s="217">
        <f>IFERROR(__xludf.DUMMYFUNCTION("""COMPUTED_VALUE"""),18.0)</f>
        <v>18</v>
      </c>
      <c r="U327" s="217">
        <f>IFERROR(__xludf.DUMMYFUNCTION("""COMPUTED_VALUE"""),25.0)</f>
        <v>25</v>
      </c>
      <c r="V327" s="217">
        <f>IFERROR(__xludf.DUMMYFUNCTION("""COMPUTED_VALUE"""),50.0)</f>
        <v>50</v>
      </c>
      <c r="W327" s="217"/>
      <c r="X327" s="217">
        <f>IFERROR(__xludf.DUMMYFUNCTION("""COMPUTED_VALUE"""),0.0)</f>
        <v>0</v>
      </c>
      <c r="Y327" s="217"/>
      <c r="Z327" s="217"/>
      <c r="AA327" s="481">
        <f>IFERROR(__xludf.DUMMYFUNCTION("""COMPUTED_VALUE"""),64.0)</f>
        <v>64</v>
      </c>
      <c r="AB327" s="481">
        <f>IFERROR(__xludf.DUMMYFUNCTION("""COMPUTED_VALUE"""),100.0)</f>
        <v>100</v>
      </c>
      <c r="AC327" s="481">
        <f>IFERROR(__xludf.DUMMYFUNCTION("""COMPUTED_VALUE"""),43.0)</f>
        <v>43</v>
      </c>
      <c r="AD327" s="481">
        <f>IFERROR(__xludf.DUMMYFUNCTION("""COMPUTED_VALUE"""),70.0)</f>
        <v>70</v>
      </c>
      <c r="AE327" s="481">
        <f>IFERROR(__xludf.DUMMYFUNCTION("""COMPUTED_VALUE"""),10.0)</f>
        <v>10</v>
      </c>
      <c r="AF327" s="481"/>
      <c r="AG327" s="481">
        <f>IFERROR(__xludf.DUMMYFUNCTION("""COMPUTED_VALUE"""),10.0)</f>
        <v>10</v>
      </c>
      <c r="AH327" s="481"/>
      <c r="AI327" s="158"/>
      <c r="AJ327" s="158"/>
      <c r="AK327" s="133">
        <f>IFERROR(__xludf.DUMMYFUNCTION("""COMPUTED_VALUE"""),2.0)</f>
        <v>2</v>
      </c>
      <c r="AL327" s="133">
        <f>IFERROR(__xludf.DUMMYFUNCTION("""COMPUTED_VALUE"""),1.0)</f>
        <v>1</v>
      </c>
      <c r="AM327" s="133">
        <f>IFERROR(__xludf.DUMMYFUNCTION("""COMPUTED_VALUE"""),2.0)</f>
        <v>2</v>
      </c>
      <c r="AN327" s="133" t="str">
        <f>IFERROR(__xludf.DUMMYFUNCTION("""COMPUTED_VALUE"""),"3")</f>
        <v>3</v>
      </c>
      <c r="AO327" s="133">
        <f>IFERROR(__xludf.DUMMYFUNCTION("""COMPUTED_VALUE"""),3.0)</f>
        <v>3</v>
      </c>
      <c r="AP327" s="155" t="s">
        <v>3706</v>
      </c>
    </row>
    <row r="328">
      <c r="A328" s="261">
        <f>IFERROR(__xludf.DUMMYFUNCTION("""COMPUTED_VALUE"""),90.0)</f>
        <v>90</v>
      </c>
      <c r="B328" s="261" t="str">
        <f>IFERROR(__xludf.DUMMYFUNCTION("""COMPUTED_VALUE"""),"lav23ise@cmrit.ac.in")</f>
        <v>lav23ise@cmrit.ac.in</v>
      </c>
      <c r="C328" s="172" t="str">
        <f>IFERROR(__xludf.DUMMYFUNCTION("""COMPUTED_VALUE"""),"LAYASHREE V")</f>
        <v>LAYASHREE V</v>
      </c>
      <c r="D328" s="155" t="str">
        <f>IFERROR(__xludf.DUMMYFUNCTION("""COMPUTED_VALUE"""),"1CR23IS092")</f>
        <v>1CR23IS092</v>
      </c>
      <c r="E328" s="563">
        <f>IFERROR(__xludf.DUMMYFUNCTION("""COMPUTED_VALUE"""),9.535060762E9)</f>
        <v>9535060762</v>
      </c>
      <c r="F328" s="155" t="str">
        <f>IFERROR(__xludf.DUMMYFUNCTION("""COMPUTED_VALUE"""),"ISE")</f>
        <v>ISE</v>
      </c>
      <c r="G328" s="158"/>
      <c r="H328" s="559">
        <f>IFERROR(__xludf.DUMMYFUNCTION("""COMPUTED_VALUE"""),81.0)</f>
        <v>81</v>
      </c>
      <c r="I328" s="559">
        <f>IFERROR(__xludf.DUMMYFUNCTION("""COMPUTED_VALUE"""),91.0)</f>
        <v>91</v>
      </c>
      <c r="J328" s="559">
        <f>IFERROR(__xludf.DUMMYFUNCTION("""COMPUTED_VALUE"""),77.0)</f>
        <v>77</v>
      </c>
      <c r="K328" s="559">
        <f>IFERROR(__xludf.DUMMYFUNCTION("""COMPUTED_VALUE"""),86.0)</f>
        <v>86</v>
      </c>
      <c r="L328" s="560">
        <f>IFERROR(__xludf.DUMMYFUNCTION("""COMPUTED_VALUE"""),60.0)</f>
        <v>60</v>
      </c>
      <c r="M328" s="561">
        <f>IFERROR(__xludf.DUMMYFUNCTION("""COMPUTED_VALUE"""),43.0)</f>
        <v>43</v>
      </c>
      <c r="N328" s="561">
        <f>IFERROR(__xludf.DUMMYFUNCTION("""COMPUTED_VALUE"""),59.0)</f>
        <v>59</v>
      </c>
      <c r="O328" s="560"/>
      <c r="P328" s="562">
        <f>IFERROR(__xludf.DUMMYFUNCTION("""COMPUTED_VALUE"""),86.0)</f>
        <v>86</v>
      </c>
      <c r="Q328" s="562">
        <f>IFERROR(__xludf.DUMMYFUNCTION("""COMPUTED_VALUE"""),82.0)</f>
        <v>82</v>
      </c>
      <c r="R328" s="562">
        <f>IFERROR(__xludf.DUMMYFUNCTION("""COMPUTED_VALUE"""),87.0)</f>
        <v>87</v>
      </c>
      <c r="S328" s="562"/>
      <c r="T328" s="217">
        <f>IFERROR(__xludf.DUMMYFUNCTION("""COMPUTED_VALUE"""),14.0)</f>
        <v>14</v>
      </c>
      <c r="U328" s="217">
        <f>IFERROR(__xludf.DUMMYFUNCTION("""COMPUTED_VALUE"""),21.0)</f>
        <v>21</v>
      </c>
      <c r="V328" s="217">
        <f>IFERROR(__xludf.DUMMYFUNCTION("""COMPUTED_VALUE"""),46.0)</f>
        <v>46</v>
      </c>
      <c r="W328" s="217">
        <f>IFERROR(__xludf.DUMMYFUNCTION("""COMPUTED_VALUE"""),48.0)</f>
        <v>48</v>
      </c>
      <c r="X328" s="217">
        <f>IFERROR(__xludf.DUMMYFUNCTION("""COMPUTED_VALUE"""),80.0)</f>
        <v>80</v>
      </c>
      <c r="Y328" s="217"/>
      <c r="Z328" s="217"/>
      <c r="AA328" s="481">
        <f>IFERROR(__xludf.DUMMYFUNCTION("""COMPUTED_VALUE"""),64.0)</f>
        <v>64</v>
      </c>
      <c r="AB328" s="481">
        <f>IFERROR(__xludf.DUMMYFUNCTION("""COMPUTED_VALUE"""),100.0)</f>
        <v>100</v>
      </c>
      <c r="AC328" s="481">
        <f>IFERROR(__xludf.DUMMYFUNCTION("""COMPUTED_VALUE"""),72.0)</f>
        <v>72</v>
      </c>
      <c r="AD328" s="481">
        <f>IFERROR(__xludf.DUMMYFUNCTION("""COMPUTED_VALUE"""),100.0)</f>
        <v>100</v>
      </c>
      <c r="AE328" s="481">
        <f>IFERROR(__xludf.DUMMYFUNCTION("""COMPUTED_VALUE"""),70.0)</f>
        <v>70</v>
      </c>
      <c r="AF328" s="481"/>
      <c r="AG328" s="481">
        <f>IFERROR(__xludf.DUMMYFUNCTION("""COMPUTED_VALUE"""),75.0)</f>
        <v>75</v>
      </c>
      <c r="AH328" s="481"/>
      <c r="AI328" s="158"/>
      <c r="AJ328" s="158"/>
      <c r="AK328" s="133">
        <f>IFERROR(__xludf.DUMMYFUNCTION("""COMPUTED_VALUE"""),4.0)</f>
        <v>4</v>
      </c>
      <c r="AL328" s="133">
        <f>IFERROR(__xludf.DUMMYFUNCTION("""COMPUTED_VALUE"""),1.0)</f>
        <v>1</v>
      </c>
      <c r="AM328" s="133">
        <f>IFERROR(__xludf.DUMMYFUNCTION("""COMPUTED_VALUE"""),2.0)</f>
        <v>2</v>
      </c>
      <c r="AN328" s="133" t="str">
        <f>IFERROR(__xludf.DUMMYFUNCTION("""COMPUTED_VALUE"""),"3.5")</f>
        <v>3.5</v>
      </c>
      <c r="AO328" s="133">
        <f>IFERROR(__xludf.DUMMYFUNCTION("""COMPUTED_VALUE"""),3.0)</f>
        <v>3</v>
      </c>
      <c r="AP328" s="155" t="s">
        <v>3706</v>
      </c>
    </row>
    <row r="329">
      <c r="A329" s="261">
        <f>IFERROR(__xludf.DUMMYFUNCTION("""COMPUTED_VALUE"""),91.0)</f>
        <v>91</v>
      </c>
      <c r="B329" s="261" t="str">
        <f>IFERROR(__xludf.DUMMYFUNCTION("""COMPUTED_VALUE"""),"luda23ise@cmrit.ac.in")</f>
        <v>luda23ise@cmrit.ac.in</v>
      </c>
      <c r="C329" s="172" t="str">
        <f>IFERROR(__xludf.DUMMYFUNCTION("""COMPUTED_VALUE"""),"LUCKY DADLANI")</f>
        <v>LUCKY DADLANI</v>
      </c>
      <c r="D329" s="155" t="str">
        <f>IFERROR(__xludf.DUMMYFUNCTION("""COMPUTED_VALUE"""),"1CR23IS093")</f>
        <v>1CR23IS093</v>
      </c>
      <c r="E329" s="563">
        <f>IFERROR(__xludf.DUMMYFUNCTION("""COMPUTED_VALUE"""),9.329944373E9)</f>
        <v>9329944373</v>
      </c>
      <c r="F329" s="155" t="str">
        <f>IFERROR(__xludf.DUMMYFUNCTION("""COMPUTED_VALUE"""),"ISE")</f>
        <v>ISE</v>
      </c>
      <c r="G329" s="158"/>
      <c r="H329" s="559">
        <f>IFERROR(__xludf.DUMMYFUNCTION("""COMPUTED_VALUE"""),92.0)</f>
        <v>92</v>
      </c>
      <c r="I329" s="559">
        <f>IFERROR(__xludf.DUMMYFUNCTION("""COMPUTED_VALUE"""),92.0)</f>
        <v>92</v>
      </c>
      <c r="J329" s="559">
        <f>IFERROR(__xludf.DUMMYFUNCTION("""COMPUTED_VALUE"""),79.0)</f>
        <v>79</v>
      </c>
      <c r="K329" s="559">
        <f>IFERROR(__xludf.DUMMYFUNCTION("""COMPUTED_VALUE"""),83.0)</f>
        <v>83</v>
      </c>
      <c r="L329" s="560">
        <f>IFERROR(__xludf.DUMMYFUNCTION("""COMPUTED_VALUE"""),63.0)</f>
        <v>63</v>
      </c>
      <c r="M329" s="561">
        <f>IFERROR(__xludf.DUMMYFUNCTION("""COMPUTED_VALUE"""),96.0)</f>
        <v>96</v>
      </c>
      <c r="N329" s="561">
        <f>IFERROR(__xludf.DUMMYFUNCTION("""COMPUTED_VALUE"""),76.0)</f>
        <v>76</v>
      </c>
      <c r="O329" s="560"/>
      <c r="P329" s="562">
        <f>IFERROR(__xludf.DUMMYFUNCTION("""COMPUTED_VALUE"""),90.0)</f>
        <v>90</v>
      </c>
      <c r="Q329" s="562">
        <f>IFERROR(__xludf.DUMMYFUNCTION("""COMPUTED_VALUE"""),81.0)</f>
        <v>81</v>
      </c>
      <c r="R329" s="562">
        <f>IFERROR(__xludf.DUMMYFUNCTION("""COMPUTED_VALUE"""),91.0)</f>
        <v>91</v>
      </c>
      <c r="S329" s="562"/>
      <c r="T329" s="217">
        <f>IFERROR(__xludf.DUMMYFUNCTION("""COMPUTED_VALUE"""),12.0)</f>
        <v>12</v>
      </c>
      <c r="U329" s="217">
        <f>IFERROR(__xludf.DUMMYFUNCTION("""COMPUTED_VALUE"""),23.0)</f>
        <v>23</v>
      </c>
      <c r="V329" s="217">
        <f>IFERROR(__xludf.DUMMYFUNCTION("""COMPUTED_VALUE"""),42.0)</f>
        <v>42</v>
      </c>
      <c r="W329" s="217">
        <f>IFERROR(__xludf.DUMMYFUNCTION("""COMPUTED_VALUE"""),68.0)</f>
        <v>68</v>
      </c>
      <c r="X329" s="217">
        <f>IFERROR(__xludf.DUMMYFUNCTION("""COMPUTED_VALUE"""),76.0)</f>
        <v>76</v>
      </c>
      <c r="Y329" s="217"/>
      <c r="Z329" s="217"/>
      <c r="AA329" s="481">
        <f>IFERROR(__xludf.DUMMYFUNCTION("""COMPUTED_VALUE"""),84.0)</f>
        <v>84</v>
      </c>
      <c r="AB329" s="481">
        <f>IFERROR(__xludf.DUMMYFUNCTION("""COMPUTED_VALUE"""),100.0)</f>
        <v>100</v>
      </c>
      <c r="AC329" s="481">
        <f>IFERROR(__xludf.DUMMYFUNCTION("""COMPUTED_VALUE"""),30.0)</f>
        <v>30</v>
      </c>
      <c r="AD329" s="481">
        <f>IFERROR(__xludf.DUMMYFUNCTION("""COMPUTED_VALUE"""),70.0)</f>
        <v>70</v>
      </c>
      <c r="AE329" s="481">
        <f>IFERROR(__xludf.DUMMYFUNCTION("""COMPUTED_VALUE"""),73.0)</f>
        <v>73</v>
      </c>
      <c r="AF329" s="481"/>
      <c r="AG329" s="481">
        <f>IFERROR(__xludf.DUMMYFUNCTION("""COMPUTED_VALUE"""),80.0)</f>
        <v>80</v>
      </c>
      <c r="AH329" s="481"/>
      <c r="AI329" s="158"/>
      <c r="AJ329" s="158"/>
      <c r="AK329" s="133">
        <f>IFERROR(__xludf.DUMMYFUNCTION("""COMPUTED_VALUE"""),4.0)</f>
        <v>4</v>
      </c>
      <c r="AL329" s="133">
        <f>IFERROR(__xludf.DUMMYFUNCTION("""COMPUTED_VALUE"""),3.0)</f>
        <v>3</v>
      </c>
      <c r="AM329" s="133">
        <f>IFERROR(__xludf.DUMMYFUNCTION("""COMPUTED_VALUE"""),3.0)</f>
        <v>3</v>
      </c>
      <c r="AN329" s="133" t="str">
        <f>IFERROR(__xludf.DUMMYFUNCTION("""COMPUTED_VALUE"""),"3.5")</f>
        <v>3.5</v>
      </c>
      <c r="AO329" s="133">
        <f>IFERROR(__xludf.DUMMYFUNCTION("""COMPUTED_VALUE"""),3.0)</f>
        <v>3</v>
      </c>
      <c r="AP329" s="155" t="s">
        <v>3706</v>
      </c>
    </row>
    <row r="330">
      <c r="A330" s="261">
        <f>IFERROR(__xludf.DUMMYFUNCTION("""COMPUTED_VALUE"""),92.0)</f>
        <v>92</v>
      </c>
      <c r="B330" s="261" t="str">
        <f>IFERROR(__xludf.DUMMYFUNCTION("""COMPUTED_VALUE"""),"mnka23ise@cmrit.ac.in")</f>
        <v>mnka23ise@cmrit.ac.in</v>
      </c>
      <c r="C330" s="172" t="str">
        <f>IFERROR(__xludf.DUMMYFUNCTION("""COMPUTED_VALUE"""),"M N AKASH KASHYAP")</f>
        <v>M N AKASH KASHYAP</v>
      </c>
      <c r="D330" s="155" t="str">
        <f>IFERROR(__xludf.DUMMYFUNCTION("""COMPUTED_VALUE"""),"1CR23IS094")</f>
        <v>1CR23IS094</v>
      </c>
      <c r="E330" s="563">
        <f>IFERROR(__xludf.DUMMYFUNCTION("""COMPUTED_VALUE"""),9.901828113E9)</f>
        <v>9901828113</v>
      </c>
      <c r="F330" s="155" t="str">
        <f>IFERROR(__xludf.DUMMYFUNCTION("""COMPUTED_VALUE"""),"ISE")</f>
        <v>ISE</v>
      </c>
      <c r="G330" s="158"/>
      <c r="H330" s="559">
        <f>IFERROR(__xludf.DUMMYFUNCTION("""COMPUTED_VALUE"""),70.0)</f>
        <v>70</v>
      </c>
      <c r="I330" s="559">
        <f>IFERROR(__xludf.DUMMYFUNCTION("""COMPUTED_VALUE"""),94.0)</f>
        <v>94</v>
      </c>
      <c r="J330" s="559">
        <f>IFERROR(__xludf.DUMMYFUNCTION("""COMPUTED_VALUE"""),87.0)</f>
        <v>87</v>
      </c>
      <c r="K330" s="559">
        <f>IFERROR(__xludf.DUMMYFUNCTION("""COMPUTED_VALUE"""),72.0)</f>
        <v>72</v>
      </c>
      <c r="L330" s="560">
        <f>IFERROR(__xludf.DUMMYFUNCTION("""COMPUTED_VALUE"""),70.0)</f>
        <v>70</v>
      </c>
      <c r="M330" s="561">
        <f>IFERROR(__xludf.DUMMYFUNCTION("""COMPUTED_VALUE"""),70.0)</f>
        <v>70</v>
      </c>
      <c r="N330" s="561">
        <f>IFERROR(__xludf.DUMMYFUNCTION("""COMPUTED_VALUE"""),71.0)</f>
        <v>71</v>
      </c>
      <c r="O330" s="560"/>
      <c r="P330" s="562">
        <f>IFERROR(__xludf.DUMMYFUNCTION("""COMPUTED_VALUE"""),81.0)</f>
        <v>81</v>
      </c>
      <c r="Q330" s="562">
        <f>IFERROR(__xludf.DUMMYFUNCTION("""COMPUTED_VALUE"""),84.0)</f>
        <v>84</v>
      </c>
      <c r="R330" s="562">
        <f>IFERROR(__xludf.DUMMYFUNCTION("""COMPUTED_VALUE"""),90.0)</f>
        <v>90</v>
      </c>
      <c r="S330" s="562"/>
      <c r="T330" s="217">
        <f>IFERROR(__xludf.DUMMYFUNCTION("""COMPUTED_VALUE"""),16.0)</f>
        <v>16</v>
      </c>
      <c r="U330" s="217">
        <f>IFERROR(__xludf.DUMMYFUNCTION("""COMPUTED_VALUE"""),19.0)</f>
        <v>19</v>
      </c>
      <c r="V330" s="217">
        <f>IFERROR(__xludf.DUMMYFUNCTION("""COMPUTED_VALUE"""),46.0)</f>
        <v>46</v>
      </c>
      <c r="W330" s="217">
        <f>IFERROR(__xludf.DUMMYFUNCTION("""COMPUTED_VALUE"""),56.0)</f>
        <v>56</v>
      </c>
      <c r="X330" s="217">
        <f>IFERROR(__xludf.DUMMYFUNCTION("""COMPUTED_VALUE"""),84.0)</f>
        <v>84</v>
      </c>
      <c r="Y330" s="217"/>
      <c r="Z330" s="217"/>
      <c r="AA330" s="481">
        <f>IFERROR(__xludf.DUMMYFUNCTION("""COMPUTED_VALUE"""),96.0)</f>
        <v>96</v>
      </c>
      <c r="AB330" s="481">
        <f>IFERROR(__xludf.DUMMYFUNCTION("""COMPUTED_VALUE"""),95.0)</f>
        <v>95</v>
      </c>
      <c r="AC330" s="481">
        <f>IFERROR(__xludf.DUMMYFUNCTION("""COMPUTED_VALUE"""),98.0)</f>
        <v>98</v>
      </c>
      <c r="AD330" s="481">
        <f>IFERROR(__xludf.DUMMYFUNCTION("""COMPUTED_VALUE"""),83.0)</f>
        <v>83</v>
      </c>
      <c r="AE330" s="481">
        <f>IFERROR(__xludf.DUMMYFUNCTION("""COMPUTED_VALUE"""),78.0)</f>
        <v>78</v>
      </c>
      <c r="AF330" s="481"/>
      <c r="AG330" s="481">
        <f>IFERROR(__xludf.DUMMYFUNCTION("""COMPUTED_VALUE"""),70.0)</f>
        <v>70</v>
      </c>
      <c r="AH330" s="481"/>
      <c r="AI330" s="158"/>
      <c r="AJ330" s="158"/>
      <c r="AK330" s="133">
        <f>IFERROR(__xludf.DUMMYFUNCTION("""COMPUTED_VALUE"""),4.0)</f>
        <v>4</v>
      </c>
      <c r="AL330" s="133">
        <f>IFERROR(__xludf.DUMMYFUNCTION("""COMPUTED_VALUE"""),3.0)</f>
        <v>3</v>
      </c>
      <c r="AM330" s="133">
        <f>IFERROR(__xludf.DUMMYFUNCTION("""COMPUTED_VALUE"""),3.0)</f>
        <v>3</v>
      </c>
      <c r="AN330" s="133" t="str">
        <f>IFERROR(__xludf.DUMMYFUNCTION("""COMPUTED_VALUE"""),"3.5")</f>
        <v>3.5</v>
      </c>
      <c r="AO330" s="133">
        <f>IFERROR(__xludf.DUMMYFUNCTION("""COMPUTED_VALUE"""),3.0)</f>
        <v>3</v>
      </c>
      <c r="AP330" s="155" t="s">
        <v>3706</v>
      </c>
    </row>
    <row r="331">
      <c r="A331" s="261">
        <f>IFERROR(__xludf.DUMMYFUNCTION("""COMPUTED_VALUE"""),93.0)</f>
        <v>93</v>
      </c>
      <c r="B331" s="261" t="str">
        <f>IFERROR(__xludf.DUMMYFUNCTION("""COMPUTED_VALUE"""),"macl23ise@cmrit.ac.in")</f>
        <v>macl23ise@cmrit.ac.in</v>
      </c>
      <c r="C331" s="172" t="str">
        <f>IFERROR(__xludf.DUMMYFUNCTION("""COMPUTED_VALUE"""),"MADHU SHREE C L")</f>
        <v>MADHU SHREE C L</v>
      </c>
      <c r="D331" s="155" t="str">
        <f>IFERROR(__xludf.DUMMYFUNCTION("""COMPUTED_VALUE"""),"1CR23IS095")</f>
        <v>1CR23IS095</v>
      </c>
      <c r="E331" s="563">
        <f>IFERROR(__xludf.DUMMYFUNCTION("""COMPUTED_VALUE"""),8.904194894E9)</f>
        <v>8904194894</v>
      </c>
      <c r="F331" s="155" t="str">
        <f>IFERROR(__xludf.DUMMYFUNCTION("""COMPUTED_VALUE"""),"ISE")</f>
        <v>ISE</v>
      </c>
      <c r="G331" s="158"/>
      <c r="H331" s="559">
        <f>IFERROR(__xludf.DUMMYFUNCTION("""COMPUTED_VALUE"""),75.0)</f>
        <v>75</v>
      </c>
      <c r="I331" s="559">
        <f>IFERROR(__xludf.DUMMYFUNCTION("""COMPUTED_VALUE"""),78.0)</f>
        <v>78</v>
      </c>
      <c r="J331" s="559">
        <f>IFERROR(__xludf.DUMMYFUNCTION("""COMPUTED_VALUE"""),70.0)</f>
        <v>70</v>
      </c>
      <c r="K331" s="559">
        <f>IFERROR(__xludf.DUMMYFUNCTION("""COMPUTED_VALUE"""),70.0)</f>
        <v>70</v>
      </c>
      <c r="L331" s="560">
        <f>IFERROR(__xludf.DUMMYFUNCTION("""COMPUTED_VALUE"""),50.0)</f>
        <v>50</v>
      </c>
      <c r="M331" s="561">
        <f>IFERROR(__xludf.DUMMYFUNCTION("""COMPUTED_VALUE"""),50.0)</f>
        <v>50</v>
      </c>
      <c r="N331" s="561">
        <f>IFERROR(__xludf.DUMMYFUNCTION("""COMPUTED_VALUE"""),50.0)</f>
        <v>50</v>
      </c>
      <c r="O331" s="560"/>
      <c r="P331" s="562">
        <f>IFERROR(__xludf.DUMMYFUNCTION("""COMPUTED_VALUE"""),50.0)</f>
        <v>50</v>
      </c>
      <c r="Q331" s="562">
        <f>IFERROR(__xludf.DUMMYFUNCTION("""COMPUTED_VALUE"""),81.0)</f>
        <v>81</v>
      </c>
      <c r="R331" s="562">
        <f>IFERROR(__xludf.DUMMYFUNCTION("""COMPUTED_VALUE"""),84.0)</f>
        <v>84</v>
      </c>
      <c r="S331" s="562"/>
      <c r="T331" s="217">
        <f>IFERROR(__xludf.DUMMYFUNCTION("""COMPUTED_VALUE"""),11.0)</f>
        <v>11</v>
      </c>
      <c r="U331" s="217">
        <f>IFERROR(__xludf.DUMMYFUNCTION("""COMPUTED_VALUE"""),24.0)</f>
        <v>24</v>
      </c>
      <c r="V331" s="217">
        <f>IFERROR(__xludf.DUMMYFUNCTION("""COMPUTED_VALUE"""),48.0)</f>
        <v>48</v>
      </c>
      <c r="W331" s="217">
        <f>IFERROR(__xludf.DUMMYFUNCTION("""COMPUTED_VALUE"""),68.0)</f>
        <v>68</v>
      </c>
      <c r="X331" s="217">
        <f>IFERROR(__xludf.DUMMYFUNCTION("""COMPUTED_VALUE"""),88.0)</f>
        <v>88</v>
      </c>
      <c r="Y331" s="217"/>
      <c r="Z331" s="217"/>
      <c r="AA331" s="481">
        <f>IFERROR(__xludf.DUMMYFUNCTION("""COMPUTED_VALUE"""),62.0)</f>
        <v>62</v>
      </c>
      <c r="AB331" s="481">
        <f>IFERROR(__xludf.DUMMYFUNCTION("""COMPUTED_VALUE"""),100.0)</f>
        <v>100</v>
      </c>
      <c r="AC331" s="481">
        <f>IFERROR(__xludf.DUMMYFUNCTION("""COMPUTED_VALUE"""),62.0)</f>
        <v>62</v>
      </c>
      <c r="AD331" s="481">
        <f>IFERROR(__xludf.DUMMYFUNCTION("""COMPUTED_VALUE"""),60.0)</f>
        <v>60</v>
      </c>
      <c r="AE331" s="481">
        <f>IFERROR(__xludf.DUMMYFUNCTION("""COMPUTED_VALUE"""),90.0)</f>
        <v>90</v>
      </c>
      <c r="AF331" s="481"/>
      <c r="AG331" s="481">
        <f>IFERROR(__xludf.DUMMYFUNCTION("""COMPUTED_VALUE"""),67.0)</f>
        <v>67</v>
      </c>
      <c r="AH331" s="481"/>
      <c r="AI331" s="158"/>
      <c r="AJ331" s="158"/>
      <c r="AK331" s="133">
        <f>IFERROR(__xludf.DUMMYFUNCTION("""COMPUTED_VALUE"""),4.0)</f>
        <v>4</v>
      </c>
      <c r="AL331" s="133">
        <f>IFERROR(__xludf.DUMMYFUNCTION("""COMPUTED_VALUE"""),3.0)</f>
        <v>3</v>
      </c>
      <c r="AM331" s="133">
        <f>IFERROR(__xludf.DUMMYFUNCTION("""COMPUTED_VALUE"""),3.0)</f>
        <v>3</v>
      </c>
      <c r="AN331" s="133" t="str">
        <f>IFERROR(__xludf.DUMMYFUNCTION("""COMPUTED_VALUE"""),"3.5")</f>
        <v>3.5</v>
      </c>
      <c r="AO331" s="133">
        <f>IFERROR(__xludf.DUMMYFUNCTION("""COMPUTED_VALUE"""),3.0)</f>
        <v>3</v>
      </c>
      <c r="AP331" s="155" t="s">
        <v>3706</v>
      </c>
    </row>
    <row r="332">
      <c r="A332" s="261">
        <f>IFERROR(__xludf.DUMMYFUNCTION("""COMPUTED_VALUE"""),94.0)</f>
        <v>94</v>
      </c>
      <c r="B332" s="261" t="str">
        <f>IFERROR(__xludf.DUMMYFUNCTION("""COMPUTED_VALUE"""),"mar23ise@cmrit.ac.in")</f>
        <v>mar23ise@cmrit.ac.in</v>
      </c>
      <c r="C332" s="172" t="str">
        <f>IFERROR(__xludf.DUMMYFUNCTION("""COMPUTED_VALUE"""),"MANASA R")</f>
        <v>MANASA R</v>
      </c>
      <c r="D332" s="155" t="str">
        <f>IFERROR(__xludf.DUMMYFUNCTION("""COMPUTED_VALUE"""),"1CR23IS096")</f>
        <v>1CR23IS096</v>
      </c>
      <c r="E332" s="563">
        <f>IFERROR(__xludf.DUMMYFUNCTION("""COMPUTED_VALUE"""),8.310742023E9)</f>
        <v>8310742023</v>
      </c>
      <c r="F332" s="155" t="str">
        <f>IFERROR(__xludf.DUMMYFUNCTION("""COMPUTED_VALUE"""),"ISE")</f>
        <v>ISE</v>
      </c>
      <c r="G332" s="158"/>
      <c r="H332" s="559">
        <f>IFERROR(__xludf.DUMMYFUNCTION("""COMPUTED_VALUE"""),71.0)</f>
        <v>71</v>
      </c>
      <c r="I332" s="559">
        <f>IFERROR(__xludf.DUMMYFUNCTION("""COMPUTED_VALUE"""),80.0)</f>
        <v>80</v>
      </c>
      <c r="J332" s="559">
        <f>IFERROR(__xludf.DUMMYFUNCTION("""COMPUTED_VALUE"""),78.0)</f>
        <v>78</v>
      </c>
      <c r="K332" s="559">
        <f>IFERROR(__xludf.DUMMYFUNCTION("""COMPUTED_VALUE"""),73.0)</f>
        <v>73</v>
      </c>
      <c r="L332" s="560">
        <f>IFERROR(__xludf.DUMMYFUNCTION("""COMPUTED_VALUE"""),50.0)</f>
        <v>50</v>
      </c>
      <c r="M332" s="561">
        <f>IFERROR(__xludf.DUMMYFUNCTION("""COMPUTED_VALUE"""),53.0)</f>
        <v>53</v>
      </c>
      <c r="N332" s="561">
        <f>IFERROR(__xludf.DUMMYFUNCTION("""COMPUTED_VALUE"""),50.0)</f>
        <v>50</v>
      </c>
      <c r="O332" s="560"/>
      <c r="P332" s="562">
        <f>IFERROR(__xludf.DUMMYFUNCTION("""COMPUTED_VALUE"""),84.0)</f>
        <v>84</v>
      </c>
      <c r="Q332" s="562">
        <f>IFERROR(__xludf.DUMMYFUNCTION("""COMPUTED_VALUE"""),82.0)</f>
        <v>82</v>
      </c>
      <c r="R332" s="562">
        <f>IFERROR(__xludf.DUMMYFUNCTION("""COMPUTED_VALUE"""),50.0)</f>
        <v>50</v>
      </c>
      <c r="S332" s="562"/>
      <c r="T332" s="217">
        <f>IFERROR(__xludf.DUMMYFUNCTION("""COMPUTED_VALUE"""),11.0)</f>
        <v>11</v>
      </c>
      <c r="U332" s="217">
        <f>IFERROR(__xludf.DUMMYFUNCTION("""COMPUTED_VALUE"""),22.0)</f>
        <v>22</v>
      </c>
      <c r="V332" s="217">
        <f>IFERROR(__xludf.DUMMYFUNCTION("""COMPUTED_VALUE"""),46.0)</f>
        <v>46</v>
      </c>
      <c r="W332" s="217">
        <f>IFERROR(__xludf.DUMMYFUNCTION("""COMPUTED_VALUE"""),60.0)</f>
        <v>60</v>
      </c>
      <c r="X332" s="217">
        <f>IFERROR(__xludf.DUMMYFUNCTION("""COMPUTED_VALUE"""),80.0)</f>
        <v>80</v>
      </c>
      <c r="Y332" s="217"/>
      <c r="Z332" s="217"/>
      <c r="AA332" s="481">
        <f>IFERROR(__xludf.DUMMYFUNCTION("""COMPUTED_VALUE"""),54.0)</f>
        <v>54</v>
      </c>
      <c r="AB332" s="481">
        <f>IFERROR(__xludf.DUMMYFUNCTION("""COMPUTED_VALUE"""),100.0)</f>
        <v>100</v>
      </c>
      <c r="AC332" s="481">
        <f>IFERROR(__xludf.DUMMYFUNCTION("""COMPUTED_VALUE"""),66.0)</f>
        <v>66</v>
      </c>
      <c r="AD332" s="481">
        <f>IFERROR(__xludf.DUMMYFUNCTION("""COMPUTED_VALUE"""),100.0)</f>
        <v>100</v>
      </c>
      <c r="AE332" s="481">
        <f>IFERROR(__xludf.DUMMYFUNCTION("""COMPUTED_VALUE"""),70.0)</f>
        <v>70</v>
      </c>
      <c r="AF332" s="481"/>
      <c r="AG332" s="481">
        <f>IFERROR(__xludf.DUMMYFUNCTION("""COMPUTED_VALUE"""),71.0)</f>
        <v>71</v>
      </c>
      <c r="AH332" s="481"/>
      <c r="AI332" s="158"/>
      <c r="AJ332" s="158"/>
      <c r="AK332" s="133">
        <f>IFERROR(__xludf.DUMMYFUNCTION("""COMPUTED_VALUE"""),4.0)</f>
        <v>4</v>
      </c>
      <c r="AL332" s="133">
        <f>IFERROR(__xludf.DUMMYFUNCTION("""COMPUTED_VALUE"""),3.0)</f>
        <v>3</v>
      </c>
      <c r="AM332" s="133">
        <f>IFERROR(__xludf.DUMMYFUNCTION("""COMPUTED_VALUE"""),3.0)</f>
        <v>3</v>
      </c>
      <c r="AN332" s="133" t="str">
        <f>IFERROR(__xludf.DUMMYFUNCTION("""COMPUTED_VALUE"""),"3.5")</f>
        <v>3.5</v>
      </c>
      <c r="AO332" s="133">
        <f>IFERROR(__xludf.DUMMYFUNCTION("""COMPUTED_VALUE"""),3.0)</f>
        <v>3</v>
      </c>
      <c r="AP332" s="155" t="s">
        <v>3706</v>
      </c>
    </row>
    <row r="333">
      <c r="A333" s="261">
        <f>IFERROR(__xludf.DUMMYFUNCTION("""COMPUTED_VALUE"""),95.0)</f>
        <v>95</v>
      </c>
      <c r="B333" s="261" t="str">
        <f>IFERROR(__xludf.DUMMYFUNCTION("""COMPUTED_VALUE"""),"masa23ise@cmrit.ac.in")</f>
        <v>masa23ise@cmrit.ac.in</v>
      </c>
      <c r="C333" s="172" t="str">
        <f>IFERROR(__xludf.DUMMYFUNCTION("""COMPUTED_VALUE"""),"MANISH SAHANI")</f>
        <v>MANISH SAHANI</v>
      </c>
      <c r="D333" s="155" t="str">
        <f>IFERROR(__xludf.DUMMYFUNCTION("""COMPUTED_VALUE"""),"1CR23IS097")</f>
        <v>1CR23IS097</v>
      </c>
      <c r="E333" s="563">
        <f>IFERROR(__xludf.DUMMYFUNCTION("""COMPUTED_VALUE"""),9.80751215E9)</f>
        <v>9807512150</v>
      </c>
      <c r="F333" s="155" t="str">
        <f>IFERROR(__xludf.DUMMYFUNCTION("""COMPUTED_VALUE"""),"ISE")</f>
        <v>ISE</v>
      </c>
      <c r="G333" s="158"/>
      <c r="H333" s="559">
        <f>IFERROR(__xludf.DUMMYFUNCTION("""COMPUTED_VALUE"""),70.0)</f>
        <v>70</v>
      </c>
      <c r="I333" s="559">
        <f>IFERROR(__xludf.DUMMYFUNCTION("""COMPUTED_VALUE"""),81.0)</f>
        <v>81</v>
      </c>
      <c r="J333" s="559">
        <f>IFERROR(__xludf.DUMMYFUNCTION("""COMPUTED_VALUE"""),70.0)</f>
        <v>70</v>
      </c>
      <c r="K333" s="559">
        <f>IFERROR(__xludf.DUMMYFUNCTION("""COMPUTED_VALUE"""),72.0)</f>
        <v>72</v>
      </c>
      <c r="L333" s="560">
        <f>IFERROR(__xludf.DUMMYFUNCTION("""COMPUTED_VALUE"""),50.0)</f>
        <v>50</v>
      </c>
      <c r="M333" s="561">
        <f>IFERROR(__xludf.DUMMYFUNCTION("""COMPUTED_VALUE"""),38.0)</f>
        <v>38</v>
      </c>
      <c r="N333" s="561">
        <f>IFERROR(__xludf.DUMMYFUNCTION("""COMPUTED_VALUE"""),50.0)</f>
        <v>50</v>
      </c>
      <c r="O333" s="560"/>
      <c r="P333" s="562">
        <f>IFERROR(__xludf.DUMMYFUNCTION("""COMPUTED_VALUE"""),0.0)</f>
        <v>0</v>
      </c>
      <c r="Q333" s="562">
        <f>IFERROR(__xludf.DUMMYFUNCTION("""COMPUTED_VALUE"""),0.0)</f>
        <v>0</v>
      </c>
      <c r="R333" s="562">
        <f>IFERROR(__xludf.DUMMYFUNCTION("""COMPUTED_VALUE"""),75.0)</f>
        <v>75</v>
      </c>
      <c r="S333" s="562"/>
      <c r="T333" s="217">
        <f>IFERROR(__xludf.DUMMYFUNCTION("""COMPUTED_VALUE"""),19.0)</f>
        <v>19</v>
      </c>
      <c r="U333" s="217">
        <f>IFERROR(__xludf.DUMMYFUNCTION("""COMPUTED_VALUE"""),22.0)</f>
        <v>22</v>
      </c>
      <c r="V333" s="217">
        <f>IFERROR(__xludf.DUMMYFUNCTION("""COMPUTED_VALUE"""),46.0)</f>
        <v>46</v>
      </c>
      <c r="W333" s="217">
        <f>IFERROR(__xludf.DUMMYFUNCTION("""COMPUTED_VALUE"""),72.0)</f>
        <v>72</v>
      </c>
      <c r="X333" s="217">
        <f>IFERROR(__xludf.DUMMYFUNCTION("""COMPUTED_VALUE"""),80.0)</f>
        <v>80</v>
      </c>
      <c r="Y333" s="217"/>
      <c r="Z333" s="217"/>
      <c r="AA333" s="481">
        <f>IFERROR(__xludf.DUMMYFUNCTION("""COMPUTED_VALUE"""),22.0)</f>
        <v>22</v>
      </c>
      <c r="AB333" s="481">
        <f>IFERROR(__xludf.DUMMYFUNCTION("""COMPUTED_VALUE"""),90.0)</f>
        <v>90</v>
      </c>
      <c r="AC333" s="481">
        <f>IFERROR(__xludf.DUMMYFUNCTION("""COMPUTED_VALUE"""),77.0)</f>
        <v>77</v>
      </c>
      <c r="AD333" s="481">
        <f>IFERROR(__xludf.DUMMYFUNCTION("""COMPUTED_VALUE"""),100.0)</f>
        <v>100</v>
      </c>
      <c r="AE333" s="481">
        <f>IFERROR(__xludf.DUMMYFUNCTION("""COMPUTED_VALUE"""),70.0)</f>
        <v>70</v>
      </c>
      <c r="AF333" s="481"/>
      <c r="AG333" s="481">
        <f>IFERROR(__xludf.DUMMYFUNCTION("""COMPUTED_VALUE"""),17.0)</f>
        <v>17</v>
      </c>
      <c r="AH333" s="481"/>
      <c r="AI333" s="158"/>
      <c r="AJ333" s="158"/>
      <c r="AK333" s="133">
        <f>IFERROR(__xludf.DUMMYFUNCTION("""COMPUTED_VALUE"""),4.0)</f>
        <v>4</v>
      </c>
      <c r="AL333" s="133">
        <f>IFERROR(__xludf.DUMMYFUNCTION("""COMPUTED_VALUE"""),1.0)</f>
        <v>1</v>
      </c>
      <c r="AM333" s="133">
        <f>IFERROR(__xludf.DUMMYFUNCTION("""COMPUTED_VALUE"""),3.0)</f>
        <v>3</v>
      </c>
      <c r="AN333" s="133" t="str">
        <f>IFERROR(__xludf.DUMMYFUNCTION("""COMPUTED_VALUE"""),"3.5")</f>
        <v>3.5</v>
      </c>
      <c r="AO333" s="133">
        <f>IFERROR(__xludf.DUMMYFUNCTION("""COMPUTED_VALUE"""),0.0)</f>
        <v>0</v>
      </c>
      <c r="AP333" s="155" t="s">
        <v>3706</v>
      </c>
    </row>
    <row r="334">
      <c r="A334" s="261">
        <f>IFERROR(__xludf.DUMMYFUNCTION("""COMPUTED_VALUE"""),96.0)</f>
        <v>96</v>
      </c>
      <c r="B334" s="261" t="str">
        <f>IFERROR(__xludf.DUMMYFUNCTION("""COMPUTED_VALUE"""),"mamb23ise@cmrit.ac.in")</f>
        <v>mamb23ise@cmrit.ac.in</v>
      </c>
      <c r="C334" s="172" t="str">
        <f>IFERROR(__xludf.DUMMYFUNCTION("""COMPUTED_VALUE"""),"MANJUNATH M B")</f>
        <v>MANJUNATH M B</v>
      </c>
      <c r="D334" s="155" t="str">
        <f>IFERROR(__xludf.DUMMYFUNCTION("""COMPUTED_VALUE"""),"1CR23IS098")</f>
        <v>1CR23IS098</v>
      </c>
      <c r="E334" s="563">
        <f>IFERROR(__xludf.DUMMYFUNCTION("""COMPUTED_VALUE"""),7.483816005E9)</f>
        <v>7483816005</v>
      </c>
      <c r="F334" s="155" t="str">
        <f>IFERROR(__xludf.DUMMYFUNCTION("""COMPUTED_VALUE"""),"ISE")</f>
        <v>ISE</v>
      </c>
      <c r="G334" s="158"/>
      <c r="H334" s="559">
        <f>IFERROR(__xludf.DUMMYFUNCTION("""COMPUTED_VALUE"""),66.0)</f>
        <v>66</v>
      </c>
      <c r="I334" s="559">
        <f>IFERROR(__xludf.DUMMYFUNCTION("""COMPUTED_VALUE"""),78.0)</f>
        <v>78</v>
      </c>
      <c r="J334" s="559">
        <f>IFERROR(__xludf.DUMMYFUNCTION("""COMPUTED_VALUE"""),71.0)</f>
        <v>71</v>
      </c>
      <c r="K334" s="559">
        <f>IFERROR(__xludf.DUMMYFUNCTION("""COMPUTED_VALUE"""),70.0)</f>
        <v>70</v>
      </c>
      <c r="L334" s="560">
        <f>IFERROR(__xludf.DUMMYFUNCTION("""COMPUTED_VALUE"""),50.0)</f>
        <v>50</v>
      </c>
      <c r="M334" s="561">
        <f>IFERROR(__xludf.DUMMYFUNCTION("""COMPUTED_VALUE"""),50.0)</f>
        <v>50</v>
      </c>
      <c r="N334" s="561">
        <f>IFERROR(__xludf.DUMMYFUNCTION("""COMPUTED_VALUE"""),10.0)</f>
        <v>10</v>
      </c>
      <c r="O334" s="560"/>
      <c r="P334" s="562">
        <f>IFERROR(__xludf.DUMMYFUNCTION("""COMPUTED_VALUE"""),0.0)</f>
        <v>0</v>
      </c>
      <c r="Q334" s="562">
        <f>IFERROR(__xludf.DUMMYFUNCTION("""COMPUTED_VALUE"""),50.0)</f>
        <v>50</v>
      </c>
      <c r="R334" s="562">
        <f>IFERROR(__xludf.DUMMYFUNCTION("""COMPUTED_VALUE"""),0.0)</f>
        <v>0</v>
      </c>
      <c r="S334" s="562"/>
      <c r="T334" s="217">
        <f>IFERROR(__xludf.DUMMYFUNCTION("""COMPUTED_VALUE"""),23.0)</f>
        <v>23</v>
      </c>
      <c r="U334" s="217">
        <f>IFERROR(__xludf.DUMMYFUNCTION("""COMPUTED_VALUE"""),24.0)</f>
        <v>24</v>
      </c>
      <c r="V334" s="217"/>
      <c r="W334" s="217">
        <f>IFERROR(__xludf.DUMMYFUNCTION("""COMPUTED_VALUE"""),72.0)</f>
        <v>72</v>
      </c>
      <c r="X334" s="217">
        <f>IFERROR(__xludf.DUMMYFUNCTION("""COMPUTED_VALUE"""),84.0)</f>
        <v>84</v>
      </c>
      <c r="Y334" s="217"/>
      <c r="Z334" s="217"/>
      <c r="AA334" s="481">
        <f>IFERROR(__xludf.DUMMYFUNCTION("""COMPUTED_VALUE"""),21.0)</f>
        <v>21</v>
      </c>
      <c r="AB334" s="481">
        <f>IFERROR(__xludf.DUMMYFUNCTION("""COMPUTED_VALUE"""),82.0)</f>
        <v>82</v>
      </c>
      <c r="AC334" s="481">
        <f>IFERROR(__xludf.DUMMYFUNCTION("""COMPUTED_VALUE"""),0.0)</f>
        <v>0</v>
      </c>
      <c r="AD334" s="481">
        <f>IFERROR(__xludf.DUMMYFUNCTION("""COMPUTED_VALUE"""),80.0)</f>
        <v>80</v>
      </c>
      <c r="AE334" s="481">
        <f>IFERROR(__xludf.DUMMYFUNCTION("""COMPUTED_VALUE"""),13.0)</f>
        <v>13</v>
      </c>
      <c r="AF334" s="481"/>
      <c r="AG334" s="481">
        <f>IFERROR(__xludf.DUMMYFUNCTION("""COMPUTED_VALUE"""),10.0)</f>
        <v>10</v>
      </c>
      <c r="AH334" s="481"/>
      <c r="AI334" s="158"/>
      <c r="AJ334" s="158"/>
      <c r="AK334" s="133">
        <f>IFERROR(__xludf.DUMMYFUNCTION("""COMPUTED_VALUE"""),4.0)</f>
        <v>4</v>
      </c>
      <c r="AL334" s="133">
        <f>IFERROR(__xludf.DUMMYFUNCTION("""COMPUTED_VALUE"""),2.0)</f>
        <v>2</v>
      </c>
      <c r="AM334" s="133">
        <f>IFERROR(__xludf.DUMMYFUNCTION("""COMPUTED_VALUE"""),3.0)</f>
        <v>3</v>
      </c>
      <c r="AN334" s="133" t="str">
        <f>IFERROR(__xludf.DUMMYFUNCTION("""COMPUTED_VALUE"""),"3")</f>
        <v>3</v>
      </c>
      <c r="AO334" s="133">
        <f>IFERROR(__xludf.DUMMYFUNCTION("""COMPUTED_VALUE"""),0.0)</f>
        <v>0</v>
      </c>
      <c r="AP334" s="155" t="s">
        <v>3706</v>
      </c>
    </row>
    <row r="335">
      <c r="A335" s="261">
        <f>IFERROR(__xludf.DUMMYFUNCTION("""COMPUTED_VALUE"""),97.0)</f>
        <v>97</v>
      </c>
      <c r="B335" s="261" t="str">
        <f>IFERROR(__xludf.DUMMYFUNCTION("""COMPUTED_VALUE"""),"maji23ise@cmrit.ac.in")</f>
        <v>maji23ise@cmrit.ac.in</v>
      </c>
      <c r="C335" s="172" t="str">
        <f>IFERROR(__xludf.DUMMYFUNCTION("""COMPUTED_VALUE"""),"MANNE JITHIN")</f>
        <v>MANNE JITHIN</v>
      </c>
      <c r="D335" s="155" t="str">
        <f>IFERROR(__xludf.DUMMYFUNCTION("""COMPUTED_VALUE"""),"1CR23IS099")</f>
        <v>1CR23IS099</v>
      </c>
      <c r="E335" s="563">
        <f>IFERROR(__xludf.DUMMYFUNCTION("""COMPUTED_VALUE"""),7.975119312E9)</f>
        <v>7975119312</v>
      </c>
      <c r="F335" s="155" t="str">
        <f>IFERROR(__xludf.DUMMYFUNCTION("""COMPUTED_VALUE"""),"ISE")</f>
        <v>ISE</v>
      </c>
      <c r="G335" s="158"/>
      <c r="H335" s="559">
        <f>IFERROR(__xludf.DUMMYFUNCTION("""COMPUTED_VALUE"""),74.0)</f>
        <v>74</v>
      </c>
      <c r="I335" s="559">
        <f>IFERROR(__xludf.DUMMYFUNCTION("""COMPUTED_VALUE"""),81.0)</f>
        <v>81</v>
      </c>
      <c r="J335" s="559">
        <f>IFERROR(__xludf.DUMMYFUNCTION("""COMPUTED_VALUE"""),81.0)</f>
        <v>81</v>
      </c>
      <c r="K335" s="559">
        <f>IFERROR(__xludf.DUMMYFUNCTION("""COMPUTED_VALUE"""),70.0)</f>
        <v>70</v>
      </c>
      <c r="L335" s="560">
        <f>IFERROR(__xludf.DUMMYFUNCTION("""COMPUTED_VALUE"""),50.0)</f>
        <v>50</v>
      </c>
      <c r="M335" s="561">
        <f>IFERROR(__xludf.DUMMYFUNCTION("""COMPUTED_VALUE"""),39.0)</f>
        <v>39</v>
      </c>
      <c r="N335" s="561">
        <f>IFERROR(__xludf.DUMMYFUNCTION("""COMPUTED_VALUE"""),6.0)</f>
        <v>6</v>
      </c>
      <c r="O335" s="560"/>
      <c r="P335" s="562">
        <f>IFERROR(__xludf.DUMMYFUNCTION("""COMPUTED_VALUE"""),50.0)</f>
        <v>50</v>
      </c>
      <c r="Q335" s="562">
        <f>IFERROR(__xludf.DUMMYFUNCTION("""COMPUTED_VALUE"""),62.0)</f>
        <v>62</v>
      </c>
      <c r="R335" s="562">
        <f>IFERROR(__xludf.DUMMYFUNCTION("""COMPUTED_VALUE"""),50.0)</f>
        <v>50</v>
      </c>
      <c r="S335" s="562"/>
      <c r="T335" s="217">
        <f>IFERROR(__xludf.DUMMYFUNCTION("""COMPUTED_VALUE"""),18.0)</f>
        <v>18</v>
      </c>
      <c r="U335" s="217">
        <f>IFERROR(__xludf.DUMMYFUNCTION("""COMPUTED_VALUE"""),24.0)</f>
        <v>24</v>
      </c>
      <c r="V335" s="217">
        <f>IFERROR(__xludf.DUMMYFUNCTION("""COMPUTED_VALUE"""),48.0)</f>
        <v>48</v>
      </c>
      <c r="W335" s="217">
        <f>IFERROR(__xludf.DUMMYFUNCTION("""COMPUTED_VALUE"""),64.0)</f>
        <v>64</v>
      </c>
      <c r="X335" s="217">
        <f>IFERROR(__xludf.DUMMYFUNCTION("""COMPUTED_VALUE"""),80.0)</f>
        <v>80</v>
      </c>
      <c r="Y335" s="217"/>
      <c r="Z335" s="217"/>
      <c r="AA335" s="481">
        <f>IFERROR(__xludf.DUMMYFUNCTION("""COMPUTED_VALUE"""),18.0)</f>
        <v>18</v>
      </c>
      <c r="AB335" s="481">
        <f>IFERROR(__xludf.DUMMYFUNCTION("""COMPUTED_VALUE"""),52.0)</f>
        <v>52</v>
      </c>
      <c r="AC335" s="481">
        <f>IFERROR(__xludf.DUMMYFUNCTION("""COMPUTED_VALUE"""),65.0)</f>
        <v>65</v>
      </c>
      <c r="AD335" s="481">
        <f>IFERROR(__xludf.DUMMYFUNCTION("""COMPUTED_VALUE"""),90.0)</f>
        <v>90</v>
      </c>
      <c r="AE335" s="481">
        <f>IFERROR(__xludf.DUMMYFUNCTION("""COMPUTED_VALUE"""),13.0)</f>
        <v>13</v>
      </c>
      <c r="AF335" s="481"/>
      <c r="AG335" s="481">
        <f>IFERROR(__xludf.DUMMYFUNCTION("""COMPUTED_VALUE"""),27.0)</f>
        <v>27</v>
      </c>
      <c r="AH335" s="481"/>
      <c r="AI335" s="158"/>
      <c r="AJ335" s="158"/>
      <c r="AK335" s="133">
        <f>IFERROR(__xludf.DUMMYFUNCTION("""COMPUTED_VALUE"""),4.0)</f>
        <v>4</v>
      </c>
      <c r="AL335" s="133">
        <f>IFERROR(__xludf.DUMMYFUNCTION("""COMPUTED_VALUE"""),1.0)</f>
        <v>1</v>
      </c>
      <c r="AM335" s="133">
        <f>IFERROR(__xludf.DUMMYFUNCTION("""COMPUTED_VALUE"""),3.0)</f>
        <v>3</v>
      </c>
      <c r="AN335" s="133" t="str">
        <f>IFERROR(__xludf.DUMMYFUNCTION("""COMPUTED_VALUE"""),"3")</f>
        <v>3</v>
      </c>
      <c r="AO335" s="133">
        <f>IFERROR(__xludf.DUMMYFUNCTION("""COMPUTED_VALUE"""),3.0)</f>
        <v>3</v>
      </c>
      <c r="AP335" s="155" t="s">
        <v>3706</v>
      </c>
    </row>
    <row r="336">
      <c r="A336" s="261">
        <f>IFERROR(__xludf.DUMMYFUNCTION("""COMPUTED_VALUE"""),98.0)</f>
        <v>98</v>
      </c>
      <c r="B336" s="261" t="str">
        <f>IFERROR(__xludf.DUMMYFUNCTION("""COMPUTED_VALUE"""),"mora23ise@cmrit.ac.in")</f>
        <v>mora23ise@cmrit.ac.in</v>
      </c>
      <c r="C336" s="172" t="str">
        <f>IFERROR(__xludf.DUMMYFUNCTION("""COMPUTED_VALUE"""),"MOHAMMED RAKSHAN")</f>
        <v>MOHAMMED RAKSHAN</v>
      </c>
      <c r="D336" s="155" t="str">
        <f>IFERROR(__xludf.DUMMYFUNCTION("""COMPUTED_VALUE"""),"1CR23IS101")</f>
        <v>1CR23IS101</v>
      </c>
      <c r="E336" s="563">
        <f>IFERROR(__xludf.DUMMYFUNCTION("""COMPUTED_VALUE"""),9.886698596E9)</f>
        <v>9886698596</v>
      </c>
      <c r="F336" s="155" t="str">
        <f>IFERROR(__xludf.DUMMYFUNCTION("""COMPUTED_VALUE"""),"ISE")</f>
        <v>ISE</v>
      </c>
      <c r="G336" s="158"/>
      <c r="H336" s="559">
        <f>IFERROR(__xludf.DUMMYFUNCTION("""COMPUTED_VALUE"""),86.0)</f>
        <v>86</v>
      </c>
      <c r="I336" s="559">
        <f>IFERROR(__xludf.DUMMYFUNCTION("""COMPUTED_VALUE"""),87.0)</f>
        <v>87</v>
      </c>
      <c r="J336" s="559">
        <f>IFERROR(__xludf.DUMMYFUNCTION("""COMPUTED_VALUE"""),70.0)</f>
        <v>70</v>
      </c>
      <c r="K336" s="559">
        <f>IFERROR(__xludf.DUMMYFUNCTION("""COMPUTED_VALUE"""),70.0)</f>
        <v>70</v>
      </c>
      <c r="L336" s="560">
        <f>IFERROR(__xludf.DUMMYFUNCTION("""COMPUTED_VALUE"""),50.0)</f>
        <v>50</v>
      </c>
      <c r="M336" s="561">
        <f>IFERROR(__xludf.DUMMYFUNCTION("""COMPUTED_VALUE"""),50.0)</f>
        <v>50</v>
      </c>
      <c r="N336" s="561">
        <f>IFERROR(__xludf.DUMMYFUNCTION("""COMPUTED_VALUE"""),50.0)</f>
        <v>50</v>
      </c>
      <c r="O336" s="560"/>
      <c r="P336" s="562">
        <f>IFERROR(__xludf.DUMMYFUNCTION("""COMPUTED_VALUE"""),90.0)</f>
        <v>90</v>
      </c>
      <c r="Q336" s="562">
        <f>IFERROR(__xludf.DUMMYFUNCTION("""COMPUTED_VALUE"""),50.0)</f>
        <v>50</v>
      </c>
      <c r="R336" s="562">
        <f>IFERROR(__xludf.DUMMYFUNCTION("""COMPUTED_VALUE"""),80.0)</f>
        <v>80</v>
      </c>
      <c r="S336" s="562"/>
      <c r="T336" s="217">
        <f>IFERROR(__xludf.DUMMYFUNCTION("""COMPUTED_VALUE"""),10.0)</f>
        <v>10</v>
      </c>
      <c r="U336" s="217">
        <f>IFERROR(__xludf.DUMMYFUNCTION("""COMPUTED_VALUE"""),21.0)</f>
        <v>21</v>
      </c>
      <c r="V336" s="217">
        <f>IFERROR(__xludf.DUMMYFUNCTION("""COMPUTED_VALUE"""),46.0)</f>
        <v>46</v>
      </c>
      <c r="W336" s="217">
        <f>IFERROR(__xludf.DUMMYFUNCTION("""COMPUTED_VALUE"""),48.0)</f>
        <v>48</v>
      </c>
      <c r="X336" s="217">
        <f>IFERROR(__xludf.DUMMYFUNCTION("""COMPUTED_VALUE"""),76.0)</f>
        <v>76</v>
      </c>
      <c r="Y336" s="217"/>
      <c r="Z336" s="217"/>
      <c r="AA336" s="481">
        <f>IFERROR(__xludf.DUMMYFUNCTION("""COMPUTED_VALUE"""),75.0)</f>
        <v>75</v>
      </c>
      <c r="AB336" s="481">
        <f>IFERROR(__xludf.DUMMYFUNCTION("""COMPUTED_VALUE"""),87.0)</f>
        <v>87</v>
      </c>
      <c r="AC336" s="481">
        <f>IFERROR(__xludf.DUMMYFUNCTION("""COMPUTED_VALUE"""),62.0)</f>
        <v>62</v>
      </c>
      <c r="AD336" s="481">
        <f>IFERROR(__xludf.DUMMYFUNCTION("""COMPUTED_VALUE"""),67.0)</f>
        <v>67</v>
      </c>
      <c r="AE336" s="481">
        <f>IFERROR(__xludf.DUMMYFUNCTION("""COMPUTED_VALUE"""),88.0)</f>
        <v>88</v>
      </c>
      <c r="AF336" s="481"/>
      <c r="AG336" s="481">
        <f>IFERROR(__xludf.DUMMYFUNCTION("""COMPUTED_VALUE"""),50.0)</f>
        <v>50</v>
      </c>
      <c r="AH336" s="481"/>
      <c r="AI336" s="158"/>
      <c r="AJ336" s="158"/>
      <c r="AK336" s="133">
        <f>IFERROR(__xludf.DUMMYFUNCTION("""COMPUTED_VALUE"""),4.0)</f>
        <v>4</v>
      </c>
      <c r="AL336" s="133">
        <f>IFERROR(__xludf.DUMMYFUNCTION("""COMPUTED_VALUE"""),3.0)</f>
        <v>3</v>
      </c>
      <c r="AM336" s="133">
        <f>IFERROR(__xludf.DUMMYFUNCTION("""COMPUTED_VALUE"""),2.0)</f>
        <v>2</v>
      </c>
      <c r="AN336" s="133" t="str">
        <f>IFERROR(__xludf.DUMMYFUNCTION("""COMPUTED_VALUE"""),"3.5")</f>
        <v>3.5</v>
      </c>
      <c r="AO336" s="133">
        <f>IFERROR(__xludf.DUMMYFUNCTION("""COMPUTED_VALUE"""),3.0)</f>
        <v>3</v>
      </c>
      <c r="AP336" s="155" t="s">
        <v>3706</v>
      </c>
    </row>
    <row r="337">
      <c r="A337" s="261">
        <f>IFERROR(__xludf.DUMMYFUNCTION("""COMPUTED_VALUE"""),99.0)</f>
        <v>99</v>
      </c>
      <c r="B337" s="261" t="str">
        <f>IFERROR(__xludf.DUMMYFUNCTION("""COMPUTED_VALUE"""),"mowa23ise@cmrit.ac.in")</f>
        <v>mowa23ise@cmrit.ac.in</v>
      </c>
      <c r="C337" s="172" t="str">
        <f>IFERROR(__xludf.DUMMYFUNCTION("""COMPUTED_VALUE"""),"MOHAMMEDTAHA M WALIKAR")</f>
        <v>MOHAMMEDTAHA M WALIKAR</v>
      </c>
      <c r="D337" s="155" t="str">
        <f>IFERROR(__xludf.DUMMYFUNCTION("""COMPUTED_VALUE"""),"1CR23IS102")</f>
        <v>1CR23IS102</v>
      </c>
      <c r="E337" s="563">
        <f>IFERROR(__xludf.DUMMYFUNCTION("""COMPUTED_VALUE"""),9.380467804E9)</f>
        <v>9380467804</v>
      </c>
      <c r="F337" s="155" t="str">
        <f>IFERROR(__xludf.DUMMYFUNCTION("""COMPUTED_VALUE"""),"ISE")</f>
        <v>ISE</v>
      </c>
      <c r="G337" s="158"/>
      <c r="H337" s="559">
        <f>IFERROR(__xludf.DUMMYFUNCTION("""COMPUTED_VALUE"""),76.0)</f>
        <v>76</v>
      </c>
      <c r="I337" s="559">
        <f>IFERROR(__xludf.DUMMYFUNCTION("""COMPUTED_VALUE"""),85.0)</f>
        <v>85</v>
      </c>
      <c r="J337" s="559">
        <f>IFERROR(__xludf.DUMMYFUNCTION("""COMPUTED_VALUE"""),70.0)</f>
        <v>70</v>
      </c>
      <c r="K337" s="559">
        <f>IFERROR(__xludf.DUMMYFUNCTION("""COMPUTED_VALUE"""),70.0)</f>
        <v>70</v>
      </c>
      <c r="L337" s="560">
        <f>IFERROR(__xludf.DUMMYFUNCTION("""COMPUTED_VALUE"""),50.0)</f>
        <v>50</v>
      </c>
      <c r="M337" s="561">
        <f>IFERROR(__xludf.DUMMYFUNCTION("""COMPUTED_VALUE"""),50.0)</f>
        <v>50</v>
      </c>
      <c r="N337" s="561">
        <f>IFERROR(__xludf.DUMMYFUNCTION("""COMPUTED_VALUE"""),50.0)</f>
        <v>50</v>
      </c>
      <c r="O337" s="560"/>
      <c r="P337" s="562">
        <f>IFERROR(__xludf.DUMMYFUNCTION("""COMPUTED_VALUE"""),0.0)</f>
        <v>0</v>
      </c>
      <c r="Q337" s="562">
        <f>IFERROR(__xludf.DUMMYFUNCTION("""COMPUTED_VALUE"""),0.0)</f>
        <v>0</v>
      </c>
      <c r="R337" s="562">
        <f>IFERROR(__xludf.DUMMYFUNCTION("""COMPUTED_VALUE"""),88.0)</f>
        <v>88</v>
      </c>
      <c r="S337" s="562"/>
      <c r="T337" s="217">
        <f>IFERROR(__xludf.DUMMYFUNCTION("""COMPUTED_VALUE"""),19.0)</f>
        <v>19</v>
      </c>
      <c r="U337" s="217">
        <f>IFERROR(__xludf.DUMMYFUNCTION("""COMPUTED_VALUE"""),24.0)</f>
        <v>24</v>
      </c>
      <c r="V337" s="217">
        <f>IFERROR(__xludf.DUMMYFUNCTION("""COMPUTED_VALUE"""),44.0)</f>
        <v>44</v>
      </c>
      <c r="W337" s="217"/>
      <c r="X337" s="217">
        <f>IFERROR(__xludf.DUMMYFUNCTION("""COMPUTED_VALUE"""),76.0)</f>
        <v>76</v>
      </c>
      <c r="Y337" s="217"/>
      <c r="Z337" s="217"/>
      <c r="AA337" s="481">
        <f>IFERROR(__xludf.DUMMYFUNCTION("""COMPUTED_VALUE"""),4.0)</f>
        <v>4</v>
      </c>
      <c r="AB337" s="481">
        <f>IFERROR(__xludf.DUMMYFUNCTION("""COMPUTED_VALUE"""),55.0)</f>
        <v>55</v>
      </c>
      <c r="AC337" s="481">
        <f>IFERROR(__xludf.DUMMYFUNCTION("""COMPUTED_VALUE"""),67.0)</f>
        <v>67</v>
      </c>
      <c r="AD337" s="481">
        <f>IFERROR(__xludf.DUMMYFUNCTION("""COMPUTED_VALUE"""),60.0)</f>
        <v>60</v>
      </c>
      <c r="AE337" s="481">
        <f>IFERROR(__xludf.DUMMYFUNCTION("""COMPUTED_VALUE"""),12.0)</f>
        <v>12</v>
      </c>
      <c r="AF337" s="481"/>
      <c r="AG337" s="481">
        <f>IFERROR(__xludf.DUMMYFUNCTION("""COMPUTED_VALUE"""),27.0)</f>
        <v>27</v>
      </c>
      <c r="AH337" s="481"/>
      <c r="AI337" s="158"/>
      <c r="AJ337" s="158"/>
      <c r="AK337" s="133">
        <f>IFERROR(__xludf.DUMMYFUNCTION("""COMPUTED_VALUE"""),4.0)</f>
        <v>4</v>
      </c>
      <c r="AL337" s="133">
        <f>IFERROR(__xludf.DUMMYFUNCTION("""COMPUTED_VALUE"""),3.0)</f>
        <v>3</v>
      </c>
      <c r="AM337" s="133">
        <f>IFERROR(__xludf.DUMMYFUNCTION("""COMPUTED_VALUE"""),2.0)</f>
        <v>2</v>
      </c>
      <c r="AN337" s="133" t="str">
        <f>IFERROR(__xludf.DUMMYFUNCTION("""COMPUTED_VALUE"""),"3")</f>
        <v>3</v>
      </c>
      <c r="AO337" s="133">
        <f>IFERROR(__xludf.DUMMYFUNCTION("""COMPUTED_VALUE"""),0.0)</f>
        <v>0</v>
      </c>
      <c r="AP337" s="155" t="s">
        <v>3706</v>
      </c>
    </row>
    <row r="338">
      <c r="A338" s="261">
        <f>IFERROR(__xludf.DUMMYFUNCTION("""COMPUTED_VALUE"""),100.0)</f>
        <v>100</v>
      </c>
      <c r="B338" s="261" t="str">
        <f>IFERROR(__xludf.DUMMYFUNCTION("""COMPUTED_VALUE"""),"mos23ise@cmrit.ac.in")</f>
        <v>mos23ise@cmrit.ac.in</v>
      </c>
      <c r="C338" s="172" t="str">
        <f>IFERROR(__xludf.DUMMYFUNCTION("""COMPUTED_VALUE"""),"MOKSHA GANESH S")</f>
        <v>MOKSHA GANESH S</v>
      </c>
      <c r="D338" s="155" t="str">
        <f>IFERROR(__xludf.DUMMYFUNCTION("""COMPUTED_VALUE"""),"1CR23IS103")</f>
        <v>1CR23IS103</v>
      </c>
      <c r="E338" s="563">
        <f>IFERROR(__xludf.DUMMYFUNCTION("""COMPUTED_VALUE"""),9.84568281E9)</f>
        <v>9845682810</v>
      </c>
      <c r="F338" s="155" t="str">
        <f>IFERROR(__xludf.DUMMYFUNCTION("""COMPUTED_VALUE"""),"ISE")</f>
        <v>ISE</v>
      </c>
      <c r="G338" s="158"/>
      <c r="H338" s="559">
        <f>IFERROR(__xludf.DUMMYFUNCTION("""COMPUTED_VALUE"""),77.0)</f>
        <v>77</v>
      </c>
      <c r="I338" s="559">
        <f>IFERROR(__xludf.DUMMYFUNCTION("""COMPUTED_VALUE"""),85.0)</f>
        <v>85</v>
      </c>
      <c r="J338" s="559">
        <f>IFERROR(__xludf.DUMMYFUNCTION("""COMPUTED_VALUE"""),70.0)</f>
        <v>70</v>
      </c>
      <c r="K338" s="559">
        <f>IFERROR(__xludf.DUMMYFUNCTION("""COMPUTED_VALUE"""),70.0)</f>
        <v>70</v>
      </c>
      <c r="L338" s="560">
        <f>IFERROR(__xludf.DUMMYFUNCTION("""COMPUTED_VALUE"""),50.0)</f>
        <v>50</v>
      </c>
      <c r="M338" s="561">
        <f>IFERROR(__xludf.DUMMYFUNCTION("""COMPUTED_VALUE"""),50.0)</f>
        <v>50</v>
      </c>
      <c r="N338" s="561">
        <f>IFERROR(__xludf.DUMMYFUNCTION("""COMPUTED_VALUE"""),50.0)</f>
        <v>50</v>
      </c>
      <c r="O338" s="560"/>
      <c r="P338" s="562">
        <f>IFERROR(__xludf.DUMMYFUNCTION("""COMPUTED_VALUE"""),80.0)</f>
        <v>80</v>
      </c>
      <c r="Q338" s="562">
        <f>IFERROR(__xludf.DUMMYFUNCTION("""COMPUTED_VALUE"""),62.0)</f>
        <v>62</v>
      </c>
      <c r="R338" s="562">
        <f>IFERROR(__xludf.DUMMYFUNCTION("""COMPUTED_VALUE"""),0.0)</f>
        <v>0</v>
      </c>
      <c r="S338" s="562"/>
      <c r="T338" s="217">
        <f>IFERROR(__xludf.DUMMYFUNCTION("""COMPUTED_VALUE"""),10.0)</f>
        <v>10</v>
      </c>
      <c r="U338" s="217">
        <f>IFERROR(__xludf.DUMMYFUNCTION("""COMPUTED_VALUE"""),24.0)</f>
        <v>24</v>
      </c>
      <c r="V338" s="217">
        <f>IFERROR(__xludf.DUMMYFUNCTION("""COMPUTED_VALUE"""),46.0)</f>
        <v>46</v>
      </c>
      <c r="W338" s="217">
        <f>IFERROR(__xludf.DUMMYFUNCTION("""COMPUTED_VALUE"""),60.0)</f>
        <v>60</v>
      </c>
      <c r="X338" s="217">
        <f>IFERROR(__xludf.DUMMYFUNCTION("""COMPUTED_VALUE"""),76.0)</f>
        <v>76</v>
      </c>
      <c r="Y338" s="217"/>
      <c r="Z338" s="217"/>
      <c r="AA338" s="481">
        <f>IFERROR(__xludf.DUMMYFUNCTION("""COMPUTED_VALUE"""),16.0)</f>
        <v>16</v>
      </c>
      <c r="AB338" s="481">
        <f>IFERROR(__xludf.DUMMYFUNCTION("""COMPUTED_VALUE"""),93.0)</f>
        <v>93</v>
      </c>
      <c r="AC338" s="481">
        <f>IFERROR(__xludf.DUMMYFUNCTION("""COMPUTED_VALUE"""),49.0)</f>
        <v>49</v>
      </c>
      <c r="AD338" s="481">
        <f>IFERROR(__xludf.DUMMYFUNCTION("""COMPUTED_VALUE"""),60.0)</f>
        <v>60</v>
      </c>
      <c r="AE338" s="481">
        <f>IFERROR(__xludf.DUMMYFUNCTION("""COMPUTED_VALUE"""),70.0)</f>
        <v>70</v>
      </c>
      <c r="AF338" s="481"/>
      <c r="AG338" s="481">
        <f>IFERROR(__xludf.DUMMYFUNCTION("""COMPUTED_VALUE"""),33.0)</f>
        <v>33</v>
      </c>
      <c r="AH338" s="481"/>
      <c r="AI338" s="158"/>
      <c r="AJ338" s="158"/>
      <c r="AK338" s="133">
        <f>IFERROR(__xludf.DUMMYFUNCTION("""COMPUTED_VALUE"""),4.0)</f>
        <v>4</v>
      </c>
      <c r="AL338" s="133">
        <f>IFERROR(__xludf.DUMMYFUNCTION("""COMPUTED_VALUE"""),3.0)</f>
        <v>3</v>
      </c>
      <c r="AM338" s="133">
        <f>IFERROR(__xludf.DUMMYFUNCTION("""COMPUTED_VALUE"""),3.0)</f>
        <v>3</v>
      </c>
      <c r="AN338" s="133" t="str">
        <f>IFERROR(__xludf.DUMMYFUNCTION("""COMPUTED_VALUE"""),"3.5")</f>
        <v>3.5</v>
      </c>
      <c r="AO338" s="133">
        <f>IFERROR(__xludf.DUMMYFUNCTION("""COMPUTED_VALUE"""),2.0)</f>
        <v>2</v>
      </c>
      <c r="AP338" s="155" t="s">
        <v>3706</v>
      </c>
    </row>
    <row r="339">
      <c r="A339" s="261">
        <f>IFERROR(__xludf.DUMMYFUNCTION("""COMPUTED_VALUE"""),101.0)</f>
        <v>101</v>
      </c>
      <c r="B339" s="261" t="str">
        <f>IFERROR(__xludf.DUMMYFUNCTION("""COMPUTED_VALUE"""),"mon23ise@cmrit.ac.in")</f>
        <v>mon23ise@cmrit.ac.in</v>
      </c>
      <c r="C339" s="172" t="str">
        <f>IFERROR(__xludf.DUMMYFUNCTION("""COMPUTED_VALUE"""),"MONISH N")</f>
        <v>MONISH N</v>
      </c>
      <c r="D339" s="155" t="str">
        <f>IFERROR(__xludf.DUMMYFUNCTION("""COMPUTED_VALUE"""),"1CR23IS104")</f>
        <v>1CR23IS104</v>
      </c>
      <c r="E339" s="563">
        <f>IFERROR(__xludf.DUMMYFUNCTION("""COMPUTED_VALUE"""),7.89900557E9)</f>
        <v>7899005570</v>
      </c>
      <c r="F339" s="155" t="str">
        <f>IFERROR(__xludf.DUMMYFUNCTION("""COMPUTED_VALUE"""),"ISE")</f>
        <v>ISE</v>
      </c>
      <c r="G339" s="158"/>
      <c r="H339" s="559">
        <f>IFERROR(__xludf.DUMMYFUNCTION("""COMPUTED_VALUE"""),75.0)</f>
        <v>75</v>
      </c>
      <c r="I339" s="559">
        <f>IFERROR(__xludf.DUMMYFUNCTION("""COMPUTED_VALUE"""),78.0)</f>
        <v>78</v>
      </c>
      <c r="J339" s="559">
        <f>IFERROR(__xludf.DUMMYFUNCTION("""COMPUTED_VALUE"""),21.0)</f>
        <v>21</v>
      </c>
      <c r="K339" s="559">
        <f>IFERROR(__xludf.DUMMYFUNCTION("""COMPUTED_VALUE"""),70.0)</f>
        <v>70</v>
      </c>
      <c r="L339" s="560">
        <f>IFERROR(__xludf.DUMMYFUNCTION("""COMPUTED_VALUE"""),50.0)</f>
        <v>50</v>
      </c>
      <c r="M339" s="561">
        <f>IFERROR(__xludf.DUMMYFUNCTION("""COMPUTED_VALUE"""),41.0)</f>
        <v>41</v>
      </c>
      <c r="N339" s="561">
        <f>IFERROR(__xludf.DUMMYFUNCTION("""COMPUTED_VALUE"""),19.0)</f>
        <v>19</v>
      </c>
      <c r="O339" s="560"/>
      <c r="P339" s="562">
        <f>IFERROR(__xludf.DUMMYFUNCTION("""COMPUTED_VALUE"""),0.0)</f>
        <v>0</v>
      </c>
      <c r="Q339" s="562">
        <f>IFERROR(__xludf.DUMMYFUNCTION("""COMPUTED_VALUE"""),0.0)</f>
        <v>0</v>
      </c>
      <c r="R339" s="562">
        <f>IFERROR(__xludf.DUMMYFUNCTION("""COMPUTED_VALUE"""),0.0)</f>
        <v>0</v>
      </c>
      <c r="S339" s="562"/>
      <c r="T339" s="217">
        <f>IFERROR(__xludf.DUMMYFUNCTION("""COMPUTED_VALUE"""),13.0)</f>
        <v>13</v>
      </c>
      <c r="U339" s="217">
        <f>IFERROR(__xludf.DUMMYFUNCTION("""COMPUTED_VALUE"""),23.0)</f>
        <v>23</v>
      </c>
      <c r="V339" s="217"/>
      <c r="W339" s="217">
        <f>IFERROR(__xludf.DUMMYFUNCTION("""COMPUTED_VALUE"""),64.0)</f>
        <v>64</v>
      </c>
      <c r="X339" s="217">
        <f>IFERROR(__xludf.DUMMYFUNCTION("""COMPUTED_VALUE"""),88.0)</f>
        <v>88</v>
      </c>
      <c r="Y339" s="217"/>
      <c r="Z339" s="217"/>
      <c r="AA339" s="481">
        <f>IFERROR(__xludf.DUMMYFUNCTION("""COMPUTED_VALUE"""),0.0)</f>
        <v>0</v>
      </c>
      <c r="AB339" s="481">
        <f>IFERROR(__xludf.DUMMYFUNCTION("""COMPUTED_VALUE"""),40.0)</f>
        <v>40</v>
      </c>
      <c r="AC339" s="481">
        <f>IFERROR(__xludf.DUMMYFUNCTION("""COMPUTED_VALUE"""),16.0)</f>
        <v>16</v>
      </c>
      <c r="AD339" s="481">
        <f>IFERROR(__xludf.DUMMYFUNCTION("""COMPUTED_VALUE"""),100.0)</f>
        <v>100</v>
      </c>
      <c r="AE339" s="481">
        <f>IFERROR(__xludf.DUMMYFUNCTION("""COMPUTED_VALUE"""),10.0)</f>
        <v>10</v>
      </c>
      <c r="AF339" s="481"/>
      <c r="AG339" s="481">
        <f>IFERROR(__xludf.DUMMYFUNCTION("""COMPUTED_VALUE"""),42.0)</f>
        <v>42</v>
      </c>
      <c r="AH339" s="481"/>
      <c r="AI339" s="158"/>
      <c r="AJ339" s="158"/>
      <c r="AK339" s="133">
        <f>IFERROR(__xludf.DUMMYFUNCTION("""COMPUTED_VALUE"""),2.0)</f>
        <v>2</v>
      </c>
      <c r="AL339" s="133">
        <f>IFERROR(__xludf.DUMMYFUNCTION("""COMPUTED_VALUE"""),1.0)</f>
        <v>1</v>
      </c>
      <c r="AM339" s="133">
        <f>IFERROR(__xludf.DUMMYFUNCTION("""COMPUTED_VALUE"""),3.0)</f>
        <v>3</v>
      </c>
      <c r="AN339" s="133" t="str">
        <f>IFERROR(__xludf.DUMMYFUNCTION("""COMPUTED_VALUE"""),"0")</f>
        <v>0</v>
      </c>
      <c r="AO339" s="133">
        <f>IFERROR(__xludf.DUMMYFUNCTION("""COMPUTED_VALUE"""),0.0)</f>
        <v>0</v>
      </c>
      <c r="AP339" s="155" t="s">
        <v>3706</v>
      </c>
    </row>
    <row r="340">
      <c r="A340" s="261">
        <f>IFERROR(__xludf.DUMMYFUNCTION("""COMPUTED_VALUE"""),102.0)</f>
        <v>102</v>
      </c>
      <c r="B340" s="261" t="str">
        <f>IFERROR(__xludf.DUMMYFUNCTION("""COMPUTED_VALUE"""),"modh23ise@cmrit.ac.in")</f>
        <v>modh23ise@cmrit.ac.in</v>
      </c>
      <c r="C340" s="172" t="str">
        <f>IFERROR(__xludf.DUMMYFUNCTION("""COMPUTED_VALUE"""),"Monisha dharmalingam")</f>
        <v>Monisha dharmalingam</v>
      </c>
      <c r="D340" s="155" t="str">
        <f>IFERROR(__xludf.DUMMYFUNCTION("""COMPUTED_VALUE"""),"1CR23IS105")</f>
        <v>1CR23IS105</v>
      </c>
      <c r="E340" s="563">
        <f>IFERROR(__xludf.DUMMYFUNCTION("""COMPUTED_VALUE"""),9.90099271E9)</f>
        <v>9900992710</v>
      </c>
      <c r="F340" s="155" t="str">
        <f>IFERROR(__xludf.DUMMYFUNCTION("""COMPUTED_VALUE"""),"ISE")</f>
        <v>ISE</v>
      </c>
      <c r="G340" s="158"/>
      <c r="H340" s="559">
        <f>IFERROR(__xludf.DUMMYFUNCTION("""COMPUTED_VALUE"""),83.0)</f>
        <v>83</v>
      </c>
      <c r="I340" s="559">
        <f>IFERROR(__xludf.DUMMYFUNCTION("""COMPUTED_VALUE"""),89.0)</f>
        <v>89</v>
      </c>
      <c r="J340" s="559">
        <f>IFERROR(__xludf.DUMMYFUNCTION("""COMPUTED_VALUE"""),87.0)</f>
        <v>87</v>
      </c>
      <c r="K340" s="559">
        <f>IFERROR(__xludf.DUMMYFUNCTION("""COMPUTED_VALUE"""),74.0)</f>
        <v>74</v>
      </c>
      <c r="L340" s="560">
        <f>IFERROR(__xludf.DUMMYFUNCTION("""COMPUTED_VALUE"""),50.0)</f>
        <v>50</v>
      </c>
      <c r="M340" s="561">
        <f>IFERROR(__xludf.DUMMYFUNCTION("""COMPUTED_VALUE"""),52.0)</f>
        <v>52</v>
      </c>
      <c r="N340" s="561">
        <f>IFERROR(__xludf.DUMMYFUNCTION("""COMPUTED_VALUE"""),50.0)</f>
        <v>50</v>
      </c>
      <c r="O340" s="560"/>
      <c r="P340" s="562">
        <f>IFERROR(__xludf.DUMMYFUNCTION("""COMPUTED_VALUE"""),84.0)</f>
        <v>84</v>
      </c>
      <c r="Q340" s="562">
        <f>IFERROR(__xludf.DUMMYFUNCTION("""COMPUTED_VALUE"""),82.0)</f>
        <v>82</v>
      </c>
      <c r="R340" s="562">
        <f>IFERROR(__xludf.DUMMYFUNCTION("""COMPUTED_VALUE"""),87.0)</f>
        <v>87</v>
      </c>
      <c r="S340" s="562"/>
      <c r="T340" s="217">
        <f>IFERROR(__xludf.DUMMYFUNCTION("""COMPUTED_VALUE"""),13.0)</f>
        <v>13</v>
      </c>
      <c r="U340" s="217">
        <f>IFERROR(__xludf.DUMMYFUNCTION("""COMPUTED_VALUE"""),21.0)</f>
        <v>21</v>
      </c>
      <c r="V340" s="217">
        <f>IFERROR(__xludf.DUMMYFUNCTION("""COMPUTED_VALUE"""),46.0)</f>
        <v>46</v>
      </c>
      <c r="W340" s="217">
        <f>IFERROR(__xludf.DUMMYFUNCTION("""COMPUTED_VALUE"""),68.0)</f>
        <v>68</v>
      </c>
      <c r="X340" s="217">
        <f>IFERROR(__xludf.DUMMYFUNCTION("""COMPUTED_VALUE"""),80.0)</f>
        <v>80</v>
      </c>
      <c r="Y340" s="217"/>
      <c r="Z340" s="217"/>
      <c r="AA340" s="481">
        <f>IFERROR(__xludf.DUMMYFUNCTION("""COMPUTED_VALUE"""),93.0)</f>
        <v>93</v>
      </c>
      <c r="AB340" s="481">
        <f>IFERROR(__xludf.DUMMYFUNCTION("""COMPUTED_VALUE"""),90.0)</f>
        <v>90</v>
      </c>
      <c r="AC340" s="481">
        <f>IFERROR(__xludf.DUMMYFUNCTION("""COMPUTED_VALUE"""),78.0)</f>
        <v>78</v>
      </c>
      <c r="AD340" s="481">
        <f>IFERROR(__xludf.DUMMYFUNCTION("""COMPUTED_VALUE"""),100.0)</f>
        <v>100</v>
      </c>
      <c r="AE340" s="481">
        <f>IFERROR(__xludf.DUMMYFUNCTION("""COMPUTED_VALUE"""),70.0)</f>
        <v>70</v>
      </c>
      <c r="AF340" s="481"/>
      <c r="AG340" s="481">
        <f>IFERROR(__xludf.DUMMYFUNCTION("""COMPUTED_VALUE"""),77.0)</f>
        <v>77</v>
      </c>
      <c r="AH340" s="481"/>
      <c r="AI340" s="158"/>
      <c r="AJ340" s="158"/>
      <c r="AK340" s="133">
        <f>IFERROR(__xludf.DUMMYFUNCTION("""COMPUTED_VALUE"""),4.0)</f>
        <v>4</v>
      </c>
      <c r="AL340" s="133">
        <f>IFERROR(__xludf.DUMMYFUNCTION("""COMPUTED_VALUE"""),3.0)</f>
        <v>3</v>
      </c>
      <c r="AM340" s="133">
        <f>IFERROR(__xludf.DUMMYFUNCTION("""COMPUTED_VALUE"""),3.0)</f>
        <v>3</v>
      </c>
      <c r="AN340" s="133" t="str">
        <f>IFERROR(__xludf.DUMMYFUNCTION("""COMPUTED_VALUE"""),"3.5")</f>
        <v>3.5</v>
      </c>
      <c r="AO340" s="133">
        <f>IFERROR(__xludf.DUMMYFUNCTION("""COMPUTED_VALUE"""),3.0)</f>
        <v>3</v>
      </c>
      <c r="AP340" s="155" t="s">
        <v>3706</v>
      </c>
    </row>
    <row r="341">
      <c r="A341" s="155">
        <f>IFERROR(__xludf.DUMMYFUNCTION("""COMPUTED_VALUE"""),103.0)</f>
        <v>103</v>
      </c>
      <c r="B341" s="155" t="str">
        <f>IFERROR(__xludf.DUMMYFUNCTION("""COMPUTED_VALUE"""),"moku23ise@cmrit.ac.in")</f>
        <v>moku23ise@cmrit.ac.in</v>
      </c>
      <c r="C341" s="174" t="str">
        <f>IFERROR(__xludf.DUMMYFUNCTION("""COMPUTED_VALUE"""),"MONU KUMAR")</f>
        <v>MONU KUMAR</v>
      </c>
      <c r="D341" s="155" t="str">
        <f>IFERROR(__xludf.DUMMYFUNCTION("""COMPUTED_VALUE"""),"1CR23IS106")</f>
        <v>1CR23IS106</v>
      </c>
      <c r="E341" s="563">
        <f>IFERROR(__xludf.DUMMYFUNCTION("""COMPUTED_VALUE"""),8.789601387E9)</f>
        <v>8789601387</v>
      </c>
      <c r="F341" s="155" t="str">
        <f>IFERROR(__xludf.DUMMYFUNCTION("""COMPUTED_VALUE"""),"ISE")</f>
        <v>ISE</v>
      </c>
      <c r="G341" s="158"/>
      <c r="H341" s="559">
        <f>IFERROR(__xludf.DUMMYFUNCTION("""COMPUTED_VALUE"""),74.0)</f>
        <v>74</v>
      </c>
      <c r="I341" s="559">
        <f>IFERROR(__xludf.DUMMYFUNCTION("""COMPUTED_VALUE"""),83.0)</f>
        <v>83</v>
      </c>
      <c r="J341" s="559">
        <f>IFERROR(__xludf.DUMMYFUNCTION("""COMPUTED_VALUE"""),75.0)</f>
        <v>75</v>
      </c>
      <c r="K341" s="559">
        <f>IFERROR(__xludf.DUMMYFUNCTION("""COMPUTED_VALUE"""),73.0)</f>
        <v>73</v>
      </c>
      <c r="L341" s="560">
        <f>IFERROR(__xludf.DUMMYFUNCTION("""COMPUTED_VALUE"""),50.0)</f>
        <v>50</v>
      </c>
      <c r="M341" s="561">
        <f>IFERROR(__xludf.DUMMYFUNCTION("""COMPUTED_VALUE"""),50.0)</f>
        <v>50</v>
      </c>
      <c r="N341" s="561">
        <f>IFERROR(__xludf.DUMMYFUNCTION("""COMPUTED_VALUE"""),58.0)</f>
        <v>58</v>
      </c>
      <c r="O341" s="560"/>
      <c r="P341" s="562">
        <f>IFERROR(__xludf.DUMMYFUNCTION("""COMPUTED_VALUE"""),50.0)</f>
        <v>50</v>
      </c>
      <c r="Q341" s="562">
        <f>IFERROR(__xludf.DUMMYFUNCTION("""COMPUTED_VALUE"""),63.0)</f>
        <v>63</v>
      </c>
      <c r="R341" s="562">
        <f>IFERROR(__xludf.DUMMYFUNCTION("""COMPUTED_VALUE"""),90.0)</f>
        <v>90</v>
      </c>
      <c r="S341" s="562"/>
      <c r="T341" s="217">
        <f>IFERROR(__xludf.DUMMYFUNCTION("""COMPUTED_VALUE"""),11.0)</f>
        <v>11</v>
      </c>
      <c r="U341" s="217">
        <f>IFERROR(__xludf.DUMMYFUNCTION("""COMPUTED_VALUE"""),22.0)</f>
        <v>22</v>
      </c>
      <c r="V341" s="217">
        <f>IFERROR(__xludf.DUMMYFUNCTION("""COMPUTED_VALUE"""),48.0)</f>
        <v>48</v>
      </c>
      <c r="W341" s="217">
        <f>IFERROR(__xludf.DUMMYFUNCTION("""COMPUTED_VALUE"""),72.0)</f>
        <v>72</v>
      </c>
      <c r="X341" s="217">
        <f>IFERROR(__xludf.DUMMYFUNCTION("""COMPUTED_VALUE"""),84.0)</f>
        <v>84</v>
      </c>
      <c r="Y341" s="217"/>
      <c r="Z341" s="217"/>
      <c r="AA341" s="481">
        <f>IFERROR(__xludf.DUMMYFUNCTION("""COMPUTED_VALUE"""),98.0)</f>
        <v>98</v>
      </c>
      <c r="AB341" s="481">
        <f>IFERROR(__xludf.DUMMYFUNCTION("""COMPUTED_VALUE"""),100.0)</f>
        <v>100</v>
      </c>
      <c r="AC341" s="481">
        <f>IFERROR(__xludf.DUMMYFUNCTION("""COMPUTED_VALUE"""),53.0)</f>
        <v>53</v>
      </c>
      <c r="AD341" s="481">
        <f>IFERROR(__xludf.DUMMYFUNCTION("""COMPUTED_VALUE"""),84.0)</f>
        <v>84</v>
      </c>
      <c r="AE341" s="481">
        <f>IFERROR(__xludf.DUMMYFUNCTION("""COMPUTED_VALUE"""),70.0)</f>
        <v>70</v>
      </c>
      <c r="AF341" s="481"/>
      <c r="AG341" s="481">
        <f>IFERROR(__xludf.DUMMYFUNCTION("""COMPUTED_VALUE"""),49.0)</f>
        <v>49</v>
      </c>
      <c r="AH341" s="481"/>
      <c r="AI341" s="158"/>
      <c r="AJ341" s="158"/>
      <c r="AK341" s="133">
        <f>IFERROR(__xludf.DUMMYFUNCTION("""COMPUTED_VALUE"""),4.0)</f>
        <v>4</v>
      </c>
      <c r="AL341" s="133">
        <f>IFERROR(__xludf.DUMMYFUNCTION("""COMPUTED_VALUE"""),3.0)</f>
        <v>3</v>
      </c>
      <c r="AM341" s="133">
        <f>IFERROR(__xludf.DUMMYFUNCTION("""COMPUTED_VALUE"""),3.0)</f>
        <v>3</v>
      </c>
      <c r="AN341" s="133" t="str">
        <f>IFERROR(__xludf.DUMMYFUNCTION("""COMPUTED_VALUE"""),"3.5")</f>
        <v>3.5</v>
      </c>
      <c r="AO341" s="133">
        <f>IFERROR(__xludf.DUMMYFUNCTION("""COMPUTED_VALUE"""),3.0)</f>
        <v>3</v>
      </c>
      <c r="AP341" s="155" t="s">
        <v>3706</v>
      </c>
    </row>
    <row r="342">
      <c r="A342" s="155">
        <f>IFERROR(__xludf.DUMMYFUNCTION("""COMPUTED_VALUE"""),104.0)</f>
        <v>104</v>
      </c>
      <c r="B342" s="155" t="str">
        <f>IFERROR(__xludf.DUMMYFUNCTION("""COMPUTED_VALUE"""),"mote23ise@cmrit.ac.in")</f>
        <v>mote23ise@cmrit.ac.in</v>
      </c>
      <c r="C342" s="174" t="str">
        <f>IFERROR(__xludf.DUMMYFUNCTION("""COMPUTED_VALUE"""),"morla tejaswini")</f>
        <v>morla tejaswini</v>
      </c>
      <c r="D342" s="155" t="str">
        <f>IFERROR(__xludf.DUMMYFUNCTION("""COMPUTED_VALUE"""),"1CR23IS107")</f>
        <v>1CR23IS107</v>
      </c>
      <c r="E342" s="563">
        <f>IFERROR(__xludf.DUMMYFUNCTION("""COMPUTED_VALUE"""),9.972494155E9)</f>
        <v>9972494155</v>
      </c>
      <c r="F342" s="155" t="str">
        <f>IFERROR(__xludf.DUMMYFUNCTION("""COMPUTED_VALUE"""),"ISE")</f>
        <v>ISE</v>
      </c>
      <c r="G342" s="158"/>
      <c r="H342" s="559">
        <f>IFERROR(__xludf.DUMMYFUNCTION("""COMPUTED_VALUE"""),80.0)</f>
        <v>80</v>
      </c>
      <c r="I342" s="559">
        <f>IFERROR(__xludf.DUMMYFUNCTION("""COMPUTED_VALUE"""),93.0)</f>
        <v>93</v>
      </c>
      <c r="J342" s="559">
        <f>IFERROR(__xludf.DUMMYFUNCTION("""COMPUTED_VALUE"""),88.0)</f>
        <v>88</v>
      </c>
      <c r="K342" s="559">
        <f>IFERROR(__xludf.DUMMYFUNCTION("""COMPUTED_VALUE"""),86.0)</f>
        <v>86</v>
      </c>
      <c r="L342" s="560">
        <f>IFERROR(__xludf.DUMMYFUNCTION("""COMPUTED_VALUE"""),54.0)</f>
        <v>54</v>
      </c>
      <c r="M342" s="561">
        <f>IFERROR(__xludf.DUMMYFUNCTION("""COMPUTED_VALUE"""),66.0)</f>
        <v>66</v>
      </c>
      <c r="N342" s="561">
        <f>IFERROR(__xludf.DUMMYFUNCTION("""COMPUTED_VALUE"""),76.0)</f>
        <v>76</v>
      </c>
      <c r="O342" s="560"/>
      <c r="P342" s="562">
        <f>IFERROR(__xludf.DUMMYFUNCTION("""COMPUTED_VALUE"""),50.0)</f>
        <v>50</v>
      </c>
      <c r="Q342" s="562">
        <f>IFERROR(__xludf.DUMMYFUNCTION("""COMPUTED_VALUE"""),90.0)</f>
        <v>90</v>
      </c>
      <c r="R342" s="562">
        <f>IFERROR(__xludf.DUMMYFUNCTION("""COMPUTED_VALUE"""),90.0)</f>
        <v>90</v>
      </c>
      <c r="S342" s="562"/>
      <c r="T342" s="217">
        <f>IFERROR(__xludf.DUMMYFUNCTION("""COMPUTED_VALUE"""),10.0)</f>
        <v>10</v>
      </c>
      <c r="U342" s="217">
        <f>IFERROR(__xludf.DUMMYFUNCTION("""COMPUTED_VALUE"""),22.0)</f>
        <v>22</v>
      </c>
      <c r="V342" s="217">
        <f>IFERROR(__xludf.DUMMYFUNCTION("""COMPUTED_VALUE"""),48.0)</f>
        <v>48</v>
      </c>
      <c r="W342" s="217">
        <f>IFERROR(__xludf.DUMMYFUNCTION("""COMPUTED_VALUE"""),68.0)</f>
        <v>68</v>
      </c>
      <c r="X342" s="217">
        <f>IFERROR(__xludf.DUMMYFUNCTION("""COMPUTED_VALUE"""),84.0)</f>
        <v>84</v>
      </c>
      <c r="Y342" s="217"/>
      <c r="Z342" s="217"/>
      <c r="AA342" s="481">
        <f>IFERROR(__xludf.DUMMYFUNCTION("""COMPUTED_VALUE"""),85.0)</f>
        <v>85</v>
      </c>
      <c r="AB342" s="481">
        <f>IFERROR(__xludf.DUMMYFUNCTION("""COMPUTED_VALUE"""),100.0)</f>
        <v>100</v>
      </c>
      <c r="AC342" s="481">
        <f>IFERROR(__xludf.DUMMYFUNCTION("""COMPUTED_VALUE"""),93.0)</f>
        <v>93</v>
      </c>
      <c r="AD342" s="481">
        <f>IFERROR(__xludf.DUMMYFUNCTION("""COMPUTED_VALUE"""),100.0)</f>
        <v>100</v>
      </c>
      <c r="AE342" s="481">
        <f>IFERROR(__xludf.DUMMYFUNCTION("""COMPUTED_VALUE"""),70.0)</f>
        <v>70</v>
      </c>
      <c r="AF342" s="481"/>
      <c r="AG342" s="481">
        <f>IFERROR(__xludf.DUMMYFUNCTION("""COMPUTED_VALUE"""),67.0)</f>
        <v>67</v>
      </c>
      <c r="AH342" s="481"/>
      <c r="AI342" s="158"/>
      <c r="AJ342" s="158"/>
      <c r="AK342" s="133">
        <f>IFERROR(__xludf.DUMMYFUNCTION("""COMPUTED_VALUE"""),4.0)</f>
        <v>4</v>
      </c>
      <c r="AL342" s="133">
        <f>IFERROR(__xludf.DUMMYFUNCTION("""COMPUTED_VALUE"""),3.0)</f>
        <v>3</v>
      </c>
      <c r="AM342" s="133">
        <f>IFERROR(__xludf.DUMMYFUNCTION("""COMPUTED_VALUE"""),3.0)</f>
        <v>3</v>
      </c>
      <c r="AN342" s="133" t="str">
        <f>IFERROR(__xludf.DUMMYFUNCTION("""COMPUTED_VALUE"""),"3.5")</f>
        <v>3.5</v>
      </c>
      <c r="AO342" s="133">
        <f>IFERROR(__xludf.DUMMYFUNCTION("""COMPUTED_VALUE"""),3.0)</f>
        <v>3</v>
      </c>
      <c r="AP342" s="155" t="s">
        <v>3706</v>
      </c>
    </row>
    <row r="343">
      <c r="A343" s="155">
        <f>IFERROR(__xludf.DUMMYFUNCTION("""COMPUTED_VALUE"""),105.0)</f>
        <v>105</v>
      </c>
      <c r="B343" s="155" t="str">
        <f>IFERROR(__xludf.DUMMYFUNCTION("""COMPUTED_VALUE"""),"nan23ise@cmrit.ac.in")</f>
        <v>nan23ise@cmrit.ac.in</v>
      </c>
      <c r="C343" s="174" t="str">
        <f>IFERROR(__xludf.DUMMYFUNCTION("""COMPUTED_VALUE"""),"NAMRATHA N")</f>
        <v>NAMRATHA N</v>
      </c>
      <c r="D343" s="155" t="str">
        <f>IFERROR(__xludf.DUMMYFUNCTION("""COMPUTED_VALUE"""),"1CR23IS108")</f>
        <v>1CR23IS108</v>
      </c>
      <c r="E343" s="563">
        <f>IFERROR(__xludf.DUMMYFUNCTION("""COMPUTED_VALUE"""),9.538746073E9)</f>
        <v>9538746073</v>
      </c>
      <c r="F343" s="155" t="str">
        <f>IFERROR(__xludf.DUMMYFUNCTION("""COMPUTED_VALUE"""),"ISE")</f>
        <v>ISE</v>
      </c>
      <c r="G343" s="158"/>
      <c r="H343" s="559">
        <f>IFERROR(__xludf.DUMMYFUNCTION("""COMPUTED_VALUE"""),71.0)</f>
        <v>71</v>
      </c>
      <c r="I343" s="559">
        <f>IFERROR(__xludf.DUMMYFUNCTION("""COMPUTED_VALUE"""),72.0)</f>
        <v>72</v>
      </c>
      <c r="J343" s="559">
        <f>IFERROR(__xludf.DUMMYFUNCTION("""COMPUTED_VALUE"""),71.0)</f>
        <v>71</v>
      </c>
      <c r="K343" s="559">
        <f>IFERROR(__xludf.DUMMYFUNCTION("""COMPUTED_VALUE"""),70.0)</f>
        <v>70</v>
      </c>
      <c r="L343" s="560">
        <f>IFERROR(__xludf.DUMMYFUNCTION("""COMPUTED_VALUE"""),50.0)</f>
        <v>50</v>
      </c>
      <c r="M343" s="561">
        <f>IFERROR(__xludf.DUMMYFUNCTION("""COMPUTED_VALUE"""),67.0)</f>
        <v>67</v>
      </c>
      <c r="N343" s="561">
        <f>IFERROR(__xludf.DUMMYFUNCTION("""COMPUTED_VALUE"""),50.0)</f>
        <v>50</v>
      </c>
      <c r="O343" s="560"/>
      <c r="P343" s="562">
        <f>IFERROR(__xludf.DUMMYFUNCTION("""COMPUTED_VALUE"""),81.0)</f>
        <v>81</v>
      </c>
      <c r="Q343" s="562">
        <f>IFERROR(__xludf.DUMMYFUNCTION("""COMPUTED_VALUE"""),62.0)</f>
        <v>62</v>
      </c>
      <c r="R343" s="562">
        <f>IFERROR(__xludf.DUMMYFUNCTION("""COMPUTED_VALUE"""),80.0)</f>
        <v>80</v>
      </c>
      <c r="S343" s="562"/>
      <c r="T343" s="217">
        <f>IFERROR(__xludf.DUMMYFUNCTION("""COMPUTED_VALUE"""),11.0)</f>
        <v>11</v>
      </c>
      <c r="U343" s="217">
        <f>IFERROR(__xludf.DUMMYFUNCTION("""COMPUTED_VALUE"""),23.0)</f>
        <v>23</v>
      </c>
      <c r="V343" s="217">
        <f>IFERROR(__xludf.DUMMYFUNCTION("""COMPUTED_VALUE"""),46.0)</f>
        <v>46</v>
      </c>
      <c r="W343" s="217">
        <f>IFERROR(__xludf.DUMMYFUNCTION("""COMPUTED_VALUE"""),64.0)</f>
        <v>64</v>
      </c>
      <c r="X343" s="217">
        <f>IFERROR(__xludf.DUMMYFUNCTION("""COMPUTED_VALUE"""),80.0)</f>
        <v>80</v>
      </c>
      <c r="Y343" s="217"/>
      <c r="Z343" s="217"/>
      <c r="AA343" s="481">
        <f>IFERROR(__xludf.DUMMYFUNCTION("""COMPUTED_VALUE"""),44.0)</f>
        <v>44</v>
      </c>
      <c r="AB343" s="481">
        <f>IFERROR(__xludf.DUMMYFUNCTION("""COMPUTED_VALUE"""),96.0)</f>
        <v>96</v>
      </c>
      <c r="AC343" s="481">
        <f>IFERROR(__xludf.DUMMYFUNCTION("""COMPUTED_VALUE"""),64.0)</f>
        <v>64</v>
      </c>
      <c r="AD343" s="481">
        <f>IFERROR(__xludf.DUMMYFUNCTION("""COMPUTED_VALUE"""),100.0)</f>
        <v>100</v>
      </c>
      <c r="AE343" s="481">
        <f>IFERROR(__xludf.DUMMYFUNCTION("""COMPUTED_VALUE"""),70.0)</f>
        <v>70</v>
      </c>
      <c r="AF343" s="481"/>
      <c r="AG343" s="481">
        <f>IFERROR(__xludf.DUMMYFUNCTION("""COMPUTED_VALUE"""),70.0)</f>
        <v>70</v>
      </c>
      <c r="AH343" s="481"/>
      <c r="AI343" s="158"/>
      <c r="AJ343" s="158"/>
      <c r="AK343" s="133">
        <f>IFERROR(__xludf.DUMMYFUNCTION("""COMPUTED_VALUE"""),4.0)</f>
        <v>4</v>
      </c>
      <c r="AL343" s="133">
        <f>IFERROR(__xludf.DUMMYFUNCTION("""COMPUTED_VALUE"""),3.0)</f>
        <v>3</v>
      </c>
      <c r="AM343" s="133">
        <f>IFERROR(__xludf.DUMMYFUNCTION("""COMPUTED_VALUE"""),3.0)</f>
        <v>3</v>
      </c>
      <c r="AN343" s="133" t="str">
        <f>IFERROR(__xludf.DUMMYFUNCTION("""COMPUTED_VALUE"""),"3.5")</f>
        <v>3.5</v>
      </c>
      <c r="AO343" s="133">
        <f>IFERROR(__xludf.DUMMYFUNCTION("""COMPUTED_VALUE"""),3.0)</f>
        <v>3</v>
      </c>
      <c r="AP343" s="155" t="s">
        <v>3706</v>
      </c>
    </row>
    <row r="344">
      <c r="A344" s="155">
        <f>IFERROR(__xludf.DUMMYFUNCTION("""COMPUTED_VALUE"""),106.0)</f>
        <v>106</v>
      </c>
      <c r="B344" s="155" t="str">
        <f>IFERROR(__xludf.DUMMYFUNCTION("""COMPUTED_VALUE"""),"namh23ise@cmrit.ac.in")</f>
        <v>namh23ise@cmrit.ac.in</v>
      </c>
      <c r="C344" s="174" t="str">
        <f>IFERROR(__xludf.DUMMYFUNCTION("""COMPUTED_VALUE"""),"NANDEESHA M H")</f>
        <v>NANDEESHA M H</v>
      </c>
      <c r="D344" s="155" t="str">
        <f>IFERROR(__xludf.DUMMYFUNCTION("""COMPUTED_VALUE"""),"1CR23IS109")</f>
        <v>1CR23IS109</v>
      </c>
      <c r="E344" s="563">
        <f>IFERROR(__xludf.DUMMYFUNCTION("""COMPUTED_VALUE"""),9.019184134E9)</f>
        <v>9019184134</v>
      </c>
      <c r="F344" s="155" t="str">
        <f>IFERROR(__xludf.DUMMYFUNCTION("""COMPUTED_VALUE"""),"ISE")</f>
        <v>ISE</v>
      </c>
      <c r="G344" s="158"/>
      <c r="H344" s="559">
        <f>IFERROR(__xludf.DUMMYFUNCTION("""COMPUTED_VALUE"""),70.0)</f>
        <v>70</v>
      </c>
      <c r="I344" s="559">
        <f>IFERROR(__xludf.DUMMYFUNCTION("""COMPUTED_VALUE"""),70.0)</f>
        <v>70</v>
      </c>
      <c r="J344" s="559">
        <f>IFERROR(__xludf.DUMMYFUNCTION("""COMPUTED_VALUE"""),70.0)</f>
        <v>70</v>
      </c>
      <c r="K344" s="559">
        <f>IFERROR(__xludf.DUMMYFUNCTION("""COMPUTED_VALUE"""),70.0)</f>
        <v>70</v>
      </c>
      <c r="L344" s="560">
        <f>IFERROR(__xludf.DUMMYFUNCTION("""COMPUTED_VALUE"""),50.0)</f>
        <v>50</v>
      </c>
      <c r="M344" s="561">
        <f>IFERROR(__xludf.DUMMYFUNCTION("""COMPUTED_VALUE"""),71.0)</f>
        <v>71</v>
      </c>
      <c r="N344" s="561">
        <f>IFERROR(__xludf.DUMMYFUNCTION("""COMPUTED_VALUE"""),50.0)</f>
        <v>50</v>
      </c>
      <c r="O344" s="560"/>
      <c r="P344" s="562">
        <f>IFERROR(__xludf.DUMMYFUNCTION("""COMPUTED_VALUE"""),81.0)</f>
        <v>81</v>
      </c>
      <c r="Q344" s="562">
        <f>IFERROR(__xludf.DUMMYFUNCTION("""COMPUTED_VALUE"""),62.0)</f>
        <v>62</v>
      </c>
      <c r="R344" s="562">
        <f>IFERROR(__xludf.DUMMYFUNCTION("""COMPUTED_VALUE"""),88.0)</f>
        <v>88</v>
      </c>
      <c r="S344" s="562"/>
      <c r="T344" s="217">
        <f>IFERROR(__xludf.DUMMYFUNCTION("""COMPUTED_VALUE"""),19.0)</f>
        <v>19</v>
      </c>
      <c r="U344" s="217">
        <f>IFERROR(__xludf.DUMMYFUNCTION("""COMPUTED_VALUE"""),24.0)</f>
        <v>24</v>
      </c>
      <c r="V344" s="217">
        <f>IFERROR(__xludf.DUMMYFUNCTION("""COMPUTED_VALUE"""),38.0)</f>
        <v>38</v>
      </c>
      <c r="W344" s="217">
        <f>IFERROR(__xludf.DUMMYFUNCTION("""COMPUTED_VALUE"""),72.0)</f>
        <v>72</v>
      </c>
      <c r="X344" s="217">
        <f>IFERROR(__xludf.DUMMYFUNCTION("""COMPUTED_VALUE"""),84.0)</f>
        <v>84</v>
      </c>
      <c r="Y344" s="217"/>
      <c r="Z344" s="217"/>
      <c r="AA344" s="481">
        <f>IFERROR(__xludf.DUMMYFUNCTION("""COMPUTED_VALUE"""),48.0)</f>
        <v>48</v>
      </c>
      <c r="AB344" s="481">
        <f>IFERROR(__xludf.DUMMYFUNCTION("""COMPUTED_VALUE"""),80.0)</f>
        <v>80</v>
      </c>
      <c r="AC344" s="481">
        <f>IFERROR(__xludf.DUMMYFUNCTION("""COMPUTED_VALUE"""),60.0)</f>
        <v>60</v>
      </c>
      <c r="AD344" s="481">
        <f>IFERROR(__xludf.DUMMYFUNCTION("""COMPUTED_VALUE"""),80.0)</f>
        <v>80</v>
      </c>
      <c r="AE344" s="481">
        <f>IFERROR(__xludf.DUMMYFUNCTION("""COMPUTED_VALUE"""),13.0)</f>
        <v>13</v>
      </c>
      <c r="AF344" s="481"/>
      <c r="AG344" s="481">
        <f>IFERROR(__xludf.DUMMYFUNCTION("""COMPUTED_VALUE"""),43.0)</f>
        <v>43</v>
      </c>
      <c r="AH344" s="481"/>
      <c r="AI344" s="158"/>
      <c r="AJ344" s="158"/>
      <c r="AK344" s="133">
        <f>IFERROR(__xludf.DUMMYFUNCTION("""COMPUTED_VALUE"""),4.0)</f>
        <v>4</v>
      </c>
      <c r="AL344" s="133">
        <f>IFERROR(__xludf.DUMMYFUNCTION("""COMPUTED_VALUE"""),3.0)</f>
        <v>3</v>
      </c>
      <c r="AM344" s="133">
        <f>IFERROR(__xludf.DUMMYFUNCTION("""COMPUTED_VALUE"""),3.0)</f>
        <v>3</v>
      </c>
      <c r="AN344" s="133" t="str">
        <f>IFERROR(__xludf.DUMMYFUNCTION("""COMPUTED_VALUE"""),"3")</f>
        <v>3</v>
      </c>
      <c r="AO344" s="133">
        <f>IFERROR(__xludf.DUMMYFUNCTION("""COMPUTED_VALUE"""),3.0)</f>
        <v>3</v>
      </c>
      <c r="AP344" s="155" t="s">
        <v>3706</v>
      </c>
    </row>
    <row r="345">
      <c r="A345" s="155">
        <f>IFERROR(__xludf.DUMMYFUNCTION("""COMPUTED_VALUE"""),107.0)</f>
        <v>107</v>
      </c>
      <c r="B345" s="155" t="str">
        <f>IFERROR(__xludf.DUMMYFUNCTION("""COMPUTED_VALUE"""),"nas23ise@cmrit.ac.in")</f>
        <v>nas23ise@cmrit.ac.in</v>
      </c>
      <c r="C345" s="174" t="str">
        <f>IFERROR(__xludf.DUMMYFUNCTION("""COMPUTED_VALUE"""),"NAVEEN S")</f>
        <v>NAVEEN S</v>
      </c>
      <c r="D345" s="155" t="str">
        <f>IFERROR(__xludf.DUMMYFUNCTION("""COMPUTED_VALUE"""),"1CR23IS110")</f>
        <v>1CR23IS110</v>
      </c>
      <c r="E345" s="563">
        <f>IFERROR(__xludf.DUMMYFUNCTION("""COMPUTED_VALUE"""),8.762603596E9)</f>
        <v>8762603596</v>
      </c>
      <c r="F345" s="155" t="str">
        <f>IFERROR(__xludf.DUMMYFUNCTION("""COMPUTED_VALUE"""),"ISE")</f>
        <v>ISE</v>
      </c>
      <c r="G345" s="158"/>
      <c r="H345" s="559">
        <f>IFERROR(__xludf.DUMMYFUNCTION("""COMPUTED_VALUE"""),74.0)</f>
        <v>74</v>
      </c>
      <c r="I345" s="559">
        <f>IFERROR(__xludf.DUMMYFUNCTION("""COMPUTED_VALUE"""),74.0)</f>
        <v>74</v>
      </c>
      <c r="J345" s="559">
        <f>IFERROR(__xludf.DUMMYFUNCTION("""COMPUTED_VALUE"""),70.0)</f>
        <v>70</v>
      </c>
      <c r="K345" s="559">
        <f>IFERROR(__xludf.DUMMYFUNCTION("""COMPUTED_VALUE"""),70.0)</f>
        <v>70</v>
      </c>
      <c r="L345" s="560">
        <f>IFERROR(__xludf.DUMMYFUNCTION("""COMPUTED_VALUE"""),50.0)</f>
        <v>50</v>
      </c>
      <c r="M345" s="561">
        <f>IFERROR(__xludf.DUMMYFUNCTION("""COMPUTED_VALUE"""),57.0)</f>
        <v>57</v>
      </c>
      <c r="N345" s="561">
        <f>IFERROR(__xludf.DUMMYFUNCTION("""COMPUTED_VALUE"""),59.0)</f>
        <v>59</v>
      </c>
      <c r="O345" s="560"/>
      <c r="P345" s="562">
        <f>IFERROR(__xludf.DUMMYFUNCTION("""COMPUTED_VALUE"""),90.0)</f>
        <v>90</v>
      </c>
      <c r="Q345" s="562">
        <f>IFERROR(__xludf.DUMMYFUNCTION("""COMPUTED_VALUE"""),50.0)</f>
        <v>50</v>
      </c>
      <c r="R345" s="562">
        <f>IFERROR(__xludf.DUMMYFUNCTION("""COMPUTED_VALUE"""),74.0)</f>
        <v>74</v>
      </c>
      <c r="S345" s="562"/>
      <c r="T345" s="217">
        <f>IFERROR(__xludf.DUMMYFUNCTION("""COMPUTED_VALUE"""),18.0)</f>
        <v>18</v>
      </c>
      <c r="U345" s="217">
        <f>IFERROR(__xludf.DUMMYFUNCTION("""COMPUTED_VALUE"""),25.0)</f>
        <v>25</v>
      </c>
      <c r="V345" s="217">
        <f>IFERROR(__xludf.DUMMYFUNCTION("""COMPUTED_VALUE"""),40.0)</f>
        <v>40</v>
      </c>
      <c r="W345" s="217">
        <f>IFERROR(__xludf.DUMMYFUNCTION("""COMPUTED_VALUE"""),72.0)</f>
        <v>72</v>
      </c>
      <c r="X345" s="217">
        <f>IFERROR(__xludf.DUMMYFUNCTION("""COMPUTED_VALUE"""),68.0)</f>
        <v>68</v>
      </c>
      <c r="Y345" s="217"/>
      <c r="Z345" s="217"/>
      <c r="AA345" s="481">
        <f>IFERROR(__xludf.DUMMYFUNCTION("""COMPUTED_VALUE"""),94.0)</f>
        <v>94</v>
      </c>
      <c r="AB345" s="481">
        <f>IFERROR(__xludf.DUMMYFUNCTION("""COMPUTED_VALUE"""),96.0)</f>
        <v>96</v>
      </c>
      <c r="AC345" s="481">
        <f>IFERROR(__xludf.DUMMYFUNCTION("""COMPUTED_VALUE"""),68.0)</f>
        <v>68</v>
      </c>
      <c r="AD345" s="481">
        <f>IFERROR(__xludf.DUMMYFUNCTION("""COMPUTED_VALUE"""),100.0)</f>
        <v>100</v>
      </c>
      <c r="AE345" s="481">
        <f>IFERROR(__xludf.DUMMYFUNCTION("""COMPUTED_VALUE"""),84.0)</f>
        <v>84</v>
      </c>
      <c r="AF345" s="481"/>
      <c r="AG345" s="481">
        <f>IFERROR(__xludf.DUMMYFUNCTION("""COMPUTED_VALUE"""),64.0)</f>
        <v>64</v>
      </c>
      <c r="AH345" s="481"/>
      <c r="AI345" s="158"/>
      <c r="AJ345" s="158"/>
      <c r="AK345" s="133">
        <f>IFERROR(__xludf.DUMMYFUNCTION("""COMPUTED_VALUE"""),4.0)</f>
        <v>4</v>
      </c>
      <c r="AL345" s="133">
        <f>IFERROR(__xludf.DUMMYFUNCTION("""COMPUTED_VALUE"""),3.0)</f>
        <v>3</v>
      </c>
      <c r="AM345" s="133">
        <f>IFERROR(__xludf.DUMMYFUNCTION("""COMPUTED_VALUE"""),3.0)</f>
        <v>3</v>
      </c>
      <c r="AN345" s="133" t="str">
        <f>IFERROR(__xludf.DUMMYFUNCTION("""COMPUTED_VALUE"""),"3.5")</f>
        <v>3.5</v>
      </c>
      <c r="AO345" s="133">
        <f>IFERROR(__xludf.DUMMYFUNCTION("""COMPUTED_VALUE"""),3.0)</f>
        <v>3</v>
      </c>
      <c r="AP345" s="155" t="s">
        <v>3706</v>
      </c>
    </row>
    <row r="346">
      <c r="A346" s="155">
        <f>IFERROR(__xludf.DUMMYFUNCTION("""COMPUTED_VALUE"""),108.0)</f>
        <v>108</v>
      </c>
      <c r="B346" s="155" t="str">
        <f>IFERROR(__xludf.DUMMYFUNCTION("""COMPUTED_VALUE"""),"niku23ise@cmrit.ac.in")</f>
        <v>niku23ise@cmrit.ac.in</v>
      </c>
      <c r="C346" s="174" t="str">
        <f>IFERROR(__xludf.DUMMYFUNCTION("""COMPUTED_VALUE"""),"NIKHIL KUMAR")</f>
        <v>NIKHIL KUMAR</v>
      </c>
      <c r="D346" s="155" t="str">
        <f>IFERROR(__xludf.DUMMYFUNCTION("""COMPUTED_VALUE"""),"1CR23IS111")</f>
        <v>1CR23IS111</v>
      </c>
      <c r="E346" s="563">
        <f>IFERROR(__xludf.DUMMYFUNCTION("""COMPUTED_VALUE"""),6.205245097E9)</f>
        <v>6205245097</v>
      </c>
      <c r="F346" s="155" t="str">
        <f>IFERROR(__xludf.DUMMYFUNCTION("""COMPUTED_VALUE"""),"ISE")</f>
        <v>ISE</v>
      </c>
      <c r="G346" s="158"/>
      <c r="H346" s="559">
        <f>IFERROR(__xludf.DUMMYFUNCTION("""COMPUTED_VALUE"""),71.0)</f>
        <v>71</v>
      </c>
      <c r="I346" s="559">
        <f>IFERROR(__xludf.DUMMYFUNCTION("""COMPUTED_VALUE"""),83.0)</f>
        <v>83</v>
      </c>
      <c r="J346" s="559">
        <f>IFERROR(__xludf.DUMMYFUNCTION("""COMPUTED_VALUE"""),88.0)</f>
        <v>88</v>
      </c>
      <c r="K346" s="559">
        <f>IFERROR(__xludf.DUMMYFUNCTION("""COMPUTED_VALUE"""),78.0)</f>
        <v>78</v>
      </c>
      <c r="L346" s="560">
        <f>IFERROR(__xludf.DUMMYFUNCTION("""COMPUTED_VALUE"""),66.0)</f>
        <v>66</v>
      </c>
      <c r="M346" s="561">
        <f>IFERROR(__xludf.DUMMYFUNCTION("""COMPUTED_VALUE"""),59.0)</f>
        <v>59</v>
      </c>
      <c r="N346" s="561">
        <f>IFERROR(__xludf.DUMMYFUNCTION("""COMPUTED_VALUE"""),67.0)</f>
        <v>67</v>
      </c>
      <c r="O346" s="560"/>
      <c r="P346" s="562">
        <f>IFERROR(__xludf.DUMMYFUNCTION("""COMPUTED_VALUE"""),90.0)</f>
        <v>90</v>
      </c>
      <c r="Q346" s="562">
        <f>IFERROR(__xludf.DUMMYFUNCTION("""COMPUTED_VALUE"""),90.0)</f>
        <v>90</v>
      </c>
      <c r="R346" s="562">
        <f>IFERROR(__xludf.DUMMYFUNCTION("""COMPUTED_VALUE"""),90.0)</f>
        <v>90</v>
      </c>
      <c r="S346" s="562"/>
      <c r="T346" s="217">
        <f>IFERROR(__xludf.DUMMYFUNCTION("""COMPUTED_VALUE"""),14.0)</f>
        <v>14</v>
      </c>
      <c r="U346" s="217">
        <f>IFERROR(__xludf.DUMMYFUNCTION("""COMPUTED_VALUE"""),26.0)</f>
        <v>26</v>
      </c>
      <c r="V346" s="217">
        <f>IFERROR(__xludf.DUMMYFUNCTION("""COMPUTED_VALUE"""),44.0)</f>
        <v>44</v>
      </c>
      <c r="W346" s="217">
        <f>IFERROR(__xludf.DUMMYFUNCTION("""COMPUTED_VALUE"""),76.0)</f>
        <v>76</v>
      </c>
      <c r="X346" s="217">
        <f>IFERROR(__xludf.DUMMYFUNCTION("""COMPUTED_VALUE"""),88.0)</f>
        <v>88</v>
      </c>
      <c r="Y346" s="217"/>
      <c r="Z346" s="217"/>
      <c r="AA346" s="481">
        <f>IFERROR(__xludf.DUMMYFUNCTION("""COMPUTED_VALUE"""),100.0)</f>
        <v>100</v>
      </c>
      <c r="AB346" s="481">
        <f>IFERROR(__xludf.DUMMYFUNCTION("""COMPUTED_VALUE"""),100.0)</f>
        <v>100</v>
      </c>
      <c r="AC346" s="481">
        <f>IFERROR(__xludf.DUMMYFUNCTION("""COMPUTED_VALUE"""),92.0)</f>
        <v>92</v>
      </c>
      <c r="AD346" s="481">
        <f>IFERROR(__xludf.DUMMYFUNCTION("""COMPUTED_VALUE"""),84.0)</f>
        <v>84</v>
      </c>
      <c r="AE346" s="481">
        <f>IFERROR(__xludf.DUMMYFUNCTION("""COMPUTED_VALUE"""),84.0)</f>
        <v>84</v>
      </c>
      <c r="AF346" s="481"/>
      <c r="AG346" s="481">
        <f>IFERROR(__xludf.DUMMYFUNCTION("""COMPUTED_VALUE"""),74.0)</f>
        <v>74</v>
      </c>
      <c r="AH346" s="481"/>
      <c r="AI346" s="158"/>
      <c r="AJ346" s="158"/>
      <c r="AK346" s="133">
        <f>IFERROR(__xludf.DUMMYFUNCTION("""COMPUTED_VALUE"""),4.0)</f>
        <v>4</v>
      </c>
      <c r="AL346" s="133">
        <f>IFERROR(__xludf.DUMMYFUNCTION("""COMPUTED_VALUE"""),3.0)</f>
        <v>3</v>
      </c>
      <c r="AM346" s="133">
        <f>IFERROR(__xludf.DUMMYFUNCTION("""COMPUTED_VALUE"""),3.0)</f>
        <v>3</v>
      </c>
      <c r="AN346" s="133" t="str">
        <f>IFERROR(__xludf.DUMMYFUNCTION("""COMPUTED_VALUE"""),"3.5")</f>
        <v>3.5</v>
      </c>
      <c r="AO346" s="133">
        <f>IFERROR(__xludf.DUMMYFUNCTION("""COMPUTED_VALUE"""),3.0)</f>
        <v>3</v>
      </c>
      <c r="AP346" s="155" t="s">
        <v>3706</v>
      </c>
    </row>
    <row r="347">
      <c r="A347" s="155">
        <f>IFERROR(__xludf.DUMMYFUNCTION("""COMPUTED_VALUE"""),109.0)</f>
        <v>109</v>
      </c>
      <c r="B347" s="155" t="str">
        <f>IFERROR(__xludf.DUMMYFUNCTION("""COMPUTED_VALUE"""),"nich23ise@cmrit.ac.in")</f>
        <v>nich23ise@cmrit.ac.in</v>
      </c>
      <c r="C347" s="174" t="str">
        <f>IFERROR(__xludf.DUMMYFUNCTION("""COMPUTED_VALUE"""),"NIRBHIK CHAKI")</f>
        <v>NIRBHIK CHAKI</v>
      </c>
      <c r="D347" s="155" t="str">
        <f>IFERROR(__xludf.DUMMYFUNCTION("""COMPUTED_VALUE"""),"1CR23IS112")</f>
        <v>1CR23IS112</v>
      </c>
      <c r="E347" s="563">
        <f>IFERROR(__xludf.DUMMYFUNCTION("""COMPUTED_VALUE"""),8.861721676E9)</f>
        <v>8861721676</v>
      </c>
      <c r="F347" s="155" t="str">
        <f>IFERROR(__xludf.DUMMYFUNCTION("""COMPUTED_VALUE"""),"ISE")</f>
        <v>ISE</v>
      </c>
      <c r="G347" s="158"/>
      <c r="H347" s="559">
        <f>IFERROR(__xludf.DUMMYFUNCTION("""COMPUTED_VALUE"""),92.0)</f>
        <v>92</v>
      </c>
      <c r="I347" s="559">
        <f>IFERROR(__xludf.DUMMYFUNCTION("""COMPUTED_VALUE"""),89.0)</f>
        <v>89</v>
      </c>
      <c r="J347" s="559">
        <f>IFERROR(__xludf.DUMMYFUNCTION("""COMPUTED_VALUE"""),90.0)</f>
        <v>90</v>
      </c>
      <c r="K347" s="559">
        <f>IFERROR(__xludf.DUMMYFUNCTION("""COMPUTED_VALUE"""),70.0)</f>
        <v>70</v>
      </c>
      <c r="L347" s="560">
        <f>IFERROR(__xludf.DUMMYFUNCTION("""COMPUTED_VALUE"""),50.0)</f>
        <v>50</v>
      </c>
      <c r="M347" s="561">
        <f>IFERROR(__xludf.DUMMYFUNCTION("""COMPUTED_VALUE"""),63.0)</f>
        <v>63</v>
      </c>
      <c r="N347" s="561">
        <f>IFERROR(__xludf.DUMMYFUNCTION("""COMPUTED_VALUE"""),67.0)</f>
        <v>67</v>
      </c>
      <c r="O347" s="560"/>
      <c r="P347" s="562">
        <f>IFERROR(__xludf.DUMMYFUNCTION("""COMPUTED_VALUE"""),50.0)</f>
        <v>50</v>
      </c>
      <c r="Q347" s="562">
        <f>IFERROR(__xludf.DUMMYFUNCTION("""COMPUTED_VALUE"""),84.0)</f>
        <v>84</v>
      </c>
      <c r="R347" s="562">
        <f>IFERROR(__xludf.DUMMYFUNCTION("""COMPUTED_VALUE"""),80.0)</f>
        <v>80</v>
      </c>
      <c r="S347" s="562"/>
      <c r="T347" s="217">
        <f>IFERROR(__xludf.DUMMYFUNCTION("""COMPUTED_VALUE"""),18.0)</f>
        <v>18</v>
      </c>
      <c r="U347" s="217">
        <f>IFERROR(__xludf.DUMMYFUNCTION("""COMPUTED_VALUE"""),22.0)</f>
        <v>22</v>
      </c>
      <c r="V347" s="217">
        <f>IFERROR(__xludf.DUMMYFUNCTION("""COMPUTED_VALUE"""),46.0)</f>
        <v>46</v>
      </c>
      <c r="W347" s="217">
        <f>IFERROR(__xludf.DUMMYFUNCTION("""COMPUTED_VALUE"""),56.0)</f>
        <v>56</v>
      </c>
      <c r="X347" s="217">
        <f>IFERROR(__xludf.DUMMYFUNCTION("""COMPUTED_VALUE"""),72.0)</f>
        <v>72</v>
      </c>
      <c r="Y347" s="217"/>
      <c r="Z347" s="217"/>
      <c r="AA347" s="481">
        <f>IFERROR(__xludf.DUMMYFUNCTION("""COMPUTED_VALUE"""),92.0)</f>
        <v>92</v>
      </c>
      <c r="AB347" s="481">
        <f>IFERROR(__xludf.DUMMYFUNCTION("""COMPUTED_VALUE"""),100.0)</f>
        <v>100</v>
      </c>
      <c r="AC347" s="481">
        <f>IFERROR(__xludf.DUMMYFUNCTION("""COMPUTED_VALUE"""),98.0)</f>
        <v>98</v>
      </c>
      <c r="AD347" s="481">
        <f>IFERROR(__xludf.DUMMYFUNCTION("""COMPUTED_VALUE"""),63.0)</f>
        <v>63</v>
      </c>
      <c r="AE347" s="481">
        <f>IFERROR(__xludf.DUMMYFUNCTION("""COMPUTED_VALUE"""),70.0)</f>
        <v>70</v>
      </c>
      <c r="AF347" s="481"/>
      <c r="AG347" s="481">
        <f>IFERROR(__xludf.DUMMYFUNCTION("""COMPUTED_VALUE"""),59.0)</f>
        <v>59</v>
      </c>
      <c r="AH347" s="481"/>
      <c r="AI347" s="158"/>
      <c r="AJ347" s="158"/>
      <c r="AK347" s="133">
        <f>IFERROR(__xludf.DUMMYFUNCTION("""COMPUTED_VALUE"""),4.0)</f>
        <v>4</v>
      </c>
      <c r="AL347" s="133">
        <f>IFERROR(__xludf.DUMMYFUNCTION("""COMPUTED_VALUE"""),3.0)</f>
        <v>3</v>
      </c>
      <c r="AM347" s="133">
        <f>IFERROR(__xludf.DUMMYFUNCTION("""COMPUTED_VALUE"""),3.0)</f>
        <v>3</v>
      </c>
      <c r="AN347" s="133" t="str">
        <f>IFERROR(__xludf.DUMMYFUNCTION("""COMPUTED_VALUE"""),"3.5")</f>
        <v>3.5</v>
      </c>
      <c r="AO347" s="133">
        <f>IFERROR(__xludf.DUMMYFUNCTION("""COMPUTED_VALUE"""),3.0)</f>
        <v>3</v>
      </c>
      <c r="AP347" s="155" t="s">
        <v>3706</v>
      </c>
    </row>
    <row r="348">
      <c r="A348" s="155">
        <f>IFERROR(__xludf.DUMMYFUNCTION("""COMPUTED_VALUE"""),110.0)</f>
        <v>110</v>
      </c>
      <c r="B348" s="155" t="str">
        <f>IFERROR(__xludf.DUMMYFUNCTION("""COMPUTED_VALUE"""),"nivi23ise@cmrit.ac.in")</f>
        <v>nivi23ise@cmrit.ac.in</v>
      </c>
      <c r="C348" s="174" t="str">
        <f>IFERROR(__xludf.DUMMYFUNCTION("""COMPUTED_VALUE"""),"NIVEDITA VINOD")</f>
        <v>NIVEDITA VINOD</v>
      </c>
      <c r="D348" s="155" t="str">
        <f>IFERROR(__xludf.DUMMYFUNCTION("""COMPUTED_VALUE"""),"1CR23IS113")</f>
        <v>1CR23IS113</v>
      </c>
      <c r="E348" s="563">
        <f>IFERROR(__xludf.DUMMYFUNCTION("""COMPUTED_VALUE"""),9.926819555E9)</f>
        <v>9926819555</v>
      </c>
      <c r="F348" s="155" t="str">
        <f>IFERROR(__xludf.DUMMYFUNCTION("""COMPUTED_VALUE"""),"ISE")</f>
        <v>ISE</v>
      </c>
      <c r="G348" s="158"/>
      <c r="H348" s="559">
        <f>IFERROR(__xludf.DUMMYFUNCTION("""COMPUTED_VALUE"""),76.0)</f>
        <v>76</v>
      </c>
      <c r="I348" s="559">
        <f>IFERROR(__xludf.DUMMYFUNCTION("""COMPUTED_VALUE"""),90.0)</f>
        <v>90</v>
      </c>
      <c r="J348" s="559">
        <f>IFERROR(__xludf.DUMMYFUNCTION("""COMPUTED_VALUE"""),81.0)</f>
        <v>81</v>
      </c>
      <c r="K348" s="559">
        <f>IFERROR(__xludf.DUMMYFUNCTION("""COMPUTED_VALUE"""),74.0)</f>
        <v>74</v>
      </c>
      <c r="L348" s="560">
        <f>IFERROR(__xludf.DUMMYFUNCTION("""COMPUTED_VALUE"""),63.0)</f>
        <v>63</v>
      </c>
      <c r="M348" s="561">
        <f>IFERROR(__xludf.DUMMYFUNCTION("""COMPUTED_VALUE"""),62.0)</f>
        <v>62</v>
      </c>
      <c r="N348" s="561">
        <f>IFERROR(__xludf.DUMMYFUNCTION("""COMPUTED_VALUE"""),72.0)</f>
        <v>72</v>
      </c>
      <c r="O348" s="560"/>
      <c r="P348" s="562">
        <f>IFERROR(__xludf.DUMMYFUNCTION("""COMPUTED_VALUE"""),87.0)</f>
        <v>87</v>
      </c>
      <c r="Q348" s="562">
        <f>IFERROR(__xludf.DUMMYFUNCTION("""COMPUTED_VALUE"""),81.0)</f>
        <v>81</v>
      </c>
      <c r="R348" s="562">
        <f>IFERROR(__xludf.DUMMYFUNCTION("""COMPUTED_VALUE"""),90.0)</f>
        <v>90</v>
      </c>
      <c r="S348" s="562"/>
      <c r="T348" s="217">
        <f>IFERROR(__xludf.DUMMYFUNCTION("""COMPUTED_VALUE"""),16.0)</f>
        <v>16</v>
      </c>
      <c r="U348" s="217">
        <f>IFERROR(__xludf.DUMMYFUNCTION("""COMPUTED_VALUE"""),23.0)</f>
        <v>23</v>
      </c>
      <c r="V348" s="217">
        <f>IFERROR(__xludf.DUMMYFUNCTION("""COMPUTED_VALUE"""),44.0)</f>
        <v>44</v>
      </c>
      <c r="W348" s="217">
        <f>IFERROR(__xludf.DUMMYFUNCTION("""COMPUTED_VALUE"""),56.0)</f>
        <v>56</v>
      </c>
      <c r="X348" s="217">
        <f>IFERROR(__xludf.DUMMYFUNCTION("""COMPUTED_VALUE"""),76.0)</f>
        <v>76</v>
      </c>
      <c r="Y348" s="217"/>
      <c r="Z348" s="217"/>
      <c r="AA348" s="481">
        <f>IFERROR(__xludf.DUMMYFUNCTION("""COMPUTED_VALUE"""),84.0)</f>
        <v>84</v>
      </c>
      <c r="AB348" s="481">
        <f>IFERROR(__xludf.DUMMYFUNCTION("""COMPUTED_VALUE"""),98.0)</f>
        <v>98</v>
      </c>
      <c r="AC348" s="481">
        <f>IFERROR(__xludf.DUMMYFUNCTION("""COMPUTED_VALUE"""),22.0)</f>
        <v>22</v>
      </c>
      <c r="AD348" s="481">
        <f>IFERROR(__xludf.DUMMYFUNCTION("""COMPUTED_VALUE"""),70.0)</f>
        <v>70</v>
      </c>
      <c r="AE348" s="481">
        <f>IFERROR(__xludf.DUMMYFUNCTION("""COMPUTED_VALUE"""),70.0)</f>
        <v>70</v>
      </c>
      <c r="AF348" s="481"/>
      <c r="AG348" s="481">
        <f>IFERROR(__xludf.DUMMYFUNCTION("""COMPUTED_VALUE"""),81.0)</f>
        <v>81</v>
      </c>
      <c r="AH348" s="481"/>
      <c r="AI348" s="158"/>
      <c r="AJ348" s="158"/>
      <c r="AK348" s="133">
        <f>IFERROR(__xludf.DUMMYFUNCTION("""COMPUTED_VALUE"""),4.0)</f>
        <v>4</v>
      </c>
      <c r="AL348" s="133">
        <f>IFERROR(__xludf.DUMMYFUNCTION("""COMPUTED_VALUE"""),3.0)</f>
        <v>3</v>
      </c>
      <c r="AM348" s="133">
        <f>IFERROR(__xludf.DUMMYFUNCTION("""COMPUTED_VALUE"""),3.0)</f>
        <v>3</v>
      </c>
      <c r="AN348" s="133" t="str">
        <f>IFERROR(__xludf.DUMMYFUNCTION("""COMPUTED_VALUE"""),"3.5")</f>
        <v>3.5</v>
      </c>
      <c r="AO348" s="133">
        <f>IFERROR(__xludf.DUMMYFUNCTION("""COMPUTED_VALUE"""),3.0)</f>
        <v>3</v>
      </c>
      <c r="AP348" s="155" t="s">
        <v>3706</v>
      </c>
    </row>
    <row r="349">
      <c r="A349" s="155">
        <f>IFERROR(__xludf.DUMMYFUNCTION("""COMPUTED_VALUE"""),111.0)</f>
        <v>111</v>
      </c>
      <c r="B349" s="155" t="str">
        <f>IFERROR(__xludf.DUMMYFUNCTION("""COMPUTED_VALUE"""),"para23ise@cmrit.ac.in")</f>
        <v>para23ise@cmrit.ac.in</v>
      </c>
      <c r="C349" s="174" t="str">
        <f>IFERROR(__xludf.DUMMYFUNCTION("""COMPUTED_VALUE"""),"PANDAPPA RAMAPPA VASANAD")</f>
        <v>PANDAPPA RAMAPPA VASANAD</v>
      </c>
      <c r="D349" s="155" t="str">
        <f>IFERROR(__xludf.DUMMYFUNCTION("""COMPUTED_VALUE"""),"1CR23IS115")</f>
        <v>1CR23IS115</v>
      </c>
      <c r="E349" s="563">
        <f>IFERROR(__xludf.DUMMYFUNCTION("""COMPUTED_VALUE"""),9.900258511E9)</f>
        <v>9900258511</v>
      </c>
      <c r="F349" s="155" t="str">
        <f>IFERROR(__xludf.DUMMYFUNCTION("""COMPUTED_VALUE"""),"ISE")</f>
        <v>ISE</v>
      </c>
      <c r="G349" s="158"/>
      <c r="H349" s="559">
        <f>IFERROR(__xludf.DUMMYFUNCTION("""COMPUTED_VALUE"""),70.0)</f>
        <v>70</v>
      </c>
      <c r="I349" s="559">
        <f>IFERROR(__xludf.DUMMYFUNCTION("""COMPUTED_VALUE"""),72.0)</f>
        <v>72</v>
      </c>
      <c r="J349" s="559">
        <f>IFERROR(__xludf.DUMMYFUNCTION("""COMPUTED_VALUE"""),70.0)</f>
        <v>70</v>
      </c>
      <c r="K349" s="559">
        <f>IFERROR(__xludf.DUMMYFUNCTION("""COMPUTED_VALUE"""),73.0)</f>
        <v>73</v>
      </c>
      <c r="L349" s="560">
        <f>IFERROR(__xludf.DUMMYFUNCTION("""COMPUTED_VALUE"""),50.0)</f>
        <v>50</v>
      </c>
      <c r="M349" s="561">
        <f>IFERROR(__xludf.DUMMYFUNCTION("""COMPUTED_VALUE"""),58.0)</f>
        <v>58</v>
      </c>
      <c r="N349" s="561">
        <f>IFERROR(__xludf.DUMMYFUNCTION("""COMPUTED_VALUE"""),72.0)</f>
        <v>72</v>
      </c>
      <c r="O349" s="560"/>
      <c r="P349" s="562">
        <f>IFERROR(__xludf.DUMMYFUNCTION("""COMPUTED_VALUE"""),50.0)</f>
        <v>50</v>
      </c>
      <c r="Q349" s="562">
        <f>IFERROR(__xludf.DUMMYFUNCTION("""COMPUTED_VALUE"""),62.0)</f>
        <v>62</v>
      </c>
      <c r="R349" s="562">
        <f>IFERROR(__xludf.DUMMYFUNCTION("""COMPUTED_VALUE"""),73.0)</f>
        <v>73</v>
      </c>
      <c r="S349" s="562"/>
      <c r="T349" s="217">
        <f>IFERROR(__xludf.DUMMYFUNCTION("""COMPUTED_VALUE"""),13.0)</f>
        <v>13</v>
      </c>
      <c r="U349" s="217">
        <f>IFERROR(__xludf.DUMMYFUNCTION("""COMPUTED_VALUE"""),23.0)</f>
        <v>23</v>
      </c>
      <c r="V349" s="217">
        <f>IFERROR(__xludf.DUMMYFUNCTION("""COMPUTED_VALUE"""),42.0)</f>
        <v>42</v>
      </c>
      <c r="W349" s="217">
        <f>IFERROR(__xludf.DUMMYFUNCTION("""COMPUTED_VALUE"""),68.0)</f>
        <v>68</v>
      </c>
      <c r="X349" s="217">
        <f>IFERROR(__xludf.DUMMYFUNCTION("""COMPUTED_VALUE"""),84.0)</f>
        <v>84</v>
      </c>
      <c r="Y349" s="217"/>
      <c r="Z349" s="217"/>
      <c r="AA349" s="481">
        <f>IFERROR(__xludf.DUMMYFUNCTION("""COMPUTED_VALUE"""),66.0)</f>
        <v>66</v>
      </c>
      <c r="AB349" s="481">
        <f>IFERROR(__xludf.DUMMYFUNCTION("""COMPUTED_VALUE"""),97.0)</f>
        <v>97</v>
      </c>
      <c r="AC349" s="481">
        <f>IFERROR(__xludf.DUMMYFUNCTION("""COMPUTED_VALUE"""),61.0)</f>
        <v>61</v>
      </c>
      <c r="AD349" s="481">
        <f>IFERROR(__xludf.DUMMYFUNCTION("""COMPUTED_VALUE"""),78.0)</f>
        <v>78</v>
      </c>
      <c r="AE349" s="481">
        <f>IFERROR(__xludf.DUMMYFUNCTION("""COMPUTED_VALUE"""),58.0)</f>
        <v>58</v>
      </c>
      <c r="AF349" s="481"/>
      <c r="AG349" s="481">
        <f>IFERROR(__xludf.DUMMYFUNCTION("""COMPUTED_VALUE"""),49.0)</f>
        <v>49</v>
      </c>
      <c r="AH349" s="481"/>
      <c r="AI349" s="158"/>
      <c r="AJ349" s="158"/>
      <c r="AK349" s="133">
        <f>IFERROR(__xludf.DUMMYFUNCTION("""COMPUTED_VALUE"""),4.0)</f>
        <v>4</v>
      </c>
      <c r="AL349" s="133">
        <f>IFERROR(__xludf.DUMMYFUNCTION("""COMPUTED_VALUE"""),3.0)</f>
        <v>3</v>
      </c>
      <c r="AM349" s="133">
        <f>IFERROR(__xludf.DUMMYFUNCTION("""COMPUTED_VALUE"""),3.0)</f>
        <v>3</v>
      </c>
      <c r="AN349" s="133" t="str">
        <f>IFERROR(__xludf.DUMMYFUNCTION("""COMPUTED_VALUE"""),"3")</f>
        <v>3</v>
      </c>
      <c r="AO349" s="133">
        <f>IFERROR(__xludf.DUMMYFUNCTION("""COMPUTED_VALUE"""),3.0)</f>
        <v>3</v>
      </c>
      <c r="AP349" s="155" t="s">
        <v>3706</v>
      </c>
    </row>
    <row r="350">
      <c r="A350" s="155">
        <f>IFERROR(__xludf.DUMMYFUNCTION("""COMPUTED_VALUE"""),112.0)</f>
        <v>112</v>
      </c>
      <c r="B350" s="155" t="str">
        <f>IFERROR(__xludf.DUMMYFUNCTION("""COMPUTED_VALUE"""),"pa23ise@cmrit.ac.in")</f>
        <v>pa23ise@cmrit.ac.in</v>
      </c>
      <c r="C350" s="174" t="str">
        <f>IFERROR(__xludf.DUMMYFUNCTION("""COMPUTED_VALUE"""),"PARTH")</f>
        <v>PARTH</v>
      </c>
      <c r="D350" s="155" t="str">
        <f>IFERROR(__xludf.DUMMYFUNCTION("""COMPUTED_VALUE"""),"1CR23IS116")</f>
        <v>1CR23IS116</v>
      </c>
      <c r="E350" s="563">
        <f>IFERROR(__xludf.DUMMYFUNCTION("""COMPUTED_VALUE"""),8.207354243E9)</f>
        <v>8207354243</v>
      </c>
      <c r="F350" s="155" t="str">
        <f>IFERROR(__xludf.DUMMYFUNCTION("""COMPUTED_VALUE"""),"ISE")</f>
        <v>ISE</v>
      </c>
      <c r="G350" s="158"/>
      <c r="H350" s="559">
        <f>IFERROR(__xludf.DUMMYFUNCTION("""COMPUTED_VALUE"""),89.0)</f>
        <v>89</v>
      </c>
      <c r="I350" s="559">
        <f>IFERROR(__xludf.DUMMYFUNCTION("""COMPUTED_VALUE"""),93.0)</f>
        <v>93</v>
      </c>
      <c r="J350" s="559">
        <f>IFERROR(__xludf.DUMMYFUNCTION("""COMPUTED_VALUE"""),85.0)</f>
        <v>85</v>
      </c>
      <c r="K350" s="559">
        <f>IFERROR(__xludf.DUMMYFUNCTION("""COMPUTED_VALUE"""),80.0)</f>
        <v>80</v>
      </c>
      <c r="L350" s="560">
        <f>IFERROR(__xludf.DUMMYFUNCTION("""COMPUTED_VALUE"""),74.0)</f>
        <v>74</v>
      </c>
      <c r="M350" s="561">
        <f>IFERROR(__xludf.DUMMYFUNCTION("""COMPUTED_VALUE"""),64.0)</f>
        <v>64</v>
      </c>
      <c r="N350" s="561">
        <f>IFERROR(__xludf.DUMMYFUNCTION("""COMPUTED_VALUE"""),76.0)</f>
        <v>76</v>
      </c>
      <c r="O350" s="560"/>
      <c r="P350" s="562">
        <f>IFERROR(__xludf.DUMMYFUNCTION("""COMPUTED_VALUE"""),80.0)</f>
        <v>80</v>
      </c>
      <c r="Q350" s="562">
        <f>IFERROR(__xludf.DUMMYFUNCTION("""COMPUTED_VALUE"""),81.0)</f>
        <v>81</v>
      </c>
      <c r="R350" s="562">
        <f>IFERROR(__xludf.DUMMYFUNCTION("""COMPUTED_VALUE"""),90.0)</f>
        <v>90</v>
      </c>
      <c r="S350" s="562"/>
      <c r="T350" s="217">
        <f>IFERROR(__xludf.DUMMYFUNCTION("""COMPUTED_VALUE"""),14.0)</f>
        <v>14</v>
      </c>
      <c r="U350" s="217">
        <f>IFERROR(__xludf.DUMMYFUNCTION("""COMPUTED_VALUE"""),23.0)</f>
        <v>23</v>
      </c>
      <c r="V350" s="217">
        <f>IFERROR(__xludf.DUMMYFUNCTION("""COMPUTED_VALUE"""),46.0)</f>
        <v>46</v>
      </c>
      <c r="W350" s="217">
        <f>IFERROR(__xludf.DUMMYFUNCTION("""COMPUTED_VALUE"""),60.0)</f>
        <v>60</v>
      </c>
      <c r="X350" s="217">
        <f>IFERROR(__xludf.DUMMYFUNCTION("""COMPUTED_VALUE"""),84.0)</f>
        <v>84</v>
      </c>
      <c r="Y350" s="217"/>
      <c r="Z350" s="217"/>
      <c r="AA350" s="481">
        <f>IFERROR(__xludf.DUMMYFUNCTION("""COMPUTED_VALUE"""),34.0)</f>
        <v>34</v>
      </c>
      <c r="AB350" s="481">
        <f>IFERROR(__xludf.DUMMYFUNCTION("""COMPUTED_VALUE"""),97.0)</f>
        <v>97</v>
      </c>
      <c r="AC350" s="481">
        <f>IFERROR(__xludf.DUMMYFUNCTION("""COMPUTED_VALUE"""),52.0)</f>
        <v>52</v>
      </c>
      <c r="AD350" s="481">
        <f>IFERROR(__xludf.DUMMYFUNCTION("""COMPUTED_VALUE"""),70.0)</f>
        <v>70</v>
      </c>
      <c r="AE350" s="481">
        <f>IFERROR(__xludf.DUMMYFUNCTION("""COMPUTED_VALUE"""),70.0)</f>
        <v>70</v>
      </c>
      <c r="AF350" s="481"/>
      <c r="AG350" s="481">
        <f>IFERROR(__xludf.DUMMYFUNCTION("""COMPUTED_VALUE"""),85.0)</f>
        <v>85</v>
      </c>
      <c r="AH350" s="481"/>
      <c r="AI350" s="158"/>
      <c r="AJ350" s="158"/>
      <c r="AK350" s="133">
        <f>IFERROR(__xludf.DUMMYFUNCTION("""COMPUTED_VALUE"""),4.0)</f>
        <v>4</v>
      </c>
      <c r="AL350" s="133">
        <f>IFERROR(__xludf.DUMMYFUNCTION("""COMPUTED_VALUE"""),3.0)</f>
        <v>3</v>
      </c>
      <c r="AM350" s="133">
        <f>IFERROR(__xludf.DUMMYFUNCTION("""COMPUTED_VALUE"""),3.0)</f>
        <v>3</v>
      </c>
      <c r="AN350" s="133" t="str">
        <f>IFERROR(__xludf.DUMMYFUNCTION("""COMPUTED_VALUE"""),"3.5")</f>
        <v>3.5</v>
      </c>
      <c r="AO350" s="133">
        <f>IFERROR(__xludf.DUMMYFUNCTION("""COMPUTED_VALUE"""),3.0)</f>
        <v>3</v>
      </c>
      <c r="AP350" s="155" t="s">
        <v>3706</v>
      </c>
    </row>
    <row r="351">
      <c r="A351" s="155">
        <f>IFERROR(__xludf.DUMMYFUNCTION("""COMPUTED_VALUE"""),113.0)</f>
        <v>113</v>
      </c>
      <c r="B351" s="155" t="str">
        <f>IFERROR(__xludf.DUMMYFUNCTION("""COMPUTED_VALUE"""),"paha23ise@cmrit.ac.in")</f>
        <v>paha23ise@cmrit.ac.in</v>
      </c>
      <c r="C351" s="174" t="str">
        <f>IFERROR(__xludf.DUMMYFUNCTION("""COMPUTED_VALUE"""),"pavan h a")</f>
        <v>pavan h a</v>
      </c>
      <c r="D351" s="155" t="str">
        <f>IFERROR(__xludf.DUMMYFUNCTION("""COMPUTED_VALUE"""),"1CR23IS117")</f>
        <v>1CR23IS117</v>
      </c>
      <c r="E351" s="563">
        <f>IFERROR(__xludf.DUMMYFUNCTION("""COMPUTED_VALUE"""),8.618487676E9)</f>
        <v>8618487676</v>
      </c>
      <c r="F351" s="155" t="str">
        <f>IFERROR(__xludf.DUMMYFUNCTION("""COMPUTED_VALUE"""),"ISE")</f>
        <v>ISE</v>
      </c>
      <c r="G351" s="158"/>
      <c r="H351" s="559">
        <f>IFERROR(__xludf.DUMMYFUNCTION("""COMPUTED_VALUE"""),85.0)</f>
        <v>85</v>
      </c>
      <c r="I351" s="559">
        <f>IFERROR(__xludf.DUMMYFUNCTION("""COMPUTED_VALUE"""),89.0)</f>
        <v>89</v>
      </c>
      <c r="J351" s="559">
        <f>IFERROR(__xludf.DUMMYFUNCTION("""COMPUTED_VALUE"""),78.0)</f>
        <v>78</v>
      </c>
      <c r="K351" s="559">
        <f>IFERROR(__xludf.DUMMYFUNCTION("""COMPUTED_VALUE"""),70.0)</f>
        <v>70</v>
      </c>
      <c r="L351" s="560">
        <f>IFERROR(__xludf.DUMMYFUNCTION("""COMPUTED_VALUE"""),50.0)</f>
        <v>50</v>
      </c>
      <c r="M351" s="561">
        <f>IFERROR(__xludf.DUMMYFUNCTION("""COMPUTED_VALUE"""),50.0)</f>
        <v>50</v>
      </c>
      <c r="N351" s="561">
        <f>IFERROR(__xludf.DUMMYFUNCTION("""COMPUTED_VALUE"""),10.0)</f>
        <v>10</v>
      </c>
      <c r="O351" s="560"/>
      <c r="P351" s="562">
        <f>IFERROR(__xludf.DUMMYFUNCTION("""COMPUTED_VALUE"""),81.0)</f>
        <v>81</v>
      </c>
      <c r="Q351" s="562">
        <f>IFERROR(__xludf.DUMMYFUNCTION("""COMPUTED_VALUE"""),50.0)</f>
        <v>50</v>
      </c>
      <c r="R351" s="562">
        <f>IFERROR(__xludf.DUMMYFUNCTION("""COMPUTED_VALUE"""),50.0)</f>
        <v>50</v>
      </c>
      <c r="S351" s="562"/>
      <c r="T351" s="217">
        <f>IFERROR(__xludf.DUMMYFUNCTION("""COMPUTED_VALUE"""),18.0)</f>
        <v>18</v>
      </c>
      <c r="U351" s="217">
        <f>IFERROR(__xludf.DUMMYFUNCTION("""COMPUTED_VALUE"""),23.0)</f>
        <v>23</v>
      </c>
      <c r="V351" s="217"/>
      <c r="W351" s="217">
        <f>IFERROR(__xludf.DUMMYFUNCTION("""COMPUTED_VALUE"""),60.0)</f>
        <v>60</v>
      </c>
      <c r="X351" s="217">
        <f>IFERROR(__xludf.DUMMYFUNCTION("""COMPUTED_VALUE"""),88.0)</f>
        <v>88</v>
      </c>
      <c r="Y351" s="217"/>
      <c r="Z351" s="217"/>
      <c r="AA351" s="481">
        <f>IFERROR(__xludf.DUMMYFUNCTION("""COMPUTED_VALUE"""),6.0)</f>
        <v>6</v>
      </c>
      <c r="AB351" s="481">
        <f>IFERROR(__xludf.DUMMYFUNCTION("""COMPUTED_VALUE"""),95.0)</f>
        <v>95</v>
      </c>
      <c r="AC351" s="481">
        <f>IFERROR(__xludf.DUMMYFUNCTION("""COMPUTED_VALUE"""),53.0)</f>
        <v>53</v>
      </c>
      <c r="AD351" s="481">
        <f>IFERROR(__xludf.DUMMYFUNCTION("""COMPUTED_VALUE"""),100.0)</f>
        <v>100</v>
      </c>
      <c r="AE351" s="481">
        <f>IFERROR(__xludf.DUMMYFUNCTION("""COMPUTED_VALUE"""),11.0)</f>
        <v>11</v>
      </c>
      <c r="AF351" s="481"/>
      <c r="AG351" s="481">
        <f>IFERROR(__xludf.DUMMYFUNCTION("""COMPUTED_VALUE"""),23.0)</f>
        <v>23</v>
      </c>
      <c r="AH351" s="481"/>
      <c r="AI351" s="158"/>
      <c r="AJ351" s="158"/>
      <c r="AK351" s="133">
        <f>IFERROR(__xludf.DUMMYFUNCTION("""COMPUTED_VALUE"""),4.0)</f>
        <v>4</v>
      </c>
      <c r="AL351" s="133">
        <f>IFERROR(__xludf.DUMMYFUNCTION("""COMPUTED_VALUE"""),2.0)</f>
        <v>2</v>
      </c>
      <c r="AM351" s="133">
        <f>IFERROR(__xludf.DUMMYFUNCTION("""COMPUTED_VALUE"""),3.0)</f>
        <v>3</v>
      </c>
      <c r="AN351" s="133" t="str">
        <f>IFERROR(__xludf.DUMMYFUNCTION("""COMPUTED_VALUE"""),"3")</f>
        <v>3</v>
      </c>
      <c r="AO351" s="133">
        <f>IFERROR(__xludf.DUMMYFUNCTION("""COMPUTED_VALUE"""),3.0)</f>
        <v>3</v>
      </c>
      <c r="AP351" s="155" t="s">
        <v>3706</v>
      </c>
    </row>
    <row r="352">
      <c r="A352" s="155">
        <f>IFERROR(__xludf.DUMMYFUNCTION("""COMPUTED_VALUE"""),114.0)</f>
        <v>114</v>
      </c>
      <c r="B352" s="155" t="str">
        <f>IFERROR(__xludf.DUMMYFUNCTION("""COMPUTED_VALUE"""),"aapa23ise@cmrit.ac.in")</f>
        <v>aapa23ise@cmrit.ac.in</v>
      </c>
      <c r="C352" s="174" t="str">
        <f>IFERROR(__xludf.DUMMYFUNCTION("""COMPUTED_VALUE"""),"PAWAR AARTI VASANT")</f>
        <v>PAWAR AARTI VASANT</v>
      </c>
      <c r="D352" s="155" t="str">
        <f>IFERROR(__xludf.DUMMYFUNCTION("""COMPUTED_VALUE"""),"1CR23IS118")</f>
        <v>1CR23IS118</v>
      </c>
      <c r="E352" s="563">
        <f>IFERROR(__xludf.DUMMYFUNCTION("""COMPUTED_VALUE"""),7.208648927E9)</f>
        <v>7208648927</v>
      </c>
      <c r="F352" s="155" t="str">
        <f>IFERROR(__xludf.DUMMYFUNCTION("""COMPUTED_VALUE"""),"ISE")</f>
        <v>ISE</v>
      </c>
      <c r="G352" s="158"/>
      <c r="H352" s="559">
        <f>IFERROR(__xludf.DUMMYFUNCTION("""COMPUTED_VALUE"""),70.0)</f>
        <v>70</v>
      </c>
      <c r="I352" s="559">
        <f>IFERROR(__xludf.DUMMYFUNCTION("""COMPUTED_VALUE"""),72.0)</f>
        <v>72</v>
      </c>
      <c r="J352" s="559">
        <f>IFERROR(__xludf.DUMMYFUNCTION("""COMPUTED_VALUE"""),70.0)</f>
        <v>70</v>
      </c>
      <c r="K352" s="559">
        <f>IFERROR(__xludf.DUMMYFUNCTION("""COMPUTED_VALUE"""),75.0)</f>
        <v>75</v>
      </c>
      <c r="L352" s="560">
        <f>IFERROR(__xludf.DUMMYFUNCTION("""COMPUTED_VALUE"""),50.0)</f>
        <v>50</v>
      </c>
      <c r="M352" s="561">
        <f>IFERROR(__xludf.DUMMYFUNCTION("""COMPUTED_VALUE"""),50.0)</f>
        <v>50</v>
      </c>
      <c r="N352" s="561">
        <f>IFERROR(__xludf.DUMMYFUNCTION("""COMPUTED_VALUE"""),78.0)</f>
        <v>78</v>
      </c>
      <c r="O352" s="560"/>
      <c r="P352" s="562">
        <f>IFERROR(__xludf.DUMMYFUNCTION("""COMPUTED_VALUE"""),81.0)</f>
        <v>81</v>
      </c>
      <c r="Q352" s="562">
        <f>IFERROR(__xludf.DUMMYFUNCTION("""COMPUTED_VALUE"""),55.0)</f>
        <v>55</v>
      </c>
      <c r="R352" s="562">
        <f>IFERROR(__xludf.DUMMYFUNCTION("""COMPUTED_VALUE"""),85.0)</f>
        <v>85</v>
      </c>
      <c r="S352" s="562"/>
      <c r="T352" s="217">
        <f>IFERROR(__xludf.DUMMYFUNCTION("""COMPUTED_VALUE"""),22.0)</f>
        <v>22</v>
      </c>
      <c r="U352" s="217">
        <f>IFERROR(__xludf.DUMMYFUNCTION("""COMPUTED_VALUE"""),23.0)</f>
        <v>23</v>
      </c>
      <c r="V352" s="217">
        <f>IFERROR(__xludf.DUMMYFUNCTION("""COMPUTED_VALUE"""),48.0)</f>
        <v>48</v>
      </c>
      <c r="W352" s="217">
        <f>IFERROR(__xludf.DUMMYFUNCTION("""COMPUTED_VALUE"""),84.0)</f>
        <v>84</v>
      </c>
      <c r="X352" s="217">
        <f>IFERROR(__xludf.DUMMYFUNCTION("""COMPUTED_VALUE"""),80.0)</f>
        <v>80</v>
      </c>
      <c r="Y352" s="217"/>
      <c r="Z352" s="217"/>
      <c r="AA352" s="481">
        <f>IFERROR(__xludf.DUMMYFUNCTION("""COMPUTED_VALUE"""),44.0)</f>
        <v>44</v>
      </c>
      <c r="AB352" s="481">
        <f>IFERROR(__xludf.DUMMYFUNCTION("""COMPUTED_VALUE"""),98.0)</f>
        <v>98</v>
      </c>
      <c r="AC352" s="481">
        <f>IFERROR(__xludf.DUMMYFUNCTION("""COMPUTED_VALUE"""),73.0)</f>
        <v>73</v>
      </c>
      <c r="AD352" s="481">
        <f>IFERROR(__xludf.DUMMYFUNCTION("""COMPUTED_VALUE"""),60.0)</f>
        <v>60</v>
      </c>
      <c r="AE352" s="481">
        <f>IFERROR(__xludf.DUMMYFUNCTION("""COMPUTED_VALUE"""),71.0)</f>
        <v>71</v>
      </c>
      <c r="AF352" s="481"/>
      <c r="AG352" s="481">
        <f>IFERROR(__xludf.DUMMYFUNCTION("""COMPUTED_VALUE"""),56.0)</f>
        <v>56</v>
      </c>
      <c r="AH352" s="481"/>
      <c r="AI352" s="158"/>
      <c r="AJ352" s="158"/>
      <c r="AK352" s="133">
        <f>IFERROR(__xludf.DUMMYFUNCTION("""COMPUTED_VALUE"""),4.0)</f>
        <v>4</v>
      </c>
      <c r="AL352" s="133">
        <f>IFERROR(__xludf.DUMMYFUNCTION("""COMPUTED_VALUE"""),3.0)</f>
        <v>3</v>
      </c>
      <c r="AM352" s="133">
        <f>IFERROR(__xludf.DUMMYFUNCTION("""COMPUTED_VALUE"""),3.0)</f>
        <v>3</v>
      </c>
      <c r="AN352" s="133" t="str">
        <f>IFERROR(__xludf.DUMMYFUNCTION("""COMPUTED_VALUE"""),"3.5")</f>
        <v>3.5</v>
      </c>
      <c r="AO352" s="133">
        <f>IFERROR(__xludf.DUMMYFUNCTION("""COMPUTED_VALUE"""),3.0)</f>
        <v>3</v>
      </c>
      <c r="AP352" s="155" t="s">
        <v>3706</v>
      </c>
    </row>
    <row r="353">
      <c r="A353" s="155">
        <f>IFERROR(__xludf.DUMMYFUNCTION("""COMPUTED_VALUE"""),115.0)</f>
        <v>115</v>
      </c>
      <c r="B353" s="155" t="str">
        <f>IFERROR(__xludf.DUMMYFUNCTION("""COMPUTED_VALUE"""),"popo23ise@cmrit.ac.in")</f>
        <v>popo23ise@cmrit.ac.in</v>
      </c>
      <c r="C353" s="174" t="str">
        <f>IFERROR(__xludf.DUMMYFUNCTION("""COMPUTED_VALUE"""),"POORVIK SHETTY Y")</f>
        <v>POORVIK SHETTY Y</v>
      </c>
      <c r="D353" s="155" t="str">
        <f>IFERROR(__xludf.DUMMYFUNCTION("""COMPUTED_VALUE"""),"1CR23IS119")</f>
        <v>1CR23IS119</v>
      </c>
      <c r="E353" s="563">
        <f>IFERROR(__xludf.DUMMYFUNCTION("""COMPUTED_VALUE"""),8.073580548E9)</f>
        <v>8073580548</v>
      </c>
      <c r="F353" s="155" t="str">
        <f>IFERROR(__xludf.DUMMYFUNCTION("""COMPUTED_VALUE"""),"ISE")</f>
        <v>ISE</v>
      </c>
      <c r="G353" s="158"/>
      <c r="H353" s="559">
        <f>IFERROR(__xludf.DUMMYFUNCTION("""COMPUTED_VALUE"""),76.0)</f>
        <v>76</v>
      </c>
      <c r="I353" s="559">
        <f>IFERROR(__xludf.DUMMYFUNCTION("""COMPUTED_VALUE"""),80.0)</f>
        <v>80</v>
      </c>
      <c r="J353" s="559">
        <f>IFERROR(__xludf.DUMMYFUNCTION("""COMPUTED_VALUE"""),70.0)</f>
        <v>70</v>
      </c>
      <c r="K353" s="559">
        <f>IFERROR(__xludf.DUMMYFUNCTION("""COMPUTED_VALUE"""),70.0)</f>
        <v>70</v>
      </c>
      <c r="L353" s="560">
        <f>IFERROR(__xludf.DUMMYFUNCTION("""COMPUTED_VALUE"""),50.0)</f>
        <v>50</v>
      </c>
      <c r="M353" s="561">
        <f>IFERROR(__xludf.DUMMYFUNCTION("""COMPUTED_VALUE"""),31.0)</f>
        <v>31</v>
      </c>
      <c r="N353" s="561">
        <f>IFERROR(__xludf.DUMMYFUNCTION("""COMPUTED_VALUE"""),13.0)</f>
        <v>13</v>
      </c>
      <c r="O353" s="560"/>
      <c r="P353" s="562">
        <f>IFERROR(__xludf.DUMMYFUNCTION("""COMPUTED_VALUE"""),86.0)</f>
        <v>86</v>
      </c>
      <c r="Q353" s="562">
        <f>IFERROR(__xludf.DUMMYFUNCTION("""COMPUTED_VALUE"""),55.0)</f>
        <v>55</v>
      </c>
      <c r="R353" s="562">
        <f>IFERROR(__xludf.DUMMYFUNCTION("""COMPUTED_VALUE"""),94.0)</f>
        <v>94</v>
      </c>
      <c r="S353" s="562"/>
      <c r="T353" s="217">
        <f>IFERROR(__xludf.DUMMYFUNCTION("""COMPUTED_VALUE"""),16.0)</f>
        <v>16</v>
      </c>
      <c r="U353" s="217">
        <f>IFERROR(__xludf.DUMMYFUNCTION("""COMPUTED_VALUE"""),24.0)</f>
        <v>24</v>
      </c>
      <c r="V353" s="217">
        <f>IFERROR(__xludf.DUMMYFUNCTION("""COMPUTED_VALUE"""),48.0)</f>
        <v>48</v>
      </c>
      <c r="W353" s="217">
        <f>IFERROR(__xludf.DUMMYFUNCTION("""COMPUTED_VALUE"""),64.0)</f>
        <v>64</v>
      </c>
      <c r="X353" s="217">
        <f>IFERROR(__xludf.DUMMYFUNCTION("""COMPUTED_VALUE"""),72.0)</f>
        <v>72</v>
      </c>
      <c r="Y353" s="217"/>
      <c r="Z353" s="217"/>
      <c r="AA353" s="481">
        <f>IFERROR(__xludf.DUMMYFUNCTION("""COMPUTED_VALUE"""),46.0)</f>
        <v>46</v>
      </c>
      <c r="AB353" s="481">
        <f>IFERROR(__xludf.DUMMYFUNCTION("""COMPUTED_VALUE"""),97.0)</f>
        <v>97</v>
      </c>
      <c r="AC353" s="481">
        <f>IFERROR(__xludf.DUMMYFUNCTION("""COMPUTED_VALUE"""),61.0)</f>
        <v>61</v>
      </c>
      <c r="AD353" s="481">
        <f>IFERROR(__xludf.DUMMYFUNCTION("""COMPUTED_VALUE"""),100.0)</f>
        <v>100</v>
      </c>
      <c r="AE353" s="481">
        <f>IFERROR(__xludf.DUMMYFUNCTION("""COMPUTED_VALUE"""),75.0)</f>
        <v>75</v>
      </c>
      <c r="AF353" s="481"/>
      <c r="AG353" s="481">
        <f>IFERROR(__xludf.DUMMYFUNCTION("""COMPUTED_VALUE"""),80.0)</f>
        <v>80</v>
      </c>
      <c r="AH353" s="481"/>
      <c r="AI353" s="158"/>
      <c r="AJ353" s="158"/>
      <c r="AK353" s="133">
        <f>IFERROR(__xludf.DUMMYFUNCTION("""COMPUTED_VALUE"""),4.0)</f>
        <v>4</v>
      </c>
      <c r="AL353" s="133">
        <f>IFERROR(__xludf.DUMMYFUNCTION("""COMPUTED_VALUE"""),1.0)</f>
        <v>1</v>
      </c>
      <c r="AM353" s="133">
        <f>IFERROR(__xludf.DUMMYFUNCTION("""COMPUTED_VALUE"""),3.0)</f>
        <v>3</v>
      </c>
      <c r="AN353" s="133" t="str">
        <f>IFERROR(__xludf.DUMMYFUNCTION("""COMPUTED_VALUE"""),"3.5")</f>
        <v>3.5</v>
      </c>
      <c r="AO353" s="133">
        <f>IFERROR(__xludf.DUMMYFUNCTION("""COMPUTED_VALUE"""),3.0)</f>
        <v>3</v>
      </c>
      <c r="AP353" s="155" t="s">
        <v>3706</v>
      </c>
    </row>
    <row r="354">
      <c r="A354" s="155">
        <f>IFERROR(__xludf.DUMMYFUNCTION("""COMPUTED_VALUE"""),116.0)</f>
        <v>116</v>
      </c>
      <c r="B354" s="155" t="str">
        <f>IFERROR(__xludf.DUMMYFUNCTION("""COMPUTED_VALUE"""),"pokm23ise@cmrit.ac.in")</f>
        <v>pokm23ise@cmrit.ac.in</v>
      </c>
      <c r="C354" s="174" t="str">
        <f>IFERROR(__xludf.DUMMYFUNCTION("""COMPUTED_VALUE"""),"POORVIKA K M")</f>
        <v>POORVIKA K M</v>
      </c>
      <c r="D354" s="155" t="str">
        <f>IFERROR(__xludf.DUMMYFUNCTION("""COMPUTED_VALUE"""),"1CR23IS120")</f>
        <v>1CR23IS120</v>
      </c>
      <c r="E354" s="563">
        <f>IFERROR(__xludf.DUMMYFUNCTION("""COMPUTED_VALUE"""),6.366601103E9)</f>
        <v>6366601103</v>
      </c>
      <c r="F354" s="155" t="str">
        <f>IFERROR(__xludf.DUMMYFUNCTION("""COMPUTED_VALUE"""),"ISE")</f>
        <v>ISE</v>
      </c>
      <c r="G354" s="158"/>
      <c r="H354" s="559">
        <f>IFERROR(__xludf.DUMMYFUNCTION("""COMPUTED_VALUE"""),78.0)</f>
        <v>78</v>
      </c>
      <c r="I354" s="559">
        <f>IFERROR(__xludf.DUMMYFUNCTION("""COMPUTED_VALUE"""),85.0)</f>
        <v>85</v>
      </c>
      <c r="J354" s="559">
        <f>IFERROR(__xludf.DUMMYFUNCTION("""COMPUTED_VALUE"""),77.0)</f>
        <v>77</v>
      </c>
      <c r="K354" s="559">
        <f>IFERROR(__xludf.DUMMYFUNCTION("""COMPUTED_VALUE"""),70.0)</f>
        <v>70</v>
      </c>
      <c r="L354" s="560">
        <f>IFERROR(__xludf.DUMMYFUNCTION("""COMPUTED_VALUE"""),50.0)</f>
        <v>50</v>
      </c>
      <c r="M354" s="561">
        <f>IFERROR(__xludf.DUMMYFUNCTION("""COMPUTED_VALUE"""),53.0)</f>
        <v>53</v>
      </c>
      <c r="N354" s="561">
        <f>IFERROR(__xludf.DUMMYFUNCTION("""COMPUTED_VALUE"""),69.0)</f>
        <v>69</v>
      </c>
      <c r="O354" s="560"/>
      <c r="P354" s="562">
        <f>IFERROR(__xludf.DUMMYFUNCTION("""COMPUTED_VALUE"""),77.0)</f>
        <v>77</v>
      </c>
      <c r="Q354" s="562">
        <f>IFERROR(__xludf.DUMMYFUNCTION("""COMPUTED_VALUE"""),81.0)</f>
        <v>81</v>
      </c>
      <c r="R354" s="562">
        <f>IFERROR(__xludf.DUMMYFUNCTION("""COMPUTED_VALUE"""),88.0)</f>
        <v>88</v>
      </c>
      <c r="S354" s="562"/>
      <c r="T354" s="217">
        <f>IFERROR(__xludf.DUMMYFUNCTION("""COMPUTED_VALUE"""),20.0)</f>
        <v>20</v>
      </c>
      <c r="U354" s="217">
        <f>IFERROR(__xludf.DUMMYFUNCTION("""COMPUTED_VALUE"""),24.0)</f>
        <v>24</v>
      </c>
      <c r="V354" s="217">
        <f>IFERROR(__xludf.DUMMYFUNCTION("""COMPUTED_VALUE"""),46.0)</f>
        <v>46</v>
      </c>
      <c r="W354" s="217">
        <f>IFERROR(__xludf.DUMMYFUNCTION("""COMPUTED_VALUE"""),72.0)</f>
        <v>72</v>
      </c>
      <c r="X354" s="217">
        <f>IFERROR(__xludf.DUMMYFUNCTION("""COMPUTED_VALUE"""),84.0)</f>
        <v>84</v>
      </c>
      <c r="Y354" s="217"/>
      <c r="Z354" s="217"/>
      <c r="AA354" s="481">
        <f>IFERROR(__xludf.DUMMYFUNCTION("""COMPUTED_VALUE"""),19.0)</f>
        <v>19</v>
      </c>
      <c r="AB354" s="481">
        <f>IFERROR(__xludf.DUMMYFUNCTION("""COMPUTED_VALUE"""),96.0)</f>
        <v>96</v>
      </c>
      <c r="AC354" s="481">
        <f>IFERROR(__xludf.DUMMYFUNCTION("""COMPUTED_VALUE"""),62.0)</f>
        <v>62</v>
      </c>
      <c r="AD354" s="481">
        <f>IFERROR(__xludf.DUMMYFUNCTION("""COMPUTED_VALUE"""),74.0)</f>
        <v>74</v>
      </c>
      <c r="AE354" s="481">
        <f>IFERROR(__xludf.DUMMYFUNCTION("""COMPUTED_VALUE"""),70.0)</f>
        <v>70</v>
      </c>
      <c r="AF354" s="481"/>
      <c r="AG354" s="481">
        <f>IFERROR(__xludf.DUMMYFUNCTION("""COMPUTED_VALUE"""),70.0)</f>
        <v>70</v>
      </c>
      <c r="AH354" s="481"/>
      <c r="AI354" s="158"/>
      <c r="AJ354" s="158"/>
      <c r="AK354" s="133">
        <f>IFERROR(__xludf.DUMMYFUNCTION("""COMPUTED_VALUE"""),4.0)</f>
        <v>4</v>
      </c>
      <c r="AL354" s="133">
        <f>IFERROR(__xludf.DUMMYFUNCTION("""COMPUTED_VALUE"""),3.0)</f>
        <v>3</v>
      </c>
      <c r="AM354" s="133">
        <f>IFERROR(__xludf.DUMMYFUNCTION("""COMPUTED_VALUE"""),3.0)</f>
        <v>3</v>
      </c>
      <c r="AN354" s="133" t="str">
        <f>IFERROR(__xludf.DUMMYFUNCTION("""COMPUTED_VALUE"""),"3.5")</f>
        <v>3.5</v>
      </c>
      <c r="AO354" s="133">
        <f>IFERROR(__xludf.DUMMYFUNCTION("""COMPUTED_VALUE"""),3.0)</f>
        <v>3</v>
      </c>
      <c r="AP354" s="155" t="s">
        <v>3706</v>
      </c>
    </row>
    <row r="355">
      <c r="A355" s="155">
        <f>IFERROR(__xludf.DUMMYFUNCTION("""COMPUTED_VALUE"""),117.0)</f>
        <v>117</v>
      </c>
      <c r="B355" s="155" t="str">
        <f>IFERROR(__xludf.DUMMYFUNCTION("""COMPUTED_VALUE"""),"pran23ise@cmrit.ac.in")</f>
        <v>pran23ise@cmrit.ac.in</v>
      </c>
      <c r="C355" s="174" t="str">
        <f>IFERROR(__xludf.DUMMYFUNCTION("""COMPUTED_VALUE"""),"PRABHAT ANIL BAJPAI")</f>
        <v>PRABHAT ANIL BAJPAI</v>
      </c>
      <c r="D355" s="155" t="str">
        <f>IFERROR(__xludf.DUMMYFUNCTION("""COMPUTED_VALUE"""),"1CR23IS121")</f>
        <v>1CR23IS121</v>
      </c>
      <c r="E355" s="563">
        <f>IFERROR(__xludf.DUMMYFUNCTION("""COMPUTED_VALUE"""),9.326087732E9)</f>
        <v>9326087732</v>
      </c>
      <c r="F355" s="155" t="str">
        <f>IFERROR(__xludf.DUMMYFUNCTION("""COMPUTED_VALUE"""),"ISE")</f>
        <v>ISE</v>
      </c>
      <c r="G355" s="158"/>
      <c r="H355" s="559">
        <f>IFERROR(__xludf.DUMMYFUNCTION("""COMPUTED_VALUE"""),87.0)</f>
        <v>87</v>
      </c>
      <c r="I355" s="559">
        <f>IFERROR(__xludf.DUMMYFUNCTION("""COMPUTED_VALUE"""),89.0)</f>
        <v>89</v>
      </c>
      <c r="J355" s="559">
        <f>IFERROR(__xludf.DUMMYFUNCTION("""COMPUTED_VALUE"""),70.0)</f>
        <v>70</v>
      </c>
      <c r="K355" s="559">
        <f>IFERROR(__xludf.DUMMYFUNCTION("""COMPUTED_VALUE"""),79.0)</f>
        <v>79</v>
      </c>
      <c r="L355" s="560">
        <f>IFERROR(__xludf.DUMMYFUNCTION("""COMPUTED_VALUE"""),50.0)</f>
        <v>50</v>
      </c>
      <c r="M355" s="561">
        <f>IFERROR(__xludf.DUMMYFUNCTION("""COMPUTED_VALUE"""),31.0)</f>
        <v>31</v>
      </c>
      <c r="N355" s="561">
        <f>IFERROR(__xludf.DUMMYFUNCTION("""COMPUTED_VALUE"""),65.0)</f>
        <v>65</v>
      </c>
      <c r="O355" s="560"/>
      <c r="P355" s="562">
        <f>IFERROR(__xludf.DUMMYFUNCTION("""COMPUTED_VALUE"""),81.0)</f>
        <v>81</v>
      </c>
      <c r="Q355" s="562">
        <f>IFERROR(__xludf.DUMMYFUNCTION("""COMPUTED_VALUE"""),84.0)</f>
        <v>84</v>
      </c>
      <c r="R355" s="562">
        <f>IFERROR(__xludf.DUMMYFUNCTION("""COMPUTED_VALUE"""),69.0)</f>
        <v>69</v>
      </c>
      <c r="S355" s="562"/>
      <c r="T355" s="217">
        <f>IFERROR(__xludf.DUMMYFUNCTION("""COMPUTED_VALUE"""),16.0)</f>
        <v>16</v>
      </c>
      <c r="U355" s="217">
        <f>IFERROR(__xludf.DUMMYFUNCTION("""COMPUTED_VALUE"""),19.0)</f>
        <v>19</v>
      </c>
      <c r="V355" s="217"/>
      <c r="W355" s="217">
        <f>IFERROR(__xludf.DUMMYFUNCTION("""COMPUTED_VALUE"""),56.0)</f>
        <v>56</v>
      </c>
      <c r="X355" s="217">
        <f>IFERROR(__xludf.DUMMYFUNCTION("""COMPUTED_VALUE"""),80.0)</f>
        <v>80</v>
      </c>
      <c r="Y355" s="217"/>
      <c r="Z355" s="217"/>
      <c r="AA355" s="481">
        <f>IFERROR(__xludf.DUMMYFUNCTION("""COMPUTED_VALUE"""),48.0)</f>
        <v>48</v>
      </c>
      <c r="AB355" s="481">
        <f>IFERROR(__xludf.DUMMYFUNCTION("""COMPUTED_VALUE"""),96.0)</f>
        <v>96</v>
      </c>
      <c r="AC355" s="481">
        <f>IFERROR(__xludf.DUMMYFUNCTION("""COMPUTED_VALUE"""),69.0)</f>
        <v>69</v>
      </c>
      <c r="AD355" s="481">
        <f>IFERROR(__xludf.DUMMYFUNCTION("""COMPUTED_VALUE"""),60.0)</f>
        <v>60</v>
      </c>
      <c r="AE355" s="481">
        <f>IFERROR(__xludf.DUMMYFUNCTION("""COMPUTED_VALUE"""),70.0)</f>
        <v>70</v>
      </c>
      <c r="AF355" s="481"/>
      <c r="AG355" s="481">
        <f>IFERROR(__xludf.DUMMYFUNCTION("""COMPUTED_VALUE"""),65.0)</f>
        <v>65</v>
      </c>
      <c r="AH355" s="481"/>
      <c r="AI355" s="158"/>
      <c r="AJ355" s="158"/>
      <c r="AK355" s="133">
        <f>IFERROR(__xludf.DUMMYFUNCTION("""COMPUTED_VALUE"""),4.0)</f>
        <v>4</v>
      </c>
      <c r="AL355" s="133">
        <f>IFERROR(__xludf.DUMMYFUNCTION("""COMPUTED_VALUE"""),1.0)</f>
        <v>1</v>
      </c>
      <c r="AM355" s="133">
        <f>IFERROR(__xludf.DUMMYFUNCTION("""COMPUTED_VALUE"""),3.0)</f>
        <v>3</v>
      </c>
      <c r="AN355" s="133" t="str">
        <f>IFERROR(__xludf.DUMMYFUNCTION("""COMPUTED_VALUE"""),"3.5")</f>
        <v>3.5</v>
      </c>
      <c r="AO355" s="133">
        <f>IFERROR(__xludf.DUMMYFUNCTION("""COMPUTED_VALUE"""),3.0)</f>
        <v>3</v>
      </c>
      <c r="AP355" s="155" t="s">
        <v>3706</v>
      </c>
    </row>
    <row r="356">
      <c r="A356" s="155">
        <f>IFERROR(__xludf.DUMMYFUNCTION("""COMPUTED_VALUE"""),118.0)</f>
        <v>118</v>
      </c>
      <c r="B356" s="155" t="str">
        <f>IFERROR(__xludf.DUMMYFUNCTION("""COMPUTED_VALUE"""),"prsh23ise@cmrit.ac.in")</f>
        <v>prsh23ise@cmrit.ac.in</v>
      </c>
      <c r="C356" s="174" t="str">
        <f>IFERROR(__xludf.DUMMYFUNCTION("""COMPUTED_VALUE"""),"Prathik rathnakar sheregar")</f>
        <v>Prathik rathnakar sheregar</v>
      </c>
      <c r="D356" s="155" t="str">
        <f>IFERROR(__xludf.DUMMYFUNCTION("""COMPUTED_VALUE"""),"1CR23IS122")</f>
        <v>1CR23IS122</v>
      </c>
      <c r="E356" s="563">
        <f>IFERROR(__xludf.DUMMYFUNCTION("""COMPUTED_VALUE"""),9.901678806E9)</f>
        <v>9901678806</v>
      </c>
      <c r="F356" s="155" t="str">
        <f>IFERROR(__xludf.DUMMYFUNCTION("""COMPUTED_VALUE"""),"ISE")</f>
        <v>ISE</v>
      </c>
      <c r="G356" s="158"/>
      <c r="H356" s="559">
        <f>IFERROR(__xludf.DUMMYFUNCTION("""COMPUTED_VALUE"""),80.0)</f>
        <v>80</v>
      </c>
      <c r="I356" s="559">
        <f>IFERROR(__xludf.DUMMYFUNCTION("""COMPUTED_VALUE"""),78.0)</f>
        <v>78</v>
      </c>
      <c r="J356" s="559">
        <f>IFERROR(__xludf.DUMMYFUNCTION("""COMPUTED_VALUE"""),70.0)</f>
        <v>70</v>
      </c>
      <c r="K356" s="559">
        <f>IFERROR(__xludf.DUMMYFUNCTION("""COMPUTED_VALUE"""),70.0)</f>
        <v>70</v>
      </c>
      <c r="L356" s="560">
        <f>IFERROR(__xludf.DUMMYFUNCTION("""COMPUTED_VALUE"""),50.0)</f>
        <v>50</v>
      </c>
      <c r="M356" s="561">
        <f>IFERROR(__xludf.DUMMYFUNCTION("""COMPUTED_VALUE"""),32.0)</f>
        <v>32</v>
      </c>
      <c r="N356" s="561">
        <f>IFERROR(__xludf.DUMMYFUNCTION("""COMPUTED_VALUE"""),50.0)</f>
        <v>50</v>
      </c>
      <c r="O356" s="560"/>
      <c r="P356" s="562">
        <f>IFERROR(__xludf.DUMMYFUNCTION("""COMPUTED_VALUE"""),79.0)</f>
        <v>79</v>
      </c>
      <c r="Q356" s="562">
        <f>IFERROR(__xludf.DUMMYFUNCTION("""COMPUTED_VALUE"""),50.0)</f>
        <v>50</v>
      </c>
      <c r="R356" s="562">
        <f>IFERROR(__xludf.DUMMYFUNCTION("""COMPUTED_VALUE"""),50.0)</f>
        <v>50</v>
      </c>
      <c r="S356" s="562"/>
      <c r="T356" s="217">
        <f>IFERROR(__xludf.DUMMYFUNCTION("""COMPUTED_VALUE"""),13.0)</f>
        <v>13</v>
      </c>
      <c r="U356" s="217">
        <f>IFERROR(__xludf.DUMMYFUNCTION("""COMPUTED_VALUE"""),22.0)</f>
        <v>22</v>
      </c>
      <c r="V356" s="217">
        <f>IFERROR(__xludf.DUMMYFUNCTION("""COMPUTED_VALUE"""),42.0)</f>
        <v>42</v>
      </c>
      <c r="W356" s="217">
        <f>IFERROR(__xludf.DUMMYFUNCTION("""COMPUTED_VALUE"""),40.0)</f>
        <v>40</v>
      </c>
      <c r="X356" s="217">
        <f>IFERROR(__xludf.DUMMYFUNCTION("""COMPUTED_VALUE"""),68.0)</f>
        <v>68</v>
      </c>
      <c r="Y356" s="217"/>
      <c r="Z356" s="217"/>
      <c r="AA356" s="481">
        <f>IFERROR(__xludf.DUMMYFUNCTION("""COMPUTED_VALUE"""),76.0)</f>
        <v>76</v>
      </c>
      <c r="AB356" s="481">
        <f>IFERROR(__xludf.DUMMYFUNCTION("""COMPUTED_VALUE"""),92.0)</f>
        <v>92</v>
      </c>
      <c r="AC356" s="481">
        <f>IFERROR(__xludf.DUMMYFUNCTION("""COMPUTED_VALUE"""),77.0)</f>
        <v>77</v>
      </c>
      <c r="AD356" s="481">
        <f>IFERROR(__xludf.DUMMYFUNCTION("""COMPUTED_VALUE"""),80.0)</f>
        <v>80</v>
      </c>
      <c r="AE356" s="481">
        <f>IFERROR(__xludf.DUMMYFUNCTION("""COMPUTED_VALUE"""),70.0)</f>
        <v>70</v>
      </c>
      <c r="AF356" s="481"/>
      <c r="AG356" s="481">
        <f>IFERROR(__xludf.DUMMYFUNCTION("""COMPUTED_VALUE"""),39.0)</f>
        <v>39</v>
      </c>
      <c r="AH356" s="481"/>
      <c r="AI356" s="158"/>
      <c r="AJ356" s="158"/>
      <c r="AK356" s="133">
        <f>IFERROR(__xludf.DUMMYFUNCTION("""COMPUTED_VALUE"""),4.0)</f>
        <v>4</v>
      </c>
      <c r="AL356" s="133">
        <f>IFERROR(__xludf.DUMMYFUNCTION("""COMPUTED_VALUE"""),1.0)</f>
        <v>1</v>
      </c>
      <c r="AM356" s="133">
        <f>IFERROR(__xludf.DUMMYFUNCTION("""COMPUTED_VALUE"""),2.0)</f>
        <v>2</v>
      </c>
      <c r="AN356" s="133" t="str">
        <f>IFERROR(__xludf.DUMMYFUNCTION("""COMPUTED_VALUE"""),"3.5")</f>
        <v>3.5</v>
      </c>
      <c r="AO356" s="133">
        <f>IFERROR(__xludf.DUMMYFUNCTION("""COMPUTED_VALUE"""),3.0)</f>
        <v>3</v>
      </c>
      <c r="AP356" s="155" t="s">
        <v>3706</v>
      </c>
    </row>
    <row r="357">
      <c r="A357" s="155">
        <f>IFERROR(__xludf.DUMMYFUNCTION("""COMPUTED_VALUE"""),119.0)</f>
        <v>119</v>
      </c>
      <c r="B357" s="155" t="str">
        <f>IFERROR(__xludf.DUMMYFUNCTION("""COMPUTED_VALUE"""),"prdw23ise@cmrit.ac.in")</f>
        <v>prdw23ise@cmrit.ac.in</v>
      </c>
      <c r="C357" s="174" t="str">
        <f>IFERROR(__xludf.DUMMYFUNCTION("""COMPUTED_VALUE"""),"PRIYANSHU DWIVEDI")</f>
        <v>PRIYANSHU DWIVEDI</v>
      </c>
      <c r="D357" s="155" t="str">
        <f>IFERROR(__xludf.DUMMYFUNCTION("""COMPUTED_VALUE"""),"1CR23IS123")</f>
        <v>1CR23IS123</v>
      </c>
      <c r="E357" s="563">
        <f>IFERROR(__xludf.DUMMYFUNCTION("""COMPUTED_VALUE"""),7.67618684E9)</f>
        <v>7676186840</v>
      </c>
      <c r="F357" s="155" t="str">
        <f>IFERROR(__xludf.DUMMYFUNCTION("""COMPUTED_VALUE"""),"ISE")</f>
        <v>ISE</v>
      </c>
      <c r="G357" s="158"/>
      <c r="H357" s="559">
        <f>IFERROR(__xludf.DUMMYFUNCTION("""COMPUTED_VALUE"""),93.0)</f>
        <v>93</v>
      </c>
      <c r="I357" s="559">
        <f>IFERROR(__xludf.DUMMYFUNCTION("""COMPUTED_VALUE"""),92.0)</f>
        <v>92</v>
      </c>
      <c r="J357" s="559">
        <f>IFERROR(__xludf.DUMMYFUNCTION("""COMPUTED_VALUE"""),74.0)</f>
        <v>74</v>
      </c>
      <c r="K357" s="559">
        <f>IFERROR(__xludf.DUMMYFUNCTION("""COMPUTED_VALUE"""),78.0)</f>
        <v>78</v>
      </c>
      <c r="L357" s="560">
        <f>IFERROR(__xludf.DUMMYFUNCTION("""COMPUTED_VALUE"""),50.0)</f>
        <v>50</v>
      </c>
      <c r="M357" s="561">
        <f>IFERROR(__xludf.DUMMYFUNCTION("""COMPUTED_VALUE"""),60.0)</f>
        <v>60</v>
      </c>
      <c r="N357" s="561">
        <f>IFERROR(__xludf.DUMMYFUNCTION("""COMPUTED_VALUE"""),75.0)</f>
        <v>75</v>
      </c>
      <c r="O357" s="560"/>
      <c r="P357" s="562">
        <f>IFERROR(__xludf.DUMMYFUNCTION("""COMPUTED_VALUE"""),81.0)</f>
        <v>81</v>
      </c>
      <c r="Q357" s="562">
        <f>IFERROR(__xludf.DUMMYFUNCTION("""COMPUTED_VALUE"""),50.0)</f>
        <v>50</v>
      </c>
      <c r="R357" s="562">
        <f>IFERROR(__xludf.DUMMYFUNCTION("""COMPUTED_VALUE"""),86.0)</f>
        <v>86</v>
      </c>
      <c r="S357" s="562"/>
      <c r="T357" s="217">
        <f>IFERROR(__xludf.DUMMYFUNCTION("""COMPUTED_VALUE"""),19.0)</f>
        <v>19</v>
      </c>
      <c r="U357" s="217">
        <f>IFERROR(__xludf.DUMMYFUNCTION("""COMPUTED_VALUE"""),23.0)</f>
        <v>23</v>
      </c>
      <c r="V357" s="217">
        <f>IFERROR(__xludf.DUMMYFUNCTION("""COMPUTED_VALUE"""),48.0)</f>
        <v>48</v>
      </c>
      <c r="W357" s="217">
        <f>IFERROR(__xludf.DUMMYFUNCTION("""COMPUTED_VALUE"""),76.0)</f>
        <v>76</v>
      </c>
      <c r="X357" s="217">
        <f>IFERROR(__xludf.DUMMYFUNCTION("""COMPUTED_VALUE"""),84.0)</f>
        <v>84</v>
      </c>
      <c r="Y357" s="217"/>
      <c r="Z357" s="217"/>
      <c r="AA357" s="481">
        <f>IFERROR(__xludf.DUMMYFUNCTION("""COMPUTED_VALUE"""),100.0)</f>
        <v>100</v>
      </c>
      <c r="AB357" s="481">
        <f>IFERROR(__xludf.DUMMYFUNCTION("""COMPUTED_VALUE"""),100.0)</f>
        <v>100</v>
      </c>
      <c r="AC357" s="481">
        <f>IFERROR(__xludf.DUMMYFUNCTION("""COMPUTED_VALUE"""),80.0)</f>
        <v>80</v>
      </c>
      <c r="AD357" s="481">
        <f>IFERROR(__xludf.DUMMYFUNCTION("""COMPUTED_VALUE"""),94.0)</f>
        <v>94</v>
      </c>
      <c r="AE357" s="481">
        <f>IFERROR(__xludf.DUMMYFUNCTION("""COMPUTED_VALUE"""),70.0)</f>
        <v>70</v>
      </c>
      <c r="AF357" s="481"/>
      <c r="AG357" s="481">
        <f>IFERROR(__xludf.DUMMYFUNCTION("""COMPUTED_VALUE"""),43.0)</f>
        <v>43</v>
      </c>
      <c r="AH357" s="481"/>
      <c r="AI357" s="158"/>
      <c r="AJ357" s="158"/>
      <c r="AK357" s="133">
        <f>IFERROR(__xludf.DUMMYFUNCTION("""COMPUTED_VALUE"""),4.0)</f>
        <v>4</v>
      </c>
      <c r="AL357" s="133">
        <f>IFERROR(__xludf.DUMMYFUNCTION("""COMPUTED_VALUE"""),3.0)</f>
        <v>3</v>
      </c>
      <c r="AM357" s="133">
        <f>IFERROR(__xludf.DUMMYFUNCTION("""COMPUTED_VALUE"""),3.0)</f>
        <v>3</v>
      </c>
      <c r="AN357" s="133" t="str">
        <f>IFERROR(__xludf.DUMMYFUNCTION("""COMPUTED_VALUE"""),"3.5")</f>
        <v>3.5</v>
      </c>
      <c r="AO357" s="133">
        <f>IFERROR(__xludf.DUMMYFUNCTION("""COMPUTED_VALUE"""),3.0)</f>
        <v>3</v>
      </c>
      <c r="AP357" s="155" t="s">
        <v>3706</v>
      </c>
    </row>
    <row r="358">
      <c r="A358" s="155">
        <f>IFERROR(__xludf.DUMMYFUNCTION("""COMPUTED_VALUE"""),120.0)</f>
        <v>120</v>
      </c>
      <c r="B358" s="155" t="str">
        <f>IFERROR(__xludf.DUMMYFUNCTION("""COMPUTED_VALUE"""),"prsi23ise@cmrit.ac.in")</f>
        <v>prsi23ise@cmrit.ac.in</v>
      </c>
      <c r="C358" s="174" t="str">
        <f>IFERROR(__xludf.DUMMYFUNCTION("""COMPUTED_VALUE"""),"PRIYANSHU SINGH")</f>
        <v>PRIYANSHU SINGH</v>
      </c>
      <c r="D358" s="155" t="str">
        <f>IFERROR(__xludf.DUMMYFUNCTION("""COMPUTED_VALUE"""),"1CR23IS124")</f>
        <v>1CR23IS124</v>
      </c>
      <c r="E358" s="563">
        <f>IFERROR(__xludf.DUMMYFUNCTION("""COMPUTED_VALUE"""),7.654193333E9)</f>
        <v>7654193333</v>
      </c>
      <c r="F358" s="155" t="str">
        <f>IFERROR(__xludf.DUMMYFUNCTION("""COMPUTED_VALUE"""),"ISE")</f>
        <v>ISE</v>
      </c>
      <c r="G358" s="158"/>
      <c r="H358" s="559">
        <f>IFERROR(__xludf.DUMMYFUNCTION("""COMPUTED_VALUE"""),77.0)</f>
        <v>77</v>
      </c>
      <c r="I358" s="559">
        <f>IFERROR(__xludf.DUMMYFUNCTION("""COMPUTED_VALUE"""),88.0)</f>
        <v>88</v>
      </c>
      <c r="J358" s="559">
        <f>IFERROR(__xludf.DUMMYFUNCTION("""COMPUTED_VALUE"""),80.0)</f>
        <v>80</v>
      </c>
      <c r="K358" s="559">
        <f>IFERROR(__xludf.DUMMYFUNCTION("""COMPUTED_VALUE"""),76.0)</f>
        <v>76</v>
      </c>
      <c r="L358" s="560">
        <f>IFERROR(__xludf.DUMMYFUNCTION("""COMPUTED_VALUE"""),72.0)</f>
        <v>72</v>
      </c>
      <c r="M358" s="561">
        <f>IFERROR(__xludf.DUMMYFUNCTION("""COMPUTED_VALUE"""),61.0)</f>
        <v>61</v>
      </c>
      <c r="N358" s="561">
        <f>IFERROR(__xludf.DUMMYFUNCTION("""COMPUTED_VALUE"""),82.0)</f>
        <v>82</v>
      </c>
      <c r="O358" s="560"/>
      <c r="P358" s="562">
        <f>IFERROR(__xludf.DUMMYFUNCTION("""COMPUTED_VALUE"""),82.0)</f>
        <v>82</v>
      </c>
      <c r="Q358" s="562">
        <f>IFERROR(__xludf.DUMMYFUNCTION("""COMPUTED_VALUE"""),90.0)</f>
        <v>90</v>
      </c>
      <c r="R358" s="562">
        <f>IFERROR(__xludf.DUMMYFUNCTION("""COMPUTED_VALUE"""),90.0)</f>
        <v>90</v>
      </c>
      <c r="S358" s="562"/>
      <c r="T358" s="217">
        <f>IFERROR(__xludf.DUMMYFUNCTION("""COMPUTED_VALUE"""),13.0)</f>
        <v>13</v>
      </c>
      <c r="U358" s="217">
        <f>IFERROR(__xludf.DUMMYFUNCTION("""COMPUTED_VALUE"""),23.0)</f>
        <v>23</v>
      </c>
      <c r="V358" s="217">
        <f>IFERROR(__xludf.DUMMYFUNCTION("""COMPUTED_VALUE"""),46.0)</f>
        <v>46</v>
      </c>
      <c r="W358" s="217">
        <f>IFERROR(__xludf.DUMMYFUNCTION("""COMPUTED_VALUE"""),72.0)</f>
        <v>72</v>
      </c>
      <c r="X358" s="217">
        <f>IFERROR(__xludf.DUMMYFUNCTION("""COMPUTED_VALUE"""),84.0)</f>
        <v>84</v>
      </c>
      <c r="Y358" s="217"/>
      <c r="Z358" s="217"/>
      <c r="AA358" s="481">
        <f>IFERROR(__xludf.DUMMYFUNCTION("""COMPUTED_VALUE"""),80.0)</f>
        <v>80</v>
      </c>
      <c r="AB358" s="481">
        <f>IFERROR(__xludf.DUMMYFUNCTION("""COMPUTED_VALUE"""),100.0)</f>
        <v>100</v>
      </c>
      <c r="AC358" s="481">
        <f>IFERROR(__xludf.DUMMYFUNCTION("""COMPUTED_VALUE"""),80.0)</f>
        <v>80</v>
      </c>
      <c r="AD358" s="481">
        <f>IFERROR(__xludf.DUMMYFUNCTION("""COMPUTED_VALUE"""),84.0)</f>
        <v>84</v>
      </c>
      <c r="AE358" s="481">
        <f>IFERROR(__xludf.DUMMYFUNCTION("""COMPUTED_VALUE"""),84.0)</f>
        <v>84</v>
      </c>
      <c r="AF358" s="481"/>
      <c r="AG358" s="481">
        <f>IFERROR(__xludf.DUMMYFUNCTION("""COMPUTED_VALUE"""),84.0)</f>
        <v>84</v>
      </c>
      <c r="AH358" s="481"/>
      <c r="AI358" s="158"/>
      <c r="AJ358" s="158"/>
      <c r="AK358" s="133">
        <f>IFERROR(__xludf.DUMMYFUNCTION("""COMPUTED_VALUE"""),4.0)</f>
        <v>4</v>
      </c>
      <c r="AL358" s="133">
        <f>IFERROR(__xludf.DUMMYFUNCTION("""COMPUTED_VALUE"""),3.0)</f>
        <v>3</v>
      </c>
      <c r="AM358" s="133">
        <f>IFERROR(__xludf.DUMMYFUNCTION("""COMPUTED_VALUE"""),3.0)</f>
        <v>3</v>
      </c>
      <c r="AN358" s="133" t="str">
        <f>IFERROR(__xludf.DUMMYFUNCTION("""COMPUTED_VALUE"""),"3.5")</f>
        <v>3.5</v>
      </c>
      <c r="AO358" s="133">
        <f>IFERROR(__xludf.DUMMYFUNCTION("""COMPUTED_VALUE"""),3.0)</f>
        <v>3</v>
      </c>
      <c r="AP358" s="155" t="s">
        <v>3706</v>
      </c>
    </row>
    <row r="359">
      <c r="A359" s="155">
        <f>IFERROR(__xludf.DUMMYFUNCTION("""COMPUTED_VALUE"""),121.0)</f>
        <v>121</v>
      </c>
      <c r="B359" s="155" t="str">
        <f>IFERROR(__xludf.DUMMYFUNCTION("""COMPUTED_VALUE"""),"puhc23ise@cmrit.ac.in")</f>
        <v>puhc23ise@cmrit.ac.in</v>
      </c>
      <c r="C359" s="174" t="str">
        <f>IFERROR(__xludf.DUMMYFUNCTION("""COMPUTED_VALUE"""),"PUSHPA H C")</f>
        <v>PUSHPA H C</v>
      </c>
      <c r="D359" s="155" t="str">
        <f>IFERROR(__xludf.DUMMYFUNCTION("""COMPUTED_VALUE"""),"1CR23IS125")</f>
        <v>1CR23IS125</v>
      </c>
      <c r="E359" s="563">
        <f>IFERROR(__xludf.DUMMYFUNCTION("""COMPUTED_VALUE"""),9.980521408E9)</f>
        <v>9980521408</v>
      </c>
      <c r="F359" s="155" t="str">
        <f>IFERROR(__xludf.DUMMYFUNCTION("""COMPUTED_VALUE"""),"ISE")</f>
        <v>ISE</v>
      </c>
      <c r="G359" s="158"/>
      <c r="H359" s="559">
        <f>IFERROR(__xludf.DUMMYFUNCTION("""COMPUTED_VALUE"""),73.0)</f>
        <v>73</v>
      </c>
      <c r="I359" s="559">
        <f>IFERROR(__xludf.DUMMYFUNCTION("""COMPUTED_VALUE"""),78.0)</f>
        <v>78</v>
      </c>
      <c r="J359" s="559">
        <f>IFERROR(__xludf.DUMMYFUNCTION("""COMPUTED_VALUE"""),83.0)</f>
        <v>83</v>
      </c>
      <c r="K359" s="559">
        <f>IFERROR(__xludf.DUMMYFUNCTION("""COMPUTED_VALUE"""),73.0)</f>
        <v>73</v>
      </c>
      <c r="L359" s="560">
        <f>IFERROR(__xludf.DUMMYFUNCTION("""COMPUTED_VALUE"""),50.0)</f>
        <v>50</v>
      </c>
      <c r="M359" s="561">
        <f>IFERROR(__xludf.DUMMYFUNCTION("""COMPUTED_VALUE"""),66.0)</f>
        <v>66</v>
      </c>
      <c r="N359" s="561">
        <f>IFERROR(__xludf.DUMMYFUNCTION("""COMPUTED_VALUE"""),75.0)</f>
        <v>75</v>
      </c>
      <c r="O359" s="560"/>
      <c r="P359" s="562">
        <f>IFERROR(__xludf.DUMMYFUNCTION("""COMPUTED_VALUE"""),50.0)</f>
        <v>50</v>
      </c>
      <c r="Q359" s="562">
        <f>IFERROR(__xludf.DUMMYFUNCTION("""COMPUTED_VALUE"""),81.0)</f>
        <v>81</v>
      </c>
      <c r="R359" s="562">
        <f>IFERROR(__xludf.DUMMYFUNCTION("""COMPUTED_VALUE"""),93.0)</f>
        <v>93</v>
      </c>
      <c r="S359" s="562"/>
      <c r="T359" s="217">
        <f>IFERROR(__xludf.DUMMYFUNCTION("""COMPUTED_VALUE"""),11.0)</f>
        <v>11</v>
      </c>
      <c r="U359" s="217">
        <f>IFERROR(__xludf.DUMMYFUNCTION("""COMPUTED_VALUE"""),24.0)</f>
        <v>24</v>
      </c>
      <c r="V359" s="217">
        <f>IFERROR(__xludf.DUMMYFUNCTION("""COMPUTED_VALUE"""),46.0)</f>
        <v>46</v>
      </c>
      <c r="W359" s="217">
        <f>IFERROR(__xludf.DUMMYFUNCTION("""COMPUTED_VALUE"""),72.0)</f>
        <v>72</v>
      </c>
      <c r="X359" s="217">
        <f>IFERROR(__xludf.DUMMYFUNCTION("""COMPUTED_VALUE"""),84.0)</f>
        <v>84</v>
      </c>
      <c r="Y359" s="217"/>
      <c r="Z359" s="217"/>
      <c r="AA359" s="481">
        <f>IFERROR(__xludf.DUMMYFUNCTION("""COMPUTED_VALUE"""),60.0)</f>
        <v>60</v>
      </c>
      <c r="AB359" s="481">
        <f>IFERROR(__xludf.DUMMYFUNCTION("""COMPUTED_VALUE"""),100.0)</f>
        <v>100</v>
      </c>
      <c r="AC359" s="481">
        <f>IFERROR(__xludf.DUMMYFUNCTION("""COMPUTED_VALUE"""),77.0)</f>
        <v>77</v>
      </c>
      <c r="AD359" s="481">
        <f>IFERROR(__xludf.DUMMYFUNCTION("""COMPUTED_VALUE"""),84.0)</f>
        <v>84</v>
      </c>
      <c r="AE359" s="481">
        <f>IFERROR(__xludf.DUMMYFUNCTION("""COMPUTED_VALUE"""),70.0)</f>
        <v>70</v>
      </c>
      <c r="AF359" s="481"/>
      <c r="AG359" s="481">
        <f>IFERROR(__xludf.DUMMYFUNCTION("""COMPUTED_VALUE"""),77.0)</f>
        <v>77</v>
      </c>
      <c r="AH359" s="481"/>
      <c r="AI359" s="158"/>
      <c r="AJ359" s="158"/>
      <c r="AK359" s="133">
        <f>IFERROR(__xludf.DUMMYFUNCTION("""COMPUTED_VALUE"""),4.0)</f>
        <v>4</v>
      </c>
      <c r="AL359" s="133">
        <f>IFERROR(__xludf.DUMMYFUNCTION("""COMPUTED_VALUE"""),3.0)</f>
        <v>3</v>
      </c>
      <c r="AM359" s="133">
        <f>IFERROR(__xludf.DUMMYFUNCTION("""COMPUTED_VALUE"""),3.0)</f>
        <v>3</v>
      </c>
      <c r="AN359" s="133" t="str">
        <f>IFERROR(__xludf.DUMMYFUNCTION("""COMPUTED_VALUE"""),"3.5")</f>
        <v>3.5</v>
      </c>
      <c r="AO359" s="133">
        <f>IFERROR(__xludf.DUMMYFUNCTION("""COMPUTED_VALUE"""),3.0)</f>
        <v>3</v>
      </c>
      <c r="AP359" s="155" t="s">
        <v>3706</v>
      </c>
    </row>
    <row r="360">
      <c r="A360" s="155">
        <f>IFERROR(__xludf.DUMMYFUNCTION("""COMPUTED_VALUE"""),122.0)</f>
        <v>122</v>
      </c>
      <c r="B360" s="155" t="str">
        <f>IFERROR(__xludf.DUMMYFUNCTION("""COMPUTED_VALUE"""),"rha23ise@cmrit.ac.in")</f>
        <v>rha23ise@cmrit.ac.in</v>
      </c>
      <c r="C360" s="174" t="str">
        <f>IFERROR(__xludf.DUMMYFUNCTION("""COMPUTED_VALUE"""),"R HARSHA")</f>
        <v>R HARSHA</v>
      </c>
      <c r="D360" s="155" t="str">
        <f>IFERROR(__xludf.DUMMYFUNCTION("""COMPUTED_VALUE"""),"1CR23IS126")</f>
        <v>1CR23IS126</v>
      </c>
      <c r="E360" s="563">
        <f>IFERROR(__xludf.DUMMYFUNCTION("""COMPUTED_VALUE"""),7.406627406E9)</f>
        <v>7406627406</v>
      </c>
      <c r="F360" s="155" t="str">
        <f>IFERROR(__xludf.DUMMYFUNCTION("""COMPUTED_VALUE"""),"ISE")</f>
        <v>ISE</v>
      </c>
      <c r="G360" s="158"/>
      <c r="H360" s="559">
        <f>IFERROR(__xludf.DUMMYFUNCTION("""COMPUTED_VALUE"""),75.0)</f>
        <v>75</v>
      </c>
      <c r="I360" s="559">
        <f>IFERROR(__xludf.DUMMYFUNCTION("""COMPUTED_VALUE"""),70.0)</f>
        <v>70</v>
      </c>
      <c r="J360" s="559">
        <f>IFERROR(__xludf.DUMMYFUNCTION("""COMPUTED_VALUE"""),70.0)</f>
        <v>70</v>
      </c>
      <c r="K360" s="559">
        <f>IFERROR(__xludf.DUMMYFUNCTION("""COMPUTED_VALUE"""),70.0)</f>
        <v>70</v>
      </c>
      <c r="L360" s="560">
        <f>IFERROR(__xludf.DUMMYFUNCTION("""COMPUTED_VALUE"""),50.0)</f>
        <v>50</v>
      </c>
      <c r="M360" s="561">
        <f>IFERROR(__xludf.DUMMYFUNCTION("""COMPUTED_VALUE"""),50.0)</f>
        <v>50</v>
      </c>
      <c r="N360" s="561">
        <f>IFERROR(__xludf.DUMMYFUNCTION("""COMPUTED_VALUE"""),65.0)</f>
        <v>65</v>
      </c>
      <c r="O360" s="560"/>
      <c r="P360" s="562">
        <f>IFERROR(__xludf.DUMMYFUNCTION("""COMPUTED_VALUE"""),68.0)</f>
        <v>68</v>
      </c>
      <c r="Q360" s="562">
        <f>IFERROR(__xludf.DUMMYFUNCTION("""COMPUTED_VALUE"""),50.0)</f>
        <v>50</v>
      </c>
      <c r="R360" s="562">
        <f>IFERROR(__xludf.DUMMYFUNCTION("""COMPUTED_VALUE"""),75.0)</f>
        <v>75</v>
      </c>
      <c r="S360" s="562"/>
      <c r="T360" s="217">
        <f>IFERROR(__xludf.DUMMYFUNCTION("""COMPUTED_VALUE"""),11.0)</f>
        <v>11</v>
      </c>
      <c r="U360" s="217">
        <f>IFERROR(__xludf.DUMMYFUNCTION("""COMPUTED_VALUE"""),23.0)</f>
        <v>23</v>
      </c>
      <c r="V360" s="217"/>
      <c r="W360" s="217">
        <f>IFERROR(__xludf.DUMMYFUNCTION("""COMPUTED_VALUE"""),60.0)</f>
        <v>60</v>
      </c>
      <c r="X360" s="217">
        <f>IFERROR(__xludf.DUMMYFUNCTION("""COMPUTED_VALUE"""),68.0)</f>
        <v>68</v>
      </c>
      <c r="Y360" s="217"/>
      <c r="Z360" s="217"/>
      <c r="AA360" s="481">
        <f>IFERROR(__xludf.DUMMYFUNCTION("""COMPUTED_VALUE"""),14.0)</f>
        <v>14</v>
      </c>
      <c r="AB360" s="481">
        <f>IFERROR(__xludf.DUMMYFUNCTION("""COMPUTED_VALUE"""),96.0)</f>
        <v>96</v>
      </c>
      <c r="AC360" s="481">
        <f>IFERROR(__xludf.DUMMYFUNCTION("""COMPUTED_VALUE"""),69.0)</f>
        <v>69</v>
      </c>
      <c r="AD360" s="481">
        <f>IFERROR(__xludf.DUMMYFUNCTION("""COMPUTED_VALUE"""),85.0)</f>
        <v>85</v>
      </c>
      <c r="AE360" s="481">
        <f>IFERROR(__xludf.DUMMYFUNCTION("""COMPUTED_VALUE"""),70.0)</f>
        <v>70</v>
      </c>
      <c r="AF360" s="481"/>
      <c r="AG360" s="481">
        <f>IFERROR(__xludf.DUMMYFUNCTION("""COMPUTED_VALUE"""),12.0)</f>
        <v>12</v>
      </c>
      <c r="AH360" s="481"/>
      <c r="AI360" s="158"/>
      <c r="AJ360" s="158"/>
      <c r="AK360" s="133">
        <f>IFERROR(__xludf.DUMMYFUNCTION("""COMPUTED_VALUE"""),4.0)</f>
        <v>4</v>
      </c>
      <c r="AL360" s="133">
        <f>IFERROR(__xludf.DUMMYFUNCTION("""COMPUTED_VALUE"""),3.0)</f>
        <v>3</v>
      </c>
      <c r="AM360" s="133">
        <f>IFERROR(__xludf.DUMMYFUNCTION("""COMPUTED_VALUE"""),3.0)</f>
        <v>3</v>
      </c>
      <c r="AN360" s="133" t="str">
        <f>IFERROR(__xludf.DUMMYFUNCTION("""COMPUTED_VALUE"""),"3.5")</f>
        <v>3.5</v>
      </c>
      <c r="AO360" s="133">
        <f>IFERROR(__xludf.DUMMYFUNCTION("""COMPUTED_VALUE"""),3.0)</f>
        <v>3</v>
      </c>
      <c r="AP360" s="155" t="s">
        <v>3706</v>
      </c>
    </row>
    <row r="361">
      <c r="A361" s="155">
        <f>IFERROR(__xludf.DUMMYFUNCTION("""COMPUTED_VALUE"""),123.0)</f>
        <v>123</v>
      </c>
      <c r="B361" s="155" t="str">
        <f>IFERROR(__xludf.DUMMYFUNCTION("""COMPUTED_VALUE"""),"rpr23ise@cmrit.ac.in")</f>
        <v>rpr23ise@cmrit.ac.in</v>
      </c>
      <c r="C361" s="174" t="str">
        <f>IFERROR(__xludf.DUMMYFUNCTION("""COMPUTED_VALUE"""),"R PRAGNA")</f>
        <v>R PRAGNA</v>
      </c>
      <c r="D361" s="155" t="str">
        <f>IFERROR(__xludf.DUMMYFUNCTION("""COMPUTED_VALUE"""),"1CR23IS127")</f>
        <v>1CR23IS127</v>
      </c>
      <c r="E361" s="563">
        <f>IFERROR(__xludf.DUMMYFUNCTION("""COMPUTED_VALUE"""),7.204320427E9)</f>
        <v>7204320427</v>
      </c>
      <c r="F361" s="155" t="str">
        <f>IFERROR(__xludf.DUMMYFUNCTION("""COMPUTED_VALUE"""),"ISE")</f>
        <v>ISE</v>
      </c>
      <c r="G361" s="158"/>
      <c r="H361" s="559">
        <f>IFERROR(__xludf.DUMMYFUNCTION("""COMPUTED_VALUE"""),71.0)</f>
        <v>71</v>
      </c>
      <c r="I361" s="559">
        <f>IFERROR(__xludf.DUMMYFUNCTION("""COMPUTED_VALUE"""),82.0)</f>
        <v>82</v>
      </c>
      <c r="J361" s="559">
        <f>IFERROR(__xludf.DUMMYFUNCTION("""COMPUTED_VALUE"""),71.0)</f>
        <v>71</v>
      </c>
      <c r="K361" s="559">
        <f>IFERROR(__xludf.DUMMYFUNCTION("""COMPUTED_VALUE"""),70.0)</f>
        <v>70</v>
      </c>
      <c r="L361" s="560">
        <f>IFERROR(__xludf.DUMMYFUNCTION("""COMPUTED_VALUE"""),50.0)</f>
        <v>50</v>
      </c>
      <c r="M361" s="561">
        <f>IFERROR(__xludf.DUMMYFUNCTION("""COMPUTED_VALUE"""),30.0)</f>
        <v>30</v>
      </c>
      <c r="N361" s="561">
        <f>IFERROR(__xludf.DUMMYFUNCTION("""COMPUTED_VALUE"""),64.0)</f>
        <v>64</v>
      </c>
      <c r="O361" s="560"/>
      <c r="P361" s="562">
        <f>IFERROR(__xludf.DUMMYFUNCTION("""COMPUTED_VALUE"""),50.0)</f>
        <v>50</v>
      </c>
      <c r="Q361" s="562">
        <f>IFERROR(__xludf.DUMMYFUNCTION("""COMPUTED_VALUE"""),84.0)</f>
        <v>84</v>
      </c>
      <c r="R361" s="562">
        <f>IFERROR(__xludf.DUMMYFUNCTION("""COMPUTED_VALUE"""),72.0)</f>
        <v>72</v>
      </c>
      <c r="S361" s="562"/>
      <c r="T361" s="217">
        <f>IFERROR(__xludf.DUMMYFUNCTION("""COMPUTED_VALUE"""),14.0)</f>
        <v>14</v>
      </c>
      <c r="U361" s="217">
        <f>IFERROR(__xludf.DUMMYFUNCTION("""COMPUTED_VALUE"""),24.0)</f>
        <v>24</v>
      </c>
      <c r="V361" s="217">
        <f>IFERROR(__xludf.DUMMYFUNCTION("""COMPUTED_VALUE"""),36.0)</f>
        <v>36</v>
      </c>
      <c r="W361" s="217">
        <f>IFERROR(__xludf.DUMMYFUNCTION("""COMPUTED_VALUE"""),56.0)</f>
        <v>56</v>
      </c>
      <c r="X361" s="217">
        <f>IFERROR(__xludf.DUMMYFUNCTION("""COMPUTED_VALUE"""),80.0)</f>
        <v>80</v>
      </c>
      <c r="Y361" s="217"/>
      <c r="Z361" s="217"/>
      <c r="AA361" s="481">
        <f>IFERROR(__xludf.DUMMYFUNCTION("""COMPUTED_VALUE"""),40.0)</f>
        <v>40</v>
      </c>
      <c r="AB361" s="481">
        <f>IFERROR(__xludf.DUMMYFUNCTION("""COMPUTED_VALUE"""),92.0)</f>
        <v>92</v>
      </c>
      <c r="AC361" s="481">
        <f>IFERROR(__xludf.DUMMYFUNCTION("""COMPUTED_VALUE"""),37.0)</f>
        <v>37</v>
      </c>
      <c r="AD361" s="481">
        <f>IFERROR(__xludf.DUMMYFUNCTION("""COMPUTED_VALUE"""),60.0)</f>
        <v>60</v>
      </c>
      <c r="AE361" s="481">
        <f>IFERROR(__xludf.DUMMYFUNCTION("""COMPUTED_VALUE"""),56.0)</f>
        <v>56</v>
      </c>
      <c r="AF361" s="481"/>
      <c r="AG361" s="481">
        <f>IFERROR(__xludf.DUMMYFUNCTION("""COMPUTED_VALUE"""),49.0)</f>
        <v>49</v>
      </c>
      <c r="AH361" s="481"/>
      <c r="AI361" s="158"/>
      <c r="AJ361" s="158"/>
      <c r="AK361" s="133">
        <f>IFERROR(__xludf.DUMMYFUNCTION("""COMPUTED_VALUE"""),4.0)</f>
        <v>4</v>
      </c>
      <c r="AL361" s="133">
        <f>IFERROR(__xludf.DUMMYFUNCTION("""COMPUTED_VALUE"""),1.0)</f>
        <v>1</v>
      </c>
      <c r="AM361" s="133">
        <f>IFERROR(__xludf.DUMMYFUNCTION("""COMPUTED_VALUE"""),3.0)</f>
        <v>3</v>
      </c>
      <c r="AN361" s="133" t="str">
        <f>IFERROR(__xludf.DUMMYFUNCTION("""COMPUTED_VALUE"""),"3")</f>
        <v>3</v>
      </c>
      <c r="AO361" s="133">
        <f>IFERROR(__xludf.DUMMYFUNCTION("""COMPUTED_VALUE"""),3.0)</f>
        <v>3</v>
      </c>
      <c r="AP361" s="155" t="s">
        <v>3706</v>
      </c>
    </row>
    <row r="362">
      <c r="A362" s="155">
        <f>IFERROR(__xludf.DUMMYFUNCTION("""COMPUTED_VALUE"""),124.0)</f>
        <v>124</v>
      </c>
      <c r="B362" s="155" t="str">
        <f>IFERROR(__xludf.DUMMYFUNCTION("""COMPUTED_VALUE"""),"rra23ise@cmrit.ac.in")</f>
        <v>rra23ise@cmrit.ac.in</v>
      </c>
      <c r="C362" s="174" t="str">
        <f>IFERROR(__xludf.DUMMYFUNCTION("""COMPUTED_VALUE"""),"R RAHUL")</f>
        <v>R RAHUL</v>
      </c>
      <c r="D362" s="155" t="str">
        <f>IFERROR(__xludf.DUMMYFUNCTION("""COMPUTED_VALUE"""),"1CR23IS128")</f>
        <v>1CR23IS128</v>
      </c>
      <c r="E362" s="563">
        <f>IFERROR(__xludf.DUMMYFUNCTION("""COMPUTED_VALUE"""),8.073496814E9)</f>
        <v>8073496814</v>
      </c>
      <c r="F362" s="155" t="str">
        <f>IFERROR(__xludf.DUMMYFUNCTION("""COMPUTED_VALUE"""),"ISE")</f>
        <v>ISE</v>
      </c>
      <c r="G362" s="158"/>
      <c r="H362" s="559">
        <f>IFERROR(__xludf.DUMMYFUNCTION("""COMPUTED_VALUE"""),74.0)</f>
        <v>74</v>
      </c>
      <c r="I362" s="559">
        <f>IFERROR(__xludf.DUMMYFUNCTION("""COMPUTED_VALUE"""),78.0)</f>
        <v>78</v>
      </c>
      <c r="J362" s="559">
        <f>IFERROR(__xludf.DUMMYFUNCTION("""COMPUTED_VALUE"""),70.0)</f>
        <v>70</v>
      </c>
      <c r="K362" s="559">
        <f>IFERROR(__xludf.DUMMYFUNCTION("""COMPUTED_VALUE"""),70.0)</f>
        <v>70</v>
      </c>
      <c r="L362" s="560">
        <f>IFERROR(__xludf.DUMMYFUNCTION("""COMPUTED_VALUE"""),50.0)</f>
        <v>50</v>
      </c>
      <c r="M362" s="561">
        <f>IFERROR(__xludf.DUMMYFUNCTION("""COMPUTED_VALUE"""),23.0)</f>
        <v>23</v>
      </c>
      <c r="N362" s="561">
        <f>IFERROR(__xludf.DUMMYFUNCTION("""COMPUTED_VALUE"""),62.0)</f>
        <v>62</v>
      </c>
      <c r="O362" s="560"/>
      <c r="P362" s="562">
        <f>IFERROR(__xludf.DUMMYFUNCTION("""COMPUTED_VALUE"""),79.0)</f>
        <v>79</v>
      </c>
      <c r="Q362" s="562">
        <f>IFERROR(__xludf.DUMMYFUNCTION("""COMPUTED_VALUE"""),50.0)</f>
        <v>50</v>
      </c>
      <c r="R362" s="562">
        <f>IFERROR(__xludf.DUMMYFUNCTION("""COMPUTED_VALUE"""),75.0)</f>
        <v>75</v>
      </c>
      <c r="S362" s="562"/>
      <c r="T362" s="217">
        <f>IFERROR(__xludf.DUMMYFUNCTION("""COMPUTED_VALUE"""),10.0)</f>
        <v>10</v>
      </c>
      <c r="U362" s="217">
        <f>IFERROR(__xludf.DUMMYFUNCTION("""COMPUTED_VALUE"""),20.0)</f>
        <v>20</v>
      </c>
      <c r="V362" s="217">
        <f>IFERROR(__xludf.DUMMYFUNCTION("""COMPUTED_VALUE"""),46.0)</f>
        <v>46</v>
      </c>
      <c r="W362" s="217">
        <f>IFERROR(__xludf.DUMMYFUNCTION("""COMPUTED_VALUE"""),56.0)</f>
        <v>56</v>
      </c>
      <c r="X362" s="217">
        <f>IFERROR(__xludf.DUMMYFUNCTION("""COMPUTED_VALUE"""),72.0)</f>
        <v>72</v>
      </c>
      <c r="Y362" s="217"/>
      <c r="Z362" s="217"/>
      <c r="AA362" s="481">
        <f>IFERROR(__xludf.DUMMYFUNCTION("""COMPUTED_VALUE"""),58.0)</f>
        <v>58</v>
      </c>
      <c r="AB362" s="481">
        <f>IFERROR(__xludf.DUMMYFUNCTION("""COMPUTED_VALUE"""),93.0)</f>
        <v>93</v>
      </c>
      <c r="AC362" s="481">
        <f>IFERROR(__xludf.DUMMYFUNCTION("""COMPUTED_VALUE"""),62.0)</f>
        <v>62</v>
      </c>
      <c r="AD362" s="481">
        <f>IFERROR(__xludf.DUMMYFUNCTION("""COMPUTED_VALUE"""),75.0)</f>
        <v>75</v>
      </c>
      <c r="AE362" s="481">
        <f>IFERROR(__xludf.DUMMYFUNCTION("""COMPUTED_VALUE"""),89.0)</f>
        <v>89</v>
      </c>
      <c r="AF362" s="481"/>
      <c r="AG362" s="481">
        <f>IFERROR(__xludf.DUMMYFUNCTION("""COMPUTED_VALUE"""),72.0)</f>
        <v>72</v>
      </c>
      <c r="AH362" s="481"/>
      <c r="AI362" s="158"/>
      <c r="AJ362" s="158"/>
      <c r="AK362" s="133">
        <f>IFERROR(__xludf.DUMMYFUNCTION("""COMPUTED_VALUE"""),4.0)</f>
        <v>4</v>
      </c>
      <c r="AL362" s="133">
        <f>IFERROR(__xludf.DUMMYFUNCTION("""COMPUTED_VALUE"""),1.0)</f>
        <v>1</v>
      </c>
      <c r="AM362" s="133">
        <f>IFERROR(__xludf.DUMMYFUNCTION("""COMPUTED_VALUE"""),3.0)</f>
        <v>3</v>
      </c>
      <c r="AN362" s="133" t="str">
        <f>IFERROR(__xludf.DUMMYFUNCTION("""COMPUTED_VALUE"""),"3.5")</f>
        <v>3.5</v>
      </c>
      <c r="AO362" s="133">
        <f>IFERROR(__xludf.DUMMYFUNCTION("""COMPUTED_VALUE"""),3.0)</f>
        <v>3</v>
      </c>
      <c r="AP362" s="155" t="s">
        <v>3706</v>
      </c>
    </row>
    <row r="363">
      <c r="A363" s="155">
        <f>IFERROR(__xludf.DUMMYFUNCTION("""COMPUTED_VALUE"""),125.0)</f>
        <v>125</v>
      </c>
      <c r="B363" s="155" t="str">
        <f>IFERROR(__xludf.DUMMYFUNCTION("""COMPUTED_VALUE"""),"rsh23ise@cmrit.ac.in")</f>
        <v>rsh23ise@cmrit.ac.in</v>
      </c>
      <c r="C363" s="174" t="str">
        <f>IFERROR(__xludf.DUMMYFUNCTION("""COMPUTED_VALUE"""),"R SHARMISTHAA")</f>
        <v>R SHARMISTHAA</v>
      </c>
      <c r="D363" s="155" t="str">
        <f>IFERROR(__xludf.DUMMYFUNCTION("""COMPUTED_VALUE"""),"1CR23IS129")</f>
        <v>1CR23IS129</v>
      </c>
      <c r="E363" s="563">
        <f>IFERROR(__xludf.DUMMYFUNCTION("""COMPUTED_VALUE"""),9.91628922E9)</f>
        <v>9916289220</v>
      </c>
      <c r="F363" s="155" t="str">
        <f>IFERROR(__xludf.DUMMYFUNCTION("""COMPUTED_VALUE"""),"ISE")</f>
        <v>ISE</v>
      </c>
      <c r="G363" s="158"/>
      <c r="H363" s="559">
        <f>IFERROR(__xludf.DUMMYFUNCTION("""COMPUTED_VALUE"""),71.0)</f>
        <v>71</v>
      </c>
      <c r="I363" s="559">
        <f>IFERROR(__xludf.DUMMYFUNCTION("""COMPUTED_VALUE"""),80.0)</f>
        <v>80</v>
      </c>
      <c r="J363" s="559">
        <f>IFERROR(__xludf.DUMMYFUNCTION("""COMPUTED_VALUE"""),73.0)</f>
        <v>73</v>
      </c>
      <c r="K363" s="559">
        <f>IFERROR(__xludf.DUMMYFUNCTION("""COMPUTED_VALUE"""),77.0)</f>
        <v>77</v>
      </c>
      <c r="L363" s="560">
        <f>IFERROR(__xludf.DUMMYFUNCTION("""COMPUTED_VALUE"""),50.0)</f>
        <v>50</v>
      </c>
      <c r="M363" s="561">
        <f>IFERROR(__xludf.DUMMYFUNCTION("""COMPUTED_VALUE"""),29.0)</f>
        <v>29</v>
      </c>
      <c r="N363" s="561">
        <f>IFERROR(__xludf.DUMMYFUNCTION("""COMPUTED_VALUE"""),50.0)</f>
        <v>50</v>
      </c>
      <c r="O363" s="560"/>
      <c r="P363" s="562">
        <f>IFERROR(__xludf.DUMMYFUNCTION("""COMPUTED_VALUE"""),77.0)</f>
        <v>77</v>
      </c>
      <c r="Q363" s="562">
        <f>IFERROR(__xludf.DUMMYFUNCTION("""COMPUTED_VALUE"""),62.0)</f>
        <v>62</v>
      </c>
      <c r="R363" s="562">
        <f>IFERROR(__xludf.DUMMYFUNCTION("""COMPUTED_VALUE"""),86.0)</f>
        <v>86</v>
      </c>
      <c r="S363" s="562"/>
      <c r="T363" s="217">
        <f>IFERROR(__xludf.DUMMYFUNCTION("""COMPUTED_VALUE"""),16.0)</f>
        <v>16</v>
      </c>
      <c r="U363" s="217">
        <f>IFERROR(__xludf.DUMMYFUNCTION("""COMPUTED_VALUE"""),21.0)</f>
        <v>21</v>
      </c>
      <c r="V363" s="217">
        <f>IFERROR(__xludf.DUMMYFUNCTION("""COMPUTED_VALUE"""),48.0)</f>
        <v>48</v>
      </c>
      <c r="W363" s="217">
        <f>IFERROR(__xludf.DUMMYFUNCTION("""COMPUTED_VALUE"""),68.0)</f>
        <v>68</v>
      </c>
      <c r="X363" s="217">
        <f>IFERROR(__xludf.DUMMYFUNCTION("""COMPUTED_VALUE"""),88.0)</f>
        <v>88</v>
      </c>
      <c r="Y363" s="217"/>
      <c r="Z363" s="217"/>
      <c r="AA363" s="481">
        <f>IFERROR(__xludf.DUMMYFUNCTION("""COMPUTED_VALUE"""),36.0)</f>
        <v>36</v>
      </c>
      <c r="AB363" s="481">
        <f>IFERROR(__xludf.DUMMYFUNCTION("""COMPUTED_VALUE"""),76.0)</f>
        <v>76</v>
      </c>
      <c r="AC363" s="481">
        <f>IFERROR(__xludf.DUMMYFUNCTION("""COMPUTED_VALUE"""),62.0)</f>
        <v>62</v>
      </c>
      <c r="AD363" s="481">
        <f>IFERROR(__xludf.DUMMYFUNCTION("""COMPUTED_VALUE"""),75.0)</f>
        <v>75</v>
      </c>
      <c r="AE363" s="481">
        <f>IFERROR(__xludf.DUMMYFUNCTION("""COMPUTED_VALUE"""),72.0)</f>
        <v>72</v>
      </c>
      <c r="AF363" s="481"/>
      <c r="AG363" s="481">
        <f>IFERROR(__xludf.DUMMYFUNCTION("""COMPUTED_VALUE"""),72.0)</f>
        <v>72</v>
      </c>
      <c r="AH363" s="481"/>
      <c r="AI363" s="158"/>
      <c r="AJ363" s="158"/>
      <c r="AK363" s="133">
        <f>IFERROR(__xludf.DUMMYFUNCTION("""COMPUTED_VALUE"""),4.0)</f>
        <v>4</v>
      </c>
      <c r="AL363" s="133">
        <f>IFERROR(__xludf.DUMMYFUNCTION("""COMPUTED_VALUE"""),1.0)</f>
        <v>1</v>
      </c>
      <c r="AM363" s="133">
        <f>IFERROR(__xludf.DUMMYFUNCTION("""COMPUTED_VALUE"""),3.0)</f>
        <v>3</v>
      </c>
      <c r="AN363" s="133" t="str">
        <f>IFERROR(__xludf.DUMMYFUNCTION("""COMPUTED_VALUE"""),"3.5")</f>
        <v>3.5</v>
      </c>
      <c r="AO363" s="133">
        <f>IFERROR(__xludf.DUMMYFUNCTION("""COMPUTED_VALUE"""),3.0)</f>
        <v>3</v>
      </c>
      <c r="AP363" s="155" t="s">
        <v>3706</v>
      </c>
    </row>
    <row r="364">
      <c r="A364" s="155">
        <f>IFERROR(__xludf.DUMMYFUNCTION("""COMPUTED_VALUE"""),126.0)</f>
        <v>126</v>
      </c>
      <c r="B364" s="155" t="str">
        <f>IFERROR(__xludf.DUMMYFUNCTION("""COMPUTED_VALUE"""),"radn23ise@cmrit.ac.in")</f>
        <v>radn23ise@cmrit.ac.in</v>
      </c>
      <c r="C364" s="174" t="str">
        <f>IFERROR(__xludf.DUMMYFUNCTION("""COMPUTED_VALUE"""),"RACHANA D N")</f>
        <v>RACHANA D N</v>
      </c>
      <c r="D364" s="155" t="str">
        <f>IFERROR(__xludf.DUMMYFUNCTION("""COMPUTED_VALUE"""),"1CR23IS130")</f>
        <v>1CR23IS130</v>
      </c>
      <c r="E364" s="563">
        <f>IFERROR(__xludf.DUMMYFUNCTION("""COMPUTED_VALUE"""),7.022902296E9)</f>
        <v>7022902296</v>
      </c>
      <c r="F364" s="155" t="str">
        <f>IFERROR(__xludf.DUMMYFUNCTION("""COMPUTED_VALUE"""),"ISE")</f>
        <v>ISE</v>
      </c>
      <c r="G364" s="158"/>
      <c r="H364" s="559">
        <f>IFERROR(__xludf.DUMMYFUNCTION("""COMPUTED_VALUE"""),80.0)</f>
        <v>80</v>
      </c>
      <c r="I364" s="559">
        <f>IFERROR(__xludf.DUMMYFUNCTION("""COMPUTED_VALUE"""),93.0)</f>
        <v>93</v>
      </c>
      <c r="J364" s="559">
        <f>IFERROR(__xludf.DUMMYFUNCTION("""COMPUTED_VALUE"""),83.0)</f>
        <v>83</v>
      </c>
      <c r="K364" s="559">
        <f>IFERROR(__xludf.DUMMYFUNCTION("""COMPUTED_VALUE"""),84.0)</f>
        <v>84</v>
      </c>
      <c r="L364" s="560">
        <f>IFERROR(__xludf.DUMMYFUNCTION("""COMPUTED_VALUE"""),55.0)</f>
        <v>55</v>
      </c>
      <c r="M364" s="561">
        <f>IFERROR(__xludf.DUMMYFUNCTION("""COMPUTED_VALUE"""),50.0)</f>
        <v>50</v>
      </c>
      <c r="N364" s="561">
        <f>IFERROR(__xludf.DUMMYFUNCTION("""COMPUTED_VALUE"""),60.0)</f>
        <v>60</v>
      </c>
      <c r="O364" s="560"/>
      <c r="P364" s="562">
        <f>IFERROR(__xludf.DUMMYFUNCTION("""COMPUTED_VALUE"""),50.0)</f>
        <v>50</v>
      </c>
      <c r="Q364" s="562">
        <f>IFERROR(__xludf.DUMMYFUNCTION("""COMPUTED_VALUE"""),81.0)</f>
        <v>81</v>
      </c>
      <c r="R364" s="562">
        <f>IFERROR(__xludf.DUMMYFUNCTION("""COMPUTED_VALUE"""),95.0)</f>
        <v>95</v>
      </c>
      <c r="S364" s="562"/>
      <c r="T364" s="217">
        <f>IFERROR(__xludf.DUMMYFUNCTION("""COMPUTED_VALUE"""),21.0)</f>
        <v>21</v>
      </c>
      <c r="U364" s="217">
        <f>IFERROR(__xludf.DUMMYFUNCTION("""COMPUTED_VALUE"""),24.0)</f>
        <v>24</v>
      </c>
      <c r="V364" s="217">
        <f>IFERROR(__xludf.DUMMYFUNCTION("""COMPUTED_VALUE"""),46.0)</f>
        <v>46</v>
      </c>
      <c r="W364" s="217">
        <f>IFERROR(__xludf.DUMMYFUNCTION("""COMPUTED_VALUE"""),72.0)</f>
        <v>72</v>
      </c>
      <c r="X364" s="217">
        <f>IFERROR(__xludf.DUMMYFUNCTION("""COMPUTED_VALUE"""),88.0)</f>
        <v>88</v>
      </c>
      <c r="Y364" s="217"/>
      <c r="Z364" s="217"/>
      <c r="AA364" s="481">
        <f>IFERROR(__xludf.DUMMYFUNCTION("""COMPUTED_VALUE"""),90.0)</f>
        <v>90</v>
      </c>
      <c r="AB364" s="481">
        <f>IFERROR(__xludf.DUMMYFUNCTION("""COMPUTED_VALUE"""),100.0)</f>
        <v>100</v>
      </c>
      <c r="AC364" s="481">
        <f>IFERROR(__xludf.DUMMYFUNCTION("""COMPUTED_VALUE"""),82.0)</f>
        <v>82</v>
      </c>
      <c r="AD364" s="481">
        <f>IFERROR(__xludf.DUMMYFUNCTION("""COMPUTED_VALUE"""),100.0)</f>
        <v>100</v>
      </c>
      <c r="AE364" s="481">
        <f>IFERROR(__xludf.DUMMYFUNCTION("""COMPUTED_VALUE"""),71.0)</f>
        <v>71</v>
      </c>
      <c r="AF364" s="481"/>
      <c r="AG364" s="481">
        <f>IFERROR(__xludf.DUMMYFUNCTION("""COMPUTED_VALUE"""),88.0)</f>
        <v>88</v>
      </c>
      <c r="AH364" s="481"/>
      <c r="AI364" s="158"/>
      <c r="AJ364" s="158"/>
      <c r="AK364" s="133">
        <f>IFERROR(__xludf.DUMMYFUNCTION("""COMPUTED_VALUE"""),4.0)</f>
        <v>4</v>
      </c>
      <c r="AL364" s="133">
        <f>IFERROR(__xludf.DUMMYFUNCTION("""COMPUTED_VALUE"""),3.0)</f>
        <v>3</v>
      </c>
      <c r="AM364" s="133">
        <f>IFERROR(__xludf.DUMMYFUNCTION("""COMPUTED_VALUE"""),3.0)</f>
        <v>3</v>
      </c>
      <c r="AN364" s="133" t="str">
        <f>IFERROR(__xludf.DUMMYFUNCTION("""COMPUTED_VALUE"""),"3.5")</f>
        <v>3.5</v>
      </c>
      <c r="AO364" s="133">
        <f>IFERROR(__xludf.DUMMYFUNCTION("""COMPUTED_VALUE"""),3.0)</f>
        <v>3</v>
      </c>
      <c r="AP364" s="155" t="s">
        <v>3706</v>
      </c>
    </row>
    <row r="365">
      <c r="A365" s="155">
        <f>IFERROR(__xludf.DUMMYFUNCTION("""COMPUTED_VALUE"""),127.0)</f>
        <v>127</v>
      </c>
      <c r="B365" s="155" t="str">
        <f>IFERROR(__xludf.DUMMYFUNCTION("""COMPUTED_VALUE"""),"rata23ise@cmrit.ac.in")</f>
        <v>rata23ise@cmrit.ac.in</v>
      </c>
      <c r="C365" s="174" t="str">
        <f>IFERROR(__xludf.DUMMYFUNCTION("""COMPUTED_VALUE"""),"RAKESH T A")</f>
        <v>RAKESH T A</v>
      </c>
      <c r="D365" s="155" t="str">
        <f>IFERROR(__xludf.DUMMYFUNCTION("""COMPUTED_VALUE"""),"1CR23IS131")</f>
        <v>1CR23IS131</v>
      </c>
      <c r="E365" s="563">
        <f>IFERROR(__xludf.DUMMYFUNCTION("""COMPUTED_VALUE"""),8.867042036E9)</f>
        <v>8867042036</v>
      </c>
      <c r="F365" s="155" t="str">
        <f>IFERROR(__xludf.DUMMYFUNCTION("""COMPUTED_VALUE"""),"ISE")</f>
        <v>ISE</v>
      </c>
      <c r="G365" s="158"/>
      <c r="H365" s="559">
        <f>IFERROR(__xludf.DUMMYFUNCTION("""COMPUTED_VALUE"""),70.0)</f>
        <v>70</v>
      </c>
      <c r="I365" s="559">
        <f>IFERROR(__xludf.DUMMYFUNCTION("""COMPUTED_VALUE"""),82.0)</f>
        <v>82</v>
      </c>
      <c r="J365" s="559">
        <f>IFERROR(__xludf.DUMMYFUNCTION("""COMPUTED_VALUE"""),73.0)</f>
        <v>73</v>
      </c>
      <c r="K365" s="559">
        <f>IFERROR(__xludf.DUMMYFUNCTION("""COMPUTED_VALUE"""),70.0)</f>
        <v>70</v>
      </c>
      <c r="L365" s="560">
        <f>IFERROR(__xludf.DUMMYFUNCTION("""COMPUTED_VALUE"""),50.0)</f>
        <v>50</v>
      </c>
      <c r="M365" s="561">
        <f>IFERROR(__xludf.DUMMYFUNCTION("""COMPUTED_VALUE"""),37.0)</f>
        <v>37</v>
      </c>
      <c r="N365" s="561">
        <f>IFERROR(__xludf.DUMMYFUNCTION("""COMPUTED_VALUE"""),15.0)</f>
        <v>15</v>
      </c>
      <c r="O365" s="560"/>
      <c r="P365" s="562">
        <f>IFERROR(__xludf.DUMMYFUNCTION("""COMPUTED_VALUE"""),0.0)</f>
        <v>0</v>
      </c>
      <c r="Q365" s="562">
        <f>IFERROR(__xludf.DUMMYFUNCTION("""COMPUTED_VALUE"""),50.0)</f>
        <v>50</v>
      </c>
      <c r="R365" s="562">
        <f>IFERROR(__xludf.DUMMYFUNCTION("""COMPUTED_VALUE"""),76.0)</f>
        <v>76</v>
      </c>
      <c r="S365" s="562"/>
      <c r="T365" s="217">
        <f>IFERROR(__xludf.DUMMYFUNCTION("""COMPUTED_VALUE"""),10.0)</f>
        <v>10</v>
      </c>
      <c r="U365" s="217">
        <f>IFERROR(__xludf.DUMMYFUNCTION("""COMPUTED_VALUE"""),24.0)</f>
        <v>24</v>
      </c>
      <c r="V365" s="217">
        <f>IFERROR(__xludf.DUMMYFUNCTION("""COMPUTED_VALUE"""),46.0)</f>
        <v>46</v>
      </c>
      <c r="W365" s="217">
        <f>IFERROR(__xludf.DUMMYFUNCTION("""COMPUTED_VALUE"""),72.0)</f>
        <v>72</v>
      </c>
      <c r="X365" s="217">
        <f>IFERROR(__xludf.DUMMYFUNCTION("""COMPUTED_VALUE"""),76.0)</f>
        <v>76</v>
      </c>
      <c r="Y365" s="217"/>
      <c r="Z365" s="217"/>
      <c r="AA365" s="481">
        <f>IFERROR(__xludf.DUMMYFUNCTION("""COMPUTED_VALUE"""),30.0)</f>
        <v>30</v>
      </c>
      <c r="AB365" s="481">
        <f>IFERROR(__xludf.DUMMYFUNCTION("""COMPUTED_VALUE"""),89.0)</f>
        <v>89</v>
      </c>
      <c r="AC365" s="481">
        <f>IFERROR(__xludf.DUMMYFUNCTION("""COMPUTED_VALUE"""),52.0)</f>
        <v>52</v>
      </c>
      <c r="AD365" s="481">
        <f>IFERROR(__xludf.DUMMYFUNCTION("""COMPUTED_VALUE"""),100.0)</f>
        <v>100</v>
      </c>
      <c r="AE365" s="481">
        <f>IFERROR(__xludf.DUMMYFUNCTION("""COMPUTED_VALUE"""),15.0)</f>
        <v>15</v>
      </c>
      <c r="AF365" s="481"/>
      <c r="AG365" s="481">
        <f>IFERROR(__xludf.DUMMYFUNCTION("""COMPUTED_VALUE"""),42.0)</f>
        <v>42</v>
      </c>
      <c r="AH365" s="481"/>
      <c r="AI365" s="158"/>
      <c r="AJ365" s="158"/>
      <c r="AK365" s="133">
        <f>IFERROR(__xludf.DUMMYFUNCTION("""COMPUTED_VALUE"""),4.0)</f>
        <v>4</v>
      </c>
      <c r="AL365" s="133">
        <f>IFERROR(__xludf.DUMMYFUNCTION("""COMPUTED_VALUE"""),1.0)</f>
        <v>1</v>
      </c>
      <c r="AM365" s="133">
        <f>IFERROR(__xludf.DUMMYFUNCTION("""COMPUTED_VALUE"""),3.0)</f>
        <v>3</v>
      </c>
      <c r="AN365" s="133" t="str">
        <f>IFERROR(__xludf.DUMMYFUNCTION("""COMPUTED_VALUE"""),"3")</f>
        <v>3</v>
      </c>
      <c r="AO365" s="133">
        <f>IFERROR(__xludf.DUMMYFUNCTION("""COMPUTED_VALUE"""),0.0)</f>
        <v>0</v>
      </c>
      <c r="AP365" s="155" t="s">
        <v>3706</v>
      </c>
    </row>
    <row r="366">
      <c r="A366" s="155">
        <f>IFERROR(__xludf.DUMMYFUNCTION("""COMPUTED_VALUE"""),128.0)</f>
        <v>128</v>
      </c>
      <c r="B366" s="155" t="str">
        <f>IFERROR(__xludf.DUMMYFUNCTION("""COMPUTED_VALUE"""),"rar23ise@cmrit.ac.in")</f>
        <v>rar23ise@cmrit.ac.in</v>
      </c>
      <c r="C366" s="174" t="str">
        <f>IFERROR(__xludf.DUMMYFUNCTION("""COMPUTED_VALUE"""),"RAKSHITHA R")</f>
        <v>RAKSHITHA R</v>
      </c>
      <c r="D366" s="155" t="str">
        <f>IFERROR(__xludf.DUMMYFUNCTION("""COMPUTED_VALUE"""),"1CR23IS132")</f>
        <v>1CR23IS132</v>
      </c>
      <c r="E366" s="563">
        <f>IFERROR(__xludf.DUMMYFUNCTION("""COMPUTED_VALUE"""),8.217281176E9)</f>
        <v>8217281176</v>
      </c>
      <c r="F366" s="155" t="str">
        <f>IFERROR(__xludf.DUMMYFUNCTION("""COMPUTED_VALUE"""),"ISE")</f>
        <v>ISE</v>
      </c>
      <c r="G366" s="158"/>
      <c r="H366" s="559">
        <f>IFERROR(__xludf.DUMMYFUNCTION("""COMPUTED_VALUE"""),70.0)</f>
        <v>70</v>
      </c>
      <c r="I366" s="559">
        <f>IFERROR(__xludf.DUMMYFUNCTION("""COMPUTED_VALUE"""),75.0)</f>
        <v>75</v>
      </c>
      <c r="J366" s="559">
        <f>IFERROR(__xludf.DUMMYFUNCTION("""COMPUTED_VALUE"""),70.0)</f>
        <v>70</v>
      </c>
      <c r="K366" s="559">
        <f>IFERROR(__xludf.DUMMYFUNCTION("""COMPUTED_VALUE"""),72.0)</f>
        <v>72</v>
      </c>
      <c r="L366" s="560">
        <f>IFERROR(__xludf.DUMMYFUNCTION("""COMPUTED_VALUE"""),50.0)</f>
        <v>50</v>
      </c>
      <c r="M366" s="561">
        <f>IFERROR(__xludf.DUMMYFUNCTION("""COMPUTED_VALUE"""),50.0)</f>
        <v>50</v>
      </c>
      <c r="N366" s="561">
        <f>IFERROR(__xludf.DUMMYFUNCTION("""COMPUTED_VALUE"""),50.0)</f>
        <v>50</v>
      </c>
      <c r="O366" s="560"/>
      <c r="P366" s="562">
        <f>IFERROR(__xludf.DUMMYFUNCTION("""COMPUTED_VALUE"""),80.0)</f>
        <v>80</v>
      </c>
      <c r="Q366" s="562">
        <f>IFERROR(__xludf.DUMMYFUNCTION("""COMPUTED_VALUE"""),82.0)</f>
        <v>82</v>
      </c>
      <c r="R366" s="562">
        <f>IFERROR(__xludf.DUMMYFUNCTION("""COMPUTED_VALUE"""),88.0)</f>
        <v>88</v>
      </c>
      <c r="S366" s="562"/>
      <c r="T366" s="217">
        <f>IFERROR(__xludf.DUMMYFUNCTION("""COMPUTED_VALUE"""),12.0)</f>
        <v>12</v>
      </c>
      <c r="U366" s="217">
        <f>IFERROR(__xludf.DUMMYFUNCTION("""COMPUTED_VALUE"""),20.0)</f>
        <v>20</v>
      </c>
      <c r="V366" s="217">
        <f>IFERROR(__xludf.DUMMYFUNCTION("""COMPUTED_VALUE"""),46.0)</f>
        <v>46</v>
      </c>
      <c r="W366" s="217">
        <f>IFERROR(__xludf.DUMMYFUNCTION("""COMPUTED_VALUE"""),72.0)</f>
        <v>72</v>
      </c>
      <c r="X366" s="217">
        <f>IFERROR(__xludf.DUMMYFUNCTION("""COMPUTED_VALUE"""),72.0)</f>
        <v>72</v>
      </c>
      <c r="Y366" s="217"/>
      <c r="Z366" s="217"/>
      <c r="AA366" s="481">
        <f>IFERROR(__xludf.DUMMYFUNCTION("""COMPUTED_VALUE"""),72.0)</f>
        <v>72</v>
      </c>
      <c r="AB366" s="481">
        <f>IFERROR(__xludf.DUMMYFUNCTION("""COMPUTED_VALUE"""),74.0)</f>
        <v>74</v>
      </c>
      <c r="AC366" s="481">
        <f>IFERROR(__xludf.DUMMYFUNCTION("""COMPUTED_VALUE"""),77.0)</f>
        <v>77</v>
      </c>
      <c r="AD366" s="481">
        <f>IFERROR(__xludf.DUMMYFUNCTION("""COMPUTED_VALUE"""),100.0)</f>
        <v>100</v>
      </c>
      <c r="AE366" s="481">
        <f>IFERROR(__xludf.DUMMYFUNCTION("""COMPUTED_VALUE"""),72.0)</f>
        <v>72</v>
      </c>
      <c r="AF366" s="481"/>
      <c r="AG366" s="481">
        <f>IFERROR(__xludf.DUMMYFUNCTION("""COMPUTED_VALUE"""),78.0)</f>
        <v>78</v>
      </c>
      <c r="AH366" s="481"/>
      <c r="AI366" s="158"/>
      <c r="AJ366" s="158"/>
      <c r="AK366" s="133">
        <f>IFERROR(__xludf.DUMMYFUNCTION("""COMPUTED_VALUE"""),4.0)</f>
        <v>4</v>
      </c>
      <c r="AL366" s="133">
        <f>IFERROR(__xludf.DUMMYFUNCTION("""COMPUTED_VALUE"""),3.0)</f>
        <v>3</v>
      </c>
      <c r="AM366" s="133">
        <f>IFERROR(__xludf.DUMMYFUNCTION("""COMPUTED_VALUE"""),3.0)</f>
        <v>3</v>
      </c>
      <c r="AN366" s="133" t="str">
        <f>IFERROR(__xludf.DUMMYFUNCTION("""COMPUTED_VALUE"""),"3.5")</f>
        <v>3.5</v>
      </c>
      <c r="AO366" s="133">
        <f>IFERROR(__xludf.DUMMYFUNCTION("""COMPUTED_VALUE"""),3.0)</f>
        <v>3</v>
      </c>
      <c r="AP366" s="155" t="s">
        <v>3706</v>
      </c>
    </row>
    <row r="367">
      <c r="A367" s="155">
        <f>IFERROR(__xludf.DUMMYFUNCTION("""COMPUTED_VALUE"""),129.0)</f>
        <v>129</v>
      </c>
      <c r="B367" s="155" t="str">
        <f>IFERROR(__xludf.DUMMYFUNCTION("""COMPUTED_VALUE"""),"rara23ise@cmrit.ac.in")</f>
        <v>rara23ise@cmrit.ac.in</v>
      </c>
      <c r="C367" s="174" t="str">
        <f>IFERROR(__xludf.DUMMYFUNCTION("""COMPUTED_VALUE"""),"RANJITHA M")</f>
        <v>RANJITHA M</v>
      </c>
      <c r="D367" s="155" t="str">
        <f>IFERROR(__xludf.DUMMYFUNCTION("""COMPUTED_VALUE"""),"1CR23IS133")</f>
        <v>1CR23IS133</v>
      </c>
      <c r="E367" s="563">
        <f>IFERROR(__xludf.DUMMYFUNCTION("""COMPUTED_VALUE"""),8.904467535E9)</f>
        <v>8904467535</v>
      </c>
      <c r="F367" s="155" t="str">
        <f>IFERROR(__xludf.DUMMYFUNCTION("""COMPUTED_VALUE"""),"ISE")</f>
        <v>ISE</v>
      </c>
      <c r="G367" s="158"/>
      <c r="H367" s="559">
        <f>IFERROR(__xludf.DUMMYFUNCTION("""COMPUTED_VALUE"""),72.0)</f>
        <v>72</v>
      </c>
      <c r="I367" s="559">
        <f>IFERROR(__xludf.DUMMYFUNCTION("""COMPUTED_VALUE"""),85.0)</f>
        <v>85</v>
      </c>
      <c r="J367" s="559">
        <f>IFERROR(__xludf.DUMMYFUNCTION("""COMPUTED_VALUE"""),74.0)</f>
        <v>74</v>
      </c>
      <c r="K367" s="559">
        <f>IFERROR(__xludf.DUMMYFUNCTION("""COMPUTED_VALUE"""),70.0)</f>
        <v>70</v>
      </c>
      <c r="L367" s="560">
        <f>IFERROR(__xludf.DUMMYFUNCTION("""COMPUTED_VALUE"""),50.0)</f>
        <v>50</v>
      </c>
      <c r="M367" s="561">
        <f>IFERROR(__xludf.DUMMYFUNCTION("""COMPUTED_VALUE"""),50.0)</f>
        <v>50</v>
      </c>
      <c r="N367" s="561">
        <f>IFERROR(__xludf.DUMMYFUNCTION("""COMPUTED_VALUE"""),50.0)</f>
        <v>50</v>
      </c>
      <c r="O367" s="560"/>
      <c r="P367" s="562">
        <f>IFERROR(__xludf.DUMMYFUNCTION("""COMPUTED_VALUE"""),81.0)</f>
        <v>81</v>
      </c>
      <c r="Q367" s="562">
        <f>IFERROR(__xludf.DUMMYFUNCTION("""COMPUTED_VALUE"""),81.0)</f>
        <v>81</v>
      </c>
      <c r="R367" s="562">
        <f>IFERROR(__xludf.DUMMYFUNCTION("""COMPUTED_VALUE"""),85.0)</f>
        <v>85</v>
      </c>
      <c r="S367" s="562"/>
      <c r="T367" s="217">
        <f>IFERROR(__xludf.DUMMYFUNCTION("""COMPUTED_VALUE"""),11.0)</f>
        <v>11</v>
      </c>
      <c r="U367" s="217">
        <f>IFERROR(__xludf.DUMMYFUNCTION("""COMPUTED_VALUE"""),23.0)</f>
        <v>23</v>
      </c>
      <c r="V367" s="217">
        <f>IFERROR(__xludf.DUMMYFUNCTION("""COMPUTED_VALUE"""),42.0)</f>
        <v>42</v>
      </c>
      <c r="W367" s="217">
        <f>IFERROR(__xludf.DUMMYFUNCTION("""COMPUTED_VALUE"""),68.0)</f>
        <v>68</v>
      </c>
      <c r="X367" s="217">
        <f>IFERROR(__xludf.DUMMYFUNCTION("""COMPUTED_VALUE"""),80.0)</f>
        <v>80</v>
      </c>
      <c r="Y367" s="217"/>
      <c r="Z367" s="217"/>
      <c r="AA367" s="481">
        <f>IFERROR(__xludf.DUMMYFUNCTION("""COMPUTED_VALUE"""),46.0)</f>
        <v>46</v>
      </c>
      <c r="AB367" s="481">
        <f>IFERROR(__xludf.DUMMYFUNCTION("""COMPUTED_VALUE"""),92.0)</f>
        <v>92</v>
      </c>
      <c r="AC367" s="481">
        <f>IFERROR(__xludf.DUMMYFUNCTION("""COMPUTED_VALUE"""),80.0)</f>
        <v>80</v>
      </c>
      <c r="AD367" s="481">
        <f>IFERROR(__xludf.DUMMYFUNCTION("""COMPUTED_VALUE"""),80.0)</f>
        <v>80</v>
      </c>
      <c r="AE367" s="481">
        <f>IFERROR(__xludf.DUMMYFUNCTION("""COMPUTED_VALUE"""),70.0)</f>
        <v>70</v>
      </c>
      <c r="AF367" s="481"/>
      <c r="AG367" s="481">
        <f>IFERROR(__xludf.DUMMYFUNCTION("""COMPUTED_VALUE"""),75.0)</f>
        <v>75</v>
      </c>
      <c r="AH367" s="481"/>
      <c r="AI367" s="158"/>
      <c r="AJ367" s="158"/>
      <c r="AK367" s="133">
        <f>IFERROR(__xludf.DUMMYFUNCTION("""COMPUTED_VALUE"""),4.0)</f>
        <v>4</v>
      </c>
      <c r="AL367" s="133">
        <f>IFERROR(__xludf.DUMMYFUNCTION("""COMPUTED_VALUE"""),3.0)</f>
        <v>3</v>
      </c>
      <c r="AM367" s="133">
        <f>IFERROR(__xludf.DUMMYFUNCTION("""COMPUTED_VALUE"""),3.0)</f>
        <v>3</v>
      </c>
      <c r="AN367" s="133" t="str">
        <f>IFERROR(__xludf.DUMMYFUNCTION("""COMPUTED_VALUE"""),"3.5")</f>
        <v>3.5</v>
      </c>
      <c r="AO367" s="133">
        <f>IFERROR(__xludf.DUMMYFUNCTION("""COMPUTED_VALUE"""),3.0)</f>
        <v>3</v>
      </c>
      <c r="AP367" s="155" t="s">
        <v>3706</v>
      </c>
    </row>
    <row r="368">
      <c r="A368" s="155">
        <f>IFERROR(__xludf.DUMMYFUNCTION("""COMPUTED_VALUE"""),130.0)</f>
        <v>130</v>
      </c>
      <c r="B368" s="155" t="str">
        <f>IFERROR(__xludf.DUMMYFUNCTION("""COMPUTED_VALUE"""),"resh23ise@cmrit.ac.in")</f>
        <v>resh23ise@cmrit.ac.in</v>
      </c>
      <c r="C368" s="174" t="str">
        <f>IFERROR(__xludf.DUMMYFUNCTION("""COMPUTED_VALUE"""),"REETHI B SHETTY")</f>
        <v>REETHI B SHETTY</v>
      </c>
      <c r="D368" s="155" t="str">
        <f>IFERROR(__xludf.DUMMYFUNCTION("""COMPUTED_VALUE"""),"1CR23IS134")</f>
        <v>1CR23IS134</v>
      </c>
      <c r="E368" s="563">
        <f>IFERROR(__xludf.DUMMYFUNCTION("""COMPUTED_VALUE"""),9.019296849E9)</f>
        <v>9019296849</v>
      </c>
      <c r="F368" s="155" t="str">
        <f>IFERROR(__xludf.DUMMYFUNCTION("""COMPUTED_VALUE"""),"ISE")</f>
        <v>ISE</v>
      </c>
      <c r="G368" s="158"/>
      <c r="H368" s="559">
        <f>IFERROR(__xludf.DUMMYFUNCTION("""COMPUTED_VALUE"""),70.0)</f>
        <v>70</v>
      </c>
      <c r="I368" s="559">
        <f>IFERROR(__xludf.DUMMYFUNCTION("""COMPUTED_VALUE"""),87.0)</f>
        <v>87</v>
      </c>
      <c r="J368" s="559">
        <f>IFERROR(__xludf.DUMMYFUNCTION("""COMPUTED_VALUE"""),70.0)</f>
        <v>70</v>
      </c>
      <c r="K368" s="559">
        <f>IFERROR(__xludf.DUMMYFUNCTION("""COMPUTED_VALUE"""),71.0)</f>
        <v>71</v>
      </c>
      <c r="L368" s="560">
        <f>IFERROR(__xludf.DUMMYFUNCTION("""COMPUTED_VALUE"""),50.0)</f>
        <v>50</v>
      </c>
      <c r="M368" s="561">
        <f>IFERROR(__xludf.DUMMYFUNCTION("""COMPUTED_VALUE"""),58.0)</f>
        <v>58</v>
      </c>
      <c r="N368" s="561">
        <f>IFERROR(__xludf.DUMMYFUNCTION("""COMPUTED_VALUE"""),50.0)</f>
        <v>50</v>
      </c>
      <c r="O368" s="560"/>
      <c r="P368" s="562">
        <f>IFERROR(__xludf.DUMMYFUNCTION("""COMPUTED_VALUE"""),82.0)</f>
        <v>82</v>
      </c>
      <c r="Q368" s="562">
        <f>IFERROR(__xludf.DUMMYFUNCTION("""COMPUTED_VALUE"""),58.0)</f>
        <v>58</v>
      </c>
      <c r="R368" s="562">
        <f>IFERROR(__xludf.DUMMYFUNCTION("""COMPUTED_VALUE"""),81.0)</f>
        <v>81</v>
      </c>
      <c r="S368" s="562"/>
      <c r="T368" s="217">
        <f>IFERROR(__xludf.DUMMYFUNCTION("""COMPUTED_VALUE"""),18.0)</f>
        <v>18</v>
      </c>
      <c r="U368" s="217">
        <f>IFERROR(__xludf.DUMMYFUNCTION("""COMPUTED_VALUE"""),22.0)</f>
        <v>22</v>
      </c>
      <c r="V368" s="217">
        <f>IFERROR(__xludf.DUMMYFUNCTION("""COMPUTED_VALUE"""),42.0)</f>
        <v>42</v>
      </c>
      <c r="W368" s="217">
        <f>IFERROR(__xludf.DUMMYFUNCTION("""COMPUTED_VALUE"""),40.0)</f>
        <v>40</v>
      </c>
      <c r="X368" s="217">
        <f>IFERROR(__xludf.DUMMYFUNCTION("""COMPUTED_VALUE"""),76.0)</f>
        <v>76</v>
      </c>
      <c r="Y368" s="217"/>
      <c r="Z368" s="217"/>
      <c r="AA368" s="481">
        <f>IFERROR(__xludf.DUMMYFUNCTION("""COMPUTED_VALUE"""),66.0)</f>
        <v>66</v>
      </c>
      <c r="AB368" s="481">
        <f>IFERROR(__xludf.DUMMYFUNCTION("""COMPUTED_VALUE"""),70.0)</f>
        <v>70</v>
      </c>
      <c r="AC368" s="481">
        <f>IFERROR(__xludf.DUMMYFUNCTION("""COMPUTED_VALUE"""),52.0)</f>
        <v>52</v>
      </c>
      <c r="AD368" s="481">
        <f>IFERROR(__xludf.DUMMYFUNCTION("""COMPUTED_VALUE"""),60.0)</f>
        <v>60</v>
      </c>
      <c r="AE368" s="481">
        <f>IFERROR(__xludf.DUMMYFUNCTION("""COMPUTED_VALUE"""),80.0)</f>
        <v>80</v>
      </c>
      <c r="AF368" s="481"/>
      <c r="AG368" s="481">
        <f>IFERROR(__xludf.DUMMYFUNCTION("""COMPUTED_VALUE"""),62.0)</f>
        <v>62</v>
      </c>
      <c r="AH368" s="481"/>
      <c r="AI368" s="158"/>
      <c r="AJ368" s="158"/>
      <c r="AK368" s="133">
        <f>IFERROR(__xludf.DUMMYFUNCTION("""COMPUTED_VALUE"""),4.0)</f>
        <v>4</v>
      </c>
      <c r="AL368" s="133">
        <f>IFERROR(__xludf.DUMMYFUNCTION("""COMPUTED_VALUE"""),3.0)</f>
        <v>3</v>
      </c>
      <c r="AM368" s="133">
        <f>IFERROR(__xludf.DUMMYFUNCTION("""COMPUTED_VALUE"""),2.0)</f>
        <v>2</v>
      </c>
      <c r="AN368" s="133" t="str">
        <f>IFERROR(__xludf.DUMMYFUNCTION("""COMPUTED_VALUE"""),"3.5")</f>
        <v>3.5</v>
      </c>
      <c r="AO368" s="133">
        <f>IFERROR(__xludf.DUMMYFUNCTION("""COMPUTED_VALUE"""),3.0)</f>
        <v>3</v>
      </c>
      <c r="AP368" s="155" t="s">
        <v>3706</v>
      </c>
    </row>
    <row r="369">
      <c r="A369" s="155">
        <f>IFERROR(__xludf.DUMMYFUNCTION("""COMPUTED_VALUE"""),131.0)</f>
        <v>131</v>
      </c>
      <c r="B369" s="155" t="str">
        <f>IFERROR(__xludf.DUMMYFUNCTION("""COMPUTED_VALUE"""),"rihs23ise@cmrit.ac.in")</f>
        <v>rihs23ise@cmrit.ac.in</v>
      </c>
      <c r="C369" s="174" t="str">
        <f>IFERROR(__xludf.DUMMYFUNCTION("""COMPUTED_VALUE"""),"RISHIKA H S")</f>
        <v>RISHIKA H S</v>
      </c>
      <c r="D369" s="155" t="str">
        <f>IFERROR(__xludf.DUMMYFUNCTION("""COMPUTED_VALUE"""),"1CR23IS135")</f>
        <v>1CR23IS135</v>
      </c>
      <c r="E369" s="563">
        <f>IFERROR(__xludf.DUMMYFUNCTION("""COMPUTED_VALUE"""),9.113636488E9)</f>
        <v>9113636488</v>
      </c>
      <c r="F369" s="155" t="str">
        <f>IFERROR(__xludf.DUMMYFUNCTION("""COMPUTED_VALUE"""),"ISE")</f>
        <v>ISE</v>
      </c>
      <c r="G369" s="158"/>
      <c r="H369" s="559">
        <f>IFERROR(__xludf.DUMMYFUNCTION("""COMPUTED_VALUE"""),81.0)</f>
        <v>81</v>
      </c>
      <c r="I369" s="559">
        <f>IFERROR(__xludf.DUMMYFUNCTION("""COMPUTED_VALUE"""),91.0)</f>
        <v>91</v>
      </c>
      <c r="J369" s="559">
        <f>IFERROR(__xludf.DUMMYFUNCTION("""COMPUTED_VALUE"""),70.0)</f>
        <v>70</v>
      </c>
      <c r="K369" s="559">
        <f>IFERROR(__xludf.DUMMYFUNCTION("""COMPUTED_VALUE"""),79.0)</f>
        <v>79</v>
      </c>
      <c r="L369" s="560">
        <f>IFERROR(__xludf.DUMMYFUNCTION("""COMPUTED_VALUE"""),54.0)</f>
        <v>54</v>
      </c>
      <c r="M369" s="561">
        <f>IFERROR(__xludf.DUMMYFUNCTION("""COMPUTED_VALUE"""),50.0)</f>
        <v>50</v>
      </c>
      <c r="N369" s="561">
        <f>IFERROR(__xludf.DUMMYFUNCTION("""COMPUTED_VALUE"""),45.0)</f>
        <v>45</v>
      </c>
      <c r="O369" s="560"/>
      <c r="P369" s="562">
        <f>IFERROR(__xludf.DUMMYFUNCTION("""COMPUTED_VALUE"""),86.0)</f>
        <v>86</v>
      </c>
      <c r="Q369" s="562">
        <f>IFERROR(__xludf.DUMMYFUNCTION("""COMPUTED_VALUE"""),81.0)</f>
        <v>81</v>
      </c>
      <c r="R369" s="562">
        <f>IFERROR(__xludf.DUMMYFUNCTION("""COMPUTED_VALUE"""),90.0)</f>
        <v>90</v>
      </c>
      <c r="S369" s="562"/>
      <c r="T369" s="217">
        <f>IFERROR(__xludf.DUMMYFUNCTION("""COMPUTED_VALUE"""),10.0)</f>
        <v>10</v>
      </c>
      <c r="U369" s="217">
        <f>IFERROR(__xludf.DUMMYFUNCTION("""COMPUTED_VALUE"""),24.0)</f>
        <v>24</v>
      </c>
      <c r="V369" s="217">
        <f>IFERROR(__xludf.DUMMYFUNCTION("""COMPUTED_VALUE"""),46.0)</f>
        <v>46</v>
      </c>
      <c r="W369" s="217">
        <f>IFERROR(__xludf.DUMMYFUNCTION("""COMPUTED_VALUE"""),64.0)</f>
        <v>64</v>
      </c>
      <c r="X369" s="217">
        <f>IFERROR(__xludf.DUMMYFUNCTION("""COMPUTED_VALUE"""),84.0)</f>
        <v>84</v>
      </c>
      <c r="Y369" s="217"/>
      <c r="Z369" s="217"/>
      <c r="AA369" s="481">
        <f>IFERROR(__xludf.DUMMYFUNCTION("""COMPUTED_VALUE"""),18.8)</f>
        <v>18.8</v>
      </c>
      <c r="AB369" s="481">
        <f>IFERROR(__xludf.DUMMYFUNCTION("""COMPUTED_VALUE"""),100.0)</f>
        <v>100</v>
      </c>
      <c r="AC369" s="481">
        <f>IFERROR(__xludf.DUMMYFUNCTION("""COMPUTED_VALUE"""),72.0)</f>
        <v>72</v>
      </c>
      <c r="AD369" s="481">
        <f>IFERROR(__xludf.DUMMYFUNCTION("""COMPUTED_VALUE"""),100.0)</f>
        <v>100</v>
      </c>
      <c r="AE369" s="481">
        <f>IFERROR(__xludf.DUMMYFUNCTION("""COMPUTED_VALUE"""),72.0)</f>
        <v>72</v>
      </c>
      <c r="AF369" s="481"/>
      <c r="AG369" s="481">
        <f>IFERROR(__xludf.DUMMYFUNCTION("""COMPUTED_VALUE"""),89.0)</f>
        <v>89</v>
      </c>
      <c r="AH369" s="481"/>
      <c r="AI369" s="158"/>
      <c r="AJ369" s="158"/>
      <c r="AK369" s="133">
        <f>IFERROR(__xludf.DUMMYFUNCTION("""COMPUTED_VALUE"""),4.0)</f>
        <v>4</v>
      </c>
      <c r="AL369" s="133">
        <f>IFERROR(__xludf.DUMMYFUNCTION("""COMPUTED_VALUE"""),2.0)</f>
        <v>2</v>
      </c>
      <c r="AM369" s="133">
        <f>IFERROR(__xludf.DUMMYFUNCTION("""COMPUTED_VALUE"""),3.0)</f>
        <v>3</v>
      </c>
      <c r="AN369" s="133" t="str">
        <f>IFERROR(__xludf.DUMMYFUNCTION("""COMPUTED_VALUE"""),"3.5")</f>
        <v>3.5</v>
      </c>
      <c r="AO369" s="133">
        <f>IFERROR(__xludf.DUMMYFUNCTION("""COMPUTED_VALUE"""),3.0)</f>
        <v>3</v>
      </c>
      <c r="AP369" s="155" t="s">
        <v>3706</v>
      </c>
    </row>
    <row r="370">
      <c r="A370" s="155">
        <f>IFERROR(__xludf.DUMMYFUNCTION("""COMPUTED_VALUE"""),132.0)</f>
        <v>132</v>
      </c>
      <c r="B370" s="155" t="str">
        <f>IFERROR(__xludf.DUMMYFUNCTION("""COMPUTED_VALUE"""),"rija23ise@cmrit.ac.in")</f>
        <v>rija23ise@cmrit.ac.in</v>
      </c>
      <c r="C370" s="174" t="str">
        <f>IFERROR(__xludf.DUMMYFUNCTION("""COMPUTED_VALUE"""),"RIYA JAYANTI")</f>
        <v>RIYA JAYANTI</v>
      </c>
      <c r="D370" s="155" t="str">
        <f>IFERROR(__xludf.DUMMYFUNCTION("""COMPUTED_VALUE"""),"1CR23IS136")</f>
        <v>1CR23IS136</v>
      </c>
      <c r="E370" s="563">
        <f>IFERROR(__xludf.DUMMYFUNCTION("""COMPUTED_VALUE"""),8.210222611E9)</f>
        <v>8210222611</v>
      </c>
      <c r="F370" s="155" t="str">
        <f>IFERROR(__xludf.DUMMYFUNCTION("""COMPUTED_VALUE"""),"ISE")</f>
        <v>ISE</v>
      </c>
      <c r="G370" s="158"/>
      <c r="H370" s="559">
        <f>IFERROR(__xludf.DUMMYFUNCTION("""COMPUTED_VALUE"""),75.0)</f>
        <v>75</v>
      </c>
      <c r="I370" s="559">
        <f>IFERROR(__xludf.DUMMYFUNCTION("""COMPUTED_VALUE"""),88.0)</f>
        <v>88</v>
      </c>
      <c r="J370" s="559">
        <f>IFERROR(__xludf.DUMMYFUNCTION("""COMPUTED_VALUE"""),77.0)</f>
        <v>77</v>
      </c>
      <c r="K370" s="559">
        <f>IFERROR(__xludf.DUMMYFUNCTION("""COMPUTED_VALUE"""),70.0)</f>
        <v>70</v>
      </c>
      <c r="L370" s="560">
        <f>IFERROR(__xludf.DUMMYFUNCTION("""COMPUTED_VALUE"""),50.0)</f>
        <v>50</v>
      </c>
      <c r="M370" s="561">
        <f>IFERROR(__xludf.DUMMYFUNCTION("""COMPUTED_VALUE"""),58.0)</f>
        <v>58</v>
      </c>
      <c r="N370" s="561">
        <f>IFERROR(__xludf.DUMMYFUNCTION("""COMPUTED_VALUE"""),56.0)</f>
        <v>56</v>
      </c>
      <c r="O370" s="560"/>
      <c r="P370" s="562">
        <f>IFERROR(__xludf.DUMMYFUNCTION("""COMPUTED_VALUE"""),86.0)</f>
        <v>86</v>
      </c>
      <c r="Q370" s="562">
        <f>IFERROR(__xludf.DUMMYFUNCTION("""COMPUTED_VALUE"""),84.0)</f>
        <v>84</v>
      </c>
      <c r="R370" s="562">
        <f>IFERROR(__xludf.DUMMYFUNCTION("""COMPUTED_VALUE"""),93.0)</f>
        <v>93</v>
      </c>
      <c r="S370" s="562"/>
      <c r="T370" s="217">
        <f>IFERROR(__xludf.DUMMYFUNCTION("""COMPUTED_VALUE"""),12.0)</f>
        <v>12</v>
      </c>
      <c r="U370" s="217">
        <f>IFERROR(__xludf.DUMMYFUNCTION("""COMPUTED_VALUE"""),23.0)</f>
        <v>23</v>
      </c>
      <c r="V370" s="217">
        <f>IFERROR(__xludf.DUMMYFUNCTION("""COMPUTED_VALUE"""),46.0)</f>
        <v>46</v>
      </c>
      <c r="W370" s="217">
        <f>IFERROR(__xludf.DUMMYFUNCTION("""COMPUTED_VALUE"""),56.0)</f>
        <v>56</v>
      </c>
      <c r="X370" s="217">
        <f>IFERROR(__xludf.DUMMYFUNCTION("""COMPUTED_VALUE"""),80.0)</f>
        <v>80</v>
      </c>
      <c r="Y370" s="217"/>
      <c r="Z370" s="217"/>
      <c r="AA370" s="481">
        <f>IFERROR(__xludf.DUMMYFUNCTION("""COMPUTED_VALUE"""),82.0)</f>
        <v>82</v>
      </c>
      <c r="AB370" s="481">
        <f>IFERROR(__xludf.DUMMYFUNCTION("""COMPUTED_VALUE"""),65.0)</f>
        <v>65</v>
      </c>
      <c r="AC370" s="481">
        <f>IFERROR(__xludf.DUMMYFUNCTION("""COMPUTED_VALUE"""),78.0)</f>
        <v>78</v>
      </c>
      <c r="AD370" s="481">
        <f>IFERROR(__xludf.DUMMYFUNCTION("""COMPUTED_VALUE"""),70.0)</f>
        <v>70</v>
      </c>
      <c r="AE370" s="481">
        <f>IFERROR(__xludf.DUMMYFUNCTION("""COMPUTED_VALUE"""),80.0)</f>
        <v>80</v>
      </c>
      <c r="AF370" s="481"/>
      <c r="AG370" s="481">
        <f>IFERROR(__xludf.DUMMYFUNCTION("""COMPUTED_VALUE"""),84.0)</f>
        <v>84</v>
      </c>
      <c r="AH370" s="481"/>
      <c r="AI370" s="158"/>
      <c r="AJ370" s="158"/>
      <c r="AK370" s="133">
        <f>IFERROR(__xludf.DUMMYFUNCTION("""COMPUTED_VALUE"""),4.0)</f>
        <v>4</v>
      </c>
      <c r="AL370" s="133">
        <f>IFERROR(__xludf.DUMMYFUNCTION("""COMPUTED_VALUE"""),3.0)</f>
        <v>3</v>
      </c>
      <c r="AM370" s="133">
        <f>IFERROR(__xludf.DUMMYFUNCTION("""COMPUTED_VALUE"""),3.0)</f>
        <v>3</v>
      </c>
      <c r="AN370" s="133" t="str">
        <f>IFERROR(__xludf.DUMMYFUNCTION("""COMPUTED_VALUE"""),"3.5")</f>
        <v>3.5</v>
      </c>
      <c r="AO370" s="133">
        <f>IFERROR(__xludf.DUMMYFUNCTION("""COMPUTED_VALUE"""),3.0)</f>
        <v>3</v>
      </c>
      <c r="AP370" s="155" t="s">
        <v>3706</v>
      </c>
    </row>
    <row r="371">
      <c r="A371" s="155">
        <f>IFERROR(__xludf.DUMMYFUNCTION("""COMPUTED_VALUE"""),133.0)</f>
        <v>133</v>
      </c>
      <c r="B371" s="155" t="str">
        <f>IFERROR(__xludf.DUMMYFUNCTION("""COMPUTED_VALUE"""),"ro23ise@cmrit.ac.in")</f>
        <v>ro23ise@cmrit.ac.in</v>
      </c>
      <c r="C371" s="174" t="str">
        <f>IFERROR(__xludf.DUMMYFUNCTION("""COMPUTED_VALUE"""),"ROHAN")</f>
        <v>ROHAN</v>
      </c>
      <c r="D371" s="155" t="str">
        <f>IFERROR(__xludf.DUMMYFUNCTION("""COMPUTED_VALUE"""),"1CR23IS137")</f>
        <v>1CR23IS137</v>
      </c>
      <c r="E371" s="563">
        <f>IFERROR(__xludf.DUMMYFUNCTION("""COMPUTED_VALUE"""),7.619317331E9)</f>
        <v>7619317331</v>
      </c>
      <c r="F371" s="155" t="str">
        <f>IFERROR(__xludf.DUMMYFUNCTION("""COMPUTED_VALUE"""),"ISE")</f>
        <v>ISE</v>
      </c>
      <c r="G371" s="158"/>
      <c r="H371" s="559">
        <f>IFERROR(__xludf.DUMMYFUNCTION("""COMPUTED_VALUE"""),70.0)</f>
        <v>70</v>
      </c>
      <c r="I371" s="559">
        <f>IFERROR(__xludf.DUMMYFUNCTION("""COMPUTED_VALUE"""),72.0)</f>
        <v>72</v>
      </c>
      <c r="J371" s="559">
        <f>IFERROR(__xludf.DUMMYFUNCTION("""COMPUTED_VALUE"""),70.0)</f>
        <v>70</v>
      </c>
      <c r="K371" s="559">
        <f>IFERROR(__xludf.DUMMYFUNCTION("""COMPUTED_VALUE"""),70.0)</f>
        <v>70</v>
      </c>
      <c r="L371" s="560">
        <f>IFERROR(__xludf.DUMMYFUNCTION("""COMPUTED_VALUE"""),50.0)</f>
        <v>50</v>
      </c>
      <c r="M371" s="561">
        <f>IFERROR(__xludf.DUMMYFUNCTION("""COMPUTED_VALUE"""),48.0)</f>
        <v>48</v>
      </c>
      <c r="N371" s="561">
        <f>IFERROR(__xludf.DUMMYFUNCTION("""COMPUTED_VALUE"""),50.0)</f>
        <v>50</v>
      </c>
      <c r="O371" s="560"/>
      <c r="P371" s="562">
        <f>IFERROR(__xludf.DUMMYFUNCTION("""COMPUTED_VALUE"""),50.0)</f>
        <v>50</v>
      </c>
      <c r="Q371" s="562">
        <f>IFERROR(__xludf.DUMMYFUNCTION("""COMPUTED_VALUE"""),50.0)</f>
        <v>50</v>
      </c>
      <c r="R371" s="562">
        <f>IFERROR(__xludf.DUMMYFUNCTION("""COMPUTED_VALUE"""),50.0)</f>
        <v>50</v>
      </c>
      <c r="S371" s="562"/>
      <c r="T371" s="217">
        <f>IFERROR(__xludf.DUMMYFUNCTION("""COMPUTED_VALUE"""),22.0)</f>
        <v>22</v>
      </c>
      <c r="U371" s="217">
        <f>IFERROR(__xludf.DUMMYFUNCTION("""COMPUTED_VALUE"""),23.0)</f>
        <v>23</v>
      </c>
      <c r="V371" s="217">
        <f>IFERROR(__xludf.DUMMYFUNCTION("""COMPUTED_VALUE"""),46.0)</f>
        <v>46</v>
      </c>
      <c r="W371" s="217">
        <f>IFERROR(__xludf.DUMMYFUNCTION("""COMPUTED_VALUE"""),56.0)</f>
        <v>56</v>
      </c>
      <c r="X371" s="217">
        <f>IFERROR(__xludf.DUMMYFUNCTION("""COMPUTED_VALUE"""),92.0)</f>
        <v>92</v>
      </c>
      <c r="Y371" s="217"/>
      <c r="Z371" s="217"/>
      <c r="AA371" s="481">
        <f>IFERROR(__xludf.DUMMYFUNCTION("""COMPUTED_VALUE"""),8.0)</f>
        <v>8</v>
      </c>
      <c r="AB371" s="481">
        <f>IFERROR(__xludf.DUMMYFUNCTION("""COMPUTED_VALUE"""),87.0)</f>
        <v>87</v>
      </c>
      <c r="AC371" s="481">
        <f>IFERROR(__xludf.DUMMYFUNCTION("""COMPUTED_VALUE"""),70.0)</f>
        <v>70</v>
      </c>
      <c r="AD371" s="481">
        <f>IFERROR(__xludf.DUMMYFUNCTION("""COMPUTED_VALUE"""),2.0)</f>
        <v>2</v>
      </c>
      <c r="AE371" s="481">
        <f>IFERROR(__xludf.DUMMYFUNCTION("""COMPUTED_VALUE"""),92.0)</f>
        <v>92</v>
      </c>
      <c r="AF371" s="481"/>
      <c r="AG371" s="481">
        <f>IFERROR(__xludf.DUMMYFUNCTION("""COMPUTED_VALUE"""),10.0)</f>
        <v>10</v>
      </c>
      <c r="AH371" s="481"/>
      <c r="AI371" s="158"/>
      <c r="AJ371" s="158"/>
      <c r="AK371" s="133">
        <f>IFERROR(__xludf.DUMMYFUNCTION("""COMPUTED_VALUE"""),4.0)</f>
        <v>4</v>
      </c>
      <c r="AL371" s="133">
        <f>IFERROR(__xludf.DUMMYFUNCTION("""COMPUTED_VALUE"""),1.0)</f>
        <v>1</v>
      </c>
      <c r="AM371" s="133">
        <f>IFERROR(__xludf.DUMMYFUNCTION("""COMPUTED_VALUE"""),3.0)</f>
        <v>3</v>
      </c>
      <c r="AN371" s="133" t="str">
        <f>IFERROR(__xludf.DUMMYFUNCTION("""COMPUTED_VALUE"""),"3.5")</f>
        <v>3.5</v>
      </c>
      <c r="AO371" s="133">
        <f>IFERROR(__xludf.DUMMYFUNCTION("""COMPUTED_VALUE"""),3.0)</f>
        <v>3</v>
      </c>
      <c r="AP371" s="155" t="s">
        <v>3706</v>
      </c>
    </row>
    <row r="372">
      <c r="A372" s="155">
        <f>IFERROR(__xludf.DUMMYFUNCTION("""COMPUTED_VALUE"""),134.0)</f>
        <v>134</v>
      </c>
      <c r="B372" s="155" t="str">
        <f>IFERROR(__xludf.DUMMYFUNCTION("""COMPUTED_VALUE"""),"rogu23ise@cmrit.ac.in")</f>
        <v>rogu23ise@cmrit.ac.in</v>
      </c>
      <c r="C372" s="174" t="str">
        <f>IFERROR(__xludf.DUMMYFUNCTION("""COMPUTED_VALUE"""),"ROSHAN GUPTA")</f>
        <v>ROSHAN GUPTA</v>
      </c>
      <c r="D372" s="155" t="str">
        <f>IFERROR(__xludf.DUMMYFUNCTION("""COMPUTED_VALUE"""),"1CR23IS138")</f>
        <v>1CR23IS138</v>
      </c>
      <c r="E372" s="563">
        <f>IFERROR(__xludf.DUMMYFUNCTION("""COMPUTED_VALUE"""),9.958079531E9)</f>
        <v>9958079531</v>
      </c>
      <c r="F372" s="155" t="str">
        <f>IFERROR(__xludf.DUMMYFUNCTION("""COMPUTED_VALUE"""),"ISE")</f>
        <v>ISE</v>
      </c>
      <c r="G372" s="158"/>
      <c r="H372" s="559">
        <f>IFERROR(__xludf.DUMMYFUNCTION("""COMPUTED_VALUE"""),78.0)</f>
        <v>78</v>
      </c>
      <c r="I372" s="559">
        <f>IFERROR(__xludf.DUMMYFUNCTION("""COMPUTED_VALUE"""),86.0)</f>
        <v>86</v>
      </c>
      <c r="J372" s="559">
        <f>IFERROR(__xludf.DUMMYFUNCTION("""COMPUTED_VALUE"""),70.0)</f>
        <v>70</v>
      </c>
      <c r="K372" s="559">
        <f>IFERROR(__xludf.DUMMYFUNCTION("""COMPUTED_VALUE"""),70.0)</f>
        <v>70</v>
      </c>
      <c r="L372" s="560">
        <f>IFERROR(__xludf.DUMMYFUNCTION("""COMPUTED_VALUE"""),50.0)</f>
        <v>50</v>
      </c>
      <c r="M372" s="561">
        <f>IFERROR(__xludf.DUMMYFUNCTION("""COMPUTED_VALUE"""),26.0)</f>
        <v>26</v>
      </c>
      <c r="N372" s="561">
        <f>IFERROR(__xludf.DUMMYFUNCTION("""COMPUTED_VALUE"""),13.0)</f>
        <v>13</v>
      </c>
      <c r="O372" s="560"/>
      <c r="P372" s="562">
        <f>IFERROR(__xludf.DUMMYFUNCTION("""COMPUTED_VALUE"""),50.0)</f>
        <v>50</v>
      </c>
      <c r="Q372" s="562">
        <f>IFERROR(__xludf.DUMMYFUNCTION("""COMPUTED_VALUE"""),50.0)</f>
        <v>50</v>
      </c>
      <c r="R372" s="562">
        <f>IFERROR(__xludf.DUMMYFUNCTION("""COMPUTED_VALUE"""),50.0)</f>
        <v>50</v>
      </c>
      <c r="S372" s="562"/>
      <c r="T372" s="217">
        <f>IFERROR(__xludf.DUMMYFUNCTION("""COMPUTED_VALUE"""),11.0)</f>
        <v>11</v>
      </c>
      <c r="U372" s="217">
        <f>IFERROR(__xludf.DUMMYFUNCTION("""COMPUTED_VALUE"""),23.0)</f>
        <v>23</v>
      </c>
      <c r="V372" s="217">
        <f>IFERROR(__xludf.DUMMYFUNCTION("""COMPUTED_VALUE"""),48.0)</f>
        <v>48</v>
      </c>
      <c r="W372" s="217"/>
      <c r="X372" s="217">
        <f>IFERROR(__xludf.DUMMYFUNCTION("""COMPUTED_VALUE"""),72.0)</f>
        <v>72</v>
      </c>
      <c r="Y372" s="217"/>
      <c r="Z372" s="217"/>
      <c r="AA372" s="481">
        <f>IFERROR(__xludf.DUMMYFUNCTION("""COMPUTED_VALUE"""),0.0)</f>
        <v>0</v>
      </c>
      <c r="AB372" s="481">
        <f>IFERROR(__xludf.DUMMYFUNCTION("""COMPUTED_VALUE"""),92.0)</f>
        <v>92</v>
      </c>
      <c r="AC372" s="481">
        <f>IFERROR(__xludf.DUMMYFUNCTION("""COMPUTED_VALUE"""),67.0)</f>
        <v>67</v>
      </c>
      <c r="AD372" s="481">
        <f>IFERROR(__xludf.DUMMYFUNCTION("""COMPUTED_VALUE"""),0.0)</f>
        <v>0</v>
      </c>
      <c r="AE372" s="481">
        <f>IFERROR(__xludf.DUMMYFUNCTION("""COMPUTED_VALUE"""),10.0)</f>
        <v>10</v>
      </c>
      <c r="AF372" s="481"/>
      <c r="AG372" s="481">
        <f>IFERROR(__xludf.DUMMYFUNCTION("""COMPUTED_VALUE"""),10.0)</f>
        <v>10</v>
      </c>
      <c r="AH372" s="481"/>
      <c r="AI372" s="158"/>
      <c r="AJ372" s="158"/>
      <c r="AK372" s="133">
        <f>IFERROR(__xludf.DUMMYFUNCTION("""COMPUTED_VALUE"""),4.0)</f>
        <v>4</v>
      </c>
      <c r="AL372" s="133">
        <f>IFERROR(__xludf.DUMMYFUNCTION("""COMPUTED_VALUE"""),1.0)</f>
        <v>1</v>
      </c>
      <c r="AM372" s="133">
        <f>IFERROR(__xludf.DUMMYFUNCTION("""COMPUTED_VALUE"""),2.0)</f>
        <v>2</v>
      </c>
      <c r="AN372" s="133" t="str">
        <f>IFERROR(__xludf.DUMMYFUNCTION("""COMPUTED_VALUE"""),"3")</f>
        <v>3</v>
      </c>
      <c r="AO372" s="133">
        <f>IFERROR(__xludf.DUMMYFUNCTION("""COMPUTED_VALUE"""),3.0)</f>
        <v>3</v>
      </c>
      <c r="AP372" s="155" t="s">
        <v>3706</v>
      </c>
    </row>
    <row r="373">
      <c r="A373" s="155">
        <f>IFERROR(__xludf.DUMMYFUNCTION("""COMPUTED_VALUE"""),135.0)</f>
        <v>135</v>
      </c>
      <c r="B373" s="155" t="str">
        <f>IFERROR(__xludf.DUMMYFUNCTION("""COMPUTED_VALUE"""),"ru23ise@cmrit.ac.in")</f>
        <v>ru23ise@cmrit.ac.in</v>
      </c>
      <c r="C373" s="174" t="str">
        <f>IFERROR(__xludf.DUMMYFUNCTION("""COMPUTED_VALUE"""),"RUDRAKSH")</f>
        <v>RUDRAKSH</v>
      </c>
      <c r="D373" s="155" t="str">
        <f>IFERROR(__xludf.DUMMYFUNCTION("""COMPUTED_VALUE"""),"1CR23IS139")</f>
        <v>1CR23IS139</v>
      </c>
      <c r="E373" s="563">
        <f>IFERROR(__xludf.DUMMYFUNCTION("""COMPUTED_VALUE"""),9.234248466E9)</f>
        <v>9234248466</v>
      </c>
      <c r="F373" s="155" t="str">
        <f>IFERROR(__xludf.DUMMYFUNCTION("""COMPUTED_VALUE"""),"ISE")</f>
        <v>ISE</v>
      </c>
      <c r="G373" s="158"/>
      <c r="H373" s="559">
        <f>IFERROR(__xludf.DUMMYFUNCTION("""COMPUTED_VALUE"""),76.0)</f>
        <v>76</v>
      </c>
      <c r="I373" s="559">
        <f>IFERROR(__xludf.DUMMYFUNCTION("""COMPUTED_VALUE"""),88.0)</f>
        <v>88</v>
      </c>
      <c r="J373" s="559">
        <f>IFERROR(__xludf.DUMMYFUNCTION("""COMPUTED_VALUE"""),70.0)</f>
        <v>70</v>
      </c>
      <c r="K373" s="559">
        <f>IFERROR(__xludf.DUMMYFUNCTION("""COMPUTED_VALUE"""),79.0)</f>
        <v>79</v>
      </c>
      <c r="L373" s="560">
        <f>IFERROR(__xludf.DUMMYFUNCTION("""COMPUTED_VALUE"""),63.0)</f>
        <v>63</v>
      </c>
      <c r="M373" s="561">
        <f>IFERROR(__xludf.DUMMYFUNCTION("""COMPUTED_VALUE"""),68.0)</f>
        <v>68</v>
      </c>
      <c r="N373" s="561">
        <f>IFERROR(__xludf.DUMMYFUNCTION("""COMPUTED_VALUE"""),69.0)</f>
        <v>69</v>
      </c>
      <c r="O373" s="560"/>
      <c r="P373" s="562">
        <f>IFERROR(__xludf.DUMMYFUNCTION("""COMPUTED_VALUE"""),50.0)</f>
        <v>50</v>
      </c>
      <c r="Q373" s="562">
        <f>IFERROR(__xludf.DUMMYFUNCTION("""COMPUTED_VALUE"""),72.0)</f>
        <v>72</v>
      </c>
      <c r="R373" s="562">
        <f>IFERROR(__xludf.DUMMYFUNCTION("""COMPUTED_VALUE"""),95.0)</f>
        <v>95</v>
      </c>
      <c r="S373" s="562"/>
      <c r="T373" s="217">
        <f>IFERROR(__xludf.DUMMYFUNCTION("""COMPUTED_VALUE"""),20.0)</f>
        <v>20</v>
      </c>
      <c r="U373" s="217">
        <f>IFERROR(__xludf.DUMMYFUNCTION("""COMPUTED_VALUE"""),10.0)</f>
        <v>10</v>
      </c>
      <c r="V373" s="217">
        <f>IFERROR(__xludf.DUMMYFUNCTION("""COMPUTED_VALUE"""),42.0)</f>
        <v>42</v>
      </c>
      <c r="W373" s="217">
        <f>IFERROR(__xludf.DUMMYFUNCTION("""COMPUTED_VALUE"""),56.0)</f>
        <v>56</v>
      </c>
      <c r="X373" s="217">
        <f>IFERROR(__xludf.DUMMYFUNCTION("""COMPUTED_VALUE"""),72.0)</f>
        <v>72</v>
      </c>
      <c r="Y373" s="217"/>
      <c r="Z373" s="217"/>
      <c r="AA373" s="481">
        <f>IFERROR(__xludf.DUMMYFUNCTION("""COMPUTED_VALUE"""),70.0)</f>
        <v>70</v>
      </c>
      <c r="AB373" s="481">
        <f>IFERROR(__xludf.DUMMYFUNCTION("""COMPUTED_VALUE"""),50.0)</f>
        <v>50</v>
      </c>
      <c r="AC373" s="481">
        <f>IFERROR(__xludf.DUMMYFUNCTION("""COMPUTED_VALUE"""),99.0)</f>
        <v>99</v>
      </c>
      <c r="AD373" s="481">
        <f>IFERROR(__xludf.DUMMYFUNCTION("""COMPUTED_VALUE"""),60.0)</f>
        <v>60</v>
      </c>
      <c r="AE373" s="481">
        <f>IFERROR(__xludf.DUMMYFUNCTION("""COMPUTED_VALUE"""),78.0)</f>
        <v>78</v>
      </c>
      <c r="AF373" s="481"/>
      <c r="AG373" s="481">
        <f>IFERROR(__xludf.DUMMYFUNCTION("""COMPUTED_VALUE"""),89.0)</f>
        <v>89</v>
      </c>
      <c r="AH373" s="481"/>
      <c r="AI373" s="158"/>
      <c r="AJ373" s="158"/>
      <c r="AK373" s="133">
        <f>IFERROR(__xludf.DUMMYFUNCTION("""COMPUTED_VALUE"""),4.0)</f>
        <v>4</v>
      </c>
      <c r="AL373" s="133">
        <f>IFERROR(__xludf.DUMMYFUNCTION("""COMPUTED_VALUE"""),3.0)</f>
        <v>3</v>
      </c>
      <c r="AM373" s="133">
        <f>IFERROR(__xludf.DUMMYFUNCTION("""COMPUTED_VALUE"""),3.0)</f>
        <v>3</v>
      </c>
      <c r="AN373" s="133" t="str">
        <f>IFERROR(__xludf.DUMMYFUNCTION("""COMPUTED_VALUE"""),"3.5")</f>
        <v>3.5</v>
      </c>
      <c r="AO373" s="133">
        <f>IFERROR(__xludf.DUMMYFUNCTION("""COMPUTED_VALUE"""),3.0)</f>
        <v>3</v>
      </c>
      <c r="AP373" s="155" t="s">
        <v>3706</v>
      </c>
    </row>
    <row r="374">
      <c r="A374" s="155">
        <f>IFERROR(__xludf.DUMMYFUNCTION("""COMPUTED_VALUE"""),136.0)</f>
        <v>136</v>
      </c>
      <c r="B374" s="155" t="str">
        <f>IFERROR(__xludf.DUMMYFUNCTION("""COMPUTED_VALUE"""),"saag23ise@cmrit.ac.in")</f>
        <v>saag23ise@cmrit.ac.in</v>
      </c>
      <c r="C374" s="174" t="str">
        <f>IFERROR(__xludf.DUMMYFUNCTION("""COMPUTED_VALUE"""),"SADHURAM AGARWAL")</f>
        <v>SADHURAM AGARWAL</v>
      </c>
      <c r="D374" s="155" t="str">
        <f>IFERROR(__xludf.DUMMYFUNCTION("""COMPUTED_VALUE"""),"1CR23IS140")</f>
        <v>1CR23IS140</v>
      </c>
      <c r="E374" s="563">
        <f>IFERROR(__xludf.DUMMYFUNCTION("""COMPUTED_VALUE"""),9.87484013E9)</f>
        <v>9874840130</v>
      </c>
      <c r="F374" s="155" t="str">
        <f>IFERROR(__xludf.DUMMYFUNCTION("""COMPUTED_VALUE"""),"ISE")</f>
        <v>ISE</v>
      </c>
      <c r="G374" s="158"/>
      <c r="H374" s="559">
        <f>IFERROR(__xludf.DUMMYFUNCTION("""COMPUTED_VALUE"""),79.0)</f>
        <v>79</v>
      </c>
      <c r="I374" s="559">
        <f>IFERROR(__xludf.DUMMYFUNCTION("""COMPUTED_VALUE"""),88.0)</f>
        <v>88</v>
      </c>
      <c r="J374" s="559">
        <f>IFERROR(__xludf.DUMMYFUNCTION("""COMPUTED_VALUE"""),70.0)</f>
        <v>70</v>
      </c>
      <c r="K374" s="559">
        <f>IFERROR(__xludf.DUMMYFUNCTION("""COMPUTED_VALUE"""),79.0)</f>
        <v>79</v>
      </c>
      <c r="L374" s="560">
        <f>IFERROR(__xludf.DUMMYFUNCTION("""COMPUTED_VALUE"""),50.0)</f>
        <v>50</v>
      </c>
      <c r="M374" s="561">
        <f>IFERROR(__xludf.DUMMYFUNCTION("""COMPUTED_VALUE"""),65.0)</f>
        <v>65</v>
      </c>
      <c r="N374" s="561">
        <f>IFERROR(__xludf.DUMMYFUNCTION("""COMPUTED_VALUE"""),64.0)</f>
        <v>64</v>
      </c>
      <c r="O374" s="560"/>
      <c r="P374" s="562">
        <f>IFERROR(__xludf.DUMMYFUNCTION("""COMPUTED_VALUE"""),81.0)</f>
        <v>81</v>
      </c>
      <c r="Q374" s="562">
        <f>IFERROR(__xludf.DUMMYFUNCTION("""COMPUTED_VALUE"""),72.0)</f>
        <v>72</v>
      </c>
      <c r="R374" s="562">
        <f>IFERROR(__xludf.DUMMYFUNCTION("""COMPUTED_VALUE"""),89.0)</f>
        <v>89</v>
      </c>
      <c r="S374" s="562"/>
      <c r="T374" s="217">
        <f>IFERROR(__xludf.DUMMYFUNCTION("""COMPUTED_VALUE"""),20.0)</f>
        <v>20</v>
      </c>
      <c r="U374" s="217">
        <f>IFERROR(__xludf.DUMMYFUNCTION("""COMPUTED_VALUE"""),21.0)</f>
        <v>21</v>
      </c>
      <c r="V374" s="217">
        <f>IFERROR(__xludf.DUMMYFUNCTION("""COMPUTED_VALUE"""),46.0)</f>
        <v>46</v>
      </c>
      <c r="W374" s="217">
        <f>IFERROR(__xludf.DUMMYFUNCTION("""COMPUTED_VALUE"""),76.0)</f>
        <v>76</v>
      </c>
      <c r="X374" s="217">
        <f>IFERROR(__xludf.DUMMYFUNCTION("""COMPUTED_VALUE"""),72.0)</f>
        <v>72</v>
      </c>
      <c r="Y374" s="217"/>
      <c r="Z374" s="217"/>
      <c r="AA374" s="481">
        <f>IFERROR(__xludf.DUMMYFUNCTION("""COMPUTED_VALUE"""),94.0)</f>
        <v>94</v>
      </c>
      <c r="AB374" s="481">
        <f>IFERROR(__xludf.DUMMYFUNCTION("""COMPUTED_VALUE"""),100.0)</f>
        <v>100</v>
      </c>
      <c r="AC374" s="481">
        <f>IFERROR(__xludf.DUMMYFUNCTION("""COMPUTED_VALUE"""),97.0)</f>
        <v>97</v>
      </c>
      <c r="AD374" s="481">
        <f>IFERROR(__xludf.DUMMYFUNCTION("""COMPUTED_VALUE"""),73.0)</f>
        <v>73</v>
      </c>
      <c r="AE374" s="481">
        <f>IFERROR(__xludf.DUMMYFUNCTION("""COMPUTED_VALUE"""),77.0)</f>
        <v>77</v>
      </c>
      <c r="AF374" s="481"/>
      <c r="AG374" s="481">
        <f>IFERROR(__xludf.DUMMYFUNCTION("""COMPUTED_VALUE"""),91.0)</f>
        <v>91</v>
      </c>
      <c r="AH374" s="481"/>
      <c r="AI374" s="158"/>
      <c r="AJ374" s="158"/>
      <c r="AK374" s="133">
        <f>IFERROR(__xludf.DUMMYFUNCTION("""COMPUTED_VALUE"""),4.0)</f>
        <v>4</v>
      </c>
      <c r="AL374" s="133">
        <f>IFERROR(__xludf.DUMMYFUNCTION("""COMPUTED_VALUE"""),3.0)</f>
        <v>3</v>
      </c>
      <c r="AM374" s="133">
        <f>IFERROR(__xludf.DUMMYFUNCTION("""COMPUTED_VALUE"""),3.0)</f>
        <v>3</v>
      </c>
      <c r="AN374" s="133" t="str">
        <f>IFERROR(__xludf.DUMMYFUNCTION("""COMPUTED_VALUE"""),"3.5")</f>
        <v>3.5</v>
      </c>
      <c r="AO374" s="133">
        <f>IFERROR(__xludf.DUMMYFUNCTION("""COMPUTED_VALUE"""),3.0)</f>
        <v>3</v>
      </c>
      <c r="AP374" s="155" t="s">
        <v>3706</v>
      </c>
    </row>
    <row r="375">
      <c r="A375" s="155">
        <f>IFERROR(__xludf.DUMMYFUNCTION("""COMPUTED_VALUE"""),137.0)</f>
        <v>137</v>
      </c>
      <c r="B375" s="155" t="str">
        <f>IFERROR(__xludf.DUMMYFUNCTION("""COMPUTED_VALUE"""),"sas23ise@cmrit.ac.in")</f>
        <v>sas23ise@cmrit.ac.in</v>
      </c>
      <c r="C375" s="174" t="str">
        <f>IFERROR(__xludf.DUMMYFUNCTION("""COMPUTED_VALUE"""),"SAGAR S")</f>
        <v>SAGAR S</v>
      </c>
      <c r="D375" s="155" t="str">
        <f>IFERROR(__xludf.DUMMYFUNCTION("""COMPUTED_VALUE"""),"1CR23IS141")</f>
        <v>1CR23IS141</v>
      </c>
      <c r="E375" s="563">
        <f>IFERROR(__xludf.DUMMYFUNCTION("""COMPUTED_VALUE"""),9.019483035E9)</f>
        <v>9019483035</v>
      </c>
      <c r="F375" s="155" t="str">
        <f>IFERROR(__xludf.DUMMYFUNCTION("""COMPUTED_VALUE"""),"ISE")</f>
        <v>ISE</v>
      </c>
      <c r="G375" s="158"/>
      <c r="H375" s="559">
        <f>IFERROR(__xludf.DUMMYFUNCTION("""COMPUTED_VALUE"""),72.0)</f>
        <v>72</v>
      </c>
      <c r="I375" s="559">
        <f>IFERROR(__xludf.DUMMYFUNCTION("""COMPUTED_VALUE"""),80.0)</f>
        <v>80</v>
      </c>
      <c r="J375" s="559">
        <f>IFERROR(__xludf.DUMMYFUNCTION("""COMPUTED_VALUE"""),71.0)</f>
        <v>71</v>
      </c>
      <c r="K375" s="559">
        <f>IFERROR(__xludf.DUMMYFUNCTION("""COMPUTED_VALUE"""),70.0)</f>
        <v>70</v>
      </c>
      <c r="L375" s="560">
        <f>IFERROR(__xludf.DUMMYFUNCTION("""COMPUTED_VALUE"""),50.0)</f>
        <v>50</v>
      </c>
      <c r="M375" s="561">
        <f>IFERROR(__xludf.DUMMYFUNCTION("""COMPUTED_VALUE"""),42.0)</f>
        <v>42</v>
      </c>
      <c r="N375" s="561">
        <f>IFERROR(__xludf.DUMMYFUNCTION("""COMPUTED_VALUE"""),57.0)</f>
        <v>57</v>
      </c>
      <c r="O375" s="560"/>
      <c r="P375" s="562">
        <f>IFERROR(__xludf.DUMMYFUNCTION("""COMPUTED_VALUE"""),68.0)</f>
        <v>68</v>
      </c>
      <c r="Q375" s="562">
        <f>IFERROR(__xludf.DUMMYFUNCTION("""COMPUTED_VALUE"""),60.0)</f>
        <v>60</v>
      </c>
      <c r="R375" s="562">
        <f>IFERROR(__xludf.DUMMYFUNCTION("""COMPUTED_VALUE"""),89.0)</f>
        <v>89</v>
      </c>
      <c r="S375" s="562"/>
      <c r="T375" s="217">
        <f>IFERROR(__xludf.DUMMYFUNCTION("""COMPUTED_VALUE"""),13.0)</f>
        <v>13</v>
      </c>
      <c r="U375" s="217">
        <f>IFERROR(__xludf.DUMMYFUNCTION("""COMPUTED_VALUE"""),23.0)</f>
        <v>23</v>
      </c>
      <c r="V375" s="217">
        <f>IFERROR(__xludf.DUMMYFUNCTION("""COMPUTED_VALUE"""),46.0)</f>
        <v>46</v>
      </c>
      <c r="W375" s="217">
        <f>IFERROR(__xludf.DUMMYFUNCTION("""COMPUTED_VALUE"""),72.0)</f>
        <v>72</v>
      </c>
      <c r="X375" s="217">
        <f>IFERROR(__xludf.DUMMYFUNCTION("""COMPUTED_VALUE"""),84.0)</f>
        <v>84</v>
      </c>
      <c r="Y375" s="217"/>
      <c r="Z375" s="217"/>
      <c r="AA375" s="481">
        <f>IFERROR(__xludf.DUMMYFUNCTION("""COMPUTED_VALUE"""),24.0)</f>
        <v>24</v>
      </c>
      <c r="AB375" s="481">
        <f>IFERROR(__xludf.DUMMYFUNCTION("""COMPUTED_VALUE"""),95.0)</f>
        <v>95</v>
      </c>
      <c r="AC375" s="481">
        <f>IFERROR(__xludf.DUMMYFUNCTION("""COMPUTED_VALUE"""),76.0)</f>
        <v>76</v>
      </c>
      <c r="AD375" s="481">
        <f>IFERROR(__xludf.DUMMYFUNCTION("""COMPUTED_VALUE"""),100.0)</f>
        <v>100</v>
      </c>
      <c r="AE375" s="481">
        <f>IFERROR(__xludf.DUMMYFUNCTION("""COMPUTED_VALUE"""),73.0)</f>
        <v>73</v>
      </c>
      <c r="AF375" s="481"/>
      <c r="AG375" s="481">
        <f>IFERROR(__xludf.DUMMYFUNCTION("""COMPUTED_VALUE"""),81.0)</f>
        <v>81</v>
      </c>
      <c r="AH375" s="481"/>
      <c r="AI375" s="158"/>
      <c r="AJ375" s="158"/>
      <c r="AK375" s="133">
        <f>IFERROR(__xludf.DUMMYFUNCTION("""COMPUTED_VALUE"""),4.0)</f>
        <v>4</v>
      </c>
      <c r="AL375" s="133">
        <f>IFERROR(__xludf.DUMMYFUNCTION("""COMPUTED_VALUE"""),1.0)</f>
        <v>1</v>
      </c>
      <c r="AM375" s="133">
        <f>IFERROR(__xludf.DUMMYFUNCTION("""COMPUTED_VALUE"""),3.0)</f>
        <v>3</v>
      </c>
      <c r="AN375" s="133" t="str">
        <f>IFERROR(__xludf.DUMMYFUNCTION("""COMPUTED_VALUE"""),"3.5")</f>
        <v>3.5</v>
      </c>
      <c r="AO375" s="133">
        <f>IFERROR(__xludf.DUMMYFUNCTION("""COMPUTED_VALUE"""),3.0)</f>
        <v>3</v>
      </c>
      <c r="AP375" s="155" t="s">
        <v>3706</v>
      </c>
    </row>
    <row r="376">
      <c r="A376" s="155">
        <f>IFERROR(__xludf.DUMMYFUNCTION("""COMPUTED_VALUE"""),138.0)</f>
        <v>138</v>
      </c>
      <c r="B376" s="155" t="str">
        <f>IFERROR(__xludf.DUMMYFUNCTION("""COMPUTED_VALUE"""),"saku23ise@cmrit.ac.in")</f>
        <v>saku23ise@cmrit.ac.in</v>
      </c>
      <c r="C376" s="174" t="str">
        <f>IFERROR(__xludf.DUMMYFUNCTION("""COMPUTED_VALUE"""),"SAKSHAM KUMAR JHA")</f>
        <v>SAKSHAM KUMAR JHA</v>
      </c>
      <c r="D376" s="155" t="str">
        <f>IFERROR(__xludf.DUMMYFUNCTION("""COMPUTED_VALUE"""),"1CR23IS142")</f>
        <v>1CR23IS142</v>
      </c>
      <c r="E376" s="563">
        <f>IFERROR(__xludf.DUMMYFUNCTION("""COMPUTED_VALUE"""),8.252736987E9)</f>
        <v>8252736987</v>
      </c>
      <c r="F376" s="155" t="str">
        <f>IFERROR(__xludf.DUMMYFUNCTION("""COMPUTED_VALUE"""),"ISE")</f>
        <v>ISE</v>
      </c>
      <c r="G376" s="158"/>
      <c r="H376" s="559">
        <f>IFERROR(__xludf.DUMMYFUNCTION("""COMPUTED_VALUE"""),74.0)</f>
        <v>74</v>
      </c>
      <c r="I376" s="559">
        <f>IFERROR(__xludf.DUMMYFUNCTION("""COMPUTED_VALUE"""),83.0)</f>
        <v>83</v>
      </c>
      <c r="J376" s="559">
        <f>IFERROR(__xludf.DUMMYFUNCTION("""COMPUTED_VALUE"""),70.0)</f>
        <v>70</v>
      </c>
      <c r="K376" s="559">
        <f>IFERROR(__xludf.DUMMYFUNCTION("""COMPUTED_VALUE"""),70.0)</f>
        <v>70</v>
      </c>
      <c r="L376" s="560">
        <f>IFERROR(__xludf.DUMMYFUNCTION("""COMPUTED_VALUE"""),50.0)</f>
        <v>50</v>
      </c>
      <c r="M376" s="561">
        <f>IFERROR(__xludf.DUMMYFUNCTION("""COMPUTED_VALUE"""),35.0)</f>
        <v>35</v>
      </c>
      <c r="N376" s="561">
        <f>IFERROR(__xludf.DUMMYFUNCTION("""COMPUTED_VALUE"""),31.0)</f>
        <v>31</v>
      </c>
      <c r="O376" s="560"/>
      <c r="P376" s="562">
        <f>IFERROR(__xludf.DUMMYFUNCTION("""COMPUTED_VALUE"""),0.0)</f>
        <v>0</v>
      </c>
      <c r="Q376" s="562">
        <f>IFERROR(__xludf.DUMMYFUNCTION("""COMPUTED_VALUE"""),65.0)</f>
        <v>65</v>
      </c>
      <c r="R376" s="562">
        <f>IFERROR(__xludf.DUMMYFUNCTION("""COMPUTED_VALUE"""),50.0)</f>
        <v>50</v>
      </c>
      <c r="S376" s="562"/>
      <c r="T376" s="217">
        <f>IFERROR(__xludf.DUMMYFUNCTION("""COMPUTED_VALUE"""),19.0)</f>
        <v>19</v>
      </c>
      <c r="U376" s="217">
        <f>IFERROR(__xludf.DUMMYFUNCTION("""COMPUTED_VALUE"""),17.0)</f>
        <v>17</v>
      </c>
      <c r="V376" s="217">
        <f>IFERROR(__xludf.DUMMYFUNCTION("""COMPUTED_VALUE"""),44.0)</f>
        <v>44</v>
      </c>
      <c r="W376" s="217"/>
      <c r="X376" s="217">
        <f>IFERROR(__xludf.DUMMYFUNCTION("""COMPUTED_VALUE"""),84.0)</f>
        <v>84</v>
      </c>
      <c r="Y376" s="217"/>
      <c r="Z376" s="217"/>
      <c r="AA376" s="481">
        <f>IFERROR(__xludf.DUMMYFUNCTION("""COMPUTED_VALUE"""),0.0)</f>
        <v>0</v>
      </c>
      <c r="AB376" s="481">
        <f>IFERROR(__xludf.DUMMYFUNCTION("""COMPUTED_VALUE"""),100.0)</f>
        <v>100</v>
      </c>
      <c r="AC376" s="481">
        <f>IFERROR(__xludf.DUMMYFUNCTION("""COMPUTED_VALUE"""),0.0)</f>
        <v>0</v>
      </c>
      <c r="AD376" s="481">
        <f>IFERROR(__xludf.DUMMYFUNCTION("""COMPUTED_VALUE"""),80.0)</f>
        <v>80</v>
      </c>
      <c r="AE376" s="481">
        <f>IFERROR(__xludf.DUMMYFUNCTION("""COMPUTED_VALUE"""),70.0)</f>
        <v>70</v>
      </c>
      <c r="AF376" s="481"/>
      <c r="AG376" s="481">
        <f>IFERROR(__xludf.DUMMYFUNCTION("""COMPUTED_VALUE"""),0.0)</f>
        <v>0</v>
      </c>
      <c r="AH376" s="481"/>
      <c r="AI376" s="158"/>
      <c r="AJ376" s="158"/>
      <c r="AK376" s="133">
        <f>IFERROR(__xludf.DUMMYFUNCTION("""COMPUTED_VALUE"""),4.0)</f>
        <v>4</v>
      </c>
      <c r="AL376" s="133">
        <f>IFERROR(__xludf.DUMMYFUNCTION("""COMPUTED_VALUE"""),1.0)</f>
        <v>1</v>
      </c>
      <c r="AM376" s="133">
        <f>IFERROR(__xludf.DUMMYFUNCTION("""COMPUTED_VALUE"""),2.0)</f>
        <v>2</v>
      </c>
      <c r="AN376" s="133" t="str">
        <f>IFERROR(__xludf.DUMMYFUNCTION("""COMPUTED_VALUE"""),"3.5")</f>
        <v>3.5</v>
      </c>
      <c r="AO376" s="133">
        <f>IFERROR(__xludf.DUMMYFUNCTION("""COMPUTED_VALUE"""),0.0)</f>
        <v>0</v>
      </c>
      <c r="AP376" s="155" t="s">
        <v>3706</v>
      </c>
    </row>
    <row r="377">
      <c r="A377" s="155">
        <f>IFERROR(__xludf.DUMMYFUNCTION("""COMPUTED_VALUE"""),139.0)</f>
        <v>139</v>
      </c>
      <c r="B377" s="155" t="str">
        <f>IFERROR(__xludf.DUMMYFUNCTION("""COMPUTED_VALUE"""),"samku23ise@cmrit.ac.in")</f>
        <v>samku23ise@cmrit.ac.in</v>
      </c>
      <c r="C377" s="174" t="str">
        <f>IFERROR(__xludf.DUMMYFUNCTION("""COMPUTED_VALUE"""),"SAMEER KUMAR")</f>
        <v>SAMEER KUMAR</v>
      </c>
      <c r="D377" s="155" t="str">
        <f>IFERROR(__xludf.DUMMYFUNCTION("""COMPUTED_VALUE"""),"1CR23IS143")</f>
        <v>1CR23IS143</v>
      </c>
      <c r="E377" s="563">
        <f>IFERROR(__xludf.DUMMYFUNCTION("""COMPUTED_VALUE"""),9.508390962E9)</f>
        <v>9508390962</v>
      </c>
      <c r="F377" s="155" t="str">
        <f>IFERROR(__xludf.DUMMYFUNCTION("""COMPUTED_VALUE"""),"ISE")</f>
        <v>ISE</v>
      </c>
      <c r="G377" s="158"/>
      <c r="H377" s="559">
        <f>IFERROR(__xludf.DUMMYFUNCTION("""COMPUTED_VALUE"""),70.0)</f>
        <v>70</v>
      </c>
      <c r="I377" s="559">
        <f>IFERROR(__xludf.DUMMYFUNCTION("""COMPUTED_VALUE"""),81.0)</f>
        <v>81</v>
      </c>
      <c r="J377" s="559">
        <f>IFERROR(__xludf.DUMMYFUNCTION("""COMPUTED_VALUE"""),70.0)</f>
        <v>70</v>
      </c>
      <c r="K377" s="559">
        <f>IFERROR(__xludf.DUMMYFUNCTION("""COMPUTED_VALUE"""),70.0)</f>
        <v>70</v>
      </c>
      <c r="L377" s="560">
        <f>IFERROR(__xludf.DUMMYFUNCTION("""COMPUTED_VALUE"""),55.0)</f>
        <v>55</v>
      </c>
      <c r="M377" s="561">
        <f>IFERROR(__xludf.DUMMYFUNCTION("""COMPUTED_VALUE"""),66.0)</f>
        <v>66</v>
      </c>
      <c r="N377" s="561">
        <f>IFERROR(__xludf.DUMMYFUNCTION("""COMPUTED_VALUE"""),73.0)</f>
        <v>73</v>
      </c>
      <c r="O377" s="560"/>
      <c r="P377" s="562">
        <f>IFERROR(__xludf.DUMMYFUNCTION("""COMPUTED_VALUE"""),81.0)</f>
        <v>81</v>
      </c>
      <c r="Q377" s="562">
        <f>IFERROR(__xludf.DUMMYFUNCTION("""COMPUTED_VALUE"""),72.0)</f>
        <v>72</v>
      </c>
      <c r="R377" s="562">
        <f>IFERROR(__xludf.DUMMYFUNCTION("""COMPUTED_VALUE"""),91.0)</f>
        <v>91</v>
      </c>
      <c r="S377" s="562"/>
      <c r="T377" s="217">
        <f>IFERROR(__xludf.DUMMYFUNCTION("""COMPUTED_VALUE"""),10.0)</f>
        <v>10</v>
      </c>
      <c r="U377" s="217">
        <f>IFERROR(__xludf.DUMMYFUNCTION("""COMPUTED_VALUE"""),24.0)</f>
        <v>24</v>
      </c>
      <c r="V377" s="217">
        <f>IFERROR(__xludf.DUMMYFUNCTION("""COMPUTED_VALUE"""),46.0)</f>
        <v>46</v>
      </c>
      <c r="W377" s="217">
        <f>IFERROR(__xludf.DUMMYFUNCTION("""COMPUTED_VALUE"""),64.0)</f>
        <v>64</v>
      </c>
      <c r="X377" s="217">
        <f>IFERROR(__xludf.DUMMYFUNCTION("""COMPUTED_VALUE"""),80.0)</f>
        <v>80</v>
      </c>
      <c r="Y377" s="217"/>
      <c r="Z377" s="217"/>
      <c r="AA377" s="481">
        <f>IFERROR(__xludf.DUMMYFUNCTION("""COMPUTED_VALUE"""),14.0)</f>
        <v>14</v>
      </c>
      <c r="AB377" s="481">
        <f>IFERROR(__xludf.DUMMYFUNCTION("""COMPUTED_VALUE"""),100.0)</f>
        <v>100</v>
      </c>
      <c r="AC377" s="481">
        <f>IFERROR(__xludf.DUMMYFUNCTION("""COMPUTED_VALUE"""),74.0)</f>
        <v>74</v>
      </c>
      <c r="AD377" s="481">
        <f>IFERROR(__xludf.DUMMYFUNCTION("""COMPUTED_VALUE"""),62.0)</f>
        <v>62</v>
      </c>
      <c r="AE377" s="481">
        <f>IFERROR(__xludf.DUMMYFUNCTION("""COMPUTED_VALUE"""),72.0)</f>
        <v>72</v>
      </c>
      <c r="AF377" s="481"/>
      <c r="AG377" s="481">
        <f>IFERROR(__xludf.DUMMYFUNCTION("""COMPUTED_VALUE"""),71.0)</f>
        <v>71</v>
      </c>
      <c r="AH377" s="481"/>
      <c r="AI377" s="158"/>
      <c r="AJ377" s="158"/>
      <c r="AK377" s="133">
        <f>IFERROR(__xludf.DUMMYFUNCTION("""COMPUTED_VALUE"""),4.0)</f>
        <v>4</v>
      </c>
      <c r="AL377" s="133">
        <f>IFERROR(__xludf.DUMMYFUNCTION("""COMPUTED_VALUE"""),3.0)</f>
        <v>3</v>
      </c>
      <c r="AM377" s="133">
        <f>IFERROR(__xludf.DUMMYFUNCTION("""COMPUTED_VALUE"""),3.0)</f>
        <v>3</v>
      </c>
      <c r="AN377" s="133" t="str">
        <f>IFERROR(__xludf.DUMMYFUNCTION("""COMPUTED_VALUE"""),"3.5")</f>
        <v>3.5</v>
      </c>
      <c r="AO377" s="133">
        <f>IFERROR(__xludf.DUMMYFUNCTION("""COMPUTED_VALUE"""),3.0)</f>
        <v>3</v>
      </c>
      <c r="AP377" s="155" t="s">
        <v>3706</v>
      </c>
    </row>
    <row r="378">
      <c r="A378" s="155">
        <f>IFERROR(__xludf.DUMMYFUNCTION("""COMPUTED_VALUE"""),140.0)</f>
        <v>140</v>
      </c>
      <c r="B378" s="155" t="str">
        <f>IFERROR(__xludf.DUMMYFUNCTION("""COMPUTED_VALUE"""),"sasa23ise@cmrit.ac.in")</f>
        <v>sasa23ise@cmrit.ac.in</v>
      </c>
      <c r="C378" s="174" t="str">
        <f>IFERROR(__xludf.DUMMYFUNCTION("""COMPUTED_VALUE"""),"SANIVARAPU SAHASRA")</f>
        <v>SANIVARAPU SAHASRA</v>
      </c>
      <c r="D378" s="155" t="str">
        <f>IFERROR(__xludf.DUMMYFUNCTION("""COMPUTED_VALUE"""),"1CR23IS144")</f>
        <v>1CR23IS144</v>
      </c>
      <c r="E378" s="563">
        <f>IFERROR(__xludf.DUMMYFUNCTION("""COMPUTED_VALUE"""),8.008519529E9)</f>
        <v>8008519529</v>
      </c>
      <c r="F378" s="155" t="str">
        <f>IFERROR(__xludf.DUMMYFUNCTION("""COMPUTED_VALUE"""),"ISE")</f>
        <v>ISE</v>
      </c>
      <c r="G378" s="158"/>
      <c r="H378" s="559">
        <f>IFERROR(__xludf.DUMMYFUNCTION("""COMPUTED_VALUE"""),84.0)</f>
        <v>84</v>
      </c>
      <c r="I378" s="559">
        <f>IFERROR(__xludf.DUMMYFUNCTION("""COMPUTED_VALUE"""),83.0)</f>
        <v>83</v>
      </c>
      <c r="J378" s="559">
        <f>IFERROR(__xludf.DUMMYFUNCTION("""COMPUTED_VALUE"""),76.0)</f>
        <v>76</v>
      </c>
      <c r="K378" s="559">
        <f>IFERROR(__xludf.DUMMYFUNCTION("""COMPUTED_VALUE"""),70.0)</f>
        <v>70</v>
      </c>
      <c r="L378" s="560">
        <f>IFERROR(__xludf.DUMMYFUNCTION("""COMPUTED_VALUE"""),50.0)</f>
        <v>50</v>
      </c>
      <c r="M378" s="561">
        <f>IFERROR(__xludf.DUMMYFUNCTION("""COMPUTED_VALUE"""),38.0)</f>
        <v>38</v>
      </c>
      <c r="N378" s="561">
        <f>IFERROR(__xludf.DUMMYFUNCTION("""COMPUTED_VALUE"""),66.0)</f>
        <v>66</v>
      </c>
      <c r="O378" s="560"/>
      <c r="P378" s="562">
        <f>IFERROR(__xludf.DUMMYFUNCTION("""COMPUTED_VALUE"""),86.0)</f>
        <v>86</v>
      </c>
      <c r="Q378" s="562">
        <f>IFERROR(__xludf.DUMMYFUNCTION("""COMPUTED_VALUE"""),60.0)</f>
        <v>60</v>
      </c>
      <c r="R378" s="562">
        <f>IFERROR(__xludf.DUMMYFUNCTION("""COMPUTED_VALUE"""),88.0)</f>
        <v>88</v>
      </c>
      <c r="S378" s="562"/>
      <c r="T378" s="217">
        <f>IFERROR(__xludf.DUMMYFUNCTION("""COMPUTED_VALUE"""),18.0)</f>
        <v>18</v>
      </c>
      <c r="U378" s="217">
        <f>IFERROR(__xludf.DUMMYFUNCTION("""COMPUTED_VALUE"""),23.0)</f>
        <v>23</v>
      </c>
      <c r="V378" s="217">
        <f>IFERROR(__xludf.DUMMYFUNCTION("""COMPUTED_VALUE"""),46.0)</f>
        <v>46</v>
      </c>
      <c r="W378" s="217">
        <f>IFERROR(__xludf.DUMMYFUNCTION("""COMPUTED_VALUE"""),64.0)</f>
        <v>64</v>
      </c>
      <c r="X378" s="217">
        <f>IFERROR(__xludf.DUMMYFUNCTION("""COMPUTED_VALUE"""),76.0)</f>
        <v>76</v>
      </c>
      <c r="Y378" s="217"/>
      <c r="Z378" s="217"/>
      <c r="AA378" s="481">
        <f>IFERROR(__xludf.DUMMYFUNCTION("""COMPUTED_VALUE"""),50.0)</f>
        <v>50</v>
      </c>
      <c r="AB378" s="481">
        <f>IFERROR(__xludf.DUMMYFUNCTION("""COMPUTED_VALUE"""),100.0)</f>
        <v>100</v>
      </c>
      <c r="AC378" s="481">
        <f>IFERROR(__xludf.DUMMYFUNCTION("""COMPUTED_VALUE"""),67.0)</f>
        <v>67</v>
      </c>
      <c r="AD378" s="481">
        <f>IFERROR(__xludf.DUMMYFUNCTION("""COMPUTED_VALUE"""),60.0)</f>
        <v>60</v>
      </c>
      <c r="AE378" s="481">
        <f>IFERROR(__xludf.DUMMYFUNCTION("""COMPUTED_VALUE"""),72.0)</f>
        <v>72</v>
      </c>
      <c r="AF378" s="481"/>
      <c r="AG378" s="481">
        <f>IFERROR(__xludf.DUMMYFUNCTION("""COMPUTED_VALUE"""),47.0)</f>
        <v>47</v>
      </c>
      <c r="AH378" s="481"/>
      <c r="AI378" s="158"/>
      <c r="AJ378" s="158"/>
      <c r="AK378" s="133">
        <f>IFERROR(__xludf.DUMMYFUNCTION("""COMPUTED_VALUE"""),4.0)</f>
        <v>4</v>
      </c>
      <c r="AL378" s="133">
        <f>IFERROR(__xludf.DUMMYFUNCTION("""COMPUTED_VALUE"""),1.0)</f>
        <v>1</v>
      </c>
      <c r="AM378" s="133">
        <f>IFERROR(__xludf.DUMMYFUNCTION("""COMPUTED_VALUE"""),3.0)</f>
        <v>3</v>
      </c>
      <c r="AN378" s="133" t="str">
        <f>IFERROR(__xludf.DUMMYFUNCTION("""COMPUTED_VALUE"""),"3.5")</f>
        <v>3.5</v>
      </c>
      <c r="AO378" s="133">
        <f>IFERROR(__xludf.DUMMYFUNCTION("""COMPUTED_VALUE"""),3.0)</f>
        <v>3</v>
      </c>
      <c r="AP378" s="155" t="s">
        <v>3706</v>
      </c>
    </row>
    <row r="379">
      <c r="A379" s="155">
        <f>IFERROR(__xludf.DUMMYFUNCTION("""COMPUTED_VALUE"""),141.0)</f>
        <v>141</v>
      </c>
      <c r="B379" s="155" t="str">
        <f>IFERROR(__xludf.DUMMYFUNCTION("""COMPUTED_VALUE"""),"sanku23ise@cmrit.ac.in")</f>
        <v>sanku23ise@cmrit.ac.in</v>
      </c>
      <c r="C379" s="174" t="str">
        <f>IFERROR(__xludf.DUMMYFUNCTION("""COMPUTED_VALUE"""),"SANKET KUMAR SINGH")</f>
        <v>SANKET KUMAR SINGH</v>
      </c>
      <c r="D379" s="155" t="str">
        <f>IFERROR(__xludf.DUMMYFUNCTION("""COMPUTED_VALUE"""),"1CR23IS145")</f>
        <v>1CR23IS145</v>
      </c>
      <c r="E379" s="563">
        <f>IFERROR(__xludf.DUMMYFUNCTION("""COMPUTED_VALUE"""),9.663356481E9)</f>
        <v>9663356481</v>
      </c>
      <c r="F379" s="155" t="str">
        <f>IFERROR(__xludf.DUMMYFUNCTION("""COMPUTED_VALUE"""),"ISE")</f>
        <v>ISE</v>
      </c>
      <c r="G379" s="158"/>
      <c r="H379" s="559">
        <f>IFERROR(__xludf.DUMMYFUNCTION("""COMPUTED_VALUE"""),78.0)</f>
        <v>78</v>
      </c>
      <c r="I379" s="559">
        <f>IFERROR(__xludf.DUMMYFUNCTION("""COMPUTED_VALUE"""),87.0)</f>
        <v>87</v>
      </c>
      <c r="J379" s="559">
        <f>IFERROR(__xludf.DUMMYFUNCTION("""COMPUTED_VALUE"""),78.0)</f>
        <v>78</v>
      </c>
      <c r="K379" s="559">
        <f>IFERROR(__xludf.DUMMYFUNCTION("""COMPUTED_VALUE"""),70.0)</f>
        <v>70</v>
      </c>
      <c r="L379" s="560">
        <f>IFERROR(__xludf.DUMMYFUNCTION("""COMPUTED_VALUE"""),50.0)</f>
        <v>50</v>
      </c>
      <c r="M379" s="561">
        <f>IFERROR(__xludf.DUMMYFUNCTION("""COMPUTED_VALUE"""),45.0)</f>
        <v>45</v>
      </c>
      <c r="N379" s="561">
        <f>IFERROR(__xludf.DUMMYFUNCTION("""COMPUTED_VALUE"""),69.0)</f>
        <v>69</v>
      </c>
      <c r="O379" s="560"/>
      <c r="P379" s="562">
        <f>IFERROR(__xludf.DUMMYFUNCTION("""COMPUTED_VALUE"""),50.0)</f>
        <v>50</v>
      </c>
      <c r="Q379" s="562">
        <f>IFERROR(__xludf.DUMMYFUNCTION("""COMPUTED_VALUE"""),63.0)</f>
        <v>63</v>
      </c>
      <c r="R379" s="562">
        <f>IFERROR(__xludf.DUMMYFUNCTION("""COMPUTED_VALUE"""),80.0)</f>
        <v>80</v>
      </c>
      <c r="S379" s="562"/>
      <c r="T379" s="217">
        <f>IFERROR(__xludf.DUMMYFUNCTION("""COMPUTED_VALUE"""),12.0)</f>
        <v>12</v>
      </c>
      <c r="U379" s="217">
        <f>IFERROR(__xludf.DUMMYFUNCTION("""COMPUTED_VALUE"""),23.0)</f>
        <v>23</v>
      </c>
      <c r="V379" s="217">
        <f>IFERROR(__xludf.DUMMYFUNCTION("""COMPUTED_VALUE"""),48.0)</f>
        <v>48</v>
      </c>
      <c r="W379" s="217">
        <f>IFERROR(__xludf.DUMMYFUNCTION("""COMPUTED_VALUE"""),48.0)</f>
        <v>48</v>
      </c>
      <c r="X379" s="217">
        <f>IFERROR(__xludf.DUMMYFUNCTION("""COMPUTED_VALUE"""),68.0)</f>
        <v>68</v>
      </c>
      <c r="Y379" s="217"/>
      <c r="Z379" s="217"/>
      <c r="AA379" s="481">
        <f>IFERROR(__xludf.DUMMYFUNCTION("""COMPUTED_VALUE"""),74.0)</f>
        <v>74</v>
      </c>
      <c r="AB379" s="481">
        <f>IFERROR(__xludf.DUMMYFUNCTION("""COMPUTED_VALUE"""),85.0)</f>
        <v>85</v>
      </c>
      <c r="AC379" s="481">
        <f>IFERROR(__xludf.DUMMYFUNCTION("""COMPUTED_VALUE"""),66.0)</f>
        <v>66</v>
      </c>
      <c r="AD379" s="481">
        <f>IFERROR(__xludf.DUMMYFUNCTION("""COMPUTED_VALUE"""),100.0)</f>
        <v>100</v>
      </c>
      <c r="AE379" s="481">
        <f>IFERROR(__xludf.DUMMYFUNCTION("""COMPUTED_VALUE"""),79.0)</f>
        <v>79</v>
      </c>
      <c r="AF379" s="481"/>
      <c r="AG379" s="481">
        <f>IFERROR(__xludf.DUMMYFUNCTION("""COMPUTED_VALUE"""),57.0)</f>
        <v>57</v>
      </c>
      <c r="AH379" s="481"/>
      <c r="AI379" s="158"/>
      <c r="AJ379" s="158"/>
      <c r="AK379" s="133">
        <f>IFERROR(__xludf.DUMMYFUNCTION("""COMPUTED_VALUE"""),4.0)</f>
        <v>4</v>
      </c>
      <c r="AL379" s="133">
        <f>IFERROR(__xludf.DUMMYFUNCTION("""COMPUTED_VALUE"""),1.0)</f>
        <v>1</v>
      </c>
      <c r="AM379" s="133">
        <f>IFERROR(__xludf.DUMMYFUNCTION("""COMPUTED_VALUE"""),2.0)</f>
        <v>2</v>
      </c>
      <c r="AN379" s="133" t="str">
        <f>IFERROR(__xludf.DUMMYFUNCTION("""COMPUTED_VALUE"""),"3.5")</f>
        <v>3.5</v>
      </c>
      <c r="AO379" s="133">
        <f>IFERROR(__xludf.DUMMYFUNCTION("""COMPUTED_VALUE"""),3.0)</f>
        <v>3</v>
      </c>
      <c r="AP379" s="155" t="s">
        <v>3706</v>
      </c>
    </row>
    <row r="380">
      <c r="A380" s="155">
        <f>IFERROR(__xludf.DUMMYFUNCTION("""COMPUTED_VALUE"""),142.0)</f>
        <v>142</v>
      </c>
      <c r="B380" s="155" t="str">
        <f>IFERROR(__xludf.DUMMYFUNCTION("""COMPUTED_VALUE"""),"sak23ise@cmrit.ac.in")</f>
        <v>sak23ise@cmrit.ac.in</v>
      </c>
      <c r="C380" s="174" t="str">
        <f>IFERROR(__xludf.DUMMYFUNCTION("""COMPUTED_VALUE"""),"SANKETH KULKARNI")</f>
        <v>SANKETH KULKARNI</v>
      </c>
      <c r="D380" s="155" t="str">
        <f>IFERROR(__xludf.DUMMYFUNCTION("""COMPUTED_VALUE"""),"1CR23IS146")</f>
        <v>1CR23IS146</v>
      </c>
      <c r="E380" s="563">
        <f>IFERROR(__xludf.DUMMYFUNCTION("""COMPUTED_VALUE"""),6.360591034E9)</f>
        <v>6360591034</v>
      </c>
      <c r="F380" s="155" t="str">
        <f>IFERROR(__xludf.DUMMYFUNCTION("""COMPUTED_VALUE"""),"ISE")</f>
        <v>ISE</v>
      </c>
      <c r="G380" s="158"/>
      <c r="H380" s="559">
        <f>IFERROR(__xludf.DUMMYFUNCTION("""COMPUTED_VALUE"""),70.0)</f>
        <v>70</v>
      </c>
      <c r="I380" s="559">
        <f>IFERROR(__xludf.DUMMYFUNCTION("""COMPUTED_VALUE"""),76.0)</f>
        <v>76</v>
      </c>
      <c r="J380" s="559">
        <f>IFERROR(__xludf.DUMMYFUNCTION("""COMPUTED_VALUE"""),70.0)</f>
        <v>70</v>
      </c>
      <c r="K380" s="559">
        <f>IFERROR(__xludf.DUMMYFUNCTION("""COMPUTED_VALUE"""),70.0)</f>
        <v>70</v>
      </c>
      <c r="L380" s="560">
        <f>IFERROR(__xludf.DUMMYFUNCTION("""COMPUTED_VALUE"""),50.0)</f>
        <v>50</v>
      </c>
      <c r="M380" s="561">
        <f>IFERROR(__xludf.DUMMYFUNCTION("""COMPUTED_VALUE"""),32.0)</f>
        <v>32</v>
      </c>
      <c r="N380" s="561">
        <f>IFERROR(__xludf.DUMMYFUNCTION("""COMPUTED_VALUE"""),57.0)</f>
        <v>57</v>
      </c>
      <c r="O380" s="560"/>
      <c r="P380" s="562">
        <f>IFERROR(__xludf.DUMMYFUNCTION("""COMPUTED_VALUE"""),50.0)</f>
        <v>50</v>
      </c>
      <c r="Q380" s="562">
        <f>IFERROR(__xludf.DUMMYFUNCTION("""COMPUTED_VALUE"""),57.0)</f>
        <v>57</v>
      </c>
      <c r="R380" s="562">
        <f>IFERROR(__xludf.DUMMYFUNCTION("""COMPUTED_VALUE"""),79.0)</f>
        <v>79</v>
      </c>
      <c r="S380" s="562"/>
      <c r="T380" s="217">
        <f>IFERROR(__xludf.DUMMYFUNCTION("""COMPUTED_VALUE"""),11.0)</f>
        <v>11</v>
      </c>
      <c r="U380" s="217">
        <f>IFERROR(__xludf.DUMMYFUNCTION("""COMPUTED_VALUE"""),23.0)</f>
        <v>23</v>
      </c>
      <c r="V380" s="217">
        <f>IFERROR(__xludf.DUMMYFUNCTION("""COMPUTED_VALUE"""),46.0)</f>
        <v>46</v>
      </c>
      <c r="W380" s="217">
        <f>IFERROR(__xludf.DUMMYFUNCTION("""COMPUTED_VALUE"""),36.0)</f>
        <v>36</v>
      </c>
      <c r="X380" s="217">
        <f>IFERROR(__xludf.DUMMYFUNCTION("""COMPUTED_VALUE"""),80.0)</f>
        <v>80</v>
      </c>
      <c r="Y380" s="217"/>
      <c r="Z380" s="217"/>
      <c r="AA380" s="481">
        <f>IFERROR(__xludf.DUMMYFUNCTION("""COMPUTED_VALUE"""),20.0)</f>
        <v>20</v>
      </c>
      <c r="AB380" s="481">
        <f>IFERROR(__xludf.DUMMYFUNCTION("""COMPUTED_VALUE"""),90.0)</f>
        <v>90</v>
      </c>
      <c r="AC380" s="481">
        <f>IFERROR(__xludf.DUMMYFUNCTION("""COMPUTED_VALUE"""),60.0)</f>
        <v>60</v>
      </c>
      <c r="AD380" s="481">
        <f>IFERROR(__xludf.DUMMYFUNCTION("""COMPUTED_VALUE"""),100.0)</f>
        <v>100</v>
      </c>
      <c r="AE380" s="481">
        <f>IFERROR(__xludf.DUMMYFUNCTION("""COMPUTED_VALUE"""),10.0)</f>
        <v>10</v>
      </c>
      <c r="AF380" s="481"/>
      <c r="AG380" s="481">
        <f>IFERROR(__xludf.DUMMYFUNCTION("""COMPUTED_VALUE"""),48.0)</f>
        <v>48</v>
      </c>
      <c r="AH380" s="481"/>
      <c r="AI380" s="158"/>
      <c r="AJ380" s="158"/>
      <c r="AK380" s="133">
        <f>IFERROR(__xludf.DUMMYFUNCTION("""COMPUTED_VALUE"""),4.0)</f>
        <v>4</v>
      </c>
      <c r="AL380" s="133">
        <f>IFERROR(__xludf.DUMMYFUNCTION("""COMPUTED_VALUE"""),1.0)</f>
        <v>1</v>
      </c>
      <c r="AM380" s="133">
        <f>IFERROR(__xludf.DUMMYFUNCTION("""COMPUTED_VALUE"""),2.0)</f>
        <v>2</v>
      </c>
      <c r="AN380" s="133" t="str">
        <f>IFERROR(__xludf.DUMMYFUNCTION("""COMPUTED_VALUE"""),"3")</f>
        <v>3</v>
      </c>
      <c r="AO380" s="133">
        <f>IFERROR(__xludf.DUMMYFUNCTION("""COMPUTED_VALUE"""),3.0)</f>
        <v>3</v>
      </c>
      <c r="AP380" s="155" t="s">
        <v>3706</v>
      </c>
    </row>
    <row r="381">
      <c r="A381" s="155">
        <f>IFERROR(__xludf.DUMMYFUNCTION("""COMPUTED_VALUE"""),143.0)</f>
        <v>143</v>
      </c>
      <c r="B381" s="155" t="str">
        <f>IFERROR(__xludf.DUMMYFUNCTION("""COMPUTED_VALUE"""),"sash23ise@cmrit.ac.in")</f>
        <v>sash23ise@cmrit.ac.in</v>
      </c>
      <c r="C381" s="174" t="str">
        <f>IFERROR(__xludf.DUMMYFUNCTION("""COMPUTED_VALUE"""),"SATTVIK SHUKLA")</f>
        <v>SATTVIK SHUKLA</v>
      </c>
      <c r="D381" s="155" t="str">
        <f>IFERROR(__xludf.DUMMYFUNCTION("""COMPUTED_VALUE"""),"1CR23IS147")</f>
        <v>1CR23IS147</v>
      </c>
      <c r="E381" s="563">
        <f>IFERROR(__xludf.DUMMYFUNCTION("""COMPUTED_VALUE"""),7.415855241E9)</f>
        <v>7415855241</v>
      </c>
      <c r="F381" s="155" t="str">
        <f>IFERROR(__xludf.DUMMYFUNCTION("""COMPUTED_VALUE"""),"ISE")</f>
        <v>ISE</v>
      </c>
      <c r="G381" s="158"/>
      <c r="H381" s="559">
        <f>IFERROR(__xludf.DUMMYFUNCTION("""COMPUTED_VALUE"""),85.0)</f>
        <v>85</v>
      </c>
      <c r="I381" s="559">
        <f>IFERROR(__xludf.DUMMYFUNCTION("""COMPUTED_VALUE"""),97.0)</f>
        <v>97</v>
      </c>
      <c r="J381" s="559">
        <f>IFERROR(__xludf.DUMMYFUNCTION("""COMPUTED_VALUE"""),74.0)</f>
        <v>74</v>
      </c>
      <c r="K381" s="559">
        <f>IFERROR(__xludf.DUMMYFUNCTION("""COMPUTED_VALUE"""),78.0)</f>
        <v>78</v>
      </c>
      <c r="L381" s="560">
        <f>IFERROR(__xludf.DUMMYFUNCTION("""COMPUTED_VALUE"""),68.0)</f>
        <v>68</v>
      </c>
      <c r="M381" s="561">
        <f>IFERROR(__xludf.DUMMYFUNCTION("""COMPUTED_VALUE"""),77.0)</f>
        <v>77</v>
      </c>
      <c r="N381" s="561">
        <f>IFERROR(__xludf.DUMMYFUNCTION("""COMPUTED_VALUE"""),77.0)</f>
        <v>77</v>
      </c>
      <c r="O381" s="560"/>
      <c r="P381" s="562">
        <f>IFERROR(__xludf.DUMMYFUNCTION("""COMPUTED_VALUE"""),82.0)</f>
        <v>82</v>
      </c>
      <c r="Q381" s="562">
        <f>IFERROR(__xludf.DUMMYFUNCTION("""COMPUTED_VALUE"""),72.0)</f>
        <v>72</v>
      </c>
      <c r="R381" s="562">
        <f>IFERROR(__xludf.DUMMYFUNCTION("""COMPUTED_VALUE"""),95.0)</f>
        <v>95</v>
      </c>
      <c r="S381" s="562"/>
      <c r="T381" s="217">
        <f>IFERROR(__xludf.DUMMYFUNCTION("""COMPUTED_VALUE"""),13.0)</f>
        <v>13</v>
      </c>
      <c r="U381" s="217">
        <f>IFERROR(__xludf.DUMMYFUNCTION("""COMPUTED_VALUE"""),23.0)</f>
        <v>23</v>
      </c>
      <c r="V381" s="217">
        <f>IFERROR(__xludf.DUMMYFUNCTION("""COMPUTED_VALUE"""),46.0)</f>
        <v>46</v>
      </c>
      <c r="W381" s="217">
        <f>IFERROR(__xludf.DUMMYFUNCTION("""COMPUTED_VALUE"""),64.0)</f>
        <v>64</v>
      </c>
      <c r="X381" s="217">
        <f>IFERROR(__xludf.DUMMYFUNCTION("""COMPUTED_VALUE"""),76.0)</f>
        <v>76</v>
      </c>
      <c r="Y381" s="217"/>
      <c r="Z381" s="217"/>
      <c r="AA381" s="481">
        <f>IFERROR(__xludf.DUMMYFUNCTION("""COMPUTED_VALUE"""),82.0)</f>
        <v>82</v>
      </c>
      <c r="AB381" s="481">
        <f>IFERROR(__xludf.DUMMYFUNCTION("""COMPUTED_VALUE"""),100.0)</f>
        <v>100</v>
      </c>
      <c r="AC381" s="481">
        <f>IFERROR(__xludf.DUMMYFUNCTION("""COMPUTED_VALUE"""),98.0)</f>
        <v>98</v>
      </c>
      <c r="AD381" s="481">
        <f>IFERROR(__xludf.DUMMYFUNCTION("""COMPUTED_VALUE"""),100.0)</f>
        <v>100</v>
      </c>
      <c r="AE381" s="481">
        <f>IFERROR(__xludf.DUMMYFUNCTION("""COMPUTED_VALUE"""),80.0)</f>
        <v>80</v>
      </c>
      <c r="AF381" s="481"/>
      <c r="AG381" s="481">
        <f>IFERROR(__xludf.DUMMYFUNCTION("""COMPUTED_VALUE"""),82.0)</f>
        <v>82</v>
      </c>
      <c r="AH381" s="481"/>
      <c r="AI381" s="158"/>
      <c r="AJ381" s="158"/>
      <c r="AK381" s="133">
        <f>IFERROR(__xludf.DUMMYFUNCTION("""COMPUTED_VALUE"""),4.0)</f>
        <v>4</v>
      </c>
      <c r="AL381" s="133">
        <f>IFERROR(__xludf.DUMMYFUNCTION("""COMPUTED_VALUE"""),3.0)</f>
        <v>3</v>
      </c>
      <c r="AM381" s="133">
        <f>IFERROR(__xludf.DUMMYFUNCTION("""COMPUTED_VALUE"""),3.0)</f>
        <v>3</v>
      </c>
      <c r="AN381" s="133" t="str">
        <f>IFERROR(__xludf.DUMMYFUNCTION("""COMPUTED_VALUE"""),"3.5")</f>
        <v>3.5</v>
      </c>
      <c r="AO381" s="133">
        <f>IFERROR(__xludf.DUMMYFUNCTION("""COMPUTED_VALUE"""),3.0)</f>
        <v>3</v>
      </c>
      <c r="AP381" s="155" t="s">
        <v>3706</v>
      </c>
    </row>
    <row r="382">
      <c r="A382" s="155">
        <f>IFERROR(__xludf.DUMMYFUNCTION("""COMPUTED_VALUE"""),144.0)</f>
        <v>144</v>
      </c>
      <c r="B382" s="155" t="str">
        <f>IFERROR(__xludf.DUMMYFUNCTION("""COMPUTED_VALUE"""),"sara23ise@cmrit.ac.in")</f>
        <v>sara23ise@cmrit.ac.in</v>
      </c>
      <c r="C382" s="174" t="str">
        <f>IFERROR(__xludf.DUMMYFUNCTION("""COMPUTED_VALUE"""),"SATYAM RAJ")</f>
        <v>SATYAM RAJ</v>
      </c>
      <c r="D382" s="155" t="str">
        <f>IFERROR(__xludf.DUMMYFUNCTION("""COMPUTED_VALUE"""),"1CR23IS148")</f>
        <v>1CR23IS148</v>
      </c>
      <c r="E382" s="563">
        <f>IFERROR(__xludf.DUMMYFUNCTION("""COMPUTED_VALUE"""),8.210621507E9)</f>
        <v>8210621507</v>
      </c>
      <c r="F382" s="155" t="str">
        <f>IFERROR(__xludf.DUMMYFUNCTION("""COMPUTED_VALUE"""),"ISE")</f>
        <v>ISE</v>
      </c>
      <c r="G382" s="158"/>
      <c r="H382" s="559">
        <f>IFERROR(__xludf.DUMMYFUNCTION("""COMPUTED_VALUE"""),83.0)</f>
        <v>83</v>
      </c>
      <c r="I382" s="559">
        <f>IFERROR(__xludf.DUMMYFUNCTION("""COMPUTED_VALUE"""),93.0)</f>
        <v>93</v>
      </c>
      <c r="J382" s="559">
        <f>IFERROR(__xludf.DUMMYFUNCTION("""COMPUTED_VALUE"""),70.0)</f>
        <v>70</v>
      </c>
      <c r="K382" s="559">
        <f>IFERROR(__xludf.DUMMYFUNCTION("""COMPUTED_VALUE"""),82.0)</f>
        <v>82</v>
      </c>
      <c r="L382" s="560">
        <f>IFERROR(__xludf.DUMMYFUNCTION("""COMPUTED_VALUE"""),73.0)</f>
        <v>73</v>
      </c>
      <c r="M382" s="561">
        <f>IFERROR(__xludf.DUMMYFUNCTION("""COMPUTED_VALUE"""),78.0)</f>
        <v>78</v>
      </c>
      <c r="N382" s="561">
        <f>IFERROR(__xludf.DUMMYFUNCTION("""COMPUTED_VALUE"""),78.0)</f>
        <v>78</v>
      </c>
      <c r="O382" s="560"/>
      <c r="P382" s="562">
        <f>IFERROR(__xludf.DUMMYFUNCTION("""COMPUTED_VALUE"""),50.0)</f>
        <v>50</v>
      </c>
      <c r="Q382" s="562">
        <f>IFERROR(__xludf.DUMMYFUNCTION("""COMPUTED_VALUE"""),72.0)</f>
        <v>72</v>
      </c>
      <c r="R382" s="562">
        <f>IFERROR(__xludf.DUMMYFUNCTION("""COMPUTED_VALUE"""),95.0)</f>
        <v>95</v>
      </c>
      <c r="S382" s="562"/>
      <c r="T382" s="217">
        <f>IFERROR(__xludf.DUMMYFUNCTION("""COMPUTED_VALUE"""),11.0)</f>
        <v>11</v>
      </c>
      <c r="U382" s="217">
        <f>IFERROR(__xludf.DUMMYFUNCTION("""COMPUTED_VALUE"""),23.0)</f>
        <v>23</v>
      </c>
      <c r="V382" s="217">
        <f>IFERROR(__xludf.DUMMYFUNCTION("""COMPUTED_VALUE"""),46.0)</f>
        <v>46</v>
      </c>
      <c r="W382" s="217">
        <f>IFERROR(__xludf.DUMMYFUNCTION("""COMPUTED_VALUE"""),50.0)</f>
        <v>50</v>
      </c>
      <c r="X382" s="217">
        <f>IFERROR(__xludf.DUMMYFUNCTION("""COMPUTED_VALUE"""),72.0)</f>
        <v>72</v>
      </c>
      <c r="Y382" s="217"/>
      <c r="Z382" s="217"/>
      <c r="AA382" s="481">
        <f>IFERROR(__xludf.DUMMYFUNCTION("""COMPUTED_VALUE"""),94.0)</f>
        <v>94</v>
      </c>
      <c r="AB382" s="481">
        <f>IFERROR(__xludf.DUMMYFUNCTION("""COMPUTED_VALUE"""),100.0)</f>
        <v>100</v>
      </c>
      <c r="AC382" s="481">
        <f>IFERROR(__xludf.DUMMYFUNCTION("""COMPUTED_VALUE"""),97.0)</f>
        <v>97</v>
      </c>
      <c r="AD382" s="481">
        <f>IFERROR(__xludf.DUMMYFUNCTION("""COMPUTED_VALUE"""),100.0)</f>
        <v>100</v>
      </c>
      <c r="AE382" s="481">
        <f>IFERROR(__xludf.DUMMYFUNCTION("""COMPUTED_VALUE"""),77.0)</f>
        <v>77</v>
      </c>
      <c r="AF382" s="481"/>
      <c r="AG382" s="481">
        <f>IFERROR(__xludf.DUMMYFUNCTION("""COMPUTED_VALUE"""),87.0)</f>
        <v>87</v>
      </c>
      <c r="AH382" s="481"/>
      <c r="AI382" s="158"/>
      <c r="AJ382" s="158"/>
      <c r="AK382" s="133">
        <f>IFERROR(__xludf.DUMMYFUNCTION("""COMPUTED_VALUE"""),4.0)</f>
        <v>4</v>
      </c>
      <c r="AL382" s="133">
        <f>IFERROR(__xludf.DUMMYFUNCTION("""COMPUTED_VALUE"""),3.0)</f>
        <v>3</v>
      </c>
      <c r="AM382" s="133">
        <f>IFERROR(__xludf.DUMMYFUNCTION("""COMPUTED_VALUE"""),3.0)</f>
        <v>3</v>
      </c>
      <c r="AN382" s="133" t="str">
        <f>IFERROR(__xludf.DUMMYFUNCTION("""COMPUTED_VALUE"""),"3.5")</f>
        <v>3.5</v>
      </c>
      <c r="AO382" s="133">
        <f>IFERROR(__xludf.DUMMYFUNCTION("""COMPUTED_VALUE"""),3.0)</f>
        <v>3</v>
      </c>
      <c r="AP382" s="155" t="s">
        <v>3706</v>
      </c>
    </row>
    <row r="383">
      <c r="A383" s="155">
        <f>IFERROR(__xludf.DUMMYFUNCTION("""COMPUTED_VALUE"""),145.0)</f>
        <v>145</v>
      </c>
      <c r="B383" s="155" t="str">
        <f>IFERROR(__xludf.DUMMYFUNCTION("""COMPUTED_VALUE"""),"rasa23ise@cmrit.ac.in")</f>
        <v>rasa23ise@cmrit.ac.in</v>
      </c>
      <c r="C383" s="174" t="str">
        <f>IFERROR(__xludf.DUMMYFUNCTION("""COMPUTED_VALUE"""),"SAWAN RANA")</f>
        <v>SAWAN RANA</v>
      </c>
      <c r="D383" s="155" t="str">
        <f>IFERROR(__xludf.DUMMYFUNCTION("""COMPUTED_VALUE"""),"1CR23IS149")</f>
        <v>1CR23IS149</v>
      </c>
      <c r="E383" s="563"/>
      <c r="F383" s="155" t="str">
        <f>IFERROR(__xludf.DUMMYFUNCTION("""COMPUTED_VALUE"""),"ISE")</f>
        <v>ISE</v>
      </c>
      <c r="G383" s="158"/>
      <c r="H383" s="559">
        <f>IFERROR(__xludf.DUMMYFUNCTION("""COMPUTED_VALUE"""),70.0)</f>
        <v>70</v>
      </c>
      <c r="I383" s="559">
        <f>IFERROR(__xludf.DUMMYFUNCTION("""COMPUTED_VALUE"""),76.0)</f>
        <v>76</v>
      </c>
      <c r="J383" s="559">
        <f>IFERROR(__xludf.DUMMYFUNCTION("""COMPUTED_VALUE"""),75.0)</f>
        <v>75</v>
      </c>
      <c r="K383" s="559">
        <f>IFERROR(__xludf.DUMMYFUNCTION("""COMPUTED_VALUE"""),70.0)</f>
        <v>70</v>
      </c>
      <c r="L383" s="560">
        <f>IFERROR(__xludf.DUMMYFUNCTION("""COMPUTED_VALUE"""),50.0)</f>
        <v>50</v>
      </c>
      <c r="M383" s="561">
        <f>IFERROR(__xludf.DUMMYFUNCTION("""COMPUTED_VALUE"""),31.0)</f>
        <v>31</v>
      </c>
      <c r="N383" s="561">
        <f>IFERROR(__xludf.DUMMYFUNCTION("""COMPUTED_VALUE"""),35.0)</f>
        <v>35</v>
      </c>
      <c r="O383" s="560"/>
      <c r="P383" s="562">
        <f>IFERROR(__xludf.DUMMYFUNCTION("""COMPUTED_VALUE"""),78.0)</f>
        <v>78</v>
      </c>
      <c r="Q383" s="562">
        <f>IFERROR(__xludf.DUMMYFUNCTION("""COMPUTED_VALUE"""),0.0)</f>
        <v>0</v>
      </c>
      <c r="R383" s="562">
        <f>IFERROR(__xludf.DUMMYFUNCTION("""COMPUTED_VALUE"""),0.0)</f>
        <v>0</v>
      </c>
      <c r="S383" s="562"/>
      <c r="T383" s="217">
        <f>IFERROR(__xludf.DUMMYFUNCTION("""COMPUTED_VALUE"""),12.0)</f>
        <v>12</v>
      </c>
      <c r="U383" s="217">
        <f>IFERROR(__xludf.DUMMYFUNCTION("""COMPUTED_VALUE"""),23.0)</f>
        <v>23</v>
      </c>
      <c r="V383" s="217">
        <f>IFERROR(__xludf.DUMMYFUNCTION("""COMPUTED_VALUE"""),48.0)</f>
        <v>48</v>
      </c>
      <c r="W383" s="217">
        <f>IFERROR(__xludf.DUMMYFUNCTION("""COMPUTED_VALUE"""),56.0)</f>
        <v>56</v>
      </c>
      <c r="X383" s="217">
        <f>IFERROR(__xludf.DUMMYFUNCTION("""COMPUTED_VALUE"""),80.0)</f>
        <v>80</v>
      </c>
      <c r="Y383" s="217"/>
      <c r="Z383" s="217"/>
      <c r="AA383" s="481">
        <f>IFERROR(__xludf.DUMMYFUNCTION("""COMPUTED_VALUE"""),88.0)</f>
        <v>88</v>
      </c>
      <c r="AB383" s="481">
        <f>IFERROR(__xludf.DUMMYFUNCTION("""COMPUTED_VALUE"""),97.0)</f>
        <v>97</v>
      </c>
      <c r="AC383" s="481">
        <f>IFERROR(__xludf.DUMMYFUNCTION("""COMPUTED_VALUE"""),0.0)</f>
        <v>0</v>
      </c>
      <c r="AD383" s="481">
        <f>IFERROR(__xludf.DUMMYFUNCTION("""COMPUTED_VALUE"""),0.0)</f>
        <v>0</v>
      </c>
      <c r="AE383" s="481">
        <f>IFERROR(__xludf.DUMMYFUNCTION("""COMPUTED_VALUE"""),13.0)</f>
        <v>13</v>
      </c>
      <c r="AF383" s="481"/>
      <c r="AG383" s="481">
        <f>IFERROR(__xludf.DUMMYFUNCTION("""COMPUTED_VALUE"""),39.0)</f>
        <v>39</v>
      </c>
      <c r="AH383" s="481"/>
      <c r="AI383" s="158"/>
      <c r="AJ383" s="158"/>
      <c r="AK383" s="133">
        <f>IFERROR(__xludf.DUMMYFUNCTION("""COMPUTED_VALUE"""),4.0)</f>
        <v>4</v>
      </c>
      <c r="AL383" s="133">
        <f>IFERROR(__xludf.DUMMYFUNCTION("""COMPUTED_VALUE"""),1.0)</f>
        <v>1</v>
      </c>
      <c r="AM383" s="133">
        <f>IFERROR(__xludf.DUMMYFUNCTION("""COMPUTED_VALUE"""),3.0)</f>
        <v>3</v>
      </c>
      <c r="AN383" s="133" t="str">
        <f>IFERROR(__xludf.DUMMYFUNCTION("""COMPUTED_VALUE"""),"2")</f>
        <v>2</v>
      </c>
      <c r="AO383" s="133">
        <f>IFERROR(__xludf.DUMMYFUNCTION("""COMPUTED_VALUE"""),1.0)</f>
        <v>1</v>
      </c>
      <c r="AP383" s="155" t="s">
        <v>3706</v>
      </c>
    </row>
    <row r="384">
      <c r="A384" s="155">
        <f>IFERROR(__xludf.DUMMYFUNCTION("""COMPUTED_VALUE"""),146.0)</f>
        <v>146</v>
      </c>
      <c r="B384" s="155" t="str">
        <f>IFERROR(__xludf.DUMMYFUNCTION("""COMPUTED_VALUE"""),"shma23ise@cmrit.ac.in")</f>
        <v>shma23ise@cmrit.ac.in</v>
      </c>
      <c r="C384" s="174" t="str">
        <f>IFERROR(__xludf.DUMMYFUNCTION("""COMPUTED_VALUE"""),"SHAHID FAROOQ MALIK")</f>
        <v>SHAHID FAROOQ MALIK</v>
      </c>
      <c r="D384" s="155" t="str">
        <f>IFERROR(__xludf.DUMMYFUNCTION("""COMPUTED_VALUE"""),"1CR23IS151")</f>
        <v>1CR23IS151</v>
      </c>
      <c r="E384" s="563">
        <f>IFERROR(__xludf.DUMMYFUNCTION("""COMPUTED_VALUE"""),7.889921993E9)</f>
        <v>7889921993</v>
      </c>
      <c r="F384" s="155" t="str">
        <f>IFERROR(__xludf.DUMMYFUNCTION("""COMPUTED_VALUE"""),"ISE")</f>
        <v>ISE</v>
      </c>
      <c r="G384" s="158"/>
      <c r="H384" s="559">
        <f>IFERROR(__xludf.DUMMYFUNCTION("""COMPUTED_VALUE"""),76.0)</f>
        <v>76</v>
      </c>
      <c r="I384" s="559">
        <f>IFERROR(__xludf.DUMMYFUNCTION("""COMPUTED_VALUE"""),74.0)</f>
        <v>74</v>
      </c>
      <c r="J384" s="559">
        <f>IFERROR(__xludf.DUMMYFUNCTION("""COMPUTED_VALUE"""),38.0)</f>
        <v>38</v>
      </c>
      <c r="K384" s="559">
        <f>IFERROR(__xludf.DUMMYFUNCTION("""COMPUTED_VALUE"""),70.0)</f>
        <v>70</v>
      </c>
      <c r="L384" s="560">
        <f>IFERROR(__xludf.DUMMYFUNCTION("""COMPUTED_VALUE"""),50.0)</f>
        <v>50</v>
      </c>
      <c r="M384" s="561">
        <f>IFERROR(__xludf.DUMMYFUNCTION("""COMPUTED_VALUE"""),50.0)</f>
        <v>50</v>
      </c>
      <c r="N384" s="561">
        <f>IFERROR(__xludf.DUMMYFUNCTION("""COMPUTED_VALUE"""),9.0)</f>
        <v>9</v>
      </c>
      <c r="O384" s="560"/>
      <c r="P384" s="562">
        <f>IFERROR(__xludf.DUMMYFUNCTION("""COMPUTED_VALUE"""),0.0)</f>
        <v>0</v>
      </c>
      <c r="Q384" s="562">
        <f>IFERROR(__xludf.DUMMYFUNCTION("""COMPUTED_VALUE"""),0.0)</f>
        <v>0</v>
      </c>
      <c r="R384" s="562">
        <f>IFERROR(__xludf.DUMMYFUNCTION("""COMPUTED_VALUE"""),0.0)</f>
        <v>0</v>
      </c>
      <c r="S384" s="562"/>
      <c r="T384" s="217">
        <f>IFERROR(__xludf.DUMMYFUNCTION("""COMPUTED_VALUE"""),14.0)</f>
        <v>14</v>
      </c>
      <c r="U384" s="217">
        <f>IFERROR(__xludf.DUMMYFUNCTION("""COMPUTED_VALUE"""),20.0)</f>
        <v>20</v>
      </c>
      <c r="V384" s="217"/>
      <c r="W384" s="217">
        <f>IFERROR(__xludf.DUMMYFUNCTION("""COMPUTED_VALUE"""),24.0)</f>
        <v>24</v>
      </c>
      <c r="X384" s="217">
        <f>IFERROR(__xludf.DUMMYFUNCTION("""COMPUTED_VALUE"""),80.0)</f>
        <v>80</v>
      </c>
      <c r="Y384" s="217"/>
      <c r="Z384" s="217"/>
      <c r="AA384" s="481">
        <f>IFERROR(__xludf.DUMMYFUNCTION("""COMPUTED_VALUE"""),14.0)</f>
        <v>14</v>
      </c>
      <c r="AB384" s="481">
        <f>IFERROR(__xludf.DUMMYFUNCTION("""COMPUTED_VALUE"""),20.0)</f>
        <v>20</v>
      </c>
      <c r="AC384" s="481">
        <f>IFERROR(__xludf.DUMMYFUNCTION("""COMPUTED_VALUE"""),0.0)</f>
        <v>0</v>
      </c>
      <c r="AD384" s="481">
        <f>IFERROR(__xludf.DUMMYFUNCTION("""COMPUTED_VALUE"""),75.0)</f>
        <v>75</v>
      </c>
      <c r="AE384" s="481">
        <f>IFERROR(__xludf.DUMMYFUNCTION("""COMPUTED_VALUE"""),10.0)</f>
        <v>10</v>
      </c>
      <c r="AF384" s="481"/>
      <c r="AG384" s="481">
        <f>IFERROR(__xludf.DUMMYFUNCTION("""COMPUTED_VALUE"""),4.0)</f>
        <v>4</v>
      </c>
      <c r="AH384" s="481"/>
      <c r="AI384" s="158"/>
      <c r="AJ384" s="158"/>
      <c r="AK384" s="133">
        <f>IFERROR(__xludf.DUMMYFUNCTION("""COMPUTED_VALUE"""),2.0)</f>
        <v>2</v>
      </c>
      <c r="AL384" s="133">
        <f>IFERROR(__xludf.DUMMYFUNCTION("""COMPUTED_VALUE"""),2.0)</f>
        <v>2</v>
      </c>
      <c r="AM384" s="133">
        <f>IFERROR(__xludf.DUMMYFUNCTION("""COMPUTED_VALUE"""),2.0)</f>
        <v>2</v>
      </c>
      <c r="AN384" s="133" t="str">
        <f>IFERROR(__xludf.DUMMYFUNCTION("""COMPUTED_VALUE"""),"0")</f>
        <v>0</v>
      </c>
      <c r="AO384" s="133">
        <f>IFERROR(__xludf.DUMMYFUNCTION("""COMPUTED_VALUE"""),0.0)</f>
        <v>0</v>
      </c>
      <c r="AP384" s="155" t="s">
        <v>3706</v>
      </c>
    </row>
    <row r="385">
      <c r="A385" s="155">
        <f>IFERROR(__xludf.DUMMYFUNCTION("""COMPUTED_VALUE"""),147.0)</f>
        <v>147</v>
      </c>
      <c r="B385" s="155" t="str">
        <f>IFERROR(__xludf.DUMMYFUNCTION("""COMPUTED_VALUE"""),"shas23ise@cmrit.ac.in")</f>
        <v>shas23ise@cmrit.ac.in</v>
      </c>
      <c r="C385" s="174" t="str">
        <f>IFERROR(__xludf.DUMMYFUNCTION("""COMPUTED_VALUE"""),"SHAIK ASLAM SAMI")</f>
        <v>SHAIK ASLAM SAMI</v>
      </c>
      <c r="D385" s="155" t="str">
        <f>IFERROR(__xludf.DUMMYFUNCTION("""COMPUTED_VALUE"""),"1CR23IS152")</f>
        <v>1CR23IS152</v>
      </c>
      <c r="E385" s="563">
        <f>IFERROR(__xludf.DUMMYFUNCTION("""COMPUTED_VALUE"""),8.296651515E9)</f>
        <v>8296651515</v>
      </c>
      <c r="F385" s="155" t="str">
        <f>IFERROR(__xludf.DUMMYFUNCTION("""COMPUTED_VALUE"""),"ISE")</f>
        <v>ISE</v>
      </c>
      <c r="G385" s="158"/>
      <c r="H385" s="559">
        <f>IFERROR(__xludf.DUMMYFUNCTION("""COMPUTED_VALUE"""),66.0)</f>
        <v>66</v>
      </c>
      <c r="I385" s="559">
        <f>IFERROR(__xludf.DUMMYFUNCTION("""COMPUTED_VALUE"""),72.0)</f>
        <v>72</v>
      </c>
      <c r="J385" s="559">
        <f>IFERROR(__xludf.DUMMYFUNCTION("""COMPUTED_VALUE"""),25.0)</f>
        <v>25</v>
      </c>
      <c r="K385" s="559">
        <f>IFERROR(__xludf.DUMMYFUNCTION("""COMPUTED_VALUE"""),70.0)</f>
        <v>70</v>
      </c>
      <c r="L385" s="560">
        <f>IFERROR(__xludf.DUMMYFUNCTION("""COMPUTED_VALUE"""),50.0)</f>
        <v>50</v>
      </c>
      <c r="M385" s="561">
        <f>IFERROR(__xludf.DUMMYFUNCTION("""COMPUTED_VALUE"""),50.0)</f>
        <v>50</v>
      </c>
      <c r="N385" s="561">
        <f>IFERROR(__xludf.DUMMYFUNCTION("""COMPUTED_VALUE"""),26.0)</f>
        <v>26</v>
      </c>
      <c r="O385" s="560"/>
      <c r="P385" s="562">
        <f>IFERROR(__xludf.DUMMYFUNCTION("""COMPUTED_VALUE"""),0.0)</f>
        <v>0</v>
      </c>
      <c r="Q385" s="562">
        <f>IFERROR(__xludf.DUMMYFUNCTION("""COMPUTED_VALUE"""),50.0)</f>
        <v>50</v>
      </c>
      <c r="R385" s="562">
        <f>IFERROR(__xludf.DUMMYFUNCTION("""COMPUTED_VALUE"""),50.0)</f>
        <v>50</v>
      </c>
      <c r="S385" s="562"/>
      <c r="T385" s="217">
        <f>IFERROR(__xludf.DUMMYFUNCTION("""COMPUTED_VALUE"""),16.0)</f>
        <v>16</v>
      </c>
      <c r="U385" s="217">
        <f>IFERROR(__xludf.DUMMYFUNCTION("""COMPUTED_VALUE"""),21.0)</f>
        <v>21</v>
      </c>
      <c r="V385" s="217">
        <f>IFERROR(__xludf.DUMMYFUNCTION("""COMPUTED_VALUE"""),44.0)</f>
        <v>44</v>
      </c>
      <c r="W385" s="217">
        <f>IFERROR(__xludf.DUMMYFUNCTION("""COMPUTED_VALUE"""),68.0)</f>
        <v>68</v>
      </c>
      <c r="X385" s="217">
        <f>IFERROR(__xludf.DUMMYFUNCTION("""COMPUTED_VALUE"""),80.0)</f>
        <v>80</v>
      </c>
      <c r="Y385" s="217"/>
      <c r="Z385" s="217"/>
      <c r="AA385" s="481">
        <f>IFERROR(__xludf.DUMMYFUNCTION("""COMPUTED_VALUE"""),66.0)</f>
        <v>66</v>
      </c>
      <c r="AB385" s="481">
        <f>IFERROR(__xludf.DUMMYFUNCTION("""COMPUTED_VALUE"""),49.0)</f>
        <v>49</v>
      </c>
      <c r="AC385" s="481">
        <f>IFERROR(__xludf.DUMMYFUNCTION("""COMPUTED_VALUE"""),0.0)</f>
        <v>0</v>
      </c>
      <c r="AD385" s="481">
        <f>IFERROR(__xludf.DUMMYFUNCTION("""COMPUTED_VALUE"""),90.0)</f>
        <v>90</v>
      </c>
      <c r="AE385" s="481">
        <f>IFERROR(__xludf.DUMMYFUNCTION("""COMPUTED_VALUE"""),46.0)</f>
        <v>46</v>
      </c>
      <c r="AF385" s="481"/>
      <c r="AG385" s="481">
        <f>IFERROR(__xludf.DUMMYFUNCTION("""COMPUTED_VALUE"""),1.0)</f>
        <v>1</v>
      </c>
      <c r="AH385" s="481"/>
      <c r="AI385" s="158"/>
      <c r="AJ385" s="158"/>
      <c r="AK385" s="133">
        <f>IFERROR(__xludf.DUMMYFUNCTION("""COMPUTED_VALUE"""),2.0)</f>
        <v>2</v>
      </c>
      <c r="AL385" s="133">
        <f>IFERROR(__xludf.DUMMYFUNCTION("""COMPUTED_VALUE"""),2.0)</f>
        <v>2</v>
      </c>
      <c r="AM385" s="133">
        <f>IFERROR(__xludf.DUMMYFUNCTION("""COMPUTED_VALUE"""),3.0)</f>
        <v>3</v>
      </c>
      <c r="AN385" s="133" t="str">
        <f>IFERROR(__xludf.DUMMYFUNCTION("""COMPUTED_VALUE"""),"0")</f>
        <v>0</v>
      </c>
      <c r="AO385" s="133">
        <f>IFERROR(__xludf.DUMMYFUNCTION("""COMPUTED_VALUE"""),0.0)</f>
        <v>0</v>
      </c>
      <c r="AP385" s="155" t="s">
        <v>3706</v>
      </c>
    </row>
    <row r="386">
      <c r="A386" s="155">
        <f>IFERROR(__xludf.DUMMYFUNCTION("""COMPUTED_VALUE"""),148.0)</f>
        <v>148</v>
      </c>
      <c r="B386" s="155" t="str">
        <f>IFERROR(__xludf.DUMMYFUNCTION("""COMPUTED_VALUE"""),"shpr23ise@cmrit.ac.in")</f>
        <v>shpr23ise@cmrit.ac.in</v>
      </c>
      <c r="C386" s="174" t="str">
        <f>IFERROR(__xludf.DUMMYFUNCTION("""COMPUTED_VALUE"""),"SHALINI SINGH")</f>
        <v>SHALINI SINGH</v>
      </c>
      <c r="D386" s="155" t="str">
        <f>IFERROR(__xludf.DUMMYFUNCTION("""COMPUTED_VALUE"""),"1CR23IS153")</f>
        <v>1CR23IS153</v>
      </c>
      <c r="E386" s="563">
        <f>IFERROR(__xludf.DUMMYFUNCTION("""COMPUTED_VALUE"""),7.870014306E9)</f>
        <v>7870014306</v>
      </c>
      <c r="F386" s="155" t="str">
        <f>IFERROR(__xludf.DUMMYFUNCTION("""COMPUTED_VALUE"""),"ISE")</f>
        <v>ISE</v>
      </c>
      <c r="G386" s="158"/>
      <c r="H386" s="559">
        <f>IFERROR(__xludf.DUMMYFUNCTION("""COMPUTED_VALUE"""),77.0)</f>
        <v>77</v>
      </c>
      <c r="I386" s="559">
        <f>IFERROR(__xludf.DUMMYFUNCTION("""COMPUTED_VALUE"""),90.0)</f>
        <v>90</v>
      </c>
      <c r="J386" s="559">
        <f>IFERROR(__xludf.DUMMYFUNCTION("""COMPUTED_VALUE"""),79.0)</f>
        <v>79</v>
      </c>
      <c r="K386" s="559">
        <f>IFERROR(__xludf.DUMMYFUNCTION("""COMPUTED_VALUE"""),73.0)</f>
        <v>73</v>
      </c>
      <c r="L386" s="560">
        <f>IFERROR(__xludf.DUMMYFUNCTION("""COMPUTED_VALUE"""),50.0)</f>
        <v>50</v>
      </c>
      <c r="M386" s="561">
        <f>IFERROR(__xludf.DUMMYFUNCTION("""COMPUTED_VALUE"""),51.0)</f>
        <v>51</v>
      </c>
      <c r="N386" s="561">
        <f>IFERROR(__xludf.DUMMYFUNCTION("""COMPUTED_VALUE"""),76.0)</f>
        <v>76</v>
      </c>
      <c r="O386" s="560"/>
      <c r="P386" s="562">
        <f>IFERROR(__xludf.DUMMYFUNCTION("""COMPUTED_VALUE"""),82.0)</f>
        <v>82</v>
      </c>
      <c r="Q386" s="562">
        <f>IFERROR(__xludf.DUMMYFUNCTION("""COMPUTED_VALUE"""),84.0)</f>
        <v>84</v>
      </c>
      <c r="R386" s="562">
        <f>IFERROR(__xludf.DUMMYFUNCTION("""COMPUTED_VALUE"""),95.0)</f>
        <v>95</v>
      </c>
      <c r="S386" s="562"/>
      <c r="T386" s="217">
        <f>IFERROR(__xludf.DUMMYFUNCTION("""COMPUTED_VALUE"""),14.0)</f>
        <v>14</v>
      </c>
      <c r="U386" s="217">
        <f>IFERROR(__xludf.DUMMYFUNCTION("""COMPUTED_VALUE"""),22.0)</f>
        <v>22</v>
      </c>
      <c r="V386" s="217">
        <f>IFERROR(__xludf.DUMMYFUNCTION("""COMPUTED_VALUE"""),44.0)</f>
        <v>44</v>
      </c>
      <c r="W386" s="217">
        <f>IFERROR(__xludf.DUMMYFUNCTION("""COMPUTED_VALUE"""),76.0)</f>
        <v>76</v>
      </c>
      <c r="X386" s="217">
        <f>IFERROR(__xludf.DUMMYFUNCTION("""COMPUTED_VALUE"""),92.0)</f>
        <v>92</v>
      </c>
      <c r="Y386" s="217"/>
      <c r="Z386" s="217"/>
      <c r="AA386" s="481">
        <f>IFERROR(__xludf.DUMMYFUNCTION("""COMPUTED_VALUE"""),68.0)</f>
        <v>68</v>
      </c>
      <c r="AB386" s="481">
        <f>IFERROR(__xludf.DUMMYFUNCTION("""COMPUTED_VALUE"""),97.0)</f>
        <v>97</v>
      </c>
      <c r="AC386" s="481">
        <f>IFERROR(__xludf.DUMMYFUNCTION("""COMPUTED_VALUE"""),67.0)</f>
        <v>67</v>
      </c>
      <c r="AD386" s="481">
        <f>IFERROR(__xludf.DUMMYFUNCTION("""COMPUTED_VALUE"""),80.0)</f>
        <v>80</v>
      </c>
      <c r="AE386" s="481">
        <f>IFERROR(__xludf.DUMMYFUNCTION("""COMPUTED_VALUE"""),80.0)</f>
        <v>80</v>
      </c>
      <c r="AF386" s="481"/>
      <c r="AG386" s="481">
        <f>IFERROR(__xludf.DUMMYFUNCTION("""COMPUTED_VALUE"""),81.0)</f>
        <v>81</v>
      </c>
      <c r="AH386" s="481"/>
      <c r="AI386" s="158"/>
      <c r="AJ386" s="158"/>
      <c r="AK386" s="133">
        <f>IFERROR(__xludf.DUMMYFUNCTION("""COMPUTED_VALUE"""),4.0)</f>
        <v>4</v>
      </c>
      <c r="AL386" s="133">
        <f>IFERROR(__xludf.DUMMYFUNCTION("""COMPUTED_VALUE"""),3.0)</f>
        <v>3</v>
      </c>
      <c r="AM386" s="133">
        <f>IFERROR(__xludf.DUMMYFUNCTION("""COMPUTED_VALUE"""),3.0)</f>
        <v>3</v>
      </c>
      <c r="AN386" s="133" t="str">
        <f>IFERROR(__xludf.DUMMYFUNCTION("""COMPUTED_VALUE"""),"3.5")</f>
        <v>3.5</v>
      </c>
      <c r="AO386" s="133">
        <f>IFERROR(__xludf.DUMMYFUNCTION("""COMPUTED_VALUE"""),3.0)</f>
        <v>3</v>
      </c>
      <c r="AP386" s="155" t="s">
        <v>3706</v>
      </c>
    </row>
    <row r="387">
      <c r="A387" s="155">
        <f>IFERROR(__xludf.DUMMYFUNCTION("""COMPUTED_VALUE"""),149.0)</f>
        <v>149</v>
      </c>
      <c r="B387" s="155" t="str">
        <f>IFERROR(__xludf.DUMMYFUNCTION("""COMPUTED_VALUE"""),"shsh23ise@cmrit.ac.in")</f>
        <v>shsh23ise@cmrit.ac.in</v>
      </c>
      <c r="C387" s="174" t="str">
        <f>IFERROR(__xludf.DUMMYFUNCTION("""COMPUTED_VALUE"""),"SHALINI V")</f>
        <v>SHALINI V</v>
      </c>
      <c r="D387" s="155" t="str">
        <f>IFERROR(__xludf.DUMMYFUNCTION("""COMPUTED_VALUE"""),"1CR23IS154")</f>
        <v>1CR23IS154</v>
      </c>
      <c r="E387" s="563">
        <f>IFERROR(__xludf.DUMMYFUNCTION("""COMPUTED_VALUE"""),7.795004907E9)</f>
        <v>7795004907</v>
      </c>
      <c r="F387" s="155" t="str">
        <f>IFERROR(__xludf.DUMMYFUNCTION("""COMPUTED_VALUE"""),"ISE")</f>
        <v>ISE</v>
      </c>
      <c r="G387" s="158"/>
      <c r="H387" s="559">
        <f>IFERROR(__xludf.DUMMYFUNCTION("""COMPUTED_VALUE"""),81.0)</f>
        <v>81</v>
      </c>
      <c r="I387" s="559">
        <f>IFERROR(__xludf.DUMMYFUNCTION("""COMPUTED_VALUE"""),88.0)</f>
        <v>88</v>
      </c>
      <c r="J387" s="559">
        <f>IFERROR(__xludf.DUMMYFUNCTION("""COMPUTED_VALUE"""),77.0)</f>
        <v>77</v>
      </c>
      <c r="K387" s="559">
        <f>IFERROR(__xludf.DUMMYFUNCTION("""COMPUTED_VALUE"""),83.0)</f>
        <v>83</v>
      </c>
      <c r="L387" s="560">
        <f>IFERROR(__xludf.DUMMYFUNCTION("""COMPUTED_VALUE"""),50.0)</f>
        <v>50</v>
      </c>
      <c r="M387" s="561">
        <f>IFERROR(__xludf.DUMMYFUNCTION("""COMPUTED_VALUE"""),44.0)</f>
        <v>44</v>
      </c>
      <c r="N387" s="561">
        <f>IFERROR(__xludf.DUMMYFUNCTION("""COMPUTED_VALUE"""),74.0)</f>
        <v>74</v>
      </c>
      <c r="O387" s="560"/>
      <c r="P387" s="562">
        <f>IFERROR(__xludf.DUMMYFUNCTION("""COMPUTED_VALUE"""),68.0)</f>
        <v>68</v>
      </c>
      <c r="Q387" s="562">
        <f>IFERROR(__xludf.DUMMYFUNCTION("""COMPUTED_VALUE"""),71.0)</f>
        <v>71</v>
      </c>
      <c r="R387" s="562">
        <f>IFERROR(__xludf.DUMMYFUNCTION("""COMPUTED_VALUE"""),50.0)</f>
        <v>50</v>
      </c>
      <c r="S387" s="562"/>
      <c r="T387" s="217">
        <f>IFERROR(__xludf.DUMMYFUNCTION("""COMPUTED_VALUE"""),11.0)</f>
        <v>11</v>
      </c>
      <c r="U387" s="217">
        <f>IFERROR(__xludf.DUMMYFUNCTION("""COMPUTED_VALUE"""),23.0)</f>
        <v>23</v>
      </c>
      <c r="V387" s="217">
        <f>IFERROR(__xludf.DUMMYFUNCTION("""COMPUTED_VALUE"""),48.0)</f>
        <v>48</v>
      </c>
      <c r="W387" s="217"/>
      <c r="X387" s="217">
        <f>IFERROR(__xludf.DUMMYFUNCTION("""COMPUTED_VALUE"""),92.0)</f>
        <v>92</v>
      </c>
      <c r="Y387" s="217"/>
      <c r="Z387" s="217"/>
      <c r="AA387" s="481">
        <f>IFERROR(__xludf.DUMMYFUNCTION("""COMPUTED_VALUE"""),32.0)</f>
        <v>32</v>
      </c>
      <c r="AB387" s="481">
        <f>IFERROR(__xludf.DUMMYFUNCTION("""COMPUTED_VALUE"""),88.0)</f>
        <v>88</v>
      </c>
      <c r="AC387" s="481">
        <f>IFERROR(__xludf.DUMMYFUNCTION("""COMPUTED_VALUE"""),72.0)</f>
        <v>72</v>
      </c>
      <c r="AD387" s="481">
        <f>IFERROR(__xludf.DUMMYFUNCTION("""COMPUTED_VALUE"""),60.0)</f>
        <v>60</v>
      </c>
      <c r="AE387" s="481">
        <f>IFERROR(__xludf.DUMMYFUNCTION("""COMPUTED_VALUE"""),75.0)</f>
        <v>75</v>
      </c>
      <c r="AF387" s="481"/>
      <c r="AG387" s="481">
        <f>IFERROR(__xludf.DUMMYFUNCTION("""COMPUTED_VALUE"""),81.0)</f>
        <v>81</v>
      </c>
      <c r="AH387" s="481"/>
      <c r="AI387" s="158"/>
      <c r="AJ387" s="158"/>
      <c r="AK387" s="133">
        <f>IFERROR(__xludf.DUMMYFUNCTION("""COMPUTED_VALUE"""),4.0)</f>
        <v>4</v>
      </c>
      <c r="AL387" s="133">
        <f>IFERROR(__xludf.DUMMYFUNCTION("""COMPUTED_VALUE"""),1.0)</f>
        <v>1</v>
      </c>
      <c r="AM387" s="133">
        <f>IFERROR(__xludf.DUMMYFUNCTION("""COMPUTED_VALUE"""),2.0)</f>
        <v>2</v>
      </c>
      <c r="AN387" s="133" t="str">
        <f>IFERROR(__xludf.DUMMYFUNCTION("""COMPUTED_VALUE"""),"3.5")</f>
        <v>3.5</v>
      </c>
      <c r="AO387" s="133">
        <f>IFERROR(__xludf.DUMMYFUNCTION("""COMPUTED_VALUE"""),3.0)</f>
        <v>3</v>
      </c>
      <c r="AP387" s="155" t="s">
        <v>3706</v>
      </c>
    </row>
    <row r="388">
      <c r="A388" s="155">
        <f>IFERROR(__xludf.DUMMYFUNCTION("""COMPUTED_VALUE"""),150.0)</f>
        <v>150</v>
      </c>
      <c r="B388" s="155" t="str">
        <f>IFERROR(__xludf.DUMMYFUNCTION("""COMPUTED_VALUE"""),"shsi23ise@cmrit.ac.in")</f>
        <v>shsi23ise@cmrit.ac.in</v>
      </c>
      <c r="C388" s="174" t="str">
        <f>IFERROR(__xludf.DUMMYFUNCTION("""COMPUTED_VALUE"""),"SHAMBHAVI SINGH")</f>
        <v>SHAMBHAVI SINGH</v>
      </c>
      <c r="D388" s="155" t="str">
        <f>IFERROR(__xludf.DUMMYFUNCTION("""COMPUTED_VALUE"""),"1CR23IS155")</f>
        <v>1CR23IS155</v>
      </c>
      <c r="E388" s="563">
        <f>IFERROR(__xludf.DUMMYFUNCTION("""COMPUTED_VALUE"""),9.334958538E9)</f>
        <v>9334958538</v>
      </c>
      <c r="F388" s="155" t="str">
        <f>IFERROR(__xludf.DUMMYFUNCTION("""COMPUTED_VALUE"""),"ISE")</f>
        <v>ISE</v>
      </c>
      <c r="G388" s="158"/>
      <c r="H388" s="559">
        <f>IFERROR(__xludf.DUMMYFUNCTION("""COMPUTED_VALUE"""),89.0)</f>
        <v>89</v>
      </c>
      <c r="I388" s="559">
        <f>IFERROR(__xludf.DUMMYFUNCTION("""COMPUTED_VALUE"""),94.0)</f>
        <v>94</v>
      </c>
      <c r="J388" s="559">
        <f>IFERROR(__xludf.DUMMYFUNCTION("""COMPUTED_VALUE"""),82.0)</f>
        <v>82</v>
      </c>
      <c r="K388" s="559">
        <f>IFERROR(__xludf.DUMMYFUNCTION("""COMPUTED_VALUE"""),82.0)</f>
        <v>82</v>
      </c>
      <c r="L388" s="560">
        <f>IFERROR(__xludf.DUMMYFUNCTION("""COMPUTED_VALUE"""),50.0)</f>
        <v>50</v>
      </c>
      <c r="M388" s="561">
        <f>IFERROR(__xludf.DUMMYFUNCTION("""COMPUTED_VALUE"""),74.0)</f>
        <v>74</v>
      </c>
      <c r="N388" s="561">
        <f>IFERROR(__xludf.DUMMYFUNCTION("""COMPUTED_VALUE"""),74.0)</f>
        <v>74</v>
      </c>
      <c r="O388" s="560"/>
      <c r="P388" s="562">
        <f>IFERROR(__xludf.DUMMYFUNCTION("""COMPUTED_VALUE"""),81.0)</f>
        <v>81</v>
      </c>
      <c r="Q388" s="562">
        <f>IFERROR(__xludf.DUMMYFUNCTION("""COMPUTED_VALUE"""),84.0)</f>
        <v>84</v>
      </c>
      <c r="R388" s="562">
        <f>IFERROR(__xludf.DUMMYFUNCTION("""COMPUTED_VALUE"""),95.0)</f>
        <v>95</v>
      </c>
      <c r="S388" s="562"/>
      <c r="T388" s="217">
        <f>IFERROR(__xludf.DUMMYFUNCTION("""COMPUTED_VALUE"""),19.0)</f>
        <v>19</v>
      </c>
      <c r="U388" s="217">
        <f>IFERROR(__xludf.DUMMYFUNCTION("""COMPUTED_VALUE"""),23.0)</f>
        <v>23</v>
      </c>
      <c r="V388" s="217">
        <f>IFERROR(__xludf.DUMMYFUNCTION("""COMPUTED_VALUE"""),46.0)</f>
        <v>46</v>
      </c>
      <c r="W388" s="217">
        <f>IFERROR(__xludf.DUMMYFUNCTION("""COMPUTED_VALUE"""),76.0)</f>
        <v>76</v>
      </c>
      <c r="X388" s="217">
        <f>IFERROR(__xludf.DUMMYFUNCTION("""COMPUTED_VALUE"""),80.0)</f>
        <v>80</v>
      </c>
      <c r="Y388" s="217"/>
      <c r="Z388" s="217"/>
      <c r="AA388" s="481">
        <f>IFERROR(__xludf.DUMMYFUNCTION("""COMPUTED_VALUE"""),68.0)</f>
        <v>68</v>
      </c>
      <c r="AB388" s="481">
        <f>IFERROR(__xludf.DUMMYFUNCTION("""COMPUTED_VALUE"""),100.0)</f>
        <v>100</v>
      </c>
      <c r="AC388" s="481">
        <f>IFERROR(__xludf.DUMMYFUNCTION("""COMPUTED_VALUE"""),81.0)</f>
        <v>81</v>
      </c>
      <c r="AD388" s="481">
        <f>IFERROR(__xludf.DUMMYFUNCTION("""COMPUTED_VALUE"""),75.0)</f>
        <v>75</v>
      </c>
      <c r="AE388" s="481">
        <f>IFERROR(__xludf.DUMMYFUNCTION("""COMPUTED_VALUE"""),80.0)</f>
        <v>80</v>
      </c>
      <c r="AF388" s="481"/>
      <c r="AG388" s="481">
        <f>IFERROR(__xludf.DUMMYFUNCTION("""COMPUTED_VALUE"""),88.0)</f>
        <v>88</v>
      </c>
      <c r="AH388" s="481"/>
      <c r="AI388" s="158"/>
      <c r="AJ388" s="158"/>
      <c r="AK388" s="133">
        <f>IFERROR(__xludf.DUMMYFUNCTION("""COMPUTED_VALUE"""),4.0)</f>
        <v>4</v>
      </c>
      <c r="AL388" s="133">
        <f>IFERROR(__xludf.DUMMYFUNCTION("""COMPUTED_VALUE"""),3.0)</f>
        <v>3</v>
      </c>
      <c r="AM388" s="133">
        <f>IFERROR(__xludf.DUMMYFUNCTION("""COMPUTED_VALUE"""),3.0)</f>
        <v>3</v>
      </c>
      <c r="AN388" s="133" t="str">
        <f>IFERROR(__xludf.DUMMYFUNCTION("""COMPUTED_VALUE"""),"3.5")</f>
        <v>3.5</v>
      </c>
      <c r="AO388" s="133">
        <f>IFERROR(__xludf.DUMMYFUNCTION("""COMPUTED_VALUE"""),3.0)</f>
        <v>3</v>
      </c>
      <c r="AP388" s="155" t="s">
        <v>3706</v>
      </c>
    </row>
    <row r="389">
      <c r="A389" s="155">
        <f>IFERROR(__xludf.DUMMYFUNCTION("""COMPUTED_VALUE"""),151.0)</f>
        <v>151</v>
      </c>
      <c r="B389" s="155" t="str">
        <f>IFERROR(__xludf.DUMMYFUNCTION("""COMPUTED_VALUE"""),"shar23ise@cmrit.ac.in")</f>
        <v>shar23ise@cmrit.ac.in</v>
      </c>
      <c r="C389" s="174" t="str">
        <f>IFERROR(__xludf.DUMMYFUNCTION("""COMPUTED_VALUE"""),"SHARANABASAVA")</f>
        <v>SHARANABASAVA</v>
      </c>
      <c r="D389" s="155" t="str">
        <f>IFERROR(__xludf.DUMMYFUNCTION("""COMPUTED_VALUE"""),"1CR23IS156")</f>
        <v>1CR23IS156</v>
      </c>
      <c r="E389" s="563">
        <f>IFERROR(__xludf.DUMMYFUNCTION("""COMPUTED_VALUE"""),8.073623789E9)</f>
        <v>8073623789</v>
      </c>
      <c r="F389" s="155" t="str">
        <f>IFERROR(__xludf.DUMMYFUNCTION("""COMPUTED_VALUE"""),"ISE")</f>
        <v>ISE</v>
      </c>
      <c r="G389" s="158"/>
      <c r="H389" s="559">
        <f>IFERROR(__xludf.DUMMYFUNCTION("""COMPUTED_VALUE"""),69.0)</f>
        <v>69</v>
      </c>
      <c r="I389" s="559">
        <f>IFERROR(__xludf.DUMMYFUNCTION("""COMPUTED_VALUE"""),72.0)</f>
        <v>72</v>
      </c>
      <c r="J389" s="559">
        <f>IFERROR(__xludf.DUMMYFUNCTION("""COMPUTED_VALUE"""),70.0)</f>
        <v>70</v>
      </c>
      <c r="K389" s="559">
        <f>IFERROR(__xludf.DUMMYFUNCTION("""COMPUTED_VALUE"""),22.0)</f>
        <v>22</v>
      </c>
      <c r="L389" s="560">
        <f>IFERROR(__xludf.DUMMYFUNCTION("""COMPUTED_VALUE"""),21.0)</f>
        <v>21</v>
      </c>
      <c r="M389" s="561">
        <f>IFERROR(__xludf.DUMMYFUNCTION("""COMPUTED_VALUE"""),53.0)</f>
        <v>53</v>
      </c>
      <c r="N389" s="561">
        <f>IFERROR(__xludf.DUMMYFUNCTION("""COMPUTED_VALUE"""),22.0)</f>
        <v>22</v>
      </c>
      <c r="O389" s="560"/>
      <c r="P389" s="562">
        <f>IFERROR(__xludf.DUMMYFUNCTION("""COMPUTED_VALUE"""),0.0)</f>
        <v>0</v>
      </c>
      <c r="Q389" s="562">
        <f>IFERROR(__xludf.DUMMYFUNCTION("""COMPUTED_VALUE"""),57.0)</f>
        <v>57</v>
      </c>
      <c r="R389" s="562">
        <f>IFERROR(__xludf.DUMMYFUNCTION("""COMPUTED_VALUE"""),0.0)</f>
        <v>0</v>
      </c>
      <c r="S389" s="562"/>
      <c r="T389" s="217">
        <f>IFERROR(__xludf.DUMMYFUNCTION("""COMPUTED_VALUE"""),14.0)</f>
        <v>14</v>
      </c>
      <c r="U389" s="217">
        <f>IFERROR(__xludf.DUMMYFUNCTION("""COMPUTED_VALUE"""),22.0)</f>
        <v>22</v>
      </c>
      <c r="V389" s="217">
        <f>IFERROR(__xludf.DUMMYFUNCTION("""COMPUTED_VALUE"""),46.0)</f>
        <v>46</v>
      </c>
      <c r="W389" s="217">
        <f>IFERROR(__xludf.DUMMYFUNCTION("""COMPUTED_VALUE"""),20.0)</f>
        <v>20</v>
      </c>
      <c r="X389" s="217">
        <f>IFERROR(__xludf.DUMMYFUNCTION("""COMPUTED_VALUE"""),72.0)</f>
        <v>72</v>
      </c>
      <c r="Y389" s="217"/>
      <c r="Z389" s="217"/>
      <c r="AA389" s="481">
        <f>IFERROR(__xludf.DUMMYFUNCTION("""COMPUTED_VALUE"""),0.0)</f>
        <v>0</v>
      </c>
      <c r="AB389" s="481">
        <f>IFERROR(__xludf.DUMMYFUNCTION("""COMPUTED_VALUE"""),59.0)</f>
        <v>59</v>
      </c>
      <c r="AC389" s="481">
        <f>IFERROR(__xludf.DUMMYFUNCTION("""COMPUTED_VALUE"""),100.0)</f>
        <v>100</v>
      </c>
      <c r="AD389" s="481">
        <f>IFERROR(__xludf.DUMMYFUNCTION("""COMPUTED_VALUE"""),2.0)</f>
        <v>2</v>
      </c>
      <c r="AE389" s="481">
        <f>IFERROR(__xludf.DUMMYFUNCTION("""COMPUTED_VALUE"""),10.0)</f>
        <v>10</v>
      </c>
      <c r="AF389" s="481"/>
      <c r="AG389" s="481">
        <f>IFERROR(__xludf.DUMMYFUNCTION("""COMPUTED_VALUE"""),0.0)</f>
        <v>0</v>
      </c>
      <c r="AH389" s="481"/>
      <c r="AI389" s="158"/>
      <c r="AJ389" s="158"/>
      <c r="AK389" s="133">
        <f>IFERROR(__xludf.DUMMYFUNCTION("""COMPUTED_VALUE"""),3.0)</f>
        <v>3</v>
      </c>
      <c r="AL389" s="133">
        <f>IFERROR(__xludf.DUMMYFUNCTION("""COMPUTED_VALUE"""),0.0)</f>
        <v>0</v>
      </c>
      <c r="AM389" s="133">
        <f>IFERROR(__xludf.DUMMYFUNCTION("""COMPUTED_VALUE"""),2.0)</f>
        <v>2</v>
      </c>
      <c r="AN389" s="133" t="str">
        <f>IFERROR(__xludf.DUMMYFUNCTION("""COMPUTED_VALUE"""),"3")</f>
        <v>3</v>
      </c>
      <c r="AO389" s="133">
        <f>IFERROR(__xludf.DUMMYFUNCTION("""COMPUTED_VALUE"""),0.0)</f>
        <v>0</v>
      </c>
      <c r="AP389" s="155" t="s">
        <v>3706</v>
      </c>
    </row>
    <row r="390">
      <c r="A390" s="155">
        <f>IFERROR(__xludf.DUMMYFUNCTION("""COMPUTED_VALUE"""),152.0)</f>
        <v>152</v>
      </c>
      <c r="B390" s="155" t="str">
        <f>IFERROR(__xludf.DUMMYFUNCTION("""COMPUTED_VALUE"""),"shp23ise@cmrit.ac.in")</f>
        <v>shp23ise@cmrit.ac.in</v>
      </c>
      <c r="C390" s="174" t="str">
        <f>IFERROR(__xludf.DUMMYFUNCTION("""COMPUTED_VALUE"""),"SHEKHAR GUPTA")</f>
        <v>SHEKHAR GUPTA</v>
      </c>
      <c r="D390" s="155" t="str">
        <f>IFERROR(__xludf.DUMMYFUNCTION("""COMPUTED_VALUE"""),"1CR23IS158")</f>
        <v>1CR23IS158</v>
      </c>
      <c r="E390" s="563">
        <f>IFERROR(__xludf.DUMMYFUNCTION("""COMPUTED_VALUE"""),7.3490603E9)</f>
        <v>7349060300</v>
      </c>
      <c r="F390" s="155" t="str">
        <f>IFERROR(__xludf.DUMMYFUNCTION("""COMPUTED_VALUE"""),"ISE")</f>
        <v>ISE</v>
      </c>
      <c r="G390" s="158"/>
      <c r="H390" s="559">
        <f>IFERROR(__xludf.DUMMYFUNCTION("""COMPUTED_VALUE"""),80.0)</f>
        <v>80</v>
      </c>
      <c r="I390" s="559">
        <f>IFERROR(__xludf.DUMMYFUNCTION("""COMPUTED_VALUE"""),92.0)</f>
        <v>92</v>
      </c>
      <c r="J390" s="559">
        <f>IFERROR(__xludf.DUMMYFUNCTION("""COMPUTED_VALUE"""),32.0)</f>
        <v>32</v>
      </c>
      <c r="K390" s="559">
        <f>IFERROR(__xludf.DUMMYFUNCTION("""COMPUTED_VALUE"""),70.0)</f>
        <v>70</v>
      </c>
      <c r="L390" s="560">
        <f>IFERROR(__xludf.DUMMYFUNCTION("""COMPUTED_VALUE"""),50.0)</f>
        <v>50</v>
      </c>
      <c r="M390" s="561">
        <f>IFERROR(__xludf.DUMMYFUNCTION("""COMPUTED_VALUE"""),50.0)</f>
        <v>50</v>
      </c>
      <c r="N390" s="561">
        <f>IFERROR(__xludf.DUMMYFUNCTION("""COMPUTED_VALUE"""),25.0)</f>
        <v>25</v>
      </c>
      <c r="O390" s="560"/>
      <c r="P390" s="562">
        <f>IFERROR(__xludf.DUMMYFUNCTION("""COMPUTED_VALUE"""),50.0)</f>
        <v>50</v>
      </c>
      <c r="Q390" s="562">
        <f>IFERROR(__xludf.DUMMYFUNCTION("""COMPUTED_VALUE"""),63.0)</f>
        <v>63</v>
      </c>
      <c r="R390" s="562">
        <f>IFERROR(__xludf.DUMMYFUNCTION("""COMPUTED_VALUE"""),89.0)</f>
        <v>89</v>
      </c>
      <c r="S390" s="562"/>
      <c r="T390" s="217">
        <f>IFERROR(__xludf.DUMMYFUNCTION("""COMPUTED_VALUE"""),19.0)</f>
        <v>19</v>
      </c>
      <c r="U390" s="217">
        <f>IFERROR(__xludf.DUMMYFUNCTION("""COMPUTED_VALUE"""),24.0)</f>
        <v>24</v>
      </c>
      <c r="V390" s="217">
        <f>IFERROR(__xludf.DUMMYFUNCTION("""COMPUTED_VALUE"""),48.0)</f>
        <v>48</v>
      </c>
      <c r="W390" s="217">
        <f>IFERROR(__xludf.DUMMYFUNCTION("""COMPUTED_VALUE"""),56.0)</f>
        <v>56</v>
      </c>
      <c r="X390" s="217">
        <f>IFERROR(__xludf.DUMMYFUNCTION("""COMPUTED_VALUE"""),68.0)</f>
        <v>68</v>
      </c>
      <c r="Y390" s="217"/>
      <c r="Z390" s="217"/>
      <c r="AA390" s="481">
        <f>IFERROR(__xludf.DUMMYFUNCTION("""COMPUTED_VALUE"""),0.0)</f>
        <v>0</v>
      </c>
      <c r="AB390" s="481">
        <f>IFERROR(__xludf.DUMMYFUNCTION("""COMPUTED_VALUE"""),50.0)</f>
        <v>50</v>
      </c>
      <c r="AC390" s="481">
        <f>IFERROR(__xludf.DUMMYFUNCTION("""COMPUTED_VALUE"""),0.0)</f>
        <v>0</v>
      </c>
      <c r="AD390" s="481">
        <f>IFERROR(__xludf.DUMMYFUNCTION("""COMPUTED_VALUE"""),100.0)</f>
        <v>100</v>
      </c>
      <c r="AE390" s="481">
        <f>IFERROR(__xludf.DUMMYFUNCTION("""COMPUTED_VALUE"""),80.0)</f>
        <v>80</v>
      </c>
      <c r="AF390" s="481"/>
      <c r="AG390" s="481">
        <f>IFERROR(__xludf.DUMMYFUNCTION("""COMPUTED_VALUE"""),0.0)</f>
        <v>0</v>
      </c>
      <c r="AH390" s="481"/>
      <c r="AI390" s="158"/>
      <c r="AJ390" s="158"/>
      <c r="AK390" s="133">
        <f>IFERROR(__xludf.DUMMYFUNCTION("""COMPUTED_VALUE"""),2.0)</f>
        <v>2</v>
      </c>
      <c r="AL390" s="133">
        <f>IFERROR(__xludf.DUMMYFUNCTION("""COMPUTED_VALUE"""),2.0)</f>
        <v>2</v>
      </c>
      <c r="AM390" s="133">
        <f>IFERROR(__xludf.DUMMYFUNCTION("""COMPUTED_VALUE"""),3.0)</f>
        <v>3</v>
      </c>
      <c r="AN390" s="133" t="str">
        <f>IFERROR(__xludf.DUMMYFUNCTION("""COMPUTED_VALUE"""),"3.5")</f>
        <v>3.5</v>
      </c>
      <c r="AO390" s="133">
        <f>IFERROR(__xludf.DUMMYFUNCTION("""COMPUTED_VALUE"""),3.0)</f>
        <v>3</v>
      </c>
      <c r="AP390" s="155" t="s">
        <v>3706</v>
      </c>
    </row>
    <row r="391">
      <c r="A391" s="155">
        <f>IFERROR(__xludf.DUMMYFUNCTION("""COMPUTED_VALUE"""),153.0)</f>
        <v>153</v>
      </c>
      <c r="B391" s="155" t="str">
        <f>IFERROR(__xludf.DUMMYFUNCTION("""COMPUTED_VALUE"""),"shsa23ise@cmrit.ac.in")</f>
        <v>shsa23ise@cmrit.ac.in</v>
      </c>
      <c r="C391" s="174" t="str">
        <f>IFERROR(__xludf.DUMMYFUNCTION("""COMPUTED_VALUE"""),"SHIVAM SAHANI")</f>
        <v>SHIVAM SAHANI</v>
      </c>
      <c r="D391" s="155" t="str">
        <f>IFERROR(__xludf.DUMMYFUNCTION("""COMPUTED_VALUE"""),"1CR23IS159")</f>
        <v>1CR23IS159</v>
      </c>
      <c r="E391" s="563"/>
      <c r="F391" s="155" t="str">
        <f>IFERROR(__xludf.DUMMYFUNCTION("""COMPUTED_VALUE"""),"ISE")</f>
        <v>ISE</v>
      </c>
      <c r="G391" s="158"/>
      <c r="H391" s="559">
        <f>IFERROR(__xludf.DUMMYFUNCTION("""COMPUTED_VALUE"""),71.0)</f>
        <v>71</v>
      </c>
      <c r="I391" s="559">
        <f>IFERROR(__xludf.DUMMYFUNCTION("""COMPUTED_VALUE"""),88.0)</f>
        <v>88</v>
      </c>
      <c r="J391" s="559">
        <f>IFERROR(__xludf.DUMMYFUNCTION("""COMPUTED_VALUE"""),70.0)</f>
        <v>70</v>
      </c>
      <c r="K391" s="559">
        <f>IFERROR(__xludf.DUMMYFUNCTION("""COMPUTED_VALUE"""),70.0)</f>
        <v>70</v>
      </c>
      <c r="L391" s="560">
        <f>IFERROR(__xludf.DUMMYFUNCTION("""COMPUTED_VALUE"""),50.0)</f>
        <v>50</v>
      </c>
      <c r="M391" s="561">
        <f>IFERROR(__xludf.DUMMYFUNCTION("""COMPUTED_VALUE"""),64.0)</f>
        <v>64</v>
      </c>
      <c r="N391" s="561">
        <f>IFERROR(__xludf.DUMMYFUNCTION("""COMPUTED_VALUE"""),50.0)</f>
        <v>50</v>
      </c>
      <c r="O391" s="560"/>
      <c r="P391" s="562">
        <f>IFERROR(__xludf.DUMMYFUNCTION("""COMPUTED_VALUE"""),50.0)</f>
        <v>50</v>
      </c>
      <c r="Q391" s="562">
        <f>IFERROR(__xludf.DUMMYFUNCTION("""COMPUTED_VALUE"""),63.0)</f>
        <v>63</v>
      </c>
      <c r="R391" s="562">
        <f>IFERROR(__xludf.DUMMYFUNCTION("""COMPUTED_VALUE"""),50.0)</f>
        <v>50</v>
      </c>
      <c r="S391" s="562"/>
      <c r="T391" s="217">
        <f>IFERROR(__xludf.DUMMYFUNCTION("""COMPUTED_VALUE"""),19.0)</f>
        <v>19</v>
      </c>
      <c r="U391" s="217">
        <f>IFERROR(__xludf.DUMMYFUNCTION("""COMPUTED_VALUE"""),22.0)</f>
        <v>22</v>
      </c>
      <c r="V391" s="217">
        <f>IFERROR(__xludf.DUMMYFUNCTION("""COMPUTED_VALUE"""),48.0)</f>
        <v>48</v>
      </c>
      <c r="W391" s="217">
        <f>IFERROR(__xludf.DUMMYFUNCTION("""COMPUTED_VALUE"""),64.0)</f>
        <v>64</v>
      </c>
      <c r="X391" s="217">
        <f>IFERROR(__xludf.DUMMYFUNCTION("""COMPUTED_VALUE"""),88.0)</f>
        <v>88</v>
      </c>
      <c r="Y391" s="217"/>
      <c r="Z391" s="217"/>
      <c r="AA391" s="481">
        <f>IFERROR(__xludf.DUMMYFUNCTION("""COMPUTED_VALUE"""),6.0)</f>
        <v>6</v>
      </c>
      <c r="AB391" s="481">
        <f>IFERROR(__xludf.DUMMYFUNCTION("""COMPUTED_VALUE"""),88.0)</f>
        <v>88</v>
      </c>
      <c r="AC391" s="481">
        <f>IFERROR(__xludf.DUMMYFUNCTION("""COMPUTED_VALUE"""),75.0)</f>
        <v>75</v>
      </c>
      <c r="AD391" s="481">
        <f>IFERROR(__xludf.DUMMYFUNCTION("""COMPUTED_VALUE"""),100.0)</f>
        <v>100</v>
      </c>
      <c r="AE391" s="481">
        <f>IFERROR(__xludf.DUMMYFUNCTION("""COMPUTED_VALUE"""),70.0)</f>
        <v>70</v>
      </c>
      <c r="AF391" s="481"/>
      <c r="AG391" s="481">
        <f>IFERROR(__xludf.DUMMYFUNCTION("""COMPUTED_VALUE"""),62.0)</f>
        <v>62</v>
      </c>
      <c r="AH391" s="481"/>
      <c r="AI391" s="158"/>
      <c r="AJ391" s="158"/>
      <c r="AK391" s="133">
        <f>IFERROR(__xludf.DUMMYFUNCTION("""COMPUTED_VALUE"""),4.0)</f>
        <v>4</v>
      </c>
      <c r="AL391" s="133">
        <f>IFERROR(__xludf.DUMMYFUNCTION("""COMPUTED_VALUE"""),3.0)</f>
        <v>3</v>
      </c>
      <c r="AM391" s="133">
        <f>IFERROR(__xludf.DUMMYFUNCTION("""COMPUTED_VALUE"""),3.0)</f>
        <v>3</v>
      </c>
      <c r="AN391" s="133" t="str">
        <f>IFERROR(__xludf.DUMMYFUNCTION("""COMPUTED_VALUE"""),"3.5")</f>
        <v>3.5</v>
      </c>
      <c r="AO391" s="133">
        <f>IFERROR(__xludf.DUMMYFUNCTION("""COMPUTED_VALUE"""),3.0)</f>
        <v>3</v>
      </c>
      <c r="AP391" s="155" t="s">
        <v>3706</v>
      </c>
    </row>
    <row r="392">
      <c r="A392" s="155">
        <f>IFERROR(__xludf.DUMMYFUNCTION("""COMPUTED_VALUE"""),154.0)</f>
        <v>154</v>
      </c>
      <c r="B392" s="155" t="str">
        <f>IFERROR(__xludf.DUMMYFUNCTION("""COMPUTED_VALUE"""),"shmo23ise@cmrit.ac.in")</f>
        <v>shmo23ise@cmrit.ac.in</v>
      </c>
      <c r="C392" s="174" t="str">
        <f>IFERROR(__xludf.DUMMYFUNCTION("""COMPUTED_VALUE"""),"SHOVAN MONDAL")</f>
        <v>SHOVAN MONDAL</v>
      </c>
      <c r="D392" s="155" t="str">
        <f>IFERROR(__xludf.DUMMYFUNCTION("""COMPUTED_VALUE"""),"1CR23IS160")</f>
        <v>1CR23IS160</v>
      </c>
      <c r="E392" s="563">
        <f>IFERROR(__xludf.DUMMYFUNCTION("""COMPUTED_VALUE"""),8.9712178E9)</f>
        <v>8971217800</v>
      </c>
      <c r="F392" s="155" t="str">
        <f>IFERROR(__xludf.DUMMYFUNCTION("""COMPUTED_VALUE"""),"ISE")</f>
        <v>ISE</v>
      </c>
      <c r="G392" s="158"/>
      <c r="H392" s="559">
        <f>IFERROR(__xludf.DUMMYFUNCTION("""COMPUTED_VALUE"""),77.0)</f>
        <v>77</v>
      </c>
      <c r="I392" s="559">
        <f>IFERROR(__xludf.DUMMYFUNCTION("""COMPUTED_VALUE"""),85.0)</f>
        <v>85</v>
      </c>
      <c r="J392" s="559">
        <f>IFERROR(__xludf.DUMMYFUNCTION("""COMPUTED_VALUE"""),70.0)</f>
        <v>70</v>
      </c>
      <c r="K392" s="559">
        <f>IFERROR(__xludf.DUMMYFUNCTION("""COMPUTED_VALUE"""),79.0)</f>
        <v>79</v>
      </c>
      <c r="L392" s="560">
        <f>IFERROR(__xludf.DUMMYFUNCTION("""COMPUTED_VALUE"""),50.0)</f>
        <v>50</v>
      </c>
      <c r="M392" s="561">
        <f>IFERROR(__xludf.DUMMYFUNCTION("""COMPUTED_VALUE"""),38.0)</f>
        <v>38</v>
      </c>
      <c r="N392" s="561">
        <f>IFERROR(__xludf.DUMMYFUNCTION("""COMPUTED_VALUE"""),26.0)</f>
        <v>26</v>
      </c>
      <c r="O392" s="560"/>
      <c r="P392" s="562">
        <f>IFERROR(__xludf.DUMMYFUNCTION("""COMPUTED_VALUE"""),74.0)</f>
        <v>74</v>
      </c>
      <c r="Q392" s="562">
        <f>IFERROR(__xludf.DUMMYFUNCTION("""COMPUTED_VALUE"""),61.0)</f>
        <v>61</v>
      </c>
      <c r="R392" s="562">
        <f>IFERROR(__xludf.DUMMYFUNCTION("""COMPUTED_VALUE"""),91.0)</f>
        <v>91</v>
      </c>
      <c r="S392" s="562"/>
      <c r="T392" s="217">
        <f>IFERROR(__xludf.DUMMYFUNCTION("""COMPUTED_VALUE"""),17.0)</f>
        <v>17</v>
      </c>
      <c r="U392" s="217">
        <f>IFERROR(__xludf.DUMMYFUNCTION("""COMPUTED_VALUE"""),20.0)</f>
        <v>20</v>
      </c>
      <c r="V392" s="217"/>
      <c r="W392" s="217"/>
      <c r="X392" s="217">
        <f>IFERROR(__xludf.DUMMYFUNCTION("""COMPUTED_VALUE"""),72.0)</f>
        <v>72</v>
      </c>
      <c r="Y392" s="217"/>
      <c r="Z392" s="217"/>
      <c r="AA392" s="481">
        <f>IFERROR(__xludf.DUMMYFUNCTION("""COMPUTED_VALUE"""),97.0)</f>
        <v>97</v>
      </c>
      <c r="AB392" s="481">
        <f>IFERROR(__xludf.DUMMYFUNCTION("""COMPUTED_VALUE"""),95.0)</f>
        <v>95</v>
      </c>
      <c r="AC392" s="481">
        <f>IFERROR(__xludf.DUMMYFUNCTION("""COMPUTED_VALUE"""),65.0)</f>
        <v>65</v>
      </c>
      <c r="AD392" s="481">
        <f>IFERROR(__xludf.DUMMYFUNCTION("""COMPUTED_VALUE"""),35.0)</f>
        <v>35</v>
      </c>
      <c r="AE392" s="481">
        <f>IFERROR(__xludf.DUMMYFUNCTION("""COMPUTED_VALUE"""),10.0)</f>
        <v>10</v>
      </c>
      <c r="AF392" s="481"/>
      <c r="AG392" s="481">
        <f>IFERROR(__xludf.DUMMYFUNCTION("""COMPUTED_VALUE"""),10.0)</f>
        <v>10</v>
      </c>
      <c r="AH392" s="481"/>
      <c r="AI392" s="158"/>
      <c r="AJ392" s="158"/>
      <c r="AK392" s="133">
        <f>IFERROR(__xludf.DUMMYFUNCTION("""COMPUTED_VALUE"""),4.0)</f>
        <v>4</v>
      </c>
      <c r="AL392" s="133">
        <f>IFERROR(__xludf.DUMMYFUNCTION("""COMPUTED_VALUE"""),1.0)</f>
        <v>1</v>
      </c>
      <c r="AM392" s="133">
        <f>IFERROR(__xludf.DUMMYFUNCTION("""COMPUTED_VALUE"""),2.0)</f>
        <v>2</v>
      </c>
      <c r="AN392" s="133" t="str">
        <f>IFERROR(__xludf.DUMMYFUNCTION("""COMPUTED_VALUE"""),"3")</f>
        <v>3</v>
      </c>
      <c r="AO392" s="133">
        <f>IFERROR(__xludf.DUMMYFUNCTION("""COMPUTED_VALUE"""),3.0)</f>
        <v>3</v>
      </c>
      <c r="AP392" s="155" t="s">
        <v>3706</v>
      </c>
    </row>
    <row r="393">
      <c r="A393" s="155">
        <f>IFERROR(__xludf.DUMMYFUNCTION("""COMPUTED_VALUE"""),155.0)</f>
        <v>155</v>
      </c>
      <c r="B393" s="155" t="str">
        <f>IFERROR(__xludf.DUMMYFUNCTION("""COMPUTED_VALUE"""),"shr23ise@cmrit.ac.in")</f>
        <v>shr23ise@cmrit.ac.in</v>
      </c>
      <c r="C393" s="174" t="str">
        <f>IFERROR(__xludf.DUMMYFUNCTION("""COMPUTED_VALUE"""),"SHRAVAN R")</f>
        <v>SHRAVAN R</v>
      </c>
      <c r="D393" s="155" t="str">
        <f>IFERROR(__xludf.DUMMYFUNCTION("""COMPUTED_VALUE"""),"1CR23IS161")</f>
        <v>1CR23IS161</v>
      </c>
      <c r="E393" s="563">
        <f>IFERROR(__xludf.DUMMYFUNCTION("""COMPUTED_VALUE"""),8.105491027E9)</f>
        <v>8105491027</v>
      </c>
      <c r="F393" s="155" t="str">
        <f>IFERROR(__xludf.DUMMYFUNCTION("""COMPUTED_VALUE"""),"ISE")</f>
        <v>ISE</v>
      </c>
      <c r="G393" s="158"/>
      <c r="H393" s="559">
        <f>IFERROR(__xludf.DUMMYFUNCTION("""COMPUTED_VALUE"""),70.0)</f>
        <v>70</v>
      </c>
      <c r="I393" s="559">
        <f>IFERROR(__xludf.DUMMYFUNCTION("""COMPUTED_VALUE"""),75.0)</f>
        <v>75</v>
      </c>
      <c r="J393" s="559">
        <f>IFERROR(__xludf.DUMMYFUNCTION("""COMPUTED_VALUE"""),53.0)</f>
        <v>53</v>
      </c>
      <c r="K393" s="559">
        <f>IFERROR(__xludf.DUMMYFUNCTION("""COMPUTED_VALUE"""),70.0)</f>
        <v>70</v>
      </c>
      <c r="L393" s="560">
        <f>IFERROR(__xludf.DUMMYFUNCTION("""COMPUTED_VALUE"""),50.0)</f>
        <v>50</v>
      </c>
      <c r="M393" s="561">
        <f>IFERROR(__xludf.DUMMYFUNCTION("""COMPUTED_VALUE"""),23.0)</f>
        <v>23</v>
      </c>
      <c r="N393" s="561">
        <f>IFERROR(__xludf.DUMMYFUNCTION("""COMPUTED_VALUE"""),50.0)</f>
        <v>50</v>
      </c>
      <c r="O393" s="560"/>
      <c r="P393" s="562">
        <f>IFERROR(__xludf.DUMMYFUNCTION("""COMPUTED_VALUE"""),81.0)</f>
        <v>81</v>
      </c>
      <c r="Q393" s="562">
        <f>IFERROR(__xludf.DUMMYFUNCTION("""COMPUTED_VALUE"""),57.0)</f>
        <v>57</v>
      </c>
      <c r="R393" s="562">
        <f>IFERROR(__xludf.DUMMYFUNCTION("""COMPUTED_VALUE"""),41.0)</f>
        <v>41</v>
      </c>
      <c r="S393" s="562"/>
      <c r="T393" s="217">
        <f>IFERROR(__xludf.DUMMYFUNCTION("""COMPUTED_VALUE"""),8.0)</f>
        <v>8</v>
      </c>
      <c r="U393" s="217">
        <f>IFERROR(__xludf.DUMMYFUNCTION("""COMPUTED_VALUE"""),19.0)</f>
        <v>19</v>
      </c>
      <c r="V393" s="217"/>
      <c r="W393" s="217">
        <f>IFERROR(__xludf.DUMMYFUNCTION("""COMPUTED_VALUE"""),28.0)</f>
        <v>28</v>
      </c>
      <c r="X393" s="217">
        <f>IFERROR(__xludf.DUMMYFUNCTION("""COMPUTED_VALUE"""),72.0)</f>
        <v>72</v>
      </c>
      <c r="Y393" s="217"/>
      <c r="Z393" s="217"/>
      <c r="AA393" s="481">
        <f>IFERROR(__xludf.DUMMYFUNCTION("""COMPUTED_VALUE"""),44.0)</f>
        <v>44</v>
      </c>
      <c r="AB393" s="481">
        <f>IFERROR(__xludf.DUMMYFUNCTION("""COMPUTED_VALUE"""),56.0)</f>
        <v>56</v>
      </c>
      <c r="AC393" s="481">
        <f>IFERROR(__xludf.DUMMYFUNCTION("""COMPUTED_VALUE"""),100.0)</f>
        <v>100</v>
      </c>
      <c r="AD393" s="481">
        <f>IFERROR(__xludf.DUMMYFUNCTION("""COMPUTED_VALUE"""),2.0)</f>
        <v>2</v>
      </c>
      <c r="AE393" s="481">
        <f>IFERROR(__xludf.DUMMYFUNCTION("""COMPUTED_VALUE"""),10.0)</f>
        <v>10</v>
      </c>
      <c r="AF393" s="481"/>
      <c r="AG393" s="481">
        <f>IFERROR(__xludf.DUMMYFUNCTION("""COMPUTED_VALUE"""),17.0)</f>
        <v>17</v>
      </c>
      <c r="AH393" s="481"/>
      <c r="AI393" s="158"/>
      <c r="AJ393" s="158"/>
      <c r="AK393" s="133">
        <f>IFERROR(__xludf.DUMMYFUNCTION("""COMPUTED_VALUE"""),2.0)</f>
        <v>2</v>
      </c>
      <c r="AL393" s="133">
        <f>IFERROR(__xludf.DUMMYFUNCTION("""COMPUTED_VALUE"""),1.0)</f>
        <v>1</v>
      </c>
      <c r="AM393" s="133">
        <f>IFERROR(__xludf.DUMMYFUNCTION("""COMPUTED_VALUE"""),0.0)</f>
        <v>0</v>
      </c>
      <c r="AN393" s="133" t="str">
        <f>IFERROR(__xludf.DUMMYFUNCTION("""COMPUTED_VALUE"""),"3")</f>
        <v>3</v>
      </c>
      <c r="AO393" s="133">
        <f>IFERROR(__xludf.DUMMYFUNCTION("""COMPUTED_VALUE"""),2.0)</f>
        <v>2</v>
      </c>
      <c r="AP393" s="155" t="s">
        <v>3706</v>
      </c>
    </row>
    <row r="394">
      <c r="A394" s="155">
        <f>IFERROR(__xludf.DUMMYFUNCTION("""COMPUTED_VALUE"""),156.0)</f>
        <v>156</v>
      </c>
      <c r="B394" s="155" t="str">
        <f>IFERROR(__xludf.DUMMYFUNCTION("""COMPUTED_VALUE"""),"sh23ise@cmrit.ac.in")</f>
        <v>sh23ise@cmrit.ac.in</v>
      </c>
      <c r="C394" s="174" t="str">
        <f>IFERROR(__xludf.DUMMYFUNCTION("""COMPUTED_VALUE"""),"SHRAVYA")</f>
        <v>SHRAVYA</v>
      </c>
      <c r="D394" s="155" t="str">
        <f>IFERROR(__xludf.DUMMYFUNCTION("""COMPUTED_VALUE"""),"1CR23IS162")</f>
        <v>1CR23IS162</v>
      </c>
      <c r="E394" s="563">
        <f>IFERROR(__xludf.DUMMYFUNCTION("""COMPUTED_VALUE"""),9.902858308E9)</f>
        <v>9902858308</v>
      </c>
      <c r="F394" s="155" t="str">
        <f>IFERROR(__xludf.DUMMYFUNCTION("""COMPUTED_VALUE"""),"ISE")</f>
        <v>ISE</v>
      </c>
      <c r="G394" s="158"/>
      <c r="H394" s="559">
        <f>IFERROR(__xludf.DUMMYFUNCTION("""COMPUTED_VALUE"""),81.0)</f>
        <v>81</v>
      </c>
      <c r="I394" s="559">
        <f>IFERROR(__xludf.DUMMYFUNCTION("""COMPUTED_VALUE"""),89.0)</f>
        <v>89</v>
      </c>
      <c r="J394" s="559">
        <f>IFERROR(__xludf.DUMMYFUNCTION("""COMPUTED_VALUE"""),74.0)</f>
        <v>74</v>
      </c>
      <c r="K394" s="559">
        <f>IFERROR(__xludf.DUMMYFUNCTION("""COMPUTED_VALUE"""),80.0)</f>
        <v>80</v>
      </c>
      <c r="L394" s="560">
        <f>IFERROR(__xludf.DUMMYFUNCTION("""COMPUTED_VALUE"""),50.0)</f>
        <v>50</v>
      </c>
      <c r="M394" s="561">
        <f>IFERROR(__xludf.DUMMYFUNCTION("""COMPUTED_VALUE"""),50.0)</f>
        <v>50</v>
      </c>
      <c r="N394" s="561">
        <f>IFERROR(__xludf.DUMMYFUNCTION("""COMPUTED_VALUE"""),56.0)</f>
        <v>56</v>
      </c>
      <c r="O394" s="560"/>
      <c r="P394" s="562">
        <f>IFERROR(__xludf.DUMMYFUNCTION("""COMPUTED_VALUE"""),68.0)</f>
        <v>68</v>
      </c>
      <c r="Q394" s="562">
        <f>IFERROR(__xludf.DUMMYFUNCTION("""COMPUTED_VALUE"""),78.0)</f>
        <v>78</v>
      </c>
      <c r="R394" s="562">
        <f>IFERROR(__xludf.DUMMYFUNCTION("""COMPUTED_VALUE"""),93.0)</f>
        <v>93</v>
      </c>
      <c r="S394" s="562"/>
      <c r="T394" s="217">
        <f>IFERROR(__xludf.DUMMYFUNCTION("""COMPUTED_VALUE"""),18.0)</f>
        <v>18</v>
      </c>
      <c r="U394" s="217">
        <f>IFERROR(__xludf.DUMMYFUNCTION("""COMPUTED_VALUE"""),21.0)</f>
        <v>21</v>
      </c>
      <c r="V394" s="217">
        <f>IFERROR(__xludf.DUMMYFUNCTION("""COMPUTED_VALUE"""),46.0)</f>
        <v>46</v>
      </c>
      <c r="W394" s="217">
        <f>IFERROR(__xludf.DUMMYFUNCTION("""COMPUTED_VALUE"""),60.0)</f>
        <v>60</v>
      </c>
      <c r="X394" s="217">
        <f>IFERROR(__xludf.DUMMYFUNCTION("""COMPUTED_VALUE"""),92.0)</f>
        <v>92</v>
      </c>
      <c r="Y394" s="217"/>
      <c r="Z394" s="217"/>
      <c r="AA394" s="481">
        <f>IFERROR(__xludf.DUMMYFUNCTION("""COMPUTED_VALUE"""),28.0)</f>
        <v>28</v>
      </c>
      <c r="AB394" s="481">
        <f>IFERROR(__xludf.DUMMYFUNCTION("""COMPUTED_VALUE"""),98.0)</f>
        <v>98</v>
      </c>
      <c r="AC394" s="481">
        <f>IFERROR(__xludf.DUMMYFUNCTION("""COMPUTED_VALUE"""),77.0)</f>
        <v>77</v>
      </c>
      <c r="AD394" s="481">
        <f>IFERROR(__xludf.DUMMYFUNCTION("""COMPUTED_VALUE"""),70.0)</f>
        <v>70</v>
      </c>
      <c r="AE394" s="481">
        <f>IFERROR(__xludf.DUMMYFUNCTION("""COMPUTED_VALUE"""),72.0)</f>
        <v>72</v>
      </c>
      <c r="AF394" s="481"/>
      <c r="AG394" s="481">
        <f>IFERROR(__xludf.DUMMYFUNCTION("""COMPUTED_VALUE"""),83.0)</f>
        <v>83</v>
      </c>
      <c r="AH394" s="481"/>
      <c r="AI394" s="158"/>
      <c r="AJ394" s="158"/>
      <c r="AK394" s="133">
        <f>IFERROR(__xludf.DUMMYFUNCTION("""COMPUTED_VALUE"""),4.0)</f>
        <v>4</v>
      </c>
      <c r="AL394" s="133">
        <f>IFERROR(__xludf.DUMMYFUNCTION("""COMPUTED_VALUE"""),3.0)</f>
        <v>3</v>
      </c>
      <c r="AM394" s="133">
        <f>IFERROR(__xludf.DUMMYFUNCTION("""COMPUTED_VALUE"""),3.0)</f>
        <v>3</v>
      </c>
      <c r="AN394" s="133" t="str">
        <f>IFERROR(__xludf.DUMMYFUNCTION("""COMPUTED_VALUE"""),"3.5")</f>
        <v>3.5</v>
      </c>
      <c r="AO394" s="133">
        <f>IFERROR(__xludf.DUMMYFUNCTION("""COMPUTED_VALUE"""),3.0)</f>
        <v>3</v>
      </c>
      <c r="AP394" s="155" t="s">
        <v>3706</v>
      </c>
    </row>
    <row r="395">
      <c r="A395" s="155">
        <f>IFERROR(__xludf.DUMMYFUNCTION("""COMPUTED_VALUE"""),157.0)</f>
        <v>157</v>
      </c>
      <c r="B395" s="155" t="str">
        <f>IFERROR(__xludf.DUMMYFUNCTION("""COMPUTED_VALUE"""),"shna23ise@cmrit.ac.in")</f>
        <v>shna23ise@cmrit.ac.in</v>
      </c>
      <c r="C395" s="174" t="str">
        <f>IFERROR(__xludf.DUMMYFUNCTION("""COMPUTED_VALUE"""),"SHREELAXMI SATISH NAIK")</f>
        <v>SHREELAXMI SATISH NAIK</v>
      </c>
      <c r="D395" s="155" t="str">
        <f>IFERROR(__xludf.DUMMYFUNCTION("""COMPUTED_VALUE"""),"1CR23IS163")</f>
        <v>1CR23IS163</v>
      </c>
      <c r="E395" s="563">
        <f>IFERROR(__xludf.DUMMYFUNCTION("""COMPUTED_VALUE"""),7.353813757E9)</f>
        <v>7353813757</v>
      </c>
      <c r="F395" s="155" t="str">
        <f>IFERROR(__xludf.DUMMYFUNCTION("""COMPUTED_VALUE"""),"ISE")</f>
        <v>ISE</v>
      </c>
      <c r="G395" s="158"/>
      <c r="H395" s="559">
        <f>IFERROR(__xludf.DUMMYFUNCTION("""COMPUTED_VALUE"""),86.0)</f>
        <v>86</v>
      </c>
      <c r="I395" s="559">
        <f>IFERROR(__xludf.DUMMYFUNCTION("""COMPUTED_VALUE"""),91.0)</f>
        <v>91</v>
      </c>
      <c r="J395" s="559">
        <f>IFERROR(__xludf.DUMMYFUNCTION("""COMPUTED_VALUE"""),87.0)</f>
        <v>87</v>
      </c>
      <c r="K395" s="559">
        <f>IFERROR(__xludf.DUMMYFUNCTION("""COMPUTED_VALUE"""),78.0)</f>
        <v>78</v>
      </c>
      <c r="L395" s="560">
        <f>IFERROR(__xludf.DUMMYFUNCTION("""COMPUTED_VALUE"""),65.0)</f>
        <v>65</v>
      </c>
      <c r="M395" s="561">
        <f>IFERROR(__xludf.DUMMYFUNCTION("""COMPUTED_VALUE"""),53.0)</f>
        <v>53</v>
      </c>
      <c r="N395" s="561">
        <f>IFERROR(__xludf.DUMMYFUNCTION("""COMPUTED_VALUE"""),60.0)</f>
        <v>60</v>
      </c>
      <c r="O395" s="560"/>
      <c r="P395" s="562">
        <f>IFERROR(__xludf.DUMMYFUNCTION("""COMPUTED_VALUE"""),87.0)</f>
        <v>87</v>
      </c>
      <c r="Q395" s="562">
        <f>IFERROR(__xludf.DUMMYFUNCTION("""COMPUTED_VALUE"""),78.0)</f>
        <v>78</v>
      </c>
      <c r="R395" s="562">
        <f>IFERROR(__xludf.DUMMYFUNCTION("""COMPUTED_VALUE"""),95.0)</f>
        <v>95</v>
      </c>
      <c r="S395" s="562"/>
      <c r="T395" s="217">
        <f>IFERROR(__xludf.DUMMYFUNCTION("""COMPUTED_VALUE"""),18.0)</f>
        <v>18</v>
      </c>
      <c r="U395" s="217">
        <f>IFERROR(__xludf.DUMMYFUNCTION("""COMPUTED_VALUE"""),25.0)</f>
        <v>25</v>
      </c>
      <c r="V395" s="217">
        <f>IFERROR(__xludf.DUMMYFUNCTION("""COMPUTED_VALUE"""),48.0)</f>
        <v>48</v>
      </c>
      <c r="W395" s="217">
        <f>IFERROR(__xludf.DUMMYFUNCTION("""COMPUTED_VALUE"""),56.0)</f>
        <v>56</v>
      </c>
      <c r="X395" s="217">
        <f>IFERROR(__xludf.DUMMYFUNCTION("""COMPUTED_VALUE"""),76.0)</f>
        <v>76</v>
      </c>
      <c r="Y395" s="217"/>
      <c r="Z395" s="217"/>
      <c r="AA395" s="481">
        <f>IFERROR(__xludf.DUMMYFUNCTION("""COMPUTED_VALUE"""),100.0)</f>
        <v>100</v>
      </c>
      <c r="AB395" s="481">
        <f>IFERROR(__xludf.DUMMYFUNCTION("""COMPUTED_VALUE"""),97.0)</f>
        <v>97</v>
      </c>
      <c r="AC395" s="481">
        <f>IFERROR(__xludf.DUMMYFUNCTION("""COMPUTED_VALUE"""),61.0)</f>
        <v>61</v>
      </c>
      <c r="AD395" s="481">
        <f>IFERROR(__xludf.DUMMYFUNCTION("""COMPUTED_VALUE"""),100.0)</f>
        <v>100</v>
      </c>
      <c r="AE395" s="481">
        <f>IFERROR(__xludf.DUMMYFUNCTION("""COMPUTED_VALUE"""),79.0)</f>
        <v>79</v>
      </c>
      <c r="AF395" s="481"/>
      <c r="AG395" s="481">
        <f>IFERROR(__xludf.DUMMYFUNCTION("""COMPUTED_VALUE"""),84.0)</f>
        <v>84</v>
      </c>
      <c r="AH395" s="481"/>
      <c r="AI395" s="158"/>
      <c r="AJ395" s="158"/>
      <c r="AK395" s="133">
        <f>IFERROR(__xludf.DUMMYFUNCTION("""COMPUTED_VALUE"""),4.0)</f>
        <v>4</v>
      </c>
      <c r="AL395" s="133">
        <f>IFERROR(__xludf.DUMMYFUNCTION("""COMPUTED_VALUE"""),3.0)</f>
        <v>3</v>
      </c>
      <c r="AM395" s="133">
        <f>IFERROR(__xludf.DUMMYFUNCTION("""COMPUTED_VALUE"""),3.0)</f>
        <v>3</v>
      </c>
      <c r="AN395" s="133" t="str">
        <f>IFERROR(__xludf.DUMMYFUNCTION("""COMPUTED_VALUE"""),"3.5")</f>
        <v>3.5</v>
      </c>
      <c r="AO395" s="133">
        <f>IFERROR(__xludf.DUMMYFUNCTION("""COMPUTED_VALUE"""),3.0)</f>
        <v>3</v>
      </c>
      <c r="AP395" s="155" t="s">
        <v>3706</v>
      </c>
    </row>
    <row r="396">
      <c r="A396" s="155">
        <f>IFERROR(__xludf.DUMMYFUNCTION("""COMPUTED_VALUE"""),158.0)</f>
        <v>158</v>
      </c>
      <c r="B396" s="155" t="str">
        <f>IFERROR(__xludf.DUMMYFUNCTION("""COMPUTED_VALUE"""),"shgu23ise@cmrit.ac.in")</f>
        <v>shgu23ise@cmrit.ac.in</v>
      </c>
      <c r="C396" s="174" t="str">
        <f>IFERROR(__xludf.DUMMYFUNCTION("""COMPUTED_VALUE"""),"SHREYA GUPTA")</f>
        <v>SHREYA GUPTA</v>
      </c>
      <c r="D396" s="155" t="str">
        <f>IFERROR(__xludf.DUMMYFUNCTION("""COMPUTED_VALUE"""),"1CR23IS164")</f>
        <v>1CR23IS164</v>
      </c>
      <c r="E396" s="563">
        <f>IFERROR(__xludf.DUMMYFUNCTION("""COMPUTED_VALUE"""),9.122437012E9)</f>
        <v>9122437012</v>
      </c>
      <c r="F396" s="155" t="str">
        <f>IFERROR(__xludf.DUMMYFUNCTION("""COMPUTED_VALUE"""),"ISE")</f>
        <v>ISE</v>
      </c>
      <c r="G396" s="158"/>
      <c r="H396" s="559">
        <f>IFERROR(__xludf.DUMMYFUNCTION("""COMPUTED_VALUE"""),80.0)</f>
        <v>80</v>
      </c>
      <c r="I396" s="559">
        <f>IFERROR(__xludf.DUMMYFUNCTION("""COMPUTED_VALUE"""),88.0)</f>
        <v>88</v>
      </c>
      <c r="J396" s="559">
        <f>IFERROR(__xludf.DUMMYFUNCTION("""COMPUTED_VALUE"""),74.0)</f>
        <v>74</v>
      </c>
      <c r="K396" s="559">
        <f>IFERROR(__xludf.DUMMYFUNCTION("""COMPUTED_VALUE"""),76.0)</f>
        <v>76</v>
      </c>
      <c r="L396" s="560">
        <f>IFERROR(__xludf.DUMMYFUNCTION("""COMPUTED_VALUE"""),48.0)</f>
        <v>48</v>
      </c>
      <c r="M396" s="561">
        <f>IFERROR(__xludf.DUMMYFUNCTION("""COMPUTED_VALUE"""),50.0)</f>
        <v>50</v>
      </c>
      <c r="N396" s="561">
        <f>IFERROR(__xludf.DUMMYFUNCTION("""COMPUTED_VALUE"""),62.0)</f>
        <v>62</v>
      </c>
      <c r="O396" s="560"/>
      <c r="P396" s="562">
        <f>IFERROR(__xludf.DUMMYFUNCTION("""COMPUTED_VALUE"""),50.0)</f>
        <v>50</v>
      </c>
      <c r="Q396" s="562">
        <f>IFERROR(__xludf.DUMMYFUNCTION("""COMPUTED_VALUE"""),84.0)</f>
        <v>84</v>
      </c>
      <c r="R396" s="562">
        <f>IFERROR(__xludf.DUMMYFUNCTION("""COMPUTED_VALUE"""),95.0)</f>
        <v>95</v>
      </c>
      <c r="S396" s="562"/>
      <c r="T396" s="217">
        <f>IFERROR(__xludf.DUMMYFUNCTION("""COMPUTED_VALUE"""),22.0)</f>
        <v>22</v>
      </c>
      <c r="U396" s="217">
        <f>IFERROR(__xludf.DUMMYFUNCTION("""COMPUTED_VALUE"""),21.0)</f>
        <v>21</v>
      </c>
      <c r="V396" s="217">
        <f>IFERROR(__xludf.DUMMYFUNCTION("""COMPUTED_VALUE"""),46.0)</f>
        <v>46</v>
      </c>
      <c r="W396" s="217">
        <f>IFERROR(__xludf.DUMMYFUNCTION("""COMPUTED_VALUE"""),36.0)</f>
        <v>36</v>
      </c>
      <c r="X396" s="217">
        <f>IFERROR(__xludf.DUMMYFUNCTION("""COMPUTED_VALUE"""),80.0)</f>
        <v>80</v>
      </c>
      <c r="Y396" s="217"/>
      <c r="Z396" s="217"/>
      <c r="AA396" s="481">
        <f>IFERROR(__xludf.DUMMYFUNCTION("""COMPUTED_VALUE"""),50.0)</f>
        <v>50</v>
      </c>
      <c r="AB396" s="481">
        <f>IFERROR(__xludf.DUMMYFUNCTION("""COMPUTED_VALUE"""),90.0)</f>
        <v>90</v>
      </c>
      <c r="AC396" s="481">
        <f>IFERROR(__xludf.DUMMYFUNCTION("""COMPUTED_VALUE"""),67.0)</f>
        <v>67</v>
      </c>
      <c r="AD396" s="481">
        <f>IFERROR(__xludf.DUMMYFUNCTION("""COMPUTED_VALUE"""),2.0)</f>
        <v>2</v>
      </c>
      <c r="AE396" s="481">
        <f>IFERROR(__xludf.DUMMYFUNCTION("""COMPUTED_VALUE"""),77.0)</f>
        <v>77</v>
      </c>
      <c r="AF396" s="481"/>
      <c r="AG396" s="481">
        <f>IFERROR(__xludf.DUMMYFUNCTION("""COMPUTED_VALUE"""),83.0)</f>
        <v>83</v>
      </c>
      <c r="AH396" s="481"/>
      <c r="AI396" s="158"/>
      <c r="AJ396" s="158"/>
      <c r="AK396" s="133">
        <f>IFERROR(__xludf.DUMMYFUNCTION("""COMPUTED_VALUE"""),4.0)</f>
        <v>4</v>
      </c>
      <c r="AL396" s="133">
        <f>IFERROR(__xludf.DUMMYFUNCTION("""COMPUTED_VALUE"""),0.0)</f>
        <v>0</v>
      </c>
      <c r="AM396" s="133">
        <f>IFERROR(__xludf.DUMMYFUNCTION("""COMPUTED_VALUE"""),2.0)</f>
        <v>2</v>
      </c>
      <c r="AN396" s="133" t="str">
        <f>IFERROR(__xludf.DUMMYFUNCTION("""COMPUTED_VALUE"""),"3.5")</f>
        <v>3.5</v>
      </c>
      <c r="AO396" s="133">
        <f>IFERROR(__xludf.DUMMYFUNCTION("""COMPUTED_VALUE"""),3.0)</f>
        <v>3</v>
      </c>
      <c r="AP396" s="155" t="s">
        <v>3706</v>
      </c>
    </row>
    <row r="397">
      <c r="A397" s="155">
        <f>IFERROR(__xludf.DUMMYFUNCTION("""COMPUTED_VALUE"""),159.0)</f>
        <v>159</v>
      </c>
      <c r="B397" s="155" t="str">
        <f>IFERROR(__xludf.DUMMYFUNCTION("""COMPUTED_VALUE"""),"shvh23ise@cmrit.ac.in")</f>
        <v>shvh23ise@cmrit.ac.in</v>
      </c>
      <c r="C397" s="174" t="str">
        <f>IFERROR(__xludf.DUMMYFUNCTION("""COMPUTED_VALUE"""),"SHREYAS V H")</f>
        <v>SHREYAS V H</v>
      </c>
      <c r="D397" s="155" t="str">
        <f>IFERROR(__xludf.DUMMYFUNCTION("""COMPUTED_VALUE"""),"1CR23IS165")</f>
        <v>1CR23IS165</v>
      </c>
      <c r="E397" s="563">
        <f>IFERROR(__xludf.DUMMYFUNCTION("""COMPUTED_VALUE"""),7.975438395E9)</f>
        <v>7975438395</v>
      </c>
      <c r="F397" s="155" t="str">
        <f>IFERROR(__xludf.DUMMYFUNCTION("""COMPUTED_VALUE"""),"ISE")</f>
        <v>ISE</v>
      </c>
      <c r="G397" s="158"/>
      <c r="H397" s="559">
        <f>IFERROR(__xludf.DUMMYFUNCTION("""COMPUTED_VALUE"""),70.0)</f>
        <v>70</v>
      </c>
      <c r="I397" s="559">
        <f>IFERROR(__xludf.DUMMYFUNCTION("""COMPUTED_VALUE"""),70.0)</f>
        <v>70</v>
      </c>
      <c r="J397" s="559">
        <f>IFERROR(__xludf.DUMMYFUNCTION("""COMPUTED_VALUE"""),70.0)</f>
        <v>70</v>
      </c>
      <c r="K397" s="559">
        <f>IFERROR(__xludf.DUMMYFUNCTION("""COMPUTED_VALUE"""),70.0)</f>
        <v>70</v>
      </c>
      <c r="L397" s="560">
        <f>IFERROR(__xludf.DUMMYFUNCTION("""COMPUTED_VALUE"""),50.0)</f>
        <v>50</v>
      </c>
      <c r="M397" s="561">
        <f>IFERROR(__xludf.DUMMYFUNCTION("""COMPUTED_VALUE"""),4.0)</f>
        <v>4</v>
      </c>
      <c r="N397" s="561">
        <f>IFERROR(__xludf.DUMMYFUNCTION("""COMPUTED_VALUE"""),50.0)</f>
        <v>50</v>
      </c>
      <c r="O397" s="560"/>
      <c r="P397" s="562">
        <f>IFERROR(__xludf.DUMMYFUNCTION("""COMPUTED_VALUE"""),68.0)</f>
        <v>68</v>
      </c>
      <c r="Q397" s="562">
        <f>IFERROR(__xludf.DUMMYFUNCTION("""COMPUTED_VALUE"""),57.0)</f>
        <v>57</v>
      </c>
      <c r="R397" s="562">
        <f>IFERROR(__xludf.DUMMYFUNCTION("""COMPUTED_VALUE"""),75.0)</f>
        <v>75</v>
      </c>
      <c r="S397" s="562"/>
      <c r="T397" s="217">
        <f>IFERROR(__xludf.DUMMYFUNCTION("""COMPUTED_VALUE"""),22.0)</f>
        <v>22</v>
      </c>
      <c r="U397" s="217">
        <f>IFERROR(__xludf.DUMMYFUNCTION("""COMPUTED_VALUE"""),23.0)</f>
        <v>23</v>
      </c>
      <c r="V397" s="217">
        <f>IFERROR(__xludf.DUMMYFUNCTION("""COMPUTED_VALUE"""),46.0)</f>
        <v>46</v>
      </c>
      <c r="W397" s="217">
        <f>IFERROR(__xludf.DUMMYFUNCTION("""COMPUTED_VALUE"""),32.0)</f>
        <v>32</v>
      </c>
      <c r="X397" s="217">
        <f>IFERROR(__xludf.DUMMYFUNCTION("""COMPUTED_VALUE"""),92.0)</f>
        <v>92</v>
      </c>
      <c r="Y397" s="217"/>
      <c r="Z397" s="217"/>
      <c r="AA397" s="481">
        <f>IFERROR(__xludf.DUMMYFUNCTION("""COMPUTED_VALUE"""),2.0)</f>
        <v>2</v>
      </c>
      <c r="AB397" s="481">
        <f>IFERROR(__xludf.DUMMYFUNCTION("""COMPUTED_VALUE"""),80.0)</f>
        <v>80</v>
      </c>
      <c r="AC397" s="481">
        <f>IFERROR(__xludf.DUMMYFUNCTION("""COMPUTED_VALUE"""),70.0)</f>
        <v>70</v>
      </c>
      <c r="AD397" s="481">
        <f>IFERROR(__xludf.DUMMYFUNCTION("""COMPUTED_VALUE"""),60.0)</f>
        <v>60</v>
      </c>
      <c r="AE397" s="481">
        <f>IFERROR(__xludf.DUMMYFUNCTION("""COMPUTED_VALUE"""),72.0)</f>
        <v>72</v>
      </c>
      <c r="AF397" s="481"/>
      <c r="AG397" s="481">
        <f>IFERROR(__xludf.DUMMYFUNCTION("""COMPUTED_VALUE"""),19.0)</f>
        <v>19</v>
      </c>
      <c r="AH397" s="481"/>
      <c r="AI397" s="158"/>
      <c r="AJ397" s="158"/>
      <c r="AK397" s="133">
        <f>IFERROR(__xludf.DUMMYFUNCTION("""COMPUTED_VALUE"""),4.0)</f>
        <v>4</v>
      </c>
      <c r="AL397" s="133">
        <f>IFERROR(__xludf.DUMMYFUNCTION("""COMPUTED_VALUE"""),1.0)</f>
        <v>1</v>
      </c>
      <c r="AM397" s="133">
        <f>IFERROR(__xludf.DUMMYFUNCTION("""COMPUTED_VALUE"""),2.0)</f>
        <v>2</v>
      </c>
      <c r="AN397" s="133" t="str">
        <f>IFERROR(__xludf.DUMMYFUNCTION("""COMPUTED_VALUE"""),"3.5")</f>
        <v>3.5</v>
      </c>
      <c r="AO397" s="133">
        <f>IFERROR(__xludf.DUMMYFUNCTION("""COMPUTED_VALUE"""),3.0)</f>
        <v>3</v>
      </c>
      <c r="AP397" s="155" t="s">
        <v>3706</v>
      </c>
    </row>
    <row r="398">
      <c r="A398" s="155">
        <f>IFERROR(__xludf.DUMMYFUNCTION("""COMPUTED_VALUE"""),160.0)</f>
        <v>160</v>
      </c>
      <c r="B398" s="155" t="str">
        <f>IFERROR(__xludf.DUMMYFUNCTION("""COMPUTED_VALUE"""),"shku23ise@cmrit.ac.in")</f>
        <v>shku23ise@cmrit.ac.in</v>
      </c>
      <c r="C398" s="174" t="str">
        <f>IFERROR(__xludf.DUMMYFUNCTION("""COMPUTED_VALUE"""),"SHUBHAM KUMAR")</f>
        <v>SHUBHAM KUMAR</v>
      </c>
      <c r="D398" s="155" t="str">
        <f>IFERROR(__xludf.DUMMYFUNCTION("""COMPUTED_VALUE"""),"1CR23IS166")</f>
        <v>1CR23IS166</v>
      </c>
      <c r="E398" s="563">
        <f>IFERROR(__xludf.DUMMYFUNCTION("""COMPUTED_VALUE"""),9.060691934E9)</f>
        <v>9060691934</v>
      </c>
      <c r="F398" s="155" t="str">
        <f>IFERROR(__xludf.DUMMYFUNCTION("""COMPUTED_VALUE"""),"ISE")</f>
        <v>ISE</v>
      </c>
      <c r="G398" s="158"/>
      <c r="H398" s="559">
        <f>IFERROR(__xludf.DUMMYFUNCTION("""COMPUTED_VALUE"""),83.0)</f>
        <v>83</v>
      </c>
      <c r="I398" s="559">
        <f>IFERROR(__xludf.DUMMYFUNCTION("""COMPUTED_VALUE"""),92.0)</f>
        <v>92</v>
      </c>
      <c r="J398" s="559">
        <f>IFERROR(__xludf.DUMMYFUNCTION("""COMPUTED_VALUE"""),70.0)</f>
        <v>70</v>
      </c>
      <c r="K398" s="559">
        <f>IFERROR(__xludf.DUMMYFUNCTION("""COMPUTED_VALUE"""),70.0)</f>
        <v>70</v>
      </c>
      <c r="L398" s="560">
        <f>IFERROR(__xludf.DUMMYFUNCTION("""COMPUTED_VALUE"""),50.0)</f>
        <v>50</v>
      </c>
      <c r="M398" s="561">
        <f>IFERROR(__xludf.DUMMYFUNCTION("""COMPUTED_VALUE"""),50.0)</f>
        <v>50</v>
      </c>
      <c r="N398" s="561">
        <f>IFERROR(__xludf.DUMMYFUNCTION("""COMPUTED_VALUE"""),50.0)</f>
        <v>50</v>
      </c>
      <c r="O398" s="560"/>
      <c r="P398" s="562">
        <f>IFERROR(__xludf.DUMMYFUNCTION("""COMPUTED_VALUE"""),50.0)</f>
        <v>50</v>
      </c>
      <c r="Q398" s="562">
        <f>IFERROR(__xludf.DUMMYFUNCTION("""COMPUTED_VALUE"""),65.0)</f>
        <v>65</v>
      </c>
      <c r="R398" s="562">
        <f>IFERROR(__xludf.DUMMYFUNCTION("""COMPUTED_VALUE"""),50.0)</f>
        <v>50</v>
      </c>
      <c r="S398" s="562"/>
      <c r="T398" s="217">
        <f>IFERROR(__xludf.DUMMYFUNCTION("""COMPUTED_VALUE"""),19.0)</f>
        <v>19</v>
      </c>
      <c r="U398" s="217">
        <f>IFERROR(__xludf.DUMMYFUNCTION("""COMPUTED_VALUE"""),23.0)</f>
        <v>23</v>
      </c>
      <c r="V398" s="217"/>
      <c r="W398" s="217">
        <f>IFERROR(__xludf.DUMMYFUNCTION("""COMPUTED_VALUE"""),72.0)</f>
        <v>72</v>
      </c>
      <c r="X398" s="217">
        <f>IFERROR(__xludf.DUMMYFUNCTION("""COMPUTED_VALUE"""),76.0)</f>
        <v>76</v>
      </c>
      <c r="Y398" s="217"/>
      <c r="Z398" s="217"/>
      <c r="AA398" s="481">
        <f>IFERROR(__xludf.DUMMYFUNCTION("""COMPUTED_VALUE"""),82.0)</f>
        <v>82</v>
      </c>
      <c r="AB398" s="481">
        <f>IFERROR(__xludf.DUMMYFUNCTION("""COMPUTED_VALUE"""),100.0)</f>
        <v>100</v>
      </c>
      <c r="AC398" s="481">
        <f>IFERROR(__xludf.DUMMYFUNCTION("""COMPUTED_VALUE"""),74.0)</f>
        <v>74</v>
      </c>
      <c r="AD398" s="481">
        <f>IFERROR(__xludf.DUMMYFUNCTION("""COMPUTED_VALUE"""),60.0)</f>
        <v>60</v>
      </c>
      <c r="AE398" s="481">
        <f>IFERROR(__xludf.DUMMYFUNCTION("""COMPUTED_VALUE"""),98.0)</f>
        <v>98</v>
      </c>
      <c r="AF398" s="481"/>
      <c r="AG398" s="481">
        <f>IFERROR(__xludf.DUMMYFUNCTION("""COMPUTED_VALUE"""),10.0)</f>
        <v>10</v>
      </c>
      <c r="AH398" s="481"/>
      <c r="AI398" s="158"/>
      <c r="AJ398" s="158"/>
      <c r="AK398" s="133">
        <f>IFERROR(__xludf.DUMMYFUNCTION("""COMPUTED_VALUE"""),4.0)</f>
        <v>4</v>
      </c>
      <c r="AL398" s="133">
        <f>IFERROR(__xludf.DUMMYFUNCTION("""COMPUTED_VALUE"""),3.0)</f>
        <v>3</v>
      </c>
      <c r="AM398" s="133">
        <f>IFERROR(__xludf.DUMMYFUNCTION("""COMPUTED_VALUE"""),3.0)</f>
        <v>3</v>
      </c>
      <c r="AN398" s="133" t="str">
        <f>IFERROR(__xludf.DUMMYFUNCTION("""COMPUTED_VALUE"""),"3.5")</f>
        <v>3.5</v>
      </c>
      <c r="AO398" s="133">
        <f>IFERROR(__xludf.DUMMYFUNCTION("""COMPUTED_VALUE"""),3.0)</f>
        <v>3</v>
      </c>
      <c r="AP398" s="155" t="s">
        <v>3706</v>
      </c>
    </row>
    <row r="399">
      <c r="A399" s="155">
        <f>IFERROR(__xludf.DUMMYFUNCTION("""COMPUTED_VALUE"""),161.0)</f>
        <v>161</v>
      </c>
      <c r="B399" s="155" t="str">
        <f>IFERROR(__xludf.DUMMYFUNCTION("""COMPUTED_VALUE"""),"shbi23ise@cmrit.ac.in")</f>
        <v>shbi23ise@cmrit.ac.in</v>
      </c>
      <c r="C399" s="174" t="str">
        <f>IFERROR(__xludf.DUMMYFUNCTION("""COMPUTED_VALUE"""),"SHUVAARJAN BIKRAM SHAH")</f>
        <v>SHUVAARJAN BIKRAM SHAH</v>
      </c>
      <c r="D399" s="155" t="str">
        <f>IFERROR(__xludf.DUMMYFUNCTION("""COMPUTED_VALUE"""),"1CR23IS167")</f>
        <v>1CR23IS167</v>
      </c>
      <c r="E399" s="563">
        <f>IFERROR(__xludf.DUMMYFUNCTION("""COMPUTED_VALUE"""),9.808054411E9)</f>
        <v>9808054411</v>
      </c>
      <c r="F399" s="155" t="str">
        <f>IFERROR(__xludf.DUMMYFUNCTION("""COMPUTED_VALUE"""),"ISE")</f>
        <v>ISE</v>
      </c>
      <c r="G399" s="158"/>
      <c r="H399" s="559">
        <f>IFERROR(__xludf.DUMMYFUNCTION("""COMPUTED_VALUE"""),73.0)</f>
        <v>73</v>
      </c>
      <c r="I399" s="559">
        <f>IFERROR(__xludf.DUMMYFUNCTION("""COMPUTED_VALUE"""),82.0)</f>
        <v>82</v>
      </c>
      <c r="J399" s="559">
        <f>IFERROR(__xludf.DUMMYFUNCTION("""COMPUTED_VALUE"""),41.0)</f>
        <v>41</v>
      </c>
      <c r="K399" s="559">
        <f>IFERROR(__xludf.DUMMYFUNCTION("""COMPUTED_VALUE"""),12.0)</f>
        <v>12</v>
      </c>
      <c r="L399" s="560">
        <f>IFERROR(__xludf.DUMMYFUNCTION("""COMPUTED_VALUE"""),12.0)</f>
        <v>12</v>
      </c>
      <c r="M399" s="561">
        <f>IFERROR(__xludf.DUMMYFUNCTION("""COMPUTED_VALUE"""),0.0)</f>
        <v>0</v>
      </c>
      <c r="N399" s="561">
        <f>IFERROR(__xludf.DUMMYFUNCTION("""COMPUTED_VALUE"""),0.0)</f>
        <v>0</v>
      </c>
      <c r="O399" s="560"/>
      <c r="P399" s="562">
        <f>IFERROR(__xludf.DUMMYFUNCTION("""COMPUTED_VALUE"""),0.0)</f>
        <v>0</v>
      </c>
      <c r="Q399" s="562">
        <f>IFERROR(__xludf.DUMMYFUNCTION("""COMPUTED_VALUE"""),0.0)</f>
        <v>0</v>
      </c>
      <c r="R399" s="562">
        <f>IFERROR(__xludf.DUMMYFUNCTION("""COMPUTED_VALUE"""),0.0)</f>
        <v>0</v>
      </c>
      <c r="S399" s="562"/>
      <c r="T399" s="217">
        <f>IFERROR(__xludf.DUMMYFUNCTION("""COMPUTED_VALUE"""),10.0)</f>
        <v>10</v>
      </c>
      <c r="U399" s="217">
        <f>IFERROR(__xludf.DUMMYFUNCTION("""COMPUTED_VALUE"""),23.0)</f>
        <v>23</v>
      </c>
      <c r="V399" s="217">
        <f>IFERROR(__xludf.DUMMYFUNCTION("""COMPUTED_VALUE"""),48.0)</f>
        <v>48</v>
      </c>
      <c r="W399" s="217">
        <f>IFERROR(__xludf.DUMMYFUNCTION("""COMPUTED_VALUE"""),48.0)</f>
        <v>48</v>
      </c>
      <c r="X399" s="217">
        <f>IFERROR(__xludf.DUMMYFUNCTION("""COMPUTED_VALUE"""),64.0)</f>
        <v>64</v>
      </c>
      <c r="Y399" s="217"/>
      <c r="Z399" s="217"/>
      <c r="AA399" s="481">
        <f>IFERROR(__xludf.DUMMYFUNCTION("""COMPUTED_VALUE"""),0.0)</f>
        <v>0</v>
      </c>
      <c r="AB399" s="481">
        <f>IFERROR(__xludf.DUMMYFUNCTION("""COMPUTED_VALUE"""),90.0)</f>
        <v>90</v>
      </c>
      <c r="AC399" s="481">
        <f>IFERROR(__xludf.DUMMYFUNCTION("""COMPUTED_VALUE"""),0.0)</f>
        <v>0</v>
      </c>
      <c r="AD399" s="481">
        <f>IFERROR(__xludf.DUMMYFUNCTION("""COMPUTED_VALUE"""),0.0)</f>
        <v>0</v>
      </c>
      <c r="AE399" s="481">
        <f>IFERROR(__xludf.DUMMYFUNCTION("""COMPUTED_VALUE"""),10.0)</f>
        <v>10</v>
      </c>
      <c r="AF399" s="481"/>
      <c r="AG399" s="481">
        <f>IFERROR(__xludf.DUMMYFUNCTION("""COMPUTED_VALUE"""),0.0)</f>
        <v>0</v>
      </c>
      <c r="AH399" s="481"/>
      <c r="AI399" s="158"/>
      <c r="AJ399" s="158"/>
      <c r="AK399" s="133">
        <f>IFERROR(__xludf.DUMMYFUNCTION("""COMPUTED_VALUE"""),2.0)</f>
        <v>2</v>
      </c>
      <c r="AL399" s="133">
        <f>IFERROR(__xludf.DUMMYFUNCTION("""COMPUTED_VALUE"""),0.0)</f>
        <v>0</v>
      </c>
      <c r="AM399" s="133">
        <f>IFERROR(__xludf.DUMMYFUNCTION("""COMPUTED_VALUE"""),2.0)</f>
        <v>2</v>
      </c>
      <c r="AN399" s="133" t="str">
        <f>IFERROR(__xludf.DUMMYFUNCTION("""COMPUTED_VALUE"""),"2")</f>
        <v>2</v>
      </c>
      <c r="AO399" s="133">
        <f>IFERROR(__xludf.DUMMYFUNCTION("""COMPUTED_VALUE"""),0.0)</f>
        <v>0</v>
      </c>
      <c r="AP399" s="155" t="s">
        <v>3706</v>
      </c>
    </row>
    <row r="400">
      <c r="A400" s="155">
        <f>IFERROR(__xludf.DUMMYFUNCTION("""COMPUTED_VALUE"""),162.0)</f>
        <v>162</v>
      </c>
      <c r="B400" s="155" t="str">
        <f>IFERROR(__xludf.DUMMYFUNCTION("""COMPUTED_VALUE"""),"shl23ise@cmrit.ac.in")</f>
        <v>shl23ise@cmrit.ac.in</v>
      </c>
      <c r="C400" s="174" t="str">
        <f>IFERROR(__xludf.DUMMYFUNCTION("""COMPUTED_VALUE"""),"SHWETHA L")</f>
        <v>SHWETHA L</v>
      </c>
      <c r="D400" s="155" t="str">
        <f>IFERROR(__xludf.DUMMYFUNCTION("""COMPUTED_VALUE"""),"1CR23IS168")</f>
        <v>1CR23IS168</v>
      </c>
      <c r="E400" s="563">
        <f>IFERROR(__xludf.DUMMYFUNCTION("""COMPUTED_VALUE"""),9.945230609E9)</f>
        <v>9945230609</v>
      </c>
      <c r="F400" s="155" t="str">
        <f>IFERROR(__xludf.DUMMYFUNCTION("""COMPUTED_VALUE"""),"ISE")</f>
        <v>ISE</v>
      </c>
      <c r="G400" s="158"/>
      <c r="H400" s="559">
        <f>IFERROR(__xludf.DUMMYFUNCTION("""COMPUTED_VALUE"""),89.0)</f>
        <v>89</v>
      </c>
      <c r="I400" s="559">
        <f>IFERROR(__xludf.DUMMYFUNCTION("""COMPUTED_VALUE"""),90.0)</f>
        <v>90</v>
      </c>
      <c r="J400" s="559">
        <f>IFERROR(__xludf.DUMMYFUNCTION("""COMPUTED_VALUE"""),78.0)</f>
        <v>78</v>
      </c>
      <c r="K400" s="559">
        <f>IFERROR(__xludf.DUMMYFUNCTION("""COMPUTED_VALUE"""),75.0)</f>
        <v>75</v>
      </c>
      <c r="L400" s="560">
        <f>IFERROR(__xludf.DUMMYFUNCTION("""COMPUTED_VALUE"""),50.0)</f>
        <v>50</v>
      </c>
      <c r="M400" s="561">
        <f>IFERROR(__xludf.DUMMYFUNCTION("""COMPUTED_VALUE"""),50.0)</f>
        <v>50</v>
      </c>
      <c r="N400" s="561">
        <f>IFERROR(__xludf.DUMMYFUNCTION("""COMPUTED_VALUE"""),50.0)</f>
        <v>50</v>
      </c>
      <c r="O400" s="560"/>
      <c r="P400" s="562">
        <f>IFERROR(__xludf.DUMMYFUNCTION("""COMPUTED_VALUE"""),78.0)</f>
        <v>78</v>
      </c>
      <c r="Q400" s="562">
        <f>IFERROR(__xludf.DUMMYFUNCTION("""COMPUTED_VALUE"""),60.0)</f>
        <v>60</v>
      </c>
      <c r="R400" s="562">
        <f>IFERROR(__xludf.DUMMYFUNCTION("""COMPUTED_VALUE"""),90.0)</f>
        <v>90</v>
      </c>
      <c r="S400" s="562"/>
      <c r="T400" s="217">
        <f>IFERROR(__xludf.DUMMYFUNCTION("""COMPUTED_VALUE"""),11.0)</f>
        <v>11</v>
      </c>
      <c r="U400" s="217">
        <f>IFERROR(__xludf.DUMMYFUNCTION("""COMPUTED_VALUE"""),24.0)</f>
        <v>24</v>
      </c>
      <c r="V400" s="217">
        <f>IFERROR(__xludf.DUMMYFUNCTION("""COMPUTED_VALUE"""),48.0)</f>
        <v>48</v>
      </c>
      <c r="W400" s="217"/>
      <c r="X400" s="217">
        <f>IFERROR(__xludf.DUMMYFUNCTION("""COMPUTED_VALUE"""),80.0)</f>
        <v>80</v>
      </c>
      <c r="Y400" s="217"/>
      <c r="Z400" s="217"/>
      <c r="AA400" s="481">
        <f>IFERROR(__xludf.DUMMYFUNCTION("""COMPUTED_VALUE"""),84.0)</f>
        <v>84</v>
      </c>
      <c r="AB400" s="481">
        <f>IFERROR(__xludf.DUMMYFUNCTION("""COMPUTED_VALUE"""),100.0)</f>
        <v>100</v>
      </c>
      <c r="AC400" s="481">
        <f>IFERROR(__xludf.DUMMYFUNCTION("""COMPUTED_VALUE"""),60.0)</f>
        <v>60</v>
      </c>
      <c r="AD400" s="481">
        <f>IFERROR(__xludf.DUMMYFUNCTION("""COMPUTED_VALUE"""),100.0)</f>
        <v>100</v>
      </c>
      <c r="AE400" s="481">
        <f>IFERROR(__xludf.DUMMYFUNCTION("""COMPUTED_VALUE"""),87.0)</f>
        <v>87</v>
      </c>
      <c r="AF400" s="481"/>
      <c r="AG400" s="481">
        <f>IFERROR(__xludf.DUMMYFUNCTION("""COMPUTED_VALUE"""),92.0)</f>
        <v>92</v>
      </c>
      <c r="AH400" s="481"/>
      <c r="AI400" s="158"/>
      <c r="AJ400" s="158"/>
      <c r="AK400" s="133">
        <f>IFERROR(__xludf.DUMMYFUNCTION("""COMPUTED_VALUE"""),4.0)</f>
        <v>4</v>
      </c>
      <c r="AL400" s="133">
        <f>IFERROR(__xludf.DUMMYFUNCTION("""COMPUTED_VALUE"""),3.0)</f>
        <v>3</v>
      </c>
      <c r="AM400" s="133">
        <f>IFERROR(__xludf.DUMMYFUNCTION("""COMPUTED_VALUE"""),2.0)</f>
        <v>2</v>
      </c>
      <c r="AN400" s="133" t="str">
        <f>IFERROR(__xludf.DUMMYFUNCTION("""COMPUTED_VALUE"""),"3.5")</f>
        <v>3.5</v>
      </c>
      <c r="AO400" s="133">
        <f>IFERROR(__xludf.DUMMYFUNCTION("""COMPUTED_VALUE"""),3.0)</f>
        <v>3</v>
      </c>
      <c r="AP400" s="155" t="s">
        <v>3706</v>
      </c>
    </row>
    <row r="401">
      <c r="A401" s="155">
        <f>IFERROR(__xludf.DUMMYFUNCTION("""COMPUTED_VALUE"""),163.0)</f>
        <v>163</v>
      </c>
      <c r="B401" s="155" t="str">
        <f>IFERROR(__xludf.DUMMYFUNCTION("""COMPUTED_VALUE"""),"sibt23ise@cmrit.ac.in")</f>
        <v>sibt23ise@cmrit.ac.in</v>
      </c>
      <c r="C401" s="174" t="str">
        <f>IFERROR(__xludf.DUMMYFUNCTION("""COMPUTED_VALUE"""),"SINCHANA B T")</f>
        <v>SINCHANA B T</v>
      </c>
      <c r="D401" s="155" t="str">
        <f>IFERROR(__xludf.DUMMYFUNCTION("""COMPUTED_VALUE"""),"1CR23IS169")</f>
        <v>1CR23IS169</v>
      </c>
      <c r="E401" s="563">
        <f>IFERROR(__xludf.DUMMYFUNCTION("""COMPUTED_VALUE"""),7.483757106E9)</f>
        <v>7483757106</v>
      </c>
      <c r="F401" s="155" t="str">
        <f>IFERROR(__xludf.DUMMYFUNCTION("""COMPUTED_VALUE"""),"ISE")</f>
        <v>ISE</v>
      </c>
      <c r="G401" s="158"/>
      <c r="H401" s="559">
        <f>IFERROR(__xludf.DUMMYFUNCTION("""COMPUTED_VALUE"""),70.0)</f>
        <v>70</v>
      </c>
      <c r="I401" s="559">
        <f>IFERROR(__xludf.DUMMYFUNCTION("""COMPUTED_VALUE"""),74.0)</f>
        <v>74</v>
      </c>
      <c r="J401" s="559">
        <f>IFERROR(__xludf.DUMMYFUNCTION("""COMPUTED_VALUE"""),70.0)</f>
        <v>70</v>
      </c>
      <c r="K401" s="559">
        <f>IFERROR(__xludf.DUMMYFUNCTION("""COMPUTED_VALUE"""),70.0)</f>
        <v>70</v>
      </c>
      <c r="L401" s="560">
        <f>IFERROR(__xludf.DUMMYFUNCTION("""COMPUTED_VALUE"""),50.0)</f>
        <v>50</v>
      </c>
      <c r="M401" s="561">
        <f>IFERROR(__xludf.DUMMYFUNCTION("""COMPUTED_VALUE"""),13.0)</f>
        <v>13</v>
      </c>
      <c r="N401" s="561">
        <f>IFERROR(__xludf.DUMMYFUNCTION("""COMPUTED_VALUE"""),57.0)</f>
        <v>57</v>
      </c>
      <c r="O401" s="560"/>
      <c r="P401" s="562">
        <f>IFERROR(__xludf.DUMMYFUNCTION("""COMPUTED_VALUE"""),81.0)</f>
        <v>81</v>
      </c>
      <c r="Q401" s="562">
        <f>IFERROR(__xludf.DUMMYFUNCTION("""COMPUTED_VALUE"""),60.0)</f>
        <v>60</v>
      </c>
      <c r="R401" s="562">
        <f>IFERROR(__xludf.DUMMYFUNCTION("""COMPUTED_VALUE"""),88.0)</f>
        <v>88</v>
      </c>
      <c r="S401" s="562"/>
      <c r="T401" s="217">
        <f>IFERROR(__xludf.DUMMYFUNCTION("""COMPUTED_VALUE"""),11.0)</f>
        <v>11</v>
      </c>
      <c r="U401" s="217">
        <f>IFERROR(__xludf.DUMMYFUNCTION("""COMPUTED_VALUE"""),23.0)</f>
        <v>23</v>
      </c>
      <c r="V401" s="217">
        <f>IFERROR(__xludf.DUMMYFUNCTION("""COMPUTED_VALUE"""),48.0)</f>
        <v>48</v>
      </c>
      <c r="W401" s="217">
        <f>IFERROR(__xludf.DUMMYFUNCTION("""COMPUTED_VALUE"""),72.0)</f>
        <v>72</v>
      </c>
      <c r="X401" s="217">
        <f>IFERROR(__xludf.DUMMYFUNCTION("""COMPUTED_VALUE"""),72.0)</f>
        <v>72</v>
      </c>
      <c r="Y401" s="217"/>
      <c r="Z401" s="217"/>
      <c r="AA401" s="481">
        <f>IFERROR(__xludf.DUMMYFUNCTION("""COMPUTED_VALUE"""),60.8)</f>
        <v>60.8</v>
      </c>
      <c r="AB401" s="481">
        <f>IFERROR(__xludf.DUMMYFUNCTION("""COMPUTED_VALUE"""),100.0)</f>
        <v>100</v>
      </c>
      <c r="AC401" s="481">
        <f>IFERROR(__xludf.DUMMYFUNCTION("""COMPUTED_VALUE"""),61.0)</f>
        <v>61</v>
      </c>
      <c r="AD401" s="481">
        <f>IFERROR(__xludf.DUMMYFUNCTION("""COMPUTED_VALUE"""),100.0)</f>
        <v>100</v>
      </c>
      <c r="AE401" s="481">
        <f>IFERROR(__xludf.DUMMYFUNCTION("""COMPUTED_VALUE"""),84.0)</f>
        <v>84</v>
      </c>
      <c r="AF401" s="481"/>
      <c r="AG401" s="481">
        <f>IFERROR(__xludf.DUMMYFUNCTION("""COMPUTED_VALUE"""),86.0)</f>
        <v>86</v>
      </c>
      <c r="AH401" s="481"/>
      <c r="AI401" s="158"/>
      <c r="AJ401" s="158"/>
      <c r="AK401" s="133">
        <f>IFERROR(__xludf.DUMMYFUNCTION("""COMPUTED_VALUE"""),4.0)</f>
        <v>4</v>
      </c>
      <c r="AL401" s="133">
        <f>IFERROR(__xludf.DUMMYFUNCTION("""COMPUTED_VALUE"""),1.0)</f>
        <v>1</v>
      </c>
      <c r="AM401" s="133">
        <f>IFERROR(__xludf.DUMMYFUNCTION("""COMPUTED_VALUE"""),3.0)</f>
        <v>3</v>
      </c>
      <c r="AN401" s="133" t="str">
        <f>IFERROR(__xludf.DUMMYFUNCTION("""COMPUTED_VALUE"""),"3.5")</f>
        <v>3.5</v>
      </c>
      <c r="AO401" s="133">
        <f>IFERROR(__xludf.DUMMYFUNCTION("""COMPUTED_VALUE"""),3.0)</f>
        <v>3</v>
      </c>
      <c r="AP401" s="155" t="s">
        <v>3706</v>
      </c>
    </row>
    <row r="402">
      <c r="A402" s="155">
        <f>IFERROR(__xludf.DUMMYFUNCTION("""COMPUTED_VALUE"""),164.0)</f>
        <v>164</v>
      </c>
      <c r="B402" s="155" t="str">
        <f>IFERROR(__xludf.DUMMYFUNCTION("""COMPUTED_VALUE"""),"sisb23ise@cmrit.ac.in")</f>
        <v>sisb23ise@cmrit.ac.in</v>
      </c>
      <c r="C402" s="174" t="str">
        <f>IFERROR(__xludf.DUMMYFUNCTION("""COMPUTED_VALUE"""),"SINCHANA S B")</f>
        <v>SINCHANA S B</v>
      </c>
      <c r="D402" s="155" t="str">
        <f>IFERROR(__xludf.DUMMYFUNCTION("""COMPUTED_VALUE"""),"1CR23IS170")</f>
        <v>1CR23IS170</v>
      </c>
      <c r="E402" s="563">
        <f>IFERROR(__xludf.DUMMYFUNCTION("""COMPUTED_VALUE"""),7.676625075E9)</f>
        <v>7676625075</v>
      </c>
      <c r="F402" s="155" t="str">
        <f>IFERROR(__xludf.DUMMYFUNCTION("""COMPUTED_VALUE"""),"ISE")</f>
        <v>ISE</v>
      </c>
      <c r="G402" s="158"/>
      <c r="H402" s="559">
        <f>IFERROR(__xludf.DUMMYFUNCTION("""COMPUTED_VALUE"""),70.0)</f>
        <v>70</v>
      </c>
      <c r="I402" s="559">
        <f>IFERROR(__xludf.DUMMYFUNCTION("""COMPUTED_VALUE"""),84.0)</f>
        <v>84</v>
      </c>
      <c r="J402" s="559">
        <f>IFERROR(__xludf.DUMMYFUNCTION("""COMPUTED_VALUE"""),77.0)</f>
        <v>77</v>
      </c>
      <c r="K402" s="559">
        <f>IFERROR(__xludf.DUMMYFUNCTION("""COMPUTED_VALUE"""),70.0)</f>
        <v>70</v>
      </c>
      <c r="L402" s="560">
        <f>IFERROR(__xludf.DUMMYFUNCTION("""COMPUTED_VALUE"""),50.0)</f>
        <v>50</v>
      </c>
      <c r="M402" s="561">
        <f>IFERROR(__xludf.DUMMYFUNCTION("""COMPUTED_VALUE"""),47.0)</f>
        <v>47</v>
      </c>
      <c r="N402" s="561">
        <f>IFERROR(__xludf.DUMMYFUNCTION("""COMPUTED_VALUE"""),50.0)</f>
        <v>50</v>
      </c>
      <c r="O402" s="560"/>
      <c r="P402" s="562">
        <f>IFERROR(__xludf.DUMMYFUNCTION("""COMPUTED_VALUE"""),68.0)</f>
        <v>68</v>
      </c>
      <c r="Q402" s="562">
        <f>IFERROR(__xludf.DUMMYFUNCTION("""COMPUTED_VALUE"""),78.0)</f>
        <v>78</v>
      </c>
      <c r="R402" s="562">
        <f>IFERROR(__xludf.DUMMYFUNCTION("""COMPUTED_VALUE"""),90.0)</f>
        <v>90</v>
      </c>
      <c r="S402" s="562"/>
      <c r="T402" s="217">
        <f>IFERROR(__xludf.DUMMYFUNCTION("""COMPUTED_VALUE"""),18.0)</f>
        <v>18</v>
      </c>
      <c r="U402" s="217">
        <f>IFERROR(__xludf.DUMMYFUNCTION("""COMPUTED_VALUE"""),23.0)</f>
        <v>23</v>
      </c>
      <c r="V402" s="217">
        <f>IFERROR(__xludf.DUMMYFUNCTION("""COMPUTED_VALUE"""),46.0)</f>
        <v>46</v>
      </c>
      <c r="W402" s="217">
        <f>IFERROR(__xludf.DUMMYFUNCTION("""COMPUTED_VALUE"""),72.0)</f>
        <v>72</v>
      </c>
      <c r="X402" s="217">
        <f>IFERROR(__xludf.DUMMYFUNCTION("""COMPUTED_VALUE"""),96.0)</f>
        <v>96</v>
      </c>
      <c r="Y402" s="217"/>
      <c r="Z402" s="217"/>
      <c r="AA402" s="481">
        <f>IFERROR(__xludf.DUMMYFUNCTION("""COMPUTED_VALUE"""),71.0)</f>
        <v>71</v>
      </c>
      <c r="AB402" s="481">
        <f>IFERROR(__xludf.DUMMYFUNCTION("""COMPUTED_VALUE"""),100.0)</f>
        <v>100</v>
      </c>
      <c r="AC402" s="481">
        <f>IFERROR(__xludf.DUMMYFUNCTION("""COMPUTED_VALUE"""),72.0)</f>
        <v>72</v>
      </c>
      <c r="AD402" s="481">
        <f>IFERROR(__xludf.DUMMYFUNCTION("""COMPUTED_VALUE"""),75.0)</f>
        <v>75</v>
      </c>
      <c r="AE402" s="481">
        <f>IFERROR(__xludf.DUMMYFUNCTION("""COMPUTED_VALUE"""),77.0)</f>
        <v>77</v>
      </c>
      <c r="AF402" s="481"/>
      <c r="AG402" s="481">
        <f>IFERROR(__xludf.DUMMYFUNCTION("""COMPUTED_VALUE"""),82.0)</f>
        <v>82</v>
      </c>
      <c r="AH402" s="481"/>
      <c r="AI402" s="158"/>
      <c r="AJ402" s="158"/>
      <c r="AK402" s="133">
        <f>IFERROR(__xludf.DUMMYFUNCTION("""COMPUTED_VALUE"""),4.0)</f>
        <v>4</v>
      </c>
      <c r="AL402" s="133">
        <f>IFERROR(__xludf.DUMMYFUNCTION("""COMPUTED_VALUE"""),1.0)</f>
        <v>1</v>
      </c>
      <c r="AM402" s="133">
        <f>IFERROR(__xludf.DUMMYFUNCTION("""COMPUTED_VALUE"""),3.0)</f>
        <v>3</v>
      </c>
      <c r="AN402" s="133" t="str">
        <f>IFERROR(__xludf.DUMMYFUNCTION("""COMPUTED_VALUE"""),"3.5")</f>
        <v>3.5</v>
      </c>
      <c r="AO402" s="133">
        <f>IFERROR(__xludf.DUMMYFUNCTION("""COMPUTED_VALUE"""),3.0)</f>
        <v>3</v>
      </c>
      <c r="AP402" s="155" t="s">
        <v>3706</v>
      </c>
    </row>
    <row r="403">
      <c r="A403" s="155">
        <f>IFERROR(__xludf.DUMMYFUNCTION("""COMPUTED_VALUE"""),165.0)</f>
        <v>165</v>
      </c>
      <c r="B403" s="155" t="str">
        <f>IFERROR(__xludf.DUMMYFUNCTION("""COMPUTED_VALUE"""),"snv23ise@cmrit.ac.in")</f>
        <v>snv23ise@cmrit.ac.in</v>
      </c>
      <c r="C403" s="174" t="str">
        <f>IFERROR(__xludf.DUMMYFUNCTION("""COMPUTED_VALUE"""),"SNEHA V")</f>
        <v>SNEHA V</v>
      </c>
      <c r="D403" s="155" t="str">
        <f>IFERROR(__xludf.DUMMYFUNCTION("""COMPUTED_VALUE"""),"1CR23IS171")</f>
        <v>1CR23IS171</v>
      </c>
      <c r="E403" s="563">
        <f>IFERROR(__xludf.DUMMYFUNCTION("""COMPUTED_VALUE"""),9.632155272E9)</f>
        <v>9632155272</v>
      </c>
      <c r="F403" s="155" t="str">
        <f>IFERROR(__xludf.DUMMYFUNCTION("""COMPUTED_VALUE"""),"ISE")</f>
        <v>ISE</v>
      </c>
      <c r="G403" s="158"/>
      <c r="H403" s="559">
        <f>IFERROR(__xludf.DUMMYFUNCTION("""COMPUTED_VALUE"""),77.0)</f>
        <v>77</v>
      </c>
      <c r="I403" s="559">
        <f>IFERROR(__xludf.DUMMYFUNCTION("""COMPUTED_VALUE"""),90.0)</f>
        <v>90</v>
      </c>
      <c r="J403" s="559">
        <f>IFERROR(__xludf.DUMMYFUNCTION("""COMPUTED_VALUE"""),70.0)</f>
        <v>70</v>
      </c>
      <c r="K403" s="559">
        <f>IFERROR(__xludf.DUMMYFUNCTION("""COMPUTED_VALUE"""),76.0)</f>
        <v>76</v>
      </c>
      <c r="L403" s="560">
        <f>IFERROR(__xludf.DUMMYFUNCTION("""COMPUTED_VALUE"""),50.0)</f>
        <v>50</v>
      </c>
      <c r="M403" s="561">
        <f>IFERROR(__xludf.DUMMYFUNCTION("""COMPUTED_VALUE"""),43.0)</f>
        <v>43</v>
      </c>
      <c r="N403" s="561">
        <f>IFERROR(__xludf.DUMMYFUNCTION("""COMPUTED_VALUE"""),50.0)</f>
        <v>50</v>
      </c>
      <c r="O403" s="560"/>
      <c r="P403" s="562">
        <f>IFERROR(__xludf.DUMMYFUNCTION("""COMPUTED_VALUE"""),84.0)</f>
        <v>84</v>
      </c>
      <c r="Q403" s="562">
        <f>IFERROR(__xludf.DUMMYFUNCTION("""COMPUTED_VALUE"""),81.0)</f>
        <v>81</v>
      </c>
      <c r="R403" s="562">
        <f>IFERROR(__xludf.DUMMYFUNCTION("""COMPUTED_VALUE"""),94.0)</f>
        <v>94</v>
      </c>
      <c r="S403" s="562"/>
      <c r="T403" s="217">
        <f>IFERROR(__xludf.DUMMYFUNCTION("""COMPUTED_VALUE"""),15.0)</f>
        <v>15</v>
      </c>
      <c r="U403" s="217">
        <f>IFERROR(__xludf.DUMMYFUNCTION("""COMPUTED_VALUE"""),22.0)</f>
        <v>22</v>
      </c>
      <c r="V403" s="217">
        <f>IFERROR(__xludf.DUMMYFUNCTION("""COMPUTED_VALUE"""),48.0)</f>
        <v>48</v>
      </c>
      <c r="W403" s="217">
        <f>IFERROR(__xludf.DUMMYFUNCTION("""COMPUTED_VALUE"""),68.0)</f>
        <v>68</v>
      </c>
      <c r="X403" s="217">
        <f>IFERROR(__xludf.DUMMYFUNCTION("""COMPUTED_VALUE"""),80.0)</f>
        <v>80</v>
      </c>
      <c r="Y403" s="217"/>
      <c r="Z403" s="217"/>
      <c r="AA403" s="481">
        <f>IFERROR(__xludf.DUMMYFUNCTION("""COMPUTED_VALUE"""),74.0)</f>
        <v>74</v>
      </c>
      <c r="AB403" s="481">
        <f>IFERROR(__xludf.DUMMYFUNCTION("""COMPUTED_VALUE"""),100.0)</f>
        <v>100</v>
      </c>
      <c r="AC403" s="481">
        <f>IFERROR(__xludf.DUMMYFUNCTION("""COMPUTED_VALUE"""),80.0)</f>
        <v>80</v>
      </c>
      <c r="AD403" s="481">
        <f>IFERROR(__xludf.DUMMYFUNCTION("""COMPUTED_VALUE"""),100.0)</f>
        <v>100</v>
      </c>
      <c r="AE403" s="481">
        <f>IFERROR(__xludf.DUMMYFUNCTION("""COMPUTED_VALUE"""),77.0)</f>
        <v>77</v>
      </c>
      <c r="AF403" s="481"/>
      <c r="AG403" s="481">
        <f>IFERROR(__xludf.DUMMYFUNCTION("""COMPUTED_VALUE"""),81.0)</f>
        <v>81</v>
      </c>
      <c r="AH403" s="481"/>
      <c r="AI403" s="158"/>
      <c r="AJ403" s="158"/>
      <c r="AK403" s="133">
        <f>IFERROR(__xludf.DUMMYFUNCTION("""COMPUTED_VALUE"""),4.0)</f>
        <v>4</v>
      </c>
      <c r="AL403" s="133">
        <f>IFERROR(__xludf.DUMMYFUNCTION("""COMPUTED_VALUE"""),1.0)</f>
        <v>1</v>
      </c>
      <c r="AM403" s="133">
        <f>IFERROR(__xludf.DUMMYFUNCTION("""COMPUTED_VALUE"""),3.0)</f>
        <v>3</v>
      </c>
      <c r="AN403" s="133" t="str">
        <f>IFERROR(__xludf.DUMMYFUNCTION("""COMPUTED_VALUE"""),"3.5")</f>
        <v>3.5</v>
      </c>
      <c r="AO403" s="133">
        <f>IFERROR(__xludf.DUMMYFUNCTION("""COMPUTED_VALUE"""),3.0)</f>
        <v>3</v>
      </c>
      <c r="AP403" s="155" t="s">
        <v>3706</v>
      </c>
    </row>
    <row r="404">
      <c r="A404" s="155">
        <f>IFERROR(__xludf.DUMMYFUNCTION("""COMPUTED_VALUE"""),166.0)</f>
        <v>166</v>
      </c>
      <c r="B404" s="155" t="str">
        <f>IFERROR(__xludf.DUMMYFUNCTION("""COMPUTED_VALUE"""),"sndh23ise@cmrit.ac.in")</f>
        <v>sndh23ise@cmrit.ac.in</v>
      </c>
      <c r="C404" s="174" t="str">
        <f>IFERROR(__xludf.DUMMYFUNCTION("""COMPUTED_VALUE"""),"SNEHASISH DHAR")</f>
        <v>SNEHASISH DHAR</v>
      </c>
      <c r="D404" s="155" t="str">
        <f>IFERROR(__xludf.DUMMYFUNCTION("""COMPUTED_VALUE"""),"1CR23IS172")</f>
        <v>1CR23IS172</v>
      </c>
      <c r="E404" s="563">
        <f>IFERROR(__xludf.DUMMYFUNCTION("""COMPUTED_VALUE"""),7.099643157E9)</f>
        <v>7099643157</v>
      </c>
      <c r="F404" s="155" t="str">
        <f>IFERROR(__xludf.DUMMYFUNCTION("""COMPUTED_VALUE"""),"ISE")</f>
        <v>ISE</v>
      </c>
      <c r="G404" s="158"/>
      <c r="H404" s="559">
        <f>IFERROR(__xludf.DUMMYFUNCTION("""COMPUTED_VALUE"""),90.0)</f>
        <v>90</v>
      </c>
      <c r="I404" s="559">
        <f>IFERROR(__xludf.DUMMYFUNCTION("""COMPUTED_VALUE"""),95.0)</f>
        <v>95</v>
      </c>
      <c r="J404" s="559">
        <f>IFERROR(__xludf.DUMMYFUNCTION("""COMPUTED_VALUE"""),75.0)</f>
        <v>75</v>
      </c>
      <c r="K404" s="559">
        <f>IFERROR(__xludf.DUMMYFUNCTION("""COMPUTED_VALUE"""),71.0)</f>
        <v>71</v>
      </c>
      <c r="L404" s="560">
        <f>IFERROR(__xludf.DUMMYFUNCTION("""COMPUTED_VALUE"""),72.0)</f>
        <v>72</v>
      </c>
      <c r="M404" s="561">
        <f>IFERROR(__xludf.DUMMYFUNCTION("""COMPUTED_VALUE"""),59.0)</f>
        <v>59</v>
      </c>
      <c r="N404" s="561">
        <f>IFERROR(__xludf.DUMMYFUNCTION("""COMPUTED_VALUE"""),73.0)</f>
        <v>73</v>
      </c>
      <c r="O404" s="560"/>
      <c r="P404" s="562">
        <f>IFERROR(__xludf.DUMMYFUNCTION("""COMPUTED_VALUE"""),50.0)</f>
        <v>50</v>
      </c>
      <c r="Q404" s="562">
        <f>IFERROR(__xludf.DUMMYFUNCTION("""COMPUTED_VALUE"""),72.0)</f>
        <v>72</v>
      </c>
      <c r="R404" s="562">
        <f>IFERROR(__xludf.DUMMYFUNCTION("""COMPUTED_VALUE"""),0.0)</f>
        <v>0</v>
      </c>
      <c r="S404" s="562"/>
      <c r="T404" s="217">
        <f>IFERROR(__xludf.DUMMYFUNCTION("""COMPUTED_VALUE"""),11.0)</f>
        <v>11</v>
      </c>
      <c r="U404" s="217">
        <f>IFERROR(__xludf.DUMMYFUNCTION("""COMPUTED_VALUE"""),23.0)</f>
        <v>23</v>
      </c>
      <c r="V404" s="217">
        <f>IFERROR(__xludf.DUMMYFUNCTION("""COMPUTED_VALUE"""),48.0)</f>
        <v>48</v>
      </c>
      <c r="W404" s="217">
        <f>IFERROR(__xludf.DUMMYFUNCTION("""COMPUTED_VALUE"""),76.0)</f>
        <v>76</v>
      </c>
      <c r="X404" s="217">
        <f>IFERROR(__xludf.DUMMYFUNCTION("""COMPUTED_VALUE"""),68.0)</f>
        <v>68</v>
      </c>
      <c r="Y404" s="217"/>
      <c r="Z404" s="217"/>
      <c r="AA404" s="481">
        <f>IFERROR(__xludf.DUMMYFUNCTION("""COMPUTED_VALUE"""),69.0)</f>
        <v>69</v>
      </c>
      <c r="AB404" s="481">
        <f>IFERROR(__xludf.DUMMYFUNCTION("""COMPUTED_VALUE"""),100.0)</f>
        <v>100</v>
      </c>
      <c r="AC404" s="481">
        <f>IFERROR(__xludf.DUMMYFUNCTION("""COMPUTED_VALUE"""),77.0)</f>
        <v>77</v>
      </c>
      <c r="AD404" s="481">
        <f>IFERROR(__xludf.DUMMYFUNCTION("""COMPUTED_VALUE"""),100.0)</f>
        <v>100</v>
      </c>
      <c r="AE404" s="481">
        <f>IFERROR(__xludf.DUMMYFUNCTION("""COMPUTED_VALUE"""),76.0)</f>
        <v>76</v>
      </c>
      <c r="AF404" s="481"/>
      <c r="AG404" s="481">
        <f>IFERROR(__xludf.DUMMYFUNCTION("""COMPUTED_VALUE"""),10.0)</f>
        <v>10</v>
      </c>
      <c r="AH404" s="481"/>
      <c r="AI404" s="158"/>
      <c r="AJ404" s="158"/>
      <c r="AK404" s="133">
        <f>IFERROR(__xludf.DUMMYFUNCTION("""COMPUTED_VALUE"""),4.0)</f>
        <v>4</v>
      </c>
      <c r="AL404" s="133">
        <f>IFERROR(__xludf.DUMMYFUNCTION("""COMPUTED_VALUE"""),3.0)</f>
        <v>3</v>
      </c>
      <c r="AM404" s="133">
        <f>IFERROR(__xludf.DUMMYFUNCTION("""COMPUTED_VALUE"""),3.0)</f>
        <v>3</v>
      </c>
      <c r="AN404" s="133" t="str">
        <f>IFERROR(__xludf.DUMMYFUNCTION("""COMPUTED_VALUE"""),"3.5")</f>
        <v>3.5</v>
      </c>
      <c r="AO404" s="133">
        <f>IFERROR(__xludf.DUMMYFUNCTION("""COMPUTED_VALUE"""),2.0)</f>
        <v>2</v>
      </c>
      <c r="AP404" s="155" t="s">
        <v>3706</v>
      </c>
    </row>
    <row r="405">
      <c r="A405" s="155">
        <f>IFERROR(__xludf.DUMMYFUNCTION("""COMPUTED_VALUE"""),167.0)</f>
        <v>167</v>
      </c>
      <c r="B405" s="155" t="str">
        <f>IFERROR(__xludf.DUMMYFUNCTION("""COMPUTED_VALUE"""),"soch23ise@cmrit.ac.in")</f>
        <v>soch23ise@cmrit.ac.in</v>
      </c>
      <c r="C405" s="174" t="str">
        <f>IFERROR(__xludf.DUMMYFUNCTION("""COMPUTED_VALUE"""),"SOMYA CHOUDHARY")</f>
        <v>SOMYA CHOUDHARY</v>
      </c>
      <c r="D405" s="155" t="str">
        <f>IFERROR(__xludf.DUMMYFUNCTION("""COMPUTED_VALUE"""),"1CR23IS173")</f>
        <v>1CR23IS173</v>
      </c>
      <c r="E405" s="563">
        <f>IFERROR(__xludf.DUMMYFUNCTION("""COMPUTED_VALUE"""),9.334014837E9)</f>
        <v>9334014837</v>
      </c>
      <c r="F405" s="155" t="str">
        <f>IFERROR(__xludf.DUMMYFUNCTION("""COMPUTED_VALUE"""),"ISE")</f>
        <v>ISE</v>
      </c>
      <c r="G405" s="158"/>
      <c r="H405" s="559">
        <f>IFERROR(__xludf.DUMMYFUNCTION("""COMPUTED_VALUE"""),83.0)</f>
        <v>83</v>
      </c>
      <c r="I405" s="559">
        <f>IFERROR(__xludf.DUMMYFUNCTION("""COMPUTED_VALUE"""),83.0)</f>
        <v>83</v>
      </c>
      <c r="J405" s="559">
        <f>IFERROR(__xludf.DUMMYFUNCTION("""COMPUTED_VALUE"""),81.0)</f>
        <v>81</v>
      </c>
      <c r="K405" s="559">
        <f>IFERROR(__xludf.DUMMYFUNCTION("""COMPUTED_VALUE"""),85.0)</f>
        <v>85</v>
      </c>
      <c r="L405" s="560">
        <f>IFERROR(__xludf.DUMMYFUNCTION("""COMPUTED_VALUE"""),50.0)</f>
        <v>50</v>
      </c>
      <c r="M405" s="561">
        <f>IFERROR(__xludf.DUMMYFUNCTION("""COMPUTED_VALUE"""),74.0)</f>
        <v>74</v>
      </c>
      <c r="N405" s="561">
        <f>IFERROR(__xludf.DUMMYFUNCTION("""COMPUTED_VALUE"""),64.0)</f>
        <v>64</v>
      </c>
      <c r="O405" s="560"/>
      <c r="P405" s="562">
        <f>IFERROR(__xludf.DUMMYFUNCTION("""COMPUTED_VALUE"""),86.0)</f>
        <v>86</v>
      </c>
      <c r="Q405" s="562">
        <f>IFERROR(__xludf.DUMMYFUNCTION("""COMPUTED_VALUE"""),84.0)</f>
        <v>84</v>
      </c>
      <c r="R405" s="562">
        <f>IFERROR(__xludf.DUMMYFUNCTION("""COMPUTED_VALUE"""),93.0)</f>
        <v>93</v>
      </c>
      <c r="S405" s="562"/>
      <c r="T405" s="217">
        <f>IFERROR(__xludf.DUMMYFUNCTION("""COMPUTED_VALUE"""),10.0)</f>
        <v>10</v>
      </c>
      <c r="U405" s="217">
        <f>IFERROR(__xludf.DUMMYFUNCTION("""COMPUTED_VALUE"""),20.0)</f>
        <v>20</v>
      </c>
      <c r="V405" s="217">
        <f>IFERROR(__xludf.DUMMYFUNCTION("""COMPUTED_VALUE"""),46.0)</f>
        <v>46</v>
      </c>
      <c r="W405" s="217">
        <f>IFERROR(__xludf.DUMMYFUNCTION("""COMPUTED_VALUE"""),76.0)</f>
        <v>76</v>
      </c>
      <c r="X405" s="217">
        <f>IFERROR(__xludf.DUMMYFUNCTION("""COMPUTED_VALUE"""),84.0)</f>
        <v>84</v>
      </c>
      <c r="Y405" s="217"/>
      <c r="Z405" s="217"/>
      <c r="AA405" s="481">
        <f>IFERROR(__xludf.DUMMYFUNCTION("""COMPUTED_VALUE"""),96.0)</f>
        <v>96</v>
      </c>
      <c r="AB405" s="481">
        <f>IFERROR(__xludf.DUMMYFUNCTION("""COMPUTED_VALUE"""),100.0)</f>
        <v>100</v>
      </c>
      <c r="AC405" s="481">
        <f>IFERROR(__xludf.DUMMYFUNCTION("""COMPUTED_VALUE"""),68.0)</f>
        <v>68</v>
      </c>
      <c r="AD405" s="481">
        <f>IFERROR(__xludf.DUMMYFUNCTION("""COMPUTED_VALUE"""),2.0)</f>
        <v>2</v>
      </c>
      <c r="AE405" s="481">
        <f>IFERROR(__xludf.DUMMYFUNCTION("""COMPUTED_VALUE"""),75.0)</f>
        <v>75</v>
      </c>
      <c r="AF405" s="481"/>
      <c r="AG405" s="481">
        <f>IFERROR(__xludf.DUMMYFUNCTION("""COMPUTED_VALUE"""),89.0)</f>
        <v>89</v>
      </c>
      <c r="AH405" s="481"/>
      <c r="AI405" s="158"/>
      <c r="AJ405" s="158"/>
      <c r="AK405" s="133">
        <f>IFERROR(__xludf.DUMMYFUNCTION("""COMPUTED_VALUE"""),4.0)</f>
        <v>4</v>
      </c>
      <c r="AL405" s="133">
        <f>IFERROR(__xludf.DUMMYFUNCTION("""COMPUTED_VALUE"""),3.0)</f>
        <v>3</v>
      </c>
      <c r="AM405" s="133">
        <f>IFERROR(__xludf.DUMMYFUNCTION("""COMPUTED_VALUE"""),3.0)</f>
        <v>3</v>
      </c>
      <c r="AN405" s="133" t="str">
        <f>IFERROR(__xludf.DUMMYFUNCTION("""COMPUTED_VALUE"""),"3.5")</f>
        <v>3.5</v>
      </c>
      <c r="AO405" s="133">
        <f>IFERROR(__xludf.DUMMYFUNCTION("""COMPUTED_VALUE"""),3.0)</f>
        <v>3</v>
      </c>
      <c r="AP405" s="155" t="s">
        <v>3706</v>
      </c>
    </row>
    <row r="406">
      <c r="A406" s="155">
        <f>IFERROR(__xludf.DUMMYFUNCTION("""COMPUTED_VALUE"""),168.0)</f>
        <v>168</v>
      </c>
      <c r="B406" s="155" t="str">
        <f>IFERROR(__xludf.DUMMYFUNCTION("""COMPUTED_VALUE"""),"spn23ise@cmrit.ac.in")</f>
        <v>spn23ise@cmrit.ac.in</v>
      </c>
      <c r="C406" s="174" t="str">
        <f>IFERROR(__xludf.DUMMYFUNCTION("""COMPUTED_VALUE"""),"SPANDANA N")</f>
        <v>SPANDANA N</v>
      </c>
      <c r="D406" s="155" t="str">
        <f>IFERROR(__xludf.DUMMYFUNCTION("""COMPUTED_VALUE"""),"1CR23IS174")</f>
        <v>1CR23IS174</v>
      </c>
      <c r="E406" s="563">
        <f>IFERROR(__xludf.DUMMYFUNCTION("""COMPUTED_VALUE"""),8.088973374E9)</f>
        <v>8088973374</v>
      </c>
      <c r="F406" s="155" t="str">
        <f>IFERROR(__xludf.DUMMYFUNCTION("""COMPUTED_VALUE"""),"ISE")</f>
        <v>ISE</v>
      </c>
      <c r="G406" s="158"/>
      <c r="H406" s="559">
        <f>IFERROR(__xludf.DUMMYFUNCTION("""COMPUTED_VALUE"""),77.0)</f>
        <v>77</v>
      </c>
      <c r="I406" s="559">
        <f>IFERROR(__xludf.DUMMYFUNCTION("""COMPUTED_VALUE"""),76.0)</f>
        <v>76</v>
      </c>
      <c r="J406" s="559">
        <f>IFERROR(__xludf.DUMMYFUNCTION("""COMPUTED_VALUE"""),71.0)</f>
        <v>71</v>
      </c>
      <c r="K406" s="559">
        <f>IFERROR(__xludf.DUMMYFUNCTION("""COMPUTED_VALUE"""),70.0)</f>
        <v>70</v>
      </c>
      <c r="L406" s="560">
        <f>IFERROR(__xludf.DUMMYFUNCTION("""COMPUTED_VALUE"""),50.0)</f>
        <v>50</v>
      </c>
      <c r="M406" s="561">
        <f>IFERROR(__xludf.DUMMYFUNCTION("""COMPUTED_VALUE"""),45.0)</f>
        <v>45</v>
      </c>
      <c r="N406" s="561">
        <f>IFERROR(__xludf.DUMMYFUNCTION("""COMPUTED_VALUE"""),67.0)</f>
        <v>67</v>
      </c>
      <c r="O406" s="560"/>
      <c r="P406" s="562">
        <f>IFERROR(__xludf.DUMMYFUNCTION("""COMPUTED_VALUE"""),86.0)</f>
        <v>86</v>
      </c>
      <c r="Q406" s="562">
        <f>IFERROR(__xludf.DUMMYFUNCTION("""COMPUTED_VALUE"""),71.0)</f>
        <v>71</v>
      </c>
      <c r="R406" s="562">
        <f>IFERROR(__xludf.DUMMYFUNCTION("""COMPUTED_VALUE"""),88.0)</f>
        <v>88</v>
      </c>
      <c r="S406" s="562"/>
      <c r="T406" s="217">
        <f>IFERROR(__xludf.DUMMYFUNCTION("""COMPUTED_VALUE"""),19.0)</f>
        <v>19</v>
      </c>
      <c r="U406" s="217">
        <f>IFERROR(__xludf.DUMMYFUNCTION("""COMPUTED_VALUE"""),23.0)</f>
        <v>23</v>
      </c>
      <c r="V406" s="217">
        <f>IFERROR(__xludf.DUMMYFUNCTION("""COMPUTED_VALUE"""),48.0)</f>
        <v>48</v>
      </c>
      <c r="W406" s="217">
        <f>IFERROR(__xludf.DUMMYFUNCTION("""COMPUTED_VALUE"""),72.0)</f>
        <v>72</v>
      </c>
      <c r="X406" s="217">
        <f>IFERROR(__xludf.DUMMYFUNCTION("""COMPUTED_VALUE"""),76.0)</f>
        <v>76</v>
      </c>
      <c r="Y406" s="217"/>
      <c r="Z406" s="217"/>
      <c r="AA406" s="481">
        <f>IFERROR(__xludf.DUMMYFUNCTION("""COMPUTED_VALUE"""),62.0)</f>
        <v>62</v>
      </c>
      <c r="AB406" s="481">
        <f>IFERROR(__xludf.DUMMYFUNCTION("""COMPUTED_VALUE"""),97.0)</f>
        <v>97</v>
      </c>
      <c r="AC406" s="481">
        <f>IFERROR(__xludf.DUMMYFUNCTION("""COMPUTED_VALUE"""),67.0)</f>
        <v>67</v>
      </c>
      <c r="AD406" s="481">
        <f>IFERROR(__xludf.DUMMYFUNCTION("""COMPUTED_VALUE"""),2.0)</f>
        <v>2</v>
      </c>
      <c r="AE406" s="481">
        <f>IFERROR(__xludf.DUMMYFUNCTION("""COMPUTED_VALUE"""),92.0)</f>
        <v>92</v>
      </c>
      <c r="AF406" s="481"/>
      <c r="AG406" s="481">
        <f>IFERROR(__xludf.DUMMYFUNCTION("""COMPUTED_VALUE"""),84.0)</f>
        <v>84</v>
      </c>
      <c r="AH406" s="481"/>
      <c r="AI406" s="158"/>
      <c r="AJ406" s="158"/>
      <c r="AK406" s="133">
        <f>IFERROR(__xludf.DUMMYFUNCTION("""COMPUTED_VALUE"""),4.0)</f>
        <v>4</v>
      </c>
      <c r="AL406" s="133">
        <f>IFERROR(__xludf.DUMMYFUNCTION("""COMPUTED_VALUE"""),1.0)</f>
        <v>1</v>
      </c>
      <c r="AM406" s="133">
        <f>IFERROR(__xludf.DUMMYFUNCTION("""COMPUTED_VALUE"""),3.0)</f>
        <v>3</v>
      </c>
      <c r="AN406" s="133" t="str">
        <f>IFERROR(__xludf.DUMMYFUNCTION("""COMPUTED_VALUE"""),"3.5")</f>
        <v>3.5</v>
      </c>
      <c r="AO406" s="133">
        <f>IFERROR(__xludf.DUMMYFUNCTION("""COMPUTED_VALUE"""),3.0)</f>
        <v>3</v>
      </c>
      <c r="AP406" s="155" t="s">
        <v>3706</v>
      </c>
    </row>
    <row r="407">
      <c r="A407" s="155">
        <f>IFERROR(__xludf.DUMMYFUNCTION("""COMPUTED_VALUE"""),169.0)</f>
        <v>169</v>
      </c>
      <c r="B407" s="155" t="str">
        <f>IFERROR(__xludf.DUMMYFUNCTION("""COMPUTED_VALUE"""),"spcv23ise@cmrit.ac.in")</f>
        <v>spcv23ise@cmrit.ac.in</v>
      </c>
      <c r="C407" s="174" t="str">
        <f>IFERROR(__xludf.DUMMYFUNCTION("""COMPUTED_VALUE"""),"SPOORTHI C V")</f>
        <v>SPOORTHI C V</v>
      </c>
      <c r="D407" s="155" t="str">
        <f>IFERROR(__xludf.DUMMYFUNCTION("""COMPUTED_VALUE"""),"1CR23IS175")</f>
        <v>1CR23IS175</v>
      </c>
      <c r="E407" s="563">
        <f>IFERROR(__xludf.DUMMYFUNCTION("""COMPUTED_VALUE"""),8.105918251E9)</f>
        <v>8105918251</v>
      </c>
      <c r="F407" s="155" t="str">
        <f>IFERROR(__xludf.DUMMYFUNCTION("""COMPUTED_VALUE"""),"ISE")</f>
        <v>ISE</v>
      </c>
      <c r="G407" s="158"/>
      <c r="H407" s="559">
        <f>IFERROR(__xludf.DUMMYFUNCTION("""COMPUTED_VALUE"""),70.0)</f>
        <v>70</v>
      </c>
      <c r="I407" s="559">
        <f>IFERROR(__xludf.DUMMYFUNCTION("""COMPUTED_VALUE"""),70.0)</f>
        <v>70</v>
      </c>
      <c r="J407" s="559">
        <f>IFERROR(__xludf.DUMMYFUNCTION("""COMPUTED_VALUE"""),70.0)</f>
        <v>70</v>
      </c>
      <c r="K407" s="559">
        <f>IFERROR(__xludf.DUMMYFUNCTION("""COMPUTED_VALUE"""),70.0)</f>
        <v>70</v>
      </c>
      <c r="L407" s="560">
        <f>IFERROR(__xludf.DUMMYFUNCTION("""COMPUTED_VALUE"""),15.0)</f>
        <v>15</v>
      </c>
      <c r="M407" s="561">
        <f>IFERROR(__xludf.DUMMYFUNCTION("""COMPUTED_VALUE"""),44.0)</f>
        <v>44</v>
      </c>
      <c r="N407" s="561">
        <f>IFERROR(__xludf.DUMMYFUNCTION("""COMPUTED_VALUE"""),16.0)</f>
        <v>16</v>
      </c>
      <c r="O407" s="560"/>
      <c r="P407" s="562">
        <f>IFERROR(__xludf.DUMMYFUNCTION("""COMPUTED_VALUE"""),50.0)</f>
        <v>50</v>
      </c>
      <c r="Q407" s="562">
        <f>IFERROR(__xludf.DUMMYFUNCTION("""COMPUTED_VALUE"""),71.0)</f>
        <v>71</v>
      </c>
      <c r="R407" s="562">
        <f>IFERROR(__xludf.DUMMYFUNCTION("""COMPUTED_VALUE"""),60.0)</f>
        <v>60</v>
      </c>
      <c r="S407" s="562"/>
      <c r="T407" s="217">
        <f>IFERROR(__xludf.DUMMYFUNCTION("""COMPUTED_VALUE"""),12.0)</f>
        <v>12</v>
      </c>
      <c r="U407" s="217">
        <f>IFERROR(__xludf.DUMMYFUNCTION("""COMPUTED_VALUE"""),24.0)</f>
        <v>24</v>
      </c>
      <c r="V407" s="217">
        <f>IFERROR(__xludf.DUMMYFUNCTION("""COMPUTED_VALUE"""),44.0)</f>
        <v>44</v>
      </c>
      <c r="W407" s="217">
        <f>IFERROR(__xludf.DUMMYFUNCTION("""COMPUTED_VALUE"""),60.0)</f>
        <v>60</v>
      </c>
      <c r="X407" s="217">
        <f>IFERROR(__xludf.DUMMYFUNCTION("""COMPUTED_VALUE"""),96.0)</f>
        <v>96</v>
      </c>
      <c r="Y407" s="217"/>
      <c r="Z407" s="217"/>
      <c r="AA407" s="481">
        <f>IFERROR(__xludf.DUMMYFUNCTION("""COMPUTED_VALUE"""),46.0)</f>
        <v>46</v>
      </c>
      <c r="AB407" s="481">
        <f>IFERROR(__xludf.DUMMYFUNCTION("""COMPUTED_VALUE"""),79.0)</f>
        <v>79</v>
      </c>
      <c r="AC407" s="481">
        <f>IFERROR(__xludf.DUMMYFUNCTION("""COMPUTED_VALUE"""),11.0)</f>
        <v>11</v>
      </c>
      <c r="AD407" s="481">
        <f>IFERROR(__xludf.DUMMYFUNCTION("""COMPUTED_VALUE"""),60.0)</f>
        <v>60</v>
      </c>
      <c r="AE407" s="481">
        <f>IFERROR(__xludf.DUMMYFUNCTION("""COMPUTED_VALUE"""),70.0)</f>
        <v>70</v>
      </c>
      <c r="AF407" s="481"/>
      <c r="AG407" s="481">
        <f>IFERROR(__xludf.DUMMYFUNCTION("""COMPUTED_VALUE"""),75.0)</f>
        <v>75</v>
      </c>
      <c r="AH407" s="481"/>
      <c r="AI407" s="158"/>
      <c r="AJ407" s="158"/>
      <c r="AK407" s="133">
        <f>IFERROR(__xludf.DUMMYFUNCTION("""COMPUTED_VALUE"""),4.0)</f>
        <v>4</v>
      </c>
      <c r="AL407" s="133">
        <f>IFERROR(__xludf.DUMMYFUNCTION("""COMPUTED_VALUE"""),0.0)</f>
        <v>0</v>
      </c>
      <c r="AM407" s="133">
        <f>IFERROR(__xludf.DUMMYFUNCTION("""COMPUTED_VALUE"""),3.0)</f>
        <v>3</v>
      </c>
      <c r="AN407" s="133" t="str">
        <f>IFERROR(__xludf.DUMMYFUNCTION("""COMPUTED_VALUE"""),"3.5")</f>
        <v>3.5</v>
      </c>
      <c r="AO407" s="133">
        <f>IFERROR(__xludf.DUMMYFUNCTION("""COMPUTED_VALUE"""),3.0)</f>
        <v>3</v>
      </c>
      <c r="AP407" s="155" t="s">
        <v>3706</v>
      </c>
    </row>
    <row r="408">
      <c r="A408" s="155">
        <f>IFERROR(__xludf.DUMMYFUNCTION("""COMPUTED_VALUE"""),170.0)</f>
        <v>170</v>
      </c>
      <c r="B408" s="155" t="str">
        <f>IFERROR(__xludf.DUMMYFUNCTION("""COMPUTED_VALUE"""),"srs23ise@cmrit.ac.in")</f>
        <v>srs23ise@cmrit.ac.in</v>
      </c>
      <c r="C408" s="174" t="str">
        <f>IFERROR(__xludf.DUMMYFUNCTION("""COMPUTED_VALUE"""),"SRIHARI S")</f>
        <v>SRIHARI S</v>
      </c>
      <c r="D408" s="155" t="str">
        <f>IFERROR(__xludf.DUMMYFUNCTION("""COMPUTED_VALUE"""),"1CR23IS176")</f>
        <v>1CR23IS176</v>
      </c>
      <c r="E408" s="563">
        <f>IFERROR(__xludf.DUMMYFUNCTION("""COMPUTED_VALUE"""),7.676367034E9)</f>
        <v>7676367034</v>
      </c>
      <c r="F408" s="155" t="str">
        <f>IFERROR(__xludf.DUMMYFUNCTION("""COMPUTED_VALUE"""),"ISE")</f>
        <v>ISE</v>
      </c>
      <c r="G408" s="158"/>
      <c r="H408" s="559">
        <f>IFERROR(__xludf.DUMMYFUNCTION("""COMPUTED_VALUE"""),71.0)</f>
        <v>71</v>
      </c>
      <c r="I408" s="559">
        <f>IFERROR(__xludf.DUMMYFUNCTION("""COMPUTED_VALUE"""),73.0)</f>
        <v>73</v>
      </c>
      <c r="J408" s="559">
        <f>IFERROR(__xludf.DUMMYFUNCTION("""COMPUTED_VALUE"""),70.0)</f>
        <v>70</v>
      </c>
      <c r="K408" s="559">
        <f>IFERROR(__xludf.DUMMYFUNCTION("""COMPUTED_VALUE"""),70.0)</f>
        <v>70</v>
      </c>
      <c r="L408" s="560">
        <f>IFERROR(__xludf.DUMMYFUNCTION("""COMPUTED_VALUE"""),50.0)</f>
        <v>50</v>
      </c>
      <c r="M408" s="561">
        <f>IFERROR(__xludf.DUMMYFUNCTION("""COMPUTED_VALUE"""),9.0)</f>
        <v>9</v>
      </c>
      <c r="N408" s="561">
        <f>IFERROR(__xludf.DUMMYFUNCTION("""COMPUTED_VALUE"""),50.0)</f>
        <v>50</v>
      </c>
      <c r="O408" s="560"/>
      <c r="P408" s="562">
        <f>IFERROR(__xludf.DUMMYFUNCTION("""COMPUTED_VALUE"""),86.0)</f>
        <v>86</v>
      </c>
      <c r="Q408" s="562">
        <f>IFERROR(__xludf.DUMMYFUNCTION("""COMPUTED_VALUE"""),61.0)</f>
        <v>61</v>
      </c>
      <c r="R408" s="562">
        <f>IFERROR(__xludf.DUMMYFUNCTION("""COMPUTED_VALUE"""),70.0)</f>
        <v>70</v>
      </c>
      <c r="S408" s="562"/>
      <c r="T408" s="217">
        <f>IFERROR(__xludf.DUMMYFUNCTION("""COMPUTED_VALUE"""),21.0)</f>
        <v>21</v>
      </c>
      <c r="U408" s="217">
        <f>IFERROR(__xludf.DUMMYFUNCTION("""COMPUTED_VALUE"""),25.0)</f>
        <v>25</v>
      </c>
      <c r="V408" s="217">
        <f>IFERROR(__xludf.DUMMYFUNCTION("""COMPUTED_VALUE"""),46.0)</f>
        <v>46</v>
      </c>
      <c r="W408" s="217">
        <f>IFERROR(__xludf.DUMMYFUNCTION("""COMPUTED_VALUE"""),32.0)</f>
        <v>32</v>
      </c>
      <c r="X408" s="217">
        <f>IFERROR(__xludf.DUMMYFUNCTION("""COMPUTED_VALUE"""),80.0)</f>
        <v>80</v>
      </c>
      <c r="Y408" s="217"/>
      <c r="Z408" s="217"/>
      <c r="AA408" s="481">
        <f>IFERROR(__xludf.DUMMYFUNCTION("""COMPUTED_VALUE"""),28.0)</f>
        <v>28</v>
      </c>
      <c r="AB408" s="481">
        <f>IFERROR(__xludf.DUMMYFUNCTION("""COMPUTED_VALUE"""),96.0)</f>
        <v>96</v>
      </c>
      <c r="AC408" s="481">
        <f>IFERROR(__xludf.DUMMYFUNCTION("""COMPUTED_VALUE"""),5.0)</f>
        <v>5</v>
      </c>
      <c r="AD408" s="481">
        <f>IFERROR(__xludf.DUMMYFUNCTION("""COMPUTED_VALUE"""),100.0)</f>
        <v>100</v>
      </c>
      <c r="AE408" s="481">
        <f>IFERROR(__xludf.DUMMYFUNCTION("""COMPUTED_VALUE"""),70.0)</f>
        <v>70</v>
      </c>
      <c r="AF408" s="481"/>
      <c r="AG408" s="481">
        <f>IFERROR(__xludf.DUMMYFUNCTION("""COMPUTED_VALUE"""),50.0)</f>
        <v>50</v>
      </c>
      <c r="AH408" s="481"/>
      <c r="AI408" s="158"/>
      <c r="AJ408" s="158"/>
      <c r="AK408" s="133">
        <f>IFERROR(__xludf.DUMMYFUNCTION("""COMPUTED_VALUE"""),4.0)</f>
        <v>4</v>
      </c>
      <c r="AL408" s="133">
        <f>IFERROR(__xludf.DUMMYFUNCTION("""COMPUTED_VALUE"""),1.0)</f>
        <v>1</v>
      </c>
      <c r="AM408" s="133">
        <f>IFERROR(__xludf.DUMMYFUNCTION("""COMPUTED_VALUE"""),2.0)</f>
        <v>2</v>
      </c>
      <c r="AN408" s="133" t="str">
        <f>IFERROR(__xludf.DUMMYFUNCTION("""COMPUTED_VALUE"""),"3.5")</f>
        <v>3.5</v>
      </c>
      <c r="AO408" s="133">
        <f>IFERROR(__xludf.DUMMYFUNCTION("""COMPUTED_VALUE"""),3.0)</f>
        <v>3</v>
      </c>
      <c r="AP408" s="155" t="s">
        <v>3706</v>
      </c>
    </row>
    <row r="409">
      <c r="A409" s="155">
        <f>IFERROR(__xludf.DUMMYFUNCTION("""COMPUTED_VALUE"""),171.0)</f>
        <v>171</v>
      </c>
      <c r="B409" s="155" t="str">
        <f>IFERROR(__xludf.DUMMYFUNCTION("""COMPUTED_VALUE"""),"sus23ise@cmrit.ac.in")</f>
        <v>sus23ise@cmrit.ac.in</v>
      </c>
      <c r="C409" s="174" t="str">
        <f>IFERROR(__xludf.DUMMYFUNCTION("""COMPUTED_VALUE"""),"SUHAS KOTYAN S")</f>
        <v>SUHAS KOTYAN S</v>
      </c>
      <c r="D409" s="155" t="str">
        <f>IFERROR(__xludf.DUMMYFUNCTION("""COMPUTED_VALUE"""),"1CR23IS177")</f>
        <v>1CR23IS177</v>
      </c>
      <c r="E409" s="563">
        <f>IFERROR(__xludf.DUMMYFUNCTION("""COMPUTED_VALUE"""),6.366947666E9)</f>
        <v>6366947666</v>
      </c>
      <c r="F409" s="155" t="str">
        <f>IFERROR(__xludf.DUMMYFUNCTION("""COMPUTED_VALUE"""),"ISE")</f>
        <v>ISE</v>
      </c>
      <c r="G409" s="158"/>
      <c r="H409" s="559">
        <f>IFERROR(__xludf.DUMMYFUNCTION("""COMPUTED_VALUE"""),70.0)</f>
        <v>70</v>
      </c>
      <c r="I409" s="559">
        <f>IFERROR(__xludf.DUMMYFUNCTION("""COMPUTED_VALUE"""),75.0)</f>
        <v>75</v>
      </c>
      <c r="J409" s="559">
        <f>IFERROR(__xludf.DUMMYFUNCTION("""COMPUTED_VALUE"""),70.0)</f>
        <v>70</v>
      </c>
      <c r="K409" s="559">
        <f>IFERROR(__xludf.DUMMYFUNCTION("""COMPUTED_VALUE"""),70.0)</f>
        <v>70</v>
      </c>
      <c r="L409" s="560">
        <f>IFERROR(__xludf.DUMMYFUNCTION("""COMPUTED_VALUE"""),50.0)</f>
        <v>50</v>
      </c>
      <c r="M409" s="561">
        <f>IFERROR(__xludf.DUMMYFUNCTION("""COMPUTED_VALUE"""),42.0)</f>
        <v>42</v>
      </c>
      <c r="N409" s="561">
        <f>IFERROR(__xludf.DUMMYFUNCTION("""COMPUTED_VALUE"""),25.0)</f>
        <v>25</v>
      </c>
      <c r="O409" s="560"/>
      <c r="P409" s="562">
        <f>IFERROR(__xludf.DUMMYFUNCTION("""COMPUTED_VALUE"""),68.0)</f>
        <v>68</v>
      </c>
      <c r="Q409" s="562">
        <f>IFERROR(__xludf.DUMMYFUNCTION("""COMPUTED_VALUE"""),57.0)</f>
        <v>57</v>
      </c>
      <c r="R409" s="562">
        <f>IFERROR(__xludf.DUMMYFUNCTION("""COMPUTED_VALUE"""),79.0)</f>
        <v>79</v>
      </c>
      <c r="S409" s="562"/>
      <c r="T409" s="217">
        <f>IFERROR(__xludf.DUMMYFUNCTION("""COMPUTED_VALUE"""),20.0)</f>
        <v>20</v>
      </c>
      <c r="U409" s="217">
        <f>IFERROR(__xludf.DUMMYFUNCTION("""COMPUTED_VALUE"""),23.0)</f>
        <v>23</v>
      </c>
      <c r="V409" s="217">
        <f>IFERROR(__xludf.DUMMYFUNCTION("""COMPUTED_VALUE"""),46.0)</f>
        <v>46</v>
      </c>
      <c r="W409" s="217">
        <f>IFERROR(__xludf.DUMMYFUNCTION("""COMPUTED_VALUE"""),48.0)</f>
        <v>48</v>
      </c>
      <c r="X409" s="217">
        <f>IFERROR(__xludf.DUMMYFUNCTION("""COMPUTED_VALUE"""),84.0)</f>
        <v>84</v>
      </c>
      <c r="Y409" s="217"/>
      <c r="Z409" s="217"/>
      <c r="AA409" s="481">
        <f>IFERROR(__xludf.DUMMYFUNCTION("""COMPUTED_VALUE"""),0.0)</f>
        <v>0</v>
      </c>
      <c r="AB409" s="481">
        <f>IFERROR(__xludf.DUMMYFUNCTION("""COMPUTED_VALUE"""),75.0)</f>
        <v>75</v>
      </c>
      <c r="AC409" s="481">
        <f>IFERROR(__xludf.DUMMYFUNCTION("""COMPUTED_VALUE"""),66.0)</f>
        <v>66</v>
      </c>
      <c r="AD409" s="481">
        <f>IFERROR(__xludf.DUMMYFUNCTION("""COMPUTED_VALUE"""),70.0)</f>
        <v>70</v>
      </c>
      <c r="AE409" s="481">
        <f>IFERROR(__xludf.DUMMYFUNCTION("""COMPUTED_VALUE"""),60.0)</f>
        <v>60</v>
      </c>
      <c r="AF409" s="481"/>
      <c r="AG409" s="481">
        <f>IFERROR(__xludf.DUMMYFUNCTION("""COMPUTED_VALUE"""),14.0)</f>
        <v>14</v>
      </c>
      <c r="AH409" s="481"/>
      <c r="AI409" s="158"/>
      <c r="AJ409" s="158"/>
      <c r="AK409" s="133">
        <f>IFERROR(__xludf.DUMMYFUNCTION("""COMPUTED_VALUE"""),4.0)</f>
        <v>4</v>
      </c>
      <c r="AL409" s="133">
        <f>IFERROR(__xludf.DUMMYFUNCTION("""COMPUTED_VALUE"""),1.0)</f>
        <v>1</v>
      </c>
      <c r="AM409" s="133">
        <f>IFERROR(__xludf.DUMMYFUNCTION("""COMPUTED_VALUE"""),2.0)</f>
        <v>2</v>
      </c>
      <c r="AN409" s="133" t="str">
        <f>IFERROR(__xludf.DUMMYFUNCTION("""COMPUTED_VALUE"""),"3")</f>
        <v>3</v>
      </c>
      <c r="AO409" s="133">
        <f>IFERROR(__xludf.DUMMYFUNCTION("""COMPUTED_VALUE"""),3.0)</f>
        <v>3</v>
      </c>
      <c r="AP409" s="155" t="s">
        <v>3706</v>
      </c>
    </row>
    <row r="410">
      <c r="A410" s="155">
        <f>IFERROR(__xludf.DUMMYFUNCTION("""COMPUTED_VALUE"""),172.0)</f>
        <v>172</v>
      </c>
      <c r="B410" s="155" t="str">
        <f>IFERROR(__xludf.DUMMYFUNCTION("""COMPUTED_VALUE"""),"suja23ise@cmrit.ac.in")</f>
        <v>suja23ise@cmrit.ac.in</v>
      </c>
      <c r="C410" s="174" t="str">
        <f>IFERROR(__xludf.DUMMYFUNCTION("""COMPUTED_VALUE"""),"SUPREET JADHAV")</f>
        <v>SUPREET JADHAV</v>
      </c>
      <c r="D410" s="155" t="str">
        <f>IFERROR(__xludf.DUMMYFUNCTION("""COMPUTED_VALUE"""),"1CR23IS178")</f>
        <v>1CR23IS178</v>
      </c>
      <c r="E410" s="563">
        <f>IFERROR(__xludf.DUMMYFUNCTION("""COMPUTED_VALUE"""),8.971268928E9)</f>
        <v>8971268928</v>
      </c>
      <c r="F410" s="155" t="str">
        <f>IFERROR(__xludf.DUMMYFUNCTION("""COMPUTED_VALUE"""),"ISE")</f>
        <v>ISE</v>
      </c>
      <c r="G410" s="158"/>
      <c r="H410" s="559">
        <f>IFERROR(__xludf.DUMMYFUNCTION("""COMPUTED_VALUE"""),64.0)</f>
        <v>64</v>
      </c>
      <c r="I410" s="559">
        <f>IFERROR(__xludf.DUMMYFUNCTION("""COMPUTED_VALUE"""),74.0)</f>
        <v>74</v>
      </c>
      <c r="J410" s="559">
        <f>IFERROR(__xludf.DUMMYFUNCTION("""COMPUTED_VALUE"""),18.0)</f>
        <v>18</v>
      </c>
      <c r="K410" s="559">
        <f>IFERROR(__xludf.DUMMYFUNCTION("""COMPUTED_VALUE"""),4.0)</f>
        <v>4</v>
      </c>
      <c r="L410" s="560">
        <f>IFERROR(__xludf.DUMMYFUNCTION("""COMPUTED_VALUE"""),14.0)</f>
        <v>14</v>
      </c>
      <c r="M410" s="561">
        <f>IFERROR(__xludf.DUMMYFUNCTION("""COMPUTED_VALUE"""),0.0)</f>
        <v>0</v>
      </c>
      <c r="N410" s="561">
        <f>IFERROR(__xludf.DUMMYFUNCTION("""COMPUTED_VALUE"""),0.0)</f>
        <v>0</v>
      </c>
      <c r="O410" s="560"/>
      <c r="P410" s="562">
        <f>IFERROR(__xludf.DUMMYFUNCTION("""COMPUTED_VALUE"""),0.0)</f>
        <v>0</v>
      </c>
      <c r="Q410" s="562">
        <f>IFERROR(__xludf.DUMMYFUNCTION("""COMPUTED_VALUE"""),0.0)</f>
        <v>0</v>
      </c>
      <c r="R410" s="562">
        <f>IFERROR(__xludf.DUMMYFUNCTION("""COMPUTED_VALUE"""),0.0)</f>
        <v>0</v>
      </c>
      <c r="S410" s="562"/>
      <c r="T410" s="217"/>
      <c r="U410" s="217"/>
      <c r="V410" s="217">
        <f>IFERROR(__xludf.DUMMYFUNCTION("""COMPUTED_VALUE"""),8.0)</f>
        <v>8</v>
      </c>
      <c r="W410" s="217">
        <f>IFERROR(__xludf.DUMMYFUNCTION("""COMPUTED_VALUE"""),52.0)</f>
        <v>52</v>
      </c>
      <c r="X410" s="217">
        <f>IFERROR(__xludf.DUMMYFUNCTION("""COMPUTED_VALUE"""),0.0)</f>
        <v>0</v>
      </c>
      <c r="Y410" s="217"/>
      <c r="Z410" s="217"/>
      <c r="AA410" s="481">
        <f>IFERROR(__xludf.DUMMYFUNCTION("""COMPUTED_VALUE"""),6.0)</f>
        <v>6</v>
      </c>
      <c r="AB410" s="481">
        <f>IFERROR(__xludf.DUMMYFUNCTION("""COMPUTED_VALUE"""),65.0)</f>
        <v>65</v>
      </c>
      <c r="AC410" s="481">
        <f>IFERROR(__xludf.DUMMYFUNCTION("""COMPUTED_VALUE"""),0.0)</f>
        <v>0</v>
      </c>
      <c r="AD410" s="481">
        <f>IFERROR(__xludf.DUMMYFUNCTION("""COMPUTED_VALUE"""),0.0)</f>
        <v>0</v>
      </c>
      <c r="AE410" s="481">
        <f>IFERROR(__xludf.DUMMYFUNCTION("""COMPUTED_VALUE"""),10.0)</f>
        <v>10</v>
      </c>
      <c r="AF410" s="481"/>
      <c r="AG410" s="481">
        <f>IFERROR(__xludf.DUMMYFUNCTION("""COMPUTED_VALUE"""),0.0)</f>
        <v>0</v>
      </c>
      <c r="AH410" s="481"/>
      <c r="AI410" s="158"/>
      <c r="AJ410" s="158"/>
      <c r="AK410" s="133">
        <f>IFERROR(__xludf.DUMMYFUNCTION("""COMPUTED_VALUE"""),0.0)</f>
        <v>0</v>
      </c>
      <c r="AL410" s="133">
        <f>IFERROR(__xludf.DUMMYFUNCTION("""COMPUTED_VALUE"""),0.0)</f>
        <v>0</v>
      </c>
      <c r="AM410" s="133">
        <f>IFERROR(__xludf.DUMMYFUNCTION("""COMPUTED_VALUE"""),3.0)</f>
        <v>3</v>
      </c>
      <c r="AN410" s="133" t="str">
        <f>IFERROR(__xludf.DUMMYFUNCTION("""COMPUTED_VALUE"""),"2")</f>
        <v>2</v>
      </c>
      <c r="AO410" s="133">
        <f>IFERROR(__xludf.DUMMYFUNCTION("""COMPUTED_VALUE"""),0.0)</f>
        <v>0</v>
      </c>
      <c r="AP410" s="155" t="s">
        <v>3706</v>
      </c>
    </row>
    <row r="411">
      <c r="A411" s="155">
        <f>IFERROR(__xludf.DUMMYFUNCTION("""COMPUTED_VALUE"""),173.0)</f>
        <v>173</v>
      </c>
      <c r="B411" s="155" t="str">
        <f>IFERROR(__xludf.DUMMYFUNCTION("""COMPUTED_VALUE"""),"su23ise@cmrit.ac.in")</f>
        <v>su23ise@cmrit.ac.in</v>
      </c>
      <c r="C411" s="174" t="str">
        <f>IFERROR(__xludf.DUMMYFUNCTION("""COMPUTED_VALUE"""),"SUSHANTA")</f>
        <v>SUSHANTA</v>
      </c>
      <c r="D411" s="155" t="str">
        <f>IFERROR(__xludf.DUMMYFUNCTION("""COMPUTED_VALUE"""),"1CR23IS179")</f>
        <v>1CR23IS179</v>
      </c>
      <c r="E411" s="563">
        <f>IFERROR(__xludf.DUMMYFUNCTION("""COMPUTED_VALUE"""),8.050619061E9)</f>
        <v>8050619061</v>
      </c>
      <c r="F411" s="155" t="str">
        <f>IFERROR(__xludf.DUMMYFUNCTION("""COMPUTED_VALUE"""),"ISE")</f>
        <v>ISE</v>
      </c>
      <c r="G411" s="158"/>
      <c r="H411" s="559">
        <f>IFERROR(__xludf.DUMMYFUNCTION("""COMPUTED_VALUE"""),65.0)</f>
        <v>65</v>
      </c>
      <c r="I411" s="559">
        <f>IFERROR(__xludf.DUMMYFUNCTION("""COMPUTED_VALUE"""),66.0)</f>
        <v>66</v>
      </c>
      <c r="J411" s="559">
        <f>IFERROR(__xludf.DUMMYFUNCTION("""COMPUTED_VALUE"""),33.0)</f>
        <v>33</v>
      </c>
      <c r="K411" s="559">
        <f>IFERROR(__xludf.DUMMYFUNCTION("""COMPUTED_VALUE"""),45.0)</f>
        <v>45</v>
      </c>
      <c r="L411" s="560">
        <f>IFERROR(__xludf.DUMMYFUNCTION("""COMPUTED_VALUE"""),33.0)</f>
        <v>33</v>
      </c>
      <c r="M411" s="561">
        <f>IFERROR(__xludf.DUMMYFUNCTION("""COMPUTED_VALUE"""),50.0)</f>
        <v>50</v>
      </c>
      <c r="N411" s="561">
        <f>IFERROR(__xludf.DUMMYFUNCTION("""COMPUTED_VALUE"""),0.0)</f>
        <v>0</v>
      </c>
      <c r="O411" s="560"/>
      <c r="P411" s="562">
        <f>IFERROR(__xludf.DUMMYFUNCTION("""COMPUTED_VALUE"""),0.0)</f>
        <v>0</v>
      </c>
      <c r="Q411" s="562">
        <f>IFERROR(__xludf.DUMMYFUNCTION("""COMPUTED_VALUE"""),0.0)</f>
        <v>0</v>
      </c>
      <c r="R411" s="562">
        <f>IFERROR(__xludf.DUMMYFUNCTION("""COMPUTED_VALUE"""),0.0)</f>
        <v>0</v>
      </c>
      <c r="S411" s="562"/>
      <c r="T411" s="217">
        <f>IFERROR(__xludf.DUMMYFUNCTION("""COMPUTED_VALUE"""),18.0)</f>
        <v>18</v>
      </c>
      <c r="U411" s="217">
        <f>IFERROR(__xludf.DUMMYFUNCTION("""COMPUTED_VALUE"""),24.0)</f>
        <v>24</v>
      </c>
      <c r="V411" s="217">
        <f>IFERROR(__xludf.DUMMYFUNCTION("""COMPUTED_VALUE"""),48.0)</f>
        <v>48</v>
      </c>
      <c r="W411" s="217">
        <f>IFERROR(__xludf.DUMMYFUNCTION("""COMPUTED_VALUE"""),28.0)</f>
        <v>28</v>
      </c>
      <c r="X411" s="217">
        <f>IFERROR(__xludf.DUMMYFUNCTION("""COMPUTED_VALUE"""),76.0)</f>
        <v>76</v>
      </c>
      <c r="Y411" s="217"/>
      <c r="Z411" s="217"/>
      <c r="AA411" s="481">
        <f>IFERROR(__xludf.DUMMYFUNCTION("""COMPUTED_VALUE"""),4.0)</f>
        <v>4</v>
      </c>
      <c r="AB411" s="481">
        <f>IFERROR(__xludf.DUMMYFUNCTION("""COMPUTED_VALUE"""),69.0)</f>
        <v>69</v>
      </c>
      <c r="AC411" s="481">
        <f>IFERROR(__xludf.DUMMYFUNCTION("""COMPUTED_VALUE"""),3.0)</f>
        <v>3</v>
      </c>
      <c r="AD411" s="481">
        <f>IFERROR(__xludf.DUMMYFUNCTION("""COMPUTED_VALUE"""),0.0)</f>
        <v>0</v>
      </c>
      <c r="AE411" s="481">
        <f>IFERROR(__xludf.DUMMYFUNCTION("""COMPUTED_VALUE"""),10.0)</f>
        <v>10</v>
      </c>
      <c r="AF411" s="481"/>
      <c r="AG411" s="481">
        <f>IFERROR(__xludf.DUMMYFUNCTION("""COMPUTED_VALUE"""),0.0)</f>
        <v>0</v>
      </c>
      <c r="AH411" s="481"/>
      <c r="AI411" s="158"/>
      <c r="AJ411" s="158"/>
      <c r="AK411" s="133">
        <f>IFERROR(__xludf.DUMMYFUNCTION("""COMPUTED_VALUE"""),2.0)</f>
        <v>2</v>
      </c>
      <c r="AL411" s="133">
        <f>IFERROR(__xludf.DUMMYFUNCTION("""COMPUTED_VALUE"""),0.0)</f>
        <v>0</v>
      </c>
      <c r="AM411" s="133">
        <f>IFERROR(__xludf.DUMMYFUNCTION("""COMPUTED_VALUE"""),2.0)</f>
        <v>2</v>
      </c>
      <c r="AN411" s="133" t="str">
        <f>IFERROR(__xludf.DUMMYFUNCTION("""COMPUTED_VALUE"""),"2")</f>
        <v>2</v>
      </c>
      <c r="AO411" s="133">
        <f>IFERROR(__xludf.DUMMYFUNCTION("""COMPUTED_VALUE"""),0.0)</f>
        <v>0</v>
      </c>
      <c r="AP411" s="155" t="s">
        <v>3706</v>
      </c>
    </row>
    <row r="412">
      <c r="A412" s="155">
        <f>IFERROR(__xludf.DUMMYFUNCTION("""COMPUTED_VALUE"""),174.0)</f>
        <v>174</v>
      </c>
      <c r="B412" s="155" t="str">
        <f>IFERROR(__xludf.DUMMYFUNCTION("""COMPUTED_VALUE"""),"sumr23ise@cmrit.ac.in")</f>
        <v>sumr23ise@cmrit.ac.in</v>
      </c>
      <c r="C412" s="174" t="str">
        <f>IFERROR(__xludf.DUMMYFUNCTION("""COMPUTED_VALUE"""),"SUSHRUTH MAIAH M R")</f>
        <v>SUSHRUTH MAIAH M R</v>
      </c>
      <c r="D412" s="155" t="str">
        <f>IFERROR(__xludf.DUMMYFUNCTION("""COMPUTED_VALUE"""),"1CR23IS180")</f>
        <v>1CR23IS180</v>
      </c>
      <c r="E412" s="563">
        <f>IFERROR(__xludf.DUMMYFUNCTION("""COMPUTED_VALUE"""),9.353683848E9)</f>
        <v>9353683848</v>
      </c>
      <c r="F412" s="155" t="str">
        <f>IFERROR(__xludf.DUMMYFUNCTION("""COMPUTED_VALUE"""),"ISE")</f>
        <v>ISE</v>
      </c>
      <c r="G412" s="158"/>
      <c r="H412" s="559">
        <f>IFERROR(__xludf.DUMMYFUNCTION("""COMPUTED_VALUE"""),82.0)</f>
        <v>82</v>
      </c>
      <c r="I412" s="559">
        <f>IFERROR(__xludf.DUMMYFUNCTION("""COMPUTED_VALUE"""),85.0)</f>
        <v>85</v>
      </c>
      <c r="J412" s="559">
        <f>IFERROR(__xludf.DUMMYFUNCTION("""COMPUTED_VALUE"""),79.0)</f>
        <v>79</v>
      </c>
      <c r="K412" s="559">
        <f>IFERROR(__xludf.DUMMYFUNCTION("""COMPUTED_VALUE"""),70.0)</f>
        <v>70</v>
      </c>
      <c r="L412" s="560">
        <f>IFERROR(__xludf.DUMMYFUNCTION("""COMPUTED_VALUE"""),87.0)</f>
        <v>87</v>
      </c>
      <c r="M412" s="561">
        <f>IFERROR(__xludf.DUMMYFUNCTION("""COMPUTED_VALUE"""),88.0)</f>
        <v>88</v>
      </c>
      <c r="N412" s="561">
        <f>IFERROR(__xludf.DUMMYFUNCTION("""COMPUTED_VALUE"""),78.0)</f>
        <v>78</v>
      </c>
      <c r="O412" s="560"/>
      <c r="P412" s="562">
        <f>IFERROR(__xludf.DUMMYFUNCTION("""COMPUTED_VALUE"""),58.0)</f>
        <v>58</v>
      </c>
      <c r="Q412" s="562">
        <f>IFERROR(__xludf.DUMMYFUNCTION("""COMPUTED_VALUE"""),60.0)</f>
        <v>60</v>
      </c>
      <c r="R412" s="562">
        <f>IFERROR(__xludf.DUMMYFUNCTION("""COMPUTED_VALUE"""),87.0)</f>
        <v>87</v>
      </c>
      <c r="S412" s="562"/>
      <c r="T412" s="217">
        <f>IFERROR(__xludf.DUMMYFUNCTION("""COMPUTED_VALUE"""),13.0)</f>
        <v>13</v>
      </c>
      <c r="U412" s="217">
        <f>IFERROR(__xludf.DUMMYFUNCTION("""COMPUTED_VALUE"""),18.0)</f>
        <v>18</v>
      </c>
      <c r="V412" s="217">
        <f>IFERROR(__xludf.DUMMYFUNCTION("""COMPUTED_VALUE"""),46.0)</f>
        <v>46</v>
      </c>
      <c r="W412" s="217">
        <f>IFERROR(__xludf.DUMMYFUNCTION("""COMPUTED_VALUE"""),50.0)</f>
        <v>50</v>
      </c>
      <c r="X412" s="217">
        <f>IFERROR(__xludf.DUMMYFUNCTION("""COMPUTED_VALUE"""),92.0)</f>
        <v>92</v>
      </c>
      <c r="Y412" s="217"/>
      <c r="Z412" s="217"/>
      <c r="AA412" s="481">
        <f>IFERROR(__xludf.DUMMYFUNCTION("""COMPUTED_VALUE"""),20.0)</f>
        <v>20</v>
      </c>
      <c r="AB412" s="481">
        <f>IFERROR(__xludf.DUMMYFUNCTION("""COMPUTED_VALUE"""),100.0)</f>
        <v>100</v>
      </c>
      <c r="AC412" s="481">
        <f>IFERROR(__xludf.DUMMYFUNCTION("""COMPUTED_VALUE"""),99.0)</f>
        <v>99</v>
      </c>
      <c r="AD412" s="481">
        <f>IFERROR(__xludf.DUMMYFUNCTION("""COMPUTED_VALUE"""),100.0)</f>
        <v>100</v>
      </c>
      <c r="AE412" s="481">
        <f>IFERROR(__xludf.DUMMYFUNCTION("""COMPUTED_VALUE"""),78.0)</f>
        <v>78</v>
      </c>
      <c r="AF412" s="481"/>
      <c r="AG412" s="481">
        <f>IFERROR(__xludf.DUMMYFUNCTION("""COMPUTED_VALUE"""),83.0)</f>
        <v>83</v>
      </c>
      <c r="AH412" s="481"/>
      <c r="AI412" s="158"/>
      <c r="AJ412" s="158"/>
      <c r="AK412" s="133">
        <f>IFERROR(__xludf.DUMMYFUNCTION("""COMPUTED_VALUE"""),4.0)</f>
        <v>4</v>
      </c>
      <c r="AL412" s="133">
        <f>IFERROR(__xludf.DUMMYFUNCTION("""COMPUTED_VALUE"""),3.0)</f>
        <v>3</v>
      </c>
      <c r="AM412" s="133">
        <f>IFERROR(__xludf.DUMMYFUNCTION("""COMPUTED_VALUE"""),3.0)</f>
        <v>3</v>
      </c>
      <c r="AN412" s="133" t="str">
        <f>IFERROR(__xludf.DUMMYFUNCTION("""COMPUTED_VALUE"""),"3.5")</f>
        <v>3.5</v>
      </c>
      <c r="AO412" s="133">
        <f>IFERROR(__xludf.DUMMYFUNCTION("""COMPUTED_VALUE"""),3.0)</f>
        <v>3</v>
      </c>
      <c r="AP412" s="155" t="s">
        <v>3706</v>
      </c>
    </row>
    <row r="413">
      <c r="A413" s="155">
        <f>IFERROR(__xludf.DUMMYFUNCTION("""COMPUTED_VALUE"""),175.0)</f>
        <v>175</v>
      </c>
      <c r="B413" s="155" t="str">
        <f>IFERROR(__xludf.DUMMYFUNCTION("""COMPUTED_VALUE"""),"swku23ise@cmrit.ac.in")</f>
        <v>swku23ise@cmrit.ac.in</v>
      </c>
      <c r="C413" s="174" t="str">
        <f>IFERROR(__xludf.DUMMYFUNCTION("""COMPUTED_VALUE"""),"SWARA KULKARNI")</f>
        <v>SWARA KULKARNI</v>
      </c>
      <c r="D413" s="155" t="str">
        <f>IFERROR(__xludf.DUMMYFUNCTION("""COMPUTED_VALUE"""),"1CR23IS181")</f>
        <v>1CR23IS181</v>
      </c>
      <c r="E413" s="563">
        <f>IFERROR(__xludf.DUMMYFUNCTION("""COMPUTED_VALUE"""),9.740327541E9)</f>
        <v>9740327541</v>
      </c>
      <c r="F413" s="155" t="str">
        <f>IFERROR(__xludf.DUMMYFUNCTION("""COMPUTED_VALUE"""),"ISE")</f>
        <v>ISE</v>
      </c>
      <c r="G413" s="158"/>
      <c r="H413" s="559">
        <f>IFERROR(__xludf.DUMMYFUNCTION("""COMPUTED_VALUE"""),88.0)</f>
        <v>88</v>
      </c>
      <c r="I413" s="559">
        <f>IFERROR(__xludf.DUMMYFUNCTION("""COMPUTED_VALUE"""),94.0)</f>
        <v>94</v>
      </c>
      <c r="J413" s="559">
        <f>IFERROR(__xludf.DUMMYFUNCTION("""COMPUTED_VALUE"""),81.0)</f>
        <v>81</v>
      </c>
      <c r="K413" s="559">
        <f>IFERROR(__xludf.DUMMYFUNCTION("""COMPUTED_VALUE"""),79.0)</f>
        <v>79</v>
      </c>
      <c r="L413" s="560">
        <f>IFERROR(__xludf.DUMMYFUNCTION("""COMPUTED_VALUE"""),62.0)</f>
        <v>62</v>
      </c>
      <c r="M413" s="561">
        <f>IFERROR(__xludf.DUMMYFUNCTION("""COMPUTED_VALUE"""),70.0)</f>
        <v>70</v>
      </c>
      <c r="N413" s="561">
        <f>IFERROR(__xludf.DUMMYFUNCTION("""COMPUTED_VALUE"""),73.0)</f>
        <v>73</v>
      </c>
      <c r="O413" s="560"/>
      <c r="P413" s="562">
        <f>IFERROR(__xludf.DUMMYFUNCTION("""COMPUTED_VALUE"""),83.0)</f>
        <v>83</v>
      </c>
      <c r="Q413" s="562">
        <f>IFERROR(__xludf.DUMMYFUNCTION("""COMPUTED_VALUE"""),82.0)</f>
        <v>82</v>
      </c>
      <c r="R413" s="562">
        <f>IFERROR(__xludf.DUMMYFUNCTION("""COMPUTED_VALUE"""),91.0)</f>
        <v>91</v>
      </c>
      <c r="S413" s="562"/>
      <c r="T413" s="217">
        <f>IFERROR(__xludf.DUMMYFUNCTION("""COMPUTED_VALUE"""),12.0)</f>
        <v>12</v>
      </c>
      <c r="U413" s="217">
        <f>IFERROR(__xludf.DUMMYFUNCTION("""COMPUTED_VALUE"""),24.0)</f>
        <v>24</v>
      </c>
      <c r="V413" s="217">
        <f>IFERROR(__xludf.DUMMYFUNCTION("""COMPUTED_VALUE"""),38.0)</f>
        <v>38</v>
      </c>
      <c r="W413" s="217">
        <f>IFERROR(__xludf.DUMMYFUNCTION("""COMPUTED_VALUE"""),52.0)</f>
        <v>52</v>
      </c>
      <c r="X413" s="217">
        <f>IFERROR(__xludf.DUMMYFUNCTION("""COMPUTED_VALUE"""),84.0)</f>
        <v>84</v>
      </c>
      <c r="Y413" s="217"/>
      <c r="Z413" s="217"/>
      <c r="AA413" s="481">
        <f>IFERROR(__xludf.DUMMYFUNCTION("""COMPUTED_VALUE"""),92.0)</f>
        <v>92</v>
      </c>
      <c r="AB413" s="481">
        <f>IFERROR(__xludf.DUMMYFUNCTION("""COMPUTED_VALUE"""),100.0)</f>
        <v>100</v>
      </c>
      <c r="AC413" s="481">
        <f>IFERROR(__xludf.DUMMYFUNCTION("""COMPUTED_VALUE"""),80.0)</f>
        <v>80</v>
      </c>
      <c r="AD413" s="481">
        <f>IFERROR(__xludf.DUMMYFUNCTION("""COMPUTED_VALUE"""),75.0)</f>
        <v>75</v>
      </c>
      <c r="AE413" s="481">
        <f>IFERROR(__xludf.DUMMYFUNCTION("""COMPUTED_VALUE"""),73.0)</f>
        <v>73</v>
      </c>
      <c r="AF413" s="481"/>
      <c r="AG413" s="481">
        <f>IFERROR(__xludf.DUMMYFUNCTION("""COMPUTED_VALUE"""),89.0)</f>
        <v>89</v>
      </c>
      <c r="AH413" s="481"/>
      <c r="AI413" s="158"/>
      <c r="AJ413" s="158"/>
      <c r="AK413" s="133">
        <f>IFERROR(__xludf.DUMMYFUNCTION("""COMPUTED_VALUE"""),4.0)</f>
        <v>4</v>
      </c>
      <c r="AL413" s="133">
        <f>IFERROR(__xludf.DUMMYFUNCTION("""COMPUTED_VALUE"""),3.0)</f>
        <v>3</v>
      </c>
      <c r="AM413" s="133">
        <f>IFERROR(__xludf.DUMMYFUNCTION("""COMPUTED_VALUE"""),3.0)</f>
        <v>3</v>
      </c>
      <c r="AN413" s="133" t="str">
        <f>IFERROR(__xludf.DUMMYFUNCTION("""COMPUTED_VALUE"""),"3.5")</f>
        <v>3.5</v>
      </c>
      <c r="AO413" s="133">
        <f>IFERROR(__xludf.DUMMYFUNCTION("""COMPUTED_VALUE"""),3.0)</f>
        <v>3</v>
      </c>
      <c r="AP413" s="155" t="s">
        <v>3706</v>
      </c>
    </row>
    <row r="414">
      <c r="A414" s="155">
        <f>IFERROR(__xludf.DUMMYFUNCTION("""COMPUTED_VALUE"""),176.0)</f>
        <v>176</v>
      </c>
      <c r="B414" s="155" t="str">
        <f>IFERROR(__xludf.DUMMYFUNCTION("""COMPUTED_VALUE"""),"syza23ise@cmrit.ac.in")</f>
        <v>syza23ise@cmrit.ac.in</v>
      </c>
      <c r="C414" s="174" t="str">
        <f>IFERROR(__xludf.DUMMYFUNCTION("""COMPUTED_VALUE"""),"SYED ZAID")</f>
        <v>SYED ZAID</v>
      </c>
      <c r="D414" s="155" t="str">
        <f>IFERROR(__xludf.DUMMYFUNCTION("""COMPUTED_VALUE"""),"1CR23IS182")</f>
        <v>1CR23IS182</v>
      </c>
      <c r="E414" s="563">
        <f>IFERROR(__xludf.DUMMYFUNCTION("""COMPUTED_VALUE"""),9.60639104E9)</f>
        <v>9606391040</v>
      </c>
      <c r="F414" s="155" t="str">
        <f>IFERROR(__xludf.DUMMYFUNCTION("""COMPUTED_VALUE"""),"ISE")</f>
        <v>ISE</v>
      </c>
      <c r="G414" s="158"/>
      <c r="H414" s="559">
        <f>IFERROR(__xludf.DUMMYFUNCTION("""COMPUTED_VALUE"""),79.0)</f>
        <v>79</v>
      </c>
      <c r="I414" s="559">
        <f>IFERROR(__xludf.DUMMYFUNCTION("""COMPUTED_VALUE"""),87.0)</f>
        <v>87</v>
      </c>
      <c r="J414" s="559">
        <f>IFERROR(__xludf.DUMMYFUNCTION("""COMPUTED_VALUE"""),81.0)</f>
        <v>81</v>
      </c>
      <c r="K414" s="559">
        <f>IFERROR(__xludf.DUMMYFUNCTION("""COMPUTED_VALUE"""),70.0)</f>
        <v>70</v>
      </c>
      <c r="L414" s="560">
        <f>IFERROR(__xludf.DUMMYFUNCTION("""COMPUTED_VALUE"""),50.0)</f>
        <v>50</v>
      </c>
      <c r="M414" s="561">
        <f>IFERROR(__xludf.DUMMYFUNCTION("""COMPUTED_VALUE"""),44.0)</f>
        <v>44</v>
      </c>
      <c r="N414" s="561">
        <f>IFERROR(__xludf.DUMMYFUNCTION("""COMPUTED_VALUE"""),50.0)</f>
        <v>50</v>
      </c>
      <c r="O414" s="560"/>
      <c r="P414" s="562">
        <f>IFERROR(__xludf.DUMMYFUNCTION("""COMPUTED_VALUE"""),50.0)</f>
        <v>50</v>
      </c>
      <c r="Q414" s="562">
        <f>IFERROR(__xludf.DUMMYFUNCTION("""COMPUTED_VALUE"""),63.0)</f>
        <v>63</v>
      </c>
      <c r="R414" s="562">
        <f>IFERROR(__xludf.DUMMYFUNCTION("""COMPUTED_VALUE"""),93.0)</f>
        <v>93</v>
      </c>
      <c r="S414" s="562"/>
      <c r="T414" s="217">
        <f>IFERROR(__xludf.DUMMYFUNCTION("""COMPUTED_VALUE"""),20.0)</f>
        <v>20</v>
      </c>
      <c r="U414" s="217">
        <f>IFERROR(__xludf.DUMMYFUNCTION("""COMPUTED_VALUE"""),23.0)</f>
        <v>23</v>
      </c>
      <c r="V414" s="217">
        <f>IFERROR(__xludf.DUMMYFUNCTION("""COMPUTED_VALUE"""),48.0)</f>
        <v>48</v>
      </c>
      <c r="W414" s="217">
        <f>IFERROR(__xludf.DUMMYFUNCTION("""COMPUTED_VALUE"""),32.0)</f>
        <v>32</v>
      </c>
      <c r="X414" s="217">
        <f>IFERROR(__xludf.DUMMYFUNCTION("""COMPUTED_VALUE"""),96.0)</f>
        <v>96</v>
      </c>
      <c r="Y414" s="217"/>
      <c r="Z414" s="217"/>
      <c r="AA414" s="481">
        <f>IFERROR(__xludf.DUMMYFUNCTION("""COMPUTED_VALUE"""),84.0)</f>
        <v>84</v>
      </c>
      <c r="AB414" s="481">
        <f>IFERROR(__xludf.DUMMYFUNCTION("""COMPUTED_VALUE"""),87.0)</f>
        <v>87</v>
      </c>
      <c r="AC414" s="481">
        <f>IFERROR(__xludf.DUMMYFUNCTION("""COMPUTED_VALUE"""),100.0)</f>
        <v>100</v>
      </c>
      <c r="AD414" s="481">
        <f>IFERROR(__xludf.DUMMYFUNCTION("""COMPUTED_VALUE"""),0.0)</f>
        <v>0</v>
      </c>
      <c r="AE414" s="481">
        <f>IFERROR(__xludf.DUMMYFUNCTION("""COMPUTED_VALUE"""),73.0)</f>
        <v>73</v>
      </c>
      <c r="AF414" s="481"/>
      <c r="AG414" s="481">
        <f>IFERROR(__xludf.DUMMYFUNCTION("""COMPUTED_VALUE"""),80.0)</f>
        <v>80</v>
      </c>
      <c r="AH414" s="481"/>
      <c r="AI414" s="158"/>
      <c r="AJ414" s="158"/>
      <c r="AK414" s="133">
        <f>IFERROR(__xludf.DUMMYFUNCTION("""COMPUTED_VALUE"""),4.0)</f>
        <v>4</v>
      </c>
      <c r="AL414" s="133">
        <f>IFERROR(__xludf.DUMMYFUNCTION("""COMPUTED_VALUE"""),1.0)</f>
        <v>1</v>
      </c>
      <c r="AM414" s="133">
        <f>IFERROR(__xludf.DUMMYFUNCTION("""COMPUTED_VALUE"""),2.0)</f>
        <v>2</v>
      </c>
      <c r="AN414" s="133" t="str">
        <f>IFERROR(__xludf.DUMMYFUNCTION("""COMPUTED_VALUE"""),"3.5")</f>
        <v>3.5</v>
      </c>
      <c r="AO414" s="133">
        <f>IFERROR(__xludf.DUMMYFUNCTION("""COMPUTED_VALUE"""),3.0)</f>
        <v>3</v>
      </c>
      <c r="AP414" s="155" t="s">
        <v>3706</v>
      </c>
    </row>
    <row r="415">
      <c r="A415" s="155">
        <f>IFERROR(__xludf.DUMMYFUNCTION("""COMPUTED_VALUE"""),177.0)</f>
        <v>177</v>
      </c>
      <c r="B415" s="155" t="str">
        <f>IFERROR(__xludf.DUMMYFUNCTION("""COMPUTED_VALUE"""),"tear23ise@cmrit.ac.in")</f>
        <v>tear23ise@cmrit.ac.in</v>
      </c>
      <c r="C415" s="174" t="str">
        <f>IFERROR(__xludf.DUMMYFUNCTION("""COMPUTED_VALUE"""),"TEJJAS A R")</f>
        <v>TEJJAS A R</v>
      </c>
      <c r="D415" s="155" t="str">
        <f>IFERROR(__xludf.DUMMYFUNCTION("""COMPUTED_VALUE"""),"1CR23IS183")</f>
        <v>1CR23IS183</v>
      </c>
      <c r="E415" s="563">
        <f>IFERROR(__xludf.DUMMYFUNCTION("""COMPUTED_VALUE"""),8.310200823E9)</f>
        <v>8310200823</v>
      </c>
      <c r="F415" s="155" t="str">
        <f>IFERROR(__xludf.DUMMYFUNCTION("""COMPUTED_VALUE"""),"ISE")</f>
        <v>ISE</v>
      </c>
      <c r="G415" s="158"/>
      <c r="H415" s="559">
        <f>IFERROR(__xludf.DUMMYFUNCTION("""COMPUTED_VALUE"""),79.0)</f>
        <v>79</v>
      </c>
      <c r="I415" s="559">
        <f>IFERROR(__xludf.DUMMYFUNCTION("""COMPUTED_VALUE"""),80.0)</f>
        <v>80</v>
      </c>
      <c r="J415" s="559">
        <f>IFERROR(__xludf.DUMMYFUNCTION("""COMPUTED_VALUE"""),76.0)</f>
        <v>76</v>
      </c>
      <c r="K415" s="559">
        <f>IFERROR(__xludf.DUMMYFUNCTION("""COMPUTED_VALUE"""),70.0)</f>
        <v>70</v>
      </c>
      <c r="L415" s="560">
        <f>IFERROR(__xludf.DUMMYFUNCTION("""COMPUTED_VALUE"""),50.0)</f>
        <v>50</v>
      </c>
      <c r="M415" s="561">
        <f>IFERROR(__xludf.DUMMYFUNCTION("""COMPUTED_VALUE"""),50.0)</f>
        <v>50</v>
      </c>
      <c r="N415" s="561">
        <f>IFERROR(__xludf.DUMMYFUNCTION("""COMPUTED_VALUE"""),57.0)</f>
        <v>57</v>
      </c>
      <c r="O415" s="560"/>
      <c r="P415" s="562">
        <f>IFERROR(__xludf.DUMMYFUNCTION("""COMPUTED_VALUE"""),50.0)</f>
        <v>50</v>
      </c>
      <c r="Q415" s="562">
        <f>IFERROR(__xludf.DUMMYFUNCTION("""COMPUTED_VALUE"""),57.0)</f>
        <v>57</v>
      </c>
      <c r="R415" s="562">
        <f>IFERROR(__xludf.DUMMYFUNCTION("""COMPUTED_VALUE"""),50.0)</f>
        <v>50</v>
      </c>
      <c r="S415" s="562"/>
      <c r="T415" s="217">
        <f>IFERROR(__xludf.DUMMYFUNCTION("""COMPUTED_VALUE"""),20.0)</f>
        <v>20</v>
      </c>
      <c r="U415" s="217"/>
      <c r="V415" s="217">
        <f>IFERROR(__xludf.DUMMYFUNCTION("""COMPUTED_VALUE"""),48.0)</f>
        <v>48</v>
      </c>
      <c r="W415" s="217"/>
      <c r="X415" s="217">
        <f>IFERROR(__xludf.DUMMYFUNCTION("""COMPUTED_VALUE"""),72.0)</f>
        <v>72</v>
      </c>
      <c r="Y415" s="217"/>
      <c r="Z415" s="217"/>
      <c r="AA415" s="481">
        <f>IFERROR(__xludf.DUMMYFUNCTION("""COMPUTED_VALUE"""),50.0)</f>
        <v>50</v>
      </c>
      <c r="AB415" s="481">
        <f>IFERROR(__xludf.DUMMYFUNCTION("""COMPUTED_VALUE"""),79.0)</f>
        <v>79</v>
      </c>
      <c r="AC415" s="481">
        <f>IFERROR(__xludf.DUMMYFUNCTION("""COMPUTED_VALUE"""),97.0)</f>
        <v>97</v>
      </c>
      <c r="AD415" s="481">
        <f>IFERROR(__xludf.DUMMYFUNCTION("""COMPUTED_VALUE"""),100.0)</f>
        <v>100</v>
      </c>
      <c r="AE415" s="481">
        <f>IFERROR(__xludf.DUMMYFUNCTION("""COMPUTED_VALUE"""),70.0)</f>
        <v>70</v>
      </c>
      <c r="AF415" s="481"/>
      <c r="AG415" s="481">
        <f>IFERROR(__xludf.DUMMYFUNCTION("""COMPUTED_VALUE"""),35.0)</f>
        <v>35</v>
      </c>
      <c r="AH415" s="481"/>
      <c r="AI415" s="158"/>
      <c r="AJ415" s="158"/>
      <c r="AK415" s="133">
        <f>IFERROR(__xludf.DUMMYFUNCTION("""COMPUTED_VALUE"""),4.0)</f>
        <v>4</v>
      </c>
      <c r="AL415" s="133">
        <f>IFERROR(__xludf.DUMMYFUNCTION("""COMPUTED_VALUE"""),3.0)</f>
        <v>3</v>
      </c>
      <c r="AM415" s="133">
        <f>IFERROR(__xludf.DUMMYFUNCTION("""COMPUTED_VALUE"""),2.0)</f>
        <v>2</v>
      </c>
      <c r="AN415" s="133" t="str">
        <f>IFERROR(__xludf.DUMMYFUNCTION("""COMPUTED_VALUE"""),"3.5")</f>
        <v>3.5</v>
      </c>
      <c r="AO415" s="133">
        <f>IFERROR(__xludf.DUMMYFUNCTION("""COMPUTED_VALUE"""),3.0)</f>
        <v>3</v>
      </c>
      <c r="AP415" s="155" t="s">
        <v>3706</v>
      </c>
    </row>
    <row r="416">
      <c r="A416" s="155">
        <f>IFERROR(__xludf.DUMMYFUNCTION("""COMPUTED_VALUE"""),178.0)</f>
        <v>178</v>
      </c>
      <c r="B416" s="155" t="str">
        <f>IFERROR(__xludf.DUMMYFUNCTION("""COMPUTED_VALUE"""),"thka23ise@cmrit.ac.in")</f>
        <v>thka23ise@cmrit.ac.in</v>
      </c>
      <c r="C416" s="174" t="str">
        <f>IFERROR(__xludf.DUMMYFUNCTION("""COMPUTED_VALUE"""),"THEJASHWI K A")</f>
        <v>THEJASHWI K A</v>
      </c>
      <c r="D416" s="155" t="str">
        <f>IFERROR(__xludf.DUMMYFUNCTION("""COMPUTED_VALUE"""),"1CR23IS184")</f>
        <v>1CR23IS184</v>
      </c>
      <c r="E416" s="563">
        <f>IFERROR(__xludf.DUMMYFUNCTION("""COMPUTED_VALUE"""),7.259208989E9)</f>
        <v>7259208989</v>
      </c>
      <c r="F416" s="155" t="str">
        <f>IFERROR(__xludf.DUMMYFUNCTION("""COMPUTED_VALUE"""),"ISE")</f>
        <v>ISE</v>
      </c>
      <c r="G416" s="158"/>
      <c r="H416" s="559">
        <f>IFERROR(__xludf.DUMMYFUNCTION("""COMPUTED_VALUE"""),72.0)</f>
        <v>72</v>
      </c>
      <c r="I416" s="559">
        <f>IFERROR(__xludf.DUMMYFUNCTION("""COMPUTED_VALUE"""),87.0)</f>
        <v>87</v>
      </c>
      <c r="J416" s="559">
        <f>IFERROR(__xludf.DUMMYFUNCTION("""COMPUTED_VALUE"""),72.0)</f>
        <v>72</v>
      </c>
      <c r="K416" s="559">
        <f>IFERROR(__xludf.DUMMYFUNCTION("""COMPUTED_VALUE"""),70.0)</f>
        <v>70</v>
      </c>
      <c r="L416" s="560">
        <f>IFERROR(__xludf.DUMMYFUNCTION("""COMPUTED_VALUE"""),50.0)</f>
        <v>50</v>
      </c>
      <c r="M416" s="561">
        <f>IFERROR(__xludf.DUMMYFUNCTION("""COMPUTED_VALUE"""),50.0)</f>
        <v>50</v>
      </c>
      <c r="N416" s="561">
        <f>IFERROR(__xludf.DUMMYFUNCTION("""COMPUTED_VALUE"""),52.0)</f>
        <v>52</v>
      </c>
      <c r="O416" s="560"/>
      <c r="P416" s="562">
        <f>IFERROR(__xludf.DUMMYFUNCTION("""COMPUTED_VALUE"""),68.0)</f>
        <v>68</v>
      </c>
      <c r="Q416" s="562">
        <f>IFERROR(__xludf.DUMMYFUNCTION("""COMPUTED_VALUE"""),60.0)</f>
        <v>60</v>
      </c>
      <c r="R416" s="562">
        <f>IFERROR(__xludf.DUMMYFUNCTION("""COMPUTED_VALUE"""),89.0)</f>
        <v>89</v>
      </c>
      <c r="S416" s="562"/>
      <c r="T416" s="217">
        <f>IFERROR(__xludf.DUMMYFUNCTION("""COMPUTED_VALUE"""),20.0)</f>
        <v>20</v>
      </c>
      <c r="U416" s="217">
        <f>IFERROR(__xludf.DUMMYFUNCTION("""COMPUTED_VALUE"""),21.0)</f>
        <v>21</v>
      </c>
      <c r="V416" s="217">
        <f>IFERROR(__xludf.DUMMYFUNCTION("""COMPUTED_VALUE"""),48.0)</f>
        <v>48</v>
      </c>
      <c r="W416" s="217">
        <f>IFERROR(__xludf.DUMMYFUNCTION("""COMPUTED_VALUE"""),48.0)</f>
        <v>48</v>
      </c>
      <c r="X416" s="217">
        <f>IFERROR(__xludf.DUMMYFUNCTION("""COMPUTED_VALUE"""),92.0)</f>
        <v>92</v>
      </c>
      <c r="Y416" s="217"/>
      <c r="Z416" s="217"/>
      <c r="AA416" s="481">
        <f>IFERROR(__xludf.DUMMYFUNCTION("""COMPUTED_VALUE"""),26.0)</f>
        <v>26</v>
      </c>
      <c r="AB416" s="481">
        <f>IFERROR(__xludf.DUMMYFUNCTION("""COMPUTED_VALUE"""),95.0)</f>
        <v>95</v>
      </c>
      <c r="AC416" s="481">
        <f>IFERROR(__xludf.DUMMYFUNCTION("""COMPUTED_VALUE"""),88.0)</f>
        <v>88</v>
      </c>
      <c r="AD416" s="481">
        <f>IFERROR(__xludf.DUMMYFUNCTION("""COMPUTED_VALUE"""),100.0)</f>
        <v>100</v>
      </c>
      <c r="AE416" s="481">
        <f>IFERROR(__xludf.DUMMYFUNCTION("""COMPUTED_VALUE"""),72.0)</f>
        <v>72</v>
      </c>
      <c r="AF416" s="481"/>
      <c r="AG416" s="481">
        <f>IFERROR(__xludf.DUMMYFUNCTION("""COMPUTED_VALUE"""),48.0)</f>
        <v>48</v>
      </c>
      <c r="AH416" s="481"/>
      <c r="AI416" s="158"/>
      <c r="AJ416" s="158"/>
      <c r="AK416" s="133">
        <f>IFERROR(__xludf.DUMMYFUNCTION("""COMPUTED_VALUE"""),4.0)</f>
        <v>4</v>
      </c>
      <c r="AL416" s="133">
        <f>IFERROR(__xludf.DUMMYFUNCTION("""COMPUTED_VALUE"""),3.0)</f>
        <v>3</v>
      </c>
      <c r="AM416" s="133">
        <f>IFERROR(__xludf.DUMMYFUNCTION("""COMPUTED_VALUE"""),2.0)</f>
        <v>2</v>
      </c>
      <c r="AN416" s="133" t="str">
        <f>IFERROR(__xludf.DUMMYFUNCTION("""COMPUTED_VALUE"""),"3.5")</f>
        <v>3.5</v>
      </c>
      <c r="AO416" s="133">
        <f>IFERROR(__xludf.DUMMYFUNCTION("""COMPUTED_VALUE"""),3.0)</f>
        <v>3</v>
      </c>
      <c r="AP416" s="155" t="s">
        <v>3706</v>
      </c>
    </row>
    <row r="417">
      <c r="A417" s="155">
        <f>IFERROR(__xludf.DUMMYFUNCTION("""COMPUTED_VALUE"""),179.0)</f>
        <v>179</v>
      </c>
      <c r="B417" s="155" t="str">
        <f>IFERROR(__xludf.DUMMYFUNCTION("""COMPUTED_VALUE"""),"thrp23ise@cmrit.ac.in")</f>
        <v>thrp23ise@cmrit.ac.in</v>
      </c>
      <c r="C417" s="174" t="str">
        <f>IFERROR(__xludf.DUMMYFUNCTION("""COMPUTED_VALUE"""),"THEJASWINI R P")</f>
        <v>THEJASWINI R P</v>
      </c>
      <c r="D417" s="155" t="str">
        <f>IFERROR(__xludf.DUMMYFUNCTION("""COMPUTED_VALUE"""),"1CR23IS185")</f>
        <v>1CR23IS185</v>
      </c>
      <c r="E417" s="563">
        <f>IFERROR(__xludf.DUMMYFUNCTION("""COMPUTED_VALUE"""),9.740657185E9)</f>
        <v>9740657185</v>
      </c>
      <c r="F417" s="155" t="str">
        <f>IFERROR(__xludf.DUMMYFUNCTION("""COMPUTED_VALUE"""),"ISE")</f>
        <v>ISE</v>
      </c>
      <c r="G417" s="158"/>
      <c r="H417" s="559">
        <f>IFERROR(__xludf.DUMMYFUNCTION("""COMPUTED_VALUE"""),77.0)</f>
        <v>77</v>
      </c>
      <c r="I417" s="559">
        <f>IFERROR(__xludf.DUMMYFUNCTION("""COMPUTED_VALUE"""),75.0)</f>
        <v>75</v>
      </c>
      <c r="J417" s="559">
        <f>IFERROR(__xludf.DUMMYFUNCTION("""COMPUTED_VALUE"""),70.0)</f>
        <v>70</v>
      </c>
      <c r="K417" s="559">
        <f>IFERROR(__xludf.DUMMYFUNCTION("""COMPUTED_VALUE"""),70.0)</f>
        <v>70</v>
      </c>
      <c r="L417" s="560">
        <f>IFERROR(__xludf.DUMMYFUNCTION("""COMPUTED_VALUE"""),50.0)</f>
        <v>50</v>
      </c>
      <c r="M417" s="561">
        <f>IFERROR(__xludf.DUMMYFUNCTION("""COMPUTED_VALUE"""),50.0)</f>
        <v>50</v>
      </c>
      <c r="N417" s="561">
        <f>IFERROR(__xludf.DUMMYFUNCTION("""COMPUTED_VALUE"""),50.0)</f>
        <v>50</v>
      </c>
      <c r="O417" s="560"/>
      <c r="P417" s="562">
        <f>IFERROR(__xludf.DUMMYFUNCTION("""COMPUTED_VALUE"""),68.0)</f>
        <v>68</v>
      </c>
      <c r="Q417" s="562">
        <f>IFERROR(__xludf.DUMMYFUNCTION("""COMPUTED_VALUE"""),71.0)</f>
        <v>71</v>
      </c>
      <c r="R417" s="562">
        <f>IFERROR(__xludf.DUMMYFUNCTION("""COMPUTED_VALUE"""),85.0)</f>
        <v>85</v>
      </c>
      <c r="S417" s="562"/>
      <c r="T417" s="217">
        <f>IFERROR(__xludf.DUMMYFUNCTION("""COMPUTED_VALUE"""),19.0)</f>
        <v>19</v>
      </c>
      <c r="U417" s="217">
        <f>IFERROR(__xludf.DUMMYFUNCTION("""COMPUTED_VALUE"""),23.0)</f>
        <v>23</v>
      </c>
      <c r="V417" s="217"/>
      <c r="W417" s="217">
        <f>IFERROR(__xludf.DUMMYFUNCTION("""COMPUTED_VALUE"""),40.0)</f>
        <v>40</v>
      </c>
      <c r="X417" s="217">
        <f>IFERROR(__xludf.DUMMYFUNCTION("""COMPUTED_VALUE"""),76.0)</f>
        <v>76</v>
      </c>
      <c r="Y417" s="217"/>
      <c r="Z417" s="217"/>
      <c r="AA417" s="481">
        <f>IFERROR(__xludf.DUMMYFUNCTION("""COMPUTED_VALUE"""),18.0)</f>
        <v>18</v>
      </c>
      <c r="AB417" s="481">
        <f>IFERROR(__xludf.DUMMYFUNCTION("""COMPUTED_VALUE"""),78.0)</f>
        <v>78</v>
      </c>
      <c r="AC417" s="481">
        <f>IFERROR(__xludf.DUMMYFUNCTION("""COMPUTED_VALUE"""),61.0)</f>
        <v>61</v>
      </c>
      <c r="AD417" s="481">
        <f>IFERROR(__xludf.DUMMYFUNCTION("""COMPUTED_VALUE"""),0.0)</f>
        <v>0</v>
      </c>
      <c r="AE417" s="481">
        <f>IFERROR(__xludf.DUMMYFUNCTION("""COMPUTED_VALUE"""),61.0)</f>
        <v>61</v>
      </c>
      <c r="AF417" s="481"/>
      <c r="AG417" s="481">
        <f>IFERROR(__xludf.DUMMYFUNCTION("""COMPUTED_VALUE"""),45.0)</f>
        <v>45</v>
      </c>
      <c r="AH417" s="481"/>
      <c r="AI417" s="158"/>
      <c r="AJ417" s="158"/>
      <c r="AK417" s="133">
        <f>IFERROR(__xludf.DUMMYFUNCTION("""COMPUTED_VALUE"""),4.0)</f>
        <v>4</v>
      </c>
      <c r="AL417" s="133">
        <f>IFERROR(__xludf.DUMMYFUNCTION("""COMPUTED_VALUE"""),3.0)</f>
        <v>3</v>
      </c>
      <c r="AM417" s="133">
        <f>IFERROR(__xludf.DUMMYFUNCTION("""COMPUTED_VALUE"""),2.0)</f>
        <v>2</v>
      </c>
      <c r="AN417" s="133" t="str">
        <f>IFERROR(__xludf.DUMMYFUNCTION("""COMPUTED_VALUE"""),"3")</f>
        <v>3</v>
      </c>
      <c r="AO417" s="133">
        <f>IFERROR(__xludf.DUMMYFUNCTION("""COMPUTED_VALUE"""),3.0)</f>
        <v>3</v>
      </c>
      <c r="AP417" s="155" t="s">
        <v>3706</v>
      </c>
    </row>
    <row r="418">
      <c r="A418" s="155">
        <f>IFERROR(__xludf.DUMMYFUNCTION("""COMPUTED_VALUE"""),180.0)</f>
        <v>180</v>
      </c>
      <c r="B418" s="155" t="str">
        <f>IFERROR(__xludf.DUMMYFUNCTION("""COMPUTED_VALUE"""),"thna23ise@cmrit.ac.in")</f>
        <v>thna23ise@cmrit.ac.in</v>
      </c>
      <c r="C418" s="174" t="str">
        <f>IFERROR(__xludf.DUMMYFUNCTION("""COMPUTED_VALUE"""),"THILAK S NAIK")</f>
        <v>THILAK S NAIK</v>
      </c>
      <c r="D418" s="155" t="str">
        <f>IFERROR(__xludf.DUMMYFUNCTION("""COMPUTED_VALUE"""),"1CR23IS186")</f>
        <v>1CR23IS186</v>
      </c>
      <c r="E418" s="563">
        <f>IFERROR(__xludf.DUMMYFUNCTION("""COMPUTED_VALUE"""),8.073758981E9)</f>
        <v>8073758981</v>
      </c>
      <c r="F418" s="155" t="str">
        <f>IFERROR(__xludf.DUMMYFUNCTION("""COMPUTED_VALUE"""),"ISE")</f>
        <v>ISE</v>
      </c>
      <c r="G418" s="158"/>
      <c r="H418" s="559">
        <f>IFERROR(__xludf.DUMMYFUNCTION("""COMPUTED_VALUE"""),70.0)</f>
        <v>70</v>
      </c>
      <c r="I418" s="559">
        <f>IFERROR(__xludf.DUMMYFUNCTION("""COMPUTED_VALUE"""),70.0)</f>
        <v>70</v>
      </c>
      <c r="J418" s="559">
        <f>IFERROR(__xludf.DUMMYFUNCTION("""COMPUTED_VALUE"""),70.0)</f>
        <v>70</v>
      </c>
      <c r="K418" s="559">
        <f>IFERROR(__xludf.DUMMYFUNCTION("""COMPUTED_VALUE"""),70.0)</f>
        <v>70</v>
      </c>
      <c r="L418" s="560">
        <f>IFERROR(__xludf.DUMMYFUNCTION("""COMPUTED_VALUE"""),50.0)</f>
        <v>50</v>
      </c>
      <c r="M418" s="561">
        <f>IFERROR(__xludf.DUMMYFUNCTION("""COMPUTED_VALUE"""),50.0)</f>
        <v>50</v>
      </c>
      <c r="N418" s="561">
        <f>IFERROR(__xludf.DUMMYFUNCTION("""COMPUTED_VALUE"""),19.0)</f>
        <v>19</v>
      </c>
      <c r="O418" s="560"/>
      <c r="P418" s="562">
        <f>IFERROR(__xludf.DUMMYFUNCTION("""COMPUTED_VALUE"""),81.0)</f>
        <v>81</v>
      </c>
      <c r="Q418" s="562">
        <f>IFERROR(__xludf.DUMMYFUNCTION("""COMPUTED_VALUE"""),50.0)</f>
        <v>50</v>
      </c>
      <c r="R418" s="562">
        <f>IFERROR(__xludf.DUMMYFUNCTION("""COMPUTED_VALUE"""),50.0)</f>
        <v>50</v>
      </c>
      <c r="S418" s="562"/>
      <c r="T418" s="217">
        <f>IFERROR(__xludf.DUMMYFUNCTION("""COMPUTED_VALUE"""),19.0)</f>
        <v>19</v>
      </c>
      <c r="U418" s="217">
        <f>IFERROR(__xludf.DUMMYFUNCTION("""COMPUTED_VALUE"""),23.0)</f>
        <v>23</v>
      </c>
      <c r="V418" s="217">
        <f>IFERROR(__xludf.DUMMYFUNCTION("""COMPUTED_VALUE"""),44.0)</f>
        <v>44</v>
      </c>
      <c r="W418" s="217">
        <f>IFERROR(__xludf.DUMMYFUNCTION("""COMPUTED_VALUE"""),28.0)</f>
        <v>28</v>
      </c>
      <c r="X418" s="217">
        <f>IFERROR(__xludf.DUMMYFUNCTION("""COMPUTED_VALUE"""),72.0)</f>
        <v>72</v>
      </c>
      <c r="Y418" s="217"/>
      <c r="Z418" s="217"/>
      <c r="AA418" s="481">
        <f>IFERROR(__xludf.DUMMYFUNCTION("""COMPUTED_VALUE"""),4.0)</f>
        <v>4</v>
      </c>
      <c r="AB418" s="481">
        <f>IFERROR(__xludf.DUMMYFUNCTION("""COMPUTED_VALUE"""),82.0)</f>
        <v>82</v>
      </c>
      <c r="AC418" s="481">
        <f>IFERROR(__xludf.DUMMYFUNCTION("""COMPUTED_VALUE"""),66.0)</f>
        <v>66</v>
      </c>
      <c r="AD418" s="481">
        <f>IFERROR(__xludf.DUMMYFUNCTION("""COMPUTED_VALUE"""),70.0)</f>
        <v>70</v>
      </c>
      <c r="AE418" s="481">
        <f>IFERROR(__xludf.DUMMYFUNCTION("""COMPUTED_VALUE"""),40.0)</f>
        <v>40</v>
      </c>
      <c r="AF418" s="481"/>
      <c r="AG418" s="481">
        <f>IFERROR(__xludf.DUMMYFUNCTION("""COMPUTED_VALUE"""),11.0)</f>
        <v>11</v>
      </c>
      <c r="AH418" s="481"/>
      <c r="AI418" s="158"/>
      <c r="AJ418" s="158"/>
      <c r="AK418" s="133">
        <f>IFERROR(__xludf.DUMMYFUNCTION("""COMPUTED_VALUE"""),4.0)</f>
        <v>4</v>
      </c>
      <c r="AL418" s="133">
        <f>IFERROR(__xludf.DUMMYFUNCTION("""COMPUTED_VALUE"""),2.0)</f>
        <v>2</v>
      </c>
      <c r="AM418" s="133">
        <f>IFERROR(__xludf.DUMMYFUNCTION("""COMPUTED_VALUE"""),2.0)</f>
        <v>2</v>
      </c>
      <c r="AN418" s="133" t="str">
        <f>IFERROR(__xludf.DUMMYFUNCTION("""COMPUTED_VALUE"""),"3")</f>
        <v>3</v>
      </c>
      <c r="AO418" s="133">
        <f>IFERROR(__xludf.DUMMYFUNCTION("""COMPUTED_VALUE"""),3.0)</f>
        <v>3</v>
      </c>
      <c r="AP418" s="155" t="s">
        <v>3706</v>
      </c>
    </row>
    <row r="419">
      <c r="A419" s="155">
        <f>IFERROR(__xludf.DUMMYFUNCTION("""COMPUTED_VALUE"""),181.0)</f>
        <v>181</v>
      </c>
      <c r="B419" s="155" t="str">
        <f>IFERROR(__xludf.DUMMYFUNCTION("""COMPUTED_VALUE"""),"trhe23ise@cmrit.ac.in")</f>
        <v>trhe23ise@cmrit.ac.in</v>
      </c>
      <c r="C419" s="174" t="str">
        <f>IFERROR(__xludf.DUMMYFUNCTION("""COMPUTED_VALUE"""),"TRISHA HEGGONDANAHALLI BASAVARAJU")</f>
        <v>TRISHA HEGGONDANAHALLI BASAVARAJU</v>
      </c>
      <c r="D419" s="155" t="str">
        <f>IFERROR(__xludf.DUMMYFUNCTION("""COMPUTED_VALUE"""),"1CR23IS187")</f>
        <v>1CR23IS187</v>
      </c>
      <c r="E419" s="563">
        <f>IFERROR(__xludf.DUMMYFUNCTION("""COMPUTED_VALUE"""),7.019020245E9)</f>
        <v>7019020245</v>
      </c>
      <c r="F419" s="155" t="str">
        <f>IFERROR(__xludf.DUMMYFUNCTION("""COMPUTED_VALUE"""),"ISE")</f>
        <v>ISE</v>
      </c>
      <c r="G419" s="158"/>
      <c r="H419" s="559">
        <f>IFERROR(__xludf.DUMMYFUNCTION("""COMPUTED_VALUE"""),70.0)</f>
        <v>70</v>
      </c>
      <c r="I419" s="559">
        <f>IFERROR(__xludf.DUMMYFUNCTION("""COMPUTED_VALUE"""),87.0)</f>
        <v>87</v>
      </c>
      <c r="J419" s="559">
        <f>IFERROR(__xludf.DUMMYFUNCTION("""COMPUTED_VALUE"""),70.0)</f>
        <v>70</v>
      </c>
      <c r="K419" s="559">
        <f>IFERROR(__xludf.DUMMYFUNCTION("""COMPUTED_VALUE"""),70.0)</f>
        <v>70</v>
      </c>
      <c r="L419" s="560">
        <f>IFERROR(__xludf.DUMMYFUNCTION("""COMPUTED_VALUE"""),31.0)</f>
        <v>31</v>
      </c>
      <c r="M419" s="561">
        <f>IFERROR(__xludf.DUMMYFUNCTION("""COMPUTED_VALUE"""),50.0)</f>
        <v>50</v>
      </c>
      <c r="N419" s="561">
        <f>IFERROR(__xludf.DUMMYFUNCTION("""COMPUTED_VALUE"""),9.0)</f>
        <v>9</v>
      </c>
      <c r="O419" s="560"/>
      <c r="P419" s="562">
        <f>IFERROR(__xludf.DUMMYFUNCTION("""COMPUTED_VALUE"""),68.0)</f>
        <v>68</v>
      </c>
      <c r="Q419" s="562">
        <f>IFERROR(__xludf.DUMMYFUNCTION("""COMPUTED_VALUE"""),81.0)</f>
        <v>81</v>
      </c>
      <c r="R419" s="562">
        <f>IFERROR(__xludf.DUMMYFUNCTION("""COMPUTED_VALUE"""),41.0)</f>
        <v>41</v>
      </c>
      <c r="S419" s="562"/>
      <c r="T419" s="217">
        <f>IFERROR(__xludf.DUMMYFUNCTION("""COMPUTED_VALUE"""),20.0)</f>
        <v>20</v>
      </c>
      <c r="U419" s="217">
        <f>IFERROR(__xludf.DUMMYFUNCTION("""COMPUTED_VALUE"""),21.0)</f>
        <v>21</v>
      </c>
      <c r="V419" s="217">
        <f>IFERROR(__xludf.DUMMYFUNCTION("""COMPUTED_VALUE"""),46.0)</f>
        <v>46</v>
      </c>
      <c r="W419" s="217"/>
      <c r="X419" s="217">
        <f>IFERROR(__xludf.DUMMYFUNCTION("""COMPUTED_VALUE"""),88.0)</f>
        <v>88</v>
      </c>
      <c r="Y419" s="217"/>
      <c r="Z419" s="217"/>
      <c r="AA419" s="481">
        <f>IFERROR(__xludf.DUMMYFUNCTION("""COMPUTED_VALUE"""),58.0)</f>
        <v>58</v>
      </c>
      <c r="AB419" s="481">
        <f>IFERROR(__xludf.DUMMYFUNCTION("""COMPUTED_VALUE"""),89.0)</f>
        <v>89</v>
      </c>
      <c r="AC419" s="481">
        <f>IFERROR(__xludf.DUMMYFUNCTION("""COMPUTED_VALUE"""),0.0)</f>
        <v>0</v>
      </c>
      <c r="AD419" s="481">
        <f>IFERROR(__xludf.DUMMYFUNCTION("""COMPUTED_VALUE"""),75.0)</f>
        <v>75</v>
      </c>
      <c r="AE419" s="481">
        <f>IFERROR(__xludf.DUMMYFUNCTION("""COMPUTED_VALUE"""),10.0)</f>
        <v>10</v>
      </c>
      <c r="AF419" s="481"/>
      <c r="AG419" s="481">
        <f>IFERROR(__xludf.DUMMYFUNCTION("""COMPUTED_VALUE"""),10.0)</f>
        <v>10</v>
      </c>
      <c r="AH419" s="481"/>
      <c r="AI419" s="158"/>
      <c r="AJ419" s="158"/>
      <c r="AK419" s="133">
        <f>IFERROR(__xludf.DUMMYFUNCTION("""COMPUTED_VALUE"""),4.0)</f>
        <v>4</v>
      </c>
      <c r="AL419" s="133">
        <f>IFERROR(__xludf.DUMMYFUNCTION("""COMPUTED_VALUE"""),0.0)</f>
        <v>0</v>
      </c>
      <c r="AM419" s="133">
        <f>IFERROR(__xludf.DUMMYFUNCTION("""COMPUTED_VALUE"""),2.0)</f>
        <v>2</v>
      </c>
      <c r="AN419" s="133" t="str">
        <f>IFERROR(__xludf.DUMMYFUNCTION("""COMPUTED_VALUE"""),"3")</f>
        <v>3</v>
      </c>
      <c r="AO419" s="133">
        <f>IFERROR(__xludf.DUMMYFUNCTION("""COMPUTED_VALUE"""),2.0)</f>
        <v>2</v>
      </c>
      <c r="AP419" s="155" t="s">
        <v>3706</v>
      </c>
    </row>
    <row r="420">
      <c r="A420" s="155">
        <f>IFERROR(__xludf.DUMMYFUNCTION("""COMPUTED_VALUE"""),182.0)</f>
        <v>182</v>
      </c>
      <c r="B420" s="155" t="str">
        <f>IFERROR(__xludf.DUMMYFUNCTION("""COMPUTED_VALUE"""),"utpa23ise@cmrit.ac.in")</f>
        <v>utpa23ise@cmrit.ac.in</v>
      </c>
      <c r="C420" s="174" t="str">
        <f>IFERROR(__xludf.DUMMYFUNCTION("""COMPUTED_VALUE"""),"UTKARSH PAL")</f>
        <v>UTKARSH PAL</v>
      </c>
      <c r="D420" s="155" t="str">
        <f>IFERROR(__xludf.DUMMYFUNCTION("""COMPUTED_VALUE"""),"1CR23IS188")</f>
        <v>1CR23IS188</v>
      </c>
      <c r="E420" s="563">
        <f>IFERROR(__xludf.DUMMYFUNCTION("""COMPUTED_VALUE"""),6.306060597E9)</f>
        <v>6306060597</v>
      </c>
      <c r="F420" s="155" t="str">
        <f>IFERROR(__xludf.DUMMYFUNCTION("""COMPUTED_VALUE"""),"ISE")</f>
        <v>ISE</v>
      </c>
      <c r="G420" s="158"/>
      <c r="H420" s="559">
        <f>IFERROR(__xludf.DUMMYFUNCTION("""COMPUTED_VALUE"""),71.0)</f>
        <v>71</v>
      </c>
      <c r="I420" s="559">
        <f>IFERROR(__xludf.DUMMYFUNCTION("""COMPUTED_VALUE"""),81.0)</f>
        <v>81</v>
      </c>
      <c r="J420" s="559">
        <f>IFERROR(__xludf.DUMMYFUNCTION("""COMPUTED_VALUE"""),70.0)</f>
        <v>70</v>
      </c>
      <c r="K420" s="559">
        <f>IFERROR(__xludf.DUMMYFUNCTION("""COMPUTED_VALUE"""),70.0)</f>
        <v>70</v>
      </c>
      <c r="L420" s="560">
        <f>IFERROR(__xludf.DUMMYFUNCTION("""COMPUTED_VALUE"""),50.0)</f>
        <v>50</v>
      </c>
      <c r="M420" s="561">
        <f>IFERROR(__xludf.DUMMYFUNCTION("""COMPUTED_VALUE"""),52.0)</f>
        <v>52</v>
      </c>
      <c r="N420" s="561">
        <f>IFERROR(__xludf.DUMMYFUNCTION("""COMPUTED_VALUE"""),54.0)</f>
        <v>54</v>
      </c>
      <c r="O420" s="560"/>
      <c r="P420" s="562">
        <f>IFERROR(__xludf.DUMMYFUNCTION("""COMPUTED_VALUE"""),50.0)</f>
        <v>50</v>
      </c>
      <c r="Q420" s="562">
        <f>IFERROR(__xludf.DUMMYFUNCTION("""COMPUTED_VALUE"""),65.0)</f>
        <v>65</v>
      </c>
      <c r="R420" s="562">
        <f>IFERROR(__xludf.DUMMYFUNCTION("""COMPUTED_VALUE"""),76.0)</f>
        <v>76</v>
      </c>
      <c r="S420" s="562"/>
      <c r="T420" s="217">
        <f>IFERROR(__xludf.DUMMYFUNCTION("""COMPUTED_VALUE"""),16.0)</f>
        <v>16</v>
      </c>
      <c r="U420" s="217">
        <f>IFERROR(__xludf.DUMMYFUNCTION("""COMPUTED_VALUE"""),23.0)</f>
        <v>23</v>
      </c>
      <c r="V420" s="217">
        <f>IFERROR(__xludf.DUMMYFUNCTION("""COMPUTED_VALUE"""),44.0)</f>
        <v>44</v>
      </c>
      <c r="W420" s="217">
        <f>IFERROR(__xludf.DUMMYFUNCTION("""COMPUTED_VALUE"""),44.0)</f>
        <v>44</v>
      </c>
      <c r="X420" s="217">
        <f>IFERROR(__xludf.DUMMYFUNCTION("""COMPUTED_VALUE"""),80.0)</f>
        <v>80</v>
      </c>
      <c r="Y420" s="217"/>
      <c r="Z420" s="217"/>
      <c r="AA420" s="481">
        <f>IFERROR(__xludf.DUMMYFUNCTION("""COMPUTED_VALUE"""),79.0)</f>
        <v>79</v>
      </c>
      <c r="AB420" s="481">
        <f>IFERROR(__xludf.DUMMYFUNCTION("""COMPUTED_VALUE"""),92.0)</f>
        <v>92</v>
      </c>
      <c r="AC420" s="481">
        <f>IFERROR(__xludf.DUMMYFUNCTION("""COMPUTED_VALUE"""),28.0)</f>
        <v>28</v>
      </c>
      <c r="AD420" s="481">
        <f>IFERROR(__xludf.DUMMYFUNCTION("""COMPUTED_VALUE"""),60.0)</f>
        <v>60</v>
      </c>
      <c r="AE420" s="481">
        <f>IFERROR(__xludf.DUMMYFUNCTION("""COMPUTED_VALUE"""),70.0)</f>
        <v>70</v>
      </c>
      <c r="AF420" s="481"/>
      <c r="AG420" s="481">
        <f>IFERROR(__xludf.DUMMYFUNCTION("""COMPUTED_VALUE"""),0.0)</f>
        <v>0</v>
      </c>
      <c r="AH420" s="481"/>
      <c r="AI420" s="158"/>
      <c r="AJ420" s="158"/>
      <c r="AK420" s="133">
        <f>IFERROR(__xludf.DUMMYFUNCTION("""COMPUTED_VALUE"""),4.0)</f>
        <v>4</v>
      </c>
      <c r="AL420" s="133">
        <f>IFERROR(__xludf.DUMMYFUNCTION("""COMPUTED_VALUE"""),3.0)</f>
        <v>3</v>
      </c>
      <c r="AM420" s="133">
        <f>IFERROR(__xludf.DUMMYFUNCTION("""COMPUTED_VALUE"""),2.0)</f>
        <v>2</v>
      </c>
      <c r="AN420" s="133" t="str">
        <f>IFERROR(__xludf.DUMMYFUNCTION("""COMPUTED_VALUE"""),"3.5")</f>
        <v>3.5</v>
      </c>
      <c r="AO420" s="133">
        <f>IFERROR(__xludf.DUMMYFUNCTION("""COMPUTED_VALUE"""),3.0)</f>
        <v>3</v>
      </c>
      <c r="AP420" s="155" t="s">
        <v>3706</v>
      </c>
    </row>
    <row r="421">
      <c r="A421" s="155">
        <f>IFERROR(__xludf.DUMMYFUNCTION("""COMPUTED_VALUE"""),183.0)</f>
        <v>183</v>
      </c>
      <c r="B421" s="155" t="str">
        <f>IFERROR(__xludf.DUMMYFUNCTION("""COMPUTED_VALUE"""),"utra23ise@cmrit.ac.in")</f>
        <v>utra23ise@cmrit.ac.in</v>
      </c>
      <c r="C421" s="174" t="str">
        <f>IFERROR(__xludf.DUMMYFUNCTION("""COMPUTED_VALUE"""),"UTKARSH RAJ")</f>
        <v>UTKARSH RAJ</v>
      </c>
      <c r="D421" s="155" t="str">
        <f>IFERROR(__xludf.DUMMYFUNCTION("""COMPUTED_VALUE"""),"1CR23IS189")</f>
        <v>1CR23IS189</v>
      </c>
      <c r="E421" s="563">
        <f>IFERROR(__xludf.DUMMYFUNCTION("""COMPUTED_VALUE"""),7.903052247E9)</f>
        <v>7903052247</v>
      </c>
      <c r="F421" s="155" t="str">
        <f>IFERROR(__xludf.DUMMYFUNCTION("""COMPUTED_VALUE"""),"ISE")</f>
        <v>ISE</v>
      </c>
      <c r="G421" s="158"/>
      <c r="H421" s="559">
        <f>IFERROR(__xludf.DUMMYFUNCTION("""COMPUTED_VALUE"""),80.0)</f>
        <v>80</v>
      </c>
      <c r="I421" s="559">
        <f>IFERROR(__xludf.DUMMYFUNCTION("""COMPUTED_VALUE"""),83.0)</f>
        <v>83</v>
      </c>
      <c r="J421" s="559">
        <f>IFERROR(__xludf.DUMMYFUNCTION("""COMPUTED_VALUE"""),79.0)</f>
        <v>79</v>
      </c>
      <c r="K421" s="559">
        <f>IFERROR(__xludf.DUMMYFUNCTION("""COMPUTED_VALUE"""),70.0)</f>
        <v>70</v>
      </c>
      <c r="L421" s="560">
        <f>IFERROR(__xludf.DUMMYFUNCTION("""COMPUTED_VALUE"""),26.0)</f>
        <v>26</v>
      </c>
      <c r="M421" s="561">
        <f>IFERROR(__xludf.DUMMYFUNCTION("""COMPUTED_VALUE"""),72.0)</f>
        <v>72</v>
      </c>
      <c r="N421" s="561">
        <f>IFERROR(__xludf.DUMMYFUNCTION("""COMPUTED_VALUE"""),63.0)</f>
        <v>63</v>
      </c>
      <c r="O421" s="560"/>
      <c r="P421" s="562">
        <f>IFERROR(__xludf.DUMMYFUNCTION("""COMPUTED_VALUE"""),73.0)</f>
        <v>73</v>
      </c>
      <c r="Q421" s="562">
        <f>IFERROR(__xludf.DUMMYFUNCTION("""COMPUTED_VALUE"""),65.0)</f>
        <v>65</v>
      </c>
      <c r="R421" s="562">
        <f>IFERROR(__xludf.DUMMYFUNCTION("""COMPUTED_VALUE"""),45.0)</f>
        <v>45</v>
      </c>
      <c r="S421" s="562"/>
      <c r="T421" s="217">
        <f>IFERROR(__xludf.DUMMYFUNCTION("""COMPUTED_VALUE"""),10.0)</f>
        <v>10</v>
      </c>
      <c r="U421" s="217">
        <f>IFERROR(__xludf.DUMMYFUNCTION("""COMPUTED_VALUE"""),22.0)</f>
        <v>22</v>
      </c>
      <c r="V421" s="217">
        <f>IFERROR(__xludf.DUMMYFUNCTION("""COMPUTED_VALUE"""),44.0)</f>
        <v>44</v>
      </c>
      <c r="W421" s="217">
        <f>IFERROR(__xludf.DUMMYFUNCTION("""COMPUTED_VALUE"""),48.0)</f>
        <v>48</v>
      </c>
      <c r="X421" s="217">
        <f>IFERROR(__xludf.DUMMYFUNCTION("""COMPUTED_VALUE"""),84.0)</f>
        <v>84</v>
      </c>
      <c r="Y421" s="217"/>
      <c r="Z421" s="217"/>
      <c r="AA421" s="481">
        <f>IFERROR(__xludf.DUMMYFUNCTION("""COMPUTED_VALUE"""),48.0)</f>
        <v>48</v>
      </c>
      <c r="AB421" s="481">
        <f>IFERROR(__xludf.DUMMYFUNCTION("""COMPUTED_VALUE"""),74.0)</f>
        <v>74</v>
      </c>
      <c r="AC421" s="481">
        <f>IFERROR(__xludf.DUMMYFUNCTION("""COMPUTED_VALUE"""),21.0)</f>
        <v>21</v>
      </c>
      <c r="AD421" s="481">
        <f>IFERROR(__xludf.DUMMYFUNCTION("""COMPUTED_VALUE"""),70.0)</f>
        <v>70</v>
      </c>
      <c r="AE421" s="481">
        <f>IFERROR(__xludf.DUMMYFUNCTION("""COMPUTED_VALUE"""),21.0)</f>
        <v>21</v>
      </c>
      <c r="AF421" s="481"/>
      <c r="AG421" s="481">
        <f>IFERROR(__xludf.DUMMYFUNCTION("""COMPUTED_VALUE"""),48.0)</f>
        <v>48</v>
      </c>
      <c r="AH421" s="481"/>
      <c r="AI421" s="158"/>
      <c r="AJ421" s="158"/>
      <c r="AK421" s="133">
        <f>IFERROR(__xludf.DUMMYFUNCTION("""COMPUTED_VALUE"""),4.0)</f>
        <v>4</v>
      </c>
      <c r="AL421" s="133">
        <f>IFERROR(__xludf.DUMMYFUNCTION("""COMPUTED_VALUE"""),0.0)</f>
        <v>0</v>
      </c>
      <c r="AM421" s="133">
        <f>IFERROR(__xludf.DUMMYFUNCTION("""COMPUTED_VALUE"""),2.0)</f>
        <v>2</v>
      </c>
      <c r="AN421" s="133" t="str">
        <f>IFERROR(__xludf.DUMMYFUNCTION("""COMPUTED_VALUE"""),"3")</f>
        <v>3</v>
      </c>
      <c r="AO421" s="133">
        <f>IFERROR(__xludf.DUMMYFUNCTION("""COMPUTED_VALUE"""),2.0)</f>
        <v>2</v>
      </c>
      <c r="AP421" s="155" t="s">
        <v>3706</v>
      </c>
    </row>
    <row r="422">
      <c r="A422" s="155">
        <f>IFERROR(__xludf.DUMMYFUNCTION("""COMPUTED_VALUE"""),184.0)</f>
        <v>184</v>
      </c>
      <c r="B422" s="155" t="str">
        <f>IFERROR(__xludf.DUMMYFUNCTION("""COMPUTED_VALUE"""),"srv23ise@cmrit.ac.in")</f>
        <v>srv23ise@cmrit.ac.in</v>
      </c>
      <c r="C422" s="174" t="str">
        <f>IFERROR(__xludf.DUMMYFUNCTION("""COMPUTED_VALUE"""),"V SRIYA")</f>
        <v>V SRIYA</v>
      </c>
      <c r="D422" s="155" t="str">
        <f>IFERROR(__xludf.DUMMYFUNCTION("""COMPUTED_VALUE"""),"1CR23IS190")</f>
        <v>1CR23IS190</v>
      </c>
      <c r="E422" s="563">
        <f>IFERROR(__xludf.DUMMYFUNCTION("""COMPUTED_VALUE"""),6.294589873E9)</f>
        <v>6294589873</v>
      </c>
      <c r="F422" s="155" t="str">
        <f>IFERROR(__xludf.DUMMYFUNCTION("""COMPUTED_VALUE"""),"ISE")</f>
        <v>ISE</v>
      </c>
      <c r="G422" s="158"/>
      <c r="H422" s="559">
        <f>IFERROR(__xludf.DUMMYFUNCTION("""COMPUTED_VALUE"""),81.0)</f>
        <v>81</v>
      </c>
      <c r="I422" s="559">
        <f>IFERROR(__xludf.DUMMYFUNCTION("""COMPUTED_VALUE"""),87.0)</f>
        <v>87</v>
      </c>
      <c r="J422" s="559">
        <f>IFERROR(__xludf.DUMMYFUNCTION("""COMPUTED_VALUE"""),81.0)</f>
        <v>81</v>
      </c>
      <c r="K422" s="559">
        <f>IFERROR(__xludf.DUMMYFUNCTION("""COMPUTED_VALUE"""),78.0)</f>
        <v>78</v>
      </c>
      <c r="L422" s="560">
        <f>IFERROR(__xludf.DUMMYFUNCTION("""COMPUTED_VALUE"""),29.0)</f>
        <v>29</v>
      </c>
      <c r="M422" s="561">
        <f>IFERROR(__xludf.DUMMYFUNCTION("""COMPUTED_VALUE"""),61.0)</f>
        <v>61</v>
      </c>
      <c r="N422" s="561">
        <f>IFERROR(__xludf.DUMMYFUNCTION("""COMPUTED_VALUE"""),52.0)</f>
        <v>52</v>
      </c>
      <c r="O422" s="560"/>
      <c r="P422" s="562">
        <f>IFERROR(__xludf.DUMMYFUNCTION("""COMPUTED_VALUE"""),86.0)</f>
        <v>86</v>
      </c>
      <c r="Q422" s="562">
        <f>IFERROR(__xludf.DUMMYFUNCTION("""COMPUTED_VALUE"""),82.0)</f>
        <v>82</v>
      </c>
      <c r="R422" s="562">
        <f>IFERROR(__xludf.DUMMYFUNCTION("""COMPUTED_VALUE"""),93.0)</f>
        <v>93</v>
      </c>
      <c r="S422" s="562"/>
      <c r="T422" s="217">
        <f>IFERROR(__xludf.DUMMYFUNCTION("""COMPUTED_VALUE"""),17.0)</f>
        <v>17</v>
      </c>
      <c r="U422" s="217">
        <f>IFERROR(__xludf.DUMMYFUNCTION("""COMPUTED_VALUE"""),20.0)</f>
        <v>20</v>
      </c>
      <c r="V422" s="217">
        <f>IFERROR(__xludf.DUMMYFUNCTION("""COMPUTED_VALUE"""),44.0)</f>
        <v>44</v>
      </c>
      <c r="W422" s="217">
        <f>IFERROR(__xludf.DUMMYFUNCTION("""COMPUTED_VALUE"""),60.0)</f>
        <v>60</v>
      </c>
      <c r="X422" s="217">
        <f>IFERROR(__xludf.DUMMYFUNCTION("""COMPUTED_VALUE"""),84.0)</f>
        <v>84</v>
      </c>
      <c r="Y422" s="217"/>
      <c r="Z422" s="217"/>
      <c r="AA422" s="481">
        <f>IFERROR(__xludf.DUMMYFUNCTION("""COMPUTED_VALUE"""),64.0)</f>
        <v>64</v>
      </c>
      <c r="AB422" s="481">
        <f>IFERROR(__xludf.DUMMYFUNCTION("""COMPUTED_VALUE"""),96.0)</f>
        <v>96</v>
      </c>
      <c r="AC422" s="481">
        <f>IFERROR(__xludf.DUMMYFUNCTION("""COMPUTED_VALUE"""),62.0)</f>
        <v>62</v>
      </c>
      <c r="AD422" s="481">
        <f>IFERROR(__xludf.DUMMYFUNCTION("""COMPUTED_VALUE"""),3.0)</f>
        <v>3</v>
      </c>
      <c r="AE422" s="481">
        <f>IFERROR(__xludf.DUMMYFUNCTION("""COMPUTED_VALUE"""),35.0)</f>
        <v>35</v>
      </c>
      <c r="AF422" s="481"/>
      <c r="AG422" s="481">
        <f>IFERROR(__xludf.DUMMYFUNCTION("""COMPUTED_VALUE"""),81.0)</f>
        <v>81</v>
      </c>
      <c r="AH422" s="481"/>
      <c r="AI422" s="158"/>
      <c r="AJ422" s="158"/>
      <c r="AK422" s="133">
        <f>IFERROR(__xludf.DUMMYFUNCTION("""COMPUTED_VALUE"""),4.0)</f>
        <v>4</v>
      </c>
      <c r="AL422" s="133">
        <f>IFERROR(__xludf.DUMMYFUNCTION("""COMPUTED_VALUE"""),0.0)</f>
        <v>0</v>
      </c>
      <c r="AM422" s="133">
        <f>IFERROR(__xludf.DUMMYFUNCTION("""COMPUTED_VALUE"""),3.0)</f>
        <v>3</v>
      </c>
      <c r="AN422" s="133" t="str">
        <f>IFERROR(__xludf.DUMMYFUNCTION("""COMPUTED_VALUE"""),"3")</f>
        <v>3</v>
      </c>
      <c r="AO422" s="133">
        <f>IFERROR(__xludf.DUMMYFUNCTION("""COMPUTED_VALUE"""),3.0)</f>
        <v>3</v>
      </c>
      <c r="AP422" s="155" t="s">
        <v>3706</v>
      </c>
    </row>
    <row r="423">
      <c r="A423" s="155">
        <f>IFERROR(__xludf.DUMMYFUNCTION("""COMPUTED_VALUE"""),185.0)</f>
        <v>185</v>
      </c>
      <c r="B423" s="155" t="str">
        <f>IFERROR(__xludf.DUMMYFUNCTION("""COMPUTED_VALUE"""),"vara23ise@cmrit.ac.in")</f>
        <v>vara23ise@cmrit.ac.in</v>
      </c>
      <c r="C423" s="174" t="str">
        <f>IFERROR(__xludf.DUMMYFUNCTION("""COMPUTED_VALUE"""),"VAISHNO RAJ")</f>
        <v>VAISHNO RAJ</v>
      </c>
      <c r="D423" s="155" t="str">
        <f>IFERROR(__xludf.DUMMYFUNCTION("""COMPUTED_VALUE"""),"1CR23IS191")</f>
        <v>1CR23IS191</v>
      </c>
      <c r="E423" s="563">
        <f>IFERROR(__xludf.DUMMYFUNCTION("""COMPUTED_VALUE"""),9.113184979E9)</f>
        <v>9113184979</v>
      </c>
      <c r="F423" s="155" t="str">
        <f>IFERROR(__xludf.DUMMYFUNCTION("""COMPUTED_VALUE"""),"ISE")</f>
        <v>ISE</v>
      </c>
      <c r="G423" s="158"/>
      <c r="H423" s="559">
        <f>IFERROR(__xludf.DUMMYFUNCTION("""COMPUTED_VALUE"""),78.0)</f>
        <v>78</v>
      </c>
      <c r="I423" s="559">
        <f>IFERROR(__xludf.DUMMYFUNCTION("""COMPUTED_VALUE"""),76.0)</f>
        <v>76</v>
      </c>
      <c r="J423" s="559">
        <f>IFERROR(__xludf.DUMMYFUNCTION("""COMPUTED_VALUE"""),17.0)</f>
        <v>17</v>
      </c>
      <c r="K423" s="559">
        <f>IFERROR(__xludf.DUMMYFUNCTION("""COMPUTED_VALUE"""),33.0)</f>
        <v>33</v>
      </c>
      <c r="L423" s="560">
        <f>IFERROR(__xludf.DUMMYFUNCTION("""COMPUTED_VALUE"""),27.0)</f>
        <v>27</v>
      </c>
      <c r="M423" s="561">
        <f>IFERROR(__xludf.DUMMYFUNCTION("""COMPUTED_VALUE"""),61.0)</f>
        <v>61</v>
      </c>
      <c r="N423" s="561">
        <f>IFERROR(__xludf.DUMMYFUNCTION("""COMPUTED_VALUE"""),20.0)</f>
        <v>20</v>
      </c>
      <c r="O423" s="560"/>
      <c r="P423" s="562">
        <f>IFERROR(__xludf.DUMMYFUNCTION("""COMPUTED_VALUE"""),81.0)</f>
        <v>81</v>
      </c>
      <c r="Q423" s="562">
        <f>IFERROR(__xludf.DUMMYFUNCTION("""COMPUTED_VALUE"""),0.0)</f>
        <v>0</v>
      </c>
      <c r="R423" s="562">
        <f>IFERROR(__xludf.DUMMYFUNCTION("""COMPUTED_VALUE"""),0.0)</f>
        <v>0</v>
      </c>
      <c r="S423" s="562"/>
      <c r="T423" s="217">
        <f>IFERROR(__xludf.DUMMYFUNCTION("""COMPUTED_VALUE"""),18.0)</f>
        <v>18</v>
      </c>
      <c r="U423" s="217">
        <f>IFERROR(__xludf.DUMMYFUNCTION("""COMPUTED_VALUE"""),22.0)</f>
        <v>22</v>
      </c>
      <c r="V423" s="217">
        <f>IFERROR(__xludf.DUMMYFUNCTION("""COMPUTED_VALUE"""),46.0)</f>
        <v>46</v>
      </c>
      <c r="W423" s="217">
        <f>IFERROR(__xludf.DUMMYFUNCTION("""COMPUTED_VALUE"""),20.0)</f>
        <v>20</v>
      </c>
      <c r="X423" s="217">
        <f>IFERROR(__xludf.DUMMYFUNCTION("""COMPUTED_VALUE"""),92.0)</f>
        <v>92</v>
      </c>
      <c r="Y423" s="217"/>
      <c r="Z423" s="217"/>
      <c r="AA423" s="481">
        <f>IFERROR(__xludf.DUMMYFUNCTION("""COMPUTED_VALUE"""),0.0)</f>
        <v>0</v>
      </c>
      <c r="AB423" s="481">
        <f>IFERROR(__xludf.DUMMYFUNCTION("""COMPUTED_VALUE"""),54.0)</f>
        <v>54</v>
      </c>
      <c r="AC423" s="481">
        <f>IFERROR(__xludf.DUMMYFUNCTION("""COMPUTED_VALUE"""),0.0)</f>
        <v>0</v>
      </c>
      <c r="AD423" s="481">
        <f>IFERROR(__xludf.DUMMYFUNCTION("""COMPUTED_VALUE"""),3.0)</f>
        <v>3</v>
      </c>
      <c r="AE423" s="481">
        <f>IFERROR(__xludf.DUMMYFUNCTION("""COMPUTED_VALUE"""),10.0)</f>
        <v>10</v>
      </c>
      <c r="AF423" s="481"/>
      <c r="AG423" s="481">
        <f>IFERROR(__xludf.DUMMYFUNCTION("""COMPUTED_VALUE"""),16.0)</f>
        <v>16</v>
      </c>
      <c r="AH423" s="481"/>
      <c r="AI423" s="158"/>
      <c r="AJ423" s="158"/>
      <c r="AK423" s="133">
        <f>IFERROR(__xludf.DUMMYFUNCTION("""COMPUTED_VALUE"""),2.0)</f>
        <v>2</v>
      </c>
      <c r="AL423" s="133">
        <f>IFERROR(__xludf.DUMMYFUNCTION("""COMPUTED_VALUE"""),0.0)</f>
        <v>0</v>
      </c>
      <c r="AM423" s="133">
        <f>IFERROR(__xludf.DUMMYFUNCTION("""COMPUTED_VALUE"""),2.0)</f>
        <v>2</v>
      </c>
      <c r="AN423" s="133" t="str">
        <f>IFERROR(__xludf.DUMMYFUNCTION("""COMPUTED_VALUE"""),"2")</f>
        <v>2</v>
      </c>
      <c r="AO423" s="133">
        <f>IFERROR(__xludf.DUMMYFUNCTION("""COMPUTED_VALUE"""),1.0)</f>
        <v>1</v>
      </c>
      <c r="AP423" s="155" t="s">
        <v>3706</v>
      </c>
    </row>
    <row r="424">
      <c r="A424" s="155">
        <f>IFERROR(__xludf.DUMMYFUNCTION("""COMPUTED_VALUE"""),186.0)</f>
        <v>186</v>
      </c>
      <c r="B424" s="155" t="str">
        <f>IFERROR(__xludf.DUMMYFUNCTION("""COMPUTED_VALUE"""),"van23ise@cmrit.ac.in")</f>
        <v>van23ise@cmrit.ac.in</v>
      </c>
      <c r="C424" s="174" t="str">
        <f>IFERROR(__xludf.DUMMYFUNCTION("""COMPUTED_VALUE"""),"varshini n")</f>
        <v>varshini n</v>
      </c>
      <c r="D424" s="155" t="str">
        <f>IFERROR(__xludf.DUMMYFUNCTION("""COMPUTED_VALUE"""),"1CR23IS192")</f>
        <v>1CR23IS192</v>
      </c>
      <c r="E424" s="563">
        <f>IFERROR(__xludf.DUMMYFUNCTION("""COMPUTED_VALUE"""),9.90176736E9)</f>
        <v>9901767360</v>
      </c>
      <c r="F424" s="155" t="str">
        <f>IFERROR(__xludf.DUMMYFUNCTION("""COMPUTED_VALUE"""),"ISE")</f>
        <v>ISE</v>
      </c>
      <c r="G424" s="158"/>
      <c r="H424" s="559">
        <f>IFERROR(__xludf.DUMMYFUNCTION("""COMPUTED_VALUE"""),84.0)</f>
        <v>84</v>
      </c>
      <c r="I424" s="559">
        <f>IFERROR(__xludf.DUMMYFUNCTION("""COMPUTED_VALUE"""),90.0)</f>
        <v>90</v>
      </c>
      <c r="J424" s="559">
        <f>IFERROR(__xludf.DUMMYFUNCTION("""COMPUTED_VALUE"""),73.0)</f>
        <v>73</v>
      </c>
      <c r="K424" s="559">
        <f>IFERROR(__xludf.DUMMYFUNCTION("""COMPUTED_VALUE"""),74.0)</f>
        <v>74</v>
      </c>
      <c r="L424" s="560">
        <f>IFERROR(__xludf.DUMMYFUNCTION("""COMPUTED_VALUE"""),50.0)</f>
        <v>50</v>
      </c>
      <c r="M424" s="561">
        <f>IFERROR(__xludf.DUMMYFUNCTION("""COMPUTED_VALUE"""),48.0)</f>
        <v>48</v>
      </c>
      <c r="N424" s="561">
        <f>IFERROR(__xludf.DUMMYFUNCTION("""COMPUTED_VALUE"""),56.0)</f>
        <v>56</v>
      </c>
      <c r="O424" s="560"/>
      <c r="P424" s="562">
        <f>IFERROR(__xludf.DUMMYFUNCTION("""COMPUTED_VALUE"""),68.0)</f>
        <v>68</v>
      </c>
      <c r="Q424" s="562">
        <f>IFERROR(__xludf.DUMMYFUNCTION("""COMPUTED_VALUE"""),78.0)</f>
        <v>78</v>
      </c>
      <c r="R424" s="562">
        <f>IFERROR(__xludf.DUMMYFUNCTION("""COMPUTED_VALUE"""),93.0)</f>
        <v>93</v>
      </c>
      <c r="S424" s="562"/>
      <c r="T424" s="217">
        <f>IFERROR(__xludf.DUMMYFUNCTION("""COMPUTED_VALUE"""),11.0)</f>
        <v>11</v>
      </c>
      <c r="U424" s="217">
        <f>IFERROR(__xludf.DUMMYFUNCTION("""COMPUTED_VALUE"""),19.0)</f>
        <v>19</v>
      </c>
      <c r="V424" s="217">
        <f>IFERROR(__xludf.DUMMYFUNCTION("""COMPUTED_VALUE"""),44.0)</f>
        <v>44</v>
      </c>
      <c r="W424" s="217">
        <f>IFERROR(__xludf.DUMMYFUNCTION("""COMPUTED_VALUE"""),44.0)</f>
        <v>44</v>
      </c>
      <c r="X424" s="217">
        <f>IFERROR(__xludf.DUMMYFUNCTION("""COMPUTED_VALUE"""),80.0)</f>
        <v>80</v>
      </c>
      <c r="Y424" s="217"/>
      <c r="Z424" s="217"/>
      <c r="AA424" s="481">
        <f>IFERROR(__xludf.DUMMYFUNCTION("""COMPUTED_VALUE"""),88.0)</f>
        <v>88</v>
      </c>
      <c r="AB424" s="481">
        <f>IFERROR(__xludf.DUMMYFUNCTION("""COMPUTED_VALUE"""),100.0)</f>
        <v>100</v>
      </c>
      <c r="AC424" s="481">
        <f>IFERROR(__xludf.DUMMYFUNCTION("""COMPUTED_VALUE"""),62.0)</f>
        <v>62</v>
      </c>
      <c r="AD424" s="481">
        <f>IFERROR(__xludf.DUMMYFUNCTION("""COMPUTED_VALUE"""),70.0)</f>
        <v>70</v>
      </c>
      <c r="AE424" s="481">
        <f>IFERROR(__xludf.DUMMYFUNCTION("""COMPUTED_VALUE"""),70.0)</f>
        <v>70</v>
      </c>
      <c r="AF424" s="481"/>
      <c r="AG424" s="481">
        <f>IFERROR(__xludf.DUMMYFUNCTION("""COMPUTED_VALUE"""),87.0)</f>
        <v>87</v>
      </c>
      <c r="AH424" s="481"/>
      <c r="AI424" s="158"/>
      <c r="AJ424" s="158"/>
      <c r="AK424" s="133">
        <f>IFERROR(__xludf.DUMMYFUNCTION("""COMPUTED_VALUE"""),4.0)</f>
        <v>4</v>
      </c>
      <c r="AL424" s="133">
        <f>IFERROR(__xludf.DUMMYFUNCTION("""COMPUTED_VALUE"""),1.0)</f>
        <v>1</v>
      </c>
      <c r="AM424" s="133">
        <f>IFERROR(__xludf.DUMMYFUNCTION("""COMPUTED_VALUE"""),2.0)</f>
        <v>2</v>
      </c>
      <c r="AN424" s="133" t="str">
        <f>IFERROR(__xludf.DUMMYFUNCTION("""COMPUTED_VALUE"""),"3.5")</f>
        <v>3.5</v>
      </c>
      <c r="AO424" s="133">
        <f>IFERROR(__xludf.DUMMYFUNCTION("""COMPUTED_VALUE"""),3.0)</f>
        <v>3</v>
      </c>
      <c r="AP424" s="155" t="s">
        <v>3706</v>
      </c>
    </row>
    <row r="425">
      <c r="A425" s="155">
        <f>IFERROR(__xludf.DUMMYFUNCTION("""COMPUTED_VALUE"""),187.0)</f>
        <v>187</v>
      </c>
      <c r="B425" s="155" t="str">
        <f>IFERROR(__xludf.DUMMYFUNCTION("""COMPUTED_VALUE"""),"vegu23ise@cmrit.ac.in")</f>
        <v>vegu23ise@cmrit.ac.in</v>
      </c>
      <c r="C425" s="174" t="str">
        <f>IFERROR(__xludf.DUMMYFUNCTION("""COMPUTED_VALUE"""),"VEDANT GUPTA")</f>
        <v>VEDANT GUPTA</v>
      </c>
      <c r="D425" s="155" t="str">
        <f>IFERROR(__xludf.DUMMYFUNCTION("""COMPUTED_VALUE"""),"1CR23IS193")</f>
        <v>1CR23IS193</v>
      </c>
      <c r="E425" s="563">
        <f>IFERROR(__xludf.DUMMYFUNCTION("""COMPUTED_VALUE"""),8.828268843E9)</f>
        <v>8828268843</v>
      </c>
      <c r="F425" s="155" t="str">
        <f>IFERROR(__xludf.DUMMYFUNCTION("""COMPUTED_VALUE"""),"ISE")</f>
        <v>ISE</v>
      </c>
      <c r="G425" s="158"/>
      <c r="H425" s="559">
        <f>IFERROR(__xludf.DUMMYFUNCTION("""COMPUTED_VALUE"""),80.0)</f>
        <v>80</v>
      </c>
      <c r="I425" s="559">
        <f>IFERROR(__xludf.DUMMYFUNCTION("""COMPUTED_VALUE"""),83.0)</f>
        <v>83</v>
      </c>
      <c r="J425" s="559">
        <f>IFERROR(__xludf.DUMMYFUNCTION("""COMPUTED_VALUE"""),70.0)</f>
        <v>70</v>
      </c>
      <c r="K425" s="559">
        <f>IFERROR(__xludf.DUMMYFUNCTION("""COMPUTED_VALUE"""),70.0)</f>
        <v>70</v>
      </c>
      <c r="L425" s="560">
        <f>IFERROR(__xludf.DUMMYFUNCTION("""COMPUTED_VALUE"""),50.0)</f>
        <v>50</v>
      </c>
      <c r="M425" s="561">
        <f>IFERROR(__xludf.DUMMYFUNCTION("""COMPUTED_VALUE"""),54.0)</f>
        <v>54</v>
      </c>
      <c r="N425" s="561">
        <f>IFERROR(__xludf.DUMMYFUNCTION("""COMPUTED_VALUE"""),63.0)</f>
        <v>63</v>
      </c>
      <c r="O425" s="560"/>
      <c r="P425" s="562">
        <f>IFERROR(__xludf.DUMMYFUNCTION("""COMPUTED_VALUE"""),73.0)</f>
        <v>73</v>
      </c>
      <c r="Q425" s="562">
        <f>IFERROR(__xludf.DUMMYFUNCTION("""COMPUTED_VALUE"""),63.0)</f>
        <v>63</v>
      </c>
      <c r="R425" s="562">
        <f>IFERROR(__xludf.DUMMYFUNCTION("""COMPUTED_VALUE"""),90.0)</f>
        <v>90</v>
      </c>
      <c r="S425" s="562"/>
      <c r="T425" s="217">
        <f>IFERROR(__xludf.DUMMYFUNCTION("""COMPUTED_VALUE"""),13.0)</f>
        <v>13</v>
      </c>
      <c r="U425" s="217">
        <f>IFERROR(__xludf.DUMMYFUNCTION("""COMPUTED_VALUE"""),23.0)</f>
        <v>23</v>
      </c>
      <c r="V425" s="217">
        <f>IFERROR(__xludf.DUMMYFUNCTION("""COMPUTED_VALUE"""),44.0)</f>
        <v>44</v>
      </c>
      <c r="W425" s="217">
        <f>IFERROR(__xludf.DUMMYFUNCTION("""COMPUTED_VALUE"""),32.0)</f>
        <v>32</v>
      </c>
      <c r="X425" s="217">
        <f>IFERROR(__xludf.DUMMYFUNCTION("""COMPUTED_VALUE"""),80.0)</f>
        <v>80</v>
      </c>
      <c r="Y425" s="217"/>
      <c r="Z425" s="217"/>
      <c r="AA425" s="481">
        <f>IFERROR(__xludf.DUMMYFUNCTION("""COMPUTED_VALUE"""),80.0)</f>
        <v>80</v>
      </c>
      <c r="AB425" s="481">
        <f>IFERROR(__xludf.DUMMYFUNCTION("""COMPUTED_VALUE"""),53.0)</f>
        <v>53</v>
      </c>
      <c r="AC425" s="481">
        <f>IFERROR(__xludf.DUMMYFUNCTION("""COMPUTED_VALUE"""),32.0)</f>
        <v>32</v>
      </c>
      <c r="AD425" s="481">
        <f>IFERROR(__xludf.DUMMYFUNCTION("""COMPUTED_VALUE"""),60.0)</f>
        <v>60</v>
      </c>
      <c r="AE425" s="481">
        <f>IFERROR(__xludf.DUMMYFUNCTION("""COMPUTED_VALUE"""),82.0)</f>
        <v>82</v>
      </c>
      <c r="AF425" s="481"/>
      <c r="AG425" s="481">
        <f>IFERROR(__xludf.DUMMYFUNCTION("""COMPUTED_VALUE"""),82.0)</f>
        <v>82</v>
      </c>
      <c r="AH425" s="481"/>
      <c r="AI425" s="158"/>
      <c r="AJ425" s="158"/>
      <c r="AK425" s="133">
        <f>IFERROR(__xludf.DUMMYFUNCTION("""COMPUTED_VALUE"""),4.0)</f>
        <v>4</v>
      </c>
      <c r="AL425" s="133">
        <f>IFERROR(__xludf.DUMMYFUNCTION("""COMPUTED_VALUE"""),3.0)</f>
        <v>3</v>
      </c>
      <c r="AM425" s="133">
        <f>IFERROR(__xludf.DUMMYFUNCTION("""COMPUTED_VALUE"""),2.0)</f>
        <v>2</v>
      </c>
      <c r="AN425" s="133" t="str">
        <f>IFERROR(__xludf.DUMMYFUNCTION("""COMPUTED_VALUE"""),"3.5")</f>
        <v>3.5</v>
      </c>
      <c r="AO425" s="133">
        <f>IFERROR(__xludf.DUMMYFUNCTION("""COMPUTED_VALUE"""),3.0)</f>
        <v>3</v>
      </c>
      <c r="AP425" s="155" t="s">
        <v>3706</v>
      </c>
    </row>
    <row r="426">
      <c r="A426" s="155">
        <f>IFERROR(__xludf.DUMMYFUNCTION("""COMPUTED_VALUE"""),188.0)</f>
        <v>188</v>
      </c>
      <c r="B426" s="155" t="str">
        <f>IFERROR(__xludf.DUMMYFUNCTION("""COMPUTED_VALUE"""),"vith23ise@cmrit.ac.in")</f>
        <v>vith23ise@cmrit.ac.in</v>
      </c>
      <c r="C426" s="174" t="str">
        <f>IFERROR(__xludf.DUMMYFUNCTION("""COMPUTED_VALUE"""),"VIKRANTH THANIKANTI")</f>
        <v>VIKRANTH THANIKANTI</v>
      </c>
      <c r="D426" s="155" t="str">
        <f>IFERROR(__xludf.DUMMYFUNCTION("""COMPUTED_VALUE"""),"1CR23IS195")</f>
        <v>1CR23IS195</v>
      </c>
      <c r="E426" s="563">
        <f>IFERROR(__xludf.DUMMYFUNCTION("""COMPUTED_VALUE"""),9.392262238E9)</f>
        <v>9392262238</v>
      </c>
      <c r="F426" s="155" t="str">
        <f>IFERROR(__xludf.DUMMYFUNCTION("""COMPUTED_VALUE"""),"ISE")</f>
        <v>ISE</v>
      </c>
      <c r="G426" s="158"/>
      <c r="H426" s="559">
        <f>IFERROR(__xludf.DUMMYFUNCTION("""COMPUTED_VALUE"""),74.0)</f>
        <v>74</v>
      </c>
      <c r="I426" s="559">
        <f>IFERROR(__xludf.DUMMYFUNCTION("""COMPUTED_VALUE"""),88.0)</f>
        <v>88</v>
      </c>
      <c r="J426" s="559">
        <f>IFERROR(__xludf.DUMMYFUNCTION("""COMPUTED_VALUE"""),88.0)</f>
        <v>88</v>
      </c>
      <c r="K426" s="559">
        <f>IFERROR(__xludf.DUMMYFUNCTION("""COMPUTED_VALUE"""),75.0)</f>
        <v>75</v>
      </c>
      <c r="L426" s="560">
        <f>IFERROR(__xludf.DUMMYFUNCTION("""COMPUTED_VALUE"""),50.0)</f>
        <v>50</v>
      </c>
      <c r="M426" s="561">
        <f>IFERROR(__xludf.DUMMYFUNCTION("""COMPUTED_VALUE"""),44.0)</f>
        <v>44</v>
      </c>
      <c r="N426" s="561">
        <f>IFERROR(__xludf.DUMMYFUNCTION("""COMPUTED_VALUE"""),63.0)</f>
        <v>63</v>
      </c>
      <c r="O426" s="560"/>
      <c r="P426" s="562">
        <f>IFERROR(__xludf.DUMMYFUNCTION("""COMPUTED_VALUE"""),73.0)</f>
        <v>73</v>
      </c>
      <c r="Q426" s="562">
        <f>IFERROR(__xludf.DUMMYFUNCTION("""COMPUTED_VALUE"""),65.0)</f>
        <v>65</v>
      </c>
      <c r="R426" s="562">
        <f>IFERROR(__xludf.DUMMYFUNCTION("""COMPUTED_VALUE"""),92.0)</f>
        <v>92</v>
      </c>
      <c r="S426" s="562"/>
      <c r="T426" s="217"/>
      <c r="U426" s="217">
        <f>IFERROR(__xludf.DUMMYFUNCTION("""COMPUTED_VALUE"""),20.0)</f>
        <v>20</v>
      </c>
      <c r="V426" s="217"/>
      <c r="W426" s="217">
        <f>IFERROR(__xludf.DUMMYFUNCTION("""COMPUTED_VALUE"""),50.0)</f>
        <v>50</v>
      </c>
      <c r="X426" s="217">
        <f>IFERROR(__xludf.DUMMYFUNCTION("""COMPUTED_VALUE"""),80.0)</f>
        <v>80</v>
      </c>
      <c r="Y426" s="217"/>
      <c r="Z426" s="217"/>
      <c r="AA426" s="481">
        <f>IFERROR(__xludf.DUMMYFUNCTION("""COMPUTED_VALUE"""),4.0)</f>
        <v>4</v>
      </c>
      <c r="AB426" s="481">
        <f>IFERROR(__xludf.DUMMYFUNCTION("""COMPUTED_VALUE"""),97.0)</f>
        <v>97</v>
      </c>
      <c r="AC426" s="481">
        <f>IFERROR(__xludf.DUMMYFUNCTION("""COMPUTED_VALUE"""),69.0)</f>
        <v>69</v>
      </c>
      <c r="AD426" s="481">
        <f>IFERROR(__xludf.DUMMYFUNCTION("""COMPUTED_VALUE"""),70.0)</f>
        <v>70</v>
      </c>
      <c r="AE426" s="481">
        <f>IFERROR(__xludf.DUMMYFUNCTION("""COMPUTED_VALUE"""),85.0)</f>
        <v>85</v>
      </c>
      <c r="AF426" s="481"/>
      <c r="AG426" s="481">
        <f>IFERROR(__xludf.DUMMYFUNCTION("""COMPUTED_VALUE"""),74.0)</f>
        <v>74</v>
      </c>
      <c r="AH426" s="481"/>
      <c r="AI426" s="158"/>
      <c r="AJ426" s="158"/>
      <c r="AK426" s="133">
        <f>IFERROR(__xludf.DUMMYFUNCTION("""COMPUTED_VALUE"""),4.0)</f>
        <v>4</v>
      </c>
      <c r="AL426" s="133">
        <f>IFERROR(__xludf.DUMMYFUNCTION("""COMPUTED_VALUE"""),1.0)</f>
        <v>1</v>
      </c>
      <c r="AM426" s="133">
        <f>IFERROR(__xludf.DUMMYFUNCTION("""COMPUTED_VALUE"""),3.0)</f>
        <v>3</v>
      </c>
      <c r="AN426" s="133" t="str">
        <f>IFERROR(__xludf.DUMMYFUNCTION("""COMPUTED_VALUE"""),"3.5")</f>
        <v>3.5</v>
      </c>
      <c r="AO426" s="133">
        <f>IFERROR(__xludf.DUMMYFUNCTION("""COMPUTED_VALUE"""),3.0)</f>
        <v>3</v>
      </c>
      <c r="AP426" s="155" t="s">
        <v>3706</v>
      </c>
    </row>
    <row r="427">
      <c r="A427" s="155">
        <f>IFERROR(__xludf.DUMMYFUNCTION("""COMPUTED_VALUE"""),189.0)</f>
        <v>189</v>
      </c>
      <c r="B427" s="155" t="str">
        <f>IFERROR(__xludf.DUMMYFUNCTION("""COMPUTED_VALUE"""),"vimi23ise@cmrit.ac.in")</f>
        <v>vimi23ise@cmrit.ac.in</v>
      </c>
      <c r="C427" s="174" t="str">
        <f>IFERROR(__xludf.DUMMYFUNCTION("""COMPUTED_VALUE"""),"VINAYAK MISHRA")</f>
        <v>VINAYAK MISHRA</v>
      </c>
      <c r="D427" s="155" t="str">
        <f>IFERROR(__xludf.DUMMYFUNCTION("""COMPUTED_VALUE"""),"1CR23IS196")</f>
        <v>1CR23IS196</v>
      </c>
      <c r="E427" s="563">
        <f>IFERROR(__xludf.DUMMYFUNCTION("""COMPUTED_VALUE"""),7.992474956E9)</f>
        <v>7992474956</v>
      </c>
      <c r="F427" s="155" t="str">
        <f>IFERROR(__xludf.DUMMYFUNCTION("""COMPUTED_VALUE"""),"ISE")</f>
        <v>ISE</v>
      </c>
      <c r="G427" s="158"/>
      <c r="H427" s="559">
        <f>IFERROR(__xludf.DUMMYFUNCTION("""COMPUTED_VALUE"""),83.0)</f>
        <v>83</v>
      </c>
      <c r="I427" s="559">
        <f>IFERROR(__xludf.DUMMYFUNCTION("""COMPUTED_VALUE"""),84.0)</f>
        <v>84</v>
      </c>
      <c r="J427" s="559">
        <f>IFERROR(__xludf.DUMMYFUNCTION("""COMPUTED_VALUE"""),78.0)</f>
        <v>78</v>
      </c>
      <c r="K427" s="559">
        <f>IFERROR(__xludf.DUMMYFUNCTION("""COMPUTED_VALUE"""),83.0)</f>
        <v>83</v>
      </c>
      <c r="L427" s="560">
        <f>IFERROR(__xludf.DUMMYFUNCTION("""COMPUTED_VALUE"""),70.0)</f>
        <v>70</v>
      </c>
      <c r="M427" s="561">
        <f>IFERROR(__xludf.DUMMYFUNCTION("""COMPUTED_VALUE"""),69.0)</f>
        <v>69</v>
      </c>
      <c r="N427" s="561">
        <f>IFERROR(__xludf.DUMMYFUNCTION("""COMPUTED_VALUE"""),65.0)</f>
        <v>65</v>
      </c>
      <c r="O427" s="560"/>
      <c r="P427" s="562">
        <f>IFERROR(__xludf.DUMMYFUNCTION("""COMPUTED_VALUE"""),73.0)</f>
        <v>73</v>
      </c>
      <c r="Q427" s="562">
        <f>IFERROR(__xludf.DUMMYFUNCTION("""COMPUTED_VALUE"""),65.0)</f>
        <v>65</v>
      </c>
      <c r="R427" s="562">
        <f>IFERROR(__xludf.DUMMYFUNCTION("""COMPUTED_VALUE"""),89.0)</f>
        <v>89</v>
      </c>
      <c r="S427" s="562"/>
      <c r="T427" s="217">
        <f>IFERROR(__xludf.DUMMYFUNCTION("""COMPUTED_VALUE"""),11.0)</f>
        <v>11</v>
      </c>
      <c r="U427" s="217">
        <f>IFERROR(__xludf.DUMMYFUNCTION("""COMPUTED_VALUE"""),24.0)</f>
        <v>24</v>
      </c>
      <c r="V427" s="217">
        <f>IFERROR(__xludf.DUMMYFUNCTION("""COMPUTED_VALUE"""),40.0)</f>
        <v>40</v>
      </c>
      <c r="W427" s="217">
        <f>IFERROR(__xludf.DUMMYFUNCTION("""COMPUTED_VALUE"""),50.0)</f>
        <v>50</v>
      </c>
      <c r="X427" s="217">
        <f>IFERROR(__xludf.DUMMYFUNCTION("""COMPUTED_VALUE"""),84.0)</f>
        <v>84</v>
      </c>
      <c r="Y427" s="217"/>
      <c r="Z427" s="217"/>
      <c r="AA427" s="481">
        <f>IFERROR(__xludf.DUMMYFUNCTION("""COMPUTED_VALUE"""),100.0)</f>
        <v>100</v>
      </c>
      <c r="AB427" s="481">
        <f>IFERROR(__xludf.DUMMYFUNCTION("""COMPUTED_VALUE"""),96.0)</f>
        <v>96</v>
      </c>
      <c r="AC427" s="481">
        <f>IFERROR(__xludf.DUMMYFUNCTION("""COMPUTED_VALUE"""),98.0)</f>
        <v>98</v>
      </c>
      <c r="AD427" s="481">
        <f>IFERROR(__xludf.DUMMYFUNCTION("""COMPUTED_VALUE"""),79.0)</f>
        <v>79</v>
      </c>
      <c r="AE427" s="481">
        <f>IFERROR(__xludf.DUMMYFUNCTION("""COMPUTED_VALUE"""),78.0)</f>
        <v>78</v>
      </c>
      <c r="AF427" s="481"/>
      <c r="AG427" s="481">
        <f>IFERROR(__xludf.DUMMYFUNCTION("""COMPUTED_VALUE"""),82.0)</f>
        <v>82</v>
      </c>
      <c r="AH427" s="481"/>
      <c r="AI427" s="158"/>
      <c r="AJ427" s="158"/>
      <c r="AK427" s="133">
        <f>IFERROR(__xludf.DUMMYFUNCTION("""COMPUTED_VALUE"""),4.0)</f>
        <v>4</v>
      </c>
      <c r="AL427" s="133">
        <f>IFERROR(__xludf.DUMMYFUNCTION("""COMPUTED_VALUE"""),3.0)</f>
        <v>3</v>
      </c>
      <c r="AM427" s="133">
        <f>IFERROR(__xludf.DUMMYFUNCTION("""COMPUTED_VALUE"""),3.0)</f>
        <v>3</v>
      </c>
      <c r="AN427" s="133" t="str">
        <f>IFERROR(__xludf.DUMMYFUNCTION("""COMPUTED_VALUE"""),"3.5")</f>
        <v>3.5</v>
      </c>
      <c r="AO427" s="133">
        <f>IFERROR(__xludf.DUMMYFUNCTION("""COMPUTED_VALUE"""),3.0)</f>
        <v>3</v>
      </c>
      <c r="AP427" s="155" t="s">
        <v>3706</v>
      </c>
    </row>
    <row r="428">
      <c r="A428" s="155">
        <f>IFERROR(__xludf.DUMMYFUNCTION("""COMPUTED_VALUE"""),190.0)</f>
        <v>190</v>
      </c>
      <c r="B428" s="155" t="str">
        <f>IFERROR(__xludf.DUMMYFUNCTION("""COMPUTED_VALUE"""),"viku23ise@cmrit.ac.in")</f>
        <v>viku23ise@cmrit.ac.in</v>
      </c>
      <c r="C428" s="174" t="str">
        <f>IFERROR(__xludf.DUMMYFUNCTION("""COMPUTED_VALUE"""),"VISHNU S KUMAR")</f>
        <v>VISHNU S KUMAR</v>
      </c>
      <c r="D428" s="155" t="str">
        <f>IFERROR(__xludf.DUMMYFUNCTION("""COMPUTED_VALUE"""),"1CR23IS197")</f>
        <v>1CR23IS197</v>
      </c>
      <c r="E428" s="563">
        <f>IFERROR(__xludf.DUMMYFUNCTION("""COMPUTED_VALUE"""),7.259423738E9)</f>
        <v>7259423738</v>
      </c>
      <c r="F428" s="155" t="str">
        <f>IFERROR(__xludf.DUMMYFUNCTION("""COMPUTED_VALUE"""),"ISE")</f>
        <v>ISE</v>
      </c>
      <c r="G428" s="158"/>
      <c r="H428" s="559">
        <f>IFERROR(__xludf.DUMMYFUNCTION("""COMPUTED_VALUE"""),66.0)</f>
        <v>66</v>
      </c>
      <c r="I428" s="559">
        <f>IFERROR(__xludf.DUMMYFUNCTION("""COMPUTED_VALUE"""),81.0)</f>
        <v>81</v>
      </c>
      <c r="J428" s="559">
        <f>IFERROR(__xludf.DUMMYFUNCTION("""COMPUTED_VALUE"""),37.0)</f>
        <v>37</v>
      </c>
      <c r="K428" s="559">
        <f>IFERROR(__xludf.DUMMYFUNCTION("""COMPUTED_VALUE"""),43.0)</f>
        <v>43</v>
      </c>
      <c r="L428" s="560">
        <f>IFERROR(__xludf.DUMMYFUNCTION("""COMPUTED_VALUE"""),24.0)</f>
        <v>24</v>
      </c>
      <c r="M428" s="561">
        <f>IFERROR(__xludf.DUMMYFUNCTION("""COMPUTED_VALUE"""),5.0)</f>
        <v>5</v>
      </c>
      <c r="N428" s="561">
        <f>IFERROR(__xludf.DUMMYFUNCTION("""COMPUTED_VALUE"""),0.0)</f>
        <v>0</v>
      </c>
      <c r="O428" s="560"/>
      <c r="P428" s="562">
        <f>IFERROR(__xludf.DUMMYFUNCTION("""COMPUTED_VALUE"""),82.0)</f>
        <v>82</v>
      </c>
      <c r="Q428" s="562">
        <f>IFERROR(__xludf.DUMMYFUNCTION("""COMPUTED_VALUE"""),0.0)</f>
        <v>0</v>
      </c>
      <c r="R428" s="562">
        <f>IFERROR(__xludf.DUMMYFUNCTION("""COMPUTED_VALUE"""),0.0)</f>
        <v>0</v>
      </c>
      <c r="S428" s="562"/>
      <c r="T428" s="217">
        <f>IFERROR(__xludf.DUMMYFUNCTION("""COMPUTED_VALUE"""),10.0)</f>
        <v>10</v>
      </c>
      <c r="U428" s="217">
        <f>IFERROR(__xludf.DUMMYFUNCTION("""COMPUTED_VALUE"""),6.0)</f>
        <v>6</v>
      </c>
      <c r="V428" s="217"/>
      <c r="W428" s="217"/>
      <c r="X428" s="217">
        <f>IFERROR(__xludf.DUMMYFUNCTION("""COMPUTED_VALUE"""),0.0)</f>
        <v>0</v>
      </c>
      <c r="Y428" s="217"/>
      <c r="Z428" s="217"/>
      <c r="AA428" s="481">
        <f>IFERROR(__xludf.DUMMYFUNCTION("""COMPUTED_VALUE"""),26.0)</f>
        <v>26</v>
      </c>
      <c r="AB428" s="481">
        <f>IFERROR(__xludf.DUMMYFUNCTION("""COMPUTED_VALUE"""),48.0)</f>
        <v>48</v>
      </c>
      <c r="AC428" s="481">
        <f>IFERROR(__xludf.DUMMYFUNCTION("""COMPUTED_VALUE"""),6.0)</f>
        <v>6</v>
      </c>
      <c r="AD428" s="481">
        <f>IFERROR(__xludf.DUMMYFUNCTION("""COMPUTED_VALUE"""),0.0)</f>
        <v>0</v>
      </c>
      <c r="AE428" s="481">
        <f>IFERROR(__xludf.DUMMYFUNCTION("""COMPUTED_VALUE"""),10.0)</f>
        <v>10</v>
      </c>
      <c r="AF428" s="481"/>
      <c r="AG428" s="481">
        <f>IFERROR(__xludf.DUMMYFUNCTION("""COMPUTED_VALUE"""),0.0)</f>
        <v>0</v>
      </c>
      <c r="AH428" s="481"/>
      <c r="AI428" s="158"/>
      <c r="AJ428" s="158"/>
      <c r="AK428" s="133">
        <f>IFERROR(__xludf.DUMMYFUNCTION("""COMPUTED_VALUE"""),2.0)</f>
        <v>2</v>
      </c>
      <c r="AL428" s="133">
        <f>IFERROR(__xludf.DUMMYFUNCTION("""COMPUTED_VALUE"""),0.0)</f>
        <v>0</v>
      </c>
      <c r="AM428" s="133">
        <f>IFERROR(__xludf.DUMMYFUNCTION("""COMPUTED_VALUE"""),0.0)</f>
        <v>0</v>
      </c>
      <c r="AN428" s="133" t="str">
        <f>IFERROR(__xludf.DUMMYFUNCTION("""COMPUTED_VALUE"""),"0")</f>
        <v>0</v>
      </c>
      <c r="AO428" s="133">
        <f>IFERROR(__xludf.DUMMYFUNCTION("""COMPUTED_VALUE"""),1.0)</f>
        <v>1</v>
      </c>
      <c r="AP428" s="155" t="s">
        <v>3706</v>
      </c>
    </row>
    <row r="429">
      <c r="A429" s="155">
        <f>IFERROR(__xludf.DUMMYFUNCTION("""COMPUTED_VALUE"""),191.0)</f>
        <v>191</v>
      </c>
      <c r="B429" s="155" t="str">
        <f>IFERROR(__xludf.DUMMYFUNCTION("""COMPUTED_VALUE"""),"yare23ise@cmrit.ac.in")</f>
        <v>yare23ise@cmrit.ac.in</v>
      </c>
      <c r="C429" s="174" t="str">
        <f>IFERROR(__xludf.DUMMYFUNCTION("""COMPUTED_VALUE"""),"YALLALINGREDDY")</f>
        <v>YALLALINGREDDY</v>
      </c>
      <c r="D429" s="155" t="str">
        <f>IFERROR(__xludf.DUMMYFUNCTION("""COMPUTED_VALUE"""),"1CR23IS199")</f>
        <v>1CR23IS199</v>
      </c>
      <c r="E429" s="563">
        <f>IFERROR(__xludf.DUMMYFUNCTION("""COMPUTED_VALUE"""),9.686493314E9)</f>
        <v>9686493314</v>
      </c>
      <c r="F429" s="155" t="str">
        <f>IFERROR(__xludf.DUMMYFUNCTION("""COMPUTED_VALUE"""),"ISE")</f>
        <v>ISE</v>
      </c>
      <c r="G429" s="158"/>
      <c r="H429" s="559">
        <f>IFERROR(__xludf.DUMMYFUNCTION("""COMPUTED_VALUE"""),70.0)</f>
        <v>70</v>
      </c>
      <c r="I429" s="559">
        <f>IFERROR(__xludf.DUMMYFUNCTION("""COMPUTED_VALUE"""),73.0)</f>
        <v>73</v>
      </c>
      <c r="J429" s="559">
        <f>IFERROR(__xludf.DUMMYFUNCTION("""COMPUTED_VALUE"""),70.0)</f>
        <v>70</v>
      </c>
      <c r="K429" s="559">
        <f>IFERROR(__xludf.DUMMYFUNCTION("""COMPUTED_VALUE"""),70.0)</f>
        <v>70</v>
      </c>
      <c r="L429" s="560">
        <f>IFERROR(__xludf.DUMMYFUNCTION("""COMPUTED_VALUE"""),50.0)</f>
        <v>50</v>
      </c>
      <c r="M429" s="561">
        <f>IFERROR(__xludf.DUMMYFUNCTION("""COMPUTED_VALUE"""),50.0)</f>
        <v>50</v>
      </c>
      <c r="N429" s="561">
        <f>IFERROR(__xludf.DUMMYFUNCTION("""COMPUTED_VALUE"""),50.0)</f>
        <v>50</v>
      </c>
      <c r="O429" s="560"/>
      <c r="P429" s="562">
        <f>IFERROR(__xludf.DUMMYFUNCTION("""COMPUTED_VALUE"""),50.0)</f>
        <v>50</v>
      </c>
      <c r="Q429" s="562">
        <f>IFERROR(__xludf.DUMMYFUNCTION("""COMPUTED_VALUE"""),57.0)</f>
        <v>57</v>
      </c>
      <c r="R429" s="562">
        <f>IFERROR(__xludf.DUMMYFUNCTION("""COMPUTED_VALUE"""),50.0)</f>
        <v>50</v>
      </c>
      <c r="S429" s="562"/>
      <c r="T429" s="217">
        <f>IFERROR(__xludf.DUMMYFUNCTION("""COMPUTED_VALUE"""),11.0)</f>
        <v>11</v>
      </c>
      <c r="U429" s="217">
        <f>IFERROR(__xludf.DUMMYFUNCTION("""COMPUTED_VALUE"""),12.0)</f>
        <v>12</v>
      </c>
      <c r="V429" s="217">
        <f>IFERROR(__xludf.DUMMYFUNCTION("""COMPUTED_VALUE"""),46.0)</f>
        <v>46</v>
      </c>
      <c r="W429" s="217"/>
      <c r="X429" s="217">
        <f>IFERROR(__xludf.DUMMYFUNCTION("""COMPUTED_VALUE"""),84.0)</f>
        <v>84</v>
      </c>
      <c r="Y429" s="217"/>
      <c r="Z429" s="217"/>
      <c r="AA429" s="481">
        <f>IFERROR(__xludf.DUMMYFUNCTION("""COMPUTED_VALUE"""),0.0)</f>
        <v>0</v>
      </c>
      <c r="AB429" s="481">
        <f>IFERROR(__xludf.DUMMYFUNCTION("""COMPUTED_VALUE"""),82.0)</f>
        <v>82</v>
      </c>
      <c r="AC429" s="481">
        <f>IFERROR(__xludf.DUMMYFUNCTION("""COMPUTED_VALUE"""),49.0)</f>
        <v>49</v>
      </c>
      <c r="AD429" s="481">
        <f>IFERROR(__xludf.DUMMYFUNCTION("""COMPUTED_VALUE"""),100.0)</f>
        <v>100</v>
      </c>
      <c r="AE429" s="481">
        <f>IFERROR(__xludf.DUMMYFUNCTION("""COMPUTED_VALUE"""),70.0)</f>
        <v>70</v>
      </c>
      <c r="AF429" s="481"/>
      <c r="AG429" s="481">
        <f>IFERROR(__xludf.DUMMYFUNCTION("""COMPUTED_VALUE"""),65.0)</f>
        <v>65</v>
      </c>
      <c r="AH429" s="481"/>
      <c r="AI429" s="158"/>
      <c r="AJ429" s="158"/>
      <c r="AK429" s="133">
        <f>IFERROR(__xludf.DUMMYFUNCTION("""COMPUTED_VALUE"""),4.0)</f>
        <v>4</v>
      </c>
      <c r="AL429" s="133">
        <f>IFERROR(__xludf.DUMMYFUNCTION("""COMPUTED_VALUE"""),3.0)</f>
        <v>3</v>
      </c>
      <c r="AM429" s="133">
        <f>IFERROR(__xludf.DUMMYFUNCTION("""COMPUTED_VALUE"""),2.0)</f>
        <v>2</v>
      </c>
      <c r="AN429" s="133" t="str">
        <f>IFERROR(__xludf.DUMMYFUNCTION("""COMPUTED_VALUE"""),"3.5")</f>
        <v>3.5</v>
      </c>
      <c r="AO429" s="133">
        <f>IFERROR(__xludf.DUMMYFUNCTION("""COMPUTED_VALUE"""),3.0)</f>
        <v>3</v>
      </c>
      <c r="AP429" s="155" t="s">
        <v>3706</v>
      </c>
    </row>
    <row r="430">
      <c r="A430" s="155">
        <f>IFERROR(__xludf.DUMMYFUNCTION("""COMPUTED_VALUE"""),192.0)</f>
        <v>192</v>
      </c>
      <c r="B430" s="155" t="str">
        <f>IFERROR(__xludf.DUMMYFUNCTION("""COMPUTED_VALUE"""),"yamk23ise@cmrit.ac.in")</f>
        <v>yamk23ise@cmrit.ac.in</v>
      </c>
      <c r="C430" s="174" t="str">
        <f>IFERROR(__xludf.DUMMYFUNCTION("""COMPUTED_VALUE"""),"YASHASWINI M K")</f>
        <v>YASHASWINI M K</v>
      </c>
      <c r="D430" s="155" t="str">
        <f>IFERROR(__xludf.DUMMYFUNCTION("""COMPUTED_VALUE"""),"1CR23IS200")</f>
        <v>1CR23IS200</v>
      </c>
      <c r="E430" s="563">
        <f>IFERROR(__xludf.DUMMYFUNCTION("""COMPUTED_VALUE"""),9.036150866E9)</f>
        <v>9036150866</v>
      </c>
      <c r="F430" s="155" t="str">
        <f>IFERROR(__xludf.DUMMYFUNCTION("""COMPUTED_VALUE"""),"ISE")</f>
        <v>ISE</v>
      </c>
      <c r="G430" s="158"/>
      <c r="H430" s="559">
        <f>IFERROR(__xludf.DUMMYFUNCTION("""COMPUTED_VALUE"""),70.0)</f>
        <v>70</v>
      </c>
      <c r="I430" s="559">
        <f>IFERROR(__xludf.DUMMYFUNCTION("""COMPUTED_VALUE"""),77.0)</f>
        <v>77</v>
      </c>
      <c r="J430" s="559">
        <f>IFERROR(__xludf.DUMMYFUNCTION("""COMPUTED_VALUE"""),74.0)</f>
        <v>74</v>
      </c>
      <c r="K430" s="559">
        <f>IFERROR(__xludf.DUMMYFUNCTION("""COMPUTED_VALUE"""),70.0)</f>
        <v>70</v>
      </c>
      <c r="L430" s="560">
        <f>IFERROR(__xludf.DUMMYFUNCTION("""COMPUTED_VALUE"""),50.0)</f>
        <v>50</v>
      </c>
      <c r="M430" s="561">
        <f>IFERROR(__xludf.DUMMYFUNCTION("""COMPUTED_VALUE"""),21.0)</f>
        <v>21</v>
      </c>
      <c r="N430" s="561">
        <f>IFERROR(__xludf.DUMMYFUNCTION("""COMPUTED_VALUE"""),50.0)</f>
        <v>50</v>
      </c>
      <c r="O430" s="560"/>
      <c r="P430" s="562">
        <f>IFERROR(__xludf.DUMMYFUNCTION("""COMPUTED_VALUE"""),68.0)</f>
        <v>68</v>
      </c>
      <c r="Q430" s="562">
        <f>IFERROR(__xludf.DUMMYFUNCTION("""COMPUTED_VALUE"""),71.0)</f>
        <v>71</v>
      </c>
      <c r="R430" s="562">
        <f>IFERROR(__xludf.DUMMYFUNCTION("""COMPUTED_VALUE"""),87.0)</f>
        <v>87</v>
      </c>
      <c r="S430" s="562"/>
      <c r="T430" s="217">
        <f>IFERROR(__xludf.DUMMYFUNCTION("""COMPUTED_VALUE"""),10.0)</f>
        <v>10</v>
      </c>
      <c r="U430" s="217">
        <f>IFERROR(__xludf.DUMMYFUNCTION("""COMPUTED_VALUE"""),23.0)</f>
        <v>23</v>
      </c>
      <c r="V430" s="217">
        <f>IFERROR(__xludf.DUMMYFUNCTION("""COMPUTED_VALUE"""),36.0)</f>
        <v>36</v>
      </c>
      <c r="W430" s="217"/>
      <c r="X430" s="217">
        <f>IFERROR(__xludf.DUMMYFUNCTION("""COMPUTED_VALUE"""),88.0)</f>
        <v>88</v>
      </c>
      <c r="Y430" s="217"/>
      <c r="Z430" s="217"/>
      <c r="AA430" s="481">
        <f>IFERROR(__xludf.DUMMYFUNCTION("""COMPUTED_VALUE"""),78.0)</f>
        <v>78</v>
      </c>
      <c r="AB430" s="481">
        <f>IFERROR(__xludf.DUMMYFUNCTION("""COMPUTED_VALUE"""),100.0)</f>
        <v>100</v>
      </c>
      <c r="AC430" s="481">
        <f>IFERROR(__xludf.DUMMYFUNCTION("""COMPUTED_VALUE"""),47.0)</f>
        <v>47</v>
      </c>
      <c r="AD430" s="481">
        <f>IFERROR(__xludf.DUMMYFUNCTION("""COMPUTED_VALUE"""),80.0)</f>
        <v>80</v>
      </c>
      <c r="AE430" s="481">
        <f>IFERROR(__xludf.DUMMYFUNCTION("""COMPUTED_VALUE"""),70.0)</f>
        <v>70</v>
      </c>
      <c r="AF430" s="481"/>
      <c r="AG430" s="481">
        <f>IFERROR(__xludf.DUMMYFUNCTION("""COMPUTED_VALUE"""),84.0)</f>
        <v>84</v>
      </c>
      <c r="AH430" s="481"/>
      <c r="AI430" s="158"/>
      <c r="AJ430" s="158"/>
      <c r="AK430" s="133">
        <f>IFERROR(__xludf.DUMMYFUNCTION("""COMPUTED_VALUE"""),4.0)</f>
        <v>4</v>
      </c>
      <c r="AL430" s="133">
        <f>IFERROR(__xludf.DUMMYFUNCTION("""COMPUTED_VALUE"""),1.0)</f>
        <v>1</v>
      </c>
      <c r="AM430" s="133">
        <f>IFERROR(__xludf.DUMMYFUNCTION("""COMPUTED_VALUE"""),2.0)</f>
        <v>2</v>
      </c>
      <c r="AN430" s="133" t="str">
        <f>IFERROR(__xludf.DUMMYFUNCTION("""COMPUTED_VALUE"""),"3.5")</f>
        <v>3.5</v>
      </c>
      <c r="AO430" s="133">
        <f>IFERROR(__xludf.DUMMYFUNCTION("""COMPUTED_VALUE"""),3.0)</f>
        <v>3</v>
      </c>
      <c r="AP430" s="155" t="s">
        <v>3706</v>
      </c>
    </row>
    <row r="431">
      <c r="A431" s="155">
        <f>IFERROR(__xludf.DUMMYFUNCTION("""COMPUTED_VALUE"""),193.0)</f>
        <v>193</v>
      </c>
      <c r="B431" s="155" t="str">
        <f>IFERROR(__xludf.DUMMYFUNCTION("""COMPUTED_VALUE"""),"yahg23ise@cmrit.ac.in")</f>
        <v>yahg23ise@cmrit.ac.in</v>
      </c>
      <c r="C431" s="174" t="str">
        <f>IFERROR(__xludf.DUMMYFUNCTION("""COMPUTED_VALUE"""),"YASHWANTHA H G")</f>
        <v>YASHWANTHA H G</v>
      </c>
      <c r="D431" s="155" t="str">
        <f>IFERROR(__xludf.DUMMYFUNCTION("""COMPUTED_VALUE"""),"1CR23IS201")</f>
        <v>1CR23IS201</v>
      </c>
      <c r="E431" s="563">
        <f>IFERROR(__xludf.DUMMYFUNCTION("""COMPUTED_VALUE"""),6.360400946E9)</f>
        <v>6360400946</v>
      </c>
      <c r="F431" s="155" t="str">
        <f>IFERROR(__xludf.DUMMYFUNCTION("""COMPUTED_VALUE"""),"ISE")</f>
        <v>ISE</v>
      </c>
      <c r="G431" s="158"/>
      <c r="H431" s="559">
        <f>IFERROR(__xludf.DUMMYFUNCTION("""COMPUTED_VALUE"""),70.0)</f>
        <v>70</v>
      </c>
      <c r="I431" s="559">
        <f>IFERROR(__xludf.DUMMYFUNCTION("""COMPUTED_VALUE"""),70.0)</f>
        <v>70</v>
      </c>
      <c r="J431" s="559">
        <f>IFERROR(__xludf.DUMMYFUNCTION("""COMPUTED_VALUE"""),70.0)</f>
        <v>70</v>
      </c>
      <c r="K431" s="559">
        <f>IFERROR(__xludf.DUMMYFUNCTION("""COMPUTED_VALUE"""),70.0)</f>
        <v>70</v>
      </c>
      <c r="L431" s="560">
        <f>IFERROR(__xludf.DUMMYFUNCTION("""COMPUTED_VALUE"""),50.0)</f>
        <v>50</v>
      </c>
      <c r="M431" s="561">
        <f>IFERROR(__xludf.DUMMYFUNCTION("""COMPUTED_VALUE"""),50.0)</f>
        <v>50</v>
      </c>
      <c r="N431" s="561">
        <f>IFERROR(__xludf.DUMMYFUNCTION("""COMPUTED_VALUE"""),68.0)</f>
        <v>68</v>
      </c>
      <c r="O431" s="560"/>
      <c r="P431" s="562">
        <f>IFERROR(__xludf.DUMMYFUNCTION("""COMPUTED_VALUE"""),50.0)</f>
        <v>50</v>
      </c>
      <c r="Q431" s="562">
        <f>IFERROR(__xludf.DUMMYFUNCTION("""COMPUTED_VALUE"""),57.0)</f>
        <v>57</v>
      </c>
      <c r="R431" s="562">
        <f>IFERROR(__xludf.DUMMYFUNCTION("""COMPUTED_VALUE"""),84.0)</f>
        <v>84</v>
      </c>
      <c r="S431" s="562"/>
      <c r="T431" s="217">
        <f>IFERROR(__xludf.DUMMYFUNCTION("""COMPUTED_VALUE"""),22.0)</f>
        <v>22</v>
      </c>
      <c r="U431" s="217">
        <f>IFERROR(__xludf.DUMMYFUNCTION("""COMPUTED_VALUE"""),25.0)</f>
        <v>25</v>
      </c>
      <c r="V431" s="217">
        <f>IFERROR(__xludf.DUMMYFUNCTION("""COMPUTED_VALUE"""),46.0)</f>
        <v>46</v>
      </c>
      <c r="W431" s="217">
        <f>IFERROR(__xludf.DUMMYFUNCTION("""COMPUTED_VALUE"""),52.0)</f>
        <v>52</v>
      </c>
      <c r="X431" s="217">
        <f>IFERROR(__xludf.DUMMYFUNCTION("""COMPUTED_VALUE"""),68.0)</f>
        <v>68</v>
      </c>
      <c r="Y431" s="217"/>
      <c r="Z431" s="217"/>
      <c r="AA431" s="481">
        <f>IFERROR(__xludf.DUMMYFUNCTION("""COMPUTED_VALUE"""),64.0)</f>
        <v>64</v>
      </c>
      <c r="AB431" s="481">
        <f>IFERROR(__xludf.DUMMYFUNCTION("""COMPUTED_VALUE"""),78.0)</f>
        <v>78</v>
      </c>
      <c r="AC431" s="481">
        <f>IFERROR(__xludf.DUMMYFUNCTION("""COMPUTED_VALUE"""),46.0)</f>
        <v>46</v>
      </c>
      <c r="AD431" s="481">
        <f>IFERROR(__xludf.DUMMYFUNCTION("""COMPUTED_VALUE"""),80.0)</f>
        <v>80</v>
      </c>
      <c r="AE431" s="481">
        <f>IFERROR(__xludf.DUMMYFUNCTION("""COMPUTED_VALUE"""),53.0)</f>
        <v>53</v>
      </c>
      <c r="AF431" s="481"/>
      <c r="AG431" s="481">
        <f>IFERROR(__xludf.DUMMYFUNCTION("""COMPUTED_VALUE"""),27.0)</f>
        <v>27</v>
      </c>
      <c r="AH431" s="481"/>
      <c r="AI431" s="158"/>
      <c r="AJ431" s="158"/>
      <c r="AK431" s="133">
        <f>IFERROR(__xludf.DUMMYFUNCTION("""COMPUTED_VALUE"""),4.0)</f>
        <v>4</v>
      </c>
      <c r="AL431" s="133">
        <f>IFERROR(__xludf.DUMMYFUNCTION("""COMPUTED_VALUE"""),3.0)</f>
        <v>3</v>
      </c>
      <c r="AM431" s="133">
        <f>IFERROR(__xludf.DUMMYFUNCTION("""COMPUTED_VALUE"""),3.0)</f>
        <v>3</v>
      </c>
      <c r="AN431" s="133" t="str">
        <f>IFERROR(__xludf.DUMMYFUNCTION("""COMPUTED_VALUE"""),"3")</f>
        <v>3</v>
      </c>
      <c r="AO431" s="133">
        <f>IFERROR(__xludf.DUMMYFUNCTION("""COMPUTED_VALUE"""),3.0)</f>
        <v>3</v>
      </c>
      <c r="AP431" s="155" t="s">
        <v>3706</v>
      </c>
    </row>
    <row r="432">
      <c r="A432" s="155">
        <f>IFERROR(__xludf.DUMMYFUNCTION("""COMPUTED_VALUE"""),194.0)</f>
        <v>194</v>
      </c>
      <c r="B432" s="155" t="str">
        <f>IFERROR(__xludf.DUMMYFUNCTION("""COMPUTED_VALUE"""),"za23ise@cmrit.ac.in")</f>
        <v>za23ise@cmrit.ac.in</v>
      </c>
      <c r="C432" s="174" t="str">
        <f>IFERROR(__xludf.DUMMYFUNCTION("""COMPUTED_VALUE"""),"ZAIRA")</f>
        <v>ZAIRA</v>
      </c>
      <c r="D432" s="155" t="str">
        <f>IFERROR(__xludf.DUMMYFUNCTION("""COMPUTED_VALUE"""),"1CR23IS202")</f>
        <v>1CR23IS202</v>
      </c>
      <c r="E432" s="563">
        <f>IFERROR(__xludf.DUMMYFUNCTION("""COMPUTED_VALUE"""),7.780994557E9)</f>
        <v>7780994557</v>
      </c>
      <c r="F432" s="155" t="str">
        <f>IFERROR(__xludf.DUMMYFUNCTION("""COMPUTED_VALUE"""),"ISE")</f>
        <v>ISE</v>
      </c>
      <c r="G432" s="158"/>
      <c r="H432" s="559">
        <f>IFERROR(__xludf.DUMMYFUNCTION("""COMPUTED_VALUE"""),81.0)</f>
        <v>81</v>
      </c>
      <c r="I432" s="559">
        <f>IFERROR(__xludf.DUMMYFUNCTION("""COMPUTED_VALUE"""),94.0)</f>
        <v>94</v>
      </c>
      <c r="J432" s="559">
        <f>IFERROR(__xludf.DUMMYFUNCTION("""COMPUTED_VALUE"""),85.0)</f>
        <v>85</v>
      </c>
      <c r="K432" s="559">
        <f>IFERROR(__xludf.DUMMYFUNCTION("""COMPUTED_VALUE"""),86.0)</f>
        <v>86</v>
      </c>
      <c r="L432" s="560">
        <f>IFERROR(__xludf.DUMMYFUNCTION("""COMPUTED_VALUE"""),50.0)</f>
        <v>50</v>
      </c>
      <c r="M432" s="561">
        <f>IFERROR(__xludf.DUMMYFUNCTION("""COMPUTED_VALUE"""),74.0)</f>
        <v>74</v>
      </c>
      <c r="N432" s="561">
        <f>IFERROR(__xludf.DUMMYFUNCTION("""COMPUTED_VALUE"""),76.0)</f>
        <v>76</v>
      </c>
      <c r="O432" s="560"/>
      <c r="P432" s="562">
        <f>IFERROR(__xludf.DUMMYFUNCTION("""COMPUTED_VALUE"""),81.0)</f>
        <v>81</v>
      </c>
      <c r="Q432" s="562">
        <f>IFERROR(__xludf.DUMMYFUNCTION("""COMPUTED_VALUE"""),82.0)</f>
        <v>82</v>
      </c>
      <c r="R432" s="562">
        <f>IFERROR(__xludf.DUMMYFUNCTION("""COMPUTED_VALUE"""),84.0)</f>
        <v>84</v>
      </c>
      <c r="S432" s="562"/>
      <c r="T432" s="217">
        <f>IFERROR(__xludf.DUMMYFUNCTION("""COMPUTED_VALUE"""),13.0)</f>
        <v>13</v>
      </c>
      <c r="U432" s="217">
        <f>IFERROR(__xludf.DUMMYFUNCTION("""COMPUTED_VALUE"""),23.0)</f>
        <v>23</v>
      </c>
      <c r="V432" s="217">
        <f>IFERROR(__xludf.DUMMYFUNCTION("""COMPUTED_VALUE"""),46.0)</f>
        <v>46</v>
      </c>
      <c r="W432" s="217">
        <f>IFERROR(__xludf.DUMMYFUNCTION("""COMPUTED_VALUE"""),44.0)</f>
        <v>44</v>
      </c>
      <c r="X432" s="217">
        <f>IFERROR(__xludf.DUMMYFUNCTION("""COMPUTED_VALUE"""),88.0)</f>
        <v>88</v>
      </c>
      <c r="Y432" s="217"/>
      <c r="Z432" s="217"/>
      <c r="AA432" s="481">
        <f>IFERROR(__xludf.DUMMYFUNCTION("""COMPUTED_VALUE"""),90.0)</f>
        <v>90</v>
      </c>
      <c r="AB432" s="481">
        <f>IFERROR(__xludf.DUMMYFUNCTION("""COMPUTED_VALUE"""),100.0)</f>
        <v>100</v>
      </c>
      <c r="AC432" s="481">
        <f>IFERROR(__xludf.DUMMYFUNCTION("""COMPUTED_VALUE"""),70.0)</f>
        <v>70</v>
      </c>
      <c r="AD432" s="481">
        <f>IFERROR(__xludf.DUMMYFUNCTION("""COMPUTED_VALUE"""),100.0)</f>
        <v>100</v>
      </c>
      <c r="AE432" s="481">
        <f>IFERROR(__xludf.DUMMYFUNCTION("""COMPUTED_VALUE"""),74.0)</f>
        <v>74</v>
      </c>
      <c r="AF432" s="481"/>
      <c r="AG432" s="481">
        <f>IFERROR(__xludf.DUMMYFUNCTION("""COMPUTED_VALUE"""),96.0)</f>
        <v>96</v>
      </c>
      <c r="AH432" s="481"/>
      <c r="AI432" s="158"/>
      <c r="AJ432" s="158"/>
      <c r="AK432" s="133">
        <f>IFERROR(__xludf.DUMMYFUNCTION("""COMPUTED_VALUE"""),4.0)</f>
        <v>4</v>
      </c>
      <c r="AL432" s="133">
        <f>IFERROR(__xludf.DUMMYFUNCTION("""COMPUTED_VALUE"""),3.0)</f>
        <v>3</v>
      </c>
      <c r="AM432" s="133">
        <f>IFERROR(__xludf.DUMMYFUNCTION("""COMPUTED_VALUE"""),2.0)</f>
        <v>2</v>
      </c>
      <c r="AN432" s="133" t="str">
        <f>IFERROR(__xludf.DUMMYFUNCTION("""COMPUTED_VALUE"""),"3.5")</f>
        <v>3.5</v>
      </c>
      <c r="AO432" s="133">
        <f>IFERROR(__xludf.DUMMYFUNCTION("""COMPUTED_VALUE"""),3.0)</f>
        <v>3</v>
      </c>
      <c r="AP432" s="155" t="s">
        <v>3706</v>
      </c>
    </row>
    <row r="433">
      <c r="A433" s="155">
        <f>IFERROR(__xludf.DUMMYFUNCTION("""COMPUTED_VALUE"""),195.0)</f>
        <v>195</v>
      </c>
      <c r="B433" s="155" t="str">
        <f>IFERROR(__xludf.DUMMYFUNCTION("""COMPUTED_VALUE"""),"sga23ece@cmrit.ac.in")</f>
        <v>sga23ece@cmrit.ac.in</v>
      </c>
      <c r="C433" s="174" t="str">
        <f>IFERROR(__xludf.DUMMYFUNCTION("""COMPUTED_VALUE"""),"S GANAPRIYA")</f>
        <v>S GANAPRIYA</v>
      </c>
      <c r="D433" s="155" t="str">
        <f>IFERROR(__xludf.DUMMYFUNCTION("""COMPUTED_VALUE"""),"1CR23IS203")</f>
        <v>1CR23IS203</v>
      </c>
      <c r="E433" s="563">
        <f>IFERROR(__xludf.DUMMYFUNCTION("""COMPUTED_VALUE"""),8.660330783E9)</f>
        <v>8660330783</v>
      </c>
      <c r="F433" s="155" t="str">
        <f>IFERROR(__xludf.DUMMYFUNCTION("""COMPUTED_VALUE"""),"ISE")</f>
        <v>ISE</v>
      </c>
      <c r="G433" s="158"/>
      <c r="H433" s="559">
        <f>IFERROR(__xludf.DUMMYFUNCTION("""COMPUTED_VALUE"""),88.0)</f>
        <v>88</v>
      </c>
      <c r="I433" s="559">
        <f>IFERROR(__xludf.DUMMYFUNCTION("""COMPUTED_VALUE"""),89.0)</f>
        <v>89</v>
      </c>
      <c r="J433" s="559">
        <f>IFERROR(__xludf.DUMMYFUNCTION("""COMPUTED_VALUE"""),81.0)</f>
        <v>81</v>
      </c>
      <c r="K433" s="559">
        <f>IFERROR(__xludf.DUMMYFUNCTION("""COMPUTED_VALUE"""),81.0)</f>
        <v>81</v>
      </c>
      <c r="L433" s="560">
        <f>IFERROR(__xludf.DUMMYFUNCTION("""COMPUTED_VALUE"""),50.0)</f>
        <v>50</v>
      </c>
      <c r="M433" s="561">
        <f>IFERROR(__xludf.DUMMYFUNCTION("""COMPUTED_VALUE"""),62.0)</f>
        <v>62</v>
      </c>
      <c r="N433" s="561">
        <f>IFERROR(__xludf.DUMMYFUNCTION("""COMPUTED_VALUE"""),63.0)</f>
        <v>63</v>
      </c>
      <c r="O433" s="560"/>
      <c r="P433" s="562">
        <f>IFERROR(__xludf.DUMMYFUNCTION("""COMPUTED_VALUE"""),50.0)</f>
        <v>50</v>
      </c>
      <c r="Q433" s="562">
        <f>IFERROR(__xludf.DUMMYFUNCTION("""COMPUTED_VALUE"""),78.0)</f>
        <v>78</v>
      </c>
      <c r="R433" s="562">
        <f>IFERROR(__xludf.DUMMYFUNCTION("""COMPUTED_VALUE"""),84.0)</f>
        <v>84</v>
      </c>
      <c r="S433" s="562"/>
      <c r="T433" s="217">
        <f>IFERROR(__xludf.DUMMYFUNCTION("""COMPUTED_VALUE"""),18.0)</f>
        <v>18</v>
      </c>
      <c r="U433" s="217">
        <f>IFERROR(__xludf.DUMMYFUNCTION("""COMPUTED_VALUE"""),17.0)</f>
        <v>17</v>
      </c>
      <c r="V433" s="217">
        <f>IFERROR(__xludf.DUMMYFUNCTION("""COMPUTED_VALUE"""),46.0)</f>
        <v>46</v>
      </c>
      <c r="W433" s="217">
        <f>IFERROR(__xludf.DUMMYFUNCTION("""COMPUTED_VALUE"""),44.0)</f>
        <v>44</v>
      </c>
      <c r="X433" s="217">
        <f>IFERROR(__xludf.DUMMYFUNCTION("""COMPUTED_VALUE"""),80.0)</f>
        <v>80</v>
      </c>
      <c r="Y433" s="217"/>
      <c r="Z433" s="217"/>
      <c r="AA433" s="481"/>
      <c r="AB433" s="481">
        <f>IFERROR(__xludf.DUMMYFUNCTION("""COMPUTED_VALUE"""),100.0)</f>
        <v>100</v>
      </c>
      <c r="AC433" s="481">
        <f>IFERROR(__xludf.DUMMYFUNCTION("""COMPUTED_VALUE"""),77.0)</f>
        <v>77</v>
      </c>
      <c r="AD433" s="481">
        <f>IFERROR(__xludf.DUMMYFUNCTION("""COMPUTED_VALUE"""),100.0)</f>
        <v>100</v>
      </c>
      <c r="AE433" s="481">
        <f>IFERROR(__xludf.DUMMYFUNCTION("""COMPUTED_VALUE"""),73.0)</f>
        <v>73</v>
      </c>
      <c r="AF433" s="481"/>
      <c r="AG433" s="481">
        <f>IFERROR(__xludf.DUMMYFUNCTION("""COMPUTED_VALUE"""),75.0)</f>
        <v>75</v>
      </c>
      <c r="AH433" s="481"/>
      <c r="AI433" s="158"/>
      <c r="AJ433" s="158"/>
      <c r="AK433" s="133">
        <f>IFERROR(__xludf.DUMMYFUNCTION("""COMPUTED_VALUE"""),4.0)</f>
        <v>4</v>
      </c>
      <c r="AL433" s="133">
        <f>IFERROR(__xludf.DUMMYFUNCTION("""COMPUTED_VALUE"""),3.0)</f>
        <v>3</v>
      </c>
      <c r="AM433" s="133">
        <f>IFERROR(__xludf.DUMMYFUNCTION("""COMPUTED_VALUE"""),2.0)</f>
        <v>2</v>
      </c>
      <c r="AN433" s="133" t="str">
        <f>IFERROR(__xludf.DUMMYFUNCTION("""COMPUTED_VALUE"""),"3.5")</f>
        <v>3.5</v>
      </c>
      <c r="AO433" s="133">
        <f>IFERROR(__xludf.DUMMYFUNCTION("""COMPUTED_VALUE"""),3.0)</f>
        <v>3</v>
      </c>
      <c r="AP433" s="155" t="s">
        <v>3706</v>
      </c>
    </row>
    <row r="434">
      <c r="A434" s="155">
        <f>IFERROR(__xludf.DUMMYFUNCTION("""COMPUTED_VALUE"""),196.0)</f>
        <v>196</v>
      </c>
      <c r="B434" s="155" t="str">
        <f>IFERROR(__xludf.DUMMYFUNCTION("""COMPUTED_VALUE"""),"shm23csds@cmrit.ac.in")</f>
        <v>shm23csds@cmrit.ac.in</v>
      </c>
      <c r="C434" s="174" t="str">
        <f>IFERROR(__xludf.DUMMYFUNCTION("""COMPUTED_VALUE"""),"SHARATH M")</f>
        <v>SHARATH M</v>
      </c>
      <c r="D434" s="155" t="str">
        <f>IFERROR(__xludf.DUMMYFUNCTION("""COMPUTED_VALUE"""),"1CR23IS204")</f>
        <v>1CR23IS204</v>
      </c>
      <c r="E434" s="563">
        <f>IFERROR(__xludf.DUMMYFUNCTION("""COMPUTED_VALUE"""),9.731276655E9)</f>
        <v>9731276655</v>
      </c>
      <c r="F434" s="155" t="str">
        <f>IFERROR(__xludf.DUMMYFUNCTION("""COMPUTED_VALUE"""),"ISE")</f>
        <v>ISE</v>
      </c>
      <c r="G434" s="158"/>
      <c r="H434" s="559">
        <f>IFERROR(__xludf.DUMMYFUNCTION("""COMPUTED_VALUE"""),70.0)</f>
        <v>70</v>
      </c>
      <c r="I434" s="559">
        <f>IFERROR(__xludf.DUMMYFUNCTION("""COMPUTED_VALUE"""),70.0)</f>
        <v>70</v>
      </c>
      <c r="J434" s="559">
        <f>IFERROR(__xludf.DUMMYFUNCTION("""COMPUTED_VALUE"""),70.0)</f>
        <v>70</v>
      </c>
      <c r="K434" s="559">
        <f>IFERROR(__xludf.DUMMYFUNCTION("""COMPUTED_VALUE"""),70.0)</f>
        <v>70</v>
      </c>
      <c r="L434" s="560">
        <f>IFERROR(__xludf.DUMMYFUNCTION("""COMPUTED_VALUE"""),50.0)</f>
        <v>50</v>
      </c>
      <c r="M434" s="561">
        <f>IFERROR(__xludf.DUMMYFUNCTION("""COMPUTED_VALUE"""),50.0)</f>
        <v>50</v>
      </c>
      <c r="N434" s="561">
        <f>IFERROR(__xludf.DUMMYFUNCTION("""COMPUTED_VALUE"""),50.0)</f>
        <v>50</v>
      </c>
      <c r="O434" s="560"/>
      <c r="P434" s="562">
        <f>IFERROR(__xludf.DUMMYFUNCTION("""COMPUTED_VALUE"""),78.0)</f>
        <v>78</v>
      </c>
      <c r="Q434" s="562">
        <f>IFERROR(__xludf.DUMMYFUNCTION("""COMPUTED_VALUE"""),50.0)</f>
        <v>50</v>
      </c>
      <c r="R434" s="562">
        <f>IFERROR(__xludf.DUMMYFUNCTION("""COMPUTED_VALUE"""),84.0)</f>
        <v>84</v>
      </c>
      <c r="S434" s="562"/>
      <c r="T434" s="217"/>
      <c r="U434" s="217"/>
      <c r="V434" s="217"/>
      <c r="W434" s="217">
        <f>IFERROR(__xludf.DUMMYFUNCTION("""COMPUTED_VALUE"""),60.0)</f>
        <v>60</v>
      </c>
      <c r="X434" s="217">
        <f>IFERROR(__xludf.DUMMYFUNCTION("""COMPUTED_VALUE"""),92.0)</f>
        <v>92</v>
      </c>
      <c r="Y434" s="217"/>
      <c r="Z434" s="217"/>
      <c r="AA434" s="481"/>
      <c r="AB434" s="481"/>
      <c r="AC434" s="481">
        <f>IFERROR(__xludf.DUMMYFUNCTION("""COMPUTED_VALUE"""),90.0)</f>
        <v>90</v>
      </c>
      <c r="AD434" s="481"/>
      <c r="AE434" s="481">
        <f>IFERROR(__xludf.DUMMYFUNCTION("""COMPUTED_VALUE"""),74.0)</f>
        <v>74</v>
      </c>
      <c r="AF434" s="481"/>
      <c r="AG434" s="481">
        <f>IFERROR(__xludf.DUMMYFUNCTION("""COMPUTED_VALUE"""),28.0)</f>
        <v>28</v>
      </c>
      <c r="AH434" s="481"/>
      <c r="AI434" s="158"/>
      <c r="AJ434" s="158"/>
      <c r="AK434" s="133">
        <f>IFERROR(__xludf.DUMMYFUNCTION("""COMPUTED_VALUE"""),4.0)</f>
        <v>4</v>
      </c>
      <c r="AL434" s="133">
        <f>IFERROR(__xludf.DUMMYFUNCTION("""COMPUTED_VALUE"""),3.0)</f>
        <v>3</v>
      </c>
      <c r="AM434" s="133">
        <f>IFERROR(__xludf.DUMMYFUNCTION("""COMPUTED_VALUE"""),0.0)</f>
        <v>0</v>
      </c>
      <c r="AN434" s="133" t="str">
        <f>IFERROR(__xludf.DUMMYFUNCTION("""COMPUTED_VALUE"""),"0")</f>
        <v>0</v>
      </c>
      <c r="AO434" s="133">
        <f>IFERROR(__xludf.DUMMYFUNCTION("""COMPUTED_VALUE"""),3.0)</f>
        <v>3</v>
      </c>
      <c r="AP434" s="155" t="s">
        <v>3706</v>
      </c>
    </row>
    <row r="435">
      <c r="A435" s="155">
        <f>IFERROR(__xludf.DUMMYFUNCTION("""COMPUTED_VALUE"""),197.0)</f>
        <v>197</v>
      </c>
      <c r="B435" s="155" t="str">
        <f>IFERROR(__xludf.DUMMYFUNCTION("""COMPUTED_VALUE"""),"adku23ece@cmrit.ac.in")</f>
        <v>adku23ece@cmrit.ac.in</v>
      </c>
      <c r="C435" s="174" t="str">
        <f>IFERROR(__xludf.DUMMYFUNCTION("""COMPUTED_VALUE"""),"ADITI KULKARNI")</f>
        <v>ADITI KULKARNI</v>
      </c>
      <c r="D435" s="155" t="str">
        <f>IFERROR(__xludf.DUMMYFUNCTION("""COMPUTED_VALUE"""),"1CR23IS205")</f>
        <v>1CR23IS205</v>
      </c>
      <c r="E435" s="563">
        <f>IFERROR(__xludf.DUMMYFUNCTION("""COMPUTED_VALUE"""),9.980613392E9)</f>
        <v>9980613392</v>
      </c>
      <c r="F435" s="155" t="str">
        <f>IFERROR(__xludf.DUMMYFUNCTION("""COMPUTED_VALUE"""),"ISE")</f>
        <v>ISE</v>
      </c>
      <c r="G435" s="158"/>
      <c r="H435" s="559">
        <f>IFERROR(__xludf.DUMMYFUNCTION("""COMPUTED_VALUE"""),79.0)</f>
        <v>79</v>
      </c>
      <c r="I435" s="559">
        <f>IFERROR(__xludf.DUMMYFUNCTION("""COMPUTED_VALUE"""),83.0)</f>
        <v>83</v>
      </c>
      <c r="J435" s="559">
        <f>IFERROR(__xludf.DUMMYFUNCTION("""COMPUTED_VALUE"""),72.0)</f>
        <v>72</v>
      </c>
      <c r="K435" s="559">
        <f>IFERROR(__xludf.DUMMYFUNCTION("""COMPUTED_VALUE"""),78.0)</f>
        <v>78</v>
      </c>
      <c r="L435" s="560">
        <f>IFERROR(__xludf.DUMMYFUNCTION("""COMPUTED_VALUE"""),62.0)</f>
        <v>62</v>
      </c>
      <c r="M435" s="561">
        <f>IFERROR(__xludf.DUMMYFUNCTION("""COMPUTED_VALUE"""),62.0)</f>
        <v>62</v>
      </c>
      <c r="N435" s="561">
        <f>IFERROR(__xludf.DUMMYFUNCTION("""COMPUTED_VALUE"""),50.0)</f>
        <v>50</v>
      </c>
      <c r="O435" s="560"/>
      <c r="P435" s="562">
        <f>IFERROR(__xludf.DUMMYFUNCTION("""COMPUTED_VALUE"""),70.0)</f>
        <v>70</v>
      </c>
      <c r="Q435" s="562">
        <f>IFERROR(__xludf.DUMMYFUNCTION("""COMPUTED_VALUE"""),84.0)</f>
        <v>84</v>
      </c>
      <c r="R435" s="562">
        <f>IFERROR(__xludf.DUMMYFUNCTION("""COMPUTED_VALUE"""),93.0)</f>
        <v>93</v>
      </c>
      <c r="S435" s="562"/>
      <c r="T435" s="217">
        <f>IFERROR(__xludf.DUMMYFUNCTION("""COMPUTED_VALUE"""),15.0)</f>
        <v>15</v>
      </c>
      <c r="U435" s="217">
        <f>IFERROR(__xludf.DUMMYFUNCTION("""COMPUTED_VALUE"""),15.0)</f>
        <v>15</v>
      </c>
      <c r="V435" s="217">
        <f>IFERROR(__xludf.DUMMYFUNCTION("""COMPUTED_VALUE"""),46.0)</f>
        <v>46</v>
      </c>
      <c r="W435" s="217">
        <f>IFERROR(__xludf.DUMMYFUNCTION("""COMPUTED_VALUE"""),52.0)</f>
        <v>52</v>
      </c>
      <c r="X435" s="217">
        <f>IFERROR(__xludf.DUMMYFUNCTION("""COMPUTED_VALUE"""),84.0)</f>
        <v>84</v>
      </c>
      <c r="Y435" s="217"/>
      <c r="Z435" s="217"/>
      <c r="AA435" s="481"/>
      <c r="AB435" s="481">
        <f>IFERROR(__xludf.DUMMYFUNCTION("""COMPUTED_VALUE"""),100.0)</f>
        <v>100</v>
      </c>
      <c r="AC435" s="481">
        <f>IFERROR(__xludf.DUMMYFUNCTION("""COMPUTED_VALUE"""),64.0)</f>
        <v>64</v>
      </c>
      <c r="AD435" s="481">
        <f>IFERROR(__xludf.DUMMYFUNCTION("""COMPUTED_VALUE"""),77.0)</f>
        <v>77</v>
      </c>
      <c r="AE435" s="481">
        <f>IFERROR(__xludf.DUMMYFUNCTION("""COMPUTED_VALUE"""),70.0)</f>
        <v>70</v>
      </c>
      <c r="AF435" s="481"/>
      <c r="AG435" s="481">
        <f>IFERROR(__xludf.DUMMYFUNCTION("""COMPUTED_VALUE"""),93.0)</f>
        <v>93</v>
      </c>
      <c r="AH435" s="481"/>
      <c r="AI435" s="158"/>
      <c r="AJ435" s="158"/>
      <c r="AK435" s="133">
        <f>IFERROR(__xludf.DUMMYFUNCTION("""COMPUTED_VALUE"""),4.0)</f>
        <v>4</v>
      </c>
      <c r="AL435" s="133">
        <f>IFERROR(__xludf.DUMMYFUNCTION("""COMPUTED_VALUE"""),3.0)</f>
        <v>3</v>
      </c>
      <c r="AM435" s="133">
        <f>IFERROR(__xludf.DUMMYFUNCTION("""COMPUTED_VALUE"""),3.0)</f>
        <v>3</v>
      </c>
      <c r="AN435" s="133" t="str">
        <f>IFERROR(__xludf.DUMMYFUNCTION("""COMPUTED_VALUE"""),"3.5")</f>
        <v>3.5</v>
      </c>
      <c r="AO435" s="133">
        <f>IFERROR(__xludf.DUMMYFUNCTION("""COMPUTED_VALUE"""),3.0)</f>
        <v>3</v>
      </c>
      <c r="AP435" s="155" t="s">
        <v>3706</v>
      </c>
    </row>
    <row r="436">
      <c r="A436" s="155">
        <f>IFERROR(__xludf.DUMMYFUNCTION("""COMPUTED_VALUE"""),198.0)</f>
        <v>198</v>
      </c>
      <c r="B436" s="155" t="str">
        <f>IFERROR(__xludf.DUMMYFUNCTION("""COMPUTED_VALUE"""),"rira23ece@cmrit.ac.in")</f>
        <v>rira23ece@cmrit.ac.in</v>
      </c>
      <c r="C436" s="174" t="str">
        <f>IFERROR(__xludf.DUMMYFUNCTION("""COMPUTED_VALUE"""),"RISHABH RAJ")</f>
        <v>RISHABH RAJ</v>
      </c>
      <c r="D436" s="155" t="str">
        <f>IFERROR(__xludf.DUMMYFUNCTION("""COMPUTED_VALUE"""),"1CR23IS206")</f>
        <v>1CR23IS206</v>
      </c>
      <c r="E436" s="563">
        <f>IFERROR(__xludf.DUMMYFUNCTION("""COMPUTED_VALUE"""),8.433998135E9)</f>
        <v>8433998135</v>
      </c>
      <c r="F436" s="155" t="str">
        <f>IFERROR(__xludf.DUMMYFUNCTION("""COMPUTED_VALUE"""),"ISE")</f>
        <v>ISE</v>
      </c>
      <c r="G436" s="158"/>
      <c r="H436" s="559">
        <f>IFERROR(__xludf.DUMMYFUNCTION("""COMPUTED_VALUE"""),83.0)</f>
        <v>83</v>
      </c>
      <c r="I436" s="559">
        <f>IFERROR(__xludf.DUMMYFUNCTION("""COMPUTED_VALUE"""),86.0)</f>
        <v>86</v>
      </c>
      <c r="J436" s="559">
        <f>IFERROR(__xludf.DUMMYFUNCTION("""COMPUTED_VALUE"""),70.0)</f>
        <v>70</v>
      </c>
      <c r="K436" s="559">
        <f>IFERROR(__xludf.DUMMYFUNCTION("""COMPUTED_VALUE"""),70.0)</f>
        <v>70</v>
      </c>
      <c r="L436" s="560">
        <f>IFERROR(__xludf.DUMMYFUNCTION("""COMPUTED_VALUE"""),72.0)</f>
        <v>72</v>
      </c>
      <c r="M436" s="561">
        <f>IFERROR(__xludf.DUMMYFUNCTION("""COMPUTED_VALUE"""),83.0)</f>
        <v>83</v>
      </c>
      <c r="N436" s="561">
        <f>IFERROR(__xludf.DUMMYFUNCTION("""COMPUTED_VALUE"""),66.0)</f>
        <v>66</v>
      </c>
      <c r="O436" s="560"/>
      <c r="P436" s="562">
        <f>IFERROR(__xludf.DUMMYFUNCTION("""COMPUTED_VALUE"""),75.0)</f>
        <v>75</v>
      </c>
      <c r="Q436" s="562">
        <f>IFERROR(__xludf.DUMMYFUNCTION("""COMPUTED_VALUE"""),65.0)</f>
        <v>65</v>
      </c>
      <c r="R436" s="562">
        <f>IFERROR(__xludf.DUMMYFUNCTION("""COMPUTED_VALUE"""),91.0)</f>
        <v>91</v>
      </c>
      <c r="S436" s="562"/>
      <c r="T436" s="217">
        <f>IFERROR(__xludf.DUMMYFUNCTION("""COMPUTED_VALUE"""),18.0)</f>
        <v>18</v>
      </c>
      <c r="U436" s="217">
        <f>IFERROR(__xludf.DUMMYFUNCTION("""COMPUTED_VALUE"""),11.0)</f>
        <v>11</v>
      </c>
      <c r="V436" s="217">
        <f>IFERROR(__xludf.DUMMYFUNCTION("""COMPUTED_VALUE"""),0.0)</f>
        <v>0</v>
      </c>
      <c r="W436" s="217">
        <f>IFERROR(__xludf.DUMMYFUNCTION("""COMPUTED_VALUE"""),64.0)</f>
        <v>64</v>
      </c>
      <c r="X436" s="217">
        <f>IFERROR(__xludf.DUMMYFUNCTION("""COMPUTED_VALUE"""),84.0)</f>
        <v>84</v>
      </c>
      <c r="Y436" s="217"/>
      <c r="Z436" s="217"/>
      <c r="AA436" s="481"/>
      <c r="AB436" s="481">
        <f>IFERROR(__xludf.DUMMYFUNCTION("""COMPUTED_VALUE"""),100.0)</f>
        <v>100</v>
      </c>
      <c r="AC436" s="481">
        <f>IFERROR(__xludf.DUMMYFUNCTION("""COMPUTED_VALUE"""),69.0)</f>
        <v>69</v>
      </c>
      <c r="AD436" s="481">
        <f>IFERROR(__xludf.DUMMYFUNCTION("""COMPUTED_VALUE"""),68.0)</f>
        <v>68</v>
      </c>
      <c r="AE436" s="481">
        <f>IFERROR(__xludf.DUMMYFUNCTION("""COMPUTED_VALUE"""),70.0)</f>
        <v>70</v>
      </c>
      <c r="AF436" s="481"/>
      <c r="AG436" s="481">
        <f>IFERROR(__xludf.DUMMYFUNCTION("""COMPUTED_VALUE"""),52.0)</f>
        <v>52</v>
      </c>
      <c r="AH436" s="481"/>
      <c r="AI436" s="158"/>
      <c r="AJ436" s="158"/>
      <c r="AK436" s="133">
        <f>IFERROR(__xludf.DUMMYFUNCTION("""COMPUTED_VALUE"""),4.0)</f>
        <v>4</v>
      </c>
      <c r="AL436" s="133">
        <f>IFERROR(__xludf.DUMMYFUNCTION("""COMPUTED_VALUE"""),3.0)</f>
        <v>3</v>
      </c>
      <c r="AM436" s="133">
        <f>IFERROR(__xludf.DUMMYFUNCTION("""COMPUTED_VALUE"""),3.0)</f>
        <v>3</v>
      </c>
      <c r="AN436" s="133" t="str">
        <f>IFERROR(__xludf.DUMMYFUNCTION("""COMPUTED_VALUE"""),"3.5")</f>
        <v>3.5</v>
      </c>
      <c r="AO436" s="133">
        <f>IFERROR(__xludf.DUMMYFUNCTION("""COMPUTED_VALUE"""),3.0)</f>
        <v>3</v>
      </c>
      <c r="AP436" s="155" t="s">
        <v>3706</v>
      </c>
    </row>
    <row r="437">
      <c r="A437" s="155">
        <f>IFERROR(__xludf.DUMMYFUNCTION("""COMPUTED_VALUE"""),199.0)</f>
        <v>199</v>
      </c>
      <c r="B437" s="155" t="str">
        <f>IFERROR(__xludf.DUMMYFUNCTION("""COMPUTED_VALUE"""),"chki23aiml@cmrit.ac.in")</f>
        <v>chki23aiml@cmrit.ac.in</v>
      </c>
      <c r="C437" s="174" t="str">
        <f>IFERROR(__xludf.DUMMYFUNCTION("""COMPUTED_VALUE"""),"CHINMAYI KIRAN")</f>
        <v>CHINMAYI KIRAN</v>
      </c>
      <c r="D437" s="155" t="str">
        <f>IFERROR(__xludf.DUMMYFUNCTION("""COMPUTED_VALUE"""),"1CR23IS207")</f>
        <v>1CR23IS207</v>
      </c>
      <c r="E437" s="563">
        <f>IFERROR(__xludf.DUMMYFUNCTION("""COMPUTED_VALUE"""),8.660835895E9)</f>
        <v>8660835895</v>
      </c>
      <c r="F437" s="155" t="str">
        <f>IFERROR(__xludf.DUMMYFUNCTION("""COMPUTED_VALUE"""),"ISE")</f>
        <v>ISE</v>
      </c>
      <c r="G437" s="158"/>
      <c r="H437" s="559">
        <f>IFERROR(__xludf.DUMMYFUNCTION("""COMPUTED_VALUE"""),0.0)</f>
        <v>0</v>
      </c>
      <c r="I437" s="559">
        <f>IFERROR(__xludf.DUMMYFUNCTION("""COMPUTED_VALUE"""),0.0)</f>
        <v>0</v>
      </c>
      <c r="J437" s="559">
        <f>IFERROR(__xludf.DUMMYFUNCTION("""COMPUTED_VALUE"""),0.0)</f>
        <v>0</v>
      </c>
      <c r="K437" s="559">
        <f>IFERROR(__xludf.DUMMYFUNCTION("""COMPUTED_VALUE"""),0.0)</f>
        <v>0</v>
      </c>
      <c r="L437" s="560">
        <f>IFERROR(__xludf.DUMMYFUNCTION("""COMPUTED_VALUE"""),50.0)</f>
        <v>50</v>
      </c>
      <c r="M437" s="561">
        <f>IFERROR(__xludf.DUMMYFUNCTION("""COMPUTED_VALUE"""),6.0)</f>
        <v>6</v>
      </c>
      <c r="N437" s="561">
        <f>IFERROR(__xludf.DUMMYFUNCTION("""COMPUTED_VALUE"""),0.0)</f>
        <v>0</v>
      </c>
      <c r="O437" s="560"/>
      <c r="P437" s="562">
        <f>IFERROR(__xludf.DUMMYFUNCTION("""COMPUTED_VALUE"""),0.0)</f>
        <v>0</v>
      </c>
      <c r="Q437" s="562">
        <f>IFERROR(__xludf.DUMMYFUNCTION("""COMPUTED_VALUE"""),50.0)</f>
        <v>50</v>
      </c>
      <c r="R437" s="562">
        <f>IFERROR(__xludf.DUMMYFUNCTION("""COMPUTED_VALUE"""),50.0)</f>
        <v>50</v>
      </c>
      <c r="S437" s="562"/>
      <c r="T437" s="217"/>
      <c r="U437" s="217"/>
      <c r="V437" s="217"/>
      <c r="W437" s="217">
        <f>IFERROR(__xludf.DUMMYFUNCTION("""COMPUTED_VALUE"""),72.0)</f>
        <v>72</v>
      </c>
      <c r="X437" s="217">
        <f>IFERROR(__xludf.DUMMYFUNCTION("""COMPUTED_VALUE"""),72.0)</f>
        <v>72</v>
      </c>
      <c r="Y437" s="217"/>
      <c r="Z437" s="217"/>
      <c r="AA437" s="481"/>
      <c r="AB437" s="481"/>
      <c r="AC437" s="481">
        <f>IFERROR(__xludf.DUMMYFUNCTION("""COMPUTED_VALUE"""),0.0)</f>
        <v>0</v>
      </c>
      <c r="AD437" s="481"/>
      <c r="AE437" s="481">
        <f>IFERROR(__xludf.DUMMYFUNCTION("""COMPUTED_VALUE"""),16.0)</f>
        <v>16</v>
      </c>
      <c r="AF437" s="481"/>
      <c r="AG437" s="481">
        <f>IFERROR(__xludf.DUMMYFUNCTION("""COMPUTED_VALUE"""),10.0)</f>
        <v>10</v>
      </c>
      <c r="AH437" s="481"/>
      <c r="AI437" s="158"/>
      <c r="AJ437" s="158"/>
      <c r="AK437" s="133">
        <f>IFERROR(__xludf.DUMMYFUNCTION("""COMPUTED_VALUE"""),0.0)</f>
        <v>0</v>
      </c>
      <c r="AL437" s="133">
        <f>IFERROR(__xludf.DUMMYFUNCTION("""COMPUTED_VALUE"""),1.0)</f>
        <v>1</v>
      </c>
      <c r="AM437" s="133">
        <f>IFERROR(__xludf.DUMMYFUNCTION("""COMPUTED_VALUE"""),0.0)</f>
        <v>0</v>
      </c>
      <c r="AN437" s="133" t="str">
        <f>IFERROR(__xludf.DUMMYFUNCTION("""COMPUTED_VALUE"""),"0")</f>
        <v>0</v>
      </c>
      <c r="AO437" s="133">
        <f>IFERROR(__xludf.DUMMYFUNCTION("""COMPUTED_VALUE"""),0.0)</f>
        <v>0</v>
      </c>
      <c r="AP437" s="155" t="s">
        <v>3706</v>
      </c>
    </row>
    <row r="438">
      <c r="A438" s="155">
        <f>IFERROR(__xludf.DUMMYFUNCTION("""COMPUTED_VALUE"""),200.0)</f>
        <v>200</v>
      </c>
      <c r="B438" s="155" t="str">
        <f>IFERROR(__xludf.DUMMYFUNCTION("""COMPUTED_VALUE"""),"amar.ise24le@cmrit.ac.in")</f>
        <v>amar.ise24le@cmrit.ac.in</v>
      </c>
      <c r="C438" s="174" t="str">
        <f>IFERROR(__xludf.DUMMYFUNCTION("""COMPUTED_VALUE"""),"AMAR K")</f>
        <v>AMAR K</v>
      </c>
      <c r="D438" s="155" t="str">
        <f>IFERROR(__xludf.DUMMYFUNCTION("""COMPUTED_VALUE"""),"1CR24IS400")</f>
        <v>1CR24IS400</v>
      </c>
      <c r="E438" s="563">
        <f>IFERROR(__xludf.DUMMYFUNCTION("""COMPUTED_VALUE"""),9.353370883E9)</f>
        <v>9353370883</v>
      </c>
      <c r="F438" s="155" t="str">
        <f>IFERROR(__xludf.DUMMYFUNCTION("""COMPUTED_VALUE"""),"ISE")</f>
        <v>ISE</v>
      </c>
      <c r="G438" s="158"/>
      <c r="H438" s="559">
        <f>IFERROR(__xludf.DUMMYFUNCTION("""COMPUTED_VALUE"""),70.0)</f>
        <v>70</v>
      </c>
      <c r="I438" s="559">
        <f>IFERROR(__xludf.DUMMYFUNCTION("""COMPUTED_VALUE"""),88.0)</f>
        <v>88</v>
      </c>
      <c r="J438" s="559">
        <f>IFERROR(__xludf.DUMMYFUNCTION("""COMPUTED_VALUE"""),70.0)</f>
        <v>70</v>
      </c>
      <c r="K438" s="559">
        <f>IFERROR(__xludf.DUMMYFUNCTION("""COMPUTED_VALUE"""),72.0)</f>
        <v>72</v>
      </c>
      <c r="L438" s="560">
        <f>IFERROR(__xludf.DUMMYFUNCTION("""COMPUTED_VALUE"""),42.0)</f>
        <v>42</v>
      </c>
      <c r="M438" s="561">
        <f>IFERROR(__xludf.DUMMYFUNCTION("""COMPUTED_VALUE"""),62.0)</f>
        <v>62</v>
      </c>
      <c r="N438" s="561">
        <f>IFERROR(__xludf.DUMMYFUNCTION("""COMPUTED_VALUE"""),50.0)</f>
        <v>50</v>
      </c>
      <c r="O438" s="560"/>
      <c r="P438" s="562">
        <f>IFERROR(__xludf.DUMMYFUNCTION("""COMPUTED_VALUE"""),0.0)</f>
        <v>0</v>
      </c>
      <c r="Q438" s="562">
        <f>IFERROR(__xludf.DUMMYFUNCTION("""COMPUTED_VALUE"""),50.0)</f>
        <v>50</v>
      </c>
      <c r="R438" s="562">
        <f>IFERROR(__xludf.DUMMYFUNCTION("""COMPUTED_VALUE"""),0.0)</f>
        <v>0</v>
      </c>
      <c r="S438" s="562"/>
      <c r="T438" s="217"/>
      <c r="U438" s="217"/>
      <c r="V438" s="217"/>
      <c r="W438" s="217">
        <f>IFERROR(__xludf.DUMMYFUNCTION("""COMPUTED_VALUE"""),68.0)</f>
        <v>68</v>
      </c>
      <c r="X438" s="217">
        <f>IFERROR(__xludf.DUMMYFUNCTION("""COMPUTED_VALUE"""),88.0)</f>
        <v>88</v>
      </c>
      <c r="Y438" s="217"/>
      <c r="Z438" s="217"/>
      <c r="AA438" s="481"/>
      <c r="AB438" s="481">
        <f>IFERROR(__xludf.DUMMYFUNCTION("""COMPUTED_VALUE"""),10.0)</f>
        <v>10</v>
      </c>
      <c r="AC438" s="481">
        <f>IFERROR(__xludf.DUMMYFUNCTION("""COMPUTED_VALUE"""),10.0)</f>
        <v>10</v>
      </c>
      <c r="AD438" s="481"/>
      <c r="AE438" s="481">
        <f>IFERROR(__xludf.DUMMYFUNCTION("""COMPUTED_VALUE"""),24.0)</f>
        <v>24</v>
      </c>
      <c r="AF438" s="481"/>
      <c r="AG438" s="481">
        <f>IFERROR(__xludf.DUMMYFUNCTION("""COMPUTED_VALUE"""),36.0)</f>
        <v>36</v>
      </c>
      <c r="AH438" s="481"/>
      <c r="AI438" s="158"/>
      <c r="AJ438" s="158"/>
      <c r="AK438" s="133">
        <f>IFERROR(__xludf.DUMMYFUNCTION("""COMPUTED_VALUE"""),4.0)</f>
        <v>4</v>
      </c>
      <c r="AL438" s="133">
        <f>IFERROR(__xludf.DUMMYFUNCTION("""COMPUTED_VALUE"""),0.0)</f>
        <v>0</v>
      </c>
      <c r="AM438" s="133">
        <f>IFERROR(__xludf.DUMMYFUNCTION("""COMPUTED_VALUE"""),0.0)</f>
        <v>0</v>
      </c>
      <c r="AN438" s="133" t="str">
        <f>IFERROR(__xludf.DUMMYFUNCTION("""COMPUTED_VALUE"""),"0")</f>
        <v>0</v>
      </c>
      <c r="AO438" s="133">
        <f>IFERROR(__xludf.DUMMYFUNCTION("""COMPUTED_VALUE"""),0.0)</f>
        <v>0</v>
      </c>
      <c r="AP438" s="155" t="s">
        <v>3706</v>
      </c>
    </row>
    <row r="439">
      <c r="A439" s="155">
        <f>IFERROR(__xludf.DUMMYFUNCTION("""COMPUTED_VALUE"""),201.0)</f>
        <v>201</v>
      </c>
      <c r="B439" s="155" t="str">
        <f>IFERROR(__xludf.DUMMYFUNCTION("""COMPUTED_VALUE"""),"cldeekshitha.ise24le@cmrit.ac.in")</f>
        <v>cldeekshitha.ise24le@cmrit.ac.in</v>
      </c>
      <c r="C439" s="174" t="str">
        <f>IFERROR(__xludf.DUMMYFUNCTION("""COMPUTED_VALUE"""),"C L DEEKSHITHA")</f>
        <v>C L DEEKSHITHA</v>
      </c>
      <c r="D439" s="155" t="str">
        <f>IFERROR(__xludf.DUMMYFUNCTION("""COMPUTED_VALUE"""),"1CR24IS401")</f>
        <v>1CR24IS401</v>
      </c>
      <c r="E439" s="563">
        <f>IFERROR(__xludf.DUMMYFUNCTION("""COMPUTED_VALUE"""),9.380664359E9)</f>
        <v>9380664359</v>
      </c>
      <c r="F439" s="155" t="str">
        <f>IFERROR(__xludf.DUMMYFUNCTION("""COMPUTED_VALUE"""),"ISE")</f>
        <v>ISE</v>
      </c>
      <c r="G439" s="158"/>
      <c r="H439" s="559">
        <f>IFERROR(__xludf.DUMMYFUNCTION("""COMPUTED_VALUE"""),28.0)</f>
        <v>28</v>
      </c>
      <c r="I439" s="559">
        <f>IFERROR(__xludf.DUMMYFUNCTION("""COMPUTED_VALUE"""),32.0)</f>
        <v>32</v>
      </c>
      <c r="J439" s="559">
        <f>IFERROR(__xludf.DUMMYFUNCTION("""COMPUTED_VALUE"""),70.0)</f>
        <v>70</v>
      </c>
      <c r="K439" s="559">
        <f>IFERROR(__xludf.DUMMYFUNCTION("""COMPUTED_VALUE"""),47.0)</f>
        <v>47</v>
      </c>
      <c r="L439" s="560">
        <f>IFERROR(__xludf.DUMMYFUNCTION("""COMPUTED_VALUE"""),5.0)</f>
        <v>5</v>
      </c>
      <c r="M439" s="561">
        <f>IFERROR(__xludf.DUMMYFUNCTION("""COMPUTED_VALUE"""),15.0)</f>
        <v>15</v>
      </c>
      <c r="N439" s="561">
        <f>IFERROR(__xludf.DUMMYFUNCTION("""COMPUTED_VALUE"""),23.0)</f>
        <v>23</v>
      </c>
      <c r="O439" s="560"/>
      <c r="P439" s="562">
        <f>IFERROR(__xludf.DUMMYFUNCTION("""COMPUTED_VALUE"""),0.0)</f>
        <v>0</v>
      </c>
      <c r="Q439" s="562">
        <f>IFERROR(__xludf.DUMMYFUNCTION("""COMPUTED_VALUE"""),55.0)</f>
        <v>55</v>
      </c>
      <c r="R439" s="562">
        <f>IFERROR(__xludf.DUMMYFUNCTION("""COMPUTED_VALUE"""),46.0)</f>
        <v>46</v>
      </c>
      <c r="S439" s="562"/>
      <c r="T439" s="217"/>
      <c r="U439" s="217"/>
      <c r="V439" s="217"/>
      <c r="W439" s="217">
        <f>IFERROR(__xludf.DUMMYFUNCTION("""COMPUTED_VALUE"""),48.0)</f>
        <v>48</v>
      </c>
      <c r="X439" s="217">
        <f>IFERROR(__xludf.DUMMYFUNCTION("""COMPUTED_VALUE"""),60.0)</f>
        <v>60</v>
      </c>
      <c r="Y439" s="217"/>
      <c r="Z439" s="217"/>
      <c r="AA439" s="481"/>
      <c r="AB439" s="481">
        <f>IFERROR(__xludf.DUMMYFUNCTION("""COMPUTED_VALUE"""),0.0)</f>
        <v>0</v>
      </c>
      <c r="AC439" s="481">
        <f>IFERROR(__xludf.DUMMYFUNCTION("""COMPUTED_VALUE"""),0.0)</f>
        <v>0</v>
      </c>
      <c r="AD439" s="481">
        <f>IFERROR(__xludf.DUMMYFUNCTION("""COMPUTED_VALUE"""),60.0)</f>
        <v>60</v>
      </c>
      <c r="AE439" s="481">
        <f>IFERROR(__xludf.DUMMYFUNCTION("""COMPUTED_VALUE"""),25.0)</f>
        <v>25</v>
      </c>
      <c r="AF439" s="481"/>
      <c r="AG439" s="481">
        <f>IFERROR(__xludf.DUMMYFUNCTION("""COMPUTED_VALUE"""),36.0)</f>
        <v>36</v>
      </c>
      <c r="AH439" s="481"/>
      <c r="AI439" s="158"/>
      <c r="AJ439" s="158"/>
      <c r="AK439" s="133">
        <f>IFERROR(__xludf.DUMMYFUNCTION("""COMPUTED_VALUE"""),0.0)</f>
        <v>0</v>
      </c>
      <c r="AL439" s="133">
        <f>IFERROR(__xludf.DUMMYFUNCTION("""COMPUTED_VALUE"""),0.0)</f>
        <v>0</v>
      </c>
      <c r="AM439" s="133">
        <f>IFERROR(__xludf.DUMMYFUNCTION("""COMPUTED_VALUE"""),0.0)</f>
        <v>0</v>
      </c>
      <c r="AN439" s="133" t="str">
        <f>IFERROR(__xludf.DUMMYFUNCTION("""COMPUTED_VALUE"""),"0")</f>
        <v>0</v>
      </c>
      <c r="AO439" s="133">
        <f>IFERROR(__xludf.DUMMYFUNCTION("""COMPUTED_VALUE"""),0.0)</f>
        <v>0</v>
      </c>
      <c r="AP439" s="155" t="s">
        <v>3706</v>
      </c>
    </row>
    <row r="440">
      <c r="A440" s="155">
        <f>IFERROR(__xludf.DUMMYFUNCTION("""COMPUTED_VALUE"""),202.0)</f>
        <v>202</v>
      </c>
      <c r="B440" s="155" t="str">
        <f>IFERROR(__xludf.DUMMYFUNCTION("""COMPUTED_VALUE"""),"darshan.ise24le@cmrit.ac.in")</f>
        <v>darshan.ise24le@cmrit.ac.in</v>
      </c>
      <c r="C440" s="174" t="str">
        <f>IFERROR(__xludf.DUMMYFUNCTION("""COMPUTED_VALUE"""),"DARSHAN V")</f>
        <v>DARSHAN V</v>
      </c>
      <c r="D440" s="155" t="str">
        <f>IFERROR(__xludf.DUMMYFUNCTION("""COMPUTED_VALUE"""),"1CR24IS402")</f>
        <v>1CR24IS402</v>
      </c>
      <c r="E440" s="563">
        <f>IFERROR(__xludf.DUMMYFUNCTION("""COMPUTED_VALUE"""),7.760404413E9)</f>
        <v>7760404413</v>
      </c>
      <c r="F440" s="155" t="str">
        <f>IFERROR(__xludf.DUMMYFUNCTION("""COMPUTED_VALUE"""),"ISE")</f>
        <v>ISE</v>
      </c>
      <c r="G440" s="158"/>
      <c r="H440" s="559">
        <f>IFERROR(__xludf.DUMMYFUNCTION("""COMPUTED_VALUE"""),70.0)</f>
        <v>70</v>
      </c>
      <c r="I440" s="559">
        <f>IFERROR(__xludf.DUMMYFUNCTION("""COMPUTED_VALUE"""),80.0)</f>
        <v>80</v>
      </c>
      <c r="J440" s="559">
        <f>IFERROR(__xludf.DUMMYFUNCTION("""COMPUTED_VALUE"""),70.0)</f>
        <v>70</v>
      </c>
      <c r="K440" s="559">
        <f>IFERROR(__xludf.DUMMYFUNCTION("""COMPUTED_VALUE"""),70.0)</f>
        <v>70</v>
      </c>
      <c r="L440" s="560">
        <f>IFERROR(__xludf.DUMMYFUNCTION("""COMPUTED_VALUE"""),50.0)</f>
        <v>50</v>
      </c>
      <c r="M440" s="561">
        <f>IFERROR(__xludf.DUMMYFUNCTION("""COMPUTED_VALUE"""),44.0)</f>
        <v>44</v>
      </c>
      <c r="N440" s="561">
        <f>IFERROR(__xludf.DUMMYFUNCTION("""COMPUTED_VALUE"""),50.0)</f>
        <v>50</v>
      </c>
      <c r="O440" s="560"/>
      <c r="P440" s="562">
        <f>IFERROR(__xludf.DUMMYFUNCTION("""COMPUTED_VALUE"""),0.0)</f>
        <v>0</v>
      </c>
      <c r="Q440" s="562">
        <f>IFERROR(__xludf.DUMMYFUNCTION("""COMPUTED_VALUE"""),58.0)</f>
        <v>58</v>
      </c>
      <c r="R440" s="562">
        <f>IFERROR(__xludf.DUMMYFUNCTION("""COMPUTED_VALUE"""),0.0)</f>
        <v>0</v>
      </c>
      <c r="S440" s="562"/>
      <c r="T440" s="217"/>
      <c r="U440" s="217"/>
      <c r="V440" s="217"/>
      <c r="W440" s="217">
        <f>IFERROR(__xludf.DUMMYFUNCTION("""COMPUTED_VALUE"""),52.0)</f>
        <v>52</v>
      </c>
      <c r="X440" s="217">
        <f>IFERROR(__xludf.DUMMYFUNCTION("""COMPUTED_VALUE"""),0.0)</f>
        <v>0</v>
      </c>
      <c r="Y440" s="217"/>
      <c r="Z440" s="217"/>
      <c r="AA440" s="481"/>
      <c r="AB440" s="481">
        <f>IFERROR(__xludf.DUMMYFUNCTION("""COMPUTED_VALUE"""),0.0)</f>
        <v>0</v>
      </c>
      <c r="AC440" s="481">
        <f>IFERROR(__xludf.DUMMYFUNCTION("""COMPUTED_VALUE"""),0.0)</f>
        <v>0</v>
      </c>
      <c r="AD440" s="481"/>
      <c r="AE440" s="481">
        <f>IFERROR(__xludf.DUMMYFUNCTION("""COMPUTED_VALUE"""),12.0)</f>
        <v>12</v>
      </c>
      <c r="AF440" s="481"/>
      <c r="AG440" s="481">
        <f>IFERROR(__xludf.DUMMYFUNCTION("""COMPUTED_VALUE"""),41.0)</f>
        <v>41</v>
      </c>
      <c r="AH440" s="481"/>
      <c r="AI440" s="158"/>
      <c r="AJ440" s="158"/>
      <c r="AK440" s="133">
        <f>IFERROR(__xludf.DUMMYFUNCTION("""COMPUTED_VALUE"""),4.0)</f>
        <v>4</v>
      </c>
      <c r="AL440" s="133">
        <f>IFERROR(__xludf.DUMMYFUNCTION("""COMPUTED_VALUE"""),1.0)</f>
        <v>1</v>
      </c>
      <c r="AM440" s="133">
        <f>IFERROR(__xludf.DUMMYFUNCTION("""COMPUTED_VALUE"""),0.0)</f>
        <v>0</v>
      </c>
      <c r="AN440" s="133" t="str">
        <f>IFERROR(__xludf.DUMMYFUNCTION("""COMPUTED_VALUE"""),"0")</f>
        <v>0</v>
      </c>
      <c r="AO440" s="133">
        <f>IFERROR(__xludf.DUMMYFUNCTION("""COMPUTED_VALUE"""),0.0)</f>
        <v>0</v>
      </c>
      <c r="AP440" s="155" t="s">
        <v>3706</v>
      </c>
    </row>
    <row r="441">
      <c r="A441" s="155">
        <f>IFERROR(__xludf.DUMMYFUNCTION("""COMPUTED_VALUE"""),203.0)</f>
        <v>203</v>
      </c>
      <c r="B441" s="155" t="str">
        <f>IFERROR(__xludf.DUMMYFUNCTION("""COMPUTED_VALUE"""),"dhanyasuresh.ise24le@cmrit.ac.in")</f>
        <v>dhanyasuresh.ise24le@cmrit.ac.in</v>
      </c>
      <c r="C441" s="174" t="str">
        <f>IFERROR(__xludf.DUMMYFUNCTION("""COMPUTED_VALUE"""),"DHANYA SURESH HARIKANT")</f>
        <v>DHANYA SURESH HARIKANT</v>
      </c>
      <c r="D441" s="155" t="str">
        <f>IFERROR(__xludf.DUMMYFUNCTION("""COMPUTED_VALUE"""),"1CR24IS403")</f>
        <v>1CR24IS403</v>
      </c>
      <c r="E441" s="563">
        <f>IFERROR(__xludf.DUMMYFUNCTION("""COMPUTED_VALUE"""),8.088433937E9)</f>
        <v>8088433937</v>
      </c>
      <c r="F441" s="155" t="str">
        <f>IFERROR(__xludf.DUMMYFUNCTION("""COMPUTED_VALUE"""),"ISE")</f>
        <v>ISE</v>
      </c>
      <c r="G441" s="158"/>
      <c r="H441" s="559">
        <f>IFERROR(__xludf.DUMMYFUNCTION("""COMPUTED_VALUE"""),70.0)</f>
        <v>70</v>
      </c>
      <c r="I441" s="559">
        <f>IFERROR(__xludf.DUMMYFUNCTION("""COMPUTED_VALUE"""),70.0)</f>
        <v>70</v>
      </c>
      <c r="J441" s="559">
        <f>IFERROR(__xludf.DUMMYFUNCTION("""COMPUTED_VALUE"""),70.0)</f>
        <v>70</v>
      </c>
      <c r="K441" s="559">
        <f>IFERROR(__xludf.DUMMYFUNCTION("""COMPUTED_VALUE"""),72.0)</f>
        <v>72</v>
      </c>
      <c r="L441" s="560">
        <f>IFERROR(__xludf.DUMMYFUNCTION("""COMPUTED_VALUE"""),50.0)</f>
        <v>50</v>
      </c>
      <c r="M441" s="561">
        <f>IFERROR(__xludf.DUMMYFUNCTION("""COMPUTED_VALUE"""),50.0)</f>
        <v>50</v>
      </c>
      <c r="N441" s="561">
        <f>IFERROR(__xludf.DUMMYFUNCTION("""COMPUTED_VALUE"""),47.0)</f>
        <v>47</v>
      </c>
      <c r="O441" s="560"/>
      <c r="P441" s="562">
        <f>IFERROR(__xludf.DUMMYFUNCTION("""COMPUTED_VALUE"""),50.0)</f>
        <v>50</v>
      </c>
      <c r="Q441" s="562">
        <f>IFERROR(__xludf.DUMMYFUNCTION("""COMPUTED_VALUE"""),55.0)</f>
        <v>55</v>
      </c>
      <c r="R441" s="562">
        <f>IFERROR(__xludf.DUMMYFUNCTION("""COMPUTED_VALUE"""),50.0)</f>
        <v>50</v>
      </c>
      <c r="S441" s="562"/>
      <c r="T441" s="217"/>
      <c r="U441" s="217"/>
      <c r="V441" s="217"/>
      <c r="W441" s="217">
        <f>IFERROR(__xludf.DUMMYFUNCTION("""COMPUTED_VALUE"""),64.0)</f>
        <v>64</v>
      </c>
      <c r="X441" s="217">
        <f>IFERROR(__xludf.DUMMYFUNCTION("""COMPUTED_VALUE"""),72.0)</f>
        <v>72</v>
      </c>
      <c r="Y441" s="217"/>
      <c r="Z441" s="217"/>
      <c r="AA441" s="481"/>
      <c r="AB441" s="481">
        <f>IFERROR(__xludf.DUMMYFUNCTION("""COMPUTED_VALUE"""),57.0)</f>
        <v>57</v>
      </c>
      <c r="AC441" s="481">
        <f>IFERROR(__xludf.DUMMYFUNCTION("""COMPUTED_VALUE"""),60.0)</f>
        <v>60</v>
      </c>
      <c r="AD441" s="481">
        <f>IFERROR(__xludf.DUMMYFUNCTION("""COMPUTED_VALUE"""),75.0)</f>
        <v>75</v>
      </c>
      <c r="AE441" s="481">
        <f>IFERROR(__xludf.DUMMYFUNCTION("""COMPUTED_VALUE"""),70.0)</f>
        <v>70</v>
      </c>
      <c r="AF441" s="481"/>
      <c r="AG441" s="481">
        <f>IFERROR(__xludf.DUMMYFUNCTION("""COMPUTED_VALUE"""),62.0)</f>
        <v>62</v>
      </c>
      <c r="AH441" s="481"/>
      <c r="AI441" s="158"/>
      <c r="AJ441" s="158"/>
      <c r="AK441" s="133">
        <f>IFERROR(__xludf.DUMMYFUNCTION("""COMPUTED_VALUE"""),4.0)</f>
        <v>4</v>
      </c>
      <c r="AL441" s="133">
        <f>IFERROR(__xludf.DUMMYFUNCTION("""COMPUTED_VALUE"""),2.0)</f>
        <v>2</v>
      </c>
      <c r="AM441" s="133">
        <f>IFERROR(__xludf.DUMMYFUNCTION("""COMPUTED_VALUE"""),0.0)</f>
        <v>0</v>
      </c>
      <c r="AN441" s="133" t="str">
        <f>IFERROR(__xludf.DUMMYFUNCTION("""COMPUTED_VALUE"""),"3.5")</f>
        <v>3.5</v>
      </c>
      <c r="AO441" s="133">
        <f>IFERROR(__xludf.DUMMYFUNCTION("""COMPUTED_VALUE"""),3.0)</f>
        <v>3</v>
      </c>
      <c r="AP441" s="155" t="s">
        <v>3706</v>
      </c>
    </row>
    <row r="442">
      <c r="A442" s="155">
        <f>IFERROR(__xludf.DUMMYFUNCTION("""COMPUTED_VALUE"""),204.0)</f>
        <v>204</v>
      </c>
      <c r="B442" s="155" t="str">
        <f>IFERROR(__xludf.DUMMYFUNCTION("""COMPUTED_VALUE"""),"harshavardhan.ise24le@cmrit.ac.in")</f>
        <v>harshavardhan.ise24le@cmrit.ac.in</v>
      </c>
      <c r="C442" s="174" t="str">
        <f>IFERROR(__xludf.DUMMYFUNCTION("""COMPUTED_VALUE"""),"HARSHAVARDHAN N")</f>
        <v>HARSHAVARDHAN N</v>
      </c>
      <c r="D442" s="155" t="str">
        <f>IFERROR(__xludf.DUMMYFUNCTION("""COMPUTED_VALUE"""),"1CR24IS404")</f>
        <v>1CR24IS404</v>
      </c>
      <c r="E442" s="563">
        <f>IFERROR(__xludf.DUMMYFUNCTION("""COMPUTED_VALUE"""),7.676461832E9)</f>
        <v>7676461832</v>
      </c>
      <c r="F442" s="155" t="str">
        <f>IFERROR(__xludf.DUMMYFUNCTION("""COMPUTED_VALUE"""),"ISE")</f>
        <v>ISE</v>
      </c>
      <c r="G442" s="158"/>
      <c r="H442" s="559">
        <f>IFERROR(__xludf.DUMMYFUNCTION("""COMPUTED_VALUE"""),70.0)</f>
        <v>70</v>
      </c>
      <c r="I442" s="559">
        <f>IFERROR(__xludf.DUMMYFUNCTION("""COMPUTED_VALUE"""),88.0)</f>
        <v>88</v>
      </c>
      <c r="J442" s="559">
        <f>IFERROR(__xludf.DUMMYFUNCTION("""COMPUTED_VALUE"""),70.0)</f>
        <v>70</v>
      </c>
      <c r="K442" s="559">
        <f>IFERROR(__xludf.DUMMYFUNCTION("""COMPUTED_VALUE"""),70.0)</f>
        <v>70</v>
      </c>
      <c r="L442" s="560">
        <f>IFERROR(__xludf.DUMMYFUNCTION("""COMPUTED_VALUE"""),75.0)</f>
        <v>75</v>
      </c>
      <c r="M442" s="561">
        <f>IFERROR(__xludf.DUMMYFUNCTION("""COMPUTED_VALUE"""),43.0)</f>
        <v>43</v>
      </c>
      <c r="N442" s="561">
        <f>IFERROR(__xludf.DUMMYFUNCTION("""COMPUTED_VALUE"""),50.0)</f>
        <v>50</v>
      </c>
      <c r="O442" s="560"/>
      <c r="P442" s="562">
        <f>IFERROR(__xludf.DUMMYFUNCTION("""COMPUTED_VALUE"""),50.0)</f>
        <v>50</v>
      </c>
      <c r="Q442" s="562">
        <f>IFERROR(__xludf.DUMMYFUNCTION("""COMPUTED_VALUE"""),0.0)</f>
        <v>0</v>
      </c>
      <c r="R442" s="562">
        <f>IFERROR(__xludf.DUMMYFUNCTION("""COMPUTED_VALUE"""),83.0)</f>
        <v>83</v>
      </c>
      <c r="S442" s="562"/>
      <c r="T442" s="217"/>
      <c r="U442" s="217"/>
      <c r="V442" s="217"/>
      <c r="W442" s="217">
        <f>IFERROR(__xludf.DUMMYFUNCTION("""COMPUTED_VALUE"""),68.0)</f>
        <v>68</v>
      </c>
      <c r="X442" s="217">
        <f>IFERROR(__xludf.DUMMYFUNCTION("""COMPUTED_VALUE"""),68.0)</f>
        <v>68</v>
      </c>
      <c r="Y442" s="217"/>
      <c r="Z442" s="217"/>
      <c r="AA442" s="481"/>
      <c r="AB442" s="481">
        <f>IFERROR(__xludf.DUMMYFUNCTION("""COMPUTED_VALUE"""),80.0)</f>
        <v>80</v>
      </c>
      <c r="AC442" s="481">
        <f>IFERROR(__xludf.DUMMYFUNCTION("""COMPUTED_VALUE"""),80.0)</f>
        <v>80</v>
      </c>
      <c r="AD442" s="481">
        <f>IFERROR(__xludf.DUMMYFUNCTION("""COMPUTED_VALUE"""),60.0)</f>
        <v>60</v>
      </c>
      <c r="AE442" s="481">
        <f>IFERROR(__xludf.DUMMYFUNCTION("""COMPUTED_VALUE"""),20.0)</f>
        <v>20</v>
      </c>
      <c r="AF442" s="481"/>
      <c r="AG442" s="481">
        <f>IFERROR(__xludf.DUMMYFUNCTION("""COMPUTED_VALUE"""),33.0)</f>
        <v>33</v>
      </c>
      <c r="AH442" s="481"/>
      <c r="AI442" s="158"/>
      <c r="AJ442" s="158"/>
      <c r="AK442" s="133">
        <f>IFERROR(__xludf.DUMMYFUNCTION("""COMPUTED_VALUE"""),4.0)</f>
        <v>4</v>
      </c>
      <c r="AL442" s="133">
        <f>IFERROR(__xludf.DUMMYFUNCTION("""COMPUTED_VALUE"""),1.0)</f>
        <v>1</v>
      </c>
      <c r="AM442" s="133">
        <f>IFERROR(__xludf.DUMMYFUNCTION("""COMPUTED_VALUE"""),0.0)</f>
        <v>0</v>
      </c>
      <c r="AN442" s="133" t="str">
        <f>IFERROR(__xludf.DUMMYFUNCTION("""COMPUTED_VALUE"""),"3")</f>
        <v>3</v>
      </c>
      <c r="AO442" s="133">
        <f>IFERROR(__xludf.DUMMYFUNCTION("""COMPUTED_VALUE"""),1.0)</f>
        <v>1</v>
      </c>
      <c r="AP442" s="155" t="s">
        <v>3706</v>
      </c>
    </row>
    <row r="443">
      <c r="A443" s="155">
        <f>IFERROR(__xludf.DUMMYFUNCTION("""COMPUTED_VALUE"""),205.0)</f>
        <v>205</v>
      </c>
      <c r="B443" s="155" t="str">
        <f>IFERROR(__xludf.DUMMYFUNCTION("""COMPUTED_VALUE"""),"hrushikesh.ise24le@cmrit.ac.in")</f>
        <v>hrushikesh.ise24le@cmrit.ac.in</v>
      </c>
      <c r="C443" s="174" t="str">
        <f>IFERROR(__xludf.DUMMYFUNCTION("""COMPUTED_VALUE"""),"HRUSHIKESH")</f>
        <v>HRUSHIKESH</v>
      </c>
      <c r="D443" s="155" t="str">
        <f>IFERROR(__xludf.DUMMYFUNCTION("""COMPUTED_VALUE"""),"1CR24IS405")</f>
        <v>1CR24IS405</v>
      </c>
      <c r="E443" s="563">
        <f>IFERROR(__xludf.DUMMYFUNCTION("""COMPUTED_VALUE"""),9.844762215E9)</f>
        <v>9844762215</v>
      </c>
      <c r="F443" s="155" t="str">
        <f>IFERROR(__xludf.DUMMYFUNCTION("""COMPUTED_VALUE"""),"ISE")</f>
        <v>ISE</v>
      </c>
      <c r="G443" s="158"/>
      <c r="H443" s="559">
        <f>IFERROR(__xludf.DUMMYFUNCTION("""COMPUTED_VALUE"""),0.0)</f>
        <v>0</v>
      </c>
      <c r="I443" s="559">
        <f>IFERROR(__xludf.DUMMYFUNCTION("""COMPUTED_VALUE"""),0.0)</f>
        <v>0</v>
      </c>
      <c r="J443" s="559">
        <f>IFERROR(__xludf.DUMMYFUNCTION("""COMPUTED_VALUE"""),0.0)</f>
        <v>0</v>
      </c>
      <c r="K443" s="559">
        <f>IFERROR(__xludf.DUMMYFUNCTION("""COMPUTED_VALUE"""),0.0)</f>
        <v>0</v>
      </c>
      <c r="L443" s="560">
        <f>IFERROR(__xludf.DUMMYFUNCTION("""COMPUTED_VALUE"""),0.0)</f>
        <v>0</v>
      </c>
      <c r="M443" s="561">
        <f>IFERROR(__xludf.DUMMYFUNCTION("""COMPUTED_VALUE"""),0.0)</f>
        <v>0</v>
      </c>
      <c r="N443" s="561">
        <f>IFERROR(__xludf.DUMMYFUNCTION("""COMPUTED_VALUE"""),0.0)</f>
        <v>0</v>
      </c>
      <c r="O443" s="560"/>
      <c r="P443" s="562">
        <f>IFERROR(__xludf.DUMMYFUNCTION("""COMPUTED_VALUE"""),0.0)</f>
        <v>0</v>
      </c>
      <c r="Q443" s="562">
        <f>IFERROR(__xludf.DUMMYFUNCTION("""COMPUTED_VALUE"""),0.0)</f>
        <v>0</v>
      </c>
      <c r="R443" s="562">
        <f>IFERROR(__xludf.DUMMYFUNCTION("""COMPUTED_VALUE"""),0.0)</f>
        <v>0</v>
      </c>
      <c r="S443" s="562"/>
      <c r="T443" s="217"/>
      <c r="U443" s="217"/>
      <c r="V443" s="217"/>
      <c r="W443" s="217"/>
      <c r="X443" s="217">
        <f>IFERROR(__xludf.DUMMYFUNCTION("""COMPUTED_VALUE"""),0.0)</f>
        <v>0</v>
      </c>
      <c r="Y443" s="217"/>
      <c r="Z443" s="217"/>
      <c r="AA443" s="481"/>
      <c r="AB443" s="481">
        <f>IFERROR(__xludf.DUMMYFUNCTION("""COMPUTED_VALUE"""),0.0)</f>
        <v>0</v>
      </c>
      <c r="AC443" s="481">
        <f>IFERROR(__xludf.DUMMYFUNCTION("""COMPUTED_VALUE"""),0.0)</f>
        <v>0</v>
      </c>
      <c r="AD443" s="481"/>
      <c r="AE443" s="481">
        <f>IFERROR(__xludf.DUMMYFUNCTION("""COMPUTED_VALUE"""),10.0)</f>
        <v>10</v>
      </c>
      <c r="AF443" s="481"/>
      <c r="AG443" s="481">
        <f>IFERROR(__xludf.DUMMYFUNCTION("""COMPUTED_VALUE"""),10.0)</f>
        <v>10</v>
      </c>
      <c r="AH443" s="481"/>
      <c r="AI443" s="158"/>
      <c r="AJ443" s="158"/>
      <c r="AK443" s="133">
        <f>IFERROR(__xludf.DUMMYFUNCTION("""COMPUTED_VALUE"""),0.0)</f>
        <v>0</v>
      </c>
      <c r="AL443" s="133">
        <f>IFERROR(__xludf.DUMMYFUNCTION("""COMPUTED_VALUE"""),0.0)</f>
        <v>0</v>
      </c>
      <c r="AM443" s="133">
        <f>IFERROR(__xludf.DUMMYFUNCTION("""COMPUTED_VALUE"""),0.0)</f>
        <v>0</v>
      </c>
      <c r="AN443" s="133" t="str">
        <f>IFERROR(__xludf.DUMMYFUNCTION("""COMPUTED_VALUE"""),"0")</f>
        <v>0</v>
      </c>
      <c r="AO443" s="133">
        <f>IFERROR(__xludf.DUMMYFUNCTION("""COMPUTED_VALUE"""),0.0)</f>
        <v>0</v>
      </c>
      <c r="AP443" s="155" t="s">
        <v>3706</v>
      </c>
    </row>
    <row r="444">
      <c r="A444" s="155">
        <f>IFERROR(__xludf.DUMMYFUNCTION("""COMPUTED_VALUE"""),206.0)</f>
        <v>206</v>
      </c>
      <c r="B444" s="155" t="str">
        <f>IFERROR(__xludf.DUMMYFUNCTION("""COMPUTED_VALUE"""),"kartikjayavant.ise24le@cmrit.ac.in")</f>
        <v>kartikjayavant.ise24le@cmrit.ac.in</v>
      </c>
      <c r="C444" s="174" t="str">
        <f>IFERROR(__xludf.DUMMYFUNCTION("""COMPUTED_VALUE"""),"KARTIK JAYAVANT LAKKUMANE")</f>
        <v>KARTIK JAYAVANT LAKKUMANE</v>
      </c>
      <c r="D444" s="155" t="str">
        <f>IFERROR(__xludf.DUMMYFUNCTION("""COMPUTED_VALUE"""),"1CR24IS406")</f>
        <v>1CR24IS406</v>
      </c>
      <c r="E444" s="563">
        <f>IFERROR(__xludf.DUMMYFUNCTION("""COMPUTED_VALUE"""),7.975963348E9)</f>
        <v>7975963348</v>
      </c>
      <c r="F444" s="155" t="str">
        <f>IFERROR(__xludf.DUMMYFUNCTION("""COMPUTED_VALUE"""),"ISE")</f>
        <v>ISE</v>
      </c>
      <c r="G444" s="158"/>
      <c r="H444" s="559">
        <f>IFERROR(__xludf.DUMMYFUNCTION("""COMPUTED_VALUE"""),70.0)</f>
        <v>70</v>
      </c>
      <c r="I444" s="559">
        <f>IFERROR(__xludf.DUMMYFUNCTION("""COMPUTED_VALUE"""),92.0)</f>
        <v>92</v>
      </c>
      <c r="J444" s="559">
        <f>IFERROR(__xludf.DUMMYFUNCTION("""COMPUTED_VALUE"""),70.0)</f>
        <v>70</v>
      </c>
      <c r="K444" s="559">
        <f>IFERROR(__xludf.DUMMYFUNCTION("""COMPUTED_VALUE"""),76.0)</f>
        <v>76</v>
      </c>
      <c r="L444" s="560">
        <f>IFERROR(__xludf.DUMMYFUNCTION("""COMPUTED_VALUE"""),75.0)</f>
        <v>75</v>
      </c>
      <c r="M444" s="561">
        <f>IFERROR(__xludf.DUMMYFUNCTION("""COMPUTED_VALUE"""),50.0)</f>
        <v>50</v>
      </c>
      <c r="N444" s="561">
        <f>IFERROR(__xludf.DUMMYFUNCTION("""COMPUTED_VALUE"""),14.0)</f>
        <v>14</v>
      </c>
      <c r="O444" s="560"/>
      <c r="P444" s="562">
        <f>IFERROR(__xludf.DUMMYFUNCTION("""COMPUTED_VALUE"""),50.0)</f>
        <v>50</v>
      </c>
      <c r="Q444" s="562">
        <f>IFERROR(__xludf.DUMMYFUNCTION("""COMPUTED_VALUE"""),55.0)</f>
        <v>55</v>
      </c>
      <c r="R444" s="562">
        <f>IFERROR(__xludf.DUMMYFUNCTION("""COMPUTED_VALUE"""),73.0)</f>
        <v>73</v>
      </c>
      <c r="S444" s="562"/>
      <c r="T444" s="217"/>
      <c r="U444" s="217"/>
      <c r="V444" s="217"/>
      <c r="W444" s="217">
        <f>IFERROR(__xludf.DUMMYFUNCTION("""COMPUTED_VALUE"""),72.0)</f>
        <v>72</v>
      </c>
      <c r="X444" s="217">
        <f>IFERROR(__xludf.DUMMYFUNCTION("""COMPUTED_VALUE"""),72.0)</f>
        <v>72</v>
      </c>
      <c r="Y444" s="217"/>
      <c r="Z444" s="217"/>
      <c r="AA444" s="481"/>
      <c r="AB444" s="481">
        <f>IFERROR(__xludf.DUMMYFUNCTION("""COMPUTED_VALUE"""),50.0)</f>
        <v>50</v>
      </c>
      <c r="AC444" s="481">
        <f>IFERROR(__xludf.DUMMYFUNCTION("""COMPUTED_VALUE"""),22.0)</f>
        <v>22</v>
      </c>
      <c r="AD444" s="481">
        <f>IFERROR(__xludf.DUMMYFUNCTION("""COMPUTED_VALUE"""),90.0)</f>
        <v>90</v>
      </c>
      <c r="AE444" s="481">
        <f>IFERROR(__xludf.DUMMYFUNCTION("""COMPUTED_VALUE"""),70.0)</f>
        <v>70</v>
      </c>
      <c r="AF444" s="481"/>
      <c r="AG444" s="481">
        <f>IFERROR(__xludf.DUMMYFUNCTION("""COMPUTED_VALUE"""),53.0)</f>
        <v>53</v>
      </c>
      <c r="AH444" s="481"/>
      <c r="AI444" s="158"/>
      <c r="AJ444" s="158"/>
      <c r="AK444" s="133">
        <f>IFERROR(__xludf.DUMMYFUNCTION("""COMPUTED_VALUE"""),4.0)</f>
        <v>4</v>
      </c>
      <c r="AL444" s="133">
        <f>IFERROR(__xludf.DUMMYFUNCTION("""COMPUTED_VALUE"""),2.0)</f>
        <v>2</v>
      </c>
      <c r="AM444" s="133">
        <f>IFERROR(__xludf.DUMMYFUNCTION("""COMPUTED_VALUE"""),0.0)</f>
        <v>0</v>
      </c>
      <c r="AN444" s="133" t="str">
        <f>IFERROR(__xludf.DUMMYFUNCTION("""COMPUTED_VALUE"""),"3.5")</f>
        <v>3.5</v>
      </c>
      <c r="AO444" s="133">
        <f>IFERROR(__xludf.DUMMYFUNCTION("""COMPUTED_VALUE"""),3.0)</f>
        <v>3</v>
      </c>
      <c r="AP444" s="155" t="s">
        <v>3706</v>
      </c>
    </row>
    <row r="445">
      <c r="A445" s="155">
        <f>IFERROR(__xludf.DUMMYFUNCTION("""COMPUTED_VALUE"""),207.0)</f>
        <v>207</v>
      </c>
      <c r="B445" s="155" t="str">
        <f>IFERROR(__xludf.DUMMYFUNCTION("""COMPUTED_VALUE"""),"prajwal.ise24le@cmrit.ac.in")</f>
        <v>prajwal.ise24le@cmrit.ac.in</v>
      </c>
      <c r="C445" s="174" t="str">
        <f>IFERROR(__xludf.DUMMYFUNCTION("""COMPUTED_VALUE"""),"PRAJWAL HEGADE")</f>
        <v>PRAJWAL HEGADE</v>
      </c>
      <c r="D445" s="155" t="str">
        <f>IFERROR(__xludf.DUMMYFUNCTION("""COMPUTED_VALUE"""),"1CR24IS407")</f>
        <v>1CR24IS407</v>
      </c>
      <c r="E445" s="563">
        <f>IFERROR(__xludf.DUMMYFUNCTION("""COMPUTED_VALUE"""),9.019952977E9)</f>
        <v>9019952977</v>
      </c>
      <c r="F445" s="155" t="str">
        <f>IFERROR(__xludf.DUMMYFUNCTION("""COMPUTED_VALUE"""),"ISE")</f>
        <v>ISE</v>
      </c>
      <c r="G445" s="158"/>
      <c r="H445" s="559">
        <f>IFERROR(__xludf.DUMMYFUNCTION("""COMPUTED_VALUE"""),52.0)</f>
        <v>52</v>
      </c>
      <c r="I445" s="559">
        <f>IFERROR(__xludf.DUMMYFUNCTION("""COMPUTED_VALUE"""),80.0)</f>
        <v>80</v>
      </c>
      <c r="J445" s="559">
        <f>IFERROR(__xludf.DUMMYFUNCTION("""COMPUTED_VALUE"""),70.0)</f>
        <v>70</v>
      </c>
      <c r="K445" s="559">
        <f>IFERROR(__xludf.DUMMYFUNCTION("""COMPUTED_VALUE"""),55.0)</f>
        <v>55</v>
      </c>
      <c r="L445" s="560">
        <f>IFERROR(__xludf.DUMMYFUNCTION("""COMPUTED_VALUE"""),50.0)</f>
        <v>50</v>
      </c>
      <c r="M445" s="561">
        <f>IFERROR(__xludf.DUMMYFUNCTION("""COMPUTED_VALUE"""),24.0)</f>
        <v>24</v>
      </c>
      <c r="N445" s="561">
        <f>IFERROR(__xludf.DUMMYFUNCTION("""COMPUTED_VALUE"""),50.0)</f>
        <v>50</v>
      </c>
      <c r="O445" s="560"/>
      <c r="P445" s="562">
        <f>IFERROR(__xludf.DUMMYFUNCTION("""COMPUTED_VALUE"""),0.0)</f>
        <v>0</v>
      </c>
      <c r="Q445" s="562">
        <f>IFERROR(__xludf.DUMMYFUNCTION("""COMPUTED_VALUE"""),0.0)</f>
        <v>0</v>
      </c>
      <c r="R445" s="562">
        <f>IFERROR(__xludf.DUMMYFUNCTION("""COMPUTED_VALUE"""),0.0)</f>
        <v>0</v>
      </c>
      <c r="S445" s="562"/>
      <c r="T445" s="217"/>
      <c r="U445" s="217"/>
      <c r="V445" s="217"/>
      <c r="W445" s="217">
        <f>IFERROR(__xludf.DUMMYFUNCTION("""COMPUTED_VALUE"""),72.0)</f>
        <v>72</v>
      </c>
      <c r="X445" s="217">
        <f>IFERROR(__xludf.DUMMYFUNCTION("""COMPUTED_VALUE"""),80.0)</f>
        <v>80</v>
      </c>
      <c r="Y445" s="217"/>
      <c r="Z445" s="217"/>
      <c r="AA445" s="481"/>
      <c r="AB445" s="481">
        <f>IFERROR(__xludf.DUMMYFUNCTION("""COMPUTED_VALUE"""),70.0)</f>
        <v>70</v>
      </c>
      <c r="AC445" s="481">
        <f>IFERROR(__xludf.DUMMYFUNCTION("""COMPUTED_VALUE"""),70.0)</f>
        <v>70</v>
      </c>
      <c r="AD445" s="481">
        <f>IFERROR(__xludf.DUMMYFUNCTION("""COMPUTED_VALUE"""),70.0)</f>
        <v>70</v>
      </c>
      <c r="AE445" s="481">
        <f>IFERROR(__xludf.DUMMYFUNCTION("""COMPUTED_VALUE"""),13.0)</f>
        <v>13</v>
      </c>
      <c r="AF445" s="481"/>
      <c r="AG445" s="481">
        <f>IFERROR(__xludf.DUMMYFUNCTION("""COMPUTED_VALUE"""),42.0)</f>
        <v>42</v>
      </c>
      <c r="AH445" s="481"/>
      <c r="AI445" s="158"/>
      <c r="AJ445" s="158"/>
      <c r="AK445" s="133">
        <f>IFERROR(__xludf.DUMMYFUNCTION("""COMPUTED_VALUE"""),0.0)</f>
        <v>0</v>
      </c>
      <c r="AL445" s="133">
        <f>IFERROR(__xludf.DUMMYFUNCTION("""COMPUTED_VALUE"""),1.0)</f>
        <v>1</v>
      </c>
      <c r="AM445" s="133">
        <f>IFERROR(__xludf.DUMMYFUNCTION("""COMPUTED_VALUE"""),0.0)</f>
        <v>0</v>
      </c>
      <c r="AN445" s="133" t="str">
        <f>IFERROR(__xludf.DUMMYFUNCTION("""COMPUTED_VALUE"""),"3")</f>
        <v>3</v>
      </c>
      <c r="AO445" s="133">
        <f>IFERROR(__xludf.DUMMYFUNCTION("""COMPUTED_VALUE"""),0.0)</f>
        <v>0</v>
      </c>
      <c r="AP445" s="155" t="s">
        <v>3706</v>
      </c>
    </row>
    <row r="446">
      <c r="A446" s="155">
        <f>IFERROR(__xludf.DUMMYFUNCTION("""COMPUTED_VALUE"""),208.0)</f>
        <v>208</v>
      </c>
      <c r="B446" s="155" t="str">
        <f>IFERROR(__xludf.DUMMYFUNCTION("""COMPUTED_VALUE"""),"sakeeb.ise24le@cmrit.ac.in")</f>
        <v>sakeeb.ise24le@cmrit.ac.in</v>
      </c>
      <c r="C446" s="174" t="str">
        <f>IFERROR(__xludf.DUMMYFUNCTION("""COMPUTED_VALUE"""),"SAKEEB PASHA")</f>
        <v>SAKEEB PASHA</v>
      </c>
      <c r="D446" s="155" t="str">
        <f>IFERROR(__xludf.DUMMYFUNCTION("""COMPUTED_VALUE"""),"1CR24IS408")</f>
        <v>1CR24IS408</v>
      </c>
      <c r="E446" s="563">
        <f>IFERROR(__xludf.DUMMYFUNCTION("""COMPUTED_VALUE"""),8.431777921E9)</f>
        <v>8431777921</v>
      </c>
      <c r="F446" s="155" t="str">
        <f>IFERROR(__xludf.DUMMYFUNCTION("""COMPUTED_VALUE"""),"ISE")</f>
        <v>ISE</v>
      </c>
      <c r="G446" s="158"/>
      <c r="H446" s="559">
        <f>IFERROR(__xludf.DUMMYFUNCTION("""COMPUTED_VALUE"""),70.0)</f>
        <v>70</v>
      </c>
      <c r="I446" s="559">
        <f>IFERROR(__xludf.DUMMYFUNCTION("""COMPUTED_VALUE"""),76.0)</f>
        <v>76</v>
      </c>
      <c r="J446" s="559">
        <f>IFERROR(__xludf.DUMMYFUNCTION("""COMPUTED_VALUE"""),70.0)</f>
        <v>70</v>
      </c>
      <c r="K446" s="559">
        <f>IFERROR(__xludf.DUMMYFUNCTION("""COMPUTED_VALUE"""),70.0)</f>
        <v>70</v>
      </c>
      <c r="L446" s="560">
        <f>IFERROR(__xludf.DUMMYFUNCTION("""COMPUTED_VALUE"""),50.0)</f>
        <v>50</v>
      </c>
      <c r="M446" s="561">
        <f>IFERROR(__xludf.DUMMYFUNCTION("""COMPUTED_VALUE"""),18.0)</f>
        <v>18</v>
      </c>
      <c r="N446" s="561">
        <f>IFERROR(__xludf.DUMMYFUNCTION("""COMPUTED_VALUE"""),26.0)</f>
        <v>26</v>
      </c>
      <c r="O446" s="560"/>
      <c r="P446" s="562">
        <f>IFERROR(__xludf.DUMMYFUNCTION("""COMPUTED_VALUE"""),50.0)</f>
        <v>50</v>
      </c>
      <c r="Q446" s="562">
        <f>IFERROR(__xludf.DUMMYFUNCTION("""COMPUTED_VALUE"""),50.0)</f>
        <v>50</v>
      </c>
      <c r="R446" s="562">
        <f>IFERROR(__xludf.DUMMYFUNCTION("""COMPUTED_VALUE"""),50.0)</f>
        <v>50</v>
      </c>
      <c r="S446" s="562"/>
      <c r="T446" s="217"/>
      <c r="U446" s="217"/>
      <c r="V446" s="217"/>
      <c r="W446" s="217">
        <f>IFERROR(__xludf.DUMMYFUNCTION("""COMPUTED_VALUE"""),64.0)</f>
        <v>64</v>
      </c>
      <c r="X446" s="217">
        <f>IFERROR(__xludf.DUMMYFUNCTION("""COMPUTED_VALUE"""),76.0)</f>
        <v>76</v>
      </c>
      <c r="Y446" s="217"/>
      <c r="Z446" s="217"/>
      <c r="AA446" s="481"/>
      <c r="AB446" s="481">
        <f>IFERROR(__xludf.DUMMYFUNCTION("""COMPUTED_VALUE"""),27.0)</f>
        <v>27</v>
      </c>
      <c r="AC446" s="481">
        <f>IFERROR(__xludf.DUMMYFUNCTION("""COMPUTED_VALUE"""),27.0)</f>
        <v>27</v>
      </c>
      <c r="AD446" s="481">
        <f>IFERROR(__xludf.DUMMYFUNCTION("""COMPUTED_VALUE"""),100.0)</f>
        <v>100</v>
      </c>
      <c r="AE446" s="481">
        <f>IFERROR(__xludf.DUMMYFUNCTION("""COMPUTED_VALUE"""),10.0)</f>
        <v>10</v>
      </c>
      <c r="AF446" s="481"/>
      <c r="AG446" s="481">
        <f>IFERROR(__xludf.DUMMYFUNCTION("""COMPUTED_VALUE"""),5.0)</f>
        <v>5</v>
      </c>
      <c r="AH446" s="481"/>
      <c r="AI446" s="158"/>
      <c r="AJ446" s="158"/>
      <c r="AK446" s="133">
        <f>IFERROR(__xludf.DUMMYFUNCTION("""COMPUTED_VALUE"""),4.0)</f>
        <v>4</v>
      </c>
      <c r="AL446" s="133">
        <f>IFERROR(__xludf.DUMMYFUNCTION("""COMPUTED_VALUE"""),1.0)</f>
        <v>1</v>
      </c>
      <c r="AM446" s="133">
        <f>IFERROR(__xludf.DUMMYFUNCTION("""COMPUTED_VALUE"""),0.0)</f>
        <v>0</v>
      </c>
      <c r="AN446" s="133" t="str">
        <f>IFERROR(__xludf.DUMMYFUNCTION("""COMPUTED_VALUE"""),"0")</f>
        <v>0</v>
      </c>
      <c r="AO446" s="133">
        <f>IFERROR(__xludf.DUMMYFUNCTION("""COMPUTED_VALUE"""),3.0)</f>
        <v>3</v>
      </c>
      <c r="AP446" s="155" t="s">
        <v>3706</v>
      </c>
    </row>
    <row r="447">
      <c r="A447" s="155">
        <f>IFERROR(__xludf.DUMMYFUNCTION("""COMPUTED_VALUE"""),209.0)</f>
        <v>209</v>
      </c>
      <c r="B447" s="155" t="str">
        <f>IFERROR(__xludf.DUMMYFUNCTION("""COMPUTED_VALUE"""),"Saquib.ise24le@cmrit.ac.in")</f>
        <v>Saquib.ise24le@cmrit.ac.in</v>
      </c>
      <c r="C447" s="174" t="str">
        <f>IFERROR(__xludf.DUMMYFUNCTION("""COMPUTED_VALUE"""),"SAQUIB AZAM KHAN")</f>
        <v>SAQUIB AZAM KHAN</v>
      </c>
      <c r="D447" s="155" t="str">
        <f>IFERROR(__xludf.DUMMYFUNCTION("""COMPUTED_VALUE"""),"1CR24IS409")</f>
        <v>1CR24IS409</v>
      </c>
      <c r="E447" s="563">
        <f>IFERROR(__xludf.DUMMYFUNCTION("""COMPUTED_VALUE"""),7.090640012E9)</f>
        <v>7090640012</v>
      </c>
      <c r="F447" s="155" t="str">
        <f>IFERROR(__xludf.DUMMYFUNCTION("""COMPUTED_VALUE"""),"ISE")</f>
        <v>ISE</v>
      </c>
      <c r="G447" s="158"/>
      <c r="H447" s="559">
        <f>IFERROR(__xludf.DUMMYFUNCTION("""COMPUTED_VALUE"""),0.0)</f>
        <v>0</v>
      </c>
      <c r="I447" s="559">
        <f>IFERROR(__xludf.DUMMYFUNCTION("""COMPUTED_VALUE"""),0.0)</f>
        <v>0</v>
      </c>
      <c r="J447" s="559">
        <f>IFERROR(__xludf.DUMMYFUNCTION("""COMPUTED_VALUE"""),70.0)</f>
        <v>70</v>
      </c>
      <c r="K447" s="559">
        <f>IFERROR(__xludf.DUMMYFUNCTION("""COMPUTED_VALUE"""),47.0)</f>
        <v>47</v>
      </c>
      <c r="L447" s="560">
        <f>IFERROR(__xludf.DUMMYFUNCTION("""COMPUTED_VALUE"""),0.0)</f>
        <v>0</v>
      </c>
      <c r="M447" s="561">
        <f>IFERROR(__xludf.DUMMYFUNCTION("""COMPUTED_VALUE"""),7.0)</f>
        <v>7</v>
      </c>
      <c r="N447" s="561">
        <f>IFERROR(__xludf.DUMMYFUNCTION("""COMPUTED_VALUE"""),0.0)</f>
        <v>0</v>
      </c>
      <c r="O447" s="560"/>
      <c r="P447" s="562">
        <f>IFERROR(__xludf.DUMMYFUNCTION("""COMPUTED_VALUE"""),0.0)</f>
        <v>0</v>
      </c>
      <c r="Q447" s="562">
        <f>IFERROR(__xludf.DUMMYFUNCTION("""COMPUTED_VALUE"""),0.0)</f>
        <v>0</v>
      </c>
      <c r="R447" s="562">
        <f>IFERROR(__xludf.DUMMYFUNCTION("""COMPUTED_VALUE"""),0.0)</f>
        <v>0</v>
      </c>
      <c r="S447" s="562"/>
      <c r="T447" s="217"/>
      <c r="U447" s="217"/>
      <c r="V447" s="217"/>
      <c r="W447" s="217">
        <f>IFERROR(__xludf.DUMMYFUNCTION("""COMPUTED_VALUE"""),56.0)</f>
        <v>56</v>
      </c>
      <c r="X447" s="217">
        <f>IFERROR(__xludf.DUMMYFUNCTION("""COMPUTED_VALUE"""),76.0)</f>
        <v>76</v>
      </c>
      <c r="Y447" s="217"/>
      <c r="Z447" s="217"/>
      <c r="AA447" s="481"/>
      <c r="AB447" s="481">
        <f>IFERROR(__xludf.DUMMYFUNCTION("""COMPUTED_VALUE"""),0.0)</f>
        <v>0</v>
      </c>
      <c r="AC447" s="481">
        <f>IFERROR(__xludf.DUMMYFUNCTION("""COMPUTED_VALUE"""),0.0)</f>
        <v>0</v>
      </c>
      <c r="AD447" s="481">
        <f>IFERROR(__xludf.DUMMYFUNCTION("""COMPUTED_VALUE"""),75.0)</f>
        <v>75</v>
      </c>
      <c r="AE447" s="481">
        <f>IFERROR(__xludf.DUMMYFUNCTION("""COMPUTED_VALUE"""),10.0)</f>
        <v>10</v>
      </c>
      <c r="AF447" s="481"/>
      <c r="AG447" s="481">
        <f>IFERROR(__xludf.DUMMYFUNCTION("""COMPUTED_VALUE"""),0.0)</f>
        <v>0</v>
      </c>
      <c r="AH447" s="481"/>
      <c r="AI447" s="158"/>
      <c r="AJ447" s="158"/>
      <c r="AK447" s="133">
        <f>IFERROR(__xludf.DUMMYFUNCTION("""COMPUTED_VALUE"""),0.0)</f>
        <v>0</v>
      </c>
      <c r="AL447" s="133">
        <f>IFERROR(__xludf.DUMMYFUNCTION("""COMPUTED_VALUE"""),0.0)</f>
        <v>0</v>
      </c>
      <c r="AM447" s="133">
        <f>IFERROR(__xludf.DUMMYFUNCTION("""COMPUTED_VALUE"""),0.0)</f>
        <v>0</v>
      </c>
      <c r="AN447" s="133" t="str">
        <f>IFERROR(__xludf.DUMMYFUNCTION("""COMPUTED_VALUE"""),"0")</f>
        <v>0</v>
      </c>
      <c r="AO447" s="133">
        <f>IFERROR(__xludf.DUMMYFUNCTION("""COMPUTED_VALUE"""),0.0)</f>
        <v>0</v>
      </c>
      <c r="AP447" s="155" t="s">
        <v>3706</v>
      </c>
    </row>
    <row r="448">
      <c r="A448" s="155">
        <f>IFERROR(__xludf.DUMMYFUNCTION("""COMPUTED_VALUE"""),210.0)</f>
        <v>210</v>
      </c>
      <c r="B448" s="155" t="str">
        <f>IFERROR(__xludf.DUMMYFUNCTION("""COMPUTED_VALUE"""),"srujan.ise24le@cmrit.ac.in")</f>
        <v>srujan.ise24le@cmrit.ac.in</v>
      </c>
      <c r="C448" s="174" t="str">
        <f>IFERROR(__xludf.DUMMYFUNCTION("""COMPUTED_VALUE"""),"SRUJAN AMARAGATTI")</f>
        <v>SRUJAN AMARAGATTI</v>
      </c>
      <c r="D448" s="155" t="str">
        <f>IFERROR(__xludf.DUMMYFUNCTION("""COMPUTED_VALUE"""),"1CR24IS410")</f>
        <v>1CR24IS410</v>
      </c>
      <c r="E448" s="563">
        <f>IFERROR(__xludf.DUMMYFUNCTION("""COMPUTED_VALUE"""),7.996730073E9)</f>
        <v>7996730073</v>
      </c>
      <c r="F448" s="155" t="str">
        <f>IFERROR(__xludf.DUMMYFUNCTION("""COMPUTED_VALUE"""),"ISE")</f>
        <v>ISE</v>
      </c>
      <c r="G448" s="158"/>
      <c r="H448" s="559">
        <f>IFERROR(__xludf.DUMMYFUNCTION("""COMPUTED_VALUE"""),70.0)</f>
        <v>70</v>
      </c>
      <c r="I448" s="559">
        <f>IFERROR(__xludf.DUMMYFUNCTION("""COMPUTED_VALUE"""),92.0)</f>
        <v>92</v>
      </c>
      <c r="J448" s="559">
        <f>IFERROR(__xludf.DUMMYFUNCTION("""COMPUTED_VALUE"""),70.0)</f>
        <v>70</v>
      </c>
      <c r="K448" s="559">
        <f>IFERROR(__xludf.DUMMYFUNCTION("""COMPUTED_VALUE"""),70.0)</f>
        <v>70</v>
      </c>
      <c r="L448" s="560">
        <f>IFERROR(__xludf.DUMMYFUNCTION("""COMPUTED_VALUE"""),75.0)</f>
        <v>75</v>
      </c>
      <c r="M448" s="561">
        <f>IFERROR(__xludf.DUMMYFUNCTION("""COMPUTED_VALUE"""),21.0)</f>
        <v>21</v>
      </c>
      <c r="N448" s="561">
        <f>IFERROR(__xludf.DUMMYFUNCTION("""COMPUTED_VALUE"""),50.0)</f>
        <v>50</v>
      </c>
      <c r="O448" s="560"/>
      <c r="P448" s="562">
        <f>IFERROR(__xludf.DUMMYFUNCTION("""COMPUTED_VALUE"""),50.0)</f>
        <v>50</v>
      </c>
      <c r="Q448" s="562">
        <f>IFERROR(__xludf.DUMMYFUNCTION("""COMPUTED_VALUE"""),50.0)</f>
        <v>50</v>
      </c>
      <c r="R448" s="562">
        <f>IFERROR(__xludf.DUMMYFUNCTION("""COMPUTED_VALUE"""),50.0)</f>
        <v>50</v>
      </c>
      <c r="S448" s="562"/>
      <c r="T448" s="217"/>
      <c r="U448" s="217"/>
      <c r="V448" s="217"/>
      <c r="W448" s="217">
        <f>IFERROR(__xludf.DUMMYFUNCTION("""COMPUTED_VALUE"""),64.0)</f>
        <v>64</v>
      </c>
      <c r="X448" s="217">
        <f>IFERROR(__xludf.DUMMYFUNCTION("""COMPUTED_VALUE"""),88.0)</f>
        <v>88</v>
      </c>
      <c r="Y448" s="217"/>
      <c r="Z448" s="217"/>
      <c r="AA448" s="481"/>
      <c r="AB448" s="481">
        <f>IFERROR(__xludf.DUMMYFUNCTION("""COMPUTED_VALUE"""),94.0)</f>
        <v>94</v>
      </c>
      <c r="AC448" s="481">
        <f>IFERROR(__xludf.DUMMYFUNCTION("""COMPUTED_VALUE"""),94.0)</f>
        <v>94</v>
      </c>
      <c r="AD448" s="481">
        <f>IFERROR(__xludf.DUMMYFUNCTION("""COMPUTED_VALUE"""),60.0)</f>
        <v>60</v>
      </c>
      <c r="AE448" s="481">
        <f>IFERROR(__xludf.DUMMYFUNCTION("""COMPUTED_VALUE"""),80.0)</f>
        <v>80</v>
      </c>
      <c r="AF448" s="481"/>
      <c r="AG448" s="481">
        <f>IFERROR(__xludf.DUMMYFUNCTION("""COMPUTED_VALUE"""),41.0)</f>
        <v>41</v>
      </c>
      <c r="AH448" s="481"/>
      <c r="AI448" s="158"/>
      <c r="AJ448" s="158"/>
      <c r="AK448" s="133">
        <f>IFERROR(__xludf.DUMMYFUNCTION("""COMPUTED_VALUE"""),4.0)</f>
        <v>4</v>
      </c>
      <c r="AL448" s="133">
        <f>IFERROR(__xludf.DUMMYFUNCTION("""COMPUTED_VALUE"""),1.0)</f>
        <v>1</v>
      </c>
      <c r="AM448" s="133">
        <f>IFERROR(__xludf.DUMMYFUNCTION("""COMPUTED_VALUE"""),0.0)</f>
        <v>0</v>
      </c>
      <c r="AN448" s="133" t="str">
        <f>IFERROR(__xludf.DUMMYFUNCTION("""COMPUTED_VALUE"""),"3.5")</f>
        <v>3.5</v>
      </c>
      <c r="AO448" s="133">
        <f>IFERROR(__xludf.DUMMYFUNCTION("""COMPUTED_VALUE"""),3.0)</f>
        <v>3</v>
      </c>
      <c r="AP448" s="155" t="s">
        <v>3706</v>
      </c>
    </row>
    <row r="449">
      <c r="A449" s="155">
        <f>IFERROR(__xludf.DUMMYFUNCTION("""COMPUTED_VALUE"""),211.0)</f>
        <v>211</v>
      </c>
      <c r="B449" s="155" t="str">
        <f>IFERROR(__xludf.DUMMYFUNCTION("""COMPUTED_VALUE"""),"sumantha.ise24le@cmrit.ac.in")</f>
        <v>sumantha.ise24le@cmrit.ac.in</v>
      </c>
      <c r="C449" s="174" t="str">
        <f>IFERROR(__xludf.DUMMYFUNCTION("""COMPUTED_VALUE"""),"SUMANTHA SUBHACHANDRA GOWDRU")</f>
        <v>SUMANTHA SUBHACHANDRA GOWDRU</v>
      </c>
      <c r="D449" s="155" t="str">
        <f>IFERROR(__xludf.DUMMYFUNCTION("""COMPUTED_VALUE"""),"1CR24IS411")</f>
        <v>1CR24IS411</v>
      </c>
      <c r="E449" s="563">
        <f>IFERROR(__xludf.DUMMYFUNCTION("""COMPUTED_VALUE"""),8.310949735E9)</f>
        <v>8310949735</v>
      </c>
      <c r="F449" s="155" t="str">
        <f>IFERROR(__xludf.DUMMYFUNCTION("""COMPUTED_VALUE"""),"ISE")</f>
        <v>ISE</v>
      </c>
      <c r="G449" s="158"/>
      <c r="H449" s="559">
        <f>IFERROR(__xludf.DUMMYFUNCTION("""COMPUTED_VALUE"""),32.0)</f>
        <v>32</v>
      </c>
      <c r="I449" s="559">
        <f>IFERROR(__xludf.DUMMYFUNCTION("""COMPUTED_VALUE"""),52.0)</f>
        <v>52</v>
      </c>
      <c r="J449" s="559">
        <f>IFERROR(__xludf.DUMMYFUNCTION("""COMPUTED_VALUE"""),43.0)</f>
        <v>43</v>
      </c>
      <c r="K449" s="559">
        <f>IFERROR(__xludf.DUMMYFUNCTION("""COMPUTED_VALUE"""),70.0)</f>
        <v>70</v>
      </c>
      <c r="L449" s="560">
        <f>IFERROR(__xludf.DUMMYFUNCTION("""COMPUTED_VALUE"""),50.0)</f>
        <v>50</v>
      </c>
      <c r="M449" s="561">
        <f>IFERROR(__xludf.DUMMYFUNCTION("""COMPUTED_VALUE"""),22.0)</f>
        <v>22</v>
      </c>
      <c r="N449" s="561">
        <f>IFERROR(__xludf.DUMMYFUNCTION("""COMPUTED_VALUE"""),61.0)</f>
        <v>61</v>
      </c>
      <c r="O449" s="560"/>
      <c r="P449" s="562">
        <f>IFERROR(__xludf.DUMMYFUNCTION("""COMPUTED_VALUE"""),50.0)</f>
        <v>50</v>
      </c>
      <c r="Q449" s="562">
        <f>IFERROR(__xludf.DUMMYFUNCTION("""COMPUTED_VALUE"""),50.0)</f>
        <v>50</v>
      </c>
      <c r="R449" s="562">
        <f>IFERROR(__xludf.DUMMYFUNCTION("""COMPUTED_VALUE"""),50.0)</f>
        <v>50</v>
      </c>
      <c r="S449" s="562"/>
      <c r="T449" s="217"/>
      <c r="U449" s="217"/>
      <c r="V449" s="217"/>
      <c r="W449" s="217">
        <f>IFERROR(__xludf.DUMMYFUNCTION("""COMPUTED_VALUE"""),40.0)</f>
        <v>40</v>
      </c>
      <c r="X449" s="217">
        <f>IFERROR(__xludf.DUMMYFUNCTION("""COMPUTED_VALUE"""),76.0)</f>
        <v>76</v>
      </c>
      <c r="Y449" s="217"/>
      <c r="Z449" s="217"/>
      <c r="AA449" s="481"/>
      <c r="AB449" s="481">
        <f>IFERROR(__xludf.DUMMYFUNCTION("""COMPUTED_VALUE"""),65.0)</f>
        <v>65</v>
      </c>
      <c r="AC449" s="481">
        <f>IFERROR(__xludf.DUMMYFUNCTION("""COMPUTED_VALUE"""),65.0)</f>
        <v>65</v>
      </c>
      <c r="AD449" s="481">
        <f>IFERROR(__xludf.DUMMYFUNCTION("""COMPUTED_VALUE"""),60.0)</f>
        <v>60</v>
      </c>
      <c r="AE449" s="481">
        <f>IFERROR(__xludf.DUMMYFUNCTION("""COMPUTED_VALUE"""),10.0)</f>
        <v>10</v>
      </c>
      <c r="AF449" s="481"/>
      <c r="AG449" s="481">
        <f>IFERROR(__xludf.DUMMYFUNCTION("""COMPUTED_VALUE"""),17.0)</f>
        <v>17</v>
      </c>
      <c r="AH449" s="481"/>
      <c r="AI449" s="158"/>
      <c r="AJ449" s="158"/>
      <c r="AK449" s="133">
        <f>IFERROR(__xludf.DUMMYFUNCTION("""COMPUTED_VALUE"""),0.0)</f>
        <v>0</v>
      </c>
      <c r="AL449" s="133">
        <f>IFERROR(__xludf.DUMMYFUNCTION("""COMPUTED_VALUE"""),1.0)</f>
        <v>1</v>
      </c>
      <c r="AM449" s="133">
        <f>IFERROR(__xludf.DUMMYFUNCTION("""COMPUTED_VALUE"""),0.0)</f>
        <v>0</v>
      </c>
      <c r="AN449" s="133" t="str">
        <f>IFERROR(__xludf.DUMMYFUNCTION("""COMPUTED_VALUE"""),"3")</f>
        <v>3</v>
      </c>
      <c r="AO449" s="133">
        <f>IFERROR(__xludf.DUMMYFUNCTION("""COMPUTED_VALUE"""),3.0)</f>
        <v>3</v>
      </c>
      <c r="AP449" s="155" t="s">
        <v>3706</v>
      </c>
    </row>
    <row r="450">
      <c r="A450" s="155">
        <f>IFERROR(__xludf.DUMMYFUNCTION("""COMPUTED_VALUE"""),212.0)</f>
        <v>212</v>
      </c>
      <c r="B450" s="155" t="str">
        <f>IFERROR(__xludf.DUMMYFUNCTION("""COMPUTED_VALUE"""),"sushmitha.ise24le@cmrit.ac.in")</f>
        <v>sushmitha.ise24le@cmrit.ac.in</v>
      </c>
      <c r="C450" s="174" t="str">
        <f>IFERROR(__xludf.DUMMYFUNCTION("""COMPUTED_VALUE"""),"SUSHMITHA R S")</f>
        <v>SUSHMITHA R S</v>
      </c>
      <c r="D450" s="155" t="str">
        <f>IFERROR(__xludf.DUMMYFUNCTION("""COMPUTED_VALUE"""),"1CR24IS412")</f>
        <v>1CR24IS412</v>
      </c>
      <c r="E450" s="563">
        <f>IFERROR(__xludf.DUMMYFUNCTION("""COMPUTED_VALUE"""),6.363201334E9)</f>
        <v>6363201334</v>
      </c>
      <c r="F450" s="155" t="str">
        <f>IFERROR(__xludf.DUMMYFUNCTION("""COMPUTED_VALUE"""),"ISE")</f>
        <v>ISE</v>
      </c>
      <c r="G450" s="158"/>
      <c r="H450" s="559">
        <f>IFERROR(__xludf.DUMMYFUNCTION("""COMPUTED_VALUE"""),70.0)</f>
        <v>70</v>
      </c>
      <c r="I450" s="559">
        <f>IFERROR(__xludf.DUMMYFUNCTION("""COMPUTED_VALUE"""),70.0)</f>
        <v>70</v>
      </c>
      <c r="J450" s="559">
        <f>IFERROR(__xludf.DUMMYFUNCTION("""COMPUTED_VALUE"""),70.0)</f>
        <v>70</v>
      </c>
      <c r="K450" s="559">
        <f>IFERROR(__xludf.DUMMYFUNCTION("""COMPUTED_VALUE"""),70.0)</f>
        <v>70</v>
      </c>
      <c r="L450" s="560">
        <f>IFERROR(__xludf.DUMMYFUNCTION("""COMPUTED_VALUE"""),5.0)</f>
        <v>5</v>
      </c>
      <c r="M450" s="561">
        <f>IFERROR(__xludf.DUMMYFUNCTION("""COMPUTED_VALUE"""),13.0)</f>
        <v>13</v>
      </c>
      <c r="N450" s="561">
        <f>IFERROR(__xludf.DUMMYFUNCTION("""COMPUTED_VALUE"""),13.0)</f>
        <v>13</v>
      </c>
      <c r="O450" s="560"/>
      <c r="P450" s="562">
        <f>IFERROR(__xludf.DUMMYFUNCTION("""COMPUTED_VALUE"""),0.0)</f>
        <v>0</v>
      </c>
      <c r="Q450" s="562">
        <f>IFERROR(__xludf.DUMMYFUNCTION("""COMPUTED_VALUE"""),71.0)</f>
        <v>71</v>
      </c>
      <c r="R450" s="562">
        <f>IFERROR(__xludf.DUMMYFUNCTION("""COMPUTED_VALUE"""),0.0)</f>
        <v>0</v>
      </c>
      <c r="S450" s="562"/>
      <c r="T450" s="217"/>
      <c r="U450" s="217"/>
      <c r="V450" s="217"/>
      <c r="W450" s="217"/>
      <c r="X450" s="217">
        <f>IFERROR(__xludf.DUMMYFUNCTION("""COMPUTED_VALUE"""),88.0)</f>
        <v>88</v>
      </c>
      <c r="Y450" s="217"/>
      <c r="Z450" s="217"/>
      <c r="AA450" s="481"/>
      <c r="AB450" s="481">
        <f>IFERROR(__xludf.DUMMYFUNCTION("""COMPUTED_VALUE"""),0.0)</f>
        <v>0</v>
      </c>
      <c r="AC450" s="481">
        <f>IFERROR(__xludf.DUMMYFUNCTION("""COMPUTED_VALUE"""),0.0)</f>
        <v>0</v>
      </c>
      <c r="AD450" s="481">
        <f>IFERROR(__xludf.DUMMYFUNCTION("""COMPUTED_VALUE"""),80.0)</f>
        <v>80</v>
      </c>
      <c r="AE450" s="481">
        <f>IFERROR(__xludf.DUMMYFUNCTION("""COMPUTED_VALUE"""),70.0)</f>
        <v>70</v>
      </c>
      <c r="AF450" s="481"/>
      <c r="AG450" s="481">
        <f>IFERROR(__xludf.DUMMYFUNCTION("""COMPUTED_VALUE"""),36.0)</f>
        <v>36</v>
      </c>
      <c r="AH450" s="481"/>
      <c r="AI450" s="158"/>
      <c r="AJ450" s="158"/>
      <c r="AK450" s="133">
        <f>IFERROR(__xludf.DUMMYFUNCTION("""COMPUTED_VALUE"""),4.0)</f>
        <v>4</v>
      </c>
      <c r="AL450" s="133">
        <f>IFERROR(__xludf.DUMMYFUNCTION("""COMPUTED_VALUE"""),0.0)</f>
        <v>0</v>
      </c>
      <c r="AM450" s="133">
        <f>IFERROR(__xludf.DUMMYFUNCTION("""COMPUTED_VALUE"""),0.0)</f>
        <v>0</v>
      </c>
      <c r="AN450" s="133" t="str">
        <f>IFERROR(__xludf.DUMMYFUNCTION("""COMPUTED_VALUE"""),"0")</f>
        <v>0</v>
      </c>
      <c r="AO450" s="133">
        <f>IFERROR(__xludf.DUMMYFUNCTION("""COMPUTED_VALUE"""),0.0)</f>
        <v>0</v>
      </c>
      <c r="AP450" s="155" t="s">
        <v>3706</v>
      </c>
    </row>
    <row r="451">
      <c r="A451" s="155">
        <f>IFERROR(__xludf.DUMMYFUNCTION("""COMPUTED_VALUE"""),213.0)</f>
        <v>213</v>
      </c>
      <c r="B451" s="155" t="str">
        <f>IFERROR(__xludf.DUMMYFUNCTION("""COMPUTED_VALUE"""),"thejawini.ise24le@cmrit.ac.in")</f>
        <v>thejawini.ise24le@cmrit.ac.in</v>
      </c>
      <c r="C451" s="174" t="str">
        <f>IFERROR(__xludf.DUMMYFUNCTION("""COMPUTED_VALUE"""),"THEJASWINI N")</f>
        <v>THEJASWINI N</v>
      </c>
      <c r="D451" s="155" t="str">
        <f>IFERROR(__xludf.DUMMYFUNCTION("""COMPUTED_VALUE"""),"1CR24IS413")</f>
        <v>1CR24IS413</v>
      </c>
      <c r="E451" s="563">
        <f>IFERROR(__xludf.DUMMYFUNCTION("""COMPUTED_VALUE"""),8.431332406E9)</f>
        <v>8431332406</v>
      </c>
      <c r="F451" s="155" t="str">
        <f>IFERROR(__xludf.DUMMYFUNCTION("""COMPUTED_VALUE"""),"ISE")</f>
        <v>ISE</v>
      </c>
      <c r="G451" s="158"/>
      <c r="H451" s="559">
        <f>IFERROR(__xludf.DUMMYFUNCTION("""COMPUTED_VALUE"""),70.0)</f>
        <v>70</v>
      </c>
      <c r="I451" s="559">
        <f>IFERROR(__xludf.DUMMYFUNCTION("""COMPUTED_VALUE"""),70.0)</f>
        <v>70</v>
      </c>
      <c r="J451" s="559">
        <f>IFERROR(__xludf.DUMMYFUNCTION("""COMPUTED_VALUE"""),50.0)</f>
        <v>50</v>
      </c>
      <c r="K451" s="559">
        <f>IFERROR(__xludf.DUMMYFUNCTION("""COMPUTED_VALUE"""),70.0)</f>
        <v>70</v>
      </c>
      <c r="L451" s="560">
        <f>IFERROR(__xludf.DUMMYFUNCTION("""COMPUTED_VALUE"""),11.0)</f>
        <v>11</v>
      </c>
      <c r="M451" s="561">
        <f>IFERROR(__xludf.DUMMYFUNCTION("""COMPUTED_VALUE"""),11.0)</f>
        <v>11</v>
      </c>
      <c r="N451" s="561">
        <f>IFERROR(__xludf.DUMMYFUNCTION("""COMPUTED_VALUE"""),0.0)</f>
        <v>0</v>
      </c>
      <c r="O451" s="560"/>
      <c r="P451" s="562">
        <f>IFERROR(__xludf.DUMMYFUNCTION("""COMPUTED_VALUE"""),50.0)</f>
        <v>50</v>
      </c>
      <c r="Q451" s="562">
        <f>IFERROR(__xludf.DUMMYFUNCTION("""COMPUTED_VALUE"""),50.0)</f>
        <v>50</v>
      </c>
      <c r="R451" s="562">
        <f>IFERROR(__xludf.DUMMYFUNCTION("""COMPUTED_VALUE"""),0.0)</f>
        <v>0</v>
      </c>
      <c r="S451" s="562"/>
      <c r="T451" s="217"/>
      <c r="U451" s="217"/>
      <c r="V451" s="217"/>
      <c r="W451" s="217">
        <f>IFERROR(__xludf.DUMMYFUNCTION("""COMPUTED_VALUE"""),20.0)</f>
        <v>20</v>
      </c>
      <c r="X451" s="217">
        <f>IFERROR(__xludf.DUMMYFUNCTION("""COMPUTED_VALUE"""),80.0)</f>
        <v>80</v>
      </c>
      <c r="Y451" s="217"/>
      <c r="Z451" s="217"/>
      <c r="AA451" s="481"/>
      <c r="AB451" s="481">
        <f>IFERROR(__xludf.DUMMYFUNCTION("""COMPUTED_VALUE"""),0.0)</f>
        <v>0</v>
      </c>
      <c r="AC451" s="481">
        <f>IFERROR(__xludf.DUMMYFUNCTION("""COMPUTED_VALUE"""),0.0)</f>
        <v>0</v>
      </c>
      <c r="AD451" s="481"/>
      <c r="AE451" s="481">
        <f>IFERROR(__xludf.DUMMYFUNCTION("""COMPUTED_VALUE"""),10.0)</f>
        <v>10</v>
      </c>
      <c r="AF451" s="481"/>
      <c r="AG451" s="481">
        <f>IFERROR(__xludf.DUMMYFUNCTION("""COMPUTED_VALUE"""),10.0)</f>
        <v>10</v>
      </c>
      <c r="AH451" s="481"/>
      <c r="AI451" s="158"/>
      <c r="AJ451" s="158"/>
      <c r="AK451" s="133">
        <f>IFERROR(__xludf.DUMMYFUNCTION("""COMPUTED_VALUE"""),2.0)</f>
        <v>2</v>
      </c>
      <c r="AL451" s="133">
        <f>IFERROR(__xludf.DUMMYFUNCTION("""COMPUTED_VALUE"""),0.0)</f>
        <v>0</v>
      </c>
      <c r="AM451" s="133">
        <f>IFERROR(__xludf.DUMMYFUNCTION("""COMPUTED_VALUE"""),0.0)</f>
        <v>0</v>
      </c>
      <c r="AN451" s="133" t="str">
        <f>IFERROR(__xludf.DUMMYFUNCTION("""COMPUTED_VALUE"""),"0")</f>
        <v>0</v>
      </c>
      <c r="AO451" s="133">
        <f>IFERROR(__xludf.DUMMYFUNCTION("""COMPUTED_VALUE"""),2.0)</f>
        <v>2</v>
      </c>
      <c r="AP451" s="155" t="s">
        <v>3706</v>
      </c>
    </row>
    <row r="452">
      <c r="A452" s="155">
        <f>IFERROR(__xludf.DUMMYFUNCTION("""COMPUTED_VALUE"""),214.0)</f>
        <v>214</v>
      </c>
      <c r="B452" s="155" t="str">
        <f>IFERROR(__xludf.DUMMYFUNCTION("""COMPUTED_VALUE"""),"twinkletanya.ise24le@cmrit.ac.in")</f>
        <v>twinkletanya.ise24le@cmrit.ac.in</v>
      </c>
      <c r="C452" s="174" t="str">
        <f>IFERROR(__xludf.DUMMYFUNCTION("""COMPUTED_VALUE"""),"TWINKLE TANYA BRITTO")</f>
        <v>TWINKLE TANYA BRITTO</v>
      </c>
      <c r="D452" s="155" t="str">
        <f>IFERROR(__xludf.DUMMYFUNCTION("""COMPUTED_VALUE"""),"1CR24IS414")</f>
        <v>1CR24IS414</v>
      </c>
      <c r="E452" s="563">
        <f>IFERROR(__xludf.DUMMYFUNCTION("""COMPUTED_VALUE"""),9.731821855E9)</f>
        <v>9731821855</v>
      </c>
      <c r="F452" s="155" t="str">
        <f>IFERROR(__xludf.DUMMYFUNCTION("""COMPUTED_VALUE"""),"ISE")</f>
        <v>ISE</v>
      </c>
      <c r="G452" s="158"/>
      <c r="H452" s="559">
        <f>IFERROR(__xludf.DUMMYFUNCTION("""COMPUTED_VALUE"""),72.0)</f>
        <v>72</v>
      </c>
      <c r="I452" s="559">
        <f>IFERROR(__xludf.DUMMYFUNCTION("""COMPUTED_VALUE"""),92.0)</f>
        <v>92</v>
      </c>
      <c r="J452" s="559">
        <f>IFERROR(__xludf.DUMMYFUNCTION("""COMPUTED_VALUE"""),70.0)</f>
        <v>70</v>
      </c>
      <c r="K452" s="559">
        <f>IFERROR(__xludf.DUMMYFUNCTION("""COMPUTED_VALUE"""),70.0)</f>
        <v>70</v>
      </c>
      <c r="L452" s="560">
        <f>IFERROR(__xludf.DUMMYFUNCTION("""COMPUTED_VALUE"""),75.0)</f>
        <v>75</v>
      </c>
      <c r="M452" s="561">
        <f>IFERROR(__xludf.DUMMYFUNCTION("""COMPUTED_VALUE"""),15.0)</f>
        <v>15</v>
      </c>
      <c r="N452" s="561">
        <f>IFERROR(__xludf.DUMMYFUNCTION("""COMPUTED_VALUE"""),9.0)</f>
        <v>9</v>
      </c>
      <c r="O452" s="560"/>
      <c r="P452" s="562">
        <f>IFERROR(__xludf.DUMMYFUNCTION("""COMPUTED_VALUE"""),50.0)</f>
        <v>50</v>
      </c>
      <c r="Q452" s="562">
        <f>IFERROR(__xludf.DUMMYFUNCTION("""COMPUTED_VALUE"""),50.0)</f>
        <v>50</v>
      </c>
      <c r="R452" s="562">
        <f>IFERROR(__xludf.DUMMYFUNCTION("""COMPUTED_VALUE"""),63.0)</f>
        <v>63</v>
      </c>
      <c r="S452" s="562"/>
      <c r="T452" s="217"/>
      <c r="U452" s="217"/>
      <c r="V452" s="217"/>
      <c r="W452" s="217">
        <f>IFERROR(__xludf.DUMMYFUNCTION("""COMPUTED_VALUE"""),24.0)</f>
        <v>24</v>
      </c>
      <c r="X452" s="217">
        <f>IFERROR(__xludf.DUMMYFUNCTION("""COMPUTED_VALUE"""),72.0)</f>
        <v>72</v>
      </c>
      <c r="Y452" s="217"/>
      <c r="Z452" s="217"/>
      <c r="AA452" s="481"/>
      <c r="AB452" s="481">
        <f>IFERROR(__xludf.DUMMYFUNCTION("""COMPUTED_VALUE"""),0.0)</f>
        <v>0</v>
      </c>
      <c r="AC452" s="481">
        <f>IFERROR(__xludf.DUMMYFUNCTION("""COMPUTED_VALUE"""),0.0)</f>
        <v>0</v>
      </c>
      <c r="AD452" s="481">
        <f>IFERROR(__xludf.DUMMYFUNCTION("""COMPUTED_VALUE"""),60.0)</f>
        <v>60</v>
      </c>
      <c r="AE452" s="481">
        <f>IFERROR(__xludf.DUMMYFUNCTION("""COMPUTED_VALUE"""),19.0)</f>
        <v>19</v>
      </c>
      <c r="AF452" s="481"/>
      <c r="AG452" s="481">
        <f>IFERROR(__xludf.DUMMYFUNCTION("""COMPUTED_VALUE"""),45.0)</f>
        <v>45</v>
      </c>
      <c r="AH452" s="481"/>
      <c r="AI452" s="158"/>
      <c r="AJ452" s="158"/>
      <c r="AK452" s="133">
        <f>IFERROR(__xludf.DUMMYFUNCTION("""COMPUTED_VALUE"""),4.0)</f>
        <v>4</v>
      </c>
      <c r="AL452" s="133">
        <f>IFERROR(__xludf.DUMMYFUNCTION("""COMPUTED_VALUE"""),1.0)</f>
        <v>1</v>
      </c>
      <c r="AM452" s="133">
        <f>IFERROR(__xludf.DUMMYFUNCTION("""COMPUTED_VALUE"""),0.0)</f>
        <v>0</v>
      </c>
      <c r="AN452" s="133" t="str">
        <f>IFERROR(__xludf.DUMMYFUNCTION("""COMPUTED_VALUE"""),"0")</f>
        <v>0</v>
      </c>
      <c r="AO452" s="133">
        <f>IFERROR(__xludf.DUMMYFUNCTION("""COMPUTED_VALUE"""),3.0)</f>
        <v>3</v>
      </c>
      <c r="AP452" s="155" t="s">
        <v>3706</v>
      </c>
    </row>
    <row r="453">
      <c r="A453" s="155">
        <f>IFERROR(__xludf.DUMMYFUNCTION("""COMPUTED_VALUE"""),215.0)</f>
        <v>215</v>
      </c>
      <c r="B453" s="155" t="str">
        <f>IFERROR(__xludf.DUMMYFUNCTION("""COMPUTED_VALUE"""),"umesh.ise24le@cmrit.ac.in")</f>
        <v>umesh.ise24le@cmrit.ac.in</v>
      </c>
      <c r="C453" s="174" t="str">
        <f>IFERROR(__xludf.DUMMYFUNCTION("""COMPUTED_VALUE"""),"UMESH P H")</f>
        <v>UMESH P H</v>
      </c>
      <c r="D453" s="155" t="str">
        <f>IFERROR(__xludf.DUMMYFUNCTION("""COMPUTED_VALUE"""),"1CR24IS415")</f>
        <v>1CR24IS415</v>
      </c>
      <c r="E453" s="563">
        <f>IFERROR(__xludf.DUMMYFUNCTION("""COMPUTED_VALUE"""),7.676833434E9)</f>
        <v>7676833434</v>
      </c>
      <c r="F453" s="155" t="str">
        <f>IFERROR(__xludf.DUMMYFUNCTION("""COMPUTED_VALUE"""),"ISE")</f>
        <v>ISE</v>
      </c>
      <c r="G453" s="158"/>
      <c r="H453" s="559">
        <f>IFERROR(__xludf.DUMMYFUNCTION("""COMPUTED_VALUE"""),48.0)</f>
        <v>48</v>
      </c>
      <c r="I453" s="559">
        <f>IFERROR(__xludf.DUMMYFUNCTION("""COMPUTED_VALUE"""),56.0)</f>
        <v>56</v>
      </c>
      <c r="J453" s="559">
        <f>IFERROR(__xludf.DUMMYFUNCTION("""COMPUTED_VALUE"""),0.0)</f>
        <v>0</v>
      </c>
      <c r="K453" s="559">
        <f>IFERROR(__xludf.DUMMYFUNCTION("""COMPUTED_VALUE"""),70.0)</f>
        <v>70</v>
      </c>
      <c r="L453" s="560">
        <f>IFERROR(__xludf.DUMMYFUNCTION("""COMPUTED_VALUE"""),50.0)</f>
        <v>50</v>
      </c>
      <c r="M453" s="561">
        <f>IFERROR(__xludf.DUMMYFUNCTION("""COMPUTED_VALUE"""),13.0)</f>
        <v>13</v>
      </c>
      <c r="N453" s="561">
        <f>IFERROR(__xludf.DUMMYFUNCTION("""COMPUTED_VALUE"""),4.0)</f>
        <v>4</v>
      </c>
      <c r="O453" s="560"/>
      <c r="P453" s="562">
        <f>IFERROR(__xludf.DUMMYFUNCTION("""COMPUTED_VALUE"""),0.0)</f>
        <v>0</v>
      </c>
      <c r="Q453" s="562">
        <f>IFERROR(__xludf.DUMMYFUNCTION("""COMPUTED_VALUE"""),0.0)</f>
        <v>0</v>
      </c>
      <c r="R453" s="562">
        <f>IFERROR(__xludf.DUMMYFUNCTION("""COMPUTED_VALUE"""),0.0)</f>
        <v>0</v>
      </c>
      <c r="S453" s="562"/>
      <c r="T453" s="217"/>
      <c r="U453" s="217"/>
      <c r="V453" s="217"/>
      <c r="W453" s="217">
        <f>IFERROR(__xludf.DUMMYFUNCTION("""COMPUTED_VALUE"""),60.0)</f>
        <v>60</v>
      </c>
      <c r="X453" s="217">
        <f>IFERROR(__xludf.DUMMYFUNCTION("""COMPUTED_VALUE"""),72.0)</f>
        <v>72</v>
      </c>
      <c r="Y453" s="217"/>
      <c r="Z453" s="217"/>
      <c r="AA453" s="481"/>
      <c r="AB453" s="481">
        <f>IFERROR(__xludf.DUMMYFUNCTION("""COMPUTED_VALUE"""),22.0)</f>
        <v>22</v>
      </c>
      <c r="AC453" s="481">
        <f>IFERROR(__xludf.DUMMYFUNCTION("""COMPUTED_VALUE"""),22.0)</f>
        <v>22</v>
      </c>
      <c r="AD453" s="481">
        <f>IFERROR(__xludf.DUMMYFUNCTION("""COMPUTED_VALUE"""),60.0)</f>
        <v>60</v>
      </c>
      <c r="AE453" s="481">
        <f>IFERROR(__xludf.DUMMYFUNCTION("""COMPUTED_VALUE"""),14.0)</f>
        <v>14</v>
      </c>
      <c r="AF453" s="481"/>
      <c r="AG453" s="481">
        <f>IFERROR(__xludf.DUMMYFUNCTION("""COMPUTED_VALUE"""),27.0)</f>
        <v>27</v>
      </c>
      <c r="AH453" s="481"/>
      <c r="AI453" s="158"/>
      <c r="AJ453" s="158"/>
      <c r="AK453" s="133">
        <f>IFERROR(__xludf.DUMMYFUNCTION("""COMPUTED_VALUE"""),0.0)</f>
        <v>0</v>
      </c>
      <c r="AL453" s="133">
        <f>IFERROR(__xludf.DUMMYFUNCTION("""COMPUTED_VALUE"""),1.0)</f>
        <v>1</v>
      </c>
      <c r="AM453" s="133">
        <f>IFERROR(__xludf.DUMMYFUNCTION("""COMPUTED_VALUE"""),0.0)</f>
        <v>0</v>
      </c>
      <c r="AN453" s="133" t="str">
        <f>IFERROR(__xludf.DUMMYFUNCTION("""COMPUTED_VALUE"""),"0")</f>
        <v>0</v>
      </c>
      <c r="AO453" s="133">
        <f>IFERROR(__xludf.DUMMYFUNCTION("""COMPUTED_VALUE"""),0.0)</f>
        <v>0</v>
      </c>
      <c r="AP453" s="155" t="s">
        <v>3706</v>
      </c>
    </row>
    <row r="454">
      <c r="A454" s="155">
        <f>IFERROR(__xludf.DUMMYFUNCTION("""COMPUTED_VALUE"""),216.0)</f>
        <v>216</v>
      </c>
      <c r="B454" s="155" t="str">
        <f>IFERROR(__xludf.DUMMYFUNCTION("""COMPUTED_VALUE"""),"umesha.ise24le@cmrit.ac.in")</f>
        <v>umesha.ise24le@cmrit.ac.in</v>
      </c>
      <c r="C454" s="174" t="str">
        <f>IFERROR(__xludf.DUMMYFUNCTION("""COMPUTED_VALUE"""),"UMESHA R")</f>
        <v>UMESHA R</v>
      </c>
      <c r="D454" s="155" t="str">
        <f>IFERROR(__xludf.DUMMYFUNCTION("""COMPUTED_VALUE"""),"1CR24IS416")</f>
        <v>1CR24IS416</v>
      </c>
      <c r="E454" s="563">
        <f>IFERROR(__xludf.DUMMYFUNCTION("""COMPUTED_VALUE"""),9.945024004E9)</f>
        <v>9945024004</v>
      </c>
      <c r="F454" s="155" t="str">
        <f>IFERROR(__xludf.DUMMYFUNCTION("""COMPUTED_VALUE"""),"ISE")</f>
        <v>ISE</v>
      </c>
      <c r="G454" s="158"/>
      <c r="H454" s="559">
        <f>IFERROR(__xludf.DUMMYFUNCTION("""COMPUTED_VALUE"""),70.0)</f>
        <v>70</v>
      </c>
      <c r="I454" s="559">
        <f>IFERROR(__xludf.DUMMYFUNCTION("""COMPUTED_VALUE"""),70.0)</f>
        <v>70</v>
      </c>
      <c r="J454" s="559">
        <f>IFERROR(__xludf.DUMMYFUNCTION("""COMPUTED_VALUE"""),70.0)</f>
        <v>70</v>
      </c>
      <c r="K454" s="559">
        <f>IFERROR(__xludf.DUMMYFUNCTION("""COMPUTED_VALUE"""),70.0)</f>
        <v>70</v>
      </c>
      <c r="L454" s="560">
        <f>IFERROR(__xludf.DUMMYFUNCTION("""COMPUTED_VALUE"""),42.0)</f>
        <v>42</v>
      </c>
      <c r="M454" s="561">
        <f>IFERROR(__xludf.DUMMYFUNCTION("""COMPUTED_VALUE"""),6.0)</f>
        <v>6</v>
      </c>
      <c r="N454" s="561">
        <f>IFERROR(__xludf.DUMMYFUNCTION("""COMPUTED_VALUE"""),0.0)</f>
        <v>0</v>
      </c>
      <c r="O454" s="560"/>
      <c r="P454" s="562">
        <f>IFERROR(__xludf.DUMMYFUNCTION("""COMPUTED_VALUE"""),50.0)</f>
        <v>50</v>
      </c>
      <c r="Q454" s="562">
        <f>IFERROR(__xludf.DUMMYFUNCTION("""COMPUTED_VALUE"""),50.0)</f>
        <v>50</v>
      </c>
      <c r="R454" s="562">
        <f>IFERROR(__xludf.DUMMYFUNCTION("""COMPUTED_VALUE"""),0.0)</f>
        <v>0</v>
      </c>
      <c r="S454" s="562"/>
      <c r="T454" s="217"/>
      <c r="U454" s="217"/>
      <c r="V454" s="217"/>
      <c r="W454" s="217"/>
      <c r="X454" s="217">
        <f>IFERROR(__xludf.DUMMYFUNCTION("""COMPUTED_VALUE"""),0.0)</f>
        <v>0</v>
      </c>
      <c r="Y454" s="217"/>
      <c r="Z454" s="217"/>
      <c r="AA454" s="481"/>
      <c r="AB454" s="481">
        <f>IFERROR(__xludf.DUMMYFUNCTION("""COMPUTED_VALUE"""),0.0)</f>
        <v>0</v>
      </c>
      <c r="AC454" s="481">
        <f>IFERROR(__xludf.DUMMYFUNCTION("""COMPUTED_VALUE"""),0.0)</f>
        <v>0</v>
      </c>
      <c r="AD454" s="481">
        <f>IFERROR(__xludf.DUMMYFUNCTION("""COMPUTED_VALUE"""),88.0)</f>
        <v>88</v>
      </c>
      <c r="AE454" s="481">
        <f>IFERROR(__xludf.DUMMYFUNCTION("""COMPUTED_VALUE"""),10.0)</f>
        <v>10</v>
      </c>
      <c r="AF454" s="481"/>
      <c r="AG454" s="481">
        <f>IFERROR(__xludf.DUMMYFUNCTION("""COMPUTED_VALUE"""),26.0)</f>
        <v>26</v>
      </c>
      <c r="AH454" s="481"/>
      <c r="AI454" s="158"/>
      <c r="AJ454" s="158"/>
      <c r="AK454" s="133">
        <f>IFERROR(__xludf.DUMMYFUNCTION("""COMPUTED_VALUE"""),4.0)</f>
        <v>4</v>
      </c>
      <c r="AL454" s="133">
        <f>IFERROR(__xludf.DUMMYFUNCTION("""COMPUTED_VALUE"""),0.0)</f>
        <v>0</v>
      </c>
      <c r="AM454" s="133">
        <f>IFERROR(__xludf.DUMMYFUNCTION("""COMPUTED_VALUE"""),0.0)</f>
        <v>0</v>
      </c>
      <c r="AN454" s="133" t="str">
        <f>IFERROR(__xludf.DUMMYFUNCTION("""COMPUTED_VALUE"""),"0")</f>
        <v>0</v>
      </c>
      <c r="AO454" s="133">
        <f>IFERROR(__xludf.DUMMYFUNCTION("""COMPUTED_VALUE"""),2.0)</f>
        <v>2</v>
      </c>
      <c r="AP454" s="155" t="s">
        <v>3706</v>
      </c>
    </row>
    <row r="455">
      <c r="A455" s="155">
        <f>IFERROR(__xludf.DUMMYFUNCTION("""COMPUTED_VALUE"""),1.0)</f>
        <v>1</v>
      </c>
      <c r="B455" s="155" t="str">
        <f>IFERROR(__xludf.DUMMYFUNCTION("""COMPUTED_VALUE"""),"aadh23csds@cmrit.ac.in")</f>
        <v>aadh23csds@cmrit.ac.in</v>
      </c>
      <c r="C455" s="174" t="str">
        <f>IFERROR(__xludf.DUMMYFUNCTION("""COMPUTED_VALUE"""),"AARUSH DHINGRA")</f>
        <v>AARUSH DHINGRA</v>
      </c>
      <c r="D455" s="155" t="str">
        <f>IFERROR(__xludf.DUMMYFUNCTION("""COMPUTED_VALUE"""),"1CR23CD001")</f>
        <v>1CR23CD001</v>
      </c>
      <c r="E455" s="563">
        <f>IFERROR(__xludf.DUMMYFUNCTION("""COMPUTED_VALUE"""),7.088462345E9)</f>
        <v>7088462345</v>
      </c>
      <c r="F455" s="155" t="str">
        <f>IFERROR(__xludf.DUMMYFUNCTION("""COMPUTED_VALUE"""),"CSE(DS)")</f>
        <v>CSE(DS)</v>
      </c>
      <c r="G455" s="158"/>
      <c r="H455" s="559">
        <f>IFERROR(__xludf.DUMMYFUNCTION("""COMPUTED_VALUE"""),83.0)</f>
        <v>83</v>
      </c>
      <c r="I455" s="559">
        <f>IFERROR(__xludf.DUMMYFUNCTION("""COMPUTED_VALUE"""),86.0)</f>
        <v>86</v>
      </c>
      <c r="J455" s="559">
        <f>IFERROR(__xludf.DUMMYFUNCTION("""COMPUTED_VALUE"""),84.0)</f>
        <v>84</v>
      </c>
      <c r="K455" s="559">
        <f>IFERROR(__xludf.DUMMYFUNCTION("""COMPUTED_VALUE"""),84.0)</f>
        <v>84</v>
      </c>
      <c r="L455" s="560">
        <f>IFERROR(__xludf.DUMMYFUNCTION("""COMPUTED_VALUE"""),76.0)</f>
        <v>76</v>
      </c>
      <c r="M455" s="561">
        <f>IFERROR(__xludf.DUMMYFUNCTION("""COMPUTED_VALUE"""),50.0)</f>
        <v>50</v>
      </c>
      <c r="N455" s="561">
        <f>IFERROR(__xludf.DUMMYFUNCTION("""COMPUTED_VALUE"""),66.0)</f>
        <v>66</v>
      </c>
      <c r="O455" s="560"/>
      <c r="P455" s="562">
        <f>IFERROR(__xludf.DUMMYFUNCTION("""COMPUTED_VALUE"""),73.0)</f>
        <v>73</v>
      </c>
      <c r="Q455" s="562">
        <f>IFERROR(__xludf.DUMMYFUNCTION("""COMPUTED_VALUE"""),58.0)</f>
        <v>58</v>
      </c>
      <c r="R455" s="562">
        <f>IFERROR(__xludf.DUMMYFUNCTION("""COMPUTED_VALUE"""),94.0)</f>
        <v>94</v>
      </c>
      <c r="S455" s="562"/>
      <c r="T455" s="217">
        <f>IFERROR(__xludf.DUMMYFUNCTION("""COMPUTED_VALUE"""),12.0)</f>
        <v>12</v>
      </c>
      <c r="U455" s="217">
        <f>IFERROR(__xludf.DUMMYFUNCTION("""COMPUTED_VALUE"""),21.0)</f>
        <v>21</v>
      </c>
      <c r="V455" s="217">
        <f>IFERROR(__xludf.DUMMYFUNCTION("""COMPUTED_VALUE"""),90.0)</f>
        <v>90</v>
      </c>
      <c r="W455" s="217">
        <f>IFERROR(__xludf.DUMMYFUNCTION("""COMPUTED_VALUE"""),76.0)</f>
        <v>76</v>
      </c>
      <c r="X455" s="217">
        <f>IFERROR(__xludf.DUMMYFUNCTION("""COMPUTED_VALUE"""),80.0)</f>
        <v>80</v>
      </c>
      <c r="Y455" s="217"/>
      <c r="Z455" s="217"/>
      <c r="AA455" s="481">
        <f>IFERROR(__xludf.DUMMYFUNCTION("""COMPUTED_VALUE"""),100.0)</f>
        <v>100</v>
      </c>
      <c r="AB455" s="481">
        <f>IFERROR(__xludf.DUMMYFUNCTION("""COMPUTED_VALUE"""),99.0)</f>
        <v>99</v>
      </c>
      <c r="AC455" s="481">
        <f>IFERROR(__xludf.DUMMYFUNCTION("""COMPUTED_VALUE"""),0.0)</f>
        <v>0</v>
      </c>
      <c r="AD455" s="481">
        <f>IFERROR(__xludf.DUMMYFUNCTION("""COMPUTED_VALUE"""),60.0)</f>
        <v>60</v>
      </c>
      <c r="AE455" s="481">
        <f>IFERROR(__xludf.DUMMYFUNCTION("""COMPUTED_VALUE"""),84.0)</f>
        <v>84</v>
      </c>
      <c r="AF455" s="481"/>
      <c r="AG455" s="481">
        <f>IFERROR(__xludf.DUMMYFUNCTION("""COMPUTED_VALUE"""),88.0)</f>
        <v>88</v>
      </c>
      <c r="AH455" s="481"/>
      <c r="AI455" s="158"/>
      <c r="AJ455" s="158"/>
      <c r="AK455" s="133">
        <f>IFERROR(__xludf.DUMMYFUNCTION("""COMPUTED_VALUE"""),4.0)</f>
        <v>4</v>
      </c>
      <c r="AL455" s="133">
        <f>IFERROR(__xludf.DUMMYFUNCTION("""COMPUTED_VALUE"""),3.0)</f>
        <v>3</v>
      </c>
      <c r="AM455" s="133">
        <f>IFERROR(__xludf.DUMMYFUNCTION("""COMPUTED_VALUE"""),3.0)</f>
        <v>3</v>
      </c>
      <c r="AN455" s="133" t="str">
        <f>IFERROR(__xludf.DUMMYFUNCTION("""COMPUTED_VALUE"""),"3.5")</f>
        <v>3.5</v>
      </c>
      <c r="AO455" s="133">
        <f>IFERROR(__xludf.DUMMYFUNCTION("""COMPUTED_VALUE"""),3.0)</f>
        <v>3</v>
      </c>
      <c r="AP455" s="155" t="s">
        <v>3706</v>
      </c>
    </row>
    <row r="456">
      <c r="A456" s="155">
        <f>IFERROR(__xludf.DUMMYFUNCTION("""COMPUTED_VALUE"""),2.0)</f>
        <v>2</v>
      </c>
      <c r="B456" s="155" t="str">
        <f>IFERROR(__xludf.DUMMYFUNCTION("""COMPUTED_VALUE"""),"ab23csds@cmrit.ac.in")</f>
        <v>ab23csds@cmrit.ac.in</v>
      </c>
      <c r="C456" s="174" t="str">
        <f>IFERROR(__xludf.DUMMYFUNCTION("""COMPUTED_VALUE"""),"Abhishek")</f>
        <v>Abhishek</v>
      </c>
      <c r="D456" s="155" t="str">
        <f>IFERROR(__xludf.DUMMYFUNCTION("""COMPUTED_VALUE"""),"1CR23CD002")</f>
        <v>1CR23CD002</v>
      </c>
      <c r="E456" s="563">
        <f>IFERROR(__xludf.DUMMYFUNCTION("""COMPUTED_VALUE"""),8.86738021E9)</f>
        <v>8867380210</v>
      </c>
      <c r="F456" s="155" t="str">
        <f>IFERROR(__xludf.DUMMYFUNCTION("""COMPUTED_VALUE"""),"CSE(DS)")</f>
        <v>CSE(DS)</v>
      </c>
      <c r="G456" s="158"/>
      <c r="H456" s="559">
        <f>IFERROR(__xludf.DUMMYFUNCTION("""COMPUTED_VALUE"""),79.0)</f>
        <v>79</v>
      </c>
      <c r="I456" s="559">
        <f>IFERROR(__xludf.DUMMYFUNCTION("""COMPUTED_VALUE"""),80.0)</f>
        <v>80</v>
      </c>
      <c r="J456" s="559">
        <f>IFERROR(__xludf.DUMMYFUNCTION("""COMPUTED_VALUE"""),70.0)</f>
        <v>70</v>
      </c>
      <c r="K456" s="559">
        <f>IFERROR(__xludf.DUMMYFUNCTION("""COMPUTED_VALUE"""),70.0)</f>
        <v>70</v>
      </c>
      <c r="L456" s="560">
        <f>IFERROR(__xludf.DUMMYFUNCTION("""COMPUTED_VALUE"""),50.0)</f>
        <v>50</v>
      </c>
      <c r="M456" s="561">
        <f>IFERROR(__xludf.DUMMYFUNCTION("""COMPUTED_VALUE"""),50.0)</f>
        <v>50</v>
      </c>
      <c r="N456" s="561">
        <f>IFERROR(__xludf.DUMMYFUNCTION("""COMPUTED_VALUE"""),53.0)</f>
        <v>53</v>
      </c>
      <c r="O456" s="560"/>
      <c r="P456" s="562">
        <f>IFERROR(__xludf.DUMMYFUNCTION("""COMPUTED_VALUE"""),50.0)</f>
        <v>50</v>
      </c>
      <c r="Q456" s="562">
        <f>IFERROR(__xludf.DUMMYFUNCTION("""COMPUTED_VALUE"""),55.0)</f>
        <v>55</v>
      </c>
      <c r="R456" s="562">
        <f>IFERROR(__xludf.DUMMYFUNCTION("""COMPUTED_VALUE"""),79.0)</f>
        <v>79</v>
      </c>
      <c r="S456" s="562"/>
      <c r="T456" s="217">
        <f>IFERROR(__xludf.DUMMYFUNCTION("""COMPUTED_VALUE"""),14.0)</f>
        <v>14</v>
      </c>
      <c r="U456" s="217">
        <f>IFERROR(__xludf.DUMMYFUNCTION("""COMPUTED_VALUE"""),17.0)</f>
        <v>17</v>
      </c>
      <c r="V456" s="217">
        <f>IFERROR(__xludf.DUMMYFUNCTION("""COMPUTED_VALUE"""),86.0)</f>
        <v>86</v>
      </c>
      <c r="W456" s="217">
        <f>IFERROR(__xludf.DUMMYFUNCTION("""COMPUTED_VALUE"""),78.0)</f>
        <v>78</v>
      </c>
      <c r="X456" s="217">
        <f>IFERROR(__xludf.DUMMYFUNCTION("""COMPUTED_VALUE"""),84.0)</f>
        <v>84</v>
      </c>
      <c r="Y456" s="217"/>
      <c r="Z456" s="217"/>
      <c r="AA456" s="481">
        <f>IFERROR(__xludf.DUMMYFUNCTION("""COMPUTED_VALUE"""),14.0)</f>
        <v>14</v>
      </c>
      <c r="AB456" s="481">
        <f>IFERROR(__xludf.DUMMYFUNCTION("""COMPUTED_VALUE"""),0.0)</f>
        <v>0</v>
      </c>
      <c r="AC456" s="481">
        <f>IFERROR(__xludf.DUMMYFUNCTION("""COMPUTED_VALUE"""),80.0)</f>
        <v>80</v>
      </c>
      <c r="AD456" s="481">
        <f>IFERROR(__xludf.DUMMYFUNCTION("""COMPUTED_VALUE"""),22.0)</f>
        <v>22</v>
      </c>
      <c r="AE456" s="481">
        <f>IFERROR(__xludf.DUMMYFUNCTION("""COMPUTED_VALUE"""),86.0)</f>
        <v>86</v>
      </c>
      <c r="AF456" s="481"/>
      <c r="AG456" s="481">
        <f>IFERROR(__xludf.DUMMYFUNCTION("""COMPUTED_VALUE"""),77.0)</f>
        <v>77</v>
      </c>
      <c r="AH456" s="481"/>
      <c r="AI456" s="158"/>
      <c r="AJ456" s="158"/>
      <c r="AK456" s="133">
        <f>IFERROR(__xludf.DUMMYFUNCTION("""COMPUTED_VALUE"""),4.0)</f>
        <v>4</v>
      </c>
      <c r="AL456" s="133">
        <f>IFERROR(__xludf.DUMMYFUNCTION("""COMPUTED_VALUE"""),3.0)</f>
        <v>3</v>
      </c>
      <c r="AM456" s="133">
        <f>IFERROR(__xludf.DUMMYFUNCTION("""COMPUTED_VALUE"""),3.0)</f>
        <v>3</v>
      </c>
      <c r="AN456" s="133" t="str">
        <f>IFERROR(__xludf.DUMMYFUNCTION("""COMPUTED_VALUE"""),"0")</f>
        <v>0</v>
      </c>
      <c r="AO456" s="133">
        <f>IFERROR(__xludf.DUMMYFUNCTION("""COMPUTED_VALUE"""),3.0)</f>
        <v>3</v>
      </c>
      <c r="AP456" s="155" t="s">
        <v>3706</v>
      </c>
    </row>
    <row r="457">
      <c r="A457" s="155">
        <f>IFERROR(__xludf.DUMMYFUNCTION("""COMPUTED_VALUE"""),3.0)</f>
        <v>3</v>
      </c>
      <c r="B457" s="155" t="str">
        <f>IFERROR(__xludf.DUMMYFUNCTION("""COMPUTED_VALUE"""),"adbr23csds@cmrit.ac.in")</f>
        <v>adbr23csds@cmrit.ac.in</v>
      </c>
      <c r="C457" s="174" t="str">
        <f>IFERROR(__xludf.DUMMYFUNCTION("""COMPUTED_VALUE"""),"ADITI BRIJ ")</f>
        <v>ADITI BRIJ </v>
      </c>
      <c r="D457" s="155" t="str">
        <f>IFERROR(__xludf.DUMMYFUNCTION("""COMPUTED_VALUE"""),"1CR23CD003")</f>
        <v>1CR23CD003</v>
      </c>
      <c r="E457" s="563">
        <f>IFERROR(__xludf.DUMMYFUNCTION("""COMPUTED_VALUE"""),8.986937824E9)</f>
        <v>8986937824</v>
      </c>
      <c r="F457" s="155" t="str">
        <f>IFERROR(__xludf.DUMMYFUNCTION("""COMPUTED_VALUE"""),"CSE(DS)")</f>
        <v>CSE(DS)</v>
      </c>
      <c r="G457" s="158"/>
      <c r="H457" s="559">
        <f>IFERROR(__xludf.DUMMYFUNCTION("""COMPUTED_VALUE"""),92.0)</f>
        <v>92</v>
      </c>
      <c r="I457" s="559">
        <f>IFERROR(__xludf.DUMMYFUNCTION("""COMPUTED_VALUE"""),91.0)</f>
        <v>91</v>
      </c>
      <c r="J457" s="559">
        <f>IFERROR(__xludf.DUMMYFUNCTION("""COMPUTED_VALUE"""),70.0)</f>
        <v>70</v>
      </c>
      <c r="K457" s="559">
        <f>IFERROR(__xludf.DUMMYFUNCTION("""COMPUTED_VALUE"""),73.0)</f>
        <v>73</v>
      </c>
      <c r="L457" s="560">
        <f>IFERROR(__xludf.DUMMYFUNCTION("""COMPUTED_VALUE"""),10.0)</f>
        <v>10</v>
      </c>
      <c r="M457" s="561">
        <f>IFERROR(__xludf.DUMMYFUNCTION("""COMPUTED_VALUE"""),22.0)</f>
        <v>22</v>
      </c>
      <c r="N457" s="561">
        <f>IFERROR(__xludf.DUMMYFUNCTION("""COMPUTED_VALUE"""),12.0)</f>
        <v>12</v>
      </c>
      <c r="O457" s="560"/>
      <c r="P457" s="562">
        <f>IFERROR(__xludf.DUMMYFUNCTION("""COMPUTED_VALUE"""),50.0)</f>
        <v>50</v>
      </c>
      <c r="Q457" s="562">
        <f>IFERROR(__xludf.DUMMYFUNCTION("""COMPUTED_VALUE"""),55.0)</f>
        <v>55</v>
      </c>
      <c r="R457" s="562">
        <f>IFERROR(__xludf.DUMMYFUNCTION("""COMPUTED_VALUE"""),0.0)</f>
        <v>0</v>
      </c>
      <c r="S457" s="562"/>
      <c r="T457" s="217">
        <f>IFERROR(__xludf.DUMMYFUNCTION("""COMPUTED_VALUE"""),10.0)</f>
        <v>10</v>
      </c>
      <c r="U457" s="217"/>
      <c r="V457" s="217"/>
      <c r="W457" s="217">
        <f>IFERROR(__xludf.DUMMYFUNCTION("""COMPUTED_VALUE"""),68.0)</f>
        <v>68</v>
      </c>
      <c r="X457" s="217">
        <f>IFERROR(__xludf.DUMMYFUNCTION("""COMPUTED_VALUE"""),0.0)</f>
        <v>0</v>
      </c>
      <c r="Y457" s="217"/>
      <c r="Z457" s="217"/>
      <c r="AA457" s="481">
        <f>IFERROR(__xludf.DUMMYFUNCTION("""COMPUTED_VALUE"""),80.0)</f>
        <v>80</v>
      </c>
      <c r="AB457" s="481">
        <f>IFERROR(__xludf.DUMMYFUNCTION("""COMPUTED_VALUE"""),97.0)</f>
        <v>97</v>
      </c>
      <c r="AC457" s="481">
        <f>IFERROR(__xludf.DUMMYFUNCTION("""COMPUTED_VALUE"""),37.0)</f>
        <v>37</v>
      </c>
      <c r="AD457" s="481">
        <f>IFERROR(__xludf.DUMMYFUNCTION("""COMPUTED_VALUE"""),27.0)</f>
        <v>27</v>
      </c>
      <c r="AE457" s="481">
        <f>IFERROR(__xludf.DUMMYFUNCTION("""COMPUTED_VALUE"""),59.0)</f>
        <v>59</v>
      </c>
      <c r="AF457" s="481"/>
      <c r="AG457" s="481">
        <f>IFERROR(__xludf.DUMMYFUNCTION("""COMPUTED_VALUE"""),45.0)</f>
        <v>45</v>
      </c>
      <c r="AH457" s="481"/>
      <c r="AI457" s="158"/>
      <c r="AJ457" s="158"/>
      <c r="AK457" s="133">
        <f>IFERROR(__xludf.DUMMYFUNCTION("""COMPUTED_VALUE"""),4.0)</f>
        <v>4</v>
      </c>
      <c r="AL457" s="133">
        <f>IFERROR(__xludf.DUMMYFUNCTION("""COMPUTED_VALUE"""),0.0)</f>
        <v>0</v>
      </c>
      <c r="AM457" s="133">
        <f>IFERROR(__xludf.DUMMYFUNCTION("""COMPUTED_VALUE"""),3.0)</f>
        <v>3</v>
      </c>
      <c r="AN457" s="133" t="str">
        <f>IFERROR(__xludf.DUMMYFUNCTION("""COMPUTED_VALUE"""),"2")</f>
        <v>2</v>
      </c>
      <c r="AO457" s="133">
        <f>IFERROR(__xludf.DUMMYFUNCTION("""COMPUTED_VALUE"""),2.0)</f>
        <v>2</v>
      </c>
      <c r="AP457" s="155" t="s">
        <v>3706</v>
      </c>
    </row>
    <row r="458">
      <c r="A458" s="155">
        <f>IFERROR(__xludf.DUMMYFUNCTION("""COMPUTED_VALUE"""),4.0)</f>
        <v>4</v>
      </c>
      <c r="B458" s="155" t="str">
        <f>IFERROR(__xludf.DUMMYFUNCTION("""COMPUTED_VALUE"""),"akha23csds@cmrit.ac.in")</f>
        <v>akha23csds@cmrit.ac.in</v>
      </c>
      <c r="C458" s="174" t="str">
        <f>IFERROR(__xludf.DUMMYFUNCTION("""COMPUTED_VALUE"""),"Akanksha Shrikant Hanchate")</f>
        <v>Akanksha Shrikant Hanchate</v>
      </c>
      <c r="D458" s="155" t="str">
        <f>IFERROR(__xludf.DUMMYFUNCTION("""COMPUTED_VALUE"""),"1CR23CD004")</f>
        <v>1CR23CD004</v>
      </c>
      <c r="E458" s="563">
        <f>IFERROR(__xludf.DUMMYFUNCTION("""COMPUTED_VALUE"""),6.362633511E9)</f>
        <v>6362633511</v>
      </c>
      <c r="F458" s="155" t="str">
        <f>IFERROR(__xludf.DUMMYFUNCTION("""COMPUTED_VALUE"""),"CSE(DS)")</f>
        <v>CSE(DS)</v>
      </c>
      <c r="G458" s="158"/>
      <c r="H458" s="559">
        <f>IFERROR(__xludf.DUMMYFUNCTION("""COMPUTED_VALUE"""),81.0)</f>
        <v>81</v>
      </c>
      <c r="I458" s="559">
        <f>IFERROR(__xludf.DUMMYFUNCTION("""COMPUTED_VALUE"""),84.0)</f>
        <v>84</v>
      </c>
      <c r="J458" s="559">
        <f>IFERROR(__xludf.DUMMYFUNCTION("""COMPUTED_VALUE"""),70.0)</f>
        <v>70</v>
      </c>
      <c r="K458" s="559">
        <f>IFERROR(__xludf.DUMMYFUNCTION("""COMPUTED_VALUE"""),81.0)</f>
        <v>81</v>
      </c>
      <c r="L458" s="560">
        <f>IFERROR(__xludf.DUMMYFUNCTION("""COMPUTED_VALUE"""),50.0)</f>
        <v>50</v>
      </c>
      <c r="M458" s="561">
        <f>IFERROR(__xludf.DUMMYFUNCTION("""COMPUTED_VALUE"""),57.0)</f>
        <v>57</v>
      </c>
      <c r="N458" s="561">
        <f>IFERROR(__xludf.DUMMYFUNCTION("""COMPUTED_VALUE"""),11.0)</f>
        <v>11</v>
      </c>
      <c r="O458" s="560"/>
      <c r="P458" s="562">
        <f>IFERROR(__xludf.DUMMYFUNCTION("""COMPUTED_VALUE"""),87.0)</f>
        <v>87</v>
      </c>
      <c r="Q458" s="562">
        <f>IFERROR(__xludf.DUMMYFUNCTION("""COMPUTED_VALUE"""),60.0)</f>
        <v>60</v>
      </c>
      <c r="R458" s="562">
        <f>IFERROR(__xludf.DUMMYFUNCTION("""COMPUTED_VALUE"""),50.0)</f>
        <v>50</v>
      </c>
      <c r="S458" s="562"/>
      <c r="T458" s="217">
        <f>IFERROR(__xludf.DUMMYFUNCTION("""COMPUTED_VALUE"""),22.0)</f>
        <v>22</v>
      </c>
      <c r="U458" s="217">
        <f>IFERROR(__xludf.DUMMYFUNCTION("""COMPUTED_VALUE"""),21.0)</f>
        <v>21</v>
      </c>
      <c r="V458" s="217">
        <f>IFERROR(__xludf.DUMMYFUNCTION("""COMPUTED_VALUE"""),90.0)</f>
        <v>90</v>
      </c>
      <c r="W458" s="217">
        <f>IFERROR(__xludf.DUMMYFUNCTION("""COMPUTED_VALUE"""),78.0)</f>
        <v>78</v>
      </c>
      <c r="X458" s="217">
        <f>IFERROR(__xludf.DUMMYFUNCTION("""COMPUTED_VALUE"""),76.0)</f>
        <v>76</v>
      </c>
      <c r="Y458" s="217"/>
      <c r="Z458" s="217"/>
      <c r="AA458" s="481">
        <f>IFERROR(__xludf.DUMMYFUNCTION("""COMPUTED_VALUE"""),96.0)</f>
        <v>96</v>
      </c>
      <c r="AB458" s="481">
        <f>IFERROR(__xludf.DUMMYFUNCTION("""COMPUTED_VALUE"""),78.0)</f>
        <v>78</v>
      </c>
      <c r="AC458" s="481">
        <f>IFERROR(__xludf.DUMMYFUNCTION("""COMPUTED_VALUE"""),73.0)</f>
        <v>73</v>
      </c>
      <c r="AD458" s="481">
        <f>IFERROR(__xludf.DUMMYFUNCTION("""COMPUTED_VALUE"""),70.0)</f>
        <v>70</v>
      </c>
      <c r="AE458" s="481">
        <f>IFERROR(__xludf.DUMMYFUNCTION("""COMPUTED_VALUE"""),71.0)</f>
        <v>71</v>
      </c>
      <c r="AF458" s="481"/>
      <c r="AG458" s="481">
        <f>IFERROR(__xludf.DUMMYFUNCTION("""COMPUTED_VALUE"""),73.0)</f>
        <v>73</v>
      </c>
      <c r="AH458" s="481"/>
      <c r="AI458" s="158"/>
      <c r="AJ458" s="158"/>
      <c r="AK458" s="133">
        <f>IFERROR(__xludf.DUMMYFUNCTION("""COMPUTED_VALUE"""),4.0)</f>
        <v>4</v>
      </c>
      <c r="AL458" s="133">
        <f>IFERROR(__xludf.DUMMYFUNCTION("""COMPUTED_VALUE"""),2.0)</f>
        <v>2</v>
      </c>
      <c r="AM458" s="133">
        <f>IFERROR(__xludf.DUMMYFUNCTION("""COMPUTED_VALUE"""),3.0)</f>
        <v>3</v>
      </c>
      <c r="AN458" s="133" t="str">
        <f>IFERROR(__xludf.DUMMYFUNCTION("""COMPUTED_VALUE"""),"3.5")</f>
        <v>3.5</v>
      </c>
      <c r="AO458" s="133">
        <f>IFERROR(__xludf.DUMMYFUNCTION("""COMPUTED_VALUE"""),3.0)</f>
        <v>3</v>
      </c>
      <c r="AP458" s="155" t="s">
        <v>3706</v>
      </c>
    </row>
    <row r="459">
      <c r="A459" s="155">
        <f>IFERROR(__xludf.DUMMYFUNCTION("""COMPUTED_VALUE"""),5.0)</f>
        <v>5</v>
      </c>
      <c r="B459" s="155" t="str">
        <f>IFERROR(__xludf.DUMMYFUNCTION("""COMPUTED_VALUE"""),"akyo23csds@cmrit.ac.in")</f>
        <v>akyo23csds@cmrit.ac.in</v>
      </c>
      <c r="C459" s="174" t="str">
        <f>IFERROR(__xludf.DUMMYFUNCTION("""COMPUTED_VALUE"""),"AKSHAYKUMAR YOGEESH PATGAR")</f>
        <v>AKSHAYKUMAR YOGEESH PATGAR</v>
      </c>
      <c r="D459" s="155" t="str">
        <f>IFERROR(__xludf.DUMMYFUNCTION("""COMPUTED_VALUE"""),"1CR23CD005")</f>
        <v>1CR23CD005</v>
      </c>
      <c r="E459" s="563">
        <f>IFERROR(__xludf.DUMMYFUNCTION("""COMPUTED_VALUE"""),9.110652968E9)</f>
        <v>9110652968</v>
      </c>
      <c r="F459" s="155" t="str">
        <f>IFERROR(__xludf.DUMMYFUNCTION("""COMPUTED_VALUE"""),"CSE(DS)")</f>
        <v>CSE(DS)</v>
      </c>
      <c r="G459" s="158"/>
      <c r="H459" s="559">
        <f>IFERROR(__xludf.DUMMYFUNCTION("""COMPUTED_VALUE"""),73.0)</f>
        <v>73</v>
      </c>
      <c r="I459" s="559">
        <f>IFERROR(__xludf.DUMMYFUNCTION("""COMPUTED_VALUE"""),65.0)</f>
        <v>65</v>
      </c>
      <c r="J459" s="559">
        <f>IFERROR(__xludf.DUMMYFUNCTION("""COMPUTED_VALUE"""),50.0)</f>
        <v>50</v>
      </c>
      <c r="K459" s="559">
        <f>IFERROR(__xludf.DUMMYFUNCTION("""COMPUTED_VALUE"""),45.0)</f>
        <v>45</v>
      </c>
      <c r="L459" s="560">
        <f>IFERROR(__xludf.DUMMYFUNCTION("""COMPUTED_VALUE"""),35.0)</f>
        <v>35</v>
      </c>
      <c r="M459" s="561">
        <f>IFERROR(__xludf.DUMMYFUNCTION("""COMPUTED_VALUE"""),25.0)</f>
        <v>25</v>
      </c>
      <c r="N459" s="561">
        <f>IFERROR(__xludf.DUMMYFUNCTION("""COMPUTED_VALUE"""),10.0)</f>
        <v>10</v>
      </c>
      <c r="O459" s="560"/>
      <c r="P459" s="562">
        <f>IFERROR(__xludf.DUMMYFUNCTION("""COMPUTED_VALUE"""),0.0)</f>
        <v>0</v>
      </c>
      <c r="Q459" s="562">
        <f>IFERROR(__xludf.DUMMYFUNCTION("""COMPUTED_VALUE"""),0.0)</f>
        <v>0</v>
      </c>
      <c r="R459" s="562">
        <f>IFERROR(__xludf.DUMMYFUNCTION("""COMPUTED_VALUE"""),0.0)</f>
        <v>0</v>
      </c>
      <c r="S459" s="562"/>
      <c r="T459" s="217">
        <f>IFERROR(__xludf.DUMMYFUNCTION("""COMPUTED_VALUE"""),20.0)</f>
        <v>20</v>
      </c>
      <c r="U459" s="217">
        <f>IFERROR(__xludf.DUMMYFUNCTION("""COMPUTED_VALUE"""),20.0)</f>
        <v>20</v>
      </c>
      <c r="V459" s="217">
        <f>IFERROR(__xludf.DUMMYFUNCTION("""COMPUTED_VALUE"""),100.0)</f>
        <v>100</v>
      </c>
      <c r="W459" s="217">
        <f>IFERROR(__xludf.DUMMYFUNCTION("""COMPUTED_VALUE"""),78.0)</f>
        <v>78</v>
      </c>
      <c r="X459" s="217">
        <f>IFERROR(__xludf.DUMMYFUNCTION("""COMPUTED_VALUE"""),82.0)</f>
        <v>82</v>
      </c>
      <c r="Y459" s="217"/>
      <c r="Z459" s="217"/>
      <c r="AA459" s="481">
        <f>IFERROR(__xludf.DUMMYFUNCTION("""COMPUTED_VALUE"""),50.0)</f>
        <v>50</v>
      </c>
      <c r="AB459" s="481">
        <f>IFERROR(__xludf.DUMMYFUNCTION("""COMPUTED_VALUE"""),27.0)</f>
        <v>27</v>
      </c>
      <c r="AC459" s="481">
        <f>IFERROR(__xludf.DUMMYFUNCTION("""COMPUTED_VALUE"""),0.0)</f>
        <v>0</v>
      </c>
      <c r="AD459" s="481">
        <f>IFERROR(__xludf.DUMMYFUNCTION("""COMPUTED_VALUE"""),88.0)</f>
        <v>88</v>
      </c>
      <c r="AE459" s="481">
        <f>IFERROR(__xludf.DUMMYFUNCTION("""COMPUTED_VALUE"""),10.0)</f>
        <v>10</v>
      </c>
      <c r="AF459" s="481"/>
      <c r="AG459" s="481">
        <f>IFERROR(__xludf.DUMMYFUNCTION("""COMPUTED_VALUE"""),0.0)</f>
        <v>0</v>
      </c>
      <c r="AH459" s="481"/>
      <c r="AI459" s="158"/>
      <c r="AJ459" s="158"/>
      <c r="AK459" s="133">
        <f>IFERROR(__xludf.DUMMYFUNCTION("""COMPUTED_VALUE"""),2.0)</f>
        <v>2</v>
      </c>
      <c r="AL459" s="133">
        <f>IFERROR(__xludf.DUMMYFUNCTION("""COMPUTED_VALUE"""),0.0)</f>
        <v>0</v>
      </c>
      <c r="AM459" s="133">
        <f>IFERROR(__xludf.DUMMYFUNCTION("""COMPUTED_VALUE"""),3.0)</f>
        <v>3</v>
      </c>
      <c r="AN459" s="133" t="str">
        <f>IFERROR(__xludf.DUMMYFUNCTION("""COMPUTED_VALUE"""),"0")</f>
        <v>0</v>
      </c>
      <c r="AO459" s="133">
        <f>IFERROR(__xludf.DUMMYFUNCTION("""COMPUTED_VALUE"""),0.0)</f>
        <v>0</v>
      </c>
      <c r="AP459" s="155" t="s">
        <v>3706</v>
      </c>
    </row>
    <row r="460">
      <c r="A460" s="155">
        <f>IFERROR(__xludf.DUMMYFUNCTION("""COMPUTED_VALUE"""),6.0)</f>
        <v>6</v>
      </c>
      <c r="B460" s="155" t="str">
        <f>IFERROR(__xludf.DUMMYFUNCTION("""COMPUTED_VALUE"""),"amsi23csds@cmrit.ac.in")</f>
        <v>amsi23csds@cmrit.ac.in</v>
      </c>
      <c r="C460" s="174" t="str">
        <f>IFERROR(__xludf.DUMMYFUNCTION("""COMPUTED_VALUE"""),"AMISHA SINGH")</f>
        <v>AMISHA SINGH</v>
      </c>
      <c r="D460" s="155" t="str">
        <f>IFERROR(__xludf.DUMMYFUNCTION("""COMPUTED_VALUE"""),"1CR23CD006")</f>
        <v>1CR23CD006</v>
      </c>
      <c r="E460" s="563">
        <f>IFERROR(__xludf.DUMMYFUNCTION("""COMPUTED_VALUE"""),8.597444545E9)</f>
        <v>8597444545</v>
      </c>
      <c r="F460" s="155" t="str">
        <f>IFERROR(__xludf.DUMMYFUNCTION("""COMPUTED_VALUE"""),"CSE(DS)")</f>
        <v>CSE(DS)</v>
      </c>
      <c r="G460" s="158"/>
      <c r="H460" s="559">
        <f>IFERROR(__xludf.DUMMYFUNCTION("""COMPUTED_VALUE"""),86.0)</f>
        <v>86</v>
      </c>
      <c r="I460" s="559">
        <f>IFERROR(__xludf.DUMMYFUNCTION("""COMPUTED_VALUE"""),95.0)</f>
        <v>95</v>
      </c>
      <c r="J460" s="559">
        <f>IFERROR(__xludf.DUMMYFUNCTION("""COMPUTED_VALUE"""),80.0)</f>
        <v>80</v>
      </c>
      <c r="K460" s="559">
        <f>IFERROR(__xludf.DUMMYFUNCTION("""COMPUTED_VALUE"""),61.0)</f>
        <v>61</v>
      </c>
      <c r="L460" s="560">
        <f>IFERROR(__xludf.DUMMYFUNCTION("""COMPUTED_VALUE"""),67.0)</f>
        <v>67</v>
      </c>
      <c r="M460" s="561">
        <f>IFERROR(__xludf.DUMMYFUNCTION("""COMPUTED_VALUE"""),50.0)</f>
        <v>50</v>
      </c>
      <c r="N460" s="561">
        <f>IFERROR(__xludf.DUMMYFUNCTION("""COMPUTED_VALUE"""),0.0)</f>
        <v>0</v>
      </c>
      <c r="O460" s="560"/>
      <c r="P460" s="562">
        <f>IFERROR(__xludf.DUMMYFUNCTION("""COMPUTED_VALUE"""),74.0)</f>
        <v>74</v>
      </c>
      <c r="Q460" s="562">
        <f>IFERROR(__xludf.DUMMYFUNCTION("""COMPUTED_VALUE"""),0.0)</f>
        <v>0</v>
      </c>
      <c r="R460" s="562">
        <f>IFERROR(__xludf.DUMMYFUNCTION("""COMPUTED_VALUE"""),0.0)</f>
        <v>0</v>
      </c>
      <c r="S460" s="562"/>
      <c r="T460" s="217">
        <f>IFERROR(__xludf.DUMMYFUNCTION("""COMPUTED_VALUE"""),17.0)</f>
        <v>17</v>
      </c>
      <c r="U460" s="217">
        <f>IFERROR(__xludf.DUMMYFUNCTION("""COMPUTED_VALUE"""),17.0)</f>
        <v>17</v>
      </c>
      <c r="V460" s="217">
        <f>IFERROR(__xludf.DUMMYFUNCTION("""COMPUTED_VALUE"""),66.0)</f>
        <v>66</v>
      </c>
      <c r="W460" s="217">
        <f>IFERROR(__xludf.DUMMYFUNCTION("""COMPUTED_VALUE"""),72.0)</f>
        <v>72</v>
      </c>
      <c r="X460" s="217">
        <f>IFERROR(__xludf.DUMMYFUNCTION("""COMPUTED_VALUE"""),42.0)</f>
        <v>42</v>
      </c>
      <c r="Y460" s="217"/>
      <c r="Z460" s="217"/>
      <c r="AA460" s="481">
        <f>IFERROR(__xludf.DUMMYFUNCTION("""COMPUTED_VALUE"""),100.0)</f>
        <v>100</v>
      </c>
      <c r="AB460" s="481">
        <f>IFERROR(__xludf.DUMMYFUNCTION("""COMPUTED_VALUE"""),100.0)</f>
        <v>100</v>
      </c>
      <c r="AC460" s="481">
        <f>IFERROR(__xludf.DUMMYFUNCTION("""COMPUTED_VALUE"""),69.0)</f>
        <v>69</v>
      </c>
      <c r="AD460" s="481">
        <f>IFERROR(__xludf.DUMMYFUNCTION("""COMPUTED_VALUE"""),66.0)</f>
        <v>66</v>
      </c>
      <c r="AE460" s="481">
        <f>IFERROR(__xludf.DUMMYFUNCTION("""COMPUTED_VALUE"""),10.0)</f>
        <v>10</v>
      </c>
      <c r="AF460" s="481"/>
      <c r="AG460" s="481">
        <f>IFERROR(__xludf.DUMMYFUNCTION("""COMPUTED_VALUE"""),0.0)</f>
        <v>0</v>
      </c>
      <c r="AH460" s="481"/>
      <c r="AI460" s="158"/>
      <c r="AJ460" s="158"/>
      <c r="AK460" s="133">
        <f>IFERROR(__xludf.DUMMYFUNCTION("""COMPUTED_VALUE"""),3.0)</f>
        <v>3</v>
      </c>
      <c r="AL460" s="133">
        <f>IFERROR(__xludf.DUMMYFUNCTION("""COMPUTED_VALUE"""),2.0)</f>
        <v>2</v>
      </c>
      <c r="AM460" s="133">
        <f>IFERROR(__xludf.DUMMYFUNCTION("""COMPUTED_VALUE"""),3.0)</f>
        <v>3</v>
      </c>
      <c r="AN460" s="133" t="str">
        <f>IFERROR(__xludf.DUMMYFUNCTION("""COMPUTED_VALUE"""),"3")</f>
        <v>3</v>
      </c>
      <c r="AO460" s="133">
        <f>IFERROR(__xludf.DUMMYFUNCTION("""COMPUTED_VALUE"""),1.0)</f>
        <v>1</v>
      </c>
      <c r="AP460" s="155" t="s">
        <v>3706</v>
      </c>
    </row>
    <row r="461">
      <c r="A461" s="155">
        <f>IFERROR(__xludf.DUMMYFUNCTION("""COMPUTED_VALUE"""),7.0)</f>
        <v>7</v>
      </c>
      <c r="B461" s="155" t="str">
        <f>IFERROR(__xludf.DUMMYFUNCTION("""COMPUTED_VALUE"""),"anu23csds@cmrit.ac.in")</f>
        <v>anu23csds@cmrit.ac.in</v>
      </c>
      <c r="C461" s="174" t="str">
        <f>IFERROR(__xludf.DUMMYFUNCTION("""COMPUTED_VALUE"""),"ANANYA U")</f>
        <v>ANANYA U</v>
      </c>
      <c r="D461" s="155" t="str">
        <f>IFERROR(__xludf.DUMMYFUNCTION("""COMPUTED_VALUE"""),"1CR23CD007")</f>
        <v>1CR23CD007</v>
      </c>
      <c r="E461" s="563">
        <f>IFERROR(__xludf.DUMMYFUNCTION("""COMPUTED_VALUE"""),8.618989199E9)</f>
        <v>8618989199</v>
      </c>
      <c r="F461" s="155" t="str">
        <f>IFERROR(__xludf.DUMMYFUNCTION("""COMPUTED_VALUE"""),"CSE(DS)")</f>
        <v>CSE(DS)</v>
      </c>
      <c r="G461" s="158"/>
      <c r="H461" s="559">
        <f>IFERROR(__xludf.DUMMYFUNCTION("""COMPUTED_VALUE"""),76.0)</f>
        <v>76</v>
      </c>
      <c r="I461" s="559">
        <f>IFERROR(__xludf.DUMMYFUNCTION("""COMPUTED_VALUE"""),85.0)</f>
        <v>85</v>
      </c>
      <c r="J461" s="559">
        <f>IFERROR(__xludf.DUMMYFUNCTION("""COMPUTED_VALUE"""),71.0)</f>
        <v>71</v>
      </c>
      <c r="K461" s="559">
        <f>IFERROR(__xludf.DUMMYFUNCTION("""COMPUTED_VALUE"""),72.0)</f>
        <v>72</v>
      </c>
      <c r="L461" s="560">
        <f>IFERROR(__xludf.DUMMYFUNCTION("""COMPUTED_VALUE"""),50.0)</f>
        <v>50</v>
      </c>
      <c r="M461" s="561">
        <f>IFERROR(__xludf.DUMMYFUNCTION("""COMPUTED_VALUE"""),35.0)</f>
        <v>35</v>
      </c>
      <c r="N461" s="561">
        <f>IFERROR(__xludf.DUMMYFUNCTION("""COMPUTED_VALUE"""),50.0)</f>
        <v>50</v>
      </c>
      <c r="O461" s="560"/>
      <c r="P461" s="562">
        <f>IFERROR(__xludf.DUMMYFUNCTION("""COMPUTED_VALUE"""),73.0)</f>
        <v>73</v>
      </c>
      <c r="Q461" s="562">
        <f>IFERROR(__xludf.DUMMYFUNCTION("""COMPUTED_VALUE"""),60.0)</f>
        <v>60</v>
      </c>
      <c r="R461" s="562">
        <f>IFERROR(__xludf.DUMMYFUNCTION("""COMPUTED_VALUE"""),89.0)</f>
        <v>89</v>
      </c>
      <c r="S461" s="562"/>
      <c r="T461" s="217">
        <f>IFERROR(__xludf.DUMMYFUNCTION("""COMPUTED_VALUE"""),15.0)</f>
        <v>15</v>
      </c>
      <c r="U461" s="217">
        <f>IFERROR(__xludf.DUMMYFUNCTION("""COMPUTED_VALUE"""),14.0)</f>
        <v>14</v>
      </c>
      <c r="V461" s="217">
        <f>IFERROR(__xludf.DUMMYFUNCTION("""COMPUTED_VALUE"""),90.0)</f>
        <v>90</v>
      </c>
      <c r="W461" s="217">
        <f>IFERROR(__xludf.DUMMYFUNCTION("""COMPUTED_VALUE"""),84.0)</f>
        <v>84</v>
      </c>
      <c r="X461" s="217">
        <f>IFERROR(__xludf.DUMMYFUNCTION("""COMPUTED_VALUE"""),76.0)</f>
        <v>76</v>
      </c>
      <c r="Y461" s="217"/>
      <c r="Z461" s="217"/>
      <c r="AA461" s="481">
        <f>IFERROR(__xludf.DUMMYFUNCTION("""COMPUTED_VALUE"""),97.0)</f>
        <v>97</v>
      </c>
      <c r="AB461" s="481">
        <f>IFERROR(__xludf.DUMMYFUNCTION("""COMPUTED_VALUE"""),85.0)</f>
        <v>85</v>
      </c>
      <c r="AC461" s="481">
        <f>IFERROR(__xludf.DUMMYFUNCTION("""COMPUTED_VALUE"""),73.0)</f>
        <v>73</v>
      </c>
      <c r="AD461" s="481">
        <f>IFERROR(__xludf.DUMMYFUNCTION("""COMPUTED_VALUE"""),70.0)</f>
        <v>70</v>
      </c>
      <c r="AE461" s="481">
        <f>IFERROR(__xludf.DUMMYFUNCTION("""COMPUTED_VALUE"""),80.0)</f>
        <v>80</v>
      </c>
      <c r="AF461" s="481"/>
      <c r="AG461" s="481">
        <f>IFERROR(__xludf.DUMMYFUNCTION("""COMPUTED_VALUE"""),86.0)</f>
        <v>86</v>
      </c>
      <c r="AH461" s="481"/>
      <c r="AI461" s="158"/>
      <c r="AJ461" s="158"/>
      <c r="AK461" s="133">
        <f>IFERROR(__xludf.DUMMYFUNCTION("""COMPUTED_VALUE"""),4.0)</f>
        <v>4</v>
      </c>
      <c r="AL461" s="133">
        <f>IFERROR(__xludf.DUMMYFUNCTION("""COMPUTED_VALUE"""),1.0)</f>
        <v>1</v>
      </c>
      <c r="AM461" s="133">
        <f>IFERROR(__xludf.DUMMYFUNCTION("""COMPUTED_VALUE"""),3.0)</f>
        <v>3</v>
      </c>
      <c r="AN461" s="133" t="str">
        <f>IFERROR(__xludf.DUMMYFUNCTION("""COMPUTED_VALUE"""),"3.5")</f>
        <v>3.5</v>
      </c>
      <c r="AO461" s="133">
        <f>IFERROR(__xludf.DUMMYFUNCTION("""COMPUTED_VALUE"""),3.0)</f>
        <v>3</v>
      </c>
      <c r="AP461" s="155" t="s">
        <v>3706</v>
      </c>
    </row>
    <row r="462">
      <c r="A462" s="155">
        <f>IFERROR(__xludf.DUMMYFUNCTION("""COMPUTED_VALUE"""),8.0)</f>
        <v>8</v>
      </c>
      <c r="B462" s="155" t="str">
        <f>IFERROR(__xludf.DUMMYFUNCTION("""COMPUTED_VALUE"""),"ansh23csds@cmrit.ac.in")</f>
        <v>ansh23csds@cmrit.ac.in</v>
      </c>
      <c r="C462" s="174" t="str">
        <f>IFERROR(__xludf.DUMMYFUNCTION("""COMPUTED_VALUE"""),"Anjali shukla ")</f>
        <v>Anjali shukla </v>
      </c>
      <c r="D462" s="155" t="str">
        <f>IFERROR(__xludf.DUMMYFUNCTION("""COMPUTED_VALUE"""),"1CR23CD008")</f>
        <v>1CR23CD008</v>
      </c>
      <c r="E462" s="563">
        <f>IFERROR(__xludf.DUMMYFUNCTION("""COMPUTED_VALUE"""),9.686561639E9)</f>
        <v>9686561639</v>
      </c>
      <c r="F462" s="155" t="str">
        <f>IFERROR(__xludf.DUMMYFUNCTION("""COMPUTED_VALUE"""),"CSE(DS)")</f>
        <v>CSE(DS)</v>
      </c>
      <c r="G462" s="158"/>
      <c r="H462" s="559">
        <f>IFERROR(__xludf.DUMMYFUNCTION("""COMPUTED_VALUE"""),85.0)</f>
        <v>85</v>
      </c>
      <c r="I462" s="559">
        <f>IFERROR(__xludf.DUMMYFUNCTION("""COMPUTED_VALUE"""),86.0)</f>
        <v>86</v>
      </c>
      <c r="J462" s="559">
        <f>IFERROR(__xludf.DUMMYFUNCTION("""COMPUTED_VALUE"""),86.0)</f>
        <v>86</v>
      </c>
      <c r="K462" s="559">
        <f>IFERROR(__xludf.DUMMYFUNCTION("""COMPUTED_VALUE"""),83.0)</f>
        <v>83</v>
      </c>
      <c r="L462" s="560">
        <f>IFERROR(__xludf.DUMMYFUNCTION("""COMPUTED_VALUE"""),76.0)</f>
        <v>76</v>
      </c>
      <c r="M462" s="561">
        <f>IFERROR(__xludf.DUMMYFUNCTION("""COMPUTED_VALUE"""),57.0)</f>
        <v>57</v>
      </c>
      <c r="N462" s="561">
        <f>IFERROR(__xludf.DUMMYFUNCTION("""COMPUTED_VALUE"""),51.0)</f>
        <v>51</v>
      </c>
      <c r="O462" s="560"/>
      <c r="P462" s="562">
        <f>IFERROR(__xludf.DUMMYFUNCTION("""COMPUTED_VALUE"""),70.0)</f>
        <v>70</v>
      </c>
      <c r="Q462" s="562">
        <f>IFERROR(__xludf.DUMMYFUNCTION("""COMPUTED_VALUE"""),80.0)</f>
        <v>80</v>
      </c>
      <c r="R462" s="562">
        <f>IFERROR(__xludf.DUMMYFUNCTION("""COMPUTED_VALUE"""),93.0)</f>
        <v>93</v>
      </c>
      <c r="S462" s="562"/>
      <c r="T462" s="217">
        <f>IFERROR(__xludf.DUMMYFUNCTION("""COMPUTED_VALUE"""),15.0)</f>
        <v>15</v>
      </c>
      <c r="U462" s="217">
        <f>IFERROR(__xludf.DUMMYFUNCTION("""COMPUTED_VALUE"""),19.0)</f>
        <v>19</v>
      </c>
      <c r="V462" s="217">
        <f>IFERROR(__xludf.DUMMYFUNCTION("""COMPUTED_VALUE"""),76.0)</f>
        <v>76</v>
      </c>
      <c r="W462" s="217">
        <f>IFERROR(__xludf.DUMMYFUNCTION("""COMPUTED_VALUE"""),82.0)</f>
        <v>82</v>
      </c>
      <c r="X462" s="217">
        <f>IFERROR(__xludf.DUMMYFUNCTION("""COMPUTED_VALUE"""),70.0)</f>
        <v>70</v>
      </c>
      <c r="Y462" s="217"/>
      <c r="Z462" s="217"/>
      <c r="AA462" s="481">
        <f>IFERROR(__xludf.DUMMYFUNCTION("""COMPUTED_VALUE"""),41.0)</f>
        <v>41</v>
      </c>
      <c r="AB462" s="481">
        <f>IFERROR(__xludf.DUMMYFUNCTION("""COMPUTED_VALUE"""),93.0)</f>
        <v>93</v>
      </c>
      <c r="AC462" s="481">
        <f>IFERROR(__xludf.DUMMYFUNCTION("""COMPUTED_VALUE"""),100.0)</f>
        <v>100</v>
      </c>
      <c r="AD462" s="481">
        <f>IFERROR(__xludf.DUMMYFUNCTION("""COMPUTED_VALUE"""),60.0)</f>
        <v>60</v>
      </c>
      <c r="AE462" s="481">
        <f>IFERROR(__xludf.DUMMYFUNCTION("""COMPUTED_VALUE"""),86.0)</f>
        <v>86</v>
      </c>
      <c r="AF462" s="481"/>
      <c r="AG462" s="481">
        <f>IFERROR(__xludf.DUMMYFUNCTION("""COMPUTED_VALUE"""),86.0)</f>
        <v>86</v>
      </c>
      <c r="AH462" s="481"/>
      <c r="AI462" s="158"/>
      <c r="AJ462" s="158"/>
      <c r="AK462" s="133">
        <f>IFERROR(__xludf.DUMMYFUNCTION("""COMPUTED_VALUE"""),4.0)</f>
        <v>4</v>
      </c>
      <c r="AL462" s="133">
        <f>IFERROR(__xludf.DUMMYFUNCTION("""COMPUTED_VALUE"""),3.0)</f>
        <v>3</v>
      </c>
      <c r="AM462" s="133">
        <f>IFERROR(__xludf.DUMMYFUNCTION("""COMPUTED_VALUE"""),3.0)</f>
        <v>3</v>
      </c>
      <c r="AN462" s="133" t="str">
        <f>IFERROR(__xludf.DUMMYFUNCTION("""COMPUTED_VALUE"""),"3.5")</f>
        <v>3.5</v>
      </c>
      <c r="AO462" s="133">
        <f>IFERROR(__xludf.DUMMYFUNCTION("""COMPUTED_VALUE"""),3.0)</f>
        <v>3</v>
      </c>
      <c r="AP462" s="155" t="s">
        <v>3706</v>
      </c>
    </row>
    <row r="463">
      <c r="A463" s="155">
        <f>IFERROR(__xludf.DUMMYFUNCTION("""COMPUTED_VALUE"""),9.0)</f>
        <v>9</v>
      </c>
      <c r="B463" s="155" t="str">
        <f>IFERROR(__xludf.DUMMYFUNCTION("""COMPUTED_VALUE"""),"anku23csds@cmrit.ac.in")</f>
        <v>anku23csds@cmrit.ac.in</v>
      </c>
      <c r="C463" s="174" t="str">
        <f>IFERROR(__xludf.DUMMYFUNCTION("""COMPUTED_VALUE"""),"ANUSHKA KUMARI")</f>
        <v>ANUSHKA KUMARI</v>
      </c>
      <c r="D463" s="155" t="str">
        <f>IFERROR(__xludf.DUMMYFUNCTION("""COMPUTED_VALUE"""),"1CR23CD009")</f>
        <v>1CR23CD009</v>
      </c>
      <c r="E463" s="563">
        <f>IFERROR(__xludf.DUMMYFUNCTION("""COMPUTED_VALUE"""),7.00472239E9)</f>
        <v>7004722390</v>
      </c>
      <c r="F463" s="155" t="str">
        <f>IFERROR(__xludf.DUMMYFUNCTION("""COMPUTED_VALUE"""),"CSE(DS)")</f>
        <v>CSE(DS)</v>
      </c>
      <c r="G463" s="158"/>
      <c r="H463" s="559">
        <f>IFERROR(__xludf.DUMMYFUNCTION("""COMPUTED_VALUE"""),77.0)</f>
        <v>77</v>
      </c>
      <c r="I463" s="559">
        <f>IFERROR(__xludf.DUMMYFUNCTION("""COMPUTED_VALUE"""),75.0)</f>
        <v>75</v>
      </c>
      <c r="J463" s="559">
        <f>IFERROR(__xludf.DUMMYFUNCTION("""COMPUTED_VALUE"""),71.0)</f>
        <v>71</v>
      </c>
      <c r="K463" s="559">
        <f>IFERROR(__xludf.DUMMYFUNCTION("""COMPUTED_VALUE"""),84.0)</f>
        <v>84</v>
      </c>
      <c r="L463" s="560">
        <f>IFERROR(__xludf.DUMMYFUNCTION("""COMPUTED_VALUE"""),57.0)</f>
        <v>57</v>
      </c>
      <c r="M463" s="561">
        <f>IFERROR(__xludf.DUMMYFUNCTION("""COMPUTED_VALUE"""),54.0)</f>
        <v>54</v>
      </c>
      <c r="N463" s="561">
        <f>IFERROR(__xludf.DUMMYFUNCTION("""COMPUTED_VALUE"""),50.0)</f>
        <v>50</v>
      </c>
      <c r="O463" s="560"/>
      <c r="P463" s="562">
        <f>IFERROR(__xludf.DUMMYFUNCTION("""COMPUTED_VALUE"""),73.0)</f>
        <v>73</v>
      </c>
      <c r="Q463" s="562">
        <f>IFERROR(__xludf.DUMMYFUNCTION("""COMPUTED_VALUE"""),55.0)</f>
        <v>55</v>
      </c>
      <c r="R463" s="562">
        <f>IFERROR(__xludf.DUMMYFUNCTION("""COMPUTED_VALUE"""),74.0)</f>
        <v>74</v>
      </c>
      <c r="S463" s="562"/>
      <c r="T463" s="217">
        <f>IFERROR(__xludf.DUMMYFUNCTION("""COMPUTED_VALUE"""),17.0)</f>
        <v>17</v>
      </c>
      <c r="U463" s="217">
        <f>IFERROR(__xludf.DUMMYFUNCTION("""COMPUTED_VALUE"""),17.0)</f>
        <v>17</v>
      </c>
      <c r="V463" s="217">
        <f>IFERROR(__xludf.DUMMYFUNCTION("""COMPUTED_VALUE"""),90.0)</f>
        <v>90</v>
      </c>
      <c r="W463" s="217">
        <f>IFERROR(__xludf.DUMMYFUNCTION("""COMPUTED_VALUE"""),84.0)</f>
        <v>84</v>
      </c>
      <c r="X463" s="217">
        <f>IFERROR(__xludf.DUMMYFUNCTION("""COMPUTED_VALUE"""),80.0)</f>
        <v>80</v>
      </c>
      <c r="Y463" s="217"/>
      <c r="Z463" s="217"/>
      <c r="AA463" s="481">
        <f>IFERROR(__xludf.DUMMYFUNCTION("""COMPUTED_VALUE"""),94.0)</f>
        <v>94</v>
      </c>
      <c r="AB463" s="481">
        <f>IFERROR(__xludf.DUMMYFUNCTION("""COMPUTED_VALUE"""),84.0)</f>
        <v>84</v>
      </c>
      <c r="AC463" s="481">
        <f>IFERROR(__xludf.DUMMYFUNCTION("""COMPUTED_VALUE"""),100.0)</f>
        <v>100</v>
      </c>
      <c r="AD463" s="481">
        <f>IFERROR(__xludf.DUMMYFUNCTION("""COMPUTED_VALUE"""),80.0)</f>
        <v>80</v>
      </c>
      <c r="AE463" s="481">
        <f>IFERROR(__xludf.DUMMYFUNCTION("""COMPUTED_VALUE"""),73.0)</f>
        <v>73</v>
      </c>
      <c r="AF463" s="481"/>
      <c r="AG463" s="481">
        <f>IFERROR(__xludf.DUMMYFUNCTION("""COMPUTED_VALUE"""),76.0)</f>
        <v>76</v>
      </c>
      <c r="AH463" s="481"/>
      <c r="AI463" s="158"/>
      <c r="AJ463" s="158"/>
      <c r="AK463" s="133">
        <f>IFERROR(__xludf.DUMMYFUNCTION("""COMPUTED_VALUE"""),4.0)</f>
        <v>4</v>
      </c>
      <c r="AL463" s="133">
        <f>IFERROR(__xludf.DUMMYFUNCTION("""COMPUTED_VALUE"""),3.0)</f>
        <v>3</v>
      </c>
      <c r="AM463" s="133">
        <f>IFERROR(__xludf.DUMMYFUNCTION("""COMPUTED_VALUE"""),3.0)</f>
        <v>3</v>
      </c>
      <c r="AN463" s="133" t="str">
        <f>IFERROR(__xludf.DUMMYFUNCTION("""COMPUTED_VALUE"""),"3.5")</f>
        <v>3.5</v>
      </c>
      <c r="AO463" s="133">
        <f>IFERROR(__xludf.DUMMYFUNCTION("""COMPUTED_VALUE"""),3.0)</f>
        <v>3</v>
      </c>
      <c r="AP463" s="155" t="s">
        <v>3743</v>
      </c>
    </row>
    <row r="464">
      <c r="A464" s="155">
        <f>IFERROR(__xludf.DUMMYFUNCTION("""COMPUTED_VALUE"""),10.0)</f>
        <v>10</v>
      </c>
      <c r="B464" s="155" t="str">
        <f>IFERROR(__xludf.DUMMYFUNCTION("""COMPUTED_VALUE"""),"apas23csds@cmrit.ac.in")</f>
        <v>apas23csds@cmrit.ac.in</v>
      </c>
      <c r="C464" s="174" t="str">
        <f>IFERROR(__xludf.DUMMYFUNCTION("""COMPUTED_VALUE"""),"APARNAA A S")</f>
        <v>APARNAA A S</v>
      </c>
      <c r="D464" s="155" t="str">
        <f>IFERROR(__xludf.DUMMYFUNCTION("""COMPUTED_VALUE"""),"1CR23CD010")</f>
        <v>1CR23CD010</v>
      </c>
      <c r="E464" s="563">
        <f>IFERROR(__xludf.DUMMYFUNCTION("""COMPUTED_VALUE"""),6.363501118E9)</f>
        <v>6363501118</v>
      </c>
      <c r="F464" s="155" t="str">
        <f>IFERROR(__xludf.DUMMYFUNCTION("""COMPUTED_VALUE"""),"CSE TO CSE(DS)")</f>
        <v>CSE TO CSE(DS)</v>
      </c>
      <c r="G464" s="158"/>
      <c r="H464" s="559">
        <f>IFERROR(__xludf.DUMMYFUNCTION("""COMPUTED_VALUE"""),88.0)</f>
        <v>88</v>
      </c>
      <c r="I464" s="559">
        <f>IFERROR(__xludf.DUMMYFUNCTION("""COMPUTED_VALUE"""),87.0)</f>
        <v>87</v>
      </c>
      <c r="J464" s="559">
        <f>IFERROR(__xludf.DUMMYFUNCTION("""COMPUTED_VALUE"""),72.0)</f>
        <v>72</v>
      </c>
      <c r="K464" s="559">
        <f>IFERROR(__xludf.DUMMYFUNCTION("""COMPUTED_VALUE"""),78.0)</f>
        <v>78</v>
      </c>
      <c r="L464" s="560">
        <f>IFERROR(__xludf.DUMMYFUNCTION("""COMPUTED_VALUE"""),68.0)</f>
        <v>68</v>
      </c>
      <c r="M464" s="561">
        <f>IFERROR(__xludf.DUMMYFUNCTION("""COMPUTED_VALUE"""),52.0)</f>
        <v>52</v>
      </c>
      <c r="N464" s="561">
        <f>IFERROR(__xludf.DUMMYFUNCTION("""COMPUTED_VALUE"""),55.0)</f>
        <v>55</v>
      </c>
      <c r="O464" s="560"/>
      <c r="P464" s="562">
        <f>IFERROR(__xludf.DUMMYFUNCTION("""COMPUTED_VALUE"""),70.0)</f>
        <v>70</v>
      </c>
      <c r="Q464" s="562">
        <f>IFERROR(__xludf.DUMMYFUNCTION("""COMPUTED_VALUE"""),80.0)</f>
        <v>80</v>
      </c>
      <c r="R464" s="562">
        <f>IFERROR(__xludf.DUMMYFUNCTION("""COMPUTED_VALUE"""),90.0)</f>
        <v>90</v>
      </c>
      <c r="S464" s="562"/>
      <c r="T464" s="217">
        <f>IFERROR(__xludf.DUMMYFUNCTION("""COMPUTED_VALUE"""),13.0)</f>
        <v>13</v>
      </c>
      <c r="U464" s="217">
        <f>IFERROR(__xludf.DUMMYFUNCTION("""COMPUTED_VALUE"""),17.0)</f>
        <v>17</v>
      </c>
      <c r="V464" s="217">
        <f>IFERROR(__xludf.DUMMYFUNCTION("""COMPUTED_VALUE"""),84.0)</f>
        <v>84</v>
      </c>
      <c r="W464" s="217">
        <f>IFERROR(__xludf.DUMMYFUNCTION("""COMPUTED_VALUE"""),82.0)</f>
        <v>82</v>
      </c>
      <c r="X464" s="217">
        <f>IFERROR(__xludf.DUMMYFUNCTION("""COMPUTED_VALUE"""),86.0)</f>
        <v>86</v>
      </c>
      <c r="Y464" s="217"/>
      <c r="Z464" s="217"/>
      <c r="AA464" s="481">
        <f>IFERROR(__xludf.DUMMYFUNCTION("""COMPUTED_VALUE"""),95.0)</f>
        <v>95</v>
      </c>
      <c r="AB464" s="481">
        <f>IFERROR(__xludf.DUMMYFUNCTION("""COMPUTED_VALUE"""),100.0)</f>
        <v>100</v>
      </c>
      <c r="AC464" s="481">
        <f>IFERROR(__xludf.DUMMYFUNCTION("""COMPUTED_VALUE"""),73.0)</f>
        <v>73</v>
      </c>
      <c r="AD464" s="481">
        <f>IFERROR(__xludf.DUMMYFUNCTION("""COMPUTED_VALUE"""),70.0)</f>
        <v>70</v>
      </c>
      <c r="AE464" s="481">
        <f>IFERROR(__xludf.DUMMYFUNCTION("""COMPUTED_VALUE"""),84.0)</f>
        <v>84</v>
      </c>
      <c r="AF464" s="481"/>
      <c r="AG464" s="481">
        <f>IFERROR(__xludf.DUMMYFUNCTION("""COMPUTED_VALUE"""),81.0)</f>
        <v>81</v>
      </c>
      <c r="AH464" s="481"/>
      <c r="AI464" s="158"/>
      <c r="AJ464" s="158"/>
      <c r="AK464" s="133">
        <f>IFERROR(__xludf.DUMMYFUNCTION("""COMPUTED_VALUE"""),4.0)</f>
        <v>4</v>
      </c>
      <c r="AL464" s="133">
        <f>IFERROR(__xludf.DUMMYFUNCTION("""COMPUTED_VALUE"""),3.0)</f>
        <v>3</v>
      </c>
      <c r="AM464" s="133">
        <f>IFERROR(__xludf.DUMMYFUNCTION("""COMPUTED_VALUE"""),3.0)</f>
        <v>3</v>
      </c>
      <c r="AN464" s="133" t="str">
        <f>IFERROR(__xludf.DUMMYFUNCTION("""COMPUTED_VALUE"""),"3.5")</f>
        <v>3.5</v>
      </c>
      <c r="AO464" s="133">
        <f>IFERROR(__xludf.DUMMYFUNCTION("""COMPUTED_VALUE"""),3.0)</f>
        <v>3</v>
      </c>
      <c r="AP464" s="155" t="s">
        <v>3743</v>
      </c>
    </row>
    <row r="465">
      <c r="A465" s="155">
        <f>IFERROR(__xludf.DUMMYFUNCTION("""COMPUTED_VALUE"""),11.0)</f>
        <v>11</v>
      </c>
      <c r="B465" s="155" t="str">
        <f>IFERROR(__xludf.DUMMYFUNCTION("""COMPUTED_VALUE"""),"as23csds@cmrit.ac.in")</f>
        <v>as23csds@cmrit.ac.in</v>
      </c>
      <c r="C465" s="174" t="str">
        <f>IFERROR(__xludf.DUMMYFUNCTION("""COMPUTED_VALUE"""),"ASHIRWAD")</f>
        <v>ASHIRWAD</v>
      </c>
      <c r="D465" s="155" t="str">
        <f>IFERROR(__xludf.DUMMYFUNCTION("""COMPUTED_VALUE"""),"1CR23CD011")</f>
        <v>1CR23CD011</v>
      </c>
      <c r="E465" s="563">
        <f>IFERROR(__xludf.DUMMYFUNCTION("""COMPUTED_VALUE"""),9.430855605E9)</f>
        <v>9430855605</v>
      </c>
      <c r="F465" s="155" t="str">
        <f>IFERROR(__xludf.DUMMYFUNCTION("""COMPUTED_VALUE"""),"CSE(DS)")</f>
        <v>CSE(DS)</v>
      </c>
      <c r="G465" s="158"/>
      <c r="H465" s="559">
        <f>IFERROR(__xludf.DUMMYFUNCTION("""COMPUTED_VALUE"""),81.0)</f>
        <v>81</v>
      </c>
      <c r="I465" s="559">
        <f>IFERROR(__xludf.DUMMYFUNCTION("""COMPUTED_VALUE"""),88.0)</f>
        <v>88</v>
      </c>
      <c r="J465" s="559">
        <f>IFERROR(__xludf.DUMMYFUNCTION("""COMPUTED_VALUE"""),70.0)</f>
        <v>70</v>
      </c>
      <c r="K465" s="559">
        <f>IFERROR(__xludf.DUMMYFUNCTION("""COMPUTED_VALUE"""),70.0)</f>
        <v>70</v>
      </c>
      <c r="L465" s="560">
        <f>IFERROR(__xludf.DUMMYFUNCTION("""COMPUTED_VALUE"""),58.0)</f>
        <v>58</v>
      </c>
      <c r="M465" s="561">
        <f>IFERROR(__xludf.DUMMYFUNCTION("""COMPUTED_VALUE"""),50.0)</f>
        <v>50</v>
      </c>
      <c r="N465" s="561">
        <f>IFERROR(__xludf.DUMMYFUNCTION("""COMPUTED_VALUE"""),52.0)</f>
        <v>52</v>
      </c>
      <c r="O465" s="560"/>
      <c r="P465" s="562">
        <f>IFERROR(__xludf.DUMMYFUNCTION("""COMPUTED_VALUE"""),50.0)</f>
        <v>50</v>
      </c>
      <c r="Q465" s="562">
        <f>IFERROR(__xludf.DUMMYFUNCTION("""COMPUTED_VALUE"""),50.0)</f>
        <v>50</v>
      </c>
      <c r="R465" s="562">
        <f>IFERROR(__xludf.DUMMYFUNCTION("""COMPUTED_VALUE"""),90.0)</f>
        <v>90</v>
      </c>
      <c r="S465" s="562"/>
      <c r="T465" s="217">
        <f>IFERROR(__xludf.DUMMYFUNCTION("""COMPUTED_VALUE"""),19.0)</f>
        <v>19</v>
      </c>
      <c r="U465" s="217">
        <f>IFERROR(__xludf.DUMMYFUNCTION("""COMPUTED_VALUE"""),18.0)</f>
        <v>18</v>
      </c>
      <c r="V465" s="217">
        <f>IFERROR(__xludf.DUMMYFUNCTION("""COMPUTED_VALUE"""),84.0)</f>
        <v>84</v>
      </c>
      <c r="W465" s="217">
        <f>IFERROR(__xludf.DUMMYFUNCTION("""COMPUTED_VALUE"""),74.0)</f>
        <v>74</v>
      </c>
      <c r="X465" s="217">
        <f>IFERROR(__xludf.DUMMYFUNCTION("""COMPUTED_VALUE"""),72.0)</f>
        <v>72</v>
      </c>
      <c r="Y465" s="217"/>
      <c r="Z465" s="217"/>
      <c r="AA465" s="481">
        <f>IFERROR(__xludf.DUMMYFUNCTION("""COMPUTED_VALUE"""),100.0)</f>
        <v>100</v>
      </c>
      <c r="AB465" s="481">
        <f>IFERROR(__xludf.DUMMYFUNCTION("""COMPUTED_VALUE"""),85.0)</f>
        <v>85</v>
      </c>
      <c r="AC465" s="481">
        <f>IFERROR(__xludf.DUMMYFUNCTION("""COMPUTED_VALUE"""),44.0)</f>
        <v>44</v>
      </c>
      <c r="AD465" s="481">
        <f>IFERROR(__xludf.DUMMYFUNCTION("""COMPUTED_VALUE"""),85.0)</f>
        <v>85</v>
      </c>
      <c r="AE465" s="481">
        <f>IFERROR(__xludf.DUMMYFUNCTION("""COMPUTED_VALUE"""),78.0)</f>
        <v>78</v>
      </c>
      <c r="AF465" s="481"/>
      <c r="AG465" s="481">
        <f>IFERROR(__xludf.DUMMYFUNCTION("""COMPUTED_VALUE"""),75.0)</f>
        <v>75</v>
      </c>
      <c r="AH465" s="481"/>
      <c r="AI465" s="158"/>
      <c r="AJ465" s="158"/>
      <c r="AK465" s="133">
        <f>IFERROR(__xludf.DUMMYFUNCTION("""COMPUTED_VALUE"""),4.0)</f>
        <v>4</v>
      </c>
      <c r="AL465" s="133">
        <f>IFERROR(__xludf.DUMMYFUNCTION("""COMPUTED_VALUE"""),3.0)</f>
        <v>3</v>
      </c>
      <c r="AM465" s="133">
        <f>IFERROR(__xludf.DUMMYFUNCTION("""COMPUTED_VALUE"""),3.0)</f>
        <v>3</v>
      </c>
      <c r="AN465" s="133" t="str">
        <f>IFERROR(__xludf.DUMMYFUNCTION("""COMPUTED_VALUE"""),"3.5")</f>
        <v>3.5</v>
      </c>
      <c r="AO465" s="133">
        <f>IFERROR(__xludf.DUMMYFUNCTION("""COMPUTED_VALUE"""),3.0)</f>
        <v>3</v>
      </c>
      <c r="AP465" s="155" t="s">
        <v>3743</v>
      </c>
    </row>
    <row r="466">
      <c r="A466" s="155">
        <f>IFERROR(__xludf.DUMMYFUNCTION("""COMPUTED_VALUE"""),12.0)</f>
        <v>12</v>
      </c>
      <c r="B466" s="155" t="str">
        <f>IFERROR(__xludf.DUMMYFUNCTION("""COMPUTED_VALUE"""),"bpa23csds@cmrit.ac.in")</f>
        <v>bpa23csds@cmrit.ac.in</v>
      </c>
      <c r="C466" s="174" t="str">
        <f>IFERROR(__xludf.DUMMYFUNCTION("""COMPUTED_VALUE"""),"B.Pavan Kumar ")</f>
        <v>B.Pavan Kumar </v>
      </c>
      <c r="D466" s="155" t="str">
        <f>IFERROR(__xludf.DUMMYFUNCTION("""COMPUTED_VALUE"""),"1CR23CD012")</f>
        <v>1CR23CD012</v>
      </c>
      <c r="E466" s="563"/>
      <c r="F466" s="155" t="str">
        <f>IFERROR(__xludf.DUMMYFUNCTION("""COMPUTED_VALUE"""),"CSE(DS)")</f>
        <v>CSE(DS)</v>
      </c>
      <c r="G466" s="158"/>
      <c r="H466" s="559">
        <f>IFERROR(__xludf.DUMMYFUNCTION("""COMPUTED_VALUE"""),81.0)</f>
        <v>81</v>
      </c>
      <c r="I466" s="559">
        <f>IFERROR(__xludf.DUMMYFUNCTION("""COMPUTED_VALUE"""),80.0)</f>
        <v>80</v>
      </c>
      <c r="J466" s="559">
        <f>IFERROR(__xludf.DUMMYFUNCTION("""COMPUTED_VALUE"""),70.0)</f>
        <v>70</v>
      </c>
      <c r="K466" s="559">
        <f>IFERROR(__xludf.DUMMYFUNCTION("""COMPUTED_VALUE"""),70.0)</f>
        <v>70</v>
      </c>
      <c r="L466" s="560">
        <f>IFERROR(__xludf.DUMMYFUNCTION("""COMPUTED_VALUE"""),50.0)</f>
        <v>50</v>
      </c>
      <c r="M466" s="561">
        <f>IFERROR(__xludf.DUMMYFUNCTION("""COMPUTED_VALUE"""),1.0)</f>
        <v>1</v>
      </c>
      <c r="N466" s="561">
        <f>IFERROR(__xludf.DUMMYFUNCTION("""COMPUTED_VALUE"""),0.0)</f>
        <v>0</v>
      </c>
      <c r="O466" s="560"/>
      <c r="P466" s="562">
        <f>IFERROR(__xludf.DUMMYFUNCTION("""COMPUTED_VALUE"""),0.0)</f>
        <v>0</v>
      </c>
      <c r="Q466" s="562">
        <f>IFERROR(__xludf.DUMMYFUNCTION("""COMPUTED_VALUE"""),0.0)</f>
        <v>0</v>
      </c>
      <c r="R466" s="562">
        <f>IFERROR(__xludf.DUMMYFUNCTION("""COMPUTED_VALUE"""),0.0)</f>
        <v>0</v>
      </c>
      <c r="S466" s="562"/>
      <c r="T466" s="217">
        <f>IFERROR(__xludf.DUMMYFUNCTION("""COMPUTED_VALUE"""),19.0)</f>
        <v>19</v>
      </c>
      <c r="U466" s="217">
        <f>IFERROR(__xludf.DUMMYFUNCTION("""COMPUTED_VALUE"""),17.0)</f>
        <v>17</v>
      </c>
      <c r="V466" s="217">
        <f>IFERROR(__xludf.DUMMYFUNCTION("""COMPUTED_VALUE"""),46.0)</f>
        <v>46</v>
      </c>
      <c r="W466" s="217">
        <f>IFERROR(__xludf.DUMMYFUNCTION("""COMPUTED_VALUE"""),78.0)</f>
        <v>78</v>
      </c>
      <c r="X466" s="217">
        <f>IFERROR(__xludf.DUMMYFUNCTION("""COMPUTED_VALUE"""),0.0)</f>
        <v>0</v>
      </c>
      <c r="Y466" s="217"/>
      <c r="Z466" s="217"/>
      <c r="AA466" s="481">
        <f>IFERROR(__xludf.DUMMYFUNCTION("""COMPUTED_VALUE"""),41.0)</f>
        <v>41</v>
      </c>
      <c r="AB466" s="481">
        <f>IFERROR(__xludf.DUMMYFUNCTION("""COMPUTED_VALUE"""),74.0)</f>
        <v>74</v>
      </c>
      <c r="AC466" s="481">
        <f>IFERROR(__xludf.DUMMYFUNCTION("""COMPUTED_VALUE"""),79.0)</f>
        <v>79</v>
      </c>
      <c r="AD466" s="481">
        <f>IFERROR(__xludf.DUMMYFUNCTION("""COMPUTED_VALUE"""),70.0)</f>
        <v>70</v>
      </c>
      <c r="AE466" s="481">
        <f>IFERROR(__xludf.DUMMYFUNCTION("""COMPUTED_VALUE"""),10.0)</f>
        <v>10</v>
      </c>
      <c r="AF466" s="481"/>
      <c r="AG466" s="481">
        <f>IFERROR(__xludf.DUMMYFUNCTION("""COMPUTED_VALUE"""),0.0)</f>
        <v>0</v>
      </c>
      <c r="AH466" s="481"/>
      <c r="AI466" s="158"/>
      <c r="AJ466" s="158"/>
      <c r="AK466" s="133">
        <f>IFERROR(__xludf.DUMMYFUNCTION("""COMPUTED_VALUE"""),4.0)</f>
        <v>4</v>
      </c>
      <c r="AL466" s="133">
        <f>IFERROR(__xludf.DUMMYFUNCTION("""COMPUTED_VALUE"""),1.0)</f>
        <v>1</v>
      </c>
      <c r="AM466" s="133">
        <f>IFERROR(__xludf.DUMMYFUNCTION("""COMPUTED_VALUE"""),3.0)</f>
        <v>3</v>
      </c>
      <c r="AN466" s="133" t="str">
        <f>IFERROR(__xludf.DUMMYFUNCTION("""COMPUTED_VALUE"""),"3")</f>
        <v>3</v>
      </c>
      <c r="AO466" s="133">
        <f>IFERROR(__xludf.DUMMYFUNCTION("""COMPUTED_VALUE"""),0.0)</f>
        <v>0</v>
      </c>
      <c r="AP466" s="155" t="s">
        <v>3743</v>
      </c>
    </row>
    <row r="467">
      <c r="A467" s="155">
        <f>IFERROR(__xludf.DUMMYFUNCTION("""COMPUTED_VALUE"""),13.0)</f>
        <v>13</v>
      </c>
      <c r="B467" s="155" t="str">
        <f>IFERROR(__xludf.DUMMYFUNCTION("""COMPUTED_VALUE"""),"baja23csds@cmrit.ac.in")</f>
        <v>baja23csds@cmrit.ac.in</v>
      </c>
      <c r="C467" s="174" t="str">
        <f>IFERROR(__xludf.DUMMYFUNCTION("""COMPUTED_VALUE"""),"BABU HARSHITH JADHAV")</f>
        <v>BABU HARSHITH JADHAV</v>
      </c>
      <c r="D467" s="155" t="str">
        <f>IFERROR(__xludf.DUMMYFUNCTION("""COMPUTED_VALUE"""),"1CR23CD013")</f>
        <v>1CR23CD013</v>
      </c>
      <c r="E467" s="563">
        <f>IFERROR(__xludf.DUMMYFUNCTION("""COMPUTED_VALUE"""),6.366016741E9)</f>
        <v>6366016741</v>
      </c>
      <c r="F467" s="155" t="str">
        <f>IFERROR(__xludf.DUMMYFUNCTION("""COMPUTED_VALUE"""),"CSE(DS)")</f>
        <v>CSE(DS)</v>
      </c>
      <c r="G467" s="158"/>
      <c r="H467" s="559">
        <f>IFERROR(__xludf.DUMMYFUNCTION("""COMPUTED_VALUE"""),80.0)</f>
        <v>80</v>
      </c>
      <c r="I467" s="559">
        <f>IFERROR(__xludf.DUMMYFUNCTION("""COMPUTED_VALUE"""),77.0)</f>
        <v>77</v>
      </c>
      <c r="J467" s="559">
        <f>IFERROR(__xludf.DUMMYFUNCTION("""COMPUTED_VALUE"""),51.0)</f>
        <v>51</v>
      </c>
      <c r="K467" s="559">
        <f>IFERROR(__xludf.DUMMYFUNCTION("""COMPUTED_VALUE"""),29.0)</f>
        <v>29</v>
      </c>
      <c r="L467" s="560">
        <f>IFERROR(__xludf.DUMMYFUNCTION("""COMPUTED_VALUE"""),35.0)</f>
        <v>35</v>
      </c>
      <c r="M467" s="561">
        <f>IFERROR(__xludf.DUMMYFUNCTION("""COMPUTED_VALUE"""),0.0)</f>
        <v>0</v>
      </c>
      <c r="N467" s="561">
        <f>IFERROR(__xludf.DUMMYFUNCTION("""COMPUTED_VALUE"""),0.0)</f>
        <v>0</v>
      </c>
      <c r="O467" s="560"/>
      <c r="P467" s="562">
        <f>IFERROR(__xludf.DUMMYFUNCTION("""COMPUTED_VALUE"""),0.0)</f>
        <v>0</v>
      </c>
      <c r="Q467" s="562">
        <f>IFERROR(__xludf.DUMMYFUNCTION("""COMPUTED_VALUE"""),0.0)</f>
        <v>0</v>
      </c>
      <c r="R467" s="562">
        <f>IFERROR(__xludf.DUMMYFUNCTION("""COMPUTED_VALUE"""),0.0)</f>
        <v>0</v>
      </c>
      <c r="S467" s="562"/>
      <c r="T467" s="217">
        <f>IFERROR(__xludf.DUMMYFUNCTION("""COMPUTED_VALUE"""),11.0)</f>
        <v>11</v>
      </c>
      <c r="U467" s="217">
        <f>IFERROR(__xludf.DUMMYFUNCTION("""COMPUTED_VALUE"""),18.0)</f>
        <v>18</v>
      </c>
      <c r="V467" s="217"/>
      <c r="W467" s="217"/>
      <c r="X467" s="217">
        <f>IFERROR(__xludf.DUMMYFUNCTION("""COMPUTED_VALUE"""),80.0)</f>
        <v>80</v>
      </c>
      <c r="Y467" s="217"/>
      <c r="Z467" s="217"/>
      <c r="AA467" s="481">
        <f>IFERROR(__xludf.DUMMYFUNCTION("""COMPUTED_VALUE"""),56.0)</f>
        <v>56</v>
      </c>
      <c r="AB467" s="481">
        <f>IFERROR(__xludf.DUMMYFUNCTION("""COMPUTED_VALUE"""),98.0)</f>
        <v>98</v>
      </c>
      <c r="AC467" s="481">
        <f>IFERROR(__xludf.DUMMYFUNCTION("""COMPUTED_VALUE"""),0.0)</f>
        <v>0</v>
      </c>
      <c r="AD467" s="481">
        <f>IFERROR(__xludf.DUMMYFUNCTION("""COMPUTED_VALUE"""),0.0)</f>
        <v>0</v>
      </c>
      <c r="AE467" s="481">
        <f>IFERROR(__xludf.DUMMYFUNCTION("""COMPUTED_VALUE"""),10.0)</f>
        <v>10</v>
      </c>
      <c r="AF467" s="481"/>
      <c r="AG467" s="481">
        <f>IFERROR(__xludf.DUMMYFUNCTION("""COMPUTED_VALUE"""),0.0)</f>
        <v>0</v>
      </c>
      <c r="AH467" s="481"/>
      <c r="AI467" s="158"/>
      <c r="AJ467" s="158"/>
      <c r="AK467" s="133">
        <f>IFERROR(__xludf.DUMMYFUNCTION("""COMPUTED_VALUE"""),2.0)</f>
        <v>2</v>
      </c>
      <c r="AL467" s="133">
        <f>IFERROR(__xludf.DUMMYFUNCTION("""COMPUTED_VALUE"""),0.0)</f>
        <v>0</v>
      </c>
      <c r="AM467" s="133">
        <f>IFERROR(__xludf.DUMMYFUNCTION("""COMPUTED_VALUE"""),3.0)</f>
        <v>3</v>
      </c>
      <c r="AN467" s="133" t="str">
        <f>IFERROR(__xludf.DUMMYFUNCTION("""COMPUTED_VALUE"""),"2")</f>
        <v>2</v>
      </c>
      <c r="AO467" s="133">
        <f>IFERROR(__xludf.DUMMYFUNCTION("""COMPUTED_VALUE"""),0.0)</f>
        <v>0</v>
      </c>
      <c r="AP467" s="155" t="s">
        <v>3743</v>
      </c>
    </row>
    <row r="468">
      <c r="A468" s="155">
        <f>IFERROR(__xludf.DUMMYFUNCTION("""COMPUTED_VALUE"""),14.0)</f>
        <v>14</v>
      </c>
      <c r="B468" s="155" t="str">
        <f>IFERROR(__xludf.DUMMYFUNCTION("""COMPUTED_VALUE"""),"bas23csds@cmrit.ac.in")</f>
        <v>bas23csds@cmrit.ac.in</v>
      </c>
      <c r="C468" s="174" t="str">
        <f>IFERROR(__xludf.DUMMYFUNCTION("""COMPUTED_VALUE"""),"BARATH S")</f>
        <v>BARATH S</v>
      </c>
      <c r="D468" s="155" t="str">
        <f>IFERROR(__xludf.DUMMYFUNCTION("""COMPUTED_VALUE"""),"1CR23CD014")</f>
        <v>1CR23CD014</v>
      </c>
      <c r="E468" s="563">
        <f>IFERROR(__xludf.DUMMYFUNCTION("""COMPUTED_VALUE"""),8.778036377E9)</f>
        <v>8778036377</v>
      </c>
      <c r="F468" s="155" t="str">
        <f>IFERROR(__xludf.DUMMYFUNCTION("""COMPUTED_VALUE"""),"CSE(DS)")</f>
        <v>CSE(DS)</v>
      </c>
      <c r="G468" s="158"/>
      <c r="H468" s="559">
        <f>IFERROR(__xludf.DUMMYFUNCTION("""COMPUTED_VALUE"""),89.0)</f>
        <v>89</v>
      </c>
      <c r="I468" s="559">
        <f>IFERROR(__xludf.DUMMYFUNCTION("""COMPUTED_VALUE"""),87.0)</f>
        <v>87</v>
      </c>
      <c r="J468" s="559">
        <f>IFERROR(__xludf.DUMMYFUNCTION("""COMPUTED_VALUE"""),71.0)</f>
        <v>71</v>
      </c>
      <c r="K468" s="559">
        <f>IFERROR(__xludf.DUMMYFUNCTION("""COMPUTED_VALUE"""),78.0)</f>
        <v>78</v>
      </c>
      <c r="L468" s="560">
        <f>IFERROR(__xludf.DUMMYFUNCTION("""COMPUTED_VALUE"""),50.0)</f>
        <v>50</v>
      </c>
      <c r="M468" s="561">
        <f>IFERROR(__xludf.DUMMYFUNCTION("""COMPUTED_VALUE"""),50.0)</f>
        <v>50</v>
      </c>
      <c r="N468" s="561">
        <f>IFERROR(__xludf.DUMMYFUNCTION("""COMPUTED_VALUE"""),52.0)</f>
        <v>52</v>
      </c>
      <c r="O468" s="560"/>
      <c r="P468" s="562">
        <f>IFERROR(__xludf.DUMMYFUNCTION("""COMPUTED_VALUE"""),50.0)</f>
        <v>50</v>
      </c>
      <c r="Q468" s="562">
        <f>IFERROR(__xludf.DUMMYFUNCTION("""COMPUTED_VALUE"""),72.0)</f>
        <v>72</v>
      </c>
      <c r="R468" s="562">
        <f>IFERROR(__xludf.DUMMYFUNCTION("""COMPUTED_VALUE"""),89.0)</f>
        <v>89</v>
      </c>
      <c r="S468" s="562"/>
      <c r="T468" s="217">
        <f>IFERROR(__xludf.DUMMYFUNCTION("""COMPUTED_VALUE"""),15.0)</f>
        <v>15</v>
      </c>
      <c r="U468" s="217">
        <f>IFERROR(__xludf.DUMMYFUNCTION("""COMPUTED_VALUE"""),21.0)</f>
        <v>21</v>
      </c>
      <c r="V468" s="217">
        <f>IFERROR(__xludf.DUMMYFUNCTION("""COMPUTED_VALUE"""),82.0)</f>
        <v>82</v>
      </c>
      <c r="W468" s="217">
        <f>IFERROR(__xludf.DUMMYFUNCTION("""COMPUTED_VALUE"""),86.0)</f>
        <v>86</v>
      </c>
      <c r="X468" s="217">
        <f>IFERROR(__xludf.DUMMYFUNCTION("""COMPUTED_VALUE"""),76.0)</f>
        <v>76</v>
      </c>
      <c r="Y468" s="217"/>
      <c r="Z468" s="217"/>
      <c r="AA468" s="481">
        <f>IFERROR(__xludf.DUMMYFUNCTION("""COMPUTED_VALUE"""),100.0)</f>
        <v>100</v>
      </c>
      <c r="AB468" s="481">
        <f>IFERROR(__xludf.DUMMYFUNCTION("""COMPUTED_VALUE"""),97.0)</f>
        <v>97</v>
      </c>
      <c r="AC468" s="481">
        <f>IFERROR(__xludf.DUMMYFUNCTION("""COMPUTED_VALUE"""),100.0)</f>
        <v>100</v>
      </c>
      <c r="AD468" s="481">
        <f>IFERROR(__xludf.DUMMYFUNCTION("""COMPUTED_VALUE"""),60.0)</f>
        <v>60</v>
      </c>
      <c r="AE468" s="481">
        <f>IFERROR(__xludf.DUMMYFUNCTION("""COMPUTED_VALUE"""),83.0)</f>
        <v>83</v>
      </c>
      <c r="AF468" s="481"/>
      <c r="AG468" s="481">
        <f>IFERROR(__xludf.DUMMYFUNCTION("""COMPUTED_VALUE"""),83.0)</f>
        <v>83</v>
      </c>
      <c r="AH468" s="481"/>
      <c r="AI468" s="158"/>
      <c r="AJ468" s="158"/>
      <c r="AK468" s="133">
        <f>IFERROR(__xludf.DUMMYFUNCTION("""COMPUTED_VALUE"""),4.0)</f>
        <v>4</v>
      </c>
      <c r="AL468" s="133">
        <f>IFERROR(__xludf.DUMMYFUNCTION("""COMPUTED_VALUE"""),3.0)</f>
        <v>3</v>
      </c>
      <c r="AM468" s="133">
        <f>IFERROR(__xludf.DUMMYFUNCTION("""COMPUTED_VALUE"""),3.0)</f>
        <v>3</v>
      </c>
      <c r="AN468" s="133" t="str">
        <f>IFERROR(__xludf.DUMMYFUNCTION("""COMPUTED_VALUE"""),"3.5")</f>
        <v>3.5</v>
      </c>
      <c r="AO468" s="133">
        <f>IFERROR(__xludf.DUMMYFUNCTION("""COMPUTED_VALUE"""),3.0)</f>
        <v>3</v>
      </c>
      <c r="AP468" s="155" t="s">
        <v>3743</v>
      </c>
    </row>
    <row r="469">
      <c r="A469" s="155">
        <f>IFERROR(__xludf.DUMMYFUNCTION("""COMPUTED_VALUE"""),15.0)</f>
        <v>15</v>
      </c>
      <c r="B469" s="155" t="str">
        <f>IFERROR(__xludf.DUMMYFUNCTION("""COMPUTED_VALUE"""),"adbi23csds@cmrit.ac.in")</f>
        <v>adbi23csds@cmrit.ac.in</v>
      </c>
      <c r="C469" s="174" t="str">
        <f>IFERROR(__xludf.DUMMYFUNCTION("""COMPUTED_VALUE"""),"BIRADAR ADITYA TANAJI")</f>
        <v>BIRADAR ADITYA TANAJI</v>
      </c>
      <c r="D469" s="155" t="str">
        <f>IFERROR(__xludf.DUMMYFUNCTION("""COMPUTED_VALUE"""),"1CR23CD015")</f>
        <v>1CR23CD015</v>
      </c>
      <c r="E469" s="563">
        <f>IFERROR(__xludf.DUMMYFUNCTION("""COMPUTED_VALUE"""),7.499382831E9)</f>
        <v>7499382831</v>
      </c>
      <c r="F469" s="155" t="str">
        <f>IFERROR(__xludf.DUMMYFUNCTION("""COMPUTED_VALUE"""),"CSE(DS)")</f>
        <v>CSE(DS)</v>
      </c>
      <c r="G469" s="158"/>
      <c r="H469" s="559">
        <f>IFERROR(__xludf.DUMMYFUNCTION("""COMPUTED_VALUE"""),80.0)</f>
        <v>80</v>
      </c>
      <c r="I469" s="559">
        <f>IFERROR(__xludf.DUMMYFUNCTION("""COMPUTED_VALUE"""),87.0)</f>
        <v>87</v>
      </c>
      <c r="J469" s="559">
        <f>IFERROR(__xludf.DUMMYFUNCTION("""COMPUTED_VALUE"""),70.0)</f>
        <v>70</v>
      </c>
      <c r="K469" s="559">
        <f>IFERROR(__xludf.DUMMYFUNCTION("""COMPUTED_VALUE"""),70.0)</f>
        <v>70</v>
      </c>
      <c r="L469" s="560">
        <f>IFERROR(__xludf.DUMMYFUNCTION("""COMPUTED_VALUE"""),71.0)</f>
        <v>71</v>
      </c>
      <c r="M469" s="561">
        <f>IFERROR(__xludf.DUMMYFUNCTION("""COMPUTED_VALUE"""),53.0)</f>
        <v>53</v>
      </c>
      <c r="N469" s="561">
        <f>IFERROR(__xludf.DUMMYFUNCTION("""COMPUTED_VALUE"""),61.0)</f>
        <v>61</v>
      </c>
      <c r="O469" s="560"/>
      <c r="P469" s="562">
        <f>IFERROR(__xludf.DUMMYFUNCTION("""COMPUTED_VALUE"""),50.0)</f>
        <v>50</v>
      </c>
      <c r="Q469" s="562">
        <f>IFERROR(__xludf.DUMMYFUNCTION("""COMPUTED_VALUE"""),0.0)</f>
        <v>0</v>
      </c>
      <c r="R469" s="562">
        <f>IFERROR(__xludf.DUMMYFUNCTION("""COMPUTED_VALUE"""),0.0)</f>
        <v>0</v>
      </c>
      <c r="S469" s="562"/>
      <c r="T469" s="217">
        <f>IFERROR(__xludf.DUMMYFUNCTION("""COMPUTED_VALUE"""),13.0)</f>
        <v>13</v>
      </c>
      <c r="U469" s="217">
        <f>IFERROR(__xludf.DUMMYFUNCTION("""COMPUTED_VALUE"""),16.0)</f>
        <v>16</v>
      </c>
      <c r="V469" s="217">
        <f>IFERROR(__xludf.DUMMYFUNCTION("""COMPUTED_VALUE"""),74.0)</f>
        <v>74</v>
      </c>
      <c r="W469" s="217">
        <f>IFERROR(__xludf.DUMMYFUNCTION("""COMPUTED_VALUE"""),72.0)</f>
        <v>72</v>
      </c>
      <c r="X469" s="217">
        <f>IFERROR(__xludf.DUMMYFUNCTION("""COMPUTED_VALUE"""),76.0)</f>
        <v>76</v>
      </c>
      <c r="Y469" s="217"/>
      <c r="Z469" s="217"/>
      <c r="AA469" s="481">
        <f>IFERROR(__xludf.DUMMYFUNCTION("""COMPUTED_VALUE"""),66.0)</f>
        <v>66</v>
      </c>
      <c r="AB469" s="481">
        <f>IFERROR(__xludf.DUMMYFUNCTION("""COMPUTED_VALUE"""),68.0)</f>
        <v>68</v>
      </c>
      <c r="AC469" s="481">
        <f>IFERROR(__xludf.DUMMYFUNCTION("""COMPUTED_VALUE"""),79.0)</f>
        <v>79</v>
      </c>
      <c r="AD469" s="481">
        <f>IFERROR(__xludf.DUMMYFUNCTION("""COMPUTED_VALUE"""),17.0)</f>
        <v>17</v>
      </c>
      <c r="AE469" s="481">
        <f>IFERROR(__xludf.DUMMYFUNCTION("""COMPUTED_VALUE"""),56.0)</f>
        <v>56</v>
      </c>
      <c r="AF469" s="481"/>
      <c r="AG469" s="481">
        <f>IFERROR(__xludf.DUMMYFUNCTION("""COMPUTED_VALUE"""),78.0)</f>
        <v>78</v>
      </c>
      <c r="AH469" s="481"/>
      <c r="AI469" s="158"/>
      <c r="AJ469" s="158"/>
      <c r="AK469" s="133">
        <f>IFERROR(__xludf.DUMMYFUNCTION("""COMPUTED_VALUE"""),4.0)</f>
        <v>4</v>
      </c>
      <c r="AL469" s="133">
        <f>IFERROR(__xludf.DUMMYFUNCTION("""COMPUTED_VALUE"""),3.0)</f>
        <v>3</v>
      </c>
      <c r="AM469" s="133">
        <f>IFERROR(__xludf.DUMMYFUNCTION("""COMPUTED_VALUE"""),3.0)</f>
        <v>3</v>
      </c>
      <c r="AN469" s="133" t="str">
        <f>IFERROR(__xludf.DUMMYFUNCTION("""COMPUTED_VALUE"""),"3")</f>
        <v>3</v>
      </c>
      <c r="AO469" s="133">
        <f>IFERROR(__xludf.DUMMYFUNCTION("""COMPUTED_VALUE"""),1.0)</f>
        <v>1</v>
      </c>
      <c r="AP469" s="155" t="s">
        <v>3743</v>
      </c>
    </row>
    <row r="470">
      <c r="A470" s="155">
        <f>IFERROR(__xludf.DUMMYFUNCTION("""COMPUTED_VALUE"""),16.0)</f>
        <v>16</v>
      </c>
      <c r="B470" s="155" t="str">
        <f>IFERROR(__xludf.DUMMYFUNCTION("""COMPUTED_VALUE"""),"brrb23csds@cmrit.ac.in")</f>
        <v>brrb23csds@cmrit.ac.in</v>
      </c>
      <c r="C470" s="174" t="str">
        <f>IFERROR(__xludf.DUMMYFUNCTION("""COMPUTED_VALUE"""),"Brunda R")</f>
        <v>Brunda R</v>
      </c>
      <c r="D470" s="155" t="str">
        <f>IFERROR(__xludf.DUMMYFUNCTION("""COMPUTED_VALUE"""),"1CR23CD016")</f>
        <v>1CR23CD016</v>
      </c>
      <c r="E470" s="563">
        <f>IFERROR(__xludf.DUMMYFUNCTION("""COMPUTED_VALUE"""),8.277674105E9)</f>
        <v>8277674105</v>
      </c>
      <c r="F470" s="155" t="str">
        <f>IFERROR(__xludf.DUMMYFUNCTION("""COMPUTED_VALUE"""),"CSE(DS)")</f>
        <v>CSE(DS)</v>
      </c>
      <c r="G470" s="158"/>
      <c r="H470" s="559">
        <f>IFERROR(__xludf.DUMMYFUNCTION("""COMPUTED_VALUE"""),77.0)</f>
        <v>77</v>
      </c>
      <c r="I470" s="559">
        <f>IFERROR(__xludf.DUMMYFUNCTION("""COMPUTED_VALUE"""),81.0)</f>
        <v>81</v>
      </c>
      <c r="J470" s="559">
        <f>IFERROR(__xludf.DUMMYFUNCTION("""COMPUTED_VALUE"""),70.0)</f>
        <v>70</v>
      </c>
      <c r="K470" s="559">
        <f>IFERROR(__xludf.DUMMYFUNCTION("""COMPUTED_VALUE"""),70.0)</f>
        <v>70</v>
      </c>
      <c r="L470" s="560">
        <f>IFERROR(__xludf.DUMMYFUNCTION("""COMPUTED_VALUE"""),50.0)</f>
        <v>50</v>
      </c>
      <c r="M470" s="561">
        <f>IFERROR(__xludf.DUMMYFUNCTION("""COMPUTED_VALUE"""),53.0)</f>
        <v>53</v>
      </c>
      <c r="N470" s="561">
        <f>IFERROR(__xludf.DUMMYFUNCTION("""COMPUTED_VALUE"""),12.0)</f>
        <v>12</v>
      </c>
      <c r="O470" s="560"/>
      <c r="P470" s="562">
        <f>IFERROR(__xludf.DUMMYFUNCTION("""COMPUTED_VALUE"""),70.0)</f>
        <v>70</v>
      </c>
      <c r="Q470" s="562">
        <f>IFERROR(__xludf.DUMMYFUNCTION("""COMPUTED_VALUE"""),60.0)</f>
        <v>60</v>
      </c>
      <c r="R470" s="562">
        <f>IFERROR(__xludf.DUMMYFUNCTION("""COMPUTED_VALUE"""),90.0)</f>
        <v>90</v>
      </c>
      <c r="S470" s="562"/>
      <c r="T470" s="217">
        <f>IFERROR(__xludf.DUMMYFUNCTION("""COMPUTED_VALUE"""),20.0)</f>
        <v>20</v>
      </c>
      <c r="U470" s="217">
        <f>IFERROR(__xludf.DUMMYFUNCTION("""COMPUTED_VALUE"""),13.0)</f>
        <v>13</v>
      </c>
      <c r="V470" s="217">
        <f>IFERROR(__xludf.DUMMYFUNCTION("""COMPUTED_VALUE"""),88.0)</f>
        <v>88</v>
      </c>
      <c r="W470" s="217">
        <f>IFERROR(__xludf.DUMMYFUNCTION("""COMPUTED_VALUE"""),76.0)</f>
        <v>76</v>
      </c>
      <c r="X470" s="217">
        <f>IFERROR(__xludf.DUMMYFUNCTION("""COMPUTED_VALUE"""),82.0)</f>
        <v>82</v>
      </c>
      <c r="Y470" s="217"/>
      <c r="Z470" s="217"/>
      <c r="AA470" s="481">
        <f>IFERROR(__xludf.DUMMYFUNCTION("""COMPUTED_VALUE"""),52.0)</f>
        <v>52</v>
      </c>
      <c r="AB470" s="481">
        <f>IFERROR(__xludf.DUMMYFUNCTION("""COMPUTED_VALUE"""),70.0)</f>
        <v>70</v>
      </c>
      <c r="AC470" s="481">
        <f>IFERROR(__xludf.DUMMYFUNCTION("""COMPUTED_VALUE"""),38.0)</f>
        <v>38</v>
      </c>
      <c r="AD470" s="481">
        <f>IFERROR(__xludf.DUMMYFUNCTION("""COMPUTED_VALUE"""),85.0)</f>
        <v>85</v>
      </c>
      <c r="AE470" s="481">
        <f>IFERROR(__xludf.DUMMYFUNCTION("""COMPUTED_VALUE"""),35.0)</f>
        <v>35</v>
      </c>
      <c r="AF470" s="481"/>
      <c r="AG470" s="481">
        <f>IFERROR(__xludf.DUMMYFUNCTION("""COMPUTED_VALUE"""),0.0)</f>
        <v>0</v>
      </c>
      <c r="AH470" s="481"/>
      <c r="AI470" s="158"/>
      <c r="AJ470" s="158"/>
      <c r="AK470" s="133">
        <f>IFERROR(__xludf.DUMMYFUNCTION("""COMPUTED_VALUE"""),4.0)</f>
        <v>4</v>
      </c>
      <c r="AL470" s="133">
        <f>IFERROR(__xludf.DUMMYFUNCTION("""COMPUTED_VALUE"""),2.0)</f>
        <v>2</v>
      </c>
      <c r="AM470" s="133">
        <f>IFERROR(__xludf.DUMMYFUNCTION("""COMPUTED_VALUE"""),3.0)</f>
        <v>3</v>
      </c>
      <c r="AN470" s="133" t="str">
        <f>IFERROR(__xludf.DUMMYFUNCTION("""COMPUTED_VALUE"""),"3")</f>
        <v>3</v>
      </c>
      <c r="AO470" s="133">
        <f>IFERROR(__xludf.DUMMYFUNCTION("""COMPUTED_VALUE"""),3.0)</f>
        <v>3</v>
      </c>
      <c r="AP470" s="155" t="s">
        <v>3743</v>
      </c>
    </row>
    <row r="471">
      <c r="A471" s="155">
        <f>IFERROR(__xludf.DUMMYFUNCTION("""COMPUTED_VALUE"""),17.0)</f>
        <v>17</v>
      </c>
      <c r="B471" s="155" t="str">
        <f>IFERROR(__xludf.DUMMYFUNCTION("""COMPUTED_VALUE"""),"cvi23csds@cmrit.ac.in")</f>
        <v>cvi23csds@cmrit.ac.in</v>
      </c>
      <c r="C471" s="174" t="str">
        <f>IFERROR(__xludf.DUMMYFUNCTION("""COMPUTED_VALUE"""),"C Vishwak Sena")</f>
        <v>C Vishwak Sena</v>
      </c>
      <c r="D471" s="155" t="str">
        <f>IFERROR(__xludf.DUMMYFUNCTION("""COMPUTED_VALUE"""),"1CR23CD017")</f>
        <v>1CR23CD017</v>
      </c>
      <c r="E471" s="563">
        <f>IFERROR(__xludf.DUMMYFUNCTION("""COMPUTED_VALUE"""),7.01915137E9)</f>
        <v>7019151370</v>
      </c>
      <c r="F471" s="155" t="str">
        <f>IFERROR(__xludf.DUMMYFUNCTION("""COMPUTED_VALUE"""),"CSE(DS)")</f>
        <v>CSE(DS)</v>
      </c>
      <c r="G471" s="158"/>
      <c r="H471" s="559">
        <f>IFERROR(__xludf.DUMMYFUNCTION("""COMPUTED_VALUE"""),86.0)</f>
        <v>86</v>
      </c>
      <c r="I471" s="559">
        <f>IFERROR(__xludf.DUMMYFUNCTION("""COMPUTED_VALUE"""),82.0)</f>
        <v>82</v>
      </c>
      <c r="J471" s="559">
        <f>IFERROR(__xludf.DUMMYFUNCTION("""COMPUTED_VALUE"""),70.0)</f>
        <v>70</v>
      </c>
      <c r="K471" s="559">
        <f>IFERROR(__xludf.DUMMYFUNCTION("""COMPUTED_VALUE"""),84.0)</f>
        <v>84</v>
      </c>
      <c r="L471" s="560">
        <f>IFERROR(__xludf.DUMMYFUNCTION("""COMPUTED_VALUE"""),61.0)</f>
        <v>61</v>
      </c>
      <c r="M471" s="561">
        <f>IFERROR(__xludf.DUMMYFUNCTION("""COMPUTED_VALUE"""),50.0)</f>
        <v>50</v>
      </c>
      <c r="N471" s="561">
        <f>IFERROR(__xludf.DUMMYFUNCTION("""COMPUTED_VALUE"""),50.0)</f>
        <v>50</v>
      </c>
      <c r="O471" s="560"/>
      <c r="P471" s="562">
        <f>IFERROR(__xludf.DUMMYFUNCTION("""COMPUTED_VALUE"""),73.0)</f>
        <v>73</v>
      </c>
      <c r="Q471" s="562">
        <f>IFERROR(__xludf.DUMMYFUNCTION("""COMPUTED_VALUE"""),72.0)</f>
        <v>72</v>
      </c>
      <c r="R471" s="562">
        <f>IFERROR(__xludf.DUMMYFUNCTION("""COMPUTED_VALUE"""),89.0)</f>
        <v>89</v>
      </c>
      <c r="S471" s="562"/>
      <c r="T471" s="217">
        <f>IFERROR(__xludf.DUMMYFUNCTION("""COMPUTED_VALUE"""),15.0)</f>
        <v>15</v>
      </c>
      <c r="U471" s="217">
        <f>IFERROR(__xludf.DUMMYFUNCTION("""COMPUTED_VALUE"""),16.0)</f>
        <v>16</v>
      </c>
      <c r="V471" s="217">
        <f>IFERROR(__xludf.DUMMYFUNCTION("""COMPUTED_VALUE"""),74.0)</f>
        <v>74</v>
      </c>
      <c r="W471" s="217">
        <f>IFERROR(__xludf.DUMMYFUNCTION("""COMPUTED_VALUE"""),70.0)</f>
        <v>70</v>
      </c>
      <c r="X471" s="217">
        <f>IFERROR(__xludf.DUMMYFUNCTION("""COMPUTED_VALUE"""),84.0)</f>
        <v>84</v>
      </c>
      <c r="Y471" s="217"/>
      <c r="Z471" s="217"/>
      <c r="AA471" s="481">
        <f>IFERROR(__xludf.DUMMYFUNCTION("""COMPUTED_VALUE"""),82.0)</f>
        <v>82</v>
      </c>
      <c r="AB471" s="481">
        <f>IFERROR(__xludf.DUMMYFUNCTION("""COMPUTED_VALUE"""),82.0)</f>
        <v>82</v>
      </c>
      <c r="AC471" s="481">
        <f>IFERROR(__xludf.DUMMYFUNCTION("""COMPUTED_VALUE"""),77.0)</f>
        <v>77</v>
      </c>
      <c r="AD471" s="481">
        <f>IFERROR(__xludf.DUMMYFUNCTION("""COMPUTED_VALUE"""),85.0)</f>
        <v>85</v>
      </c>
      <c r="AE471" s="481">
        <f>IFERROR(__xludf.DUMMYFUNCTION("""COMPUTED_VALUE"""),77.0)</f>
        <v>77</v>
      </c>
      <c r="AF471" s="481"/>
      <c r="AG471" s="481">
        <f>IFERROR(__xludf.DUMMYFUNCTION("""COMPUTED_VALUE"""),70.0)</f>
        <v>70</v>
      </c>
      <c r="AH471" s="481"/>
      <c r="AI471" s="158"/>
      <c r="AJ471" s="158"/>
      <c r="AK471" s="133">
        <f>IFERROR(__xludf.DUMMYFUNCTION("""COMPUTED_VALUE"""),4.0)</f>
        <v>4</v>
      </c>
      <c r="AL471" s="133">
        <f>IFERROR(__xludf.DUMMYFUNCTION("""COMPUTED_VALUE"""),3.0)</f>
        <v>3</v>
      </c>
      <c r="AM471" s="133">
        <f>IFERROR(__xludf.DUMMYFUNCTION("""COMPUTED_VALUE"""),3.0)</f>
        <v>3</v>
      </c>
      <c r="AN471" s="133" t="str">
        <f>IFERROR(__xludf.DUMMYFUNCTION("""COMPUTED_VALUE"""),"3.5")</f>
        <v>3.5</v>
      </c>
      <c r="AO471" s="133">
        <f>IFERROR(__xludf.DUMMYFUNCTION("""COMPUTED_VALUE"""),3.0)</f>
        <v>3</v>
      </c>
      <c r="AP471" s="155" t="s">
        <v>3743</v>
      </c>
    </row>
    <row r="472">
      <c r="A472" s="155">
        <f>IFERROR(__xludf.DUMMYFUNCTION("""COMPUTED_VALUE"""),18.0)</f>
        <v>18</v>
      </c>
      <c r="B472" s="155" t="str">
        <f>IFERROR(__xludf.DUMMYFUNCTION("""COMPUTED_VALUE"""),"chm23csds@cmrit.ac.in")</f>
        <v>chm23csds@cmrit.ac.in</v>
      </c>
      <c r="C472" s="174" t="str">
        <f>IFERROR(__xludf.DUMMYFUNCTION("""COMPUTED_VALUE"""),"Charan M")</f>
        <v>Charan M</v>
      </c>
      <c r="D472" s="155" t="str">
        <f>IFERROR(__xludf.DUMMYFUNCTION("""COMPUTED_VALUE"""),"1CR23CD018")</f>
        <v>1CR23CD018</v>
      </c>
      <c r="E472" s="563">
        <f>IFERROR(__xludf.DUMMYFUNCTION("""COMPUTED_VALUE"""),9.008116618E9)</f>
        <v>9008116618</v>
      </c>
      <c r="F472" s="155" t="str">
        <f>IFERROR(__xludf.DUMMYFUNCTION("""COMPUTED_VALUE"""),"CSE(DS)")</f>
        <v>CSE(DS)</v>
      </c>
      <c r="G472" s="158"/>
      <c r="H472" s="559">
        <f>IFERROR(__xludf.DUMMYFUNCTION("""COMPUTED_VALUE"""),84.0)</f>
        <v>84</v>
      </c>
      <c r="I472" s="559">
        <f>IFERROR(__xludf.DUMMYFUNCTION("""COMPUTED_VALUE"""),78.0)</f>
        <v>78</v>
      </c>
      <c r="J472" s="559">
        <f>IFERROR(__xludf.DUMMYFUNCTION("""COMPUTED_VALUE"""),28.0)</f>
        <v>28</v>
      </c>
      <c r="K472" s="559">
        <f>IFERROR(__xludf.DUMMYFUNCTION("""COMPUTED_VALUE"""),4.0)</f>
        <v>4</v>
      </c>
      <c r="L472" s="560">
        <f>IFERROR(__xludf.DUMMYFUNCTION("""COMPUTED_VALUE"""),50.0)</f>
        <v>50</v>
      </c>
      <c r="M472" s="561">
        <f>IFERROR(__xludf.DUMMYFUNCTION("""COMPUTED_VALUE"""),0.0)</f>
        <v>0</v>
      </c>
      <c r="N472" s="561">
        <f>IFERROR(__xludf.DUMMYFUNCTION("""COMPUTED_VALUE"""),0.0)</f>
        <v>0</v>
      </c>
      <c r="O472" s="560"/>
      <c r="P472" s="562">
        <f>IFERROR(__xludf.DUMMYFUNCTION("""COMPUTED_VALUE"""),0.0)</f>
        <v>0</v>
      </c>
      <c r="Q472" s="562">
        <f>IFERROR(__xludf.DUMMYFUNCTION("""COMPUTED_VALUE"""),0.0)</f>
        <v>0</v>
      </c>
      <c r="R472" s="562">
        <f>IFERROR(__xludf.DUMMYFUNCTION("""COMPUTED_VALUE"""),0.0)</f>
        <v>0</v>
      </c>
      <c r="S472" s="562"/>
      <c r="T472" s="217">
        <f>IFERROR(__xludf.DUMMYFUNCTION("""COMPUTED_VALUE"""),15.0)</f>
        <v>15</v>
      </c>
      <c r="U472" s="217">
        <f>IFERROR(__xludf.DUMMYFUNCTION("""COMPUTED_VALUE"""),15.0)</f>
        <v>15</v>
      </c>
      <c r="V472" s="217">
        <f>IFERROR(__xludf.DUMMYFUNCTION("""COMPUTED_VALUE"""),42.0)</f>
        <v>42</v>
      </c>
      <c r="W472" s="217"/>
      <c r="X472" s="217">
        <f>IFERROR(__xludf.DUMMYFUNCTION("""COMPUTED_VALUE"""),0.0)</f>
        <v>0</v>
      </c>
      <c r="Y472" s="217"/>
      <c r="Z472" s="217"/>
      <c r="AA472" s="481">
        <f>IFERROR(__xludf.DUMMYFUNCTION("""COMPUTED_VALUE"""),24.0)</f>
        <v>24</v>
      </c>
      <c r="AB472" s="481">
        <f>IFERROR(__xludf.DUMMYFUNCTION("""COMPUTED_VALUE"""),75.0)</f>
        <v>75</v>
      </c>
      <c r="AC472" s="481">
        <f>IFERROR(__xludf.DUMMYFUNCTION("""COMPUTED_VALUE"""),0.0)</f>
        <v>0</v>
      </c>
      <c r="AD472" s="481">
        <f>IFERROR(__xludf.DUMMYFUNCTION("""COMPUTED_VALUE"""),0.0)</f>
        <v>0</v>
      </c>
      <c r="AE472" s="481">
        <f>IFERROR(__xludf.DUMMYFUNCTION("""COMPUTED_VALUE"""),14.0)</f>
        <v>14</v>
      </c>
      <c r="AF472" s="481"/>
      <c r="AG472" s="481">
        <f>IFERROR(__xludf.DUMMYFUNCTION("""COMPUTED_VALUE"""),0.0)</f>
        <v>0</v>
      </c>
      <c r="AH472" s="481"/>
      <c r="AI472" s="158"/>
      <c r="AJ472" s="158"/>
      <c r="AK472" s="133">
        <f>IFERROR(__xludf.DUMMYFUNCTION("""COMPUTED_VALUE"""),2.0)</f>
        <v>2</v>
      </c>
      <c r="AL472" s="133">
        <f>IFERROR(__xludf.DUMMYFUNCTION("""COMPUTED_VALUE"""),1.0)</f>
        <v>1</v>
      </c>
      <c r="AM472" s="133">
        <f>IFERROR(__xludf.DUMMYFUNCTION("""COMPUTED_VALUE"""),3.0)</f>
        <v>3</v>
      </c>
      <c r="AN472" s="133" t="str">
        <f>IFERROR(__xludf.DUMMYFUNCTION("""COMPUTED_VALUE"""),"2")</f>
        <v>2</v>
      </c>
      <c r="AO472" s="133">
        <f>IFERROR(__xludf.DUMMYFUNCTION("""COMPUTED_VALUE"""),0.0)</f>
        <v>0</v>
      </c>
      <c r="AP472" s="155" t="s">
        <v>3743</v>
      </c>
    </row>
    <row r="473">
      <c r="A473" s="155">
        <f>IFERROR(__xludf.DUMMYFUNCTION("""COMPUTED_VALUE"""),19.0)</f>
        <v>19</v>
      </c>
      <c r="B473" s="155" t="str">
        <f>IFERROR(__xludf.DUMMYFUNCTION("""COMPUTED_VALUE"""),"dera23csds@cmrit.ac.in")</f>
        <v>dera23csds@cmrit.ac.in</v>
      </c>
      <c r="C473" s="174" t="str">
        <f>IFERROR(__xludf.DUMMYFUNCTION("""COMPUTED_VALUE"""),"DEWANSHI RAJ")</f>
        <v>DEWANSHI RAJ</v>
      </c>
      <c r="D473" s="155" t="str">
        <f>IFERROR(__xludf.DUMMYFUNCTION("""COMPUTED_VALUE"""),"1CR23CD019")</f>
        <v>1CR23CD019</v>
      </c>
      <c r="E473" s="563">
        <f>IFERROR(__xludf.DUMMYFUNCTION("""COMPUTED_VALUE"""),9.060636207E9)</f>
        <v>9060636207</v>
      </c>
      <c r="F473" s="155" t="str">
        <f>IFERROR(__xludf.DUMMYFUNCTION("""COMPUTED_VALUE"""),"CSE(DS)")</f>
        <v>CSE(DS)</v>
      </c>
      <c r="G473" s="158"/>
      <c r="H473" s="559">
        <f>IFERROR(__xludf.DUMMYFUNCTION("""COMPUTED_VALUE"""),80.0)</f>
        <v>80</v>
      </c>
      <c r="I473" s="559">
        <f>IFERROR(__xludf.DUMMYFUNCTION("""COMPUTED_VALUE"""),74.0)</f>
        <v>74</v>
      </c>
      <c r="J473" s="559">
        <f>IFERROR(__xludf.DUMMYFUNCTION("""COMPUTED_VALUE"""),70.0)</f>
        <v>70</v>
      </c>
      <c r="K473" s="559">
        <f>IFERROR(__xludf.DUMMYFUNCTION("""COMPUTED_VALUE"""),72.0)</f>
        <v>72</v>
      </c>
      <c r="L473" s="560">
        <f>IFERROR(__xludf.DUMMYFUNCTION("""COMPUTED_VALUE"""),50.0)</f>
        <v>50</v>
      </c>
      <c r="M473" s="561">
        <f>IFERROR(__xludf.DUMMYFUNCTION("""COMPUTED_VALUE"""),50.0)</f>
        <v>50</v>
      </c>
      <c r="N473" s="561">
        <f>IFERROR(__xludf.DUMMYFUNCTION("""COMPUTED_VALUE"""),50.0)</f>
        <v>50</v>
      </c>
      <c r="O473" s="560"/>
      <c r="P473" s="562">
        <f>IFERROR(__xludf.DUMMYFUNCTION("""COMPUTED_VALUE"""),73.0)</f>
        <v>73</v>
      </c>
      <c r="Q473" s="562">
        <f>IFERROR(__xludf.DUMMYFUNCTION("""COMPUTED_VALUE"""),60.0)</f>
        <v>60</v>
      </c>
      <c r="R473" s="562">
        <f>IFERROR(__xludf.DUMMYFUNCTION("""COMPUTED_VALUE"""),50.0)</f>
        <v>50</v>
      </c>
      <c r="S473" s="562"/>
      <c r="T473" s="217">
        <f>IFERROR(__xludf.DUMMYFUNCTION("""COMPUTED_VALUE"""),12.0)</f>
        <v>12</v>
      </c>
      <c r="U473" s="217">
        <f>IFERROR(__xludf.DUMMYFUNCTION("""COMPUTED_VALUE"""),20.0)</f>
        <v>20</v>
      </c>
      <c r="V473" s="217">
        <f>IFERROR(__xludf.DUMMYFUNCTION("""COMPUTED_VALUE"""),80.0)</f>
        <v>80</v>
      </c>
      <c r="W473" s="217">
        <f>IFERROR(__xludf.DUMMYFUNCTION("""COMPUTED_VALUE"""),78.0)</f>
        <v>78</v>
      </c>
      <c r="X473" s="217">
        <f>IFERROR(__xludf.DUMMYFUNCTION("""COMPUTED_VALUE"""),84.0)</f>
        <v>84</v>
      </c>
      <c r="Y473" s="217"/>
      <c r="Z473" s="217"/>
      <c r="AA473" s="481">
        <f>IFERROR(__xludf.DUMMYFUNCTION("""COMPUTED_VALUE"""),12.0)</f>
        <v>12</v>
      </c>
      <c r="AB473" s="481">
        <f>IFERROR(__xludf.DUMMYFUNCTION("""COMPUTED_VALUE"""),100.0)</f>
        <v>100</v>
      </c>
      <c r="AC473" s="481">
        <f>IFERROR(__xludf.DUMMYFUNCTION("""COMPUTED_VALUE"""),15.0)</f>
        <v>15</v>
      </c>
      <c r="AD473" s="481">
        <f>IFERROR(__xludf.DUMMYFUNCTION("""COMPUTED_VALUE"""),65.0)</f>
        <v>65</v>
      </c>
      <c r="AE473" s="481">
        <f>IFERROR(__xludf.DUMMYFUNCTION("""COMPUTED_VALUE"""),71.0)</f>
        <v>71</v>
      </c>
      <c r="AF473" s="481"/>
      <c r="AG473" s="481">
        <f>IFERROR(__xludf.DUMMYFUNCTION("""COMPUTED_VALUE"""),72.0)</f>
        <v>72</v>
      </c>
      <c r="AH473" s="481"/>
      <c r="AI473" s="158"/>
      <c r="AJ473" s="158"/>
      <c r="AK473" s="133">
        <f>IFERROR(__xludf.DUMMYFUNCTION("""COMPUTED_VALUE"""),4.0)</f>
        <v>4</v>
      </c>
      <c r="AL473" s="133">
        <f>IFERROR(__xludf.DUMMYFUNCTION("""COMPUTED_VALUE"""),3.0)</f>
        <v>3</v>
      </c>
      <c r="AM473" s="133">
        <f>IFERROR(__xludf.DUMMYFUNCTION("""COMPUTED_VALUE"""),3.0)</f>
        <v>3</v>
      </c>
      <c r="AN473" s="133" t="str">
        <f>IFERROR(__xludf.DUMMYFUNCTION("""COMPUTED_VALUE"""),"3.5")</f>
        <v>3.5</v>
      </c>
      <c r="AO473" s="133">
        <f>IFERROR(__xludf.DUMMYFUNCTION("""COMPUTED_VALUE"""),3.0)</f>
        <v>3</v>
      </c>
      <c r="AP473" s="155" t="s">
        <v>3743</v>
      </c>
    </row>
    <row r="474">
      <c r="A474" s="155">
        <f>IFERROR(__xludf.DUMMYFUNCTION("""COMPUTED_VALUE"""),20.0)</f>
        <v>20</v>
      </c>
      <c r="B474" s="155" t="str">
        <f>IFERROR(__xludf.DUMMYFUNCTION("""COMPUTED_VALUE"""),"dhsi23csds@cmrit.ac.in")</f>
        <v>dhsi23csds@cmrit.ac.in</v>
      </c>
      <c r="C474" s="174" t="str">
        <f>IFERROR(__xludf.DUMMYFUNCTION("""COMPUTED_VALUE"""),"Dharmendra Singh ")</f>
        <v>Dharmendra Singh </v>
      </c>
      <c r="D474" s="155" t="str">
        <f>IFERROR(__xludf.DUMMYFUNCTION("""COMPUTED_VALUE"""),"1CR23CD020")</f>
        <v>1CR23CD020</v>
      </c>
      <c r="E474" s="563">
        <f>IFERROR(__xludf.DUMMYFUNCTION("""COMPUTED_VALUE"""),6.386745282E9)</f>
        <v>6386745282</v>
      </c>
      <c r="F474" s="155" t="str">
        <f>IFERROR(__xludf.DUMMYFUNCTION("""COMPUTED_VALUE"""),"CSE(DS)")</f>
        <v>CSE(DS)</v>
      </c>
      <c r="G474" s="158"/>
      <c r="H474" s="559">
        <f>IFERROR(__xludf.DUMMYFUNCTION("""COMPUTED_VALUE"""),79.0)</f>
        <v>79</v>
      </c>
      <c r="I474" s="559">
        <f>IFERROR(__xludf.DUMMYFUNCTION("""COMPUTED_VALUE"""),83.0)</f>
        <v>83</v>
      </c>
      <c r="J474" s="559">
        <f>IFERROR(__xludf.DUMMYFUNCTION("""COMPUTED_VALUE"""),77.0)</f>
        <v>77</v>
      </c>
      <c r="K474" s="559">
        <f>IFERROR(__xludf.DUMMYFUNCTION("""COMPUTED_VALUE"""),79.0)</f>
        <v>79</v>
      </c>
      <c r="L474" s="560">
        <f>IFERROR(__xludf.DUMMYFUNCTION("""COMPUTED_VALUE"""),50.0)</f>
        <v>50</v>
      </c>
      <c r="M474" s="561">
        <f>IFERROR(__xludf.DUMMYFUNCTION("""COMPUTED_VALUE"""),52.0)</f>
        <v>52</v>
      </c>
      <c r="N474" s="561">
        <f>IFERROR(__xludf.DUMMYFUNCTION("""COMPUTED_VALUE"""),53.0)</f>
        <v>53</v>
      </c>
      <c r="O474" s="560"/>
      <c r="P474" s="562">
        <f>IFERROR(__xludf.DUMMYFUNCTION("""COMPUTED_VALUE"""),73.0)</f>
        <v>73</v>
      </c>
      <c r="Q474" s="562">
        <f>IFERROR(__xludf.DUMMYFUNCTION("""COMPUTED_VALUE"""),55.0)</f>
        <v>55</v>
      </c>
      <c r="R474" s="562">
        <f>IFERROR(__xludf.DUMMYFUNCTION("""COMPUTED_VALUE"""),87.0)</f>
        <v>87</v>
      </c>
      <c r="S474" s="562"/>
      <c r="T474" s="217">
        <f>IFERROR(__xludf.DUMMYFUNCTION("""COMPUTED_VALUE"""),14.0)</f>
        <v>14</v>
      </c>
      <c r="U474" s="217">
        <f>IFERROR(__xludf.DUMMYFUNCTION("""COMPUTED_VALUE"""),18.0)</f>
        <v>18</v>
      </c>
      <c r="V474" s="217">
        <f>IFERROR(__xludf.DUMMYFUNCTION("""COMPUTED_VALUE"""),82.0)</f>
        <v>82</v>
      </c>
      <c r="W474" s="217">
        <f>IFERROR(__xludf.DUMMYFUNCTION("""COMPUTED_VALUE"""),72.0)</f>
        <v>72</v>
      </c>
      <c r="X474" s="217">
        <f>IFERROR(__xludf.DUMMYFUNCTION("""COMPUTED_VALUE"""),86.0)</f>
        <v>86</v>
      </c>
      <c r="Y474" s="217"/>
      <c r="Z474" s="217"/>
      <c r="AA474" s="481">
        <f>IFERROR(__xludf.DUMMYFUNCTION("""COMPUTED_VALUE"""),90.0)</f>
        <v>90</v>
      </c>
      <c r="AB474" s="481">
        <f>IFERROR(__xludf.DUMMYFUNCTION("""COMPUTED_VALUE"""),85.0)</f>
        <v>85</v>
      </c>
      <c r="AC474" s="481">
        <f>IFERROR(__xludf.DUMMYFUNCTION("""COMPUTED_VALUE"""),90.0)</f>
        <v>90</v>
      </c>
      <c r="AD474" s="481">
        <f>IFERROR(__xludf.DUMMYFUNCTION("""COMPUTED_VALUE"""),41.0)</f>
        <v>41</v>
      </c>
      <c r="AE474" s="481">
        <f>IFERROR(__xludf.DUMMYFUNCTION("""COMPUTED_VALUE"""),72.0)</f>
        <v>72</v>
      </c>
      <c r="AF474" s="481"/>
      <c r="AG474" s="481">
        <f>IFERROR(__xludf.DUMMYFUNCTION("""COMPUTED_VALUE"""),78.0)</f>
        <v>78</v>
      </c>
      <c r="AH474" s="481"/>
      <c r="AI474" s="158"/>
      <c r="AJ474" s="158"/>
      <c r="AK474" s="133">
        <f>IFERROR(__xludf.DUMMYFUNCTION("""COMPUTED_VALUE"""),4.0)</f>
        <v>4</v>
      </c>
      <c r="AL474" s="133">
        <f>IFERROR(__xludf.DUMMYFUNCTION("""COMPUTED_VALUE"""),3.0)</f>
        <v>3</v>
      </c>
      <c r="AM474" s="133">
        <f>IFERROR(__xludf.DUMMYFUNCTION("""COMPUTED_VALUE"""),3.0)</f>
        <v>3</v>
      </c>
      <c r="AN474" s="133" t="str">
        <f>IFERROR(__xludf.DUMMYFUNCTION("""COMPUTED_VALUE"""),"3.5")</f>
        <v>3.5</v>
      </c>
      <c r="AO474" s="133">
        <f>IFERROR(__xludf.DUMMYFUNCTION("""COMPUTED_VALUE"""),3.0)</f>
        <v>3</v>
      </c>
      <c r="AP474" s="155" t="s">
        <v>3743</v>
      </c>
    </row>
    <row r="475">
      <c r="A475" s="155">
        <f>IFERROR(__xludf.DUMMYFUNCTION("""COMPUTED_VALUE"""),21.0)</f>
        <v>21</v>
      </c>
      <c r="B475" s="155" t="str">
        <f>IFERROR(__xludf.DUMMYFUNCTION("""COMPUTED_VALUE"""),"dum23csds@cmrit.ac.in")</f>
        <v>dum23csds@cmrit.ac.in</v>
      </c>
      <c r="C475" s="174" t="str">
        <f>IFERROR(__xludf.DUMMYFUNCTION("""COMPUTED_VALUE"""),"durgashwetha M")</f>
        <v>durgashwetha M</v>
      </c>
      <c r="D475" s="155" t="str">
        <f>IFERROR(__xludf.DUMMYFUNCTION("""COMPUTED_VALUE"""),"1CR23CD021")</f>
        <v>1CR23CD021</v>
      </c>
      <c r="E475" s="563">
        <f>IFERROR(__xludf.DUMMYFUNCTION("""COMPUTED_VALUE"""),8.2175423E9)</f>
        <v>8217542300</v>
      </c>
      <c r="F475" s="155" t="str">
        <f>IFERROR(__xludf.DUMMYFUNCTION("""COMPUTED_VALUE"""),"CSE(DS)")</f>
        <v>CSE(DS)</v>
      </c>
      <c r="G475" s="158"/>
      <c r="H475" s="559">
        <f>IFERROR(__xludf.DUMMYFUNCTION("""COMPUTED_VALUE"""),71.0)</f>
        <v>71</v>
      </c>
      <c r="I475" s="559">
        <f>IFERROR(__xludf.DUMMYFUNCTION("""COMPUTED_VALUE"""),73.0)</f>
        <v>73</v>
      </c>
      <c r="J475" s="559">
        <f>IFERROR(__xludf.DUMMYFUNCTION("""COMPUTED_VALUE"""),70.0)</f>
        <v>70</v>
      </c>
      <c r="K475" s="559">
        <f>IFERROR(__xludf.DUMMYFUNCTION("""COMPUTED_VALUE"""),70.0)</f>
        <v>70</v>
      </c>
      <c r="L475" s="560">
        <f>IFERROR(__xludf.DUMMYFUNCTION("""COMPUTED_VALUE"""),50.0)</f>
        <v>50</v>
      </c>
      <c r="M475" s="561">
        <f>IFERROR(__xludf.DUMMYFUNCTION("""COMPUTED_VALUE"""),19.0)</f>
        <v>19</v>
      </c>
      <c r="N475" s="561">
        <f>IFERROR(__xludf.DUMMYFUNCTION("""COMPUTED_VALUE"""),50.0)</f>
        <v>50</v>
      </c>
      <c r="O475" s="560"/>
      <c r="P475" s="562">
        <f>IFERROR(__xludf.DUMMYFUNCTION("""COMPUTED_VALUE"""),50.0)</f>
        <v>50</v>
      </c>
      <c r="Q475" s="562">
        <f>IFERROR(__xludf.DUMMYFUNCTION("""COMPUTED_VALUE"""),56.0)</f>
        <v>56</v>
      </c>
      <c r="R475" s="562">
        <f>IFERROR(__xludf.DUMMYFUNCTION("""COMPUTED_VALUE"""),70.0)</f>
        <v>70</v>
      </c>
      <c r="S475" s="562"/>
      <c r="T475" s="217">
        <f>IFERROR(__xludf.DUMMYFUNCTION("""COMPUTED_VALUE"""),7.0)</f>
        <v>7</v>
      </c>
      <c r="U475" s="217">
        <f>IFERROR(__xludf.DUMMYFUNCTION("""COMPUTED_VALUE"""),17.0)</f>
        <v>17</v>
      </c>
      <c r="V475" s="217">
        <f>IFERROR(__xludf.DUMMYFUNCTION("""COMPUTED_VALUE"""),78.0)</f>
        <v>78</v>
      </c>
      <c r="W475" s="217">
        <f>IFERROR(__xludf.DUMMYFUNCTION("""COMPUTED_VALUE"""),78.0)</f>
        <v>78</v>
      </c>
      <c r="X475" s="217">
        <f>IFERROR(__xludf.DUMMYFUNCTION("""COMPUTED_VALUE"""),76.0)</f>
        <v>76</v>
      </c>
      <c r="Y475" s="217"/>
      <c r="Z475" s="217"/>
      <c r="AA475" s="481">
        <f>IFERROR(__xludf.DUMMYFUNCTION("""COMPUTED_VALUE"""),61.0)</f>
        <v>61</v>
      </c>
      <c r="AB475" s="481">
        <f>IFERROR(__xludf.DUMMYFUNCTION("""COMPUTED_VALUE"""),70.0)</f>
        <v>70</v>
      </c>
      <c r="AC475" s="481">
        <f>IFERROR(__xludf.DUMMYFUNCTION("""COMPUTED_VALUE"""),0.0)</f>
        <v>0</v>
      </c>
      <c r="AD475" s="481">
        <f>IFERROR(__xludf.DUMMYFUNCTION("""COMPUTED_VALUE"""),65.0)</f>
        <v>65</v>
      </c>
      <c r="AE475" s="481">
        <f>IFERROR(__xludf.DUMMYFUNCTION("""COMPUTED_VALUE"""),72.0)</f>
        <v>72</v>
      </c>
      <c r="AF475" s="481"/>
      <c r="AG475" s="481">
        <f>IFERROR(__xludf.DUMMYFUNCTION("""COMPUTED_VALUE"""),73.0)</f>
        <v>73</v>
      </c>
      <c r="AH475" s="481"/>
      <c r="AI475" s="158"/>
      <c r="AJ475" s="158"/>
      <c r="AK475" s="133">
        <f>IFERROR(__xludf.DUMMYFUNCTION("""COMPUTED_VALUE"""),4.0)</f>
        <v>4</v>
      </c>
      <c r="AL475" s="133">
        <f>IFERROR(__xludf.DUMMYFUNCTION("""COMPUTED_VALUE"""),1.0)</f>
        <v>1</v>
      </c>
      <c r="AM475" s="133">
        <f>IFERROR(__xludf.DUMMYFUNCTION("""COMPUTED_VALUE"""),3.0)</f>
        <v>3</v>
      </c>
      <c r="AN475" s="133" t="str">
        <f>IFERROR(__xludf.DUMMYFUNCTION("""COMPUTED_VALUE"""),"3.5")</f>
        <v>3.5</v>
      </c>
      <c r="AO475" s="133">
        <f>IFERROR(__xludf.DUMMYFUNCTION("""COMPUTED_VALUE"""),3.0)</f>
        <v>3</v>
      </c>
      <c r="AP475" s="155" t="s">
        <v>3743</v>
      </c>
    </row>
    <row r="476">
      <c r="A476" s="155">
        <f>IFERROR(__xludf.DUMMYFUNCTION("""COMPUTED_VALUE"""),22.0)</f>
        <v>22</v>
      </c>
      <c r="B476" s="155" t="str">
        <f>IFERROR(__xludf.DUMMYFUNCTION("""COMPUTED_VALUE"""),"hav23csds@cmrit.ac.in")</f>
        <v>hav23csds@cmrit.ac.in</v>
      </c>
      <c r="C476" s="174" t="str">
        <f>IFERROR(__xludf.DUMMYFUNCTION("""COMPUTED_VALUE"""),"H Avaneesha")</f>
        <v>H Avaneesha</v>
      </c>
      <c r="D476" s="155" t="str">
        <f>IFERROR(__xludf.DUMMYFUNCTION("""COMPUTED_VALUE"""),"1CR23CD023")</f>
        <v>1CR23CD023</v>
      </c>
      <c r="E476" s="563">
        <f>IFERROR(__xludf.DUMMYFUNCTION("""COMPUTED_VALUE"""),6.361292045E9)</f>
        <v>6361292045</v>
      </c>
      <c r="F476" s="155" t="str">
        <f>IFERROR(__xludf.DUMMYFUNCTION("""COMPUTED_VALUE"""),"CSE(DS)")</f>
        <v>CSE(DS)</v>
      </c>
      <c r="G476" s="158"/>
      <c r="H476" s="559">
        <f>IFERROR(__xludf.DUMMYFUNCTION("""COMPUTED_VALUE"""),84.0)</f>
        <v>84</v>
      </c>
      <c r="I476" s="559">
        <f>IFERROR(__xludf.DUMMYFUNCTION("""COMPUTED_VALUE"""),87.0)</f>
        <v>87</v>
      </c>
      <c r="J476" s="559">
        <f>IFERROR(__xludf.DUMMYFUNCTION("""COMPUTED_VALUE"""),70.0)</f>
        <v>70</v>
      </c>
      <c r="K476" s="559">
        <f>IFERROR(__xludf.DUMMYFUNCTION("""COMPUTED_VALUE"""),70.0)</f>
        <v>70</v>
      </c>
      <c r="L476" s="560">
        <f>IFERROR(__xludf.DUMMYFUNCTION("""COMPUTED_VALUE"""),50.0)</f>
        <v>50</v>
      </c>
      <c r="M476" s="561">
        <f>IFERROR(__xludf.DUMMYFUNCTION("""COMPUTED_VALUE"""),34.0)</f>
        <v>34</v>
      </c>
      <c r="N476" s="561">
        <f>IFERROR(__xludf.DUMMYFUNCTION("""COMPUTED_VALUE"""),51.0)</f>
        <v>51</v>
      </c>
      <c r="O476" s="560"/>
      <c r="P476" s="562">
        <f>IFERROR(__xludf.DUMMYFUNCTION("""COMPUTED_VALUE"""),70.0)</f>
        <v>70</v>
      </c>
      <c r="Q476" s="562">
        <f>IFERROR(__xludf.DUMMYFUNCTION("""COMPUTED_VALUE"""),50.0)</f>
        <v>50</v>
      </c>
      <c r="R476" s="562">
        <f>IFERROR(__xludf.DUMMYFUNCTION("""COMPUTED_VALUE"""),83.0)</f>
        <v>83</v>
      </c>
      <c r="S476" s="562"/>
      <c r="T476" s="217">
        <f>IFERROR(__xludf.DUMMYFUNCTION("""COMPUTED_VALUE"""),17.0)</f>
        <v>17</v>
      </c>
      <c r="U476" s="217">
        <f>IFERROR(__xludf.DUMMYFUNCTION("""COMPUTED_VALUE"""),17.0)</f>
        <v>17</v>
      </c>
      <c r="V476" s="217">
        <f>IFERROR(__xludf.DUMMYFUNCTION("""COMPUTED_VALUE"""),82.0)</f>
        <v>82</v>
      </c>
      <c r="W476" s="217">
        <f>IFERROR(__xludf.DUMMYFUNCTION("""COMPUTED_VALUE"""),66.0)</f>
        <v>66</v>
      </c>
      <c r="X476" s="217">
        <f>IFERROR(__xludf.DUMMYFUNCTION("""COMPUTED_VALUE"""),82.0)</f>
        <v>82</v>
      </c>
      <c r="Y476" s="217"/>
      <c r="Z476" s="217"/>
      <c r="AA476" s="481">
        <f>IFERROR(__xludf.DUMMYFUNCTION("""COMPUTED_VALUE"""),63.0)</f>
        <v>63</v>
      </c>
      <c r="AB476" s="481">
        <f>IFERROR(__xludf.DUMMYFUNCTION("""COMPUTED_VALUE"""),100.0)</f>
        <v>100</v>
      </c>
      <c r="AC476" s="481">
        <f>IFERROR(__xludf.DUMMYFUNCTION("""COMPUTED_VALUE"""),80.0)</f>
        <v>80</v>
      </c>
      <c r="AD476" s="481">
        <f>IFERROR(__xludf.DUMMYFUNCTION("""COMPUTED_VALUE"""),66.0)</f>
        <v>66</v>
      </c>
      <c r="AE476" s="481">
        <f>IFERROR(__xludf.DUMMYFUNCTION("""COMPUTED_VALUE"""),72.0)</f>
        <v>72</v>
      </c>
      <c r="AF476" s="481"/>
      <c r="AG476" s="481">
        <f>IFERROR(__xludf.DUMMYFUNCTION("""COMPUTED_VALUE"""),85.0)</f>
        <v>85</v>
      </c>
      <c r="AH476" s="481"/>
      <c r="AI476" s="158"/>
      <c r="AJ476" s="158"/>
      <c r="AK476" s="133">
        <f>IFERROR(__xludf.DUMMYFUNCTION("""COMPUTED_VALUE"""),4.0)</f>
        <v>4</v>
      </c>
      <c r="AL476" s="133">
        <f>IFERROR(__xludf.DUMMYFUNCTION("""COMPUTED_VALUE"""),1.0)</f>
        <v>1</v>
      </c>
      <c r="AM476" s="133">
        <f>IFERROR(__xludf.DUMMYFUNCTION("""COMPUTED_VALUE"""),3.0)</f>
        <v>3</v>
      </c>
      <c r="AN476" s="133" t="str">
        <f>IFERROR(__xludf.DUMMYFUNCTION("""COMPUTED_VALUE"""),"3.5")</f>
        <v>3.5</v>
      </c>
      <c r="AO476" s="133">
        <f>IFERROR(__xludf.DUMMYFUNCTION("""COMPUTED_VALUE"""),3.0)</f>
        <v>3</v>
      </c>
      <c r="AP476" s="155" t="s">
        <v>3743</v>
      </c>
    </row>
    <row r="477">
      <c r="A477" s="155">
        <f>IFERROR(__xludf.DUMMYFUNCTION("""COMPUTED_VALUE"""),23.0)</f>
        <v>23</v>
      </c>
      <c r="B477" s="155" t="str">
        <f>IFERROR(__xludf.DUMMYFUNCTION("""COMPUTED_VALUE"""),"hama23csds@cmrit.ac.in")</f>
        <v>hama23csds@cmrit.ac.in</v>
      </c>
      <c r="C477" s="174" t="str">
        <f>IFERROR(__xludf.DUMMYFUNCTION("""COMPUTED_VALUE"""),"HARSH MAHTO")</f>
        <v>HARSH MAHTO</v>
      </c>
      <c r="D477" s="155" t="str">
        <f>IFERROR(__xludf.DUMMYFUNCTION("""COMPUTED_VALUE"""),"1CR23CD024")</f>
        <v>1CR23CD024</v>
      </c>
      <c r="E477" s="563">
        <f>IFERROR(__xludf.DUMMYFUNCTION("""COMPUTED_VALUE"""),8.529863169E9)</f>
        <v>8529863169</v>
      </c>
      <c r="F477" s="155" t="str">
        <f>IFERROR(__xludf.DUMMYFUNCTION("""COMPUTED_VALUE"""),"CSE(DS)")</f>
        <v>CSE(DS)</v>
      </c>
      <c r="G477" s="158"/>
      <c r="H477" s="559">
        <f>IFERROR(__xludf.DUMMYFUNCTION("""COMPUTED_VALUE"""),88.0)</f>
        <v>88</v>
      </c>
      <c r="I477" s="559">
        <f>IFERROR(__xludf.DUMMYFUNCTION("""COMPUTED_VALUE"""),85.0)</f>
        <v>85</v>
      </c>
      <c r="J477" s="559">
        <f>IFERROR(__xludf.DUMMYFUNCTION("""COMPUTED_VALUE"""),70.0)</f>
        <v>70</v>
      </c>
      <c r="K477" s="559">
        <f>IFERROR(__xludf.DUMMYFUNCTION("""COMPUTED_VALUE"""),70.0)</f>
        <v>70</v>
      </c>
      <c r="L477" s="560">
        <f>IFERROR(__xludf.DUMMYFUNCTION("""COMPUTED_VALUE"""),68.0)</f>
        <v>68</v>
      </c>
      <c r="M477" s="561">
        <f>IFERROR(__xludf.DUMMYFUNCTION("""COMPUTED_VALUE"""),17.0)</f>
        <v>17</v>
      </c>
      <c r="N477" s="561">
        <f>IFERROR(__xludf.DUMMYFUNCTION("""COMPUTED_VALUE"""),0.0)</f>
        <v>0</v>
      </c>
      <c r="O477" s="560"/>
      <c r="P477" s="562">
        <f>IFERROR(__xludf.DUMMYFUNCTION("""COMPUTED_VALUE"""),0.0)</f>
        <v>0</v>
      </c>
      <c r="Q477" s="562">
        <f>IFERROR(__xludf.DUMMYFUNCTION("""COMPUTED_VALUE"""),0.0)</f>
        <v>0</v>
      </c>
      <c r="R477" s="562">
        <f>IFERROR(__xludf.DUMMYFUNCTION("""COMPUTED_VALUE"""),0.0)</f>
        <v>0</v>
      </c>
      <c r="S477" s="562"/>
      <c r="T477" s="217">
        <f>IFERROR(__xludf.DUMMYFUNCTION("""COMPUTED_VALUE"""),22.0)</f>
        <v>22</v>
      </c>
      <c r="U477" s="217">
        <f>IFERROR(__xludf.DUMMYFUNCTION("""COMPUTED_VALUE"""),19.0)</f>
        <v>19</v>
      </c>
      <c r="V477" s="217">
        <f>IFERROR(__xludf.DUMMYFUNCTION("""COMPUTED_VALUE"""),92.0)</f>
        <v>92</v>
      </c>
      <c r="W477" s="217">
        <f>IFERROR(__xludf.DUMMYFUNCTION("""COMPUTED_VALUE"""),78.0)</f>
        <v>78</v>
      </c>
      <c r="X477" s="217">
        <f>IFERROR(__xludf.DUMMYFUNCTION("""COMPUTED_VALUE"""),84.0)</f>
        <v>84</v>
      </c>
      <c r="Y477" s="217"/>
      <c r="Z477" s="217"/>
      <c r="AA477" s="481">
        <f>IFERROR(__xludf.DUMMYFUNCTION("""COMPUTED_VALUE"""),64.0)</f>
        <v>64</v>
      </c>
      <c r="AB477" s="481">
        <f>IFERROR(__xludf.DUMMYFUNCTION("""COMPUTED_VALUE"""),73.0)</f>
        <v>73</v>
      </c>
      <c r="AC477" s="481">
        <f>IFERROR(__xludf.DUMMYFUNCTION("""COMPUTED_VALUE"""),35.0)</f>
        <v>35</v>
      </c>
      <c r="AD477" s="481">
        <f>IFERROR(__xludf.DUMMYFUNCTION("""COMPUTED_VALUE"""),27.0)</f>
        <v>27</v>
      </c>
      <c r="AE477" s="481">
        <f>IFERROR(__xludf.DUMMYFUNCTION("""COMPUTED_VALUE"""),10.0)</f>
        <v>10</v>
      </c>
      <c r="AF477" s="481"/>
      <c r="AG477" s="481">
        <f>IFERROR(__xludf.DUMMYFUNCTION("""COMPUTED_VALUE"""),0.0)</f>
        <v>0</v>
      </c>
      <c r="AH477" s="481"/>
      <c r="AI477" s="158"/>
      <c r="AJ477" s="158"/>
      <c r="AK477" s="133">
        <f>IFERROR(__xludf.DUMMYFUNCTION("""COMPUTED_VALUE"""),4.0)</f>
        <v>4</v>
      </c>
      <c r="AL477" s="133">
        <f>IFERROR(__xludf.DUMMYFUNCTION("""COMPUTED_VALUE"""),1.0)</f>
        <v>1</v>
      </c>
      <c r="AM477" s="133">
        <f>IFERROR(__xludf.DUMMYFUNCTION("""COMPUTED_VALUE"""),3.0)</f>
        <v>3</v>
      </c>
      <c r="AN477" s="133" t="str">
        <f>IFERROR(__xludf.DUMMYFUNCTION("""COMPUTED_VALUE"""),"2")</f>
        <v>2</v>
      </c>
      <c r="AO477" s="133">
        <f>IFERROR(__xludf.DUMMYFUNCTION("""COMPUTED_VALUE"""),0.0)</f>
        <v>0</v>
      </c>
      <c r="AP477" s="155" t="s">
        <v>3743</v>
      </c>
    </row>
    <row r="478">
      <c r="A478" s="155">
        <f>IFERROR(__xludf.DUMMYFUNCTION("""COMPUTED_VALUE"""),24.0)</f>
        <v>24</v>
      </c>
      <c r="B478" s="155" t="str">
        <f>IFERROR(__xludf.DUMMYFUNCTION("""COMPUTED_VALUE"""),"jagu23csds@cmrit.ac.in")</f>
        <v>jagu23csds@cmrit.ac.in</v>
      </c>
      <c r="C478" s="174" t="str">
        <f>IFERROR(__xludf.DUMMYFUNCTION("""COMPUTED_VALUE"""),"JAITHRA GUTTIKONDA")</f>
        <v>JAITHRA GUTTIKONDA</v>
      </c>
      <c r="D478" s="155" t="str">
        <f>IFERROR(__xludf.DUMMYFUNCTION("""COMPUTED_VALUE"""),"1CR23CD025")</f>
        <v>1CR23CD025</v>
      </c>
      <c r="E478" s="563">
        <f>IFERROR(__xludf.DUMMYFUNCTION("""COMPUTED_VALUE"""),6.36059046E9)</f>
        <v>6360590460</v>
      </c>
      <c r="F478" s="155" t="str">
        <f>IFERROR(__xludf.DUMMYFUNCTION("""COMPUTED_VALUE"""),"CSE(DS)")</f>
        <v>CSE(DS)</v>
      </c>
      <c r="G478" s="158"/>
      <c r="H478" s="559">
        <f>IFERROR(__xludf.DUMMYFUNCTION("""COMPUTED_VALUE"""),85.0)</f>
        <v>85</v>
      </c>
      <c r="I478" s="559">
        <f>IFERROR(__xludf.DUMMYFUNCTION("""COMPUTED_VALUE"""),78.0)</f>
        <v>78</v>
      </c>
      <c r="J478" s="559">
        <f>IFERROR(__xludf.DUMMYFUNCTION("""COMPUTED_VALUE"""),70.0)</f>
        <v>70</v>
      </c>
      <c r="K478" s="559">
        <f>IFERROR(__xludf.DUMMYFUNCTION("""COMPUTED_VALUE"""),80.0)</f>
        <v>80</v>
      </c>
      <c r="L478" s="560">
        <f>IFERROR(__xludf.DUMMYFUNCTION("""COMPUTED_VALUE"""),69.0)</f>
        <v>69</v>
      </c>
      <c r="M478" s="561">
        <f>IFERROR(__xludf.DUMMYFUNCTION("""COMPUTED_VALUE"""),55.0)</f>
        <v>55</v>
      </c>
      <c r="N478" s="561">
        <f>IFERROR(__xludf.DUMMYFUNCTION("""COMPUTED_VALUE"""),50.0)</f>
        <v>50</v>
      </c>
      <c r="O478" s="560"/>
      <c r="P478" s="562">
        <f>IFERROR(__xludf.DUMMYFUNCTION("""COMPUTED_VALUE"""),70.0)</f>
        <v>70</v>
      </c>
      <c r="Q478" s="562">
        <f>IFERROR(__xludf.DUMMYFUNCTION("""COMPUTED_VALUE"""),72.0)</f>
        <v>72</v>
      </c>
      <c r="R478" s="562">
        <f>IFERROR(__xludf.DUMMYFUNCTION("""COMPUTED_VALUE"""),92.0)</f>
        <v>92</v>
      </c>
      <c r="S478" s="562"/>
      <c r="T478" s="217">
        <f>IFERROR(__xludf.DUMMYFUNCTION("""COMPUTED_VALUE"""),15.0)</f>
        <v>15</v>
      </c>
      <c r="U478" s="217">
        <f>IFERROR(__xludf.DUMMYFUNCTION("""COMPUTED_VALUE"""),20.0)</f>
        <v>20</v>
      </c>
      <c r="V478" s="217">
        <f>IFERROR(__xludf.DUMMYFUNCTION("""COMPUTED_VALUE"""),80.0)</f>
        <v>80</v>
      </c>
      <c r="W478" s="217">
        <f>IFERROR(__xludf.DUMMYFUNCTION("""COMPUTED_VALUE"""),66.0)</f>
        <v>66</v>
      </c>
      <c r="X478" s="217">
        <f>IFERROR(__xludf.DUMMYFUNCTION("""COMPUTED_VALUE"""),76.0)</f>
        <v>76</v>
      </c>
      <c r="Y478" s="217"/>
      <c r="Z478" s="217"/>
      <c r="AA478" s="481">
        <f>IFERROR(__xludf.DUMMYFUNCTION("""COMPUTED_VALUE"""),84.0)</f>
        <v>84</v>
      </c>
      <c r="AB478" s="481">
        <f>IFERROR(__xludf.DUMMYFUNCTION("""COMPUTED_VALUE"""),83.0)</f>
        <v>83</v>
      </c>
      <c r="AC478" s="481">
        <f>IFERROR(__xludf.DUMMYFUNCTION("""COMPUTED_VALUE"""),84.0)</f>
        <v>84</v>
      </c>
      <c r="AD478" s="481">
        <f>IFERROR(__xludf.DUMMYFUNCTION("""COMPUTED_VALUE"""),60.0)</f>
        <v>60</v>
      </c>
      <c r="AE478" s="481">
        <f>IFERROR(__xludf.DUMMYFUNCTION("""COMPUTED_VALUE"""),73.0)</f>
        <v>73</v>
      </c>
      <c r="AF478" s="481"/>
      <c r="AG478" s="481">
        <f>IFERROR(__xludf.DUMMYFUNCTION("""COMPUTED_VALUE"""),79.0)</f>
        <v>79</v>
      </c>
      <c r="AH478" s="481"/>
      <c r="AI478" s="158"/>
      <c r="AJ478" s="158"/>
      <c r="AK478" s="133">
        <f>IFERROR(__xludf.DUMMYFUNCTION("""COMPUTED_VALUE"""),4.0)</f>
        <v>4</v>
      </c>
      <c r="AL478" s="133">
        <f>IFERROR(__xludf.DUMMYFUNCTION("""COMPUTED_VALUE"""),3.0)</f>
        <v>3</v>
      </c>
      <c r="AM478" s="133">
        <f>IFERROR(__xludf.DUMMYFUNCTION("""COMPUTED_VALUE"""),3.0)</f>
        <v>3</v>
      </c>
      <c r="AN478" s="133" t="str">
        <f>IFERROR(__xludf.DUMMYFUNCTION("""COMPUTED_VALUE"""),"3.5")</f>
        <v>3.5</v>
      </c>
      <c r="AO478" s="133">
        <f>IFERROR(__xludf.DUMMYFUNCTION("""COMPUTED_VALUE"""),3.0)</f>
        <v>3</v>
      </c>
      <c r="AP478" s="155" t="s">
        <v>3743</v>
      </c>
    </row>
    <row r="479">
      <c r="A479" s="155">
        <f>IFERROR(__xludf.DUMMYFUNCTION("""COMPUTED_VALUE"""),25.0)</f>
        <v>25</v>
      </c>
      <c r="B479" s="155" t="str">
        <f>IFERROR(__xludf.DUMMYFUNCTION("""COMPUTED_VALUE"""),"jama23csds@cmrit.ac.in")</f>
        <v>jama23csds@cmrit.ac.in</v>
      </c>
      <c r="C479" s="174" t="str">
        <f>IFERROR(__xludf.DUMMYFUNCTION("""COMPUTED_VALUE"""),"Janak Narasimhulu Madhlekar")</f>
        <v>Janak Narasimhulu Madhlekar</v>
      </c>
      <c r="D479" s="155" t="str">
        <f>IFERROR(__xludf.DUMMYFUNCTION("""COMPUTED_VALUE"""),"1CR23CD026")</f>
        <v>1CR23CD026</v>
      </c>
      <c r="E479" s="563">
        <f>IFERROR(__xludf.DUMMYFUNCTION("""COMPUTED_VALUE"""),7.799608474E9)</f>
        <v>7799608474</v>
      </c>
      <c r="F479" s="155" t="str">
        <f>IFERROR(__xludf.DUMMYFUNCTION("""COMPUTED_VALUE"""),"CSE(DS)")</f>
        <v>CSE(DS)</v>
      </c>
      <c r="G479" s="158"/>
      <c r="H479" s="559">
        <f>IFERROR(__xludf.DUMMYFUNCTION("""COMPUTED_VALUE"""),81.0)</f>
        <v>81</v>
      </c>
      <c r="I479" s="559">
        <f>IFERROR(__xludf.DUMMYFUNCTION("""COMPUTED_VALUE"""),84.0)</f>
        <v>84</v>
      </c>
      <c r="J479" s="559">
        <f>IFERROR(__xludf.DUMMYFUNCTION("""COMPUTED_VALUE"""),70.0)</f>
        <v>70</v>
      </c>
      <c r="K479" s="559">
        <f>IFERROR(__xludf.DUMMYFUNCTION("""COMPUTED_VALUE"""),70.0)</f>
        <v>70</v>
      </c>
      <c r="L479" s="560">
        <f>IFERROR(__xludf.DUMMYFUNCTION("""COMPUTED_VALUE"""),50.0)</f>
        <v>50</v>
      </c>
      <c r="M479" s="561">
        <f>IFERROR(__xludf.DUMMYFUNCTION("""COMPUTED_VALUE"""),50.0)</f>
        <v>50</v>
      </c>
      <c r="N479" s="561">
        <f>IFERROR(__xludf.DUMMYFUNCTION("""COMPUTED_VALUE"""),50.0)</f>
        <v>50</v>
      </c>
      <c r="O479" s="560"/>
      <c r="P479" s="562">
        <f>IFERROR(__xludf.DUMMYFUNCTION("""COMPUTED_VALUE"""),50.0)</f>
        <v>50</v>
      </c>
      <c r="Q479" s="562">
        <f>IFERROR(__xludf.DUMMYFUNCTION("""COMPUTED_VALUE"""),50.0)</f>
        <v>50</v>
      </c>
      <c r="R479" s="562">
        <f>IFERROR(__xludf.DUMMYFUNCTION("""COMPUTED_VALUE"""),87.0)</f>
        <v>87</v>
      </c>
      <c r="S479" s="562"/>
      <c r="T479" s="217">
        <f>IFERROR(__xludf.DUMMYFUNCTION("""COMPUTED_VALUE"""),17.0)</f>
        <v>17</v>
      </c>
      <c r="U479" s="217">
        <f>IFERROR(__xludf.DUMMYFUNCTION("""COMPUTED_VALUE"""),16.0)</f>
        <v>16</v>
      </c>
      <c r="V479" s="217">
        <f>IFERROR(__xludf.DUMMYFUNCTION("""COMPUTED_VALUE"""),78.0)</f>
        <v>78</v>
      </c>
      <c r="W479" s="217">
        <f>IFERROR(__xludf.DUMMYFUNCTION("""COMPUTED_VALUE"""),68.0)</f>
        <v>68</v>
      </c>
      <c r="X479" s="217">
        <f>IFERROR(__xludf.DUMMYFUNCTION("""COMPUTED_VALUE"""),66.0)</f>
        <v>66</v>
      </c>
      <c r="Y479" s="217"/>
      <c r="Z479" s="217"/>
      <c r="AA479" s="481">
        <f>IFERROR(__xludf.DUMMYFUNCTION("""COMPUTED_VALUE"""),94.0)</f>
        <v>94</v>
      </c>
      <c r="AB479" s="481">
        <f>IFERROR(__xludf.DUMMYFUNCTION("""COMPUTED_VALUE"""),80.0)</f>
        <v>80</v>
      </c>
      <c r="AC479" s="481">
        <f>IFERROR(__xludf.DUMMYFUNCTION("""COMPUTED_VALUE"""),27.0)</f>
        <v>27</v>
      </c>
      <c r="AD479" s="481">
        <f>IFERROR(__xludf.DUMMYFUNCTION("""COMPUTED_VALUE"""),60.0)</f>
        <v>60</v>
      </c>
      <c r="AE479" s="481">
        <f>IFERROR(__xludf.DUMMYFUNCTION("""COMPUTED_VALUE"""),10.0)</f>
        <v>10</v>
      </c>
      <c r="AF479" s="481"/>
      <c r="AG479" s="481">
        <f>IFERROR(__xludf.DUMMYFUNCTION("""COMPUTED_VALUE"""),59.0)</f>
        <v>59</v>
      </c>
      <c r="AH479" s="481"/>
      <c r="AI479" s="158"/>
      <c r="AJ479" s="158"/>
      <c r="AK479" s="133">
        <f>IFERROR(__xludf.DUMMYFUNCTION("""COMPUTED_VALUE"""),4.0)</f>
        <v>4</v>
      </c>
      <c r="AL479" s="133">
        <f>IFERROR(__xludf.DUMMYFUNCTION("""COMPUTED_VALUE"""),3.0)</f>
        <v>3</v>
      </c>
      <c r="AM479" s="133">
        <f>IFERROR(__xludf.DUMMYFUNCTION("""COMPUTED_VALUE"""),3.0)</f>
        <v>3</v>
      </c>
      <c r="AN479" s="133" t="str">
        <f>IFERROR(__xludf.DUMMYFUNCTION("""COMPUTED_VALUE"""),"3")</f>
        <v>3</v>
      </c>
      <c r="AO479" s="133">
        <f>IFERROR(__xludf.DUMMYFUNCTION("""COMPUTED_VALUE"""),3.0)</f>
        <v>3</v>
      </c>
      <c r="AP479" s="155" t="s">
        <v>3743</v>
      </c>
    </row>
    <row r="480">
      <c r="A480" s="155">
        <f>IFERROR(__xludf.DUMMYFUNCTION("""COMPUTED_VALUE"""),26.0)</f>
        <v>26</v>
      </c>
      <c r="B480" s="155" t="str">
        <f>IFERROR(__xludf.DUMMYFUNCTION("""COMPUTED_VALUE"""),"jyjy23csds@cmrit.ac.in")</f>
        <v>jyjy23csds@cmrit.ac.in</v>
      </c>
      <c r="C480" s="174" t="str">
        <f>IFERROR(__xludf.DUMMYFUNCTION("""COMPUTED_VALUE"""),"JYOTHIKA R")</f>
        <v>JYOTHIKA R</v>
      </c>
      <c r="D480" s="155" t="str">
        <f>IFERROR(__xludf.DUMMYFUNCTION("""COMPUTED_VALUE"""),"1CR23CD027")</f>
        <v>1CR23CD027</v>
      </c>
      <c r="E480" s="563">
        <f>IFERROR(__xludf.DUMMYFUNCTION("""COMPUTED_VALUE"""),7.619106554E9)</f>
        <v>7619106554</v>
      </c>
      <c r="F480" s="155" t="str">
        <f>IFERROR(__xludf.DUMMYFUNCTION("""COMPUTED_VALUE"""),"CSE(DS)")</f>
        <v>CSE(DS)</v>
      </c>
      <c r="G480" s="158"/>
      <c r="H480" s="559">
        <f>IFERROR(__xludf.DUMMYFUNCTION("""COMPUTED_VALUE"""),87.0)</f>
        <v>87</v>
      </c>
      <c r="I480" s="559">
        <f>IFERROR(__xludf.DUMMYFUNCTION("""COMPUTED_VALUE"""),94.0)</f>
        <v>94</v>
      </c>
      <c r="J480" s="559">
        <f>IFERROR(__xludf.DUMMYFUNCTION("""COMPUTED_VALUE"""),70.0)</f>
        <v>70</v>
      </c>
      <c r="K480" s="559">
        <f>IFERROR(__xludf.DUMMYFUNCTION("""COMPUTED_VALUE"""),71.0)</f>
        <v>71</v>
      </c>
      <c r="L480" s="560">
        <f>IFERROR(__xludf.DUMMYFUNCTION("""COMPUTED_VALUE"""),61.0)</f>
        <v>61</v>
      </c>
      <c r="M480" s="561">
        <f>IFERROR(__xludf.DUMMYFUNCTION("""COMPUTED_VALUE"""),50.0)</f>
        <v>50</v>
      </c>
      <c r="N480" s="561">
        <f>IFERROR(__xludf.DUMMYFUNCTION("""COMPUTED_VALUE"""),51.0)</f>
        <v>51</v>
      </c>
      <c r="O480" s="560"/>
      <c r="P480" s="562">
        <f>IFERROR(__xludf.DUMMYFUNCTION("""COMPUTED_VALUE"""),87.0)</f>
        <v>87</v>
      </c>
      <c r="Q480" s="562">
        <f>IFERROR(__xludf.DUMMYFUNCTION("""COMPUTED_VALUE"""),80.0)</f>
        <v>80</v>
      </c>
      <c r="R480" s="562">
        <f>IFERROR(__xludf.DUMMYFUNCTION("""COMPUTED_VALUE"""),94.0)</f>
        <v>94</v>
      </c>
      <c r="S480" s="562"/>
      <c r="T480" s="217">
        <f>IFERROR(__xludf.DUMMYFUNCTION("""COMPUTED_VALUE"""),18.0)</f>
        <v>18</v>
      </c>
      <c r="U480" s="217">
        <f>IFERROR(__xludf.DUMMYFUNCTION("""COMPUTED_VALUE"""),18.0)</f>
        <v>18</v>
      </c>
      <c r="V480" s="217">
        <f>IFERROR(__xludf.DUMMYFUNCTION("""COMPUTED_VALUE"""),82.0)</f>
        <v>82</v>
      </c>
      <c r="W480" s="217">
        <f>IFERROR(__xludf.DUMMYFUNCTION("""COMPUTED_VALUE"""),88.0)</f>
        <v>88</v>
      </c>
      <c r="X480" s="217">
        <f>IFERROR(__xludf.DUMMYFUNCTION("""COMPUTED_VALUE"""),88.0)</f>
        <v>88</v>
      </c>
      <c r="Y480" s="217"/>
      <c r="Z480" s="217"/>
      <c r="AA480" s="481">
        <f>IFERROR(__xludf.DUMMYFUNCTION("""COMPUTED_VALUE"""),98.0)</f>
        <v>98</v>
      </c>
      <c r="AB480" s="481">
        <f>IFERROR(__xludf.DUMMYFUNCTION("""COMPUTED_VALUE"""),100.0)</f>
        <v>100</v>
      </c>
      <c r="AC480" s="481">
        <f>IFERROR(__xludf.DUMMYFUNCTION("""COMPUTED_VALUE"""),100.0)</f>
        <v>100</v>
      </c>
      <c r="AD480" s="481">
        <f>IFERROR(__xludf.DUMMYFUNCTION("""COMPUTED_VALUE"""),47.0)</f>
        <v>47</v>
      </c>
      <c r="AE480" s="481">
        <f>IFERROR(__xludf.DUMMYFUNCTION("""COMPUTED_VALUE"""),87.0)</f>
        <v>87</v>
      </c>
      <c r="AF480" s="481"/>
      <c r="AG480" s="481">
        <f>IFERROR(__xludf.DUMMYFUNCTION("""COMPUTED_VALUE"""),86.0)</f>
        <v>86</v>
      </c>
      <c r="AH480" s="481"/>
      <c r="AI480" s="158"/>
      <c r="AJ480" s="158"/>
      <c r="AK480" s="133">
        <f>IFERROR(__xludf.DUMMYFUNCTION("""COMPUTED_VALUE"""),4.0)</f>
        <v>4</v>
      </c>
      <c r="AL480" s="133">
        <f>IFERROR(__xludf.DUMMYFUNCTION("""COMPUTED_VALUE"""),3.0)</f>
        <v>3</v>
      </c>
      <c r="AM480" s="133">
        <f>IFERROR(__xludf.DUMMYFUNCTION("""COMPUTED_VALUE"""),3.0)</f>
        <v>3</v>
      </c>
      <c r="AN480" s="133" t="str">
        <f>IFERROR(__xludf.DUMMYFUNCTION("""COMPUTED_VALUE"""),"3.5")</f>
        <v>3.5</v>
      </c>
      <c r="AO480" s="133">
        <f>IFERROR(__xludf.DUMMYFUNCTION("""COMPUTED_VALUE"""),3.0)</f>
        <v>3</v>
      </c>
      <c r="AP480" s="155" t="s">
        <v>3743</v>
      </c>
    </row>
    <row r="481">
      <c r="A481" s="155">
        <f>IFERROR(__xludf.DUMMYFUNCTION("""COMPUTED_VALUE"""),27.0)</f>
        <v>27</v>
      </c>
      <c r="B481" s="155" t="str">
        <f>IFERROR(__xludf.DUMMYFUNCTION("""COMPUTED_VALUE"""),"kesa23csds@cmrit.ac.in")</f>
        <v>kesa23csds@cmrit.ac.in</v>
      </c>
      <c r="C481" s="174" t="str">
        <f>IFERROR(__xludf.DUMMYFUNCTION("""COMPUTED_VALUE"""),"KEERTHIKA SANA")</f>
        <v>KEERTHIKA SANA</v>
      </c>
      <c r="D481" s="155" t="str">
        <f>IFERROR(__xludf.DUMMYFUNCTION("""COMPUTED_VALUE"""),"1CR23CD028")</f>
        <v>1CR23CD028</v>
      </c>
      <c r="E481" s="563">
        <f>IFERROR(__xludf.DUMMYFUNCTION("""COMPUTED_VALUE"""),9.686502089E9)</f>
        <v>9686502089</v>
      </c>
      <c r="F481" s="155" t="str">
        <f>IFERROR(__xludf.DUMMYFUNCTION("""COMPUTED_VALUE"""),"CSE(DS)")</f>
        <v>CSE(DS)</v>
      </c>
      <c r="G481" s="158"/>
      <c r="H481" s="559">
        <f>IFERROR(__xludf.DUMMYFUNCTION("""COMPUTED_VALUE"""),75.0)</f>
        <v>75</v>
      </c>
      <c r="I481" s="559">
        <f>IFERROR(__xludf.DUMMYFUNCTION("""COMPUTED_VALUE"""),80.0)</f>
        <v>80</v>
      </c>
      <c r="J481" s="559">
        <f>IFERROR(__xludf.DUMMYFUNCTION("""COMPUTED_VALUE"""),57.0)</f>
        <v>57</v>
      </c>
      <c r="K481" s="559">
        <f>IFERROR(__xludf.DUMMYFUNCTION("""COMPUTED_VALUE"""),70.0)</f>
        <v>70</v>
      </c>
      <c r="L481" s="560">
        <f>IFERROR(__xludf.DUMMYFUNCTION("""COMPUTED_VALUE"""),50.0)</f>
        <v>50</v>
      </c>
      <c r="M481" s="561">
        <f>IFERROR(__xludf.DUMMYFUNCTION("""COMPUTED_VALUE"""),50.0)</f>
        <v>50</v>
      </c>
      <c r="N481" s="561">
        <f>IFERROR(__xludf.DUMMYFUNCTION("""COMPUTED_VALUE"""),50.0)</f>
        <v>50</v>
      </c>
      <c r="O481" s="560"/>
      <c r="P481" s="562">
        <f>IFERROR(__xludf.DUMMYFUNCTION("""COMPUTED_VALUE"""),77.0)</f>
        <v>77</v>
      </c>
      <c r="Q481" s="562">
        <f>IFERROR(__xludf.DUMMYFUNCTION("""COMPUTED_VALUE"""),72.0)</f>
        <v>72</v>
      </c>
      <c r="R481" s="562">
        <f>IFERROR(__xludf.DUMMYFUNCTION("""COMPUTED_VALUE"""),50.0)</f>
        <v>50</v>
      </c>
      <c r="S481" s="562"/>
      <c r="T481" s="217">
        <f>IFERROR(__xludf.DUMMYFUNCTION("""COMPUTED_VALUE"""),10.0)</f>
        <v>10</v>
      </c>
      <c r="U481" s="217">
        <f>IFERROR(__xludf.DUMMYFUNCTION("""COMPUTED_VALUE"""),20.0)</f>
        <v>20</v>
      </c>
      <c r="V481" s="217">
        <f>IFERROR(__xludf.DUMMYFUNCTION("""COMPUTED_VALUE"""),66.0)</f>
        <v>66</v>
      </c>
      <c r="W481" s="217">
        <f>IFERROR(__xludf.DUMMYFUNCTION("""COMPUTED_VALUE"""),90.0)</f>
        <v>90</v>
      </c>
      <c r="X481" s="217">
        <f>IFERROR(__xludf.DUMMYFUNCTION("""COMPUTED_VALUE"""),76.0)</f>
        <v>76</v>
      </c>
      <c r="Y481" s="217"/>
      <c r="Z481" s="217"/>
      <c r="AA481" s="481">
        <f>IFERROR(__xludf.DUMMYFUNCTION("""COMPUTED_VALUE"""),0.0)</f>
        <v>0</v>
      </c>
      <c r="AB481" s="481">
        <f>IFERROR(__xludf.DUMMYFUNCTION("""COMPUTED_VALUE"""),50.0)</f>
        <v>50</v>
      </c>
      <c r="AC481" s="481">
        <f>IFERROR(__xludf.DUMMYFUNCTION("""COMPUTED_VALUE"""),90.0)</f>
        <v>90</v>
      </c>
      <c r="AD481" s="481">
        <f>IFERROR(__xludf.DUMMYFUNCTION("""COMPUTED_VALUE"""),2.0)</f>
        <v>2</v>
      </c>
      <c r="AE481" s="481">
        <f>IFERROR(__xludf.DUMMYFUNCTION("""COMPUTED_VALUE"""),70.0)</f>
        <v>70</v>
      </c>
      <c r="AF481" s="481"/>
      <c r="AG481" s="481">
        <f>IFERROR(__xludf.DUMMYFUNCTION("""COMPUTED_VALUE"""),70.0)</f>
        <v>70</v>
      </c>
      <c r="AH481" s="481"/>
      <c r="AI481" s="158"/>
      <c r="AJ481" s="158"/>
      <c r="AK481" s="133">
        <f>IFERROR(__xludf.DUMMYFUNCTION("""COMPUTED_VALUE"""),2.0)</f>
        <v>2</v>
      </c>
      <c r="AL481" s="133">
        <f>IFERROR(__xludf.DUMMYFUNCTION("""COMPUTED_VALUE"""),3.0)</f>
        <v>3</v>
      </c>
      <c r="AM481" s="133">
        <f>IFERROR(__xludf.DUMMYFUNCTION("""COMPUTED_VALUE"""),3.0)</f>
        <v>3</v>
      </c>
      <c r="AN481" s="133" t="str">
        <f>IFERROR(__xludf.DUMMYFUNCTION("""COMPUTED_VALUE"""),"3.5")</f>
        <v>3.5</v>
      </c>
      <c r="AO481" s="133">
        <f>IFERROR(__xludf.DUMMYFUNCTION("""COMPUTED_VALUE"""),3.0)</f>
        <v>3</v>
      </c>
      <c r="AP481" s="155" t="s">
        <v>3743</v>
      </c>
    </row>
    <row r="482">
      <c r="A482" s="155">
        <f>IFERROR(__xludf.DUMMYFUNCTION("""COMPUTED_VALUE"""),28.0)</f>
        <v>28</v>
      </c>
      <c r="B482" s="155" t="str">
        <f>IFERROR(__xludf.DUMMYFUNCTION("""COMPUTED_VALUE"""),"kean23csds@cmrit.ac.in")</f>
        <v>kean23csds@cmrit.ac.in</v>
      </c>
      <c r="C482" s="174" t="str">
        <f>IFERROR(__xludf.DUMMYFUNCTION("""COMPUTED_VALUE"""),"KESHAV ANAND")</f>
        <v>KESHAV ANAND</v>
      </c>
      <c r="D482" s="155" t="str">
        <f>IFERROR(__xludf.DUMMYFUNCTION("""COMPUTED_VALUE"""),"1CR23CD029")</f>
        <v>1CR23CD029</v>
      </c>
      <c r="E482" s="563">
        <f>IFERROR(__xludf.DUMMYFUNCTION("""COMPUTED_VALUE"""),7.258821117E9)</f>
        <v>7258821117</v>
      </c>
      <c r="F482" s="155" t="str">
        <f>IFERROR(__xludf.DUMMYFUNCTION("""COMPUTED_VALUE"""),"CSE(DS)")</f>
        <v>CSE(DS)</v>
      </c>
      <c r="G482" s="158"/>
      <c r="H482" s="559">
        <f>IFERROR(__xludf.DUMMYFUNCTION("""COMPUTED_VALUE"""),82.0)</f>
        <v>82</v>
      </c>
      <c r="I482" s="559">
        <f>IFERROR(__xludf.DUMMYFUNCTION("""COMPUTED_VALUE"""),91.0)</f>
        <v>91</v>
      </c>
      <c r="J482" s="559">
        <f>IFERROR(__xludf.DUMMYFUNCTION("""COMPUTED_VALUE"""),70.0)</f>
        <v>70</v>
      </c>
      <c r="K482" s="559">
        <f>IFERROR(__xludf.DUMMYFUNCTION("""COMPUTED_VALUE"""),70.0)</f>
        <v>70</v>
      </c>
      <c r="L482" s="560">
        <f>IFERROR(__xludf.DUMMYFUNCTION("""COMPUTED_VALUE"""),75.0)</f>
        <v>75</v>
      </c>
      <c r="M482" s="561">
        <f>IFERROR(__xludf.DUMMYFUNCTION("""COMPUTED_VALUE"""),58.0)</f>
        <v>58</v>
      </c>
      <c r="N482" s="561">
        <f>IFERROR(__xludf.DUMMYFUNCTION("""COMPUTED_VALUE"""),56.0)</f>
        <v>56</v>
      </c>
      <c r="O482" s="560"/>
      <c r="P482" s="562">
        <f>IFERROR(__xludf.DUMMYFUNCTION("""COMPUTED_VALUE"""),50.0)</f>
        <v>50</v>
      </c>
      <c r="Q482" s="562">
        <f>IFERROR(__xludf.DUMMYFUNCTION("""COMPUTED_VALUE"""),0.0)</f>
        <v>0</v>
      </c>
      <c r="R482" s="562">
        <f>IFERROR(__xludf.DUMMYFUNCTION("""COMPUTED_VALUE"""),0.0)</f>
        <v>0</v>
      </c>
      <c r="S482" s="562"/>
      <c r="T482" s="217">
        <f>IFERROR(__xludf.DUMMYFUNCTION("""COMPUTED_VALUE"""),12.0)</f>
        <v>12</v>
      </c>
      <c r="U482" s="217">
        <f>IFERROR(__xludf.DUMMYFUNCTION("""COMPUTED_VALUE"""),19.0)</f>
        <v>19</v>
      </c>
      <c r="V482" s="217">
        <f>IFERROR(__xludf.DUMMYFUNCTION("""COMPUTED_VALUE"""),80.0)</f>
        <v>80</v>
      </c>
      <c r="W482" s="217">
        <f>IFERROR(__xludf.DUMMYFUNCTION("""COMPUTED_VALUE"""),92.0)</f>
        <v>92</v>
      </c>
      <c r="X482" s="217">
        <f>IFERROR(__xludf.DUMMYFUNCTION("""COMPUTED_VALUE"""),84.0)</f>
        <v>84</v>
      </c>
      <c r="Y482" s="217"/>
      <c r="Z482" s="217"/>
      <c r="AA482" s="481">
        <f>IFERROR(__xludf.DUMMYFUNCTION("""COMPUTED_VALUE"""),88.0)</f>
        <v>88</v>
      </c>
      <c r="AB482" s="481">
        <f>IFERROR(__xludf.DUMMYFUNCTION("""COMPUTED_VALUE"""),63.0)</f>
        <v>63</v>
      </c>
      <c r="AC482" s="481">
        <f>IFERROR(__xludf.DUMMYFUNCTION("""COMPUTED_VALUE"""),72.0)</f>
        <v>72</v>
      </c>
      <c r="AD482" s="481">
        <f>IFERROR(__xludf.DUMMYFUNCTION("""COMPUTED_VALUE"""),33.0)</f>
        <v>33</v>
      </c>
      <c r="AE482" s="481">
        <f>IFERROR(__xludf.DUMMYFUNCTION("""COMPUTED_VALUE"""),83.0)</f>
        <v>83</v>
      </c>
      <c r="AF482" s="481"/>
      <c r="AG482" s="481">
        <f>IFERROR(__xludf.DUMMYFUNCTION("""COMPUTED_VALUE"""),84.0)</f>
        <v>84</v>
      </c>
      <c r="AH482" s="481"/>
      <c r="AI482" s="158"/>
      <c r="AJ482" s="158"/>
      <c r="AK482" s="133">
        <f>IFERROR(__xludf.DUMMYFUNCTION("""COMPUTED_VALUE"""),4.0)</f>
        <v>4</v>
      </c>
      <c r="AL482" s="133">
        <f>IFERROR(__xludf.DUMMYFUNCTION("""COMPUTED_VALUE"""),3.0)</f>
        <v>3</v>
      </c>
      <c r="AM482" s="133">
        <f>IFERROR(__xludf.DUMMYFUNCTION("""COMPUTED_VALUE"""),3.0)</f>
        <v>3</v>
      </c>
      <c r="AN482" s="133" t="str">
        <f>IFERROR(__xludf.DUMMYFUNCTION("""COMPUTED_VALUE"""),"3.5")</f>
        <v>3.5</v>
      </c>
      <c r="AO482" s="133">
        <f>IFERROR(__xludf.DUMMYFUNCTION("""COMPUTED_VALUE"""),1.0)</f>
        <v>1</v>
      </c>
      <c r="AP482" s="155" t="s">
        <v>3743</v>
      </c>
    </row>
    <row r="483">
      <c r="A483" s="155">
        <f>IFERROR(__xludf.DUMMYFUNCTION("""COMPUTED_VALUE"""),29.0)</f>
        <v>29</v>
      </c>
      <c r="B483" s="155" t="str">
        <f>IFERROR(__xludf.DUMMYFUNCTION("""COMPUTED_VALUE"""),"kesh23csds@cmrit.ac.in")</f>
        <v>kesh23csds@cmrit.ac.in</v>
      </c>
      <c r="C483" s="174" t="str">
        <f>IFERROR(__xludf.DUMMYFUNCTION("""COMPUTED_VALUE"""),"KETHAN SHRICHAND")</f>
        <v>KETHAN SHRICHAND</v>
      </c>
      <c r="D483" s="155" t="str">
        <f>IFERROR(__xludf.DUMMYFUNCTION("""COMPUTED_VALUE"""),"1CR23CD030")</f>
        <v>1CR23CD030</v>
      </c>
      <c r="E483" s="563">
        <f>IFERROR(__xludf.DUMMYFUNCTION("""COMPUTED_VALUE"""),8.296341123E9)</f>
        <v>8296341123</v>
      </c>
      <c r="F483" s="155" t="str">
        <f>IFERROR(__xludf.DUMMYFUNCTION("""COMPUTED_VALUE"""),"CSE(DS)")</f>
        <v>CSE(DS)</v>
      </c>
      <c r="G483" s="158"/>
      <c r="H483" s="559">
        <f>IFERROR(__xludf.DUMMYFUNCTION("""COMPUTED_VALUE"""),85.0)</f>
        <v>85</v>
      </c>
      <c r="I483" s="559">
        <f>IFERROR(__xludf.DUMMYFUNCTION("""COMPUTED_VALUE"""),93.0)</f>
        <v>93</v>
      </c>
      <c r="J483" s="559">
        <f>IFERROR(__xludf.DUMMYFUNCTION("""COMPUTED_VALUE"""),70.0)</f>
        <v>70</v>
      </c>
      <c r="K483" s="559">
        <f>IFERROR(__xludf.DUMMYFUNCTION("""COMPUTED_VALUE"""),83.0)</f>
        <v>83</v>
      </c>
      <c r="L483" s="560">
        <f>IFERROR(__xludf.DUMMYFUNCTION("""COMPUTED_VALUE"""),50.0)</f>
        <v>50</v>
      </c>
      <c r="M483" s="561">
        <f>IFERROR(__xludf.DUMMYFUNCTION("""COMPUTED_VALUE"""),50.0)</f>
        <v>50</v>
      </c>
      <c r="N483" s="561">
        <f>IFERROR(__xludf.DUMMYFUNCTION("""COMPUTED_VALUE"""),50.0)</f>
        <v>50</v>
      </c>
      <c r="O483" s="560"/>
      <c r="P483" s="562">
        <f>IFERROR(__xludf.DUMMYFUNCTION("""COMPUTED_VALUE"""),78.0)</f>
        <v>78</v>
      </c>
      <c r="Q483" s="562">
        <f>IFERROR(__xludf.DUMMYFUNCTION("""COMPUTED_VALUE"""),72.0)</f>
        <v>72</v>
      </c>
      <c r="R483" s="562">
        <f>IFERROR(__xludf.DUMMYFUNCTION("""COMPUTED_VALUE"""),92.0)</f>
        <v>92</v>
      </c>
      <c r="S483" s="562"/>
      <c r="T483" s="217">
        <f>IFERROR(__xludf.DUMMYFUNCTION("""COMPUTED_VALUE"""),10.0)</f>
        <v>10</v>
      </c>
      <c r="U483" s="217">
        <f>IFERROR(__xludf.DUMMYFUNCTION("""COMPUTED_VALUE"""),13.0)</f>
        <v>13</v>
      </c>
      <c r="V483" s="217">
        <f>IFERROR(__xludf.DUMMYFUNCTION("""COMPUTED_VALUE"""),68.0)</f>
        <v>68</v>
      </c>
      <c r="W483" s="217">
        <f>IFERROR(__xludf.DUMMYFUNCTION("""COMPUTED_VALUE"""),76.0)</f>
        <v>76</v>
      </c>
      <c r="X483" s="217">
        <f>IFERROR(__xludf.DUMMYFUNCTION("""COMPUTED_VALUE"""),78.0)</f>
        <v>78</v>
      </c>
      <c r="Y483" s="217"/>
      <c r="Z483" s="217"/>
      <c r="AA483" s="481">
        <f>IFERROR(__xludf.DUMMYFUNCTION("""COMPUTED_VALUE"""),86.0)</f>
        <v>86</v>
      </c>
      <c r="AB483" s="481">
        <f>IFERROR(__xludf.DUMMYFUNCTION("""COMPUTED_VALUE"""),100.0)</f>
        <v>100</v>
      </c>
      <c r="AC483" s="481">
        <f>IFERROR(__xludf.DUMMYFUNCTION("""COMPUTED_VALUE"""),65.0)</f>
        <v>65</v>
      </c>
      <c r="AD483" s="481">
        <f>IFERROR(__xludf.DUMMYFUNCTION("""COMPUTED_VALUE"""),47.0)</f>
        <v>47</v>
      </c>
      <c r="AE483" s="481">
        <f>IFERROR(__xludf.DUMMYFUNCTION("""COMPUTED_VALUE"""),83.0)</f>
        <v>83</v>
      </c>
      <c r="AF483" s="481"/>
      <c r="AG483" s="481">
        <f>IFERROR(__xludf.DUMMYFUNCTION("""COMPUTED_VALUE"""),82.0)</f>
        <v>82</v>
      </c>
      <c r="AH483" s="481"/>
      <c r="AI483" s="158"/>
      <c r="AJ483" s="158"/>
      <c r="AK483" s="133">
        <f>IFERROR(__xludf.DUMMYFUNCTION("""COMPUTED_VALUE"""),4.0)</f>
        <v>4</v>
      </c>
      <c r="AL483" s="133">
        <f>IFERROR(__xludf.DUMMYFUNCTION("""COMPUTED_VALUE"""),3.0)</f>
        <v>3</v>
      </c>
      <c r="AM483" s="133">
        <f>IFERROR(__xludf.DUMMYFUNCTION("""COMPUTED_VALUE"""),3.0)</f>
        <v>3</v>
      </c>
      <c r="AN483" s="133" t="str">
        <f>IFERROR(__xludf.DUMMYFUNCTION("""COMPUTED_VALUE"""),"3.5")</f>
        <v>3.5</v>
      </c>
      <c r="AO483" s="133">
        <f>IFERROR(__xludf.DUMMYFUNCTION("""COMPUTED_VALUE"""),3.0)</f>
        <v>3</v>
      </c>
      <c r="AP483" s="155" t="s">
        <v>3743</v>
      </c>
    </row>
    <row r="484">
      <c r="A484" s="155">
        <f>IFERROR(__xludf.DUMMYFUNCTION("""COMPUTED_VALUE"""),30.0)</f>
        <v>30</v>
      </c>
      <c r="B484" s="155" t="str">
        <f>IFERROR(__xludf.DUMMYFUNCTION("""COMPUTED_VALUE"""),"kiku23csds@cmrit.ac.in")</f>
        <v>kiku23csds@cmrit.ac.in</v>
      </c>
      <c r="C484" s="174" t="str">
        <f>IFERROR(__xludf.DUMMYFUNCTION("""COMPUTED_VALUE"""),"Kiran Kumar")</f>
        <v>Kiran Kumar</v>
      </c>
      <c r="D484" s="155" t="str">
        <f>IFERROR(__xludf.DUMMYFUNCTION("""COMPUTED_VALUE"""),"1CR23CD031")</f>
        <v>1CR23CD031</v>
      </c>
      <c r="E484" s="563">
        <f>IFERROR(__xludf.DUMMYFUNCTION("""COMPUTED_VALUE"""),9.380437951E9)</f>
        <v>9380437951</v>
      </c>
      <c r="F484" s="155" t="str">
        <f>IFERROR(__xludf.DUMMYFUNCTION("""COMPUTED_VALUE"""),"CSE(DS)")</f>
        <v>CSE(DS)</v>
      </c>
      <c r="G484" s="158"/>
      <c r="H484" s="559">
        <f>IFERROR(__xludf.DUMMYFUNCTION("""COMPUTED_VALUE"""),78.0)</f>
        <v>78</v>
      </c>
      <c r="I484" s="559">
        <f>IFERROR(__xludf.DUMMYFUNCTION("""COMPUTED_VALUE"""),86.0)</f>
        <v>86</v>
      </c>
      <c r="J484" s="559">
        <f>IFERROR(__xludf.DUMMYFUNCTION("""COMPUTED_VALUE"""),70.0)</f>
        <v>70</v>
      </c>
      <c r="K484" s="559">
        <f>IFERROR(__xludf.DUMMYFUNCTION("""COMPUTED_VALUE"""),70.0)</f>
        <v>70</v>
      </c>
      <c r="L484" s="560">
        <f>IFERROR(__xludf.DUMMYFUNCTION("""COMPUTED_VALUE"""),61.0)</f>
        <v>61</v>
      </c>
      <c r="M484" s="561">
        <f>IFERROR(__xludf.DUMMYFUNCTION("""COMPUTED_VALUE"""),50.0)</f>
        <v>50</v>
      </c>
      <c r="N484" s="561">
        <f>IFERROR(__xludf.DUMMYFUNCTION("""COMPUTED_VALUE"""),0.0)</f>
        <v>0</v>
      </c>
      <c r="O484" s="560"/>
      <c r="P484" s="562">
        <f>IFERROR(__xludf.DUMMYFUNCTION("""COMPUTED_VALUE"""),50.0)</f>
        <v>50</v>
      </c>
      <c r="Q484" s="562">
        <f>IFERROR(__xludf.DUMMYFUNCTION("""COMPUTED_VALUE"""),50.0)</f>
        <v>50</v>
      </c>
      <c r="R484" s="562">
        <f>IFERROR(__xludf.DUMMYFUNCTION("""COMPUTED_VALUE"""),0.0)</f>
        <v>0</v>
      </c>
      <c r="S484" s="562"/>
      <c r="T484" s="217">
        <f>IFERROR(__xludf.DUMMYFUNCTION("""COMPUTED_VALUE"""),21.0)</f>
        <v>21</v>
      </c>
      <c r="U484" s="217">
        <f>IFERROR(__xludf.DUMMYFUNCTION("""COMPUTED_VALUE"""),20.0)</f>
        <v>20</v>
      </c>
      <c r="V484" s="217">
        <f>IFERROR(__xludf.DUMMYFUNCTION("""COMPUTED_VALUE"""),90.0)</f>
        <v>90</v>
      </c>
      <c r="W484" s="217">
        <f>IFERROR(__xludf.DUMMYFUNCTION("""COMPUTED_VALUE"""),86.0)</f>
        <v>86</v>
      </c>
      <c r="X484" s="217">
        <f>IFERROR(__xludf.DUMMYFUNCTION("""COMPUTED_VALUE"""),84.0)</f>
        <v>84</v>
      </c>
      <c r="Y484" s="217"/>
      <c r="Z484" s="217"/>
      <c r="AA484" s="481">
        <f>IFERROR(__xludf.DUMMYFUNCTION("""COMPUTED_VALUE"""),84.0)</f>
        <v>84</v>
      </c>
      <c r="AB484" s="481">
        <f>IFERROR(__xludf.DUMMYFUNCTION("""COMPUTED_VALUE"""),93.0)</f>
        <v>93</v>
      </c>
      <c r="AC484" s="481">
        <f>IFERROR(__xludf.DUMMYFUNCTION("""COMPUTED_VALUE"""),17.0)</f>
        <v>17</v>
      </c>
      <c r="AD484" s="481">
        <f>IFERROR(__xludf.DUMMYFUNCTION("""COMPUTED_VALUE"""),65.0)</f>
        <v>65</v>
      </c>
      <c r="AE484" s="481">
        <f>IFERROR(__xludf.DUMMYFUNCTION("""COMPUTED_VALUE"""),10.0)</f>
        <v>10</v>
      </c>
      <c r="AF484" s="481"/>
      <c r="AG484" s="481">
        <f>IFERROR(__xludf.DUMMYFUNCTION("""COMPUTED_VALUE"""),80.0)</f>
        <v>80</v>
      </c>
      <c r="AH484" s="481"/>
      <c r="AI484" s="158"/>
      <c r="AJ484" s="158"/>
      <c r="AK484" s="133">
        <f>IFERROR(__xludf.DUMMYFUNCTION("""COMPUTED_VALUE"""),4.0)</f>
        <v>4</v>
      </c>
      <c r="AL484" s="133">
        <f>IFERROR(__xludf.DUMMYFUNCTION("""COMPUTED_VALUE"""),2.0)</f>
        <v>2</v>
      </c>
      <c r="AM484" s="133">
        <f>IFERROR(__xludf.DUMMYFUNCTION("""COMPUTED_VALUE"""),3.0)</f>
        <v>3</v>
      </c>
      <c r="AN484" s="133" t="str">
        <f>IFERROR(__xludf.DUMMYFUNCTION("""COMPUTED_VALUE"""),"3")</f>
        <v>3</v>
      </c>
      <c r="AO484" s="133">
        <f>IFERROR(__xludf.DUMMYFUNCTION("""COMPUTED_VALUE"""),2.0)</f>
        <v>2</v>
      </c>
      <c r="AP484" s="155" t="s">
        <v>3743</v>
      </c>
    </row>
    <row r="485">
      <c r="A485" s="155">
        <f>IFERROR(__xludf.DUMMYFUNCTION("""COMPUTED_VALUE"""),31.0)</f>
        <v>31</v>
      </c>
      <c r="B485" s="155" t="str">
        <f>IFERROR(__xludf.DUMMYFUNCTION("""COMPUTED_VALUE"""),"lapi23csds@cmrit.ac.in")</f>
        <v>lapi23csds@cmrit.ac.in</v>
      </c>
      <c r="C485" s="174" t="str">
        <f>IFERROR(__xludf.DUMMYFUNCTION("""COMPUTED_VALUE"""),"LAKSHMAN PILLAI")</f>
        <v>LAKSHMAN PILLAI</v>
      </c>
      <c r="D485" s="155" t="str">
        <f>IFERROR(__xludf.DUMMYFUNCTION("""COMPUTED_VALUE"""),"1CR23CD033")</f>
        <v>1CR23CD033</v>
      </c>
      <c r="E485" s="563">
        <f>IFERROR(__xludf.DUMMYFUNCTION("""COMPUTED_VALUE"""),7.676801411E9)</f>
        <v>7676801411</v>
      </c>
      <c r="F485" s="155" t="str">
        <f>IFERROR(__xludf.DUMMYFUNCTION("""COMPUTED_VALUE"""),"CSE(DS)")</f>
        <v>CSE(DS)</v>
      </c>
      <c r="G485" s="158"/>
      <c r="H485" s="559">
        <f>IFERROR(__xludf.DUMMYFUNCTION("""COMPUTED_VALUE"""),83.0)</f>
        <v>83</v>
      </c>
      <c r="I485" s="559">
        <f>IFERROR(__xludf.DUMMYFUNCTION("""COMPUTED_VALUE"""),78.0)</f>
        <v>78</v>
      </c>
      <c r="J485" s="559">
        <f>IFERROR(__xludf.DUMMYFUNCTION("""COMPUTED_VALUE"""),70.0)</f>
        <v>70</v>
      </c>
      <c r="K485" s="559">
        <f>IFERROR(__xludf.DUMMYFUNCTION("""COMPUTED_VALUE"""),70.0)</f>
        <v>70</v>
      </c>
      <c r="L485" s="560">
        <f>IFERROR(__xludf.DUMMYFUNCTION("""COMPUTED_VALUE"""),50.0)</f>
        <v>50</v>
      </c>
      <c r="M485" s="561">
        <f>IFERROR(__xludf.DUMMYFUNCTION("""COMPUTED_VALUE"""),50.0)</f>
        <v>50</v>
      </c>
      <c r="N485" s="561">
        <f>IFERROR(__xludf.DUMMYFUNCTION("""COMPUTED_VALUE"""),51.0)</f>
        <v>51</v>
      </c>
      <c r="O485" s="560"/>
      <c r="P485" s="562">
        <f>IFERROR(__xludf.DUMMYFUNCTION("""COMPUTED_VALUE"""),78.0)</f>
        <v>78</v>
      </c>
      <c r="Q485" s="562">
        <f>IFERROR(__xludf.DUMMYFUNCTION("""COMPUTED_VALUE"""),72.0)</f>
        <v>72</v>
      </c>
      <c r="R485" s="562">
        <f>IFERROR(__xludf.DUMMYFUNCTION("""COMPUTED_VALUE"""),89.0)</f>
        <v>89</v>
      </c>
      <c r="S485" s="562"/>
      <c r="T485" s="217">
        <f>IFERROR(__xludf.DUMMYFUNCTION("""COMPUTED_VALUE"""),15.0)</f>
        <v>15</v>
      </c>
      <c r="U485" s="217">
        <f>IFERROR(__xludf.DUMMYFUNCTION("""COMPUTED_VALUE"""),18.0)</f>
        <v>18</v>
      </c>
      <c r="V485" s="217">
        <f>IFERROR(__xludf.DUMMYFUNCTION("""COMPUTED_VALUE"""),96.0)</f>
        <v>96</v>
      </c>
      <c r="W485" s="217">
        <f>IFERROR(__xludf.DUMMYFUNCTION("""COMPUTED_VALUE"""),88.0)</f>
        <v>88</v>
      </c>
      <c r="X485" s="217">
        <f>IFERROR(__xludf.DUMMYFUNCTION("""COMPUTED_VALUE"""),72.0)</f>
        <v>72</v>
      </c>
      <c r="Y485" s="217"/>
      <c r="Z485" s="217"/>
      <c r="AA485" s="481">
        <f>IFERROR(__xludf.DUMMYFUNCTION("""COMPUTED_VALUE"""),84.0)</f>
        <v>84</v>
      </c>
      <c r="AB485" s="481">
        <f>IFERROR(__xludf.DUMMYFUNCTION("""COMPUTED_VALUE"""),93.0)</f>
        <v>93</v>
      </c>
      <c r="AC485" s="481">
        <f>IFERROR(__xludf.DUMMYFUNCTION("""COMPUTED_VALUE"""),100.0)</f>
        <v>100</v>
      </c>
      <c r="AD485" s="481">
        <f>IFERROR(__xludf.DUMMYFUNCTION("""COMPUTED_VALUE"""),60.0)</f>
        <v>60</v>
      </c>
      <c r="AE485" s="481">
        <f>IFERROR(__xludf.DUMMYFUNCTION("""COMPUTED_VALUE"""),100.0)</f>
        <v>100</v>
      </c>
      <c r="AF485" s="481"/>
      <c r="AG485" s="481">
        <f>IFERROR(__xludf.DUMMYFUNCTION("""COMPUTED_VALUE"""),77.0)</f>
        <v>77</v>
      </c>
      <c r="AH485" s="481"/>
      <c r="AI485" s="158"/>
      <c r="AJ485" s="158"/>
      <c r="AK485" s="133">
        <f>IFERROR(__xludf.DUMMYFUNCTION("""COMPUTED_VALUE"""),4.0)</f>
        <v>4</v>
      </c>
      <c r="AL485" s="133">
        <f>IFERROR(__xludf.DUMMYFUNCTION("""COMPUTED_VALUE"""),3.0)</f>
        <v>3</v>
      </c>
      <c r="AM485" s="133">
        <f>IFERROR(__xludf.DUMMYFUNCTION("""COMPUTED_VALUE"""),3.0)</f>
        <v>3</v>
      </c>
      <c r="AN485" s="133" t="str">
        <f>IFERROR(__xludf.DUMMYFUNCTION("""COMPUTED_VALUE"""),"3.5")</f>
        <v>3.5</v>
      </c>
      <c r="AO485" s="133">
        <f>IFERROR(__xludf.DUMMYFUNCTION("""COMPUTED_VALUE"""),3.0)</f>
        <v>3</v>
      </c>
      <c r="AP485" s="155" t="s">
        <v>3743</v>
      </c>
    </row>
    <row r="486">
      <c r="A486" s="155">
        <f>IFERROR(__xludf.DUMMYFUNCTION("""COMPUTED_VALUE"""),32.0)</f>
        <v>32</v>
      </c>
      <c r="B486" s="155" t="str">
        <f>IFERROR(__xludf.DUMMYFUNCTION("""COMPUTED_VALUE"""),"loja23csds@cmrit.ac.in")</f>
        <v>loja23csds@cmrit.ac.in</v>
      </c>
      <c r="C486" s="174" t="str">
        <f>IFERROR(__xludf.DUMMYFUNCTION("""COMPUTED_VALUE"""),"LOVE JAISWAL")</f>
        <v>LOVE JAISWAL</v>
      </c>
      <c r="D486" s="155" t="str">
        <f>IFERROR(__xludf.DUMMYFUNCTION("""COMPUTED_VALUE"""),"1CR23CD034")</f>
        <v>1CR23CD034</v>
      </c>
      <c r="E486" s="563">
        <f>IFERROR(__xludf.DUMMYFUNCTION("""COMPUTED_VALUE"""),6.266070339E9)</f>
        <v>6266070339</v>
      </c>
      <c r="F486" s="155" t="str">
        <f>IFERROR(__xludf.DUMMYFUNCTION("""COMPUTED_VALUE"""),"CSE(DS)")</f>
        <v>CSE(DS)</v>
      </c>
      <c r="G486" s="158"/>
      <c r="H486" s="559">
        <f>IFERROR(__xludf.DUMMYFUNCTION("""COMPUTED_VALUE"""),72.0)</f>
        <v>72</v>
      </c>
      <c r="I486" s="559">
        <f>IFERROR(__xludf.DUMMYFUNCTION("""COMPUTED_VALUE"""),73.0)</f>
        <v>73</v>
      </c>
      <c r="J486" s="559">
        <f>IFERROR(__xludf.DUMMYFUNCTION("""COMPUTED_VALUE"""),70.0)</f>
        <v>70</v>
      </c>
      <c r="K486" s="559">
        <f>IFERROR(__xludf.DUMMYFUNCTION("""COMPUTED_VALUE"""),70.0)</f>
        <v>70</v>
      </c>
      <c r="L486" s="560">
        <f>IFERROR(__xludf.DUMMYFUNCTION("""COMPUTED_VALUE"""),50.0)</f>
        <v>50</v>
      </c>
      <c r="M486" s="561">
        <f>IFERROR(__xludf.DUMMYFUNCTION("""COMPUTED_VALUE"""),17.0)</f>
        <v>17</v>
      </c>
      <c r="N486" s="561">
        <f>IFERROR(__xludf.DUMMYFUNCTION("""COMPUTED_VALUE"""),48.0)</f>
        <v>48</v>
      </c>
      <c r="O486" s="560"/>
      <c r="P486" s="562">
        <f>IFERROR(__xludf.DUMMYFUNCTION("""COMPUTED_VALUE"""),50.0)</f>
        <v>50</v>
      </c>
      <c r="Q486" s="562">
        <f>IFERROR(__xludf.DUMMYFUNCTION("""COMPUTED_VALUE"""),50.0)</f>
        <v>50</v>
      </c>
      <c r="R486" s="562">
        <f>IFERROR(__xludf.DUMMYFUNCTION("""COMPUTED_VALUE"""),87.0)</f>
        <v>87</v>
      </c>
      <c r="S486" s="562"/>
      <c r="T486" s="217">
        <f>IFERROR(__xludf.DUMMYFUNCTION("""COMPUTED_VALUE"""),22.0)</f>
        <v>22</v>
      </c>
      <c r="U486" s="217">
        <f>IFERROR(__xludf.DUMMYFUNCTION("""COMPUTED_VALUE"""),16.0)</f>
        <v>16</v>
      </c>
      <c r="V486" s="217">
        <f>IFERROR(__xludf.DUMMYFUNCTION("""COMPUTED_VALUE"""),70.0)</f>
        <v>70</v>
      </c>
      <c r="W486" s="217">
        <f>IFERROR(__xludf.DUMMYFUNCTION("""COMPUTED_VALUE"""),74.0)</f>
        <v>74</v>
      </c>
      <c r="X486" s="217">
        <f>IFERROR(__xludf.DUMMYFUNCTION("""COMPUTED_VALUE"""),74.0)</f>
        <v>74</v>
      </c>
      <c r="Y486" s="217"/>
      <c r="Z486" s="217"/>
      <c r="AA486" s="481">
        <f>IFERROR(__xludf.DUMMYFUNCTION("""COMPUTED_VALUE"""),74.0)</f>
        <v>74</v>
      </c>
      <c r="AB486" s="481">
        <f>IFERROR(__xludf.DUMMYFUNCTION("""COMPUTED_VALUE"""),43.0)</f>
        <v>43</v>
      </c>
      <c r="AC486" s="481">
        <f>IFERROR(__xludf.DUMMYFUNCTION("""COMPUTED_VALUE"""),90.0)</f>
        <v>90</v>
      </c>
      <c r="AD486" s="481">
        <f>IFERROR(__xludf.DUMMYFUNCTION("""COMPUTED_VALUE"""),42.0)</f>
        <v>42</v>
      </c>
      <c r="AE486" s="481">
        <f>IFERROR(__xludf.DUMMYFUNCTION("""COMPUTED_VALUE"""),75.0)</f>
        <v>75</v>
      </c>
      <c r="AF486" s="481"/>
      <c r="AG486" s="481">
        <f>IFERROR(__xludf.DUMMYFUNCTION("""COMPUTED_VALUE"""),83.0)</f>
        <v>83</v>
      </c>
      <c r="AH486" s="481"/>
      <c r="AI486" s="158"/>
      <c r="AJ486" s="158"/>
      <c r="AK486" s="133">
        <f>IFERROR(__xludf.DUMMYFUNCTION("""COMPUTED_VALUE"""),4.0)</f>
        <v>4</v>
      </c>
      <c r="AL486" s="133">
        <f>IFERROR(__xludf.DUMMYFUNCTION("""COMPUTED_VALUE"""),1.0)</f>
        <v>1</v>
      </c>
      <c r="AM486" s="133">
        <f>IFERROR(__xludf.DUMMYFUNCTION("""COMPUTED_VALUE"""),3.0)</f>
        <v>3</v>
      </c>
      <c r="AN486" s="133" t="str">
        <f>IFERROR(__xludf.DUMMYFUNCTION("""COMPUTED_VALUE"""),"0")</f>
        <v>0</v>
      </c>
      <c r="AO486" s="133">
        <f>IFERROR(__xludf.DUMMYFUNCTION("""COMPUTED_VALUE"""),3.0)</f>
        <v>3</v>
      </c>
      <c r="AP486" s="155" t="s">
        <v>3743</v>
      </c>
    </row>
    <row r="487">
      <c r="A487" s="155">
        <f>IFERROR(__xludf.DUMMYFUNCTION("""COMPUTED_VALUE"""),33.0)</f>
        <v>33</v>
      </c>
      <c r="B487" s="155" t="str">
        <f>IFERROR(__xludf.DUMMYFUNCTION("""COMPUTED_VALUE"""),"moha23csds@cmrit.ac.in")</f>
        <v>moha23csds@cmrit.ac.in</v>
      </c>
      <c r="C487" s="174" t="str">
        <f>IFERROR(__xludf.DUMMYFUNCTION("""COMPUTED_VALUE"""),"MOHAMMED HASSAN")</f>
        <v>MOHAMMED HASSAN</v>
      </c>
      <c r="D487" s="155" t="str">
        <f>IFERROR(__xludf.DUMMYFUNCTION("""COMPUTED_VALUE"""),"1CR23CD035")</f>
        <v>1CR23CD035</v>
      </c>
      <c r="E487" s="563">
        <f>IFERROR(__xludf.DUMMYFUNCTION("""COMPUTED_VALUE"""),8.710030521E9)</f>
        <v>8710030521</v>
      </c>
      <c r="F487" s="155" t="str">
        <f>IFERROR(__xludf.DUMMYFUNCTION("""COMPUTED_VALUE"""),"CSE(DS)")</f>
        <v>CSE(DS)</v>
      </c>
      <c r="G487" s="158"/>
      <c r="H487" s="559">
        <f>IFERROR(__xludf.DUMMYFUNCTION("""COMPUTED_VALUE"""),79.0)</f>
        <v>79</v>
      </c>
      <c r="I487" s="559">
        <f>IFERROR(__xludf.DUMMYFUNCTION("""COMPUTED_VALUE"""),84.0)</f>
        <v>84</v>
      </c>
      <c r="J487" s="559">
        <f>IFERROR(__xludf.DUMMYFUNCTION("""COMPUTED_VALUE"""),79.0)</f>
        <v>79</v>
      </c>
      <c r="K487" s="559">
        <f>IFERROR(__xludf.DUMMYFUNCTION("""COMPUTED_VALUE"""),74.0)</f>
        <v>74</v>
      </c>
      <c r="L487" s="560">
        <f>IFERROR(__xludf.DUMMYFUNCTION("""COMPUTED_VALUE"""),59.0)</f>
        <v>59</v>
      </c>
      <c r="M487" s="561">
        <f>IFERROR(__xludf.DUMMYFUNCTION("""COMPUTED_VALUE"""),50.0)</f>
        <v>50</v>
      </c>
      <c r="N487" s="561">
        <f>IFERROR(__xludf.DUMMYFUNCTION("""COMPUTED_VALUE"""),53.0)</f>
        <v>53</v>
      </c>
      <c r="O487" s="560"/>
      <c r="P487" s="562">
        <f>IFERROR(__xludf.DUMMYFUNCTION("""COMPUTED_VALUE"""),73.0)</f>
        <v>73</v>
      </c>
      <c r="Q487" s="562">
        <f>IFERROR(__xludf.DUMMYFUNCTION("""COMPUTED_VALUE"""),55.0)</f>
        <v>55</v>
      </c>
      <c r="R487" s="562">
        <f>IFERROR(__xludf.DUMMYFUNCTION("""COMPUTED_VALUE"""),94.0)</f>
        <v>94</v>
      </c>
      <c r="S487" s="562"/>
      <c r="T487" s="217">
        <f>IFERROR(__xludf.DUMMYFUNCTION("""COMPUTED_VALUE"""),10.0)</f>
        <v>10</v>
      </c>
      <c r="U487" s="217">
        <f>IFERROR(__xludf.DUMMYFUNCTION("""COMPUTED_VALUE"""),17.0)</f>
        <v>17</v>
      </c>
      <c r="V487" s="217">
        <f>IFERROR(__xludf.DUMMYFUNCTION("""COMPUTED_VALUE"""),76.0)</f>
        <v>76</v>
      </c>
      <c r="W487" s="217">
        <f>IFERROR(__xludf.DUMMYFUNCTION("""COMPUTED_VALUE"""),74.0)</f>
        <v>74</v>
      </c>
      <c r="X487" s="217">
        <f>IFERROR(__xludf.DUMMYFUNCTION("""COMPUTED_VALUE"""),78.0)</f>
        <v>78</v>
      </c>
      <c r="Y487" s="217"/>
      <c r="Z487" s="217"/>
      <c r="AA487" s="481">
        <f>IFERROR(__xludf.DUMMYFUNCTION("""COMPUTED_VALUE"""),94.0)</f>
        <v>94</v>
      </c>
      <c r="AB487" s="481">
        <f>IFERROR(__xludf.DUMMYFUNCTION("""COMPUTED_VALUE"""),95.0)</f>
        <v>95</v>
      </c>
      <c r="AC487" s="481">
        <f>IFERROR(__xludf.DUMMYFUNCTION("""COMPUTED_VALUE"""),100.0)</f>
        <v>100</v>
      </c>
      <c r="AD487" s="481">
        <f>IFERROR(__xludf.DUMMYFUNCTION("""COMPUTED_VALUE"""),80.0)</f>
        <v>80</v>
      </c>
      <c r="AE487" s="481">
        <f>IFERROR(__xludf.DUMMYFUNCTION("""COMPUTED_VALUE"""),73.0)</f>
        <v>73</v>
      </c>
      <c r="AF487" s="481"/>
      <c r="AG487" s="481">
        <f>IFERROR(__xludf.DUMMYFUNCTION("""COMPUTED_VALUE"""),89.0)</f>
        <v>89</v>
      </c>
      <c r="AH487" s="481"/>
      <c r="AI487" s="158"/>
      <c r="AJ487" s="158"/>
      <c r="AK487" s="133">
        <f>IFERROR(__xludf.DUMMYFUNCTION("""COMPUTED_VALUE"""),4.0)</f>
        <v>4</v>
      </c>
      <c r="AL487" s="133">
        <f>IFERROR(__xludf.DUMMYFUNCTION("""COMPUTED_VALUE"""),3.0)</f>
        <v>3</v>
      </c>
      <c r="AM487" s="133">
        <f>IFERROR(__xludf.DUMMYFUNCTION("""COMPUTED_VALUE"""),3.0)</f>
        <v>3</v>
      </c>
      <c r="AN487" s="133" t="str">
        <f>IFERROR(__xludf.DUMMYFUNCTION("""COMPUTED_VALUE"""),"3.5")</f>
        <v>3.5</v>
      </c>
      <c r="AO487" s="133">
        <f>IFERROR(__xludf.DUMMYFUNCTION("""COMPUTED_VALUE"""),3.0)</f>
        <v>3</v>
      </c>
      <c r="AP487" s="155" t="s">
        <v>3743</v>
      </c>
    </row>
    <row r="488">
      <c r="A488" s="155">
        <f>IFERROR(__xludf.DUMMYFUNCTION("""COMPUTED_VALUE"""),34.0)</f>
        <v>34</v>
      </c>
      <c r="B488" s="155" t="str">
        <f>IFERROR(__xludf.DUMMYFUNCTION("""COMPUTED_VALUE"""),"muma23csds@cmrit.ac.in")</f>
        <v>muma23csds@cmrit.ac.in</v>
      </c>
      <c r="C488" s="174" t="str">
        <f>IFERROR(__xludf.DUMMYFUNCTION("""COMPUTED_VALUE"""),"MULE ADITYA MACHINDRA")</f>
        <v>MULE ADITYA MACHINDRA</v>
      </c>
      <c r="D488" s="155" t="str">
        <f>IFERROR(__xludf.DUMMYFUNCTION("""COMPUTED_VALUE"""),"1CR23CD036")</f>
        <v>1CR23CD036</v>
      </c>
      <c r="E488" s="563">
        <f>IFERROR(__xludf.DUMMYFUNCTION("""COMPUTED_VALUE"""),8.421071928E9)</f>
        <v>8421071928</v>
      </c>
      <c r="F488" s="155" t="str">
        <f>IFERROR(__xludf.DUMMYFUNCTION("""COMPUTED_VALUE"""),"CSE(DS)")</f>
        <v>CSE(DS)</v>
      </c>
      <c r="G488" s="158"/>
      <c r="H488" s="559">
        <f>IFERROR(__xludf.DUMMYFUNCTION("""COMPUTED_VALUE"""),77.0)</f>
        <v>77</v>
      </c>
      <c r="I488" s="559">
        <f>IFERROR(__xludf.DUMMYFUNCTION("""COMPUTED_VALUE"""),79.0)</f>
        <v>79</v>
      </c>
      <c r="J488" s="559">
        <f>IFERROR(__xludf.DUMMYFUNCTION("""COMPUTED_VALUE"""),70.0)</f>
        <v>70</v>
      </c>
      <c r="K488" s="559">
        <f>IFERROR(__xludf.DUMMYFUNCTION("""COMPUTED_VALUE"""),70.0)</f>
        <v>70</v>
      </c>
      <c r="L488" s="560">
        <f>IFERROR(__xludf.DUMMYFUNCTION("""COMPUTED_VALUE"""),50.0)</f>
        <v>50</v>
      </c>
      <c r="M488" s="561">
        <f>IFERROR(__xludf.DUMMYFUNCTION("""COMPUTED_VALUE"""),51.0)</f>
        <v>51</v>
      </c>
      <c r="N488" s="561">
        <f>IFERROR(__xludf.DUMMYFUNCTION("""COMPUTED_VALUE"""),50.0)</f>
        <v>50</v>
      </c>
      <c r="O488" s="560"/>
      <c r="P488" s="562">
        <f>IFERROR(__xludf.DUMMYFUNCTION("""COMPUTED_VALUE"""),50.0)</f>
        <v>50</v>
      </c>
      <c r="Q488" s="562">
        <f>IFERROR(__xludf.DUMMYFUNCTION("""COMPUTED_VALUE"""),50.0)</f>
        <v>50</v>
      </c>
      <c r="R488" s="562">
        <f>IFERROR(__xludf.DUMMYFUNCTION("""COMPUTED_VALUE"""),93.0)</f>
        <v>93</v>
      </c>
      <c r="S488" s="562"/>
      <c r="T488" s="217">
        <f>IFERROR(__xludf.DUMMYFUNCTION("""COMPUTED_VALUE"""),10.0)</f>
        <v>10</v>
      </c>
      <c r="U488" s="217">
        <f>IFERROR(__xludf.DUMMYFUNCTION("""COMPUTED_VALUE"""),16.0)</f>
        <v>16</v>
      </c>
      <c r="V488" s="217">
        <f>IFERROR(__xludf.DUMMYFUNCTION("""COMPUTED_VALUE"""),82.0)</f>
        <v>82</v>
      </c>
      <c r="W488" s="217">
        <f>IFERROR(__xludf.DUMMYFUNCTION("""COMPUTED_VALUE"""),68.0)</f>
        <v>68</v>
      </c>
      <c r="X488" s="217">
        <f>IFERROR(__xludf.DUMMYFUNCTION("""COMPUTED_VALUE"""),74.0)</f>
        <v>74</v>
      </c>
      <c r="Y488" s="217"/>
      <c r="Z488" s="217"/>
      <c r="AA488" s="481">
        <f>IFERROR(__xludf.DUMMYFUNCTION("""COMPUTED_VALUE"""),16.0)</f>
        <v>16</v>
      </c>
      <c r="AB488" s="481">
        <f>IFERROR(__xludf.DUMMYFUNCTION("""COMPUTED_VALUE"""),100.0)</f>
        <v>100</v>
      </c>
      <c r="AC488" s="481">
        <f>IFERROR(__xludf.DUMMYFUNCTION("""COMPUTED_VALUE"""),44.0)</f>
        <v>44</v>
      </c>
      <c r="AD488" s="481">
        <f>IFERROR(__xludf.DUMMYFUNCTION("""COMPUTED_VALUE"""),85.0)</f>
        <v>85</v>
      </c>
      <c r="AE488" s="481">
        <f>IFERROR(__xludf.DUMMYFUNCTION("""COMPUTED_VALUE"""),84.0)</f>
        <v>84</v>
      </c>
      <c r="AF488" s="481"/>
      <c r="AG488" s="481">
        <f>IFERROR(__xludf.DUMMYFUNCTION("""COMPUTED_VALUE"""),84.0)</f>
        <v>84</v>
      </c>
      <c r="AH488" s="481"/>
      <c r="AI488" s="158"/>
      <c r="AJ488" s="158"/>
      <c r="AK488" s="133">
        <f>IFERROR(__xludf.DUMMYFUNCTION("""COMPUTED_VALUE"""),4.0)</f>
        <v>4</v>
      </c>
      <c r="AL488" s="133">
        <f>IFERROR(__xludf.DUMMYFUNCTION("""COMPUTED_VALUE"""),3.0)</f>
        <v>3</v>
      </c>
      <c r="AM488" s="133">
        <f>IFERROR(__xludf.DUMMYFUNCTION("""COMPUTED_VALUE"""),3.0)</f>
        <v>3</v>
      </c>
      <c r="AN488" s="133" t="str">
        <f>IFERROR(__xludf.DUMMYFUNCTION("""COMPUTED_VALUE"""),"3.5")</f>
        <v>3.5</v>
      </c>
      <c r="AO488" s="133">
        <f>IFERROR(__xludf.DUMMYFUNCTION("""COMPUTED_VALUE"""),3.0)</f>
        <v>3</v>
      </c>
      <c r="AP488" s="155" t="s">
        <v>3743</v>
      </c>
    </row>
    <row r="489">
      <c r="A489" s="155">
        <f>IFERROR(__xludf.DUMMYFUNCTION("""COMPUTED_VALUE"""),35.0)</f>
        <v>35</v>
      </c>
      <c r="B489" s="155" t="str">
        <f>IFERROR(__xludf.DUMMYFUNCTION("""COMPUTED_VALUE"""),"niki23csds@cmrit.ac.in")</f>
        <v>niki23csds@cmrit.ac.in</v>
      </c>
      <c r="C489" s="174" t="str">
        <f>IFERROR(__xludf.DUMMYFUNCTION("""COMPUTED_VALUE"""),"NIHARIKA KIRADOO")</f>
        <v>NIHARIKA KIRADOO</v>
      </c>
      <c r="D489" s="155" t="str">
        <f>IFERROR(__xludf.DUMMYFUNCTION("""COMPUTED_VALUE"""),"1CR23CD037")</f>
        <v>1CR23CD037</v>
      </c>
      <c r="E489" s="563"/>
      <c r="F489" s="155" t="str">
        <f>IFERROR(__xludf.DUMMYFUNCTION("""COMPUTED_VALUE"""),"CSE(DS)")</f>
        <v>CSE(DS)</v>
      </c>
      <c r="G489" s="158"/>
      <c r="H489" s="559">
        <f>IFERROR(__xludf.DUMMYFUNCTION("""COMPUTED_VALUE"""),90.0)</f>
        <v>90</v>
      </c>
      <c r="I489" s="559">
        <f>IFERROR(__xludf.DUMMYFUNCTION("""COMPUTED_VALUE"""),89.0)</f>
        <v>89</v>
      </c>
      <c r="J489" s="559">
        <f>IFERROR(__xludf.DUMMYFUNCTION("""COMPUTED_VALUE"""),76.0)</f>
        <v>76</v>
      </c>
      <c r="K489" s="559">
        <f>IFERROR(__xludf.DUMMYFUNCTION("""COMPUTED_VALUE"""),86.0)</f>
        <v>86</v>
      </c>
      <c r="L489" s="560">
        <f>IFERROR(__xludf.DUMMYFUNCTION("""COMPUTED_VALUE"""),56.0)</f>
        <v>56</v>
      </c>
      <c r="M489" s="561">
        <f>IFERROR(__xludf.DUMMYFUNCTION("""COMPUTED_VALUE"""),59.0)</f>
        <v>59</v>
      </c>
      <c r="N489" s="561">
        <f>IFERROR(__xludf.DUMMYFUNCTION("""COMPUTED_VALUE"""),60.0)</f>
        <v>60</v>
      </c>
      <c r="O489" s="560"/>
      <c r="P489" s="562">
        <f>IFERROR(__xludf.DUMMYFUNCTION("""COMPUTED_VALUE"""),73.0)</f>
        <v>73</v>
      </c>
      <c r="Q489" s="562">
        <f>IFERROR(__xludf.DUMMYFUNCTION("""COMPUTED_VALUE"""),55.0)</f>
        <v>55</v>
      </c>
      <c r="R489" s="562">
        <f>IFERROR(__xludf.DUMMYFUNCTION("""COMPUTED_VALUE"""),74.0)</f>
        <v>74</v>
      </c>
      <c r="S489" s="562"/>
      <c r="T489" s="217">
        <f>IFERROR(__xludf.DUMMYFUNCTION("""COMPUTED_VALUE"""),20.0)</f>
        <v>20</v>
      </c>
      <c r="U489" s="217">
        <f>IFERROR(__xludf.DUMMYFUNCTION("""COMPUTED_VALUE"""),18.0)</f>
        <v>18</v>
      </c>
      <c r="V489" s="217">
        <f>IFERROR(__xludf.DUMMYFUNCTION("""COMPUTED_VALUE"""),88.0)</f>
        <v>88</v>
      </c>
      <c r="W489" s="217">
        <f>IFERROR(__xludf.DUMMYFUNCTION("""COMPUTED_VALUE"""),90.0)</f>
        <v>90</v>
      </c>
      <c r="X489" s="217">
        <f>IFERROR(__xludf.DUMMYFUNCTION("""COMPUTED_VALUE"""),90.0)</f>
        <v>90</v>
      </c>
      <c r="Y489" s="217"/>
      <c r="Z489" s="217"/>
      <c r="AA489" s="481">
        <f>IFERROR(__xludf.DUMMYFUNCTION("""COMPUTED_VALUE"""),100.0)</f>
        <v>100</v>
      </c>
      <c r="AB489" s="481">
        <f>IFERROR(__xludf.DUMMYFUNCTION("""COMPUTED_VALUE"""),98.0)</f>
        <v>98</v>
      </c>
      <c r="AC489" s="481">
        <f>IFERROR(__xludf.DUMMYFUNCTION("""COMPUTED_VALUE"""),100.0)</f>
        <v>100</v>
      </c>
      <c r="AD489" s="481">
        <f>IFERROR(__xludf.DUMMYFUNCTION("""COMPUTED_VALUE"""),80.0)</f>
        <v>80</v>
      </c>
      <c r="AE489" s="481">
        <f>IFERROR(__xludf.DUMMYFUNCTION("""COMPUTED_VALUE"""),74.0)</f>
        <v>74</v>
      </c>
      <c r="AF489" s="481"/>
      <c r="AG489" s="481">
        <f>IFERROR(__xludf.DUMMYFUNCTION("""COMPUTED_VALUE"""),82.0)</f>
        <v>82</v>
      </c>
      <c r="AH489" s="481"/>
      <c r="AI489" s="158"/>
      <c r="AJ489" s="158"/>
      <c r="AK489" s="133">
        <f>IFERROR(__xludf.DUMMYFUNCTION("""COMPUTED_VALUE"""),4.0)</f>
        <v>4</v>
      </c>
      <c r="AL489" s="133">
        <f>IFERROR(__xludf.DUMMYFUNCTION("""COMPUTED_VALUE"""),3.0)</f>
        <v>3</v>
      </c>
      <c r="AM489" s="133">
        <f>IFERROR(__xludf.DUMMYFUNCTION("""COMPUTED_VALUE"""),3.0)</f>
        <v>3</v>
      </c>
      <c r="AN489" s="133" t="str">
        <f>IFERROR(__xludf.DUMMYFUNCTION("""COMPUTED_VALUE"""),"3.5")</f>
        <v>3.5</v>
      </c>
      <c r="AO489" s="133">
        <f>IFERROR(__xludf.DUMMYFUNCTION("""COMPUTED_VALUE"""),3.0)</f>
        <v>3</v>
      </c>
      <c r="AP489" s="155" t="s">
        <v>3743</v>
      </c>
    </row>
    <row r="490">
      <c r="A490" s="155">
        <f>IFERROR(__xludf.DUMMYFUNCTION("""COMPUTED_VALUE"""),36.0)</f>
        <v>36</v>
      </c>
      <c r="B490" s="155" t="str">
        <f>IFERROR(__xludf.DUMMYFUNCTION("""COMPUTED_VALUE"""),"nish23csds@cmrit.ac.in")</f>
        <v>nish23csds@cmrit.ac.in</v>
      </c>
      <c r="C490" s="174" t="str">
        <f>IFERROR(__xludf.DUMMYFUNCTION("""COMPUTED_VALUE"""),"NISHK SHANKAR")</f>
        <v>NISHK SHANKAR</v>
      </c>
      <c r="D490" s="155" t="str">
        <f>IFERROR(__xludf.DUMMYFUNCTION("""COMPUTED_VALUE"""),"1CR23CD038")</f>
        <v>1CR23CD038</v>
      </c>
      <c r="E490" s="563">
        <f>IFERROR(__xludf.DUMMYFUNCTION("""COMPUTED_VALUE"""),8.986841757E9)</f>
        <v>8986841757</v>
      </c>
      <c r="F490" s="155" t="str">
        <f>IFERROR(__xludf.DUMMYFUNCTION("""COMPUTED_VALUE"""),"CSE(DS)")</f>
        <v>CSE(DS)</v>
      </c>
      <c r="G490" s="158"/>
      <c r="H490" s="559">
        <f>IFERROR(__xludf.DUMMYFUNCTION("""COMPUTED_VALUE"""),83.0)</f>
        <v>83</v>
      </c>
      <c r="I490" s="559">
        <f>IFERROR(__xludf.DUMMYFUNCTION("""COMPUTED_VALUE"""),85.0)</f>
        <v>85</v>
      </c>
      <c r="J490" s="559">
        <f>IFERROR(__xludf.DUMMYFUNCTION("""COMPUTED_VALUE"""),70.0)</f>
        <v>70</v>
      </c>
      <c r="K490" s="559">
        <f>IFERROR(__xludf.DUMMYFUNCTION("""COMPUTED_VALUE"""),77.0)</f>
        <v>77</v>
      </c>
      <c r="L490" s="560">
        <f>IFERROR(__xludf.DUMMYFUNCTION("""COMPUTED_VALUE"""),78.0)</f>
        <v>78</v>
      </c>
      <c r="M490" s="561">
        <f>IFERROR(__xludf.DUMMYFUNCTION("""COMPUTED_VALUE"""),52.0)</f>
        <v>52</v>
      </c>
      <c r="N490" s="561">
        <f>IFERROR(__xludf.DUMMYFUNCTION("""COMPUTED_VALUE"""),63.0)</f>
        <v>63</v>
      </c>
      <c r="O490" s="560"/>
      <c r="P490" s="562">
        <f>IFERROR(__xludf.DUMMYFUNCTION("""COMPUTED_VALUE"""),0.0)</f>
        <v>0</v>
      </c>
      <c r="Q490" s="562">
        <f>IFERROR(__xludf.DUMMYFUNCTION("""COMPUTED_VALUE"""),0.0)</f>
        <v>0</v>
      </c>
      <c r="R490" s="562">
        <f>IFERROR(__xludf.DUMMYFUNCTION("""COMPUTED_VALUE"""),0.0)</f>
        <v>0</v>
      </c>
      <c r="S490" s="562"/>
      <c r="T490" s="217">
        <f>IFERROR(__xludf.DUMMYFUNCTION("""COMPUTED_VALUE"""),14.0)</f>
        <v>14</v>
      </c>
      <c r="U490" s="217">
        <f>IFERROR(__xludf.DUMMYFUNCTION("""COMPUTED_VALUE"""),22.0)</f>
        <v>22</v>
      </c>
      <c r="V490" s="217">
        <f>IFERROR(__xludf.DUMMYFUNCTION("""COMPUTED_VALUE"""),84.0)</f>
        <v>84</v>
      </c>
      <c r="W490" s="217">
        <f>IFERROR(__xludf.DUMMYFUNCTION("""COMPUTED_VALUE"""),76.0)</f>
        <v>76</v>
      </c>
      <c r="X490" s="217">
        <f>IFERROR(__xludf.DUMMYFUNCTION("""COMPUTED_VALUE"""),60.0)</f>
        <v>60</v>
      </c>
      <c r="Y490" s="217"/>
      <c r="Z490" s="217"/>
      <c r="AA490" s="481">
        <f>IFERROR(__xludf.DUMMYFUNCTION("""COMPUTED_VALUE"""),68.0)</f>
        <v>68</v>
      </c>
      <c r="AB490" s="481">
        <f>IFERROR(__xludf.DUMMYFUNCTION("""COMPUTED_VALUE"""),97.0)</f>
        <v>97</v>
      </c>
      <c r="AC490" s="481">
        <f>IFERROR(__xludf.DUMMYFUNCTION("""COMPUTED_VALUE"""),2.0)</f>
        <v>2</v>
      </c>
      <c r="AD490" s="481">
        <f>IFERROR(__xludf.DUMMYFUNCTION("""COMPUTED_VALUE"""),1.0)</f>
        <v>1</v>
      </c>
      <c r="AE490" s="481">
        <f>IFERROR(__xludf.DUMMYFUNCTION("""COMPUTED_VALUE"""),10.0)</f>
        <v>10</v>
      </c>
      <c r="AF490" s="481"/>
      <c r="AG490" s="481">
        <f>IFERROR(__xludf.DUMMYFUNCTION("""COMPUTED_VALUE"""),0.0)</f>
        <v>0</v>
      </c>
      <c r="AH490" s="481"/>
      <c r="AI490" s="158"/>
      <c r="AJ490" s="158"/>
      <c r="AK490" s="133">
        <f>IFERROR(__xludf.DUMMYFUNCTION("""COMPUTED_VALUE"""),4.0)</f>
        <v>4</v>
      </c>
      <c r="AL490" s="133">
        <f>IFERROR(__xludf.DUMMYFUNCTION("""COMPUTED_VALUE"""),3.0)</f>
        <v>3</v>
      </c>
      <c r="AM490" s="133">
        <f>IFERROR(__xludf.DUMMYFUNCTION("""COMPUTED_VALUE"""),3.0)</f>
        <v>3</v>
      </c>
      <c r="AN490" s="133" t="str">
        <f>IFERROR(__xludf.DUMMYFUNCTION("""COMPUTED_VALUE"""),"2")</f>
        <v>2</v>
      </c>
      <c r="AO490" s="133">
        <f>IFERROR(__xludf.DUMMYFUNCTION("""COMPUTED_VALUE"""),0.0)</f>
        <v>0</v>
      </c>
      <c r="AP490" s="155" t="s">
        <v>3743</v>
      </c>
    </row>
    <row r="491">
      <c r="A491" s="155">
        <f>IFERROR(__xludf.DUMMYFUNCTION("""COMPUTED_VALUE"""),37.0)</f>
        <v>37</v>
      </c>
      <c r="B491" s="155" t="str">
        <f>IFERROR(__xludf.DUMMYFUNCTION("""COMPUTED_VALUE"""),"nis23csds@cmrit.ac.in")</f>
        <v>nis23csds@cmrit.ac.in</v>
      </c>
      <c r="C491" s="174" t="str">
        <f>IFERROR(__xludf.DUMMYFUNCTION("""COMPUTED_VALUE"""),"NITHYA PRIYA.S")</f>
        <v>NITHYA PRIYA.S</v>
      </c>
      <c r="D491" s="155" t="str">
        <f>IFERROR(__xludf.DUMMYFUNCTION("""COMPUTED_VALUE"""),"1CR23CD039")</f>
        <v>1CR23CD039</v>
      </c>
      <c r="E491" s="563">
        <f>IFERROR(__xludf.DUMMYFUNCTION("""COMPUTED_VALUE"""),8.553908764E9)</f>
        <v>8553908764</v>
      </c>
      <c r="F491" s="155" t="str">
        <f>IFERROR(__xludf.DUMMYFUNCTION("""COMPUTED_VALUE"""),"CSE(DS)")</f>
        <v>CSE(DS)</v>
      </c>
      <c r="G491" s="158"/>
      <c r="H491" s="559">
        <f>IFERROR(__xludf.DUMMYFUNCTION("""COMPUTED_VALUE"""),85.0)</f>
        <v>85</v>
      </c>
      <c r="I491" s="559">
        <f>IFERROR(__xludf.DUMMYFUNCTION("""COMPUTED_VALUE"""),84.0)</f>
        <v>84</v>
      </c>
      <c r="J491" s="559">
        <f>IFERROR(__xludf.DUMMYFUNCTION("""COMPUTED_VALUE"""),70.0)</f>
        <v>70</v>
      </c>
      <c r="K491" s="559">
        <f>IFERROR(__xludf.DUMMYFUNCTION("""COMPUTED_VALUE"""),70.0)</f>
        <v>70</v>
      </c>
      <c r="L491" s="560">
        <f>IFERROR(__xludf.DUMMYFUNCTION("""COMPUTED_VALUE"""),50.0)</f>
        <v>50</v>
      </c>
      <c r="M491" s="561">
        <f>IFERROR(__xludf.DUMMYFUNCTION("""COMPUTED_VALUE"""),50.0)</f>
        <v>50</v>
      </c>
      <c r="N491" s="561">
        <f>IFERROR(__xludf.DUMMYFUNCTION("""COMPUTED_VALUE"""),50.0)</f>
        <v>50</v>
      </c>
      <c r="O491" s="560"/>
      <c r="P491" s="562">
        <f>IFERROR(__xludf.DUMMYFUNCTION("""COMPUTED_VALUE"""),70.0)</f>
        <v>70</v>
      </c>
      <c r="Q491" s="562">
        <f>IFERROR(__xludf.DUMMYFUNCTION("""COMPUTED_VALUE"""),80.0)</f>
        <v>80</v>
      </c>
      <c r="R491" s="562">
        <f>IFERROR(__xludf.DUMMYFUNCTION("""COMPUTED_VALUE"""),93.0)</f>
        <v>93</v>
      </c>
      <c r="S491" s="562"/>
      <c r="T491" s="217">
        <f>IFERROR(__xludf.DUMMYFUNCTION("""COMPUTED_VALUE"""),14.0)</f>
        <v>14</v>
      </c>
      <c r="U491" s="217">
        <f>IFERROR(__xludf.DUMMYFUNCTION("""COMPUTED_VALUE"""),18.0)</f>
        <v>18</v>
      </c>
      <c r="V491" s="217">
        <f>IFERROR(__xludf.DUMMYFUNCTION("""COMPUTED_VALUE"""),78.0)</f>
        <v>78</v>
      </c>
      <c r="W491" s="217">
        <f>IFERROR(__xludf.DUMMYFUNCTION("""COMPUTED_VALUE"""),94.0)</f>
        <v>94</v>
      </c>
      <c r="X491" s="217">
        <f>IFERROR(__xludf.DUMMYFUNCTION("""COMPUTED_VALUE"""),88.0)</f>
        <v>88</v>
      </c>
      <c r="Y491" s="217"/>
      <c r="Z491" s="217"/>
      <c r="AA491" s="481">
        <f>IFERROR(__xludf.DUMMYFUNCTION("""COMPUTED_VALUE"""),94.0)</f>
        <v>94</v>
      </c>
      <c r="AB491" s="481">
        <f>IFERROR(__xludf.DUMMYFUNCTION("""COMPUTED_VALUE"""),93.0)</f>
        <v>93</v>
      </c>
      <c r="AC491" s="481">
        <f>IFERROR(__xludf.DUMMYFUNCTION("""COMPUTED_VALUE"""),90.0)</f>
        <v>90</v>
      </c>
      <c r="AD491" s="481">
        <f>IFERROR(__xludf.DUMMYFUNCTION("""COMPUTED_VALUE"""),70.0)</f>
        <v>70</v>
      </c>
      <c r="AE491" s="481">
        <f>IFERROR(__xludf.DUMMYFUNCTION("""COMPUTED_VALUE"""),84.0)</f>
        <v>84</v>
      </c>
      <c r="AF491" s="481"/>
      <c r="AG491" s="481">
        <f>IFERROR(__xludf.DUMMYFUNCTION("""COMPUTED_VALUE"""),80.0)</f>
        <v>80</v>
      </c>
      <c r="AH491" s="481"/>
      <c r="AI491" s="158"/>
      <c r="AJ491" s="158"/>
      <c r="AK491" s="133">
        <f>IFERROR(__xludf.DUMMYFUNCTION("""COMPUTED_VALUE"""),4.0)</f>
        <v>4</v>
      </c>
      <c r="AL491" s="133">
        <f>IFERROR(__xludf.DUMMYFUNCTION("""COMPUTED_VALUE"""),3.0)</f>
        <v>3</v>
      </c>
      <c r="AM491" s="133">
        <f>IFERROR(__xludf.DUMMYFUNCTION("""COMPUTED_VALUE"""),3.0)</f>
        <v>3</v>
      </c>
      <c r="AN491" s="133" t="str">
        <f>IFERROR(__xludf.DUMMYFUNCTION("""COMPUTED_VALUE"""),"3.5")</f>
        <v>3.5</v>
      </c>
      <c r="AO491" s="133">
        <f>IFERROR(__xludf.DUMMYFUNCTION("""COMPUTED_VALUE"""),3.0)</f>
        <v>3</v>
      </c>
      <c r="AP491" s="155" t="s">
        <v>3743</v>
      </c>
    </row>
    <row r="492">
      <c r="A492" s="155">
        <f>IFERROR(__xludf.DUMMYFUNCTION("""COMPUTED_VALUE"""),38.0)</f>
        <v>38</v>
      </c>
      <c r="B492" s="155" t="str">
        <f>IFERROR(__xludf.DUMMYFUNCTION("""COMPUTED_VALUE"""),"pasi23csds@cmrit.ac.in")</f>
        <v>pasi23csds@cmrit.ac.in</v>
      </c>
      <c r="C492" s="174" t="str">
        <f>IFERROR(__xludf.DUMMYFUNCTION("""COMPUTED_VALUE"""),"Palla siva shankar")</f>
        <v>Palla siva shankar</v>
      </c>
      <c r="D492" s="155" t="str">
        <f>IFERROR(__xludf.DUMMYFUNCTION("""COMPUTED_VALUE"""),"1CR23CD040")</f>
        <v>1CR23CD040</v>
      </c>
      <c r="E492" s="563">
        <f>IFERROR(__xludf.DUMMYFUNCTION("""COMPUTED_VALUE"""),6.305883047E9)</f>
        <v>6305883047</v>
      </c>
      <c r="F492" s="155" t="str">
        <f>IFERROR(__xludf.DUMMYFUNCTION("""COMPUTED_VALUE"""),"CSE(DS)")</f>
        <v>CSE(DS)</v>
      </c>
      <c r="G492" s="158"/>
      <c r="H492" s="559">
        <f>IFERROR(__xludf.DUMMYFUNCTION("""COMPUTED_VALUE"""),70.0)</f>
        <v>70</v>
      </c>
      <c r="I492" s="559">
        <f>IFERROR(__xludf.DUMMYFUNCTION("""COMPUTED_VALUE"""),70.0)</f>
        <v>70</v>
      </c>
      <c r="J492" s="559">
        <f>IFERROR(__xludf.DUMMYFUNCTION("""COMPUTED_VALUE"""),56.0)</f>
        <v>56</v>
      </c>
      <c r="K492" s="559">
        <f>IFERROR(__xludf.DUMMYFUNCTION("""COMPUTED_VALUE"""),70.0)</f>
        <v>70</v>
      </c>
      <c r="L492" s="560">
        <f>IFERROR(__xludf.DUMMYFUNCTION("""COMPUTED_VALUE"""),29.0)</f>
        <v>29</v>
      </c>
      <c r="M492" s="561">
        <f>IFERROR(__xludf.DUMMYFUNCTION("""COMPUTED_VALUE"""),6.0)</f>
        <v>6</v>
      </c>
      <c r="N492" s="561">
        <f>IFERROR(__xludf.DUMMYFUNCTION("""COMPUTED_VALUE"""),0.0)</f>
        <v>0</v>
      </c>
      <c r="O492" s="560"/>
      <c r="P492" s="562">
        <f>IFERROR(__xludf.DUMMYFUNCTION("""COMPUTED_VALUE"""),70.0)</f>
        <v>70</v>
      </c>
      <c r="Q492" s="562">
        <f>IFERROR(__xludf.DUMMYFUNCTION("""COMPUTED_VALUE"""),0.0)</f>
        <v>0</v>
      </c>
      <c r="R492" s="562">
        <f>IFERROR(__xludf.DUMMYFUNCTION("""COMPUTED_VALUE"""),0.0)</f>
        <v>0</v>
      </c>
      <c r="S492" s="562"/>
      <c r="T492" s="217">
        <f>IFERROR(__xludf.DUMMYFUNCTION("""COMPUTED_VALUE"""),22.0)</f>
        <v>22</v>
      </c>
      <c r="U492" s="217">
        <f>IFERROR(__xludf.DUMMYFUNCTION("""COMPUTED_VALUE"""),18.0)</f>
        <v>18</v>
      </c>
      <c r="V492" s="217">
        <f>IFERROR(__xludf.DUMMYFUNCTION("""COMPUTED_VALUE"""),82.0)</f>
        <v>82</v>
      </c>
      <c r="W492" s="217">
        <f>IFERROR(__xludf.DUMMYFUNCTION("""COMPUTED_VALUE"""),72.0)</f>
        <v>72</v>
      </c>
      <c r="X492" s="217">
        <f>IFERROR(__xludf.DUMMYFUNCTION("""COMPUTED_VALUE"""),64.0)</f>
        <v>64</v>
      </c>
      <c r="Y492" s="217"/>
      <c r="Z492" s="217"/>
      <c r="AA492" s="481"/>
      <c r="AB492" s="481">
        <f>IFERROR(__xludf.DUMMYFUNCTION("""COMPUTED_VALUE"""),48.0)</f>
        <v>48</v>
      </c>
      <c r="AC492" s="481">
        <f>IFERROR(__xludf.DUMMYFUNCTION("""COMPUTED_VALUE"""),0.0)</f>
        <v>0</v>
      </c>
      <c r="AD492" s="481">
        <f>IFERROR(__xludf.DUMMYFUNCTION("""COMPUTED_VALUE"""),1.0)</f>
        <v>1</v>
      </c>
      <c r="AE492" s="481">
        <f>IFERROR(__xludf.DUMMYFUNCTION("""COMPUTED_VALUE"""),10.0)</f>
        <v>10</v>
      </c>
      <c r="AF492" s="481"/>
      <c r="AG492" s="481">
        <f>IFERROR(__xludf.DUMMYFUNCTION("""COMPUTED_VALUE"""),23.0)</f>
        <v>23</v>
      </c>
      <c r="AH492" s="481"/>
      <c r="AI492" s="158"/>
      <c r="AJ492" s="158"/>
      <c r="AK492" s="133">
        <f>IFERROR(__xludf.DUMMYFUNCTION("""COMPUTED_VALUE"""),2.0)</f>
        <v>2</v>
      </c>
      <c r="AL492" s="133">
        <f>IFERROR(__xludf.DUMMYFUNCTION("""COMPUTED_VALUE"""),0.0)</f>
        <v>0</v>
      </c>
      <c r="AM492" s="133">
        <f>IFERROR(__xludf.DUMMYFUNCTION("""COMPUTED_VALUE"""),3.0)</f>
        <v>3</v>
      </c>
      <c r="AN492" s="133" t="str">
        <f>IFERROR(__xludf.DUMMYFUNCTION("""COMPUTED_VALUE"""),"0")</f>
        <v>0</v>
      </c>
      <c r="AO492" s="133">
        <f>IFERROR(__xludf.DUMMYFUNCTION("""COMPUTED_VALUE"""),1.0)</f>
        <v>1</v>
      </c>
      <c r="AP492" s="155" t="s">
        <v>3743</v>
      </c>
    </row>
    <row r="493">
      <c r="A493" s="155">
        <f>IFERROR(__xludf.DUMMYFUNCTION("""COMPUTED_VALUE"""),39.0)</f>
        <v>39</v>
      </c>
      <c r="B493" s="155" t="str">
        <f>IFERROR(__xludf.DUMMYFUNCTION("""COMPUTED_VALUE"""),"peku23csds@cmrit.ac.in")</f>
        <v>peku23csds@cmrit.ac.in</v>
      </c>
      <c r="C493" s="174" t="str">
        <f>IFERROR(__xludf.DUMMYFUNCTION("""COMPUTED_VALUE"""),"PERAM KUSHI")</f>
        <v>PERAM KUSHI</v>
      </c>
      <c r="D493" s="155" t="str">
        <f>IFERROR(__xludf.DUMMYFUNCTION("""COMPUTED_VALUE"""),"1CR23CD041")</f>
        <v>1CR23CD041</v>
      </c>
      <c r="E493" s="563">
        <f>IFERROR(__xludf.DUMMYFUNCTION("""COMPUTED_VALUE"""),8.088551459E9)</f>
        <v>8088551459</v>
      </c>
      <c r="F493" s="155" t="str">
        <f>IFERROR(__xludf.DUMMYFUNCTION("""COMPUTED_VALUE"""),"CSE(DS)")</f>
        <v>CSE(DS)</v>
      </c>
      <c r="G493" s="158"/>
      <c r="H493" s="559">
        <f>IFERROR(__xludf.DUMMYFUNCTION("""COMPUTED_VALUE"""),80.0)</f>
        <v>80</v>
      </c>
      <c r="I493" s="559">
        <f>IFERROR(__xludf.DUMMYFUNCTION("""COMPUTED_VALUE"""),83.0)</f>
        <v>83</v>
      </c>
      <c r="J493" s="559">
        <f>IFERROR(__xludf.DUMMYFUNCTION("""COMPUTED_VALUE"""),70.0)</f>
        <v>70</v>
      </c>
      <c r="K493" s="559">
        <f>IFERROR(__xludf.DUMMYFUNCTION("""COMPUTED_VALUE"""),70.0)</f>
        <v>70</v>
      </c>
      <c r="L493" s="560">
        <f>IFERROR(__xludf.DUMMYFUNCTION("""COMPUTED_VALUE"""),50.0)</f>
        <v>50</v>
      </c>
      <c r="M493" s="561">
        <f>IFERROR(__xludf.DUMMYFUNCTION("""COMPUTED_VALUE"""),50.0)</f>
        <v>50</v>
      </c>
      <c r="N493" s="561">
        <f>IFERROR(__xludf.DUMMYFUNCTION("""COMPUTED_VALUE"""),8.0)</f>
        <v>8</v>
      </c>
      <c r="O493" s="560"/>
      <c r="P493" s="562">
        <f>IFERROR(__xludf.DUMMYFUNCTION("""COMPUTED_VALUE"""),77.0)</f>
        <v>77</v>
      </c>
      <c r="Q493" s="562">
        <f>IFERROR(__xludf.DUMMYFUNCTION("""COMPUTED_VALUE"""),50.0)</f>
        <v>50</v>
      </c>
      <c r="R493" s="562">
        <f>IFERROR(__xludf.DUMMYFUNCTION("""COMPUTED_VALUE"""),70.0)</f>
        <v>70</v>
      </c>
      <c r="S493" s="562"/>
      <c r="T493" s="217">
        <f>IFERROR(__xludf.DUMMYFUNCTION("""COMPUTED_VALUE"""),11.0)</f>
        <v>11</v>
      </c>
      <c r="U493" s="217">
        <f>IFERROR(__xludf.DUMMYFUNCTION("""COMPUTED_VALUE"""),13.0)</f>
        <v>13</v>
      </c>
      <c r="V493" s="217">
        <f>IFERROR(__xludf.DUMMYFUNCTION("""COMPUTED_VALUE"""),80.0)</f>
        <v>80</v>
      </c>
      <c r="W493" s="217">
        <f>IFERROR(__xludf.DUMMYFUNCTION("""COMPUTED_VALUE"""),68.0)</f>
        <v>68</v>
      </c>
      <c r="X493" s="217">
        <f>IFERROR(__xludf.DUMMYFUNCTION("""COMPUTED_VALUE"""),66.0)</f>
        <v>66</v>
      </c>
      <c r="Y493" s="217"/>
      <c r="Z493" s="217"/>
      <c r="AA493" s="481">
        <f>IFERROR(__xludf.DUMMYFUNCTION("""COMPUTED_VALUE"""),51.2)</f>
        <v>51.2</v>
      </c>
      <c r="AB493" s="481">
        <f>IFERROR(__xludf.DUMMYFUNCTION("""COMPUTED_VALUE"""),52.0)</f>
        <v>52</v>
      </c>
      <c r="AC493" s="481">
        <f>IFERROR(__xludf.DUMMYFUNCTION("""COMPUTED_VALUE"""),85.0)</f>
        <v>85</v>
      </c>
      <c r="AD493" s="481">
        <f>IFERROR(__xludf.DUMMYFUNCTION("""COMPUTED_VALUE"""),0.0)</f>
        <v>0</v>
      </c>
      <c r="AE493" s="481">
        <f>IFERROR(__xludf.DUMMYFUNCTION("""COMPUTED_VALUE"""),10.0)</f>
        <v>10</v>
      </c>
      <c r="AF493" s="481"/>
      <c r="AG493" s="481">
        <f>IFERROR(__xludf.DUMMYFUNCTION("""COMPUTED_VALUE"""),71.0)</f>
        <v>71</v>
      </c>
      <c r="AH493" s="481"/>
      <c r="AI493" s="158"/>
      <c r="AJ493" s="158"/>
      <c r="AK493" s="133">
        <f>IFERROR(__xludf.DUMMYFUNCTION("""COMPUTED_VALUE"""),4.0)</f>
        <v>4</v>
      </c>
      <c r="AL493" s="133">
        <f>IFERROR(__xludf.DUMMYFUNCTION("""COMPUTED_VALUE"""),2.0)</f>
        <v>2</v>
      </c>
      <c r="AM493" s="133">
        <f>IFERROR(__xludf.DUMMYFUNCTION("""COMPUTED_VALUE"""),3.0)</f>
        <v>3</v>
      </c>
      <c r="AN493" s="133" t="str">
        <f>IFERROR(__xludf.DUMMYFUNCTION("""COMPUTED_VALUE"""),"3")</f>
        <v>3</v>
      </c>
      <c r="AO493" s="133">
        <f>IFERROR(__xludf.DUMMYFUNCTION("""COMPUTED_VALUE"""),3.0)</f>
        <v>3</v>
      </c>
      <c r="AP493" s="155" t="s">
        <v>3743</v>
      </c>
    </row>
    <row r="494">
      <c r="A494" s="155">
        <f>IFERROR(__xludf.DUMMYFUNCTION("""COMPUTED_VALUE"""),40.0)</f>
        <v>40</v>
      </c>
      <c r="B494" s="155" t="str">
        <f>IFERROR(__xludf.DUMMYFUNCTION("""COMPUTED_VALUE"""),"pha23csds@cmrit.ac.in")</f>
        <v>pha23csds@cmrit.ac.in</v>
      </c>
      <c r="C494" s="174" t="str">
        <f>IFERROR(__xludf.DUMMYFUNCTION("""COMPUTED_VALUE"""),"Phalguni A")</f>
        <v>Phalguni A</v>
      </c>
      <c r="D494" s="155" t="str">
        <f>IFERROR(__xludf.DUMMYFUNCTION("""COMPUTED_VALUE"""),"1CR23CD042")</f>
        <v>1CR23CD042</v>
      </c>
      <c r="E494" s="563">
        <f>IFERROR(__xludf.DUMMYFUNCTION("""COMPUTED_VALUE"""),7.676921343E9)</f>
        <v>7676921343</v>
      </c>
      <c r="F494" s="155" t="str">
        <f>IFERROR(__xludf.DUMMYFUNCTION("""COMPUTED_VALUE"""),"CSE(DS)")</f>
        <v>CSE(DS)</v>
      </c>
      <c r="G494" s="158"/>
      <c r="H494" s="559">
        <f>IFERROR(__xludf.DUMMYFUNCTION("""COMPUTED_VALUE"""),75.0)</f>
        <v>75</v>
      </c>
      <c r="I494" s="559">
        <f>IFERROR(__xludf.DUMMYFUNCTION("""COMPUTED_VALUE"""),80.0)</f>
        <v>80</v>
      </c>
      <c r="J494" s="559">
        <f>IFERROR(__xludf.DUMMYFUNCTION("""COMPUTED_VALUE"""),70.0)</f>
        <v>70</v>
      </c>
      <c r="K494" s="559">
        <f>IFERROR(__xludf.DUMMYFUNCTION("""COMPUTED_VALUE"""),70.0)</f>
        <v>70</v>
      </c>
      <c r="L494" s="560">
        <f>IFERROR(__xludf.DUMMYFUNCTION("""COMPUTED_VALUE"""),50.0)</f>
        <v>50</v>
      </c>
      <c r="M494" s="561">
        <f>IFERROR(__xludf.DUMMYFUNCTION("""COMPUTED_VALUE"""),25.0)</f>
        <v>25</v>
      </c>
      <c r="N494" s="561">
        <f>IFERROR(__xludf.DUMMYFUNCTION("""COMPUTED_VALUE"""),6.0)</f>
        <v>6</v>
      </c>
      <c r="O494" s="560"/>
      <c r="P494" s="562">
        <f>IFERROR(__xludf.DUMMYFUNCTION("""COMPUTED_VALUE"""),77.0)</f>
        <v>77</v>
      </c>
      <c r="Q494" s="562">
        <f>IFERROR(__xludf.DUMMYFUNCTION("""COMPUTED_VALUE"""),50.0)</f>
        <v>50</v>
      </c>
      <c r="R494" s="562">
        <f>IFERROR(__xludf.DUMMYFUNCTION("""COMPUTED_VALUE"""),0.0)</f>
        <v>0</v>
      </c>
      <c r="S494" s="562"/>
      <c r="T494" s="217">
        <f>IFERROR(__xludf.DUMMYFUNCTION("""COMPUTED_VALUE"""),19.0)</f>
        <v>19</v>
      </c>
      <c r="U494" s="217">
        <f>IFERROR(__xludf.DUMMYFUNCTION("""COMPUTED_VALUE"""),19.0)</f>
        <v>19</v>
      </c>
      <c r="V494" s="217">
        <f>IFERROR(__xludf.DUMMYFUNCTION("""COMPUTED_VALUE"""),72.0)</f>
        <v>72</v>
      </c>
      <c r="W494" s="217">
        <f>IFERROR(__xludf.DUMMYFUNCTION("""COMPUTED_VALUE"""),60.0)</f>
        <v>60</v>
      </c>
      <c r="X494" s="217">
        <f>IFERROR(__xludf.DUMMYFUNCTION("""COMPUTED_VALUE"""),78.0)</f>
        <v>78</v>
      </c>
      <c r="Y494" s="217"/>
      <c r="Z494" s="217"/>
      <c r="AA494" s="481"/>
      <c r="AB494" s="481">
        <f>IFERROR(__xludf.DUMMYFUNCTION("""COMPUTED_VALUE"""),80.0)</f>
        <v>80</v>
      </c>
      <c r="AC494" s="481">
        <f>IFERROR(__xludf.DUMMYFUNCTION("""COMPUTED_VALUE"""),100.0)</f>
        <v>100</v>
      </c>
      <c r="AD494" s="481">
        <f>IFERROR(__xludf.DUMMYFUNCTION("""COMPUTED_VALUE"""),0.0)</f>
        <v>0</v>
      </c>
      <c r="AE494" s="481">
        <f>IFERROR(__xludf.DUMMYFUNCTION("""COMPUTED_VALUE"""),10.0)</f>
        <v>10</v>
      </c>
      <c r="AF494" s="481"/>
      <c r="AG494" s="481">
        <f>IFERROR(__xludf.DUMMYFUNCTION("""COMPUTED_VALUE"""),10.0)</f>
        <v>10</v>
      </c>
      <c r="AH494" s="481"/>
      <c r="AI494" s="158"/>
      <c r="AJ494" s="158"/>
      <c r="AK494" s="133">
        <f>IFERROR(__xludf.DUMMYFUNCTION("""COMPUTED_VALUE"""),4.0)</f>
        <v>4</v>
      </c>
      <c r="AL494" s="133">
        <f>IFERROR(__xludf.DUMMYFUNCTION("""COMPUTED_VALUE"""),1.0)</f>
        <v>1</v>
      </c>
      <c r="AM494" s="133">
        <f>IFERROR(__xludf.DUMMYFUNCTION("""COMPUTED_VALUE"""),3.0)</f>
        <v>3</v>
      </c>
      <c r="AN494" s="133" t="str">
        <f>IFERROR(__xludf.DUMMYFUNCTION("""COMPUTED_VALUE"""),"3")</f>
        <v>3</v>
      </c>
      <c r="AO494" s="133">
        <f>IFERROR(__xludf.DUMMYFUNCTION("""COMPUTED_VALUE"""),2.0)</f>
        <v>2</v>
      </c>
      <c r="AP494" s="155" t="s">
        <v>3743</v>
      </c>
    </row>
    <row r="495">
      <c r="A495" s="155">
        <f>IFERROR(__xludf.DUMMYFUNCTION("""COMPUTED_VALUE"""),41.0)</f>
        <v>41</v>
      </c>
      <c r="B495" s="155" t="str">
        <f>IFERROR(__xludf.DUMMYFUNCTION("""COMPUTED_VALUE"""),"prsa23csds@cmrit.ac.in")</f>
        <v>prsa23csds@cmrit.ac.in</v>
      </c>
      <c r="C495" s="174" t="str">
        <f>IFERROR(__xludf.DUMMYFUNCTION("""COMPUTED_VALUE"""),"PRAJWAL SACHIN TELANG")</f>
        <v>PRAJWAL SACHIN TELANG</v>
      </c>
      <c r="D495" s="155" t="str">
        <f>IFERROR(__xludf.DUMMYFUNCTION("""COMPUTED_VALUE"""),"1CR23CD043")</f>
        <v>1CR23CD043</v>
      </c>
      <c r="E495" s="563">
        <f>IFERROR(__xludf.DUMMYFUNCTION("""COMPUTED_VALUE"""),8.897282666E9)</f>
        <v>8897282666</v>
      </c>
      <c r="F495" s="155" t="str">
        <f>IFERROR(__xludf.DUMMYFUNCTION("""COMPUTED_VALUE"""),"CSE(DS)")</f>
        <v>CSE(DS)</v>
      </c>
      <c r="G495" s="158"/>
      <c r="H495" s="559">
        <f>IFERROR(__xludf.DUMMYFUNCTION("""COMPUTED_VALUE"""),76.0)</f>
        <v>76</v>
      </c>
      <c r="I495" s="559">
        <f>IFERROR(__xludf.DUMMYFUNCTION("""COMPUTED_VALUE"""),79.0)</f>
        <v>79</v>
      </c>
      <c r="J495" s="559">
        <f>IFERROR(__xludf.DUMMYFUNCTION("""COMPUTED_VALUE"""),70.0)</f>
        <v>70</v>
      </c>
      <c r="K495" s="559">
        <f>IFERROR(__xludf.DUMMYFUNCTION("""COMPUTED_VALUE"""),74.0)</f>
        <v>74</v>
      </c>
      <c r="L495" s="560">
        <f>IFERROR(__xludf.DUMMYFUNCTION("""COMPUTED_VALUE"""),50.0)</f>
        <v>50</v>
      </c>
      <c r="M495" s="561">
        <f>IFERROR(__xludf.DUMMYFUNCTION("""COMPUTED_VALUE"""),23.0)</f>
        <v>23</v>
      </c>
      <c r="N495" s="561">
        <f>IFERROR(__xludf.DUMMYFUNCTION("""COMPUTED_VALUE"""),12.0)</f>
        <v>12</v>
      </c>
      <c r="O495" s="560"/>
      <c r="P495" s="562">
        <f>IFERROR(__xludf.DUMMYFUNCTION("""COMPUTED_VALUE"""),73.0)</f>
        <v>73</v>
      </c>
      <c r="Q495" s="562">
        <f>IFERROR(__xludf.DUMMYFUNCTION("""COMPUTED_VALUE"""),55.0)</f>
        <v>55</v>
      </c>
      <c r="R495" s="562">
        <f>IFERROR(__xludf.DUMMYFUNCTION("""COMPUTED_VALUE"""),92.0)</f>
        <v>92</v>
      </c>
      <c r="S495" s="562"/>
      <c r="T495" s="217">
        <f>IFERROR(__xludf.DUMMYFUNCTION("""COMPUTED_VALUE"""),18.0)</f>
        <v>18</v>
      </c>
      <c r="U495" s="217">
        <f>IFERROR(__xludf.DUMMYFUNCTION("""COMPUTED_VALUE"""),18.0)</f>
        <v>18</v>
      </c>
      <c r="V495" s="217">
        <f>IFERROR(__xludf.DUMMYFUNCTION("""COMPUTED_VALUE"""),70.0)</f>
        <v>70</v>
      </c>
      <c r="W495" s="217">
        <f>IFERROR(__xludf.DUMMYFUNCTION("""COMPUTED_VALUE"""),62.0)</f>
        <v>62</v>
      </c>
      <c r="X495" s="217">
        <f>IFERROR(__xludf.DUMMYFUNCTION("""COMPUTED_VALUE"""),72.0)</f>
        <v>72</v>
      </c>
      <c r="Y495" s="217"/>
      <c r="Z495" s="217"/>
      <c r="AA495" s="481">
        <f>IFERROR(__xludf.DUMMYFUNCTION("""COMPUTED_VALUE"""),63.0)</f>
        <v>63</v>
      </c>
      <c r="AB495" s="481">
        <f>IFERROR(__xludf.DUMMYFUNCTION("""COMPUTED_VALUE"""),64.0)</f>
        <v>64</v>
      </c>
      <c r="AC495" s="481">
        <f>IFERROR(__xludf.DUMMYFUNCTION("""COMPUTED_VALUE"""),7.0)</f>
        <v>7</v>
      </c>
      <c r="AD495" s="481">
        <f>IFERROR(__xludf.DUMMYFUNCTION("""COMPUTED_VALUE"""),12.0)</f>
        <v>12</v>
      </c>
      <c r="AE495" s="481">
        <f>IFERROR(__xludf.DUMMYFUNCTION("""COMPUTED_VALUE"""),10.0)</f>
        <v>10</v>
      </c>
      <c r="AF495" s="481"/>
      <c r="AG495" s="481">
        <f>IFERROR(__xludf.DUMMYFUNCTION("""COMPUTED_VALUE"""),71.0)</f>
        <v>71</v>
      </c>
      <c r="AH495" s="481"/>
      <c r="AI495" s="158"/>
      <c r="AJ495" s="158"/>
      <c r="AK495" s="133">
        <f>IFERROR(__xludf.DUMMYFUNCTION("""COMPUTED_VALUE"""),4.0)</f>
        <v>4</v>
      </c>
      <c r="AL495" s="133">
        <f>IFERROR(__xludf.DUMMYFUNCTION("""COMPUTED_VALUE"""),1.0)</f>
        <v>1</v>
      </c>
      <c r="AM495" s="133">
        <f>IFERROR(__xludf.DUMMYFUNCTION("""COMPUTED_VALUE"""),3.0)</f>
        <v>3</v>
      </c>
      <c r="AN495" s="133" t="str">
        <f>IFERROR(__xludf.DUMMYFUNCTION("""COMPUTED_VALUE"""),"2")</f>
        <v>2</v>
      </c>
      <c r="AO495" s="133">
        <f>IFERROR(__xludf.DUMMYFUNCTION("""COMPUTED_VALUE"""),3.0)</f>
        <v>3</v>
      </c>
      <c r="AP495" s="155" t="s">
        <v>3743</v>
      </c>
    </row>
    <row r="496">
      <c r="A496" s="155">
        <f>IFERROR(__xludf.DUMMYFUNCTION("""COMPUTED_VALUE"""),42.0)</f>
        <v>42</v>
      </c>
      <c r="B496" s="155" t="str">
        <f>IFERROR(__xludf.DUMMYFUNCTION("""COMPUTED_VALUE"""),"prna23csds@cmrit.ac.in")</f>
        <v>prna23csds@cmrit.ac.in</v>
      </c>
      <c r="C496" s="174" t="str">
        <f>IFERROR(__xludf.DUMMYFUNCTION("""COMPUTED_VALUE"""),"PRAMODH NARAIN")</f>
        <v>PRAMODH NARAIN</v>
      </c>
      <c r="D496" s="155" t="str">
        <f>IFERROR(__xludf.DUMMYFUNCTION("""COMPUTED_VALUE"""),"1CR23CD044")</f>
        <v>1CR23CD044</v>
      </c>
      <c r="E496" s="563">
        <f>IFERROR(__xludf.DUMMYFUNCTION("""COMPUTED_VALUE"""),9.380388648E9)</f>
        <v>9380388648</v>
      </c>
      <c r="F496" s="155" t="str">
        <f>IFERROR(__xludf.DUMMYFUNCTION("""COMPUTED_VALUE"""),"CSE(DS)")</f>
        <v>CSE(DS)</v>
      </c>
      <c r="G496" s="158"/>
      <c r="H496" s="559">
        <f>IFERROR(__xludf.DUMMYFUNCTION("""COMPUTED_VALUE"""),81.0)</f>
        <v>81</v>
      </c>
      <c r="I496" s="559">
        <f>IFERROR(__xludf.DUMMYFUNCTION("""COMPUTED_VALUE"""),81.0)</f>
        <v>81</v>
      </c>
      <c r="J496" s="559">
        <f>IFERROR(__xludf.DUMMYFUNCTION("""COMPUTED_VALUE"""),70.0)</f>
        <v>70</v>
      </c>
      <c r="K496" s="559">
        <f>IFERROR(__xludf.DUMMYFUNCTION("""COMPUTED_VALUE"""),81.0)</f>
        <v>81</v>
      </c>
      <c r="L496" s="560">
        <f>IFERROR(__xludf.DUMMYFUNCTION("""COMPUTED_VALUE"""),35.0)</f>
        <v>35</v>
      </c>
      <c r="M496" s="561">
        <f>IFERROR(__xludf.DUMMYFUNCTION("""COMPUTED_VALUE"""),33.0)</f>
        <v>33</v>
      </c>
      <c r="N496" s="561">
        <f>IFERROR(__xludf.DUMMYFUNCTION("""COMPUTED_VALUE"""),0.0)</f>
        <v>0</v>
      </c>
      <c r="O496" s="560"/>
      <c r="P496" s="562">
        <f>IFERROR(__xludf.DUMMYFUNCTION("""COMPUTED_VALUE"""),50.0)</f>
        <v>50</v>
      </c>
      <c r="Q496" s="562">
        <f>IFERROR(__xludf.DUMMYFUNCTION("""COMPUTED_VALUE"""),0.0)</f>
        <v>0</v>
      </c>
      <c r="R496" s="562">
        <f>IFERROR(__xludf.DUMMYFUNCTION("""COMPUTED_VALUE"""),0.0)</f>
        <v>0</v>
      </c>
      <c r="S496" s="562"/>
      <c r="T496" s="217">
        <f>IFERROR(__xludf.DUMMYFUNCTION("""COMPUTED_VALUE"""),16.0)</f>
        <v>16</v>
      </c>
      <c r="U496" s="217">
        <f>IFERROR(__xludf.DUMMYFUNCTION("""COMPUTED_VALUE"""),17.0)</f>
        <v>17</v>
      </c>
      <c r="V496" s="217">
        <f>IFERROR(__xludf.DUMMYFUNCTION("""COMPUTED_VALUE"""),42.0)</f>
        <v>42</v>
      </c>
      <c r="W496" s="217">
        <f>IFERROR(__xludf.DUMMYFUNCTION("""COMPUTED_VALUE"""),24.0)</f>
        <v>24</v>
      </c>
      <c r="X496" s="217"/>
      <c r="Y496" s="217"/>
      <c r="Z496" s="217"/>
      <c r="AA496" s="481">
        <f>IFERROR(__xludf.DUMMYFUNCTION("""COMPUTED_VALUE"""),58.0)</f>
        <v>58</v>
      </c>
      <c r="AB496" s="481">
        <f>IFERROR(__xludf.DUMMYFUNCTION("""COMPUTED_VALUE"""),90.0)</f>
        <v>90</v>
      </c>
      <c r="AC496" s="481">
        <f>IFERROR(__xludf.DUMMYFUNCTION("""COMPUTED_VALUE"""),56.0)</f>
        <v>56</v>
      </c>
      <c r="AD496" s="481">
        <f>IFERROR(__xludf.DUMMYFUNCTION("""COMPUTED_VALUE"""),2.0)</f>
        <v>2</v>
      </c>
      <c r="AE496" s="481">
        <f>IFERROR(__xludf.DUMMYFUNCTION("""COMPUTED_VALUE"""),10.0)</f>
        <v>10</v>
      </c>
      <c r="AF496" s="481"/>
      <c r="AG496" s="481">
        <f>IFERROR(__xludf.DUMMYFUNCTION("""COMPUTED_VALUE"""),15.0)</f>
        <v>15</v>
      </c>
      <c r="AH496" s="481"/>
      <c r="AI496" s="158"/>
      <c r="AJ496" s="158"/>
      <c r="AK496" s="133">
        <f>IFERROR(__xludf.DUMMYFUNCTION("""COMPUTED_VALUE"""),4.0)</f>
        <v>4</v>
      </c>
      <c r="AL496" s="133">
        <f>IFERROR(__xludf.DUMMYFUNCTION("""COMPUTED_VALUE"""),0.0)</f>
        <v>0</v>
      </c>
      <c r="AM496" s="133">
        <f>IFERROR(__xludf.DUMMYFUNCTION("""COMPUTED_VALUE"""),2.0)</f>
        <v>2</v>
      </c>
      <c r="AN496" s="133" t="str">
        <f>IFERROR(__xludf.DUMMYFUNCTION("""COMPUTED_VALUE"""),"2")</f>
        <v>2</v>
      </c>
      <c r="AO496" s="133">
        <f>IFERROR(__xludf.DUMMYFUNCTION("""COMPUTED_VALUE"""),1.0)</f>
        <v>1</v>
      </c>
      <c r="AP496" s="155" t="s">
        <v>3743</v>
      </c>
    </row>
    <row r="497">
      <c r="A497" s="155">
        <f>IFERROR(__xludf.DUMMYFUNCTION("""COMPUTED_VALUE"""),43.0)</f>
        <v>43</v>
      </c>
      <c r="B497" s="155" t="str">
        <f>IFERROR(__xludf.DUMMYFUNCTION("""COMPUTED_VALUE"""),"prisa23csds@cmrit.ac.in")</f>
        <v>prisa23csds@cmrit.ac.in</v>
      </c>
      <c r="C497" s="174" t="str">
        <f>IFERROR(__xludf.DUMMYFUNCTION("""COMPUTED_VALUE"""),"PRITHVI SAJIV")</f>
        <v>PRITHVI SAJIV</v>
      </c>
      <c r="D497" s="155" t="str">
        <f>IFERROR(__xludf.DUMMYFUNCTION("""COMPUTED_VALUE"""),"1CR23CD046")</f>
        <v>1CR23CD046</v>
      </c>
      <c r="E497" s="563">
        <f>IFERROR(__xludf.DUMMYFUNCTION("""COMPUTED_VALUE"""),9.90245946E9)</f>
        <v>9902459460</v>
      </c>
      <c r="F497" s="155" t="str">
        <f>IFERROR(__xludf.DUMMYFUNCTION("""COMPUTED_VALUE"""),"CSE(DS)")</f>
        <v>CSE(DS)</v>
      </c>
      <c r="G497" s="158"/>
      <c r="H497" s="559">
        <f>IFERROR(__xludf.DUMMYFUNCTION("""COMPUTED_VALUE"""),85.0)</f>
        <v>85</v>
      </c>
      <c r="I497" s="559">
        <f>IFERROR(__xludf.DUMMYFUNCTION("""COMPUTED_VALUE"""),89.0)</f>
        <v>89</v>
      </c>
      <c r="J497" s="559">
        <f>IFERROR(__xludf.DUMMYFUNCTION("""COMPUTED_VALUE"""),74.0)</f>
        <v>74</v>
      </c>
      <c r="K497" s="559">
        <f>IFERROR(__xludf.DUMMYFUNCTION("""COMPUTED_VALUE"""),86.0)</f>
        <v>86</v>
      </c>
      <c r="L497" s="560">
        <f>IFERROR(__xludf.DUMMYFUNCTION("""COMPUTED_VALUE"""),80.0)</f>
        <v>80</v>
      </c>
      <c r="M497" s="561">
        <f>IFERROR(__xludf.DUMMYFUNCTION("""COMPUTED_VALUE"""),77.0)</f>
        <v>77</v>
      </c>
      <c r="N497" s="561">
        <f>IFERROR(__xludf.DUMMYFUNCTION("""COMPUTED_VALUE"""),66.0)</f>
        <v>66</v>
      </c>
      <c r="O497" s="560"/>
      <c r="P497" s="562">
        <f>IFERROR(__xludf.DUMMYFUNCTION("""COMPUTED_VALUE"""),78.0)</f>
        <v>78</v>
      </c>
      <c r="Q497" s="562">
        <f>IFERROR(__xludf.DUMMYFUNCTION("""COMPUTED_VALUE"""),72.0)</f>
        <v>72</v>
      </c>
      <c r="R497" s="562">
        <f>IFERROR(__xludf.DUMMYFUNCTION("""COMPUTED_VALUE"""),85.0)</f>
        <v>85</v>
      </c>
      <c r="S497" s="562"/>
      <c r="T497" s="217">
        <f>IFERROR(__xludf.DUMMYFUNCTION("""COMPUTED_VALUE"""),13.0)</f>
        <v>13</v>
      </c>
      <c r="U497" s="217">
        <f>IFERROR(__xludf.DUMMYFUNCTION("""COMPUTED_VALUE"""),16.0)</f>
        <v>16</v>
      </c>
      <c r="V497" s="217">
        <f>IFERROR(__xludf.DUMMYFUNCTION("""COMPUTED_VALUE"""),78.0)</f>
        <v>78</v>
      </c>
      <c r="W497" s="217">
        <f>IFERROR(__xludf.DUMMYFUNCTION("""COMPUTED_VALUE"""),70.0)</f>
        <v>70</v>
      </c>
      <c r="X497" s="217">
        <f>IFERROR(__xludf.DUMMYFUNCTION("""COMPUTED_VALUE"""),72.0)</f>
        <v>72</v>
      </c>
      <c r="Y497" s="217"/>
      <c r="Z497" s="217"/>
      <c r="AA497" s="481">
        <f>IFERROR(__xludf.DUMMYFUNCTION("""COMPUTED_VALUE"""),97.0)</f>
        <v>97</v>
      </c>
      <c r="AB497" s="481">
        <f>IFERROR(__xludf.DUMMYFUNCTION("""COMPUTED_VALUE"""),100.0)</f>
        <v>100</v>
      </c>
      <c r="AC497" s="481">
        <f>IFERROR(__xludf.DUMMYFUNCTION("""COMPUTED_VALUE"""),98.0)</f>
        <v>98</v>
      </c>
      <c r="AD497" s="481">
        <f>IFERROR(__xludf.DUMMYFUNCTION("""COMPUTED_VALUE"""),80.0)</f>
        <v>80</v>
      </c>
      <c r="AE497" s="481">
        <f>IFERROR(__xludf.DUMMYFUNCTION("""COMPUTED_VALUE"""),70.0)</f>
        <v>70</v>
      </c>
      <c r="AF497" s="481"/>
      <c r="AG497" s="481">
        <f>IFERROR(__xludf.DUMMYFUNCTION("""COMPUTED_VALUE"""),73.0)</f>
        <v>73</v>
      </c>
      <c r="AH497" s="481"/>
      <c r="AI497" s="158"/>
      <c r="AJ497" s="158"/>
      <c r="AK497" s="133">
        <f>IFERROR(__xludf.DUMMYFUNCTION("""COMPUTED_VALUE"""),4.0)</f>
        <v>4</v>
      </c>
      <c r="AL497" s="133">
        <f>IFERROR(__xludf.DUMMYFUNCTION("""COMPUTED_VALUE"""),3.0)</f>
        <v>3</v>
      </c>
      <c r="AM497" s="133">
        <f>IFERROR(__xludf.DUMMYFUNCTION("""COMPUTED_VALUE"""),3.0)</f>
        <v>3</v>
      </c>
      <c r="AN497" s="133" t="str">
        <f>IFERROR(__xludf.DUMMYFUNCTION("""COMPUTED_VALUE"""),"3.5")</f>
        <v>3.5</v>
      </c>
      <c r="AO497" s="133">
        <f>IFERROR(__xludf.DUMMYFUNCTION("""COMPUTED_VALUE"""),3.0)</f>
        <v>3</v>
      </c>
      <c r="AP497" s="155" t="s">
        <v>3743</v>
      </c>
    </row>
    <row r="498">
      <c r="A498" s="155">
        <f>IFERROR(__xludf.DUMMYFUNCTION("""COMPUTED_VALUE"""),44.0)</f>
        <v>44</v>
      </c>
      <c r="B498" s="155" t="str">
        <f>IFERROR(__xludf.DUMMYFUNCTION("""COMPUTED_VALUE"""),"rsu23csds@cmrit.ac.in")</f>
        <v>rsu23csds@cmrit.ac.in</v>
      </c>
      <c r="C498" s="174" t="str">
        <f>IFERROR(__xludf.DUMMYFUNCTION("""COMPUTED_VALUE"""),"R SURABHI")</f>
        <v>R SURABHI</v>
      </c>
      <c r="D498" s="155" t="str">
        <f>IFERROR(__xludf.DUMMYFUNCTION("""COMPUTED_VALUE"""),"1CR23CD047")</f>
        <v>1CR23CD047</v>
      </c>
      <c r="E498" s="563">
        <f>IFERROR(__xludf.DUMMYFUNCTION("""COMPUTED_VALUE"""),9.482452588E9)</f>
        <v>9482452588</v>
      </c>
      <c r="F498" s="155" t="str">
        <f>IFERROR(__xludf.DUMMYFUNCTION("""COMPUTED_VALUE"""),"CSE(DS)")</f>
        <v>CSE(DS)</v>
      </c>
      <c r="G498" s="158"/>
      <c r="H498" s="559">
        <f>IFERROR(__xludf.DUMMYFUNCTION("""COMPUTED_VALUE"""),88.0)</f>
        <v>88</v>
      </c>
      <c r="I498" s="559">
        <f>IFERROR(__xludf.DUMMYFUNCTION("""COMPUTED_VALUE"""),86.0)</f>
        <v>86</v>
      </c>
      <c r="J498" s="559">
        <f>IFERROR(__xludf.DUMMYFUNCTION("""COMPUTED_VALUE"""),74.0)</f>
        <v>74</v>
      </c>
      <c r="K498" s="559">
        <f>IFERROR(__xludf.DUMMYFUNCTION("""COMPUTED_VALUE"""),75.0)</f>
        <v>75</v>
      </c>
      <c r="L498" s="560">
        <f>IFERROR(__xludf.DUMMYFUNCTION("""COMPUTED_VALUE"""),50.0)</f>
        <v>50</v>
      </c>
      <c r="M498" s="561">
        <f>IFERROR(__xludf.DUMMYFUNCTION("""COMPUTED_VALUE"""),27.0)</f>
        <v>27</v>
      </c>
      <c r="N498" s="561">
        <f>IFERROR(__xludf.DUMMYFUNCTION("""COMPUTED_VALUE"""),50.0)</f>
        <v>50</v>
      </c>
      <c r="O498" s="560"/>
      <c r="P498" s="562">
        <f>IFERROR(__xludf.DUMMYFUNCTION("""COMPUTED_VALUE"""),73.0)</f>
        <v>73</v>
      </c>
      <c r="Q498" s="562">
        <f>IFERROR(__xludf.DUMMYFUNCTION("""COMPUTED_VALUE"""),60.0)</f>
        <v>60</v>
      </c>
      <c r="R498" s="562">
        <f>IFERROR(__xludf.DUMMYFUNCTION("""COMPUTED_VALUE"""),90.0)</f>
        <v>90</v>
      </c>
      <c r="S498" s="562"/>
      <c r="T498" s="217">
        <f>IFERROR(__xludf.DUMMYFUNCTION("""COMPUTED_VALUE"""),22.0)</f>
        <v>22</v>
      </c>
      <c r="U498" s="217">
        <f>IFERROR(__xludf.DUMMYFUNCTION("""COMPUTED_VALUE"""),16.0)</f>
        <v>16</v>
      </c>
      <c r="V498" s="217">
        <f>IFERROR(__xludf.DUMMYFUNCTION("""COMPUTED_VALUE"""),88.0)</f>
        <v>88</v>
      </c>
      <c r="W498" s="217">
        <f>IFERROR(__xludf.DUMMYFUNCTION("""COMPUTED_VALUE"""),98.0)</f>
        <v>98</v>
      </c>
      <c r="X498" s="217">
        <f>IFERROR(__xludf.DUMMYFUNCTION("""COMPUTED_VALUE"""),68.0)</f>
        <v>68</v>
      </c>
      <c r="Y498" s="217"/>
      <c r="Z498" s="217"/>
      <c r="AA498" s="481">
        <f>IFERROR(__xludf.DUMMYFUNCTION("""COMPUTED_VALUE"""),86.0)</f>
        <v>86</v>
      </c>
      <c r="AB498" s="481">
        <f>IFERROR(__xludf.DUMMYFUNCTION("""COMPUTED_VALUE"""),90.0)</f>
        <v>90</v>
      </c>
      <c r="AC498" s="481">
        <f>IFERROR(__xludf.DUMMYFUNCTION("""COMPUTED_VALUE"""),79.0)</f>
        <v>79</v>
      </c>
      <c r="AD498" s="481">
        <f>IFERROR(__xludf.DUMMYFUNCTION("""COMPUTED_VALUE"""),92.0)</f>
        <v>92</v>
      </c>
      <c r="AE498" s="481">
        <f>IFERROR(__xludf.DUMMYFUNCTION("""COMPUTED_VALUE"""),83.0)</f>
        <v>83</v>
      </c>
      <c r="AF498" s="481"/>
      <c r="AG498" s="481">
        <f>IFERROR(__xludf.DUMMYFUNCTION("""COMPUTED_VALUE"""),79.0)</f>
        <v>79</v>
      </c>
      <c r="AH498" s="481"/>
      <c r="AI498" s="158"/>
      <c r="AJ498" s="158"/>
      <c r="AK498" s="133">
        <f>IFERROR(__xludf.DUMMYFUNCTION("""COMPUTED_VALUE"""),4.0)</f>
        <v>4</v>
      </c>
      <c r="AL498" s="133">
        <f>IFERROR(__xludf.DUMMYFUNCTION("""COMPUTED_VALUE"""),1.0)</f>
        <v>1</v>
      </c>
      <c r="AM498" s="133">
        <f>IFERROR(__xludf.DUMMYFUNCTION("""COMPUTED_VALUE"""),3.0)</f>
        <v>3</v>
      </c>
      <c r="AN498" s="133" t="str">
        <f>IFERROR(__xludf.DUMMYFUNCTION("""COMPUTED_VALUE"""),"3.5")</f>
        <v>3.5</v>
      </c>
      <c r="AO498" s="133">
        <f>IFERROR(__xludf.DUMMYFUNCTION("""COMPUTED_VALUE"""),3.0)</f>
        <v>3</v>
      </c>
      <c r="AP498" s="155" t="s">
        <v>3743</v>
      </c>
    </row>
    <row r="499">
      <c r="A499" s="155">
        <f>IFERROR(__xludf.DUMMYFUNCTION("""COMPUTED_VALUE"""),45.0)</f>
        <v>45</v>
      </c>
      <c r="B499" s="155" t="str">
        <f>IFERROR(__xludf.DUMMYFUNCTION("""COMPUTED_VALUE"""),"rama23csds@cmrit.ac.in")</f>
        <v>rama23csds@cmrit.ac.in</v>
      </c>
      <c r="C499" s="174" t="str">
        <f>IFERROR(__xludf.DUMMYFUNCTION("""COMPUTED_VALUE"""),"RAHUL DASHARATH MADARI")</f>
        <v>RAHUL DASHARATH MADARI</v>
      </c>
      <c r="D499" s="155" t="str">
        <f>IFERROR(__xludf.DUMMYFUNCTION("""COMPUTED_VALUE"""),"1CR23CD048")</f>
        <v>1CR23CD048</v>
      </c>
      <c r="E499" s="563">
        <f>IFERROR(__xludf.DUMMYFUNCTION("""COMPUTED_VALUE"""),6.360049012E9)</f>
        <v>6360049012</v>
      </c>
      <c r="F499" s="155" t="str">
        <f>IFERROR(__xludf.DUMMYFUNCTION("""COMPUTED_VALUE"""),"CSE(DS)")</f>
        <v>CSE(DS)</v>
      </c>
      <c r="G499" s="158"/>
      <c r="H499" s="559">
        <f>IFERROR(__xludf.DUMMYFUNCTION("""COMPUTED_VALUE"""),77.0)</f>
        <v>77</v>
      </c>
      <c r="I499" s="559">
        <f>IFERROR(__xludf.DUMMYFUNCTION("""COMPUTED_VALUE"""),80.0)</f>
        <v>80</v>
      </c>
      <c r="J499" s="559">
        <f>IFERROR(__xludf.DUMMYFUNCTION("""COMPUTED_VALUE"""),70.0)</f>
        <v>70</v>
      </c>
      <c r="K499" s="559">
        <f>IFERROR(__xludf.DUMMYFUNCTION("""COMPUTED_VALUE"""),70.0)</f>
        <v>70</v>
      </c>
      <c r="L499" s="560">
        <f>IFERROR(__xludf.DUMMYFUNCTION("""COMPUTED_VALUE"""),50.0)</f>
        <v>50</v>
      </c>
      <c r="M499" s="561">
        <f>IFERROR(__xludf.DUMMYFUNCTION("""COMPUTED_VALUE"""),50.0)</f>
        <v>50</v>
      </c>
      <c r="N499" s="561">
        <f>IFERROR(__xludf.DUMMYFUNCTION("""COMPUTED_VALUE"""),50.0)</f>
        <v>50</v>
      </c>
      <c r="O499" s="560"/>
      <c r="P499" s="562">
        <f>IFERROR(__xludf.DUMMYFUNCTION("""COMPUTED_VALUE"""),50.0)</f>
        <v>50</v>
      </c>
      <c r="Q499" s="562">
        <f>IFERROR(__xludf.DUMMYFUNCTION("""COMPUTED_VALUE"""),50.0)</f>
        <v>50</v>
      </c>
      <c r="R499" s="562">
        <f>IFERROR(__xludf.DUMMYFUNCTION("""COMPUTED_VALUE"""),82.0)</f>
        <v>82</v>
      </c>
      <c r="S499" s="562"/>
      <c r="T499" s="217">
        <f>IFERROR(__xludf.DUMMYFUNCTION("""COMPUTED_VALUE"""),16.0)</f>
        <v>16</v>
      </c>
      <c r="U499" s="217">
        <f>IFERROR(__xludf.DUMMYFUNCTION("""COMPUTED_VALUE"""),21.0)</f>
        <v>21</v>
      </c>
      <c r="V499" s="217">
        <f>IFERROR(__xludf.DUMMYFUNCTION("""COMPUTED_VALUE"""),92.0)</f>
        <v>92</v>
      </c>
      <c r="W499" s="217">
        <f>IFERROR(__xludf.DUMMYFUNCTION("""COMPUTED_VALUE"""),82.0)</f>
        <v>82</v>
      </c>
      <c r="X499" s="217">
        <f>IFERROR(__xludf.DUMMYFUNCTION("""COMPUTED_VALUE"""),84.0)</f>
        <v>84</v>
      </c>
      <c r="Y499" s="217"/>
      <c r="Z499" s="217"/>
      <c r="AA499" s="481">
        <f>IFERROR(__xludf.DUMMYFUNCTION("""COMPUTED_VALUE"""),37.0)</f>
        <v>37</v>
      </c>
      <c r="AB499" s="481">
        <f>IFERROR(__xludf.DUMMYFUNCTION("""COMPUTED_VALUE"""),58.0)</f>
        <v>58</v>
      </c>
      <c r="AC499" s="481">
        <f>IFERROR(__xludf.DUMMYFUNCTION("""COMPUTED_VALUE"""),60.0)</f>
        <v>60</v>
      </c>
      <c r="AD499" s="481">
        <f>IFERROR(__xludf.DUMMYFUNCTION("""COMPUTED_VALUE"""),1.0)</f>
        <v>1</v>
      </c>
      <c r="AE499" s="481">
        <f>IFERROR(__xludf.DUMMYFUNCTION("""COMPUTED_VALUE"""),70.0)</f>
        <v>70</v>
      </c>
      <c r="AF499" s="481"/>
      <c r="AG499" s="481">
        <f>IFERROR(__xludf.DUMMYFUNCTION("""COMPUTED_VALUE"""),75.0)</f>
        <v>75</v>
      </c>
      <c r="AH499" s="481"/>
      <c r="AI499" s="158"/>
      <c r="AJ499" s="158"/>
      <c r="AK499" s="133">
        <f>IFERROR(__xludf.DUMMYFUNCTION("""COMPUTED_VALUE"""),4.0)</f>
        <v>4</v>
      </c>
      <c r="AL499" s="133">
        <f>IFERROR(__xludf.DUMMYFUNCTION("""COMPUTED_VALUE"""),3.0)</f>
        <v>3</v>
      </c>
      <c r="AM499" s="133">
        <f>IFERROR(__xludf.DUMMYFUNCTION("""COMPUTED_VALUE"""),3.0)</f>
        <v>3</v>
      </c>
      <c r="AN499" s="133" t="str">
        <f>IFERROR(__xludf.DUMMYFUNCTION("""COMPUTED_VALUE"""),"3.5")</f>
        <v>3.5</v>
      </c>
      <c r="AO499" s="133">
        <f>IFERROR(__xludf.DUMMYFUNCTION("""COMPUTED_VALUE"""),3.0)</f>
        <v>3</v>
      </c>
      <c r="AP499" s="155" t="s">
        <v>3743</v>
      </c>
    </row>
    <row r="500">
      <c r="A500" s="155">
        <f>IFERROR(__xludf.DUMMYFUNCTION("""COMPUTED_VALUE"""),46.0)</f>
        <v>46</v>
      </c>
      <c r="B500" s="155" t="str">
        <f>IFERROR(__xludf.DUMMYFUNCTION("""COMPUTED_VALUE"""),"raj23csds@cmrit.ac.in")</f>
        <v>raj23csds@cmrit.ac.in</v>
      </c>
      <c r="C500" s="174" t="str">
        <f>IFERROR(__xludf.DUMMYFUNCTION("""COMPUTED_VALUE"""),"RAKSHITHA J")</f>
        <v>RAKSHITHA J</v>
      </c>
      <c r="D500" s="155" t="str">
        <f>IFERROR(__xludf.DUMMYFUNCTION("""COMPUTED_VALUE"""),"1CR23CD049")</f>
        <v>1CR23CD049</v>
      </c>
      <c r="E500" s="563">
        <f>IFERROR(__xludf.DUMMYFUNCTION("""COMPUTED_VALUE"""),7.899422347E9)</f>
        <v>7899422347</v>
      </c>
      <c r="F500" s="155" t="str">
        <f>IFERROR(__xludf.DUMMYFUNCTION("""COMPUTED_VALUE"""),"CSE(DS)")</f>
        <v>CSE(DS)</v>
      </c>
      <c r="G500" s="158"/>
      <c r="H500" s="559">
        <f>IFERROR(__xludf.DUMMYFUNCTION("""COMPUTED_VALUE"""),73.0)</f>
        <v>73</v>
      </c>
      <c r="I500" s="559">
        <f>IFERROR(__xludf.DUMMYFUNCTION("""COMPUTED_VALUE"""),71.0)</f>
        <v>71</v>
      </c>
      <c r="J500" s="559">
        <f>IFERROR(__xludf.DUMMYFUNCTION("""COMPUTED_VALUE"""),70.0)</f>
        <v>70</v>
      </c>
      <c r="K500" s="559">
        <f>IFERROR(__xludf.DUMMYFUNCTION("""COMPUTED_VALUE"""),70.0)</f>
        <v>70</v>
      </c>
      <c r="L500" s="560">
        <f>IFERROR(__xludf.DUMMYFUNCTION("""COMPUTED_VALUE"""),50.0)</f>
        <v>50</v>
      </c>
      <c r="M500" s="561">
        <f>IFERROR(__xludf.DUMMYFUNCTION("""COMPUTED_VALUE"""),16.0)</f>
        <v>16</v>
      </c>
      <c r="N500" s="561">
        <f>IFERROR(__xludf.DUMMYFUNCTION("""COMPUTED_VALUE"""),32.0)</f>
        <v>32</v>
      </c>
      <c r="O500" s="560"/>
      <c r="P500" s="562">
        <f>IFERROR(__xludf.DUMMYFUNCTION("""COMPUTED_VALUE"""),73.0)</f>
        <v>73</v>
      </c>
      <c r="Q500" s="562">
        <f>IFERROR(__xludf.DUMMYFUNCTION("""COMPUTED_VALUE"""),56.0)</f>
        <v>56</v>
      </c>
      <c r="R500" s="562">
        <f>IFERROR(__xludf.DUMMYFUNCTION("""COMPUTED_VALUE"""),75.0)</f>
        <v>75</v>
      </c>
      <c r="S500" s="562"/>
      <c r="T500" s="217">
        <f>IFERROR(__xludf.DUMMYFUNCTION("""COMPUTED_VALUE"""),19.0)</f>
        <v>19</v>
      </c>
      <c r="U500" s="217">
        <f>IFERROR(__xludf.DUMMYFUNCTION("""COMPUTED_VALUE"""),16.0)</f>
        <v>16</v>
      </c>
      <c r="V500" s="217">
        <f>IFERROR(__xludf.DUMMYFUNCTION("""COMPUTED_VALUE"""),32.0)</f>
        <v>32</v>
      </c>
      <c r="W500" s="217">
        <f>IFERROR(__xludf.DUMMYFUNCTION("""COMPUTED_VALUE"""),78.0)</f>
        <v>78</v>
      </c>
      <c r="X500" s="217">
        <f>IFERROR(__xludf.DUMMYFUNCTION("""COMPUTED_VALUE"""),76.0)</f>
        <v>76</v>
      </c>
      <c r="Y500" s="217"/>
      <c r="Z500" s="217"/>
      <c r="AA500" s="481">
        <f>IFERROR(__xludf.DUMMYFUNCTION("""COMPUTED_VALUE"""),81.0)</f>
        <v>81</v>
      </c>
      <c r="AB500" s="481">
        <f>IFERROR(__xludf.DUMMYFUNCTION("""COMPUTED_VALUE"""),88.0)</f>
        <v>88</v>
      </c>
      <c r="AC500" s="481">
        <f>IFERROR(__xludf.DUMMYFUNCTION("""COMPUTED_VALUE"""),62.0)</f>
        <v>62</v>
      </c>
      <c r="AD500" s="481">
        <f>IFERROR(__xludf.DUMMYFUNCTION("""COMPUTED_VALUE"""),0.0)</f>
        <v>0</v>
      </c>
      <c r="AE500" s="481">
        <f>IFERROR(__xludf.DUMMYFUNCTION("""COMPUTED_VALUE"""),80.0)</f>
        <v>80</v>
      </c>
      <c r="AF500" s="481"/>
      <c r="AG500" s="481">
        <f>IFERROR(__xludf.DUMMYFUNCTION("""COMPUTED_VALUE"""),79.0)</f>
        <v>79</v>
      </c>
      <c r="AH500" s="481"/>
      <c r="AI500" s="158"/>
      <c r="AJ500" s="158"/>
      <c r="AK500" s="133">
        <f>IFERROR(__xludf.DUMMYFUNCTION("""COMPUTED_VALUE"""),4.0)</f>
        <v>4</v>
      </c>
      <c r="AL500" s="133">
        <f>IFERROR(__xludf.DUMMYFUNCTION("""COMPUTED_VALUE"""),1.0)</f>
        <v>1</v>
      </c>
      <c r="AM500" s="133">
        <f>IFERROR(__xludf.DUMMYFUNCTION("""COMPUTED_VALUE"""),3.0)</f>
        <v>3</v>
      </c>
      <c r="AN500" s="133" t="str">
        <f>IFERROR(__xludf.DUMMYFUNCTION("""COMPUTED_VALUE"""),"3.5")</f>
        <v>3.5</v>
      </c>
      <c r="AO500" s="133">
        <f>IFERROR(__xludf.DUMMYFUNCTION("""COMPUTED_VALUE"""),3.0)</f>
        <v>3</v>
      </c>
      <c r="AP500" s="155" t="s">
        <v>3743</v>
      </c>
    </row>
    <row r="501">
      <c r="A501" s="155">
        <f>IFERROR(__xludf.DUMMYFUNCTION("""COMPUTED_VALUE"""),47.0)</f>
        <v>47</v>
      </c>
      <c r="B501" s="155" t="str">
        <f>IFERROR(__xludf.DUMMYFUNCTION("""COMPUTED_VALUE"""),"abs23csds@cmrit.ac.in")</f>
        <v>abs23csds@cmrit.ac.in</v>
      </c>
      <c r="C501" s="174" t="str">
        <f>IFERROR(__xludf.DUMMYFUNCTION("""COMPUTED_VALUE"""),"S ABHIJIT")</f>
        <v>S ABHIJIT</v>
      </c>
      <c r="D501" s="155" t="str">
        <f>IFERROR(__xludf.DUMMYFUNCTION("""COMPUTED_VALUE"""),"1CR23CD050")</f>
        <v>1CR23CD050</v>
      </c>
      <c r="E501" s="563">
        <f>IFERROR(__xludf.DUMMYFUNCTION("""COMPUTED_VALUE"""),8.903988165E9)</f>
        <v>8903988165</v>
      </c>
      <c r="F501" s="155" t="str">
        <f>IFERROR(__xludf.DUMMYFUNCTION("""COMPUTED_VALUE"""),"CSE(DS)")</f>
        <v>CSE(DS)</v>
      </c>
      <c r="G501" s="158"/>
      <c r="H501" s="559">
        <f>IFERROR(__xludf.DUMMYFUNCTION("""COMPUTED_VALUE"""),81.0)</f>
        <v>81</v>
      </c>
      <c r="I501" s="559">
        <f>IFERROR(__xludf.DUMMYFUNCTION("""COMPUTED_VALUE"""),86.0)</f>
        <v>86</v>
      </c>
      <c r="J501" s="559">
        <f>IFERROR(__xludf.DUMMYFUNCTION("""COMPUTED_VALUE"""),78.0)</f>
        <v>78</v>
      </c>
      <c r="K501" s="559">
        <f>IFERROR(__xludf.DUMMYFUNCTION("""COMPUTED_VALUE"""),70.0)</f>
        <v>70</v>
      </c>
      <c r="L501" s="560">
        <f>IFERROR(__xludf.DUMMYFUNCTION("""COMPUTED_VALUE"""),52.0)</f>
        <v>52</v>
      </c>
      <c r="M501" s="561">
        <f>IFERROR(__xludf.DUMMYFUNCTION("""COMPUTED_VALUE"""),31.0)</f>
        <v>31</v>
      </c>
      <c r="N501" s="561">
        <f>IFERROR(__xludf.DUMMYFUNCTION("""COMPUTED_VALUE"""),17.0)</f>
        <v>17</v>
      </c>
      <c r="O501" s="560"/>
      <c r="P501" s="562">
        <f>IFERROR(__xludf.DUMMYFUNCTION("""COMPUTED_VALUE"""),73.0)</f>
        <v>73</v>
      </c>
      <c r="Q501" s="562">
        <f>IFERROR(__xludf.DUMMYFUNCTION("""COMPUTED_VALUE"""),55.0)</f>
        <v>55</v>
      </c>
      <c r="R501" s="562">
        <f>IFERROR(__xludf.DUMMYFUNCTION("""COMPUTED_VALUE"""),0.0)</f>
        <v>0</v>
      </c>
      <c r="S501" s="562"/>
      <c r="T501" s="217">
        <f>IFERROR(__xludf.DUMMYFUNCTION("""COMPUTED_VALUE"""),19.0)</f>
        <v>19</v>
      </c>
      <c r="U501" s="217">
        <f>IFERROR(__xludf.DUMMYFUNCTION("""COMPUTED_VALUE"""),15.0)</f>
        <v>15</v>
      </c>
      <c r="V501" s="217">
        <f>IFERROR(__xludf.DUMMYFUNCTION("""COMPUTED_VALUE"""),68.0)</f>
        <v>68</v>
      </c>
      <c r="W501" s="217">
        <f>IFERROR(__xludf.DUMMYFUNCTION("""COMPUTED_VALUE"""),76.0)</f>
        <v>76</v>
      </c>
      <c r="X501" s="217">
        <f>IFERROR(__xludf.DUMMYFUNCTION("""COMPUTED_VALUE"""),72.0)</f>
        <v>72</v>
      </c>
      <c r="Y501" s="217"/>
      <c r="Z501" s="217"/>
      <c r="AA501" s="481">
        <f>IFERROR(__xludf.DUMMYFUNCTION("""COMPUTED_VALUE"""),41.0)</f>
        <v>41</v>
      </c>
      <c r="AB501" s="481">
        <f>IFERROR(__xludf.DUMMYFUNCTION("""COMPUTED_VALUE"""),89.0)</f>
        <v>89</v>
      </c>
      <c r="AC501" s="481">
        <f>IFERROR(__xludf.DUMMYFUNCTION("""COMPUTED_VALUE"""),80.0)</f>
        <v>80</v>
      </c>
      <c r="AD501" s="481">
        <f>IFERROR(__xludf.DUMMYFUNCTION("""COMPUTED_VALUE"""),18.0)</f>
        <v>18</v>
      </c>
      <c r="AE501" s="481">
        <f>IFERROR(__xludf.DUMMYFUNCTION("""COMPUTED_VALUE"""),87.0)</f>
        <v>87</v>
      </c>
      <c r="AF501" s="481"/>
      <c r="AG501" s="481">
        <f>IFERROR(__xludf.DUMMYFUNCTION("""COMPUTED_VALUE"""),71.0)</f>
        <v>71</v>
      </c>
      <c r="AH501" s="481"/>
      <c r="AI501" s="158"/>
      <c r="AJ501" s="158"/>
      <c r="AK501" s="133">
        <f>IFERROR(__xludf.DUMMYFUNCTION("""COMPUTED_VALUE"""),4.0)</f>
        <v>4</v>
      </c>
      <c r="AL501" s="133">
        <f>IFERROR(__xludf.DUMMYFUNCTION("""COMPUTED_VALUE"""),1.0)</f>
        <v>1</v>
      </c>
      <c r="AM501" s="133">
        <f>IFERROR(__xludf.DUMMYFUNCTION("""COMPUTED_VALUE"""),3.0)</f>
        <v>3</v>
      </c>
      <c r="AN501" s="133" t="str">
        <f>IFERROR(__xludf.DUMMYFUNCTION("""COMPUTED_VALUE"""),"3.5")</f>
        <v>3.5</v>
      </c>
      <c r="AO501" s="133">
        <f>IFERROR(__xludf.DUMMYFUNCTION("""COMPUTED_VALUE"""),2.0)</f>
        <v>2</v>
      </c>
      <c r="AP501" s="155" t="s">
        <v>3743</v>
      </c>
    </row>
    <row r="502">
      <c r="A502" s="155">
        <f>IFERROR(__xludf.DUMMYFUNCTION("""COMPUTED_VALUE"""),48.0)</f>
        <v>48</v>
      </c>
      <c r="B502" s="155" t="str">
        <f>IFERROR(__xludf.DUMMYFUNCTION("""COMPUTED_VALUE"""),"sajo23csds@cmrit.ac.in")</f>
        <v>sajo23csds@cmrit.ac.in</v>
      </c>
      <c r="C502" s="174" t="str">
        <f>IFERROR(__xludf.DUMMYFUNCTION("""COMPUTED_VALUE"""),"SANDHYA JOSHI ")</f>
        <v>SANDHYA JOSHI </v>
      </c>
      <c r="D502" s="155" t="str">
        <f>IFERROR(__xludf.DUMMYFUNCTION("""COMPUTED_VALUE"""),"1CR23CD051")</f>
        <v>1CR23CD051</v>
      </c>
      <c r="E502" s="563">
        <f>IFERROR(__xludf.DUMMYFUNCTION("""COMPUTED_VALUE"""),9.886416668E9)</f>
        <v>9886416668</v>
      </c>
      <c r="F502" s="155" t="str">
        <f>IFERROR(__xludf.DUMMYFUNCTION("""COMPUTED_VALUE"""),"CSE(DS)")</f>
        <v>CSE(DS)</v>
      </c>
      <c r="G502" s="158"/>
      <c r="H502" s="559">
        <f>IFERROR(__xludf.DUMMYFUNCTION("""COMPUTED_VALUE"""),91.0)</f>
        <v>91</v>
      </c>
      <c r="I502" s="559">
        <f>IFERROR(__xludf.DUMMYFUNCTION("""COMPUTED_VALUE"""),92.0)</f>
        <v>92</v>
      </c>
      <c r="J502" s="559">
        <f>IFERROR(__xludf.DUMMYFUNCTION("""COMPUTED_VALUE"""),83.0)</f>
        <v>83</v>
      </c>
      <c r="K502" s="559">
        <f>IFERROR(__xludf.DUMMYFUNCTION("""COMPUTED_VALUE"""),83.0)</f>
        <v>83</v>
      </c>
      <c r="L502" s="560">
        <f>IFERROR(__xludf.DUMMYFUNCTION("""COMPUTED_VALUE"""),52.0)</f>
        <v>52</v>
      </c>
      <c r="M502" s="561">
        <f>IFERROR(__xludf.DUMMYFUNCTION("""COMPUTED_VALUE"""),50.0)</f>
        <v>50</v>
      </c>
      <c r="N502" s="561">
        <f>IFERROR(__xludf.DUMMYFUNCTION("""COMPUTED_VALUE"""),50.0)</f>
        <v>50</v>
      </c>
      <c r="O502" s="560"/>
      <c r="P502" s="562">
        <f>IFERROR(__xludf.DUMMYFUNCTION("""COMPUTED_VALUE"""),74.0)</f>
        <v>74</v>
      </c>
      <c r="Q502" s="562">
        <f>IFERROR(__xludf.DUMMYFUNCTION("""COMPUTED_VALUE"""),55.0)</f>
        <v>55</v>
      </c>
      <c r="R502" s="562">
        <f>IFERROR(__xludf.DUMMYFUNCTION("""COMPUTED_VALUE"""),74.0)</f>
        <v>74</v>
      </c>
      <c r="S502" s="562"/>
      <c r="T502" s="217">
        <f>IFERROR(__xludf.DUMMYFUNCTION("""COMPUTED_VALUE"""),13.0)</f>
        <v>13</v>
      </c>
      <c r="U502" s="217">
        <f>IFERROR(__xludf.DUMMYFUNCTION("""COMPUTED_VALUE"""),18.0)</f>
        <v>18</v>
      </c>
      <c r="V502" s="217">
        <f>IFERROR(__xludf.DUMMYFUNCTION("""COMPUTED_VALUE"""),42.0)</f>
        <v>42</v>
      </c>
      <c r="W502" s="217">
        <f>IFERROR(__xludf.DUMMYFUNCTION("""COMPUTED_VALUE"""),90.0)</f>
        <v>90</v>
      </c>
      <c r="X502" s="217">
        <f>IFERROR(__xludf.DUMMYFUNCTION("""COMPUTED_VALUE"""),88.0)</f>
        <v>88</v>
      </c>
      <c r="Y502" s="217"/>
      <c r="Z502" s="217"/>
      <c r="AA502" s="481"/>
      <c r="AB502" s="481">
        <f>IFERROR(__xludf.DUMMYFUNCTION("""COMPUTED_VALUE"""),93.0)</f>
        <v>93</v>
      </c>
      <c r="AC502" s="481">
        <f>IFERROR(__xludf.DUMMYFUNCTION("""COMPUTED_VALUE"""),100.0)</f>
        <v>100</v>
      </c>
      <c r="AD502" s="481">
        <f>IFERROR(__xludf.DUMMYFUNCTION("""COMPUTED_VALUE"""),80.0)</f>
        <v>80</v>
      </c>
      <c r="AE502" s="481">
        <f>IFERROR(__xludf.DUMMYFUNCTION("""COMPUTED_VALUE"""),80.0)</f>
        <v>80</v>
      </c>
      <c r="AF502" s="481"/>
      <c r="AG502" s="481">
        <f>IFERROR(__xludf.DUMMYFUNCTION("""COMPUTED_VALUE"""),75.0)</f>
        <v>75</v>
      </c>
      <c r="AH502" s="481"/>
      <c r="AI502" s="158"/>
      <c r="AJ502" s="158"/>
      <c r="AK502" s="133">
        <f>IFERROR(__xludf.DUMMYFUNCTION("""COMPUTED_VALUE"""),4.0)</f>
        <v>4</v>
      </c>
      <c r="AL502" s="133">
        <f>IFERROR(__xludf.DUMMYFUNCTION("""COMPUTED_VALUE"""),3.0)</f>
        <v>3</v>
      </c>
      <c r="AM502" s="133">
        <f>IFERROR(__xludf.DUMMYFUNCTION("""COMPUTED_VALUE"""),3.0)</f>
        <v>3</v>
      </c>
      <c r="AN502" s="133" t="str">
        <f>IFERROR(__xludf.DUMMYFUNCTION("""COMPUTED_VALUE"""),"3.5")</f>
        <v>3.5</v>
      </c>
      <c r="AO502" s="133">
        <f>IFERROR(__xludf.DUMMYFUNCTION("""COMPUTED_VALUE"""),3.0)</f>
        <v>3</v>
      </c>
      <c r="AP502" s="155" t="s">
        <v>3743</v>
      </c>
    </row>
    <row r="503">
      <c r="A503" s="155">
        <f>IFERROR(__xludf.DUMMYFUNCTION("""COMPUTED_VALUE"""),49.0)</f>
        <v>49</v>
      </c>
      <c r="B503" s="155" t="str">
        <f>IFERROR(__xludf.DUMMYFUNCTION("""COMPUTED_VALUE"""),"saka23csds@cmrit.ac.in")</f>
        <v>saka23csds@cmrit.ac.in</v>
      </c>
      <c r="C503" s="174" t="str">
        <f>IFERROR(__xludf.DUMMYFUNCTION("""COMPUTED_VALUE"""),"SANIDHYA KALTA")</f>
        <v>SANIDHYA KALTA</v>
      </c>
      <c r="D503" s="155" t="str">
        <f>IFERROR(__xludf.DUMMYFUNCTION("""COMPUTED_VALUE"""),"1CR23CD052")</f>
        <v>1CR23CD052</v>
      </c>
      <c r="E503" s="563">
        <f>IFERROR(__xludf.DUMMYFUNCTION("""COMPUTED_VALUE"""),8.894184955E9)</f>
        <v>8894184955</v>
      </c>
      <c r="F503" s="155" t="str">
        <f>IFERROR(__xludf.DUMMYFUNCTION("""COMPUTED_VALUE"""),"CSE(DS)")</f>
        <v>CSE(DS)</v>
      </c>
      <c r="G503" s="158"/>
      <c r="H503" s="559">
        <f>IFERROR(__xludf.DUMMYFUNCTION("""COMPUTED_VALUE"""),82.0)</f>
        <v>82</v>
      </c>
      <c r="I503" s="559">
        <f>IFERROR(__xludf.DUMMYFUNCTION("""COMPUTED_VALUE"""),84.0)</f>
        <v>84</v>
      </c>
      <c r="J503" s="559">
        <f>IFERROR(__xludf.DUMMYFUNCTION("""COMPUTED_VALUE"""),70.0)</f>
        <v>70</v>
      </c>
      <c r="K503" s="559">
        <f>IFERROR(__xludf.DUMMYFUNCTION("""COMPUTED_VALUE"""),70.0)</f>
        <v>70</v>
      </c>
      <c r="L503" s="560">
        <f>IFERROR(__xludf.DUMMYFUNCTION("""COMPUTED_VALUE"""),50.0)</f>
        <v>50</v>
      </c>
      <c r="M503" s="561">
        <f>IFERROR(__xludf.DUMMYFUNCTION("""COMPUTED_VALUE"""),50.0)</f>
        <v>50</v>
      </c>
      <c r="N503" s="561">
        <f>IFERROR(__xludf.DUMMYFUNCTION("""COMPUTED_VALUE"""),50.0)</f>
        <v>50</v>
      </c>
      <c r="O503" s="560"/>
      <c r="P503" s="562">
        <f>IFERROR(__xludf.DUMMYFUNCTION("""COMPUTED_VALUE"""),50.0)</f>
        <v>50</v>
      </c>
      <c r="Q503" s="562">
        <f>IFERROR(__xludf.DUMMYFUNCTION("""COMPUTED_VALUE"""),80.0)</f>
        <v>80</v>
      </c>
      <c r="R503" s="562">
        <f>IFERROR(__xludf.DUMMYFUNCTION("""COMPUTED_VALUE"""),81.0)</f>
        <v>81</v>
      </c>
      <c r="S503" s="562"/>
      <c r="T503" s="217">
        <f>IFERROR(__xludf.DUMMYFUNCTION("""COMPUTED_VALUE"""),19.0)</f>
        <v>19</v>
      </c>
      <c r="U503" s="217">
        <f>IFERROR(__xludf.DUMMYFUNCTION("""COMPUTED_VALUE"""),18.0)</f>
        <v>18</v>
      </c>
      <c r="V503" s="217">
        <f>IFERROR(__xludf.DUMMYFUNCTION("""COMPUTED_VALUE"""),84.0)</f>
        <v>84</v>
      </c>
      <c r="W503" s="217">
        <f>IFERROR(__xludf.DUMMYFUNCTION("""COMPUTED_VALUE"""),72.0)</f>
        <v>72</v>
      </c>
      <c r="X503" s="217">
        <f>IFERROR(__xludf.DUMMYFUNCTION("""COMPUTED_VALUE"""),82.0)</f>
        <v>82</v>
      </c>
      <c r="Y503" s="217"/>
      <c r="Z503" s="217"/>
      <c r="AA503" s="481">
        <f>IFERROR(__xludf.DUMMYFUNCTION("""COMPUTED_VALUE"""),88.0)</f>
        <v>88</v>
      </c>
      <c r="AB503" s="481">
        <f>IFERROR(__xludf.DUMMYFUNCTION("""COMPUTED_VALUE"""),84.0)</f>
        <v>84</v>
      </c>
      <c r="AC503" s="481">
        <f>IFERROR(__xludf.DUMMYFUNCTION("""COMPUTED_VALUE"""),64.0)</f>
        <v>64</v>
      </c>
      <c r="AD503" s="481">
        <f>IFERROR(__xludf.DUMMYFUNCTION("""COMPUTED_VALUE"""),38.0)</f>
        <v>38</v>
      </c>
      <c r="AE503" s="481">
        <f>IFERROR(__xludf.DUMMYFUNCTION("""COMPUTED_VALUE"""),85.0)</f>
        <v>85</v>
      </c>
      <c r="AF503" s="481"/>
      <c r="AG503" s="481">
        <f>IFERROR(__xludf.DUMMYFUNCTION("""COMPUTED_VALUE"""),71.0)</f>
        <v>71</v>
      </c>
      <c r="AH503" s="481"/>
      <c r="AI503" s="158"/>
      <c r="AJ503" s="158"/>
      <c r="AK503" s="133">
        <f>IFERROR(__xludf.DUMMYFUNCTION("""COMPUTED_VALUE"""),4.0)</f>
        <v>4</v>
      </c>
      <c r="AL503" s="133">
        <f>IFERROR(__xludf.DUMMYFUNCTION("""COMPUTED_VALUE"""),3.0)</f>
        <v>3</v>
      </c>
      <c r="AM503" s="133">
        <f>IFERROR(__xludf.DUMMYFUNCTION("""COMPUTED_VALUE"""),3.0)</f>
        <v>3</v>
      </c>
      <c r="AN503" s="133" t="str">
        <f>IFERROR(__xludf.DUMMYFUNCTION("""COMPUTED_VALUE"""),"3.5")</f>
        <v>3.5</v>
      </c>
      <c r="AO503" s="133">
        <f>IFERROR(__xludf.DUMMYFUNCTION("""COMPUTED_VALUE"""),3.0)</f>
        <v>3</v>
      </c>
      <c r="AP503" s="155" t="s">
        <v>3743</v>
      </c>
    </row>
    <row r="504">
      <c r="A504" s="155">
        <f>IFERROR(__xludf.DUMMYFUNCTION("""COMPUTED_VALUE"""),50.0)</f>
        <v>50</v>
      </c>
      <c r="B504" s="155" t="str">
        <f>IFERROR(__xludf.DUMMYFUNCTION("""COMPUTED_VALUE"""),"sasa23csds@cmrit.ac.in")</f>
        <v>sasa23csds@cmrit.ac.in</v>
      </c>
      <c r="C504" s="174" t="str">
        <f>IFERROR(__xludf.DUMMYFUNCTION("""COMPUTED_VALUE"""),"SANIKA SANTHOSH ")</f>
        <v>SANIKA SANTHOSH </v>
      </c>
      <c r="D504" s="155" t="str">
        <f>IFERROR(__xludf.DUMMYFUNCTION("""COMPUTED_VALUE"""),"1CR23CD053")</f>
        <v>1CR23CD053</v>
      </c>
      <c r="E504" s="563">
        <f>IFERROR(__xludf.DUMMYFUNCTION("""COMPUTED_VALUE"""),9.074335718E9)</f>
        <v>9074335718</v>
      </c>
      <c r="F504" s="155" t="str">
        <f>IFERROR(__xludf.DUMMYFUNCTION("""COMPUTED_VALUE"""),"CSE(DS)")</f>
        <v>CSE(DS)</v>
      </c>
      <c r="G504" s="158"/>
      <c r="H504" s="559">
        <f>IFERROR(__xludf.DUMMYFUNCTION("""COMPUTED_VALUE"""),81.0)</f>
        <v>81</v>
      </c>
      <c r="I504" s="559">
        <f>IFERROR(__xludf.DUMMYFUNCTION("""COMPUTED_VALUE"""),85.0)</f>
        <v>85</v>
      </c>
      <c r="J504" s="559">
        <f>IFERROR(__xludf.DUMMYFUNCTION("""COMPUTED_VALUE"""),70.0)</f>
        <v>70</v>
      </c>
      <c r="K504" s="559">
        <f>IFERROR(__xludf.DUMMYFUNCTION("""COMPUTED_VALUE"""),70.0)</f>
        <v>70</v>
      </c>
      <c r="L504" s="560">
        <f>IFERROR(__xludf.DUMMYFUNCTION("""COMPUTED_VALUE"""),50.0)</f>
        <v>50</v>
      </c>
      <c r="M504" s="561">
        <f>IFERROR(__xludf.DUMMYFUNCTION("""COMPUTED_VALUE"""),20.0)</f>
        <v>20</v>
      </c>
      <c r="N504" s="561">
        <f>IFERROR(__xludf.DUMMYFUNCTION("""COMPUTED_VALUE"""),7.0)</f>
        <v>7</v>
      </c>
      <c r="O504" s="560"/>
      <c r="P504" s="562">
        <f>IFERROR(__xludf.DUMMYFUNCTION("""COMPUTED_VALUE"""),50.0)</f>
        <v>50</v>
      </c>
      <c r="Q504" s="562">
        <f>IFERROR(__xludf.DUMMYFUNCTION("""COMPUTED_VALUE"""),50.0)</f>
        <v>50</v>
      </c>
      <c r="R504" s="562">
        <f>IFERROR(__xludf.DUMMYFUNCTION("""COMPUTED_VALUE"""),0.0)</f>
        <v>0</v>
      </c>
      <c r="S504" s="562"/>
      <c r="T504" s="217">
        <f>IFERROR(__xludf.DUMMYFUNCTION("""COMPUTED_VALUE"""),15.0)</f>
        <v>15</v>
      </c>
      <c r="U504" s="217"/>
      <c r="V504" s="217">
        <f>IFERROR(__xludf.DUMMYFUNCTION("""COMPUTED_VALUE"""),80.0)</f>
        <v>80</v>
      </c>
      <c r="W504" s="217">
        <f>IFERROR(__xludf.DUMMYFUNCTION("""COMPUTED_VALUE"""),70.0)</f>
        <v>70</v>
      </c>
      <c r="X504" s="217">
        <f>IFERROR(__xludf.DUMMYFUNCTION("""COMPUTED_VALUE"""),86.0)</f>
        <v>86</v>
      </c>
      <c r="Y504" s="217"/>
      <c r="Z504" s="217"/>
      <c r="AA504" s="481">
        <f>IFERROR(__xludf.DUMMYFUNCTION("""COMPUTED_VALUE"""),54.0)</f>
        <v>54</v>
      </c>
      <c r="AB504" s="481">
        <f>IFERROR(__xludf.DUMMYFUNCTION("""COMPUTED_VALUE"""),78.0)</f>
        <v>78</v>
      </c>
      <c r="AC504" s="481">
        <f>IFERROR(__xludf.DUMMYFUNCTION("""COMPUTED_VALUE"""),28.0)</f>
        <v>28</v>
      </c>
      <c r="AD504" s="481">
        <f>IFERROR(__xludf.DUMMYFUNCTION("""COMPUTED_VALUE"""),0.0)</f>
        <v>0</v>
      </c>
      <c r="AE504" s="481">
        <f>IFERROR(__xludf.DUMMYFUNCTION("""COMPUTED_VALUE"""),76.0)</f>
        <v>76</v>
      </c>
      <c r="AF504" s="481"/>
      <c r="AG504" s="481">
        <f>IFERROR(__xludf.DUMMYFUNCTION("""COMPUTED_VALUE"""),10.0)</f>
        <v>10</v>
      </c>
      <c r="AH504" s="481"/>
      <c r="AI504" s="158"/>
      <c r="AJ504" s="158"/>
      <c r="AK504" s="133">
        <f>IFERROR(__xludf.DUMMYFUNCTION("""COMPUTED_VALUE"""),4.0)</f>
        <v>4</v>
      </c>
      <c r="AL504" s="133">
        <f>IFERROR(__xludf.DUMMYFUNCTION("""COMPUTED_VALUE"""),1.0)</f>
        <v>1</v>
      </c>
      <c r="AM504" s="133">
        <f>IFERROR(__xludf.DUMMYFUNCTION("""COMPUTED_VALUE"""),3.0)</f>
        <v>3</v>
      </c>
      <c r="AN504" s="133" t="str">
        <f>IFERROR(__xludf.DUMMYFUNCTION("""COMPUTED_VALUE"""),"2")</f>
        <v>2</v>
      </c>
      <c r="AO504" s="133">
        <f>IFERROR(__xludf.DUMMYFUNCTION("""COMPUTED_VALUE"""),2.0)</f>
        <v>2</v>
      </c>
      <c r="AP504" s="155" t="s">
        <v>3743</v>
      </c>
    </row>
    <row r="505">
      <c r="A505" s="155">
        <f>IFERROR(__xludf.DUMMYFUNCTION("""COMPUTED_VALUE"""),51.0)</f>
        <v>51</v>
      </c>
      <c r="B505" s="155" t="str">
        <f>IFERROR(__xludf.DUMMYFUNCTION("""COMPUTED_VALUE"""),"shsi23csds@cmrit.ac.in")</f>
        <v>shsi23csds@cmrit.ac.in</v>
      </c>
      <c r="C505" s="174" t="str">
        <f>IFERROR(__xludf.DUMMYFUNCTION("""COMPUTED_VALUE"""),"Shivam Singh")</f>
        <v>Shivam Singh</v>
      </c>
      <c r="D505" s="155" t="str">
        <f>IFERROR(__xludf.DUMMYFUNCTION("""COMPUTED_VALUE"""),"1CR23CD055")</f>
        <v>1CR23CD055</v>
      </c>
      <c r="E505" s="563">
        <f>IFERROR(__xludf.DUMMYFUNCTION("""COMPUTED_VALUE"""),6.361167314E9)</f>
        <v>6361167314</v>
      </c>
      <c r="F505" s="155" t="str">
        <f>IFERROR(__xludf.DUMMYFUNCTION("""COMPUTED_VALUE"""),"CSE(DS)")</f>
        <v>CSE(DS)</v>
      </c>
      <c r="G505" s="158"/>
      <c r="H505" s="559">
        <f>IFERROR(__xludf.DUMMYFUNCTION("""COMPUTED_VALUE"""),89.0)</f>
        <v>89</v>
      </c>
      <c r="I505" s="559">
        <f>IFERROR(__xludf.DUMMYFUNCTION("""COMPUTED_VALUE"""),84.0)</f>
        <v>84</v>
      </c>
      <c r="J505" s="559">
        <f>IFERROR(__xludf.DUMMYFUNCTION("""COMPUTED_VALUE"""),70.0)</f>
        <v>70</v>
      </c>
      <c r="K505" s="559">
        <f>IFERROR(__xludf.DUMMYFUNCTION("""COMPUTED_VALUE"""),74.0)</f>
        <v>74</v>
      </c>
      <c r="L505" s="560">
        <f>IFERROR(__xludf.DUMMYFUNCTION("""COMPUTED_VALUE"""),63.0)</f>
        <v>63</v>
      </c>
      <c r="M505" s="561">
        <f>IFERROR(__xludf.DUMMYFUNCTION("""COMPUTED_VALUE"""),64.0)</f>
        <v>64</v>
      </c>
      <c r="N505" s="561">
        <f>IFERROR(__xludf.DUMMYFUNCTION("""COMPUTED_VALUE"""),74.0)</f>
        <v>74</v>
      </c>
      <c r="O505" s="560"/>
      <c r="P505" s="562">
        <f>IFERROR(__xludf.DUMMYFUNCTION("""COMPUTED_VALUE"""),50.0)</f>
        <v>50</v>
      </c>
      <c r="Q505" s="562">
        <f>IFERROR(__xludf.DUMMYFUNCTION("""COMPUTED_VALUE"""),50.0)</f>
        <v>50</v>
      </c>
      <c r="R505" s="562">
        <f>IFERROR(__xludf.DUMMYFUNCTION("""COMPUTED_VALUE"""),84.0)</f>
        <v>84</v>
      </c>
      <c r="S505" s="562"/>
      <c r="T505" s="217">
        <f>IFERROR(__xludf.DUMMYFUNCTION("""COMPUTED_VALUE"""),10.0)</f>
        <v>10</v>
      </c>
      <c r="U505" s="217">
        <f>IFERROR(__xludf.DUMMYFUNCTION("""COMPUTED_VALUE"""),19.0)</f>
        <v>19</v>
      </c>
      <c r="V505" s="217">
        <f>IFERROR(__xludf.DUMMYFUNCTION("""COMPUTED_VALUE"""),86.0)</f>
        <v>86</v>
      </c>
      <c r="W505" s="217">
        <f>IFERROR(__xludf.DUMMYFUNCTION("""COMPUTED_VALUE"""),78.0)</f>
        <v>78</v>
      </c>
      <c r="X505" s="217">
        <f>IFERROR(__xludf.DUMMYFUNCTION("""COMPUTED_VALUE"""),76.0)</f>
        <v>76</v>
      </c>
      <c r="Y505" s="217"/>
      <c r="Z505" s="217"/>
      <c r="AA505" s="481"/>
      <c r="AB505" s="481">
        <f>IFERROR(__xludf.DUMMYFUNCTION("""COMPUTED_VALUE"""),93.0)</f>
        <v>93</v>
      </c>
      <c r="AC505" s="481">
        <f>IFERROR(__xludf.DUMMYFUNCTION("""COMPUTED_VALUE"""),100.0)</f>
        <v>100</v>
      </c>
      <c r="AD505" s="481">
        <f>IFERROR(__xludf.DUMMYFUNCTION("""COMPUTED_VALUE"""),41.0)</f>
        <v>41</v>
      </c>
      <c r="AE505" s="481">
        <f>IFERROR(__xludf.DUMMYFUNCTION("""COMPUTED_VALUE"""),70.0)</f>
        <v>70</v>
      </c>
      <c r="AF505" s="481"/>
      <c r="AG505" s="481">
        <f>IFERROR(__xludf.DUMMYFUNCTION("""COMPUTED_VALUE"""),83.0)</f>
        <v>83</v>
      </c>
      <c r="AH505" s="481"/>
      <c r="AI505" s="158"/>
      <c r="AJ505" s="158"/>
      <c r="AK505" s="133">
        <f>IFERROR(__xludf.DUMMYFUNCTION("""COMPUTED_VALUE"""),4.0)</f>
        <v>4</v>
      </c>
      <c r="AL505" s="133">
        <f>IFERROR(__xludf.DUMMYFUNCTION("""COMPUTED_VALUE"""),3.0)</f>
        <v>3</v>
      </c>
      <c r="AM505" s="133">
        <f>IFERROR(__xludf.DUMMYFUNCTION("""COMPUTED_VALUE"""),3.0)</f>
        <v>3</v>
      </c>
      <c r="AN505" s="133" t="str">
        <f>IFERROR(__xludf.DUMMYFUNCTION("""COMPUTED_VALUE"""),"3.5")</f>
        <v>3.5</v>
      </c>
      <c r="AO505" s="133">
        <f>IFERROR(__xludf.DUMMYFUNCTION("""COMPUTED_VALUE"""),3.0)</f>
        <v>3</v>
      </c>
      <c r="AP505" s="155" t="s">
        <v>3743</v>
      </c>
    </row>
    <row r="506">
      <c r="A506" s="155">
        <f>IFERROR(__xludf.DUMMYFUNCTION("""COMPUTED_VALUE"""),52.0)</f>
        <v>52</v>
      </c>
      <c r="B506" s="155" t="str">
        <f>IFERROR(__xludf.DUMMYFUNCTION("""COMPUTED_VALUE"""),"srs23csds@cmrit.ac.in")</f>
        <v>srs23csds@cmrit.ac.in</v>
      </c>
      <c r="C506" s="174" t="str">
        <f>IFERROR(__xludf.DUMMYFUNCTION("""COMPUTED_VALUE"""),"Sreeliya S")</f>
        <v>Sreeliya S</v>
      </c>
      <c r="D506" s="155" t="str">
        <f>IFERROR(__xludf.DUMMYFUNCTION("""COMPUTED_VALUE"""),"1CR23CD057")</f>
        <v>1CR23CD057</v>
      </c>
      <c r="E506" s="563">
        <f>IFERROR(__xludf.DUMMYFUNCTION("""COMPUTED_VALUE"""),8.310083789E9)</f>
        <v>8310083789</v>
      </c>
      <c r="F506" s="155" t="str">
        <f>IFERROR(__xludf.DUMMYFUNCTION("""COMPUTED_VALUE"""),"CSE(DS)")</f>
        <v>CSE(DS)</v>
      </c>
      <c r="G506" s="158"/>
      <c r="H506" s="559">
        <f>IFERROR(__xludf.DUMMYFUNCTION("""COMPUTED_VALUE"""),87.0)</f>
        <v>87</v>
      </c>
      <c r="I506" s="559">
        <f>IFERROR(__xludf.DUMMYFUNCTION("""COMPUTED_VALUE"""),91.0)</f>
        <v>91</v>
      </c>
      <c r="J506" s="559">
        <f>IFERROR(__xludf.DUMMYFUNCTION("""COMPUTED_VALUE"""),77.0)</f>
        <v>77</v>
      </c>
      <c r="K506" s="559">
        <f>IFERROR(__xludf.DUMMYFUNCTION("""COMPUTED_VALUE"""),75.0)</f>
        <v>75</v>
      </c>
      <c r="L506" s="560">
        <f>IFERROR(__xludf.DUMMYFUNCTION("""COMPUTED_VALUE"""),62.0)</f>
        <v>62</v>
      </c>
      <c r="M506" s="561">
        <f>IFERROR(__xludf.DUMMYFUNCTION("""COMPUTED_VALUE"""),50.0)</f>
        <v>50</v>
      </c>
      <c r="N506" s="561">
        <f>IFERROR(__xludf.DUMMYFUNCTION("""COMPUTED_VALUE"""),67.0)</f>
        <v>67</v>
      </c>
      <c r="O506" s="560"/>
      <c r="P506" s="562">
        <f>IFERROR(__xludf.DUMMYFUNCTION("""COMPUTED_VALUE"""),87.0)</f>
        <v>87</v>
      </c>
      <c r="Q506" s="562">
        <f>IFERROR(__xludf.DUMMYFUNCTION("""COMPUTED_VALUE"""),80.0)</f>
        <v>80</v>
      </c>
      <c r="R506" s="562">
        <f>IFERROR(__xludf.DUMMYFUNCTION("""COMPUTED_VALUE"""),93.0)</f>
        <v>93</v>
      </c>
      <c r="S506" s="562"/>
      <c r="T506" s="217">
        <f>IFERROR(__xludf.DUMMYFUNCTION("""COMPUTED_VALUE"""),13.0)</f>
        <v>13</v>
      </c>
      <c r="U506" s="217">
        <f>IFERROR(__xludf.DUMMYFUNCTION("""COMPUTED_VALUE"""),19.0)</f>
        <v>19</v>
      </c>
      <c r="V506" s="217">
        <f>IFERROR(__xludf.DUMMYFUNCTION("""COMPUTED_VALUE"""),72.0)</f>
        <v>72</v>
      </c>
      <c r="W506" s="217">
        <f>IFERROR(__xludf.DUMMYFUNCTION("""COMPUTED_VALUE"""),80.0)</f>
        <v>80</v>
      </c>
      <c r="X506" s="217">
        <f>IFERROR(__xludf.DUMMYFUNCTION("""COMPUTED_VALUE"""),88.0)</f>
        <v>88</v>
      </c>
      <c r="Y506" s="217"/>
      <c r="Z506" s="217"/>
      <c r="AA506" s="481"/>
      <c r="AB506" s="481">
        <f>IFERROR(__xludf.DUMMYFUNCTION("""COMPUTED_VALUE"""),100.0)</f>
        <v>100</v>
      </c>
      <c r="AC506" s="481">
        <f>IFERROR(__xludf.DUMMYFUNCTION("""COMPUTED_VALUE"""),90.0)</f>
        <v>90</v>
      </c>
      <c r="AD506" s="481">
        <f>IFERROR(__xludf.DUMMYFUNCTION("""COMPUTED_VALUE"""),60.0)</f>
        <v>60</v>
      </c>
      <c r="AE506" s="481">
        <f>IFERROR(__xludf.DUMMYFUNCTION("""COMPUTED_VALUE"""),82.0)</f>
        <v>82</v>
      </c>
      <c r="AF506" s="481"/>
      <c r="AG506" s="481">
        <f>IFERROR(__xludf.DUMMYFUNCTION("""COMPUTED_VALUE"""),90.0)</f>
        <v>90</v>
      </c>
      <c r="AH506" s="481"/>
      <c r="AI506" s="158"/>
      <c r="AJ506" s="158"/>
      <c r="AK506" s="133">
        <f>IFERROR(__xludf.DUMMYFUNCTION("""COMPUTED_VALUE"""),4.0)</f>
        <v>4</v>
      </c>
      <c r="AL506" s="133">
        <f>IFERROR(__xludf.DUMMYFUNCTION("""COMPUTED_VALUE"""),3.0)</f>
        <v>3</v>
      </c>
      <c r="AM506" s="133">
        <f>IFERROR(__xludf.DUMMYFUNCTION("""COMPUTED_VALUE"""),3.0)</f>
        <v>3</v>
      </c>
      <c r="AN506" s="133" t="str">
        <f>IFERROR(__xludf.DUMMYFUNCTION("""COMPUTED_VALUE"""),"3.5")</f>
        <v>3.5</v>
      </c>
      <c r="AO506" s="133">
        <f>IFERROR(__xludf.DUMMYFUNCTION("""COMPUTED_VALUE"""),3.0)</f>
        <v>3</v>
      </c>
      <c r="AP506" s="155" t="s">
        <v>3743</v>
      </c>
    </row>
    <row r="507">
      <c r="A507" s="155">
        <f>IFERROR(__xludf.DUMMYFUNCTION("""COMPUTED_VALUE"""),53.0)</f>
        <v>53</v>
      </c>
      <c r="B507" s="155" t="str">
        <f>IFERROR(__xludf.DUMMYFUNCTION("""COMPUTED_VALUE"""),"srpa23csds@cmrit.ac.in")</f>
        <v>srpa23csds@cmrit.ac.in</v>
      </c>
      <c r="C507" s="174" t="str">
        <f>IFERROR(__xludf.DUMMYFUNCTION("""COMPUTED_VALUE"""),"SRUJAN A PATIL")</f>
        <v>SRUJAN A PATIL</v>
      </c>
      <c r="D507" s="155" t="str">
        <f>IFERROR(__xludf.DUMMYFUNCTION("""COMPUTED_VALUE"""),"1CR23CD058")</f>
        <v>1CR23CD058</v>
      </c>
      <c r="E507" s="563">
        <f>IFERROR(__xludf.DUMMYFUNCTION("""COMPUTED_VALUE"""),9.035779733E9)</f>
        <v>9035779733</v>
      </c>
      <c r="F507" s="155" t="str">
        <f>IFERROR(__xludf.DUMMYFUNCTION("""COMPUTED_VALUE"""),"CSE(DS)")</f>
        <v>CSE(DS)</v>
      </c>
      <c r="G507" s="158"/>
      <c r="H507" s="559">
        <f>IFERROR(__xludf.DUMMYFUNCTION("""COMPUTED_VALUE"""),80.0)</f>
        <v>80</v>
      </c>
      <c r="I507" s="559">
        <f>IFERROR(__xludf.DUMMYFUNCTION("""COMPUTED_VALUE"""),81.0)</f>
        <v>81</v>
      </c>
      <c r="J507" s="559">
        <f>IFERROR(__xludf.DUMMYFUNCTION("""COMPUTED_VALUE"""),70.0)</f>
        <v>70</v>
      </c>
      <c r="K507" s="559">
        <f>IFERROR(__xludf.DUMMYFUNCTION("""COMPUTED_VALUE"""),61.0)</f>
        <v>61</v>
      </c>
      <c r="L507" s="560">
        <f>IFERROR(__xludf.DUMMYFUNCTION("""COMPUTED_VALUE"""),44.0)</f>
        <v>44</v>
      </c>
      <c r="M507" s="561">
        <f>IFERROR(__xludf.DUMMYFUNCTION("""COMPUTED_VALUE"""),33.0)</f>
        <v>33</v>
      </c>
      <c r="N507" s="561">
        <f>IFERROR(__xludf.DUMMYFUNCTION("""COMPUTED_VALUE"""),3.0)</f>
        <v>3</v>
      </c>
      <c r="O507" s="560"/>
      <c r="P507" s="562">
        <f>IFERROR(__xludf.DUMMYFUNCTION("""COMPUTED_VALUE"""),0.0)</f>
        <v>0</v>
      </c>
      <c r="Q507" s="562">
        <f>IFERROR(__xludf.DUMMYFUNCTION("""COMPUTED_VALUE"""),0.0)</f>
        <v>0</v>
      </c>
      <c r="R507" s="562">
        <f>IFERROR(__xludf.DUMMYFUNCTION("""COMPUTED_VALUE"""),45.0)</f>
        <v>45</v>
      </c>
      <c r="S507" s="562"/>
      <c r="T507" s="217">
        <f>IFERROR(__xludf.DUMMYFUNCTION("""COMPUTED_VALUE"""),19.0)</f>
        <v>19</v>
      </c>
      <c r="U507" s="217">
        <f>IFERROR(__xludf.DUMMYFUNCTION("""COMPUTED_VALUE"""),22.0)</f>
        <v>22</v>
      </c>
      <c r="V507" s="217">
        <f>IFERROR(__xludf.DUMMYFUNCTION("""COMPUTED_VALUE"""),61.0)</f>
        <v>61</v>
      </c>
      <c r="W507" s="217">
        <f>IFERROR(__xludf.DUMMYFUNCTION("""COMPUTED_VALUE"""),82.0)</f>
        <v>82</v>
      </c>
      <c r="X507" s="217">
        <f>IFERROR(__xludf.DUMMYFUNCTION("""COMPUTED_VALUE"""),66.0)</f>
        <v>66</v>
      </c>
      <c r="Y507" s="217"/>
      <c r="Z507" s="217"/>
      <c r="AA507" s="481"/>
      <c r="AB507" s="481">
        <f>IFERROR(__xludf.DUMMYFUNCTION("""COMPUTED_VALUE"""),79.0)</f>
        <v>79</v>
      </c>
      <c r="AC507" s="481">
        <f>IFERROR(__xludf.DUMMYFUNCTION("""COMPUTED_VALUE"""),0.0)</f>
        <v>0</v>
      </c>
      <c r="AD507" s="481">
        <f>IFERROR(__xludf.DUMMYFUNCTION("""COMPUTED_VALUE"""),0.0)</f>
        <v>0</v>
      </c>
      <c r="AE507" s="481">
        <f>IFERROR(__xludf.DUMMYFUNCTION("""COMPUTED_VALUE"""),10.0)</f>
        <v>10</v>
      </c>
      <c r="AF507" s="481"/>
      <c r="AG507" s="481">
        <f>IFERROR(__xludf.DUMMYFUNCTION("""COMPUTED_VALUE"""),0.0)</f>
        <v>0</v>
      </c>
      <c r="AH507" s="481"/>
      <c r="AI507" s="158"/>
      <c r="AJ507" s="158"/>
      <c r="AK507" s="133">
        <f>IFERROR(__xludf.DUMMYFUNCTION("""COMPUTED_VALUE"""),3.0)</f>
        <v>3</v>
      </c>
      <c r="AL507" s="133">
        <f>IFERROR(__xludf.DUMMYFUNCTION("""COMPUTED_VALUE"""),0.0)</f>
        <v>0</v>
      </c>
      <c r="AM507" s="133">
        <f>IFERROR(__xludf.DUMMYFUNCTION("""COMPUTED_VALUE"""),3.0)</f>
        <v>3</v>
      </c>
      <c r="AN507" s="133" t="str">
        <f>IFERROR(__xludf.DUMMYFUNCTION("""COMPUTED_VALUE"""),"2")</f>
        <v>2</v>
      </c>
      <c r="AO507" s="133">
        <f>IFERROR(__xludf.DUMMYFUNCTION("""COMPUTED_VALUE"""),0.0)</f>
        <v>0</v>
      </c>
      <c r="AP507" s="155" t="s">
        <v>3743</v>
      </c>
    </row>
    <row r="508">
      <c r="A508" s="155">
        <f>IFERROR(__xludf.DUMMYFUNCTION("""COMPUTED_VALUE"""),54.0)</f>
        <v>54</v>
      </c>
      <c r="B508" s="155" t="str">
        <f>IFERROR(__xludf.DUMMYFUNCTION("""COMPUTED_VALUE"""),"tasa23csds@cmrit.ac.in")</f>
        <v>tasa23csds@cmrit.ac.in</v>
      </c>
      <c r="C508" s="174" t="str">
        <f>IFERROR(__xludf.DUMMYFUNCTION("""COMPUTED_VALUE"""),"TANAY SARDA")</f>
        <v>TANAY SARDA</v>
      </c>
      <c r="D508" s="155" t="str">
        <f>IFERROR(__xludf.DUMMYFUNCTION("""COMPUTED_VALUE"""),"1CR23CD059")</f>
        <v>1CR23CD059</v>
      </c>
      <c r="E508" s="563">
        <f>IFERROR(__xludf.DUMMYFUNCTION("""COMPUTED_VALUE"""),6.371715868E9)</f>
        <v>6371715868</v>
      </c>
      <c r="F508" s="155" t="str">
        <f>IFERROR(__xludf.DUMMYFUNCTION("""COMPUTED_VALUE"""),"CSE(DS)")</f>
        <v>CSE(DS)</v>
      </c>
      <c r="G508" s="158"/>
      <c r="H508" s="559">
        <f>IFERROR(__xludf.DUMMYFUNCTION("""COMPUTED_VALUE"""),84.0)</f>
        <v>84</v>
      </c>
      <c r="I508" s="559">
        <f>IFERROR(__xludf.DUMMYFUNCTION("""COMPUTED_VALUE"""),86.0)</f>
        <v>86</v>
      </c>
      <c r="J508" s="559">
        <f>IFERROR(__xludf.DUMMYFUNCTION("""COMPUTED_VALUE"""),71.0)</f>
        <v>71</v>
      </c>
      <c r="K508" s="559">
        <f>IFERROR(__xludf.DUMMYFUNCTION("""COMPUTED_VALUE"""),80.0)</f>
        <v>80</v>
      </c>
      <c r="L508" s="560">
        <f>IFERROR(__xludf.DUMMYFUNCTION("""COMPUTED_VALUE"""),77.0)</f>
        <v>77</v>
      </c>
      <c r="M508" s="561">
        <f>IFERROR(__xludf.DUMMYFUNCTION("""COMPUTED_VALUE"""),50.0)</f>
        <v>50</v>
      </c>
      <c r="N508" s="561">
        <f>IFERROR(__xludf.DUMMYFUNCTION("""COMPUTED_VALUE"""),59.0)</f>
        <v>59</v>
      </c>
      <c r="O508" s="560"/>
      <c r="P508" s="562">
        <f>IFERROR(__xludf.DUMMYFUNCTION("""COMPUTED_VALUE"""),50.0)</f>
        <v>50</v>
      </c>
      <c r="Q508" s="562">
        <f>IFERROR(__xludf.DUMMYFUNCTION("""COMPUTED_VALUE"""),55.0)</f>
        <v>55</v>
      </c>
      <c r="R508" s="562">
        <f>IFERROR(__xludf.DUMMYFUNCTION("""COMPUTED_VALUE"""),95.0)</f>
        <v>95</v>
      </c>
      <c r="S508" s="562"/>
      <c r="T508" s="217">
        <f>IFERROR(__xludf.DUMMYFUNCTION("""COMPUTED_VALUE"""),12.0)</f>
        <v>12</v>
      </c>
      <c r="U508" s="217">
        <f>IFERROR(__xludf.DUMMYFUNCTION("""COMPUTED_VALUE"""),22.0)</f>
        <v>22</v>
      </c>
      <c r="V508" s="217">
        <f>IFERROR(__xludf.DUMMYFUNCTION("""COMPUTED_VALUE"""),94.0)</f>
        <v>94</v>
      </c>
      <c r="W508" s="217">
        <f>IFERROR(__xludf.DUMMYFUNCTION("""COMPUTED_VALUE"""),72.0)</f>
        <v>72</v>
      </c>
      <c r="X508" s="217">
        <f>IFERROR(__xludf.DUMMYFUNCTION("""COMPUTED_VALUE"""),78.0)</f>
        <v>78</v>
      </c>
      <c r="Y508" s="217"/>
      <c r="Z508" s="217"/>
      <c r="AA508" s="481">
        <f>IFERROR(__xludf.DUMMYFUNCTION("""COMPUTED_VALUE"""),98.0)</f>
        <v>98</v>
      </c>
      <c r="AB508" s="481">
        <f>IFERROR(__xludf.DUMMYFUNCTION("""COMPUTED_VALUE"""),100.0)</f>
        <v>100</v>
      </c>
      <c r="AC508" s="481">
        <f>IFERROR(__xludf.DUMMYFUNCTION("""COMPUTED_VALUE"""),100.0)</f>
        <v>100</v>
      </c>
      <c r="AD508" s="481">
        <f>IFERROR(__xludf.DUMMYFUNCTION("""COMPUTED_VALUE"""),90.0)</f>
        <v>90</v>
      </c>
      <c r="AE508" s="481">
        <f>IFERROR(__xludf.DUMMYFUNCTION("""COMPUTED_VALUE"""),84.0)</f>
        <v>84</v>
      </c>
      <c r="AF508" s="481"/>
      <c r="AG508" s="481">
        <f>IFERROR(__xludf.DUMMYFUNCTION("""COMPUTED_VALUE"""),80.0)</f>
        <v>80</v>
      </c>
      <c r="AH508" s="481"/>
      <c r="AI508" s="158"/>
      <c r="AJ508" s="158"/>
      <c r="AK508" s="133">
        <f>IFERROR(__xludf.DUMMYFUNCTION("""COMPUTED_VALUE"""),4.0)</f>
        <v>4</v>
      </c>
      <c r="AL508" s="133">
        <f>IFERROR(__xludf.DUMMYFUNCTION("""COMPUTED_VALUE"""),3.0)</f>
        <v>3</v>
      </c>
      <c r="AM508" s="133">
        <f>IFERROR(__xludf.DUMMYFUNCTION("""COMPUTED_VALUE"""),3.0)</f>
        <v>3</v>
      </c>
      <c r="AN508" s="133" t="str">
        <f>IFERROR(__xludf.DUMMYFUNCTION("""COMPUTED_VALUE"""),"3.5")</f>
        <v>3.5</v>
      </c>
      <c r="AO508" s="133">
        <f>IFERROR(__xludf.DUMMYFUNCTION("""COMPUTED_VALUE"""),3.0)</f>
        <v>3</v>
      </c>
      <c r="AP508" s="155" t="s">
        <v>3743</v>
      </c>
    </row>
    <row r="509">
      <c r="A509" s="155">
        <f>IFERROR(__xludf.DUMMYFUNCTION("""COMPUTED_VALUE"""),55.0)</f>
        <v>55</v>
      </c>
      <c r="B509" s="155" t="str">
        <f>IFERROR(__xludf.DUMMYFUNCTION("""COMPUTED_VALUE"""),"vas23csds@cmrit.ac.in")</f>
        <v>vas23csds@cmrit.ac.in</v>
      </c>
      <c r="C509" s="174" t="str">
        <f>IFERROR(__xludf.DUMMYFUNCTION("""COMPUTED_VALUE"""),"Vaishnavi S")</f>
        <v>Vaishnavi S</v>
      </c>
      <c r="D509" s="155" t="str">
        <f>IFERROR(__xludf.DUMMYFUNCTION("""COMPUTED_VALUE"""),"1CR23CD060")</f>
        <v>1CR23CD060</v>
      </c>
      <c r="E509" s="563">
        <f>IFERROR(__xludf.DUMMYFUNCTION("""COMPUTED_VALUE"""),7.019558838E9)</f>
        <v>7019558838</v>
      </c>
      <c r="F509" s="155" t="str">
        <f>IFERROR(__xludf.DUMMYFUNCTION("""COMPUTED_VALUE"""),"CSE(DS)")</f>
        <v>CSE(DS)</v>
      </c>
      <c r="G509" s="158"/>
      <c r="H509" s="559">
        <f>IFERROR(__xludf.DUMMYFUNCTION("""COMPUTED_VALUE"""),91.0)</f>
        <v>91</v>
      </c>
      <c r="I509" s="559">
        <f>IFERROR(__xludf.DUMMYFUNCTION("""COMPUTED_VALUE"""),92.0)</f>
        <v>92</v>
      </c>
      <c r="J509" s="559">
        <f>IFERROR(__xludf.DUMMYFUNCTION("""COMPUTED_VALUE"""),71.0)</f>
        <v>71</v>
      </c>
      <c r="K509" s="559">
        <f>IFERROR(__xludf.DUMMYFUNCTION("""COMPUTED_VALUE"""),72.0)</f>
        <v>72</v>
      </c>
      <c r="L509" s="560">
        <f>IFERROR(__xludf.DUMMYFUNCTION("""COMPUTED_VALUE"""),77.0)</f>
        <v>77</v>
      </c>
      <c r="M509" s="561">
        <f>IFERROR(__xludf.DUMMYFUNCTION("""COMPUTED_VALUE"""),50.0)</f>
        <v>50</v>
      </c>
      <c r="N509" s="561">
        <f>IFERROR(__xludf.DUMMYFUNCTION("""COMPUTED_VALUE"""),54.0)</f>
        <v>54</v>
      </c>
      <c r="O509" s="560"/>
      <c r="P509" s="562">
        <f>IFERROR(__xludf.DUMMYFUNCTION("""COMPUTED_VALUE"""),87.0)</f>
        <v>87</v>
      </c>
      <c r="Q509" s="562">
        <f>IFERROR(__xludf.DUMMYFUNCTION("""COMPUTED_VALUE"""),50.0)</f>
        <v>50</v>
      </c>
      <c r="R509" s="562">
        <f>IFERROR(__xludf.DUMMYFUNCTION("""COMPUTED_VALUE"""),88.0)</f>
        <v>88</v>
      </c>
      <c r="S509" s="562"/>
      <c r="T509" s="217">
        <f>IFERROR(__xludf.DUMMYFUNCTION("""COMPUTED_VALUE"""),21.0)</f>
        <v>21</v>
      </c>
      <c r="U509" s="217">
        <f>IFERROR(__xludf.DUMMYFUNCTION("""COMPUTED_VALUE"""),13.0)</f>
        <v>13</v>
      </c>
      <c r="V509" s="217">
        <f>IFERROR(__xludf.DUMMYFUNCTION("""COMPUTED_VALUE"""),70.0)</f>
        <v>70</v>
      </c>
      <c r="W509" s="217">
        <f>IFERROR(__xludf.DUMMYFUNCTION("""COMPUTED_VALUE"""),72.0)</f>
        <v>72</v>
      </c>
      <c r="X509" s="217">
        <f>IFERROR(__xludf.DUMMYFUNCTION("""COMPUTED_VALUE"""),86.0)</f>
        <v>86</v>
      </c>
      <c r="Y509" s="217"/>
      <c r="Z509" s="217"/>
      <c r="AA509" s="481">
        <f>IFERROR(__xludf.DUMMYFUNCTION("""COMPUTED_VALUE"""),50.0)</f>
        <v>50</v>
      </c>
      <c r="AB509" s="481">
        <f>IFERROR(__xludf.DUMMYFUNCTION("""COMPUTED_VALUE"""),40.0)</f>
        <v>40</v>
      </c>
      <c r="AC509" s="481">
        <f>IFERROR(__xludf.DUMMYFUNCTION("""COMPUTED_VALUE"""),29.0)</f>
        <v>29</v>
      </c>
      <c r="AD509" s="481">
        <f>IFERROR(__xludf.DUMMYFUNCTION("""COMPUTED_VALUE"""),85.0)</f>
        <v>85</v>
      </c>
      <c r="AE509" s="481">
        <f>IFERROR(__xludf.DUMMYFUNCTION("""COMPUTED_VALUE"""),70.0)</f>
        <v>70</v>
      </c>
      <c r="AF509" s="481"/>
      <c r="AG509" s="481">
        <f>IFERROR(__xludf.DUMMYFUNCTION("""COMPUTED_VALUE"""),81.0)</f>
        <v>81</v>
      </c>
      <c r="AH509" s="481"/>
      <c r="AI509" s="158"/>
      <c r="AJ509" s="158"/>
      <c r="AK509" s="133">
        <f>IFERROR(__xludf.DUMMYFUNCTION("""COMPUTED_VALUE"""),4.0)</f>
        <v>4</v>
      </c>
      <c r="AL509" s="133">
        <f>IFERROR(__xludf.DUMMYFUNCTION("""COMPUTED_VALUE"""),3.0)</f>
        <v>3</v>
      </c>
      <c r="AM509" s="133">
        <f>IFERROR(__xludf.DUMMYFUNCTION("""COMPUTED_VALUE"""),3.0)</f>
        <v>3</v>
      </c>
      <c r="AN509" s="133" t="str">
        <f>IFERROR(__xludf.DUMMYFUNCTION("""COMPUTED_VALUE"""),"0")</f>
        <v>0</v>
      </c>
      <c r="AO509" s="133">
        <f>IFERROR(__xludf.DUMMYFUNCTION("""COMPUTED_VALUE"""),3.0)</f>
        <v>3</v>
      </c>
      <c r="AP509" s="155" t="s">
        <v>3743</v>
      </c>
    </row>
    <row r="510">
      <c r="A510" s="155">
        <f>IFERROR(__xludf.DUMMYFUNCTION("""COMPUTED_VALUE"""),56.0)</f>
        <v>56</v>
      </c>
      <c r="B510" s="155" t="str">
        <f>IFERROR(__xludf.DUMMYFUNCTION("""COMPUTED_VALUE"""),"vage23csds@cmrit.ac.in")</f>
        <v>vage23csds@cmrit.ac.in</v>
      </c>
      <c r="C510" s="174" t="str">
        <f>IFERROR(__xludf.DUMMYFUNCTION("""COMPUTED_VALUE"""),"VAKATI GEETHIKA REDDY ")</f>
        <v>VAKATI GEETHIKA REDDY </v>
      </c>
      <c r="D510" s="155" t="str">
        <f>IFERROR(__xludf.DUMMYFUNCTION("""COMPUTED_VALUE"""),"1CR23CD061")</f>
        <v>1CR23CD061</v>
      </c>
      <c r="E510" s="563">
        <f>IFERROR(__xludf.DUMMYFUNCTION("""COMPUTED_VALUE"""),9.606990322E9)</f>
        <v>9606990322</v>
      </c>
      <c r="F510" s="155" t="str">
        <f>IFERROR(__xludf.DUMMYFUNCTION("""COMPUTED_VALUE"""),"CSE(DS)")</f>
        <v>CSE(DS)</v>
      </c>
      <c r="G510" s="158"/>
      <c r="H510" s="559">
        <f>IFERROR(__xludf.DUMMYFUNCTION("""COMPUTED_VALUE"""),82.0)</f>
        <v>82</v>
      </c>
      <c r="I510" s="559">
        <f>IFERROR(__xludf.DUMMYFUNCTION("""COMPUTED_VALUE"""),77.0)</f>
        <v>77</v>
      </c>
      <c r="J510" s="559">
        <f>IFERROR(__xludf.DUMMYFUNCTION("""COMPUTED_VALUE"""),70.0)</f>
        <v>70</v>
      </c>
      <c r="K510" s="559">
        <f>IFERROR(__xludf.DUMMYFUNCTION("""COMPUTED_VALUE"""),70.0)</f>
        <v>70</v>
      </c>
      <c r="L510" s="560">
        <f>IFERROR(__xludf.DUMMYFUNCTION("""COMPUTED_VALUE"""),35.0)</f>
        <v>35</v>
      </c>
      <c r="M510" s="561">
        <f>IFERROR(__xludf.DUMMYFUNCTION("""COMPUTED_VALUE"""),15.0)</f>
        <v>15</v>
      </c>
      <c r="N510" s="561">
        <f>IFERROR(__xludf.DUMMYFUNCTION("""COMPUTED_VALUE"""),0.0)</f>
        <v>0</v>
      </c>
      <c r="O510" s="560"/>
      <c r="P510" s="562">
        <f>IFERROR(__xludf.DUMMYFUNCTION("""COMPUTED_VALUE"""),77.0)</f>
        <v>77</v>
      </c>
      <c r="Q510" s="562">
        <f>IFERROR(__xludf.DUMMYFUNCTION("""COMPUTED_VALUE"""),50.0)</f>
        <v>50</v>
      </c>
      <c r="R510" s="562">
        <f>IFERROR(__xludf.DUMMYFUNCTION("""COMPUTED_VALUE"""),0.0)</f>
        <v>0</v>
      </c>
      <c r="S510" s="562"/>
      <c r="T510" s="217">
        <f>IFERROR(__xludf.DUMMYFUNCTION("""COMPUTED_VALUE"""),16.0)</f>
        <v>16</v>
      </c>
      <c r="U510" s="217">
        <f>IFERROR(__xludf.DUMMYFUNCTION("""COMPUTED_VALUE"""),19.0)</f>
        <v>19</v>
      </c>
      <c r="V510" s="217">
        <f>IFERROR(__xludf.DUMMYFUNCTION("""COMPUTED_VALUE"""),86.0)</f>
        <v>86</v>
      </c>
      <c r="W510" s="217">
        <f>IFERROR(__xludf.DUMMYFUNCTION("""COMPUTED_VALUE"""),72.0)</f>
        <v>72</v>
      </c>
      <c r="X510" s="217">
        <f>IFERROR(__xludf.DUMMYFUNCTION("""COMPUTED_VALUE"""),80.0)</f>
        <v>80</v>
      </c>
      <c r="Y510" s="217"/>
      <c r="Z510" s="217"/>
      <c r="AA510" s="481">
        <f>IFERROR(__xludf.DUMMYFUNCTION("""COMPUTED_VALUE"""),62.0)</f>
        <v>62</v>
      </c>
      <c r="AB510" s="481">
        <f>IFERROR(__xludf.DUMMYFUNCTION("""COMPUTED_VALUE"""),85.0)</f>
        <v>85</v>
      </c>
      <c r="AC510" s="481">
        <f>IFERROR(__xludf.DUMMYFUNCTION("""COMPUTED_VALUE"""),0.0)</f>
        <v>0</v>
      </c>
      <c r="AD510" s="481">
        <f>IFERROR(__xludf.DUMMYFUNCTION("""COMPUTED_VALUE"""),0.0)</f>
        <v>0</v>
      </c>
      <c r="AE510" s="481">
        <f>IFERROR(__xludf.DUMMYFUNCTION("""COMPUTED_VALUE"""),10.0)</f>
        <v>10</v>
      </c>
      <c r="AF510" s="481"/>
      <c r="AG510" s="481">
        <f>IFERROR(__xludf.DUMMYFUNCTION("""COMPUTED_VALUE"""),0.0)</f>
        <v>0</v>
      </c>
      <c r="AH510" s="481"/>
      <c r="AI510" s="158"/>
      <c r="AJ510" s="158"/>
      <c r="AK510" s="133">
        <f>IFERROR(__xludf.DUMMYFUNCTION("""COMPUTED_VALUE"""),4.0)</f>
        <v>4</v>
      </c>
      <c r="AL510" s="133">
        <f>IFERROR(__xludf.DUMMYFUNCTION("""COMPUTED_VALUE"""),0.0)</f>
        <v>0</v>
      </c>
      <c r="AM510" s="133">
        <f>IFERROR(__xludf.DUMMYFUNCTION("""COMPUTED_VALUE"""),3.0)</f>
        <v>3</v>
      </c>
      <c r="AN510" s="133" t="str">
        <f>IFERROR(__xludf.DUMMYFUNCTION("""COMPUTED_VALUE"""),"2")</f>
        <v>2</v>
      </c>
      <c r="AO510" s="133">
        <f>IFERROR(__xludf.DUMMYFUNCTION("""COMPUTED_VALUE"""),2.0)</f>
        <v>2</v>
      </c>
      <c r="AP510" s="155" t="s">
        <v>3743</v>
      </c>
    </row>
    <row r="511">
      <c r="A511" s="155">
        <f>IFERROR(__xludf.DUMMYFUNCTION("""COMPUTED_VALUE"""),57.0)</f>
        <v>57</v>
      </c>
      <c r="B511" s="155" t="str">
        <f>IFERROR(__xludf.DUMMYFUNCTION("""COMPUTED_VALUE"""),"aare23csds@cmrit.ac.in")</f>
        <v>aare23csds@cmrit.ac.in</v>
      </c>
      <c r="C511" s="174" t="str">
        <f>IFERROR(__xludf.DUMMYFUNCTION("""COMPUTED_VALUE"""),"VEERAM REDDY AASHISH REDDY")</f>
        <v>VEERAM REDDY AASHISH REDDY</v>
      </c>
      <c r="D511" s="155" t="str">
        <f>IFERROR(__xludf.DUMMYFUNCTION("""COMPUTED_VALUE"""),"1CR23CD062")</f>
        <v>1CR23CD062</v>
      </c>
      <c r="E511" s="563">
        <f>IFERROR(__xludf.DUMMYFUNCTION("""COMPUTED_VALUE"""),9.845541178E9)</f>
        <v>9845541178</v>
      </c>
      <c r="F511" s="155" t="str">
        <f>IFERROR(__xludf.DUMMYFUNCTION("""COMPUTED_VALUE"""),"CSE(DS)")</f>
        <v>CSE(DS)</v>
      </c>
      <c r="G511" s="158"/>
      <c r="H511" s="559">
        <f>IFERROR(__xludf.DUMMYFUNCTION("""COMPUTED_VALUE"""),75.0)</f>
        <v>75</v>
      </c>
      <c r="I511" s="559">
        <f>IFERROR(__xludf.DUMMYFUNCTION("""COMPUTED_VALUE"""),72.0)</f>
        <v>72</v>
      </c>
      <c r="J511" s="559">
        <f>IFERROR(__xludf.DUMMYFUNCTION("""COMPUTED_VALUE"""),71.0)</f>
        <v>71</v>
      </c>
      <c r="K511" s="559">
        <f>IFERROR(__xludf.DUMMYFUNCTION("""COMPUTED_VALUE"""),70.0)</f>
        <v>70</v>
      </c>
      <c r="L511" s="560">
        <f>IFERROR(__xludf.DUMMYFUNCTION("""COMPUTED_VALUE"""),43.0)</f>
        <v>43</v>
      </c>
      <c r="M511" s="561">
        <f>IFERROR(__xludf.DUMMYFUNCTION("""COMPUTED_VALUE"""),7.0)</f>
        <v>7</v>
      </c>
      <c r="N511" s="561">
        <f>IFERROR(__xludf.DUMMYFUNCTION("""COMPUTED_VALUE"""),0.0)</f>
        <v>0</v>
      </c>
      <c r="O511" s="560"/>
      <c r="P511" s="562">
        <f>IFERROR(__xludf.DUMMYFUNCTION("""COMPUTED_VALUE"""),73.0)</f>
        <v>73</v>
      </c>
      <c r="Q511" s="562">
        <f>IFERROR(__xludf.DUMMYFUNCTION("""COMPUTED_VALUE"""),0.0)</f>
        <v>0</v>
      </c>
      <c r="R511" s="562">
        <f>IFERROR(__xludf.DUMMYFUNCTION("""COMPUTED_VALUE"""),0.0)</f>
        <v>0</v>
      </c>
      <c r="S511" s="562"/>
      <c r="T511" s="217">
        <f>IFERROR(__xludf.DUMMYFUNCTION("""COMPUTED_VALUE"""),16.0)</f>
        <v>16</v>
      </c>
      <c r="U511" s="217">
        <f>IFERROR(__xludf.DUMMYFUNCTION("""COMPUTED_VALUE"""),17.0)</f>
        <v>17</v>
      </c>
      <c r="V511" s="217">
        <f>IFERROR(__xludf.DUMMYFUNCTION("""COMPUTED_VALUE"""),56.0)</f>
        <v>56</v>
      </c>
      <c r="W511" s="217">
        <f>IFERROR(__xludf.DUMMYFUNCTION("""COMPUTED_VALUE"""),60.0)</f>
        <v>60</v>
      </c>
      <c r="X511" s="217">
        <f>IFERROR(__xludf.DUMMYFUNCTION("""COMPUTED_VALUE"""),74.0)</f>
        <v>74</v>
      </c>
      <c r="Y511" s="217"/>
      <c r="Z511" s="217"/>
      <c r="AA511" s="481">
        <f>IFERROR(__xludf.DUMMYFUNCTION("""COMPUTED_VALUE"""),66.0)</f>
        <v>66</v>
      </c>
      <c r="AB511" s="481">
        <f>IFERROR(__xludf.DUMMYFUNCTION("""COMPUTED_VALUE"""),65.0)</f>
        <v>65</v>
      </c>
      <c r="AC511" s="481">
        <f>IFERROR(__xludf.DUMMYFUNCTION("""COMPUTED_VALUE"""),0.0)</f>
        <v>0</v>
      </c>
      <c r="AD511" s="481">
        <f>IFERROR(__xludf.DUMMYFUNCTION("""COMPUTED_VALUE"""),3.0)</f>
        <v>3</v>
      </c>
      <c r="AE511" s="481">
        <f>IFERROR(__xludf.DUMMYFUNCTION("""COMPUTED_VALUE"""),10.0)</f>
        <v>10</v>
      </c>
      <c r="AF511" s="481"/>
      <c r="AG511" s="481">
        <f>IFERROR(__xludf.DUMMYFUNCTION("""COMPUTED_VALUE"""),39.0)</f>
        <v>39</v>
      </c>
      <c r="AH511" s="481"/>
      <c r="AI511" s="158"/>
      <c r="AJ511" s="158"/>
      <c r="AK511" s="133">
        <f>IFERROR(__xludf.DUMMYFUNCTION("""COMPUTED_VALUE"""),4.0)</f>
        <v>4</v>
      </c>
      <c r="AL511" s="133">
        <f>IFERROR(__xludf.DUMMYFUNCTION("""COMPUTED_VALUE"""),0.0)</f>
        <v>0</v>
      </c>
      <c r="AM511" s="133">
        <f>IFERROR(__xludf.DUMMYFUNCTION("""COMPUTED_VALUE"""),3.0)</f>
        <v>3</v>
      </c>
      <c r="AN511" s="133" t="str">
        <f>IFERROR(__xludf.DUMMYFUNCTION("""COMPUTED_VALUE"""),"2")</f>
        <v>2</v>
      </c>
      <c r="AO511" s="133">
        <f>IFERROR(__xludf.DUMMYFUNCTION("""COMPUTED_VALUE"""),1.0)</f>
        <v>1</v>
      </c>
      <c r="AP511" s="155" t="s">
        <v>3743</v>
      </c>
    </row>
    <row r="512">
      <c r="A512" s="155">
        <f>IFERROR(__xludf.DUMMYFUNCTION("""COMPUTED_VALUE"""),58.0)</f>
        <v>58</v>
      </c>
      <c r="B512" s="155" t="str">
        <f>IFERROR(__xludf.DUMMYFUNCTION("""COMPUTED_VALUE"""),"vis23csds@cmrit.ac.in")</f>
        <v>vis23csds@cmrit.ac.in</v>
      </c>
      <c r="C512" s="174" t="str">
        <f>IFERROR(__xludf.DUMMYFUNCTION("""COMPUTED_VALUE"""),"VINUTHA S")</f>
        <v>VINUTHA S</v>
      </c>
      <c r="D512" s="155" t="str">
        <f>IFERROR(__xludf.DUMMYFUNCTION("""COMPUTED_VALUE"""),"1CR23CD063")</f>
        <v>1CR23CD063</v>
      </c>
      <c r="E512" s="563">
        <f>IFERROR(__xludf.DUMMYFUNCTION("""COMPUTED_VALUE"""),9.141571675E9)</f>
        <v>9141571675</v>
      </c>
      <c r="F512" s="155" t="str">
        <f>IFERROR(__xludf.DUMMYFUNCTION("""COMPUTED_VALUE"""),"CSE(DS)")</f>
        <v>CSE(DS)</v>
      </c>
      <c r="G512" s="158"/>
      <c r="H512" s="559">
        <f>IFERROR(__xludf.DUMMYFUNCTION("""COMPUTED_VALUE"""),90.0)</f>
        <v>90</v>
      </c>
      <c r="I512" s="559">
        <f>IFERROR(__xludf.DUMMYFUNCTION("""COMPUTED_VALUE"""),87.0)</f>
        <v>87</v>
      </c>
      <c r="J512" s="559">
        <f>IFERROR(__xludf.DUMMYFUNCTION("""COMPUTED_VALUE"""),73.0)</f>
        <v>73</v>
      </c>
      <c r="K512" s="559">
        <f>IFERROR(__xludf.DUMMYFUNCTION("""COMPUTED_VALUE"""),70.0)</f>
        <v>70</v>
      </c>
      <c r="L512" s="560">
        <f>IFERROR(__xludf.DUMMYFUNCTION("""COMPUTED_VALUE"""),50.0)</f>
        <v>50</v>
      </c>
      <c r="M512" s="561">
        <f>IFERROR(__xludf.DUMMYFUNCTION("""COMPUTED_VALUE"""),50.0)</f>
        <v>50</v>
      </c>
      <c r="N512" s="561">
        <f>IFERROR(__xludf.DUMMYFUNCTION("""COMPUTED_VALUE"""),50.0)</f>
        <v>50</v>
      </c>
      <c r="O512" s="560"/>
      <c r="P512" s="562">
        <f>IFERROR(__xludf.DUMMYFUNCTION("""COMPUTED_VALUE"""),73.0)</f>
        <v>73</v>
      </c>
      <c r="Q512" s="562">
        <f>IFERROR(__xludf.DUMMYFUNCTION("""COMPUTED_VALUE"""),60.0)</f>
        <v>60</v>
      </c>
      <c r="R512" s="562">
        <f>IFERROR(__xludf.DUMMYFUNCTION("""COMPUTED_VALUE"""),95.0)</f>
        <v>95</v>
      </c>
      <c r="S512" s="562"/>
      <c r="T512" s="217">
        <f>IFERROR(__xludf.DUMMYFUNCTION("""COMPUTED_VALUE"""),18.0)</f>
        <v>18</v>
      </c>
      <c r="U512" s="217">
        <f>IFERROR(__xludf.DUMMYFUNCTION("""COMPUTED_VALUE"""),15.0)</f>
        <v>15</v>
      </c>
      <c r="V512" s="217">
        <f>IFERROR(__xludf.DUMMYFUNCTION("""COMPUTED_VALUE"""),58.0)</f>
        <v>58</v>
      </c>
      <c r="W512" s="217">
        <f>IFERROR(__xludf.DUMMYFUNCTION("""COMPUTED_VALUE"""),74.0)</f>
        <v>74</v>
      </c>
      <c r="X512" s="217">
        <f>IFERROR(__xludf.DUMMYFUNCTION("""COMPUTED_VALUE"""),82.0)</f>
        <v>82</v>
      </c>
      <c r="Y512" s="217"/>
      <c r="Z512" s="217"/>
      <c r="AA512" s="481">
        <f>IFERROR(__xludf.DUMMYFUNCTION("""COMPUTED_VALUE"""),83.8)</f>
        <v>83.8</v>
      </c>
      <c r="AB512" s="481">
        <f>IFERROR(__xludf.DUMMYFUNCTION("""COMPUTED_VALUE"""),97.0)</f>
        <v>97</v>
      </c>
      <c r="AC512" s="481">
        <f>IFERROR(__xludf.DUMMYFUNCTION("""COMPUTED_VALUE"""),98.0)</f>
        <v>98</v>
      </c>
      <c r="AD512" s="481">
        <f>IFERROR(__xludf.DUMMYFUNCTION("""COMPUTED_VALUE"""),64.0)</f>
        <v>64</v>
      </c>
      <c r="AE512" s="481">
        <f>IFERROR(__xludf.DUMMYFUNCTION("""COMPUTED_VALUE"""),77.0)</f>
        <v>77</v>
      </c>
      <c r="AF512" s="481"/>
      <c r="AG512" s="481">
        <f>IFERROR(__xludf.DUMMYFUNCTION("""COMPUTED_VALUE"""),80.0)</f>
        <v>80</v>
      </c>
      <c r="AH512" s="481"/>
      <c r="AI512" s="158"/>
      <c r="AJ512" s="158"/>
      <c r="AK512" s="133">
        <f>IFERROR(__xludf.DUMMYFUNCTION("""COMPUTED_VALUE"""),4.0)</f>
        <v>4</v>
      </c>
      <c r="AL512" s="133">
        <f>IFERROR(__xludf.DUMMYFUNCTION("""COMPUTED_VALUE"""),3.0)</f>
        <v>3</v>
      </c>
      <c r="AM512" s="133">
        <f>IFERROR(__xludf.DUMMYFUNCTION("""COMPUTED_VALUE"""),3.0)</f>
        <v>3</v>
      </c>
      <c r="AN512" s="133" t="str">
        <f>IFERROR(__xludf.DUMMYFUNCTION("""COMPUTED_VALUE"""),"3.5")</f>
        <v>3.5</v>
      </c>
      <c r="AO512" s="133">
        <f>IFERROR(__xludf.DUMMYFUNCTION("""COMPUTED_VALUE"""),3.0)</f>
        <v>3</v>
      </c>
      <c r="AP512" s="155" t="s">
        <v>3743</v>
      </c>
    </row>
    <row r="513">
      <c r="A513" s="155">
        <f>IFERROR(__xludf.DUMMYFUNCTION("""COMPUTED_VALUE"""),63.0)</f>
        <v>63</v>
      </c>
      <c r="B513" s="155" t="str">
        <f>IFERROR(__xludf.DUMMYFUNCTION("""COMPUTED_VALUE"""),"srpu23cseds@cmrit.ac.in")</f>
        <v>srpu23cseds@cmrit.ac.in</v>
      </c>
      <c r="C513" s="174" t="str">
        <f>IFERROR(__xludf.DUMMYFUNCTION("""COMPUTED_VALUE"""),"Sristi Purkayastha")</f>
        <v>Sristi Purkayastha</v>
      </c>
      <c r="D513" s="155" t="str">
        <f>IFERROR(__xludf.DUMMYFUNCTION("""COMPUTED_VALUE"""),"1CR23CD064")</f>
        <v>1CR23CD064</v>
      </c>
      <c r="E513" s="563">
        <f>IFERROR(__xludf.DUMMYFUNCTION("""COMPUTED_VALUE"""),9.395221233E9)</f>
        <v>9395221233</v>
      </c>
      <c r="F513" s="155" t="str">
        <f>IFERROR(__xludf.DUMMYFUNCTION("""COMPUTED_VALUE"""),"CSE(DS)")</f>
        <v>CSE(DS)</v>
      </c>
      <c r="G513" s="158"/>
      <c r="H513" s="559">
        <f>IFERROR(__xludf.DUMMYFUNCTION("""COMPUTED_VALUE"""),88.0)</f>
        <v>88</v>
      </c>
      <c r="I513" s="559">
        <f>IFERROR(__xludf.DUMMYFUNCTION("""COMPUTED_VALUE"""),90.0)</f>
        <v>90</v>
      </c>
      <c r="J513" s="559">
        <f>IFERROR(__xludf.DUMMYFUNCTION("""COMPUTED_VALUE"""),74.5)</f>
        <v>74.5</v>
      </c>
      <c r="K513" s="559">
        <f>IFERROR(__xludf.DUMMYFUNCTION("""COMPUTED_VALUE"""),73.0)</f>
        <v>73</v>
      </c>
      <c r="L513" s="560">
        <f>IFERROR(__xludf.DUMMYFUNCTION("""COMPUTED_VALUE"""),50.0)</f>
        <v>50</v>
      </c>
      <c r="M513" s="561">
        <f>IFERROR(__xludf.DUMMYFUNCTION("""COMPUTED_VALUE"""),50.0)</f>
        <v>50</v>
      </c>
      <c r="N513" s="561">
        <f>IFERROR(__xludf.DUMMYFUNCTION("""COMPUTED_VALUE"""),57.0)</f>
        <v>57</v>
      </c>
      <c r="O513" s="560"/>
      <c r="P513" s="562">
        <f>IFERROR(__xludf.DUMMYFUNCTION("""COMPUTED_VALUE"""),84.0)</f>
        <v>84</v>
      </c>
      <c r="Q513" s="562">
        <f>IFERROR(__xludf.DUMMYFUNCTION("""COMPUTED_VALUE"""),54.0)</f>
        <v>54</v>
      </c>
      <c r="R513" s="562">
        <f>IFERROR(__xludf.DUMMYFUNCTION("""COMPUTED_VALUE"""),94.0)</f>
        <v>94</v>
      </c>
      <c r="S513" s="562"/>
      <c r="T513" s="217">
        <f>IFERROR(__xludf.DUMMYFUNCTION("""COMPUTED_VALUE"""),13.0)</f>
        <v>13</v>
      </c>
      <c r="U513" s="217">
        <f>IFERROR(__xludf.DUMMYFUNCTION("""COMPUTED_VALUE"""),15.0)</f>
        <v>15</v>
      </c>
      <c r="V513" s="217">
        <f>IFERROR(__xludf.DUMMYFUNCTION("""COMPUTED_VALUE"""),94.0)</f>
        <v>94</v>
      </c>
      <c r="W513" s="217">
        <f>IFERROR(__xludf.DUMMYFUNCTION("""COMPUTED_VALUE"""),92.0)</f>
        <v>92</v>
      </c>
      <c r="X513" s="217">
        <f>IFERROR(__xludf.DUMMYFUNCTION("""COMPUTED_VALUE"""),82.0)</f>
        <v>82</v>
      </c>
      <c r="Y513" s="217"/>
      <c r="Z513" s="217"/>
      <c r="AA513" s="481"/>
      <c r="AB513" s="481">
        <f>IFERROR(__xludf.DUMMYFUNCTION("""COMPUTED_VALUE"""),95.0)</f>
        <v>95</v>
      </c>
      <c r="AC513" s="481">
        <f>IFERROR(__xludf.DUMMYFUNCTION("""COMPUTED_VALUE"""),29.0)</f>
        <v>29</v>
      </c>
      <c r="AD513" s="481">
        <f>IFERROR(__xludf.DUMMYFUNCTION("""COMPUTED_VALUE"""),100.0)</f>
        <v>100</v>
      </c>
      <c r="AE513" s="481">
        <f>IFERROR(__xludf.DUMMYFUNCTION("""COMPUTED_VALUE"""),79.0)</f>
        <v>79</v>
      </c>
      <c r="AF513" s="481"/>
      <c r="AG513" s="481">
        <f>IFERROR(__xludf.DUMMYFUNCTION("""COMPUTED_VALUE"""),85.0)</f>
        <v>85</v>
      </c>
      <c r="AH513" s="481"/>
      <c r="AI513" s="158"/>
      <c r="AJ513" s="158"/>
      <c r="AK513" s="133">
        <f>IFERROR(__xludf.DUMMYFUNCTION("""COMPUTED_VALUE"""),4.0)</f>
        <v>4</v>
      </c>
      <c r="AL513" s="133">
        <f>IFERROR(__xludf.DUMMYFUNCTION("""COMPUTED_VALUE"""),3.0)</f>
        <v>3</v>
      </c>
      <c r="AM513" s="133">
        <f>IFERROR(__xludf.DUMMYFUNCTION("""COMPUTED_VALUE"""),3.0)</f>
        <v>3</v>
      </c>
      <c r="AN513" s="133" t="str">
        <f>IFERROR(__xludf.DUMMYFUNCTION("""COMPUTED_VALUE"""),"3.5")</f>
        <v>3.5</v>
      </c>
      <c r="AO513" s="133">
        <f>IFERROR(__xludf.DUMMYFUNCTION("""COMPUTED_VALUE"""),3.0)</f>
        <v>3</v>
      </c>
      <c r="AP513" s="155" t="s">
        <v>3743</v>
      </c>
    </row>
    <row r="514">
      <c r="A514" s="155">
        <f>IFERROR(__xludf.DUMMYFUNCTION("""COMPUTED_VALUE"""),64.0)</f>
        <v>64</v>
      </c>
      <c r="B514" s="155" t="str">
        <f>IFERROR(__xludf.DUMMYFUNCTION("""COMPUTED_VALUE"""),"kuth23cseds@cmrit.ac.in")</f>
        <v>kuth23cseds@cmrit.ac.in</v>
      </c>
      <c r="C514" s="174" t="str">
        <f>IFERROR(__xludf.DUMMYFUNCTION("""COMPUTED_VALUE"""),"Kushi T H")</f>
        <v>Kushi T H</v>
      </c>
      <c r="D514" s="155" t="str">
        <f>IFERROR(__xludf.DUMMYFUNCTION("""COMPUTED_VALUE"""),"1CR23CD065")</f>
        <v>1CR23CD065</v>
      </c>
      <c r="E514" s="563">
        <f>IFERROR(__xludf.DUMMYFUNCTION("""COMPUTED_VALUE"""),8.073470854E9)</f>
        <v>8073470854</v>
      </c>
      <c r="F514" s="155" t="str">
        <f>IFERROR(__xludf.DUMMYFUNCTION("""COMPUTED_VALUE"""),"CSE(DS)")</f>
        <v>CSE(DS)</v>
      </c>
      <c r="G514" s="158"/>
      <c r="H514" s="559">
        <f>IFERROR(__xludf.DUMMYFUNCTION("""COMPUTED_VALUE"""),80.0)</f>
        <v>80</v>
      </c>
      <c r="I514" s="559">
        <f>IFERROR(__xludf.DUMMYFUNCTION("""COMPUTED_VALUE"""),86.0)</f>
        <v>86</v>
      </c>
      <c r="J514" s="559">
        <f>IFERROR(__xludf.DUMMYFUNCTION("""COMPUTED_VALUE"""),70.0)</f>
        <v>70</v>
      </c>
      <c r="K514" s="559">
        <f>IFERROR(__xludf.DUMMYFUNCTION("""COMPUTED_VALUE"""),73.0)</f>
        <v>73</v>
      </c>
      <c r="L514" s="560">
        <f>IFERROR(__xludf.DUMMYFUNCTION("""COMPUTED_VALUE"""),50.0)</f>
        <v>50</v>
      </c>
      <c r="M514" s="561">
        <f>IFERROR(__xludf.DUMMYFUNCTION("""COMPUTED_VALUE"""),50.0)</f>
        <v>50</v>
      </c>
      <c r="N514" s="561">
        <f>IFERROR(__xludf.DUMMYFUNCTION("""COMPUTED_VALUE"""),55.0)</f>
        <v>55</v>
      </c>
      <c r="O514" s="560"/>
      <c r="P514" s="562">
        <f>IFERROR(__xludf.DUMMYFUNCTION("""COMPUTED_VALUE"""),75.0)</f>
        <v>75</v>
      </c>
      <c r="Q514" s="562">
        <f>IFERROR(__xludf.DUMMYFUNCTION("""COMPUTED_VALUE"""),56.0)</f>
        <v>56</v>
      </c>
      <c r="R514" s="562">
        <f>IFERROR(__xludf.DUMMYFUNCTION("""COMPUTED_VALUE"""),92.0)</f>
        <v>92</v>
      </c>
      <c r="S514" s="562"/>
      <c r="T514" s="217">
        <f>IFERROR(__xludf.DUMMYFUNCTION("""COMPUTED_VALUE"""),20.0)</f>
        <v>20</v>
      </c>
      <c r="U514" s="217">
        <f>IFERROR(__xludf.DUMMYFUNCTION("""COMPUTED_VALUE"""),21.0)</f>
        <v>21</v>
      </c>
      <c r="V514" s="217">
        <f>IFERROR(__xludf.DUMMYFUNCTION("""COMPUTED_VALUE"""),88.0)</f>
        <v>88</v>
      </c>
      <c r="W514" s="217">
        <f>IFERROR(__xludf.DUMMYFUNCTION("""COMPUTED_VALUE"""),94.0)</f>
        <v>94</v>
      </c>
      <c r="X514" s="217">
        <f>IFERROR(__xludf.DUMMYFUNCTION("""COMPUTED_VALUE"""),82.0)</f>
        <v>82</v>
      </c>
      <c r="Y514" s="217"/>
      <c r="Z514" s="217"/>
      <c r="AA514" s="481"/>
      <c r="AB514" s="481">
        <f>IFERROR(__xludf.DUMMYFUNCTION("""COMPUTED_VALUE"""),100.0)</f>
        <v>100</v>
      </c>
      <c r="AC514" s="481">
        <f>IFERROR(__xludf.DUMMYFUNCTION("""COMPUTED_VALUE"""),78.0)</f>
        <v>78</v>
      </c>
      <c r="AD514" s="481">
        <f>IFERROR(__xludf.DUMMYFUNCTION("""COMPUTED_VALUE"""),86.0)</f>
        <v>86</v>
      </c>
      <c r="AE514" s="481">
        <f>IFERROR(__xludf.DUMMYFUNCTION("""COMPUTED_VALUE"""),72.0)</f>
        <v>72</v>
      </c>
      <c r="AF514" s="481"/>
      <c r="AG514" s="481">
        <f>IFERROR(__xludf.DUMMYFUNCTION("""COMPUTED_VALUE"""),82.0)</f>
        <v>82</v>
      </c>
      <c r="AH514" s="481"/>
      <c r="AI514" s="158"/>
      <c r="AJ514" s="158"/>
      <c r="AK514" s="133">
        <f>IFERROR(__xludf.DUMMYFUNCTION("""COMPUTED_VALUE"""),4.0)</f>
        <v>4</v>
      </c>
      <c r="AL514" s="133">
        <f>IFERROR(__xludf.DUMMYFUNCTION("""COMPUTED_VALUE"""),3.0)</f>
        <v>3</v>
      </c>
      <c r="AM514" s="133">
        <f>IFERROR(__xludf.DUMMYFUNCTION("""COMPUTED_VALUE"""),3.0)</f>
        <v>3</v>
      </c>
      <c r="AN514" s="133" t="str">
        <f>IFERROR(__xludf.DUMMYFUNCTION("""COMPUTED_VALUE"""),"3.5")</f>
        <v>3.5</v>
      </c>
      <c r="AO514" s="133">
        <f>IFERROR(__xludf.DUMMYFUNCTION("""COMPUTED_VALUE"""),3.0)</f>
        <v>3</v>
      </c>
      <c r="AP514" s="155" t="s">
        <v>3743</v>
      </c>
    </row>
    <row r="515">
      <c r="A515" s="155">
        <f>IFERROR(__xludf.DUMMYFUNCTION("""COMPUTED_VALUE"""),65.0)</f>
        <v>65</v>
      </c>
      <c r="B515" s="155" t="str">
        <f>IFERROR(__xludf.DUMMYFUNCTION("""COMPUTED_VALUE"""),"saja23cseds@cmrit.ac.in")</f>
        <v>saja23cseds@cmrit.ac.in</v>
      </c>
      <c r="C515" s="174" t="str">
        <f>IFERROR(__xludf.DUMMYFUNCTION("""COMPUTED_VALUE"""),"SAKSHAM JAISWAL")</f>
        <v>SAKSHAM JAISWAL</v>
      </c>
      <c r="D515" s="155" t="str">
        <f>IFERROR(__xludf.DUMMYFUNCTION("""COMPUTED_VALUE"""),"1CR23CD066")</f>
        <v>1CR23CD066</v>
      </c>
      <c r="E515" s="563">
        <f>IFERROR(__xludf.DUMMYFUNCTION("""COMPUTED_VALUE"""),8.210829896E9)</f>
        <v>8210829896</v>
      </c>
      <c r="F515" s="155" t="str">
        <f>IFERROR(__xludf.DUMMYFUNCTION("""COMPUTED_VALUE"""),"CSE(DS)")</f>
        <v>CSE(DS)</v>
      </c>
      <c r="G515" s="158"/>
      <c r="H515" s="559">
        <f>IFERROR(__xludf.DUMMYFUNCTION("""COMPUTED_VALUE"""),81.0)</f>
        <v>81</v>
      </c>
      <c r="I515" s="559">
        <f>IFERROR(__xludf.DUMMYFUNCTION("""COMPUTED_VALUE"""),80.0)</f>
        <v>80</v>
      </c>
      <c r="J515" s="559">
        <f>IFERROR(__xludf.DUMMYFUNCTION("""COMPUTED_VALUE"""),70.0)</f>
        <v>70</v>
      </c>
      <c r="K515" s="559">
        <f>IFERROR(__xludf.DUMMYFUNCTION("""COMPUTED_VALUE"""),70.0)</f>
        <v>70</v>
      </c>
      <c r="L515" s="560">
        <f>IFERROR(__xludf.DUMMYFUNCTION("""COMPUTED_VALUE"""),50.0)</f>
        <v>50</v>
      </c>
      <c r="M515" s="561">
        <f>IFERROR(__xludf.DUMMYFUNCTION("""COMPUTED_VALUE"""),28.0)</f>
        <v>28</v>
      </c>
      <c r="N515" s="561">
        <f>IFERROR(__xludf.DUMMYFUNCTION("""COMPUTED_VALUE"""),52.0)</f>
        <v>52</v>
      </c>
      <c r="O515" s="560"/>
      <c r="P515" s="562">
        <f>IFERROR(__xludf.DUMMYFUNCTION("""COMPUTED_VALUE"""),50.0)</f>
        <v>50</v>
      </c>
      <c r="Q515" s="562">
        <f>IFERROR(__xludf.DUMMYFUNCTION("""COMPUTED_VALUE"""),50.0)</f>
        <v>50</v>
      </c>
      <c r="R515" s="562">
        <f>IFERROR(__xludf.DUMMYFUNCTION("""COMPUTED_VALUE"""),90.0)</f>
        <v>90</v>
      </c>
      <c r="S515" s="562"/>
      <c r="T515" s="217">
        <f>IFERROR(__xludf.DUMMYFUNCTION("""COMPUTED_VALUE"""),14.0)</f>
        <v>14</v>
      </c>
      <c r="U515" s="217">
        <f>IFERROR(__xludf.DUMMYFUNCTION("""COMPUTED_VALUE"""),20.0)</f>
        <v>20</v>
      </c>
      <c r="V515" s="217">
        <f>IFERROR(__xludf.DUMMYFUNCTION("""COMPUTED_VALUE"""),82.0)</f>
        <v>82</v>
      </c>
      <c r="W515" s="217">
        <f>IFERROR(__xludf.DUMMYFUNCTION("""COMPUTED_VALUE"""),80.0)</f>
        <v>80</v>
      </c>
      <c r="X515" s="217">
        <f>IFERROR(__xludf.DUMMYFUNCTION("""COMPUTED_VALUE"""),74.0)</f>
        <v>74</v>
      </c>
      <c r="Y515" s="217"/>
      <c r="Z515" s="217"/>
      <c r="AA515" s="481"/>
      <c r="AB515" s="481">
        <f>IFERROR(__xludf.DUMMYFUNCTION("""COMPUTED_VALUE"""),68.0)</f>
        <v>68</v>
      </c>
      <c r="AC515" s="481">
        <f>IFERROR(__xludf.DUMMYFUNCTION("""COMPUTED_VALUE"""),35.0)</f>
        <v>35</v>
      </c>
      <c r="AD515" s="481">
        <f>IFERROR(__xludf.DUMMYFUNCTION("""COMPUTED_VALUE"""),80.0)</f>
        <v>80</v>
      </c>
      <c r="AE515" s="481">
        <f>IFERROR(__xludf.DUMMYFUNCTION("""COMPUTED_VALUE"""),70.0)</f>
        <v>70</v>
      </c>
      <c r="AF515" s="481"/>
      <c r="AG515" s="481">
        <f>IFERROR(__xludf.DUMMYFUNCTION("""COMPUTED_VALUE"""),81.0)</f>
        <v>81</v>
      </c>
      <c r="AH515" s="481"/>
      <c r="AI515" s="158"/>
      <c r="AJ515" s="158"/>
      <c r="AK515" s="133">
        <f>IFERROR(__xludf.DUMMYFUNCTION("""COMPUTED_VALUE"""),4.0)</f>
        <v>4</v>
      </c>
      <c r="AL515" s="133">
        <f>IFERROR(__xludf.DUMMYFUNCTION("""COMPUTED_VALUE"""),1.0)</f>
        <v>1</v>
      </c>
      <c r="AM515" s="133">
        <f>IFERROR(__xludf.DUMMYFUNCTION("""COMPUTED_VALUE"""),3.0)</f>
        <v>3</v>
      </c>
      <c r="AN515" s="133" t="str">
        <f>IFERROR(__xludf.DUMMYFUNCTION("""COMPUTED_VALUE"""),"3.5")</f>
        <v>3.5</v>
      </c>
      <c r="AO515" s="133">
        <f>IFERROR(__xludf.DUMMYFUNCTION("""COMPUTED_VALUE"""),3.0)</f>
        <v>3</v>
      </c>
      <c r="AP515" s="155" t="s">
        <v>3743</v>
      </c>
    </row>
    <row r="516">
      <c r="A516" s="155">
        <f>IFERROR(__xludf.DUMMYFUNCTION("""COMPUTED_VALUE"""),62.0)</f>
        <v>62</v>
      </c>
      <c r="B516" s="155" t="str">
        <f>IFERROR(__xludf.DUMMYFUNCTION("""COMPUTED_VALUE"""),"karthik.cseds24le@cmrit.ac.in")</f>
        <v>karthik.cseds24le@cmrit.ac.in</v>
      </c>
      <c r="C516" s="174" t="str">
        <f>IFERROR(__xludf.DUMMYFUNCTION("""COMPUTED_VALUE"""),"KARTHIK BHAT")</f>
        <v>KARTHIK BHAT</v>
      </c>
      <c r="D516" s="155" t="str">
        <f>IFERROR(__xludf.DUMMYFUNCTION("""COMPUTED_VALUE"""),"1CR24CD400")</f>
        <v>1CR24CD400</v>
      </c>
      <c r="E516" s="563">
        <f>IFERROR(__xludf.DUMMYFUNCTION("""COMPUTED_VALUE"""),9.242124991E9)</f>
        <v>9242124991</v>
      </c>
      <c r="F516" s="155" t="str">
        <f>IFERROR(__xludf.DUMMYFUNCTION("""COMPUTED_VALUE"""),"CSE(DS)")</f>
        <v>CSE(DS)</v>
      </c>
      <c r="G516" s="158"/>
      <c r="H516" s="559">
        <f>IFERROR(__xludf.DUMMYFUNCTION("""COMPUTED_VALUE"""),70.0)</f>
        <v>70</v>
      </c>
      <c r="I516" s="559">
        <f>IFERROR(__xludf.DUMMYFUNCTION("""COMPUTED_VALUE"""),70.0)</f>
        <v>70</v>
      </c>
      <c r="J516" s="559">
        <f>IFERROR(__xludf.DUMMYFUNCTION("""COMPUTED_VALUE"""),70.0)</f>
        <v>70</v>
      </c>
      <c r="K516" s="559">
        <f>IFERROR(__xludf.DUMMYFUNCTION("""COMPUTED_VALUE"""),70.0)</f>
        <v>70</v>
      </c>
      <c r="L516" s="560">
        <f>IFERROR(__xludf.DUMMYFUNCTION("""COMPUTED_VALUE"""),24.0)</f>
        <v>24</v>
      </c>
      <c r="M516" s="561">
        <f>IFERROR(__xludf.DUMMYFUNCTION("""COMPUTED_VALUE"""),14.0)</f>
        <v>14</v>
      </c>
      <c r="N516" s="561">
        <f>IFERROR(__xludf.DUMMYFUNCTION("""COMPUTED_VALUE"""),4.5)</f>
        <v>4.5</v>
      </c>
      <c r="O516" s="560"/>
      <c r="P516" s="562">
        <f>IFERROR(__xludf.DUMMYFUNCTION("""COMPUTED_VALUE"""),0.0)</f>
        <v>0</v>
      </c>
      <c r="Q516" s="562">
        <f>IFERROR(__xludf.DUMMYFUNCTION("""COMPUTED_VALUE"""),0.0)</f>
        <v>0</v>
      </c>
      <c r="R516" s="562">
        <f>IFERROR(__xludf.DUMMYFUNCTION("""COMPUTED_VALUE"""),79.0)</f>
        <v>79</v>
      </c>
      <c r="S516" s="562"/>
      <c r="T516" s="217"/>
      <c r="U516" s="217"/>
      <c r="V516" s="217">
        <f>IFERROR(__xludf.DUMMYFUNCTION("""COMPUTED_VALUE"""),82.0)</f>
        <v>82</v>
      </c>
      <c r="W516" s="217">
        <f>IFERROR(__xludf.DUMMYFUNCTION("""COMPUTED_VALUE"""),74.0)</f>
        <v>74</v>
      </c>
      <c r="X516" s="217">
        <f>IFERROR(__xludf.DUMMYFUNCTION("""COMPUTED_VALUE"""),84.0)</f>
        <v>84</v>
      </c>
      <c r="Y516" s="217"/>
      <c r="Z516" s="217"/>
      <c r="AA516" s="481"/>
      <c r="AB516" s="481">
        <f>IFERROR(__xludf.DUMMYFUNCTION("""COMPUTED_VALUE"""),60.0)</f>
        <v>60</v>
      </c>
      <c r="AC516" s="481">
        <f>IFERROR(__xludf.DUMMYFUNCTION("""COMPUTED_VALUE"""),60.0)</f>
        <v>60</v>
      </c>
      <c r="AD516" s="481">
        <f>IFERROR(__xludf.DUMMYFUNCTION("""COMPUTED_VALUE"""),10.0)</f>
        <v>10</v>
      </c>
      <c r="AE516" s="481">
        <f>IFERROR(__xludf.DUMMYFUNCTION("""COMPUTED_VALUE"""),70.0)</f>
        <v>70</v>
      </c>
      <c r="AF516" s="481"/>
      <c r="AG516" s="481">
        <f>IFERROR(__xludf.DUMMYFUNCTION("""COMPUTED_VALUE"""),72.0)</f>
        <v>72</v>
      </c>
      <c r="AH516" s="481"/>
      <c r="AI516" s="158"/>
      <c r="AJ516" s="158"/>
      <c r="AK516" s="133">
        <f>IFERROR(__xludf.DUMMYFUNCTION("""COMPUTED_VALUE"""),4.0)</f>
        <v>4</v>
      </c>
      <c r="AL516" s="133">
        <f>IFERROR(__xludf.DUMMYFUNCTION("""COMPUTED_VALUE"""),0.0)</f>
        <v>0</v>
      </c>
      <c r="AM516" s="133">
        <f>IFERROR(__xludf.DUMMYFUNCTION("""COMPUTED_VALUE"""),0.0)</f>
        <v>0</v>
      </c>
      <c r="AN516" s="133" t="str">
        <f>IFERROR(__xludf.DUMMYFUNCTION("""COMPUTED_VALUE"""),"3.5")</f>
        <v>3.5</v>
      </c>
      <c r="AO516" s="133">
        <f>IFERROR(__xludf.DUMMYFUNCTION("""COMPUTED_VALUE"""),0.0)</f>
        <v>0</v>
      </c>
      <c r="AP516" s="155" t="s">
        <v>3743</v>
      </c>
    </row>
    <row r="517">
      <c r="A517" s="155">
        <f>IFERROR(__xludf.DUMMYFUNCTION("""COMPUTED_VALUE"""),59.0)</f>
        <v>59</v>
      </c>
      <c r="B517" s="155" t="str">
        <f>IFERROR(__xludf.DUMMYFUNCTION("""COMPUTED_VALUE"""),"nihar.cseds24le@cmrit.ac.in")</f>
        <v>nihar.cseds24le@cmrit.ac.in</v>
      </c>
      <c r="C517" s="174" t="str">
        <f>IFERROR(__xludf.DUMMYFUNCTION("""COMPUTED_VALUE"""),"NIHAR R.")</f>
        <v>NIHAR R.</v>
      </c>
      <c r="D517" s="155" t="str">
        <f>IFERROR(__xludf.DUMMYFUNCTION("""COMPUTED_VALUE"""),"1CR24CD401")</f>
        <v>1CR24CD401</v>
      </c>
      <c r="E517" s="563">
        <f>IFERROR(__xludf.DUMMYFUNCTION("""COMPUTED_VALUE"""),9.380919907E9)</f>
        <v>9380919907</v>
      </c>
      <c r="F517" s="155" t="str">
        <f>IFERROR(__xludf.DUMMYFUNCTION("""COMPUTED_VALUE"""),"CSE(DS)")</f>
        <v>CSE(DS)</v>
      </c>
      <c r="G517" s="158"/>
      <c r="H517" s="559">
        <f>IFERROR(__xludf.DUMMYFUNCTION("""COMPUTED_VALUE"""),70.0)</f>
        <v>70</v>
      </c>
      <c r="I517" s="559">
        <f>IFERROR(__xludf.DUMMYFUNCTION("""COMPUTED_VALUE"""),70.0)</f>
        <v>70</v>
      </c>
      <c r="J517" s="559">
        <f>IFERROR(__xludf.DUMMYFUNCTION("""COMPUTED_VALUE"""),70.0)</f>
        <v>70</v>
      </c>
      <c r="K517" s="559">
        <f>IFERROR(__xludf.DUMMYFUNCTION("""COMPUTED_VALUE"""),70.0)</f>
        <v>70</v>
      </c>
      <c r="L517" s="560">
        <f>IFERROR(__xludf.DUMMYFUNCTION("""COMPUTED_VALUE"""),21.0)</f>
        <v>21</v>
      </c>
      <c r="M517" s="561">
        <f>IFERROR(__xludf.DUMMYFUNCTION("""COMPUTED_VALUE"""),25.0)</f>
        <v>25</v>
      </c>
      <c r="N517" s="561">
        <f>IFERROR(__xludf.DUMMYFUNCTION("""COMPUTED_VALUE"""),3.25)</f>
        <v>3.25</v>
      </c>
      <c r="O517" s="560"/>
      <c r="P517" s="562">
        <f>IFERROR(__xludf.DUMMYFUNCTION("""COMPUTED_VALUE"""),50.0)</f>
        <v>50</v>
      </c>
      <c r="Q517" s="562">
        <f>IFERROR(__xludf.DUMMYFUNCTION("""COMPUTED_VALUE"""),50.0)</f>
        <v>50</v>
      </c>
      <c r="R517" s="562">
        <f>IFERROR(__xludf.DUMMYFUNCTION("""COMPUTED_VALUE"""),80.0)</f>
        <v>80</v>
      </c>
      <c r="S517" s="562"/>
      <c r="T517" s="217"/>
      <c r="U517" s="217"/>
      <c r="V517" s="217">
        <f>IFERROR(__xludf.DUMMYFUNCTION("""COMPUTED_VALUE"""),88.0)</f>
        <v>88</v>
      </c>
      <c r="W517" s="217">
        <f>IFERROR(__xludf.DUMMYFUNCTION("""COMPUTED_VALUE"""),72.0)</f>
        <v>72</v>
      </c>
      <c r="X517" s="217">
        <f>IFERROR(__xludf.DUMMYFUNCTION("""COMPUTED_VALUE"""),76.0)</f>
        <v>76</v>
      </c>
      <c r="Y517" s="217"/>
      <c r="Z517" s="217"/>
      <c r="AA517" s="481"/>
      <c r="AB517" s="481">
        <f>IFERROR(__xludf.DUMMYFUNCTION("""COMPUTED_VALUE"""),80.0)</f>
        <v>80</v>
      </c>
      <c r="AC517" s="481">
        <f>IFERROR(__xludf.DUMMYFUNCTION("""COMPUTED_VALUE"""),80.0)</f>
        <v>80</v>
      </c>
      <c r="AD517" s="481">
        <f>IFERROR(__xludf.DUMMYFUNCTION("""COMPUTED_VALUE"""),0.0)</f>
        <v>0</v>
      </c>
      <c r="AE517" s="481">
        <f>IFERROR(__xludf.DUMMYFUNCTION("""COMPUTED_VALUE"""),70.0)</f>
        <v>70</v>
      </c>
      <c r="AF517" s="481"/>
      <c r="AG517" s="481">
        <f>IFERROR(__xludf.DUMMYFUNCTION("""COMPUTED_VALUE"""),72.0)</f>
        <v>72</v>
      </c>
      <c r="AH517" s="481"/>
      <c r="AI517" s="158"/>
      <c r="AJ517" s="158"/>
      <c r="AK517" s="133">
        <f>IFERROR(__xludf.DUMMYFUNCTION("""COMPUTED_VALUE"""),4.0)</f>
        <v>4</v>
      </c>
      <c r="AL517" s="133">
        <f>IFERROR(__xludf.DUMMYFUNCTION("""COMPUTED_VALUE"""),0.0)</f>
        <v>0</v>
      </c>
      <c r="AM517" s="133">
        <f>IFERROR(__xludf.DUMMYFUNCTION("""COMPUTED_VALUE"""),0.0)</f>
        <v>0</v>
      </c>
      <c r="AN517" s="133" t="str">
        <f>IFERROR(__xludf.DUMMYFUNCTION("""COMPUTED_VALUE"""),"3.5")</f>
        <v>3.5</v>
      </c>
      <c r="AO517" s="133">
        <f>IFERROR(__xludf.DUMMYFUNCTION("""COMPUTED_VALUE"""),3.0)</f>
        <v>3</v>
      </c>
      <c r="AP517" s="155" t="s">
        <v>3743</v>
      </c>
    </row>
    <row r="518">
      <c r="A518" s="155">
        <f>IFERROR(__xludf.DUMMYFUNCTION("""COMPUTED_VALUE"""),60.0)</f>
        <v>60</v>
      </c>
      <c r="B518" s="155" t="str">
        <f>IFERROR(__xludf.DUMMYFUNCTION("""COMPUTED_VALUE"""),"pruthvi.cseds24le@cmrit.ac.in")</f>
        <v>pruthvi.cseds24le@cmrit.ac.in</v>
      </c>
      <c r="C518" s="174" t="str">
        <f>IFERROR(__xludf.DUMMYFUNCTION("""COMPUTED_VALUE"""),"PRUTHVI RAJ B.")</f>
        <v>PRUTHVI RAJ B.</v>
      </c>
      <c r="D518" s="155" t="str">
        <f>IFERROR(__xludf.DUMMYFUNCTION("""COMPUTED_VALUE"""),"1CR24CD402")</f>
        <v>1CR24CD402</v>
      </c>
      <c r="E518" s="563">
        <f>IFERROR(__xludf.DUMMYFUNCTION("""COMPUTED_VALUE"""),6.360083447E9)</f>
        <v>6360083447</v>
      </c>
      <c r="F518" s="155" t="str">
        <f>IFERROR(__xludf.DUMMYFUNCTION("""COMPUTED_VALUE"""),"CSE(DS)")</f>
        <v>CSE(DS)</v>
      </c>
      <c r="G518" s="158"/>
      <c r="H518" s="559">
        <f>IFERROR(__xludf.DUMMYFUNCTION("""COMPUTED_VALUE"""),52.0)</f>
        <v>52</v>
      </c>
      <c r="I518" s="559">
        <f>IFERROR(__xludf.DUMMYFUNCTION("""COMPUTED_VALUE"""),48.0)</f>
        <v>48</v>
      </c>
      <c r="J518" s="559">
        <f>IFERROR(__xludf.DUMMYFUNCTION("""COMPUTED_VALUE"""),77.0)</f>
        <v>77</v>
      </c>
      <c r="K518" s="559">
        <f>IFERROR(__xludf.DUMMYFUNCTION("""COMPUTED_VALUE"""),60.0)</f>
        <v>60</v>
      </c>
      <c r="L518" s="560">
        <f>IFERROR(__xludf.DUMMYFUNCTION("""COMPUTED_VALUE"""),21.0)</f>
        <v>21</v>
      </c>
      <c r="M518" s="561">
        <f>IFERROR(__xludf.DUMMYFUNCTION("""COMPUTED_VALUE"""),12.0)</f>
        <v>12</v>
      </c>
      <c r="N518" s="561">
        <f>IFERROR(__xludf.DUMMYFUNCTION("""COMPUTED_VALUE"""),6.25)</f>
        <v>6.25</v>
      </c>
      <c r="O518" s="560"/>
      <c r="P518" s="562">
        <f>IFERROR(__xludf.DUMMYFUNCTION("""COMPUTED_VALUE"""),0.0)</f>
        <v>0</v>
      </c>
      <c r="Q518" s="562">
        <f>IFERROR(__xludf.DUMMYFUNCTION("""COMPUTED_VALUE"""),0.0)</f>
        <v>0</v>
      </c>
      <c r="R518" s="562">
        <f>IFERROR(__xludf.DUMMYFUNCTION("""COMPUTED_VALUE"""),0.0)</f>
        <v>0</v>
      </c>
      <c r="S518" s="562"/>
      <c r="T518" s="217"/>
      <c r="U518" s="217"/>
      <c r="V518" s="217">
        <f>IFERROR(__xludf.DUMMYFUNCTION("""COMPUTED_VALUE"""),73.0)</f>
        <v>73</v>
      </c>
      <c r="W518" s="217">
        <f>IFERROR(__xludf.DUMMYFUNCTION("""COMPUTED_VALUE"""),78.0)</f>
        <v>78</v>
      </c>
      <c r="X518" s="217">
        <f>IFERROR(__xludf.DUMMYFUNCTION("""COMPUTED_VALUE"""),80.0)</f>
        <v>80</v>
      </c>
      <c r="Y518" s="217"/>
      <c r="Z518" s="217"/>
      <c r="AA518" s="481"/>
      <c r="AB518" s="481">
        <f>IFERROR(__xludf.DUMMYFUNCTION("""COMPUTED_VALUE"""),0.0)</f>
        <v>0</v>
      </c>
      <c r="AC518" s="481">
        <f>IFERROR(__xludf.DUMMYFUNCTION("""COMPUTED_VALUE"""),0.0)</f>
        <v>0</v>
      </c>
      <c r="AD518" s="481">
        <f>IFERROR(__xludf.DUMMYFUNCTION("""COMPUTED_VALUE"""),0.0)</f>
        <v>0</v>
      </c>
      <c r="AE518" s="481">
        <f>IFERROR(__xludf.DUMMYFUNCTION("""COMPUTED_VALUE"""),10.0)</f>
        <v>10</v>
      </c>
      <c r="AF518" s="481"/>
      <c r="AG518" s="481">
        <f>IFERROR(__xludf.DUMMYFUNCTION("""COMPUTED_VALUE"""),0.0)</f>
        <v>0</v>
      </c>
      <c r="AH518" s="481"/>
      <c r="AI518" s="158"/>
      <c r="AJ518" s="158"/>
      <c r="AK518" s="133">
        <f>IFERROR(__xludf.DUMMYFUNCTION("""COMPUTED_VALUE"""),0.0)</f>
        <v>0</v>
      </c>
      <c r="AL518" s="133">
        <f>IFERROR(__xludf.DUMMYFUNCTION("""COMPUTED_VALUE"""),0.0)</f>
        <v>0</v>
      </c>
      <c r="AM518" s="133">
        <f>IFERROR(__xludf.DUMMYFUNCTION("""COMPUTED_VALUE"""),0.0)</f>
        <v>0</v>
      </c>
      <c r="AN518" s="133" t="str">
        <f>IFERROR(__xludf.DUMMYFUNCTION("""COMPUTED_VALUE"""),"0")</f>
        <v>0</v>
      </c>
      <c r="AO518" s="133">
        <f>IFERROR(__xludf.DUMMYFUNCTION("""COMPUTED_VALUE"""),0.0)</f>
        <v>0</v>
      </c>
      <c r="AP518" s="155" t="s">
        <v>3743</v>
      </c>
    </row>
    <row r="519">
      <c r="A519" s="155">
        <f>IFERROR(__xludf.DUMMYFUNCTION("""COMPUTED_VALUE"""),66.0)</f>
        <v>66</v>
      </c>
      <c r="B519" s="155" t="str">
        <f>IFERROR(__xludf.DUMMYFUNCTION("""COMPUTED_VALUE"""),"shreyas.cseds24le@cmrit.ac.in")</f>
        <v>shreyas.cseds24le@cmrit.ac.in</v>
      </c>
      <c r="C519" s="174" t="str">
        <f>IFERROR(__xludf.DUMMYFUNCTION("""COMPUTED_VALUE"""),"Shreyas TK")</f>
        <v>Shreyas TK</v>
      </c>
      <c r="D519" s="155" t="str">
        <f>IFERROR(__xludf.DUMMYFUNCTION("""COMPUTED_VALUE"""),"1CR24CD403")</f>
        <v>1CR24CD403</v>
      </c>
      <c r="E519" s="563">
        <f>IFERROR(__xludf.DUMMYFUNCTION("""COMPUTED_VALUE"""),6.362567417E9)</f>
        <v>6362567417</v>
      </c>
      <c r="F519" s="155" t="str">
        <f>IFERROR(__xludf.DUMMYFUNCTION("""COMPUTED_VALUE"""),"CSE(DS)")</f>
        <v>CSE(DS)</v>
      </c>
      <c r="G519" s="158"/>
      <c r="H519" s="559">
        <f>IFERROR(__xludf.DUMMYFUNCTION("""COMPUTED_VALUE"""),80.0)</f>
        <v>80</v>
      </c>
      <c r="I519" s="559">
        <f>IFERROR(__xludf.DUMMYFUNCTION("""COMPUTED_VALUE"""),70.0)</f>
        <v>70</v>
      </c>
      <c r="J519" s="559">
        <f>IFERROR(__xludf.DUMMYFUNCTION("""COMPUTED_VALUE"""),70.0)</f>
        <v>70</v>
      </c>
      <c r="K519" s="559">
        <f>IFERROR(__xludf.DUMMYFUNCTION("""COMPUTED_VALUE"""),70.0)</f>
        <v>70</v>
      </c>
      <c r="L519" s="560">
        <f>IFERROR(__xludf.DUMMYFUNCTION("""COMPUTED_VALUE"""),55.0)</f>
        <v>55</v>
      </c>
      <c r="M519" s="561">
        <f>IFERROR(__xludf.DUMMYFUNCTION("""COMPUTED_VALUE"""),6.0)</f>
        <v>6</v>
      </c>
      <c r="N519" s="561">
        <f>IFERROR(__xludf.DUMMYFUNCTION("""COMPUTED_VALUE"""),7.25)</f>
        <v>7.25</v>
      </c>
      <c r="O519" s="560"/>
      <c r="P519" s="562">
        <f>IFERROR(__xludf.DUMMYFUNCTION("""COMPUTED_VALUE"""),50.0)</f>
        <v>50</v>
      </c>
      <c r="Q519" s="562">
        <f>IFERROR(__xludf.DUMMYFUNCTION("""COMPUTED_VALUE"""),50.0)</f>
        <v>50</v>
      </c>
      <c r="R519" s="562">
        <f>IFERROR(__xludf.DUMMYFUNCTION("""COMPUTED_VALUE"""),74.0)</f>
        <v>74</v>
      </c>
      <c r="S519" s="562"/>
      <c r="T519" s="217"/>
      <c r="U519" s="217"/>
      <c r="V519" s="217">
        <f>IFERROR(__xludf.DUMMYFUNCTION("""COMPUTED_VALUE"""),86.0)</f>
        <v>86</v>
      </c>
      <c r="W519" s="217"/>
      <c r="X519" s="217">
        <f>IFERROR(__xludf.DUMMYFUNCTION("""COMPUTED_VALUE"""),84.0)</f>
        <v>84</v>
      </c>
      <c r="Y519" s="217"/>
      <c r="Z519" s="217"/>
      <c r="AA519" s="481"/>
      <c r="AB519" s="481">
        <f>IFERROR(__xludf.DUMMYFUNCTION("""COMPUTED_VALUE"""),41.0)</f>
        <v>41</v>
      </c>
      <c r="AC519" s="481">
        <f>IFERROR(__xludf.DUMMYFUNCTION("""COMPUTED_VALUE"""),41.0)</f>
        <v>41</v>
      </c>
      <c r="AD519" s="481">
        <f>IFERROR(__xludf.DUMMYFUNCTION("""COMPUTED_VALUE"""),2.0)</f>
        <v>2</v>
      </c>
      <c r="AE519" s="481">
        <f>IFERROR(__xludf.DUMMYFUNCTION("""COMPUTED_VALUE"""),77.0)</f>
        <v>77</v>
      </c>
      <c r="AF519" s="481"/>
      <c r="AG519" s="481">
        <f>IFERROR(__xludf.DUMMYFUNCTION("""COMPUTED_VALUE"""),82.0)</f>
        <v>82</v>
      </c>
      <c r="AH519" s="481"/>
      <c r="AI519" s="158"/>
      <c r="AJ519" s="158"/>
      <c r="AK519" s="133">
        <f>IFERROR(__xludf.DUMMYFUNCTION("""COMPUTED_VALUE"""),4.0)</f>
        <v>4</v>
      </c>
      <c r="AL519" s="133">
        <f>IFERROR(__xludf.DUMMYFUNCTION("""COMPUTED_VALUE"""),1.0)</f>
        <v>1</v>
      </c>
      <c r="AM519" s="133">
        <f>IFERROR(__xludf.DUMMYFUNCTION("""COMPUTED_VALUE"""),0.0)</f>
        <v>0</v>
      </c>
      <c r="AN519" s="133" t="str">
        <f>IFERROR(__xludf.DUMMYFUNCTION("""COMPUTED_VALUE"""),"0")</f>
        <v>0</v>
      </c>
      <c r="AO519" s="133">
        <f>IFERROR(__xludf.DUMMYFUNCTION("""COMPUTED_VALUE"""),3.0)</f>
        <v>3</v>
      </c>
      <c r="AP519" s="155" t="s">
        <v>3743</v>
      </c>
    </row>
    <row r="520">
      <c r="A520" s="155">
        <f>IFERROR(__xludf.DUMMYFUNCTION("""COMPUTED_VALUE"""),67.0)</f>
        <v>67</v>
      </c>
      <c r="B520" s="155" t="str">
        <f>IFERROR(__xludf.DUMMYFUNCTION("""COMPUTED_VALUE"""),"thouheed.cseds24le@cmrit.ac.in")</f>
        <v>thouheed.cseds24le@cmrit.ac.in</v>
      </c>
      <c r="C520" s="174" t="str">
        <f>IFERROR(__xludf.DUMMYFUNCTION("""COMPUTED_VALUE"""),"Thouheed")</f>
        <v>Thouheed</v>
      </c>
      <c r="D520" s="155" t="str">
        <f>IFERROR(__xludf.DUMMYFUNCTION("""COMPUTED_VALUE"""),"1CR24CD404")</f>
        <v>1CR24CD404</v>
      </c>
      <c r="E520" s="563">
        <f>IFERROR(__xludf.DUMMYFUNCTION("""COMPUTED_VALUE"""),9.886637713E9)</f>
        <v>9886637713</v>
      </c>
      <c r="F520" s="155" t="str">
        <f>IFERROR(__xludf.DUMMYFUNCTION("""COMPUTED_VALUE"""),"CSE(DS)")</f>
        <v>CSE(DS)</v>
      </c>
      <c r="G520" s="158"/>
      <c r="H520" s="559">
        <f>IFERROR(__xludf.DUMMYFUNCTION("""COMPUTED_VALUE"""),72.0)</f>
        <v>72</v>
      </c>
      <c r="I520" s="559">
        <f>IFERROR(__xludf.DUMMYFUNCTION("""COMPUTED_VALUE"""),70.0)</f>
        <v>70</v>
      </c>
      <c r="J520" s="559">
        <f>IFERROR(__xludf.DUMMYFUNCTION("""COMPUTED_VALUE"""),70.0)</f>
        <v>70</v>
      </c>
      <c r="K520" s="559">
        <f>IFERROR(__xludf.DUMMYFUNCTION("""COMPUTED_VALUE"""),71.0)</f>
        <v>71</v>
      </c>
      <c r="L520" s="560">
        <f>IFERROR(__xludf.DUMMYFUNCTION("""COMPUTED_VALUE"""),75.0)</f>
        <v>75</v>
      </c>
      <c r="M520" s="561">
        <f>IFERROR(__xludf.DUMMYFUNCTION("""COMPUTED_VALUE"""),50.0)</f>
        <v>50</v>
      </c>
      <c r="N520" s="561">
        <f>IFERROR(__xludf.DUMMYFUNCTION("""COMPUTED_VALUE"""),9.5)</f>
        <v>9.5</v>
      </c>
      <c r="O520" s="560"/>
      <c r="P520" s="562">
        <f>IFERROR(__xludf.DUMMYFUNCTION("""COMPUTED_VALUE"""),50.0)</f>
        <v>50</v>
      </c>
      <c r="Q520" s="562">
        <f>IFERROR(__xludf.DUMMYFUNCTION("""COMPUTED_VALUE"""),50.0)</f>
        <v>50</v>
      </c>
      <c r="R520" s="562">
        <f>IFERROR(__xludf.DUMMYFUNCTION("""COMPUTED_VALUE"""),79.0)</f>
        <v>79</v>
      </c>
      <c r="S520" s="562"/>
      <c r="T520" s="217"/>
      <c r="U520" s="217"/>
      <c r="V520" s="217">
        <f>IFERROR(__xludf.DUMMYFUNCTION("""COMPUTED_VALUE"""),84.0)</f>
        <v>84</v>
      </c>
      <c r="W520" s="217">
        <f>IFERROR(__xludf.DUMMYFUNCTION("""COMPUTED_VALUE"""),84.0)</f>
        <v>84</v>
      </c>
      <c r="X520" s="217">
        <f>IFERROR(__xludf.DUMMYFUNCTION("""COMPUTED_VALUE"""),78.0)</f>
        <v>78</v>
      </c>
      <c r="Y520" s="217"/>
      <c r="Z520" s="217"/>
      <c r="AA520" s="481"/>
      <c r="AB520" s="481">
        <f>IFERROR(__xludf.DUMMYFUNCTION("""COMPUTED_VALUE"""),37.0)</f>
        <v>37</v>
      </c>
      <c r="AC520" s="481">
        <f>IFERROR(__xludf.DUMMYFUNCTION("""COMPUTED_VALUE"""),37.0)</f>
        <v>37</v>
      </c>
      <c r="AD520" s="481">
        <f>IFERROR(__xludf.DUMMYFUNCTION("""COMPUTED_VALUE"""),78.0)</f>
        <v>78</v>
      </c>
      <c r="AE520" s="481">
        <f>IFERROR(__xludf.DUMMYFUNCTION("""COMPUTED_VALUE"""),40.0)</f>
        <v>40</v>
      </c>
      <c r="AF520" s="481"/>
      <c r="AG520" s="481">
        <f>IFERROR(__xludf.DUMMYFUNCTION("""COMPUTED_VALUE"""),83.0)</f>
        <v>83</v>
      </c>
      <c r="AH520" s="481"/>
      <c r="AI520" s="158"/>
      <c r="AJ520" s="158"/>
      <c r="AK520" s="133">
        <f>IFERROR(__xludf.DUMMYFUNCTION("""COMPUTED_VALUE"""),4.0)</f>
        <v>4</v>
      </c>
      <c r="AL520" s="133">
        <f>IFERROR(__xludf.DUMMYFUNCTION("""COMPUTED_VALUE"""),2.0)</f>
        <v>2</v>
      </c>
      <c r="AM520" s="133">
        <f>IFERROR(__xludf.DUMMYFUNCTION("""COMPUTED_VALUE"""),0.0)</f>
        <v>0</v>
      </c>
      <c r="AN520" s="133" t="str">
        <f>IFERROR(__xludf.DUMMYFUNCTION("""COMPUTED_VALUE"""),"0")</f>
        <v>0</v>
      </c>
      <c r="AO520" s="133">
        <f>IFERROR(__xludf.DUMMYFUNCTION("""COMPUTED_VALUE"""),3.0)</f>
        <v>3</v>
      </c>
      <c r="AP520" s="155" t="s">
        <v>3743</v>
      </c>
    </row>
    <row r="521">
      <c r="A521" s="155">
        <f>IFERROR(__xludf.DUMMYFUNCTION("""COMPUTED_VALUE"""),61.0)</f>
        <v>61</v>
      </c>
      <c r="B521" s="155" t="str">
        <f>IFERROR(__xludf.DUMMYFUNCTION("""COMPUTED_VALUE"""),"vikas.cseds24le@cmrit.ac.in")</f>
        <v>vikas.cseds24le@cmrit.ac.in</v>
      </c>
      <c r="C521" s="174" t="str">
        <f>IFERROR(__xludf.DUMMYFUNCTION("""COMPUTED_VALUE"""),"VIKAS L")</f>
        <v>VIKAS L</v>
      </c>
      <c r="D521" s="155" t="str">
        <f>IFERROR(__xludf.DUMMYFUNCTION("""COMPUTED_VALUE"""),"1CR24CD405")</f>
        <v>1CR24CD405</v>
      </c>
      <c r="E521" s="563">
        <f>IFERROR(__xludf.DUMMYFUNCTION("""COMPUTED_VALUE"""),9.986364066E9)</f>
        <v>9986364066</v>
      </c>
      <c r="F521" s="155" t="str">
        <f>IFERROR(__xludf.DUMMYFUNCTION("""COMPUTED_VALUE"""),"CSE(DS)")</f>
        <v>CSE(DS)</v>
      </c>
      <c r="G521" s="158"/>
      <c r="H521" s="559">
        <f>IFERROR(__xludf.DUMMYFUNCTION("""COMPUTED_VALUE"""),70.0)</f>
        <v>70</v>
      </c>
      <c r="I521" s="559">
        <f>IFERROR(__xludf.DUMMYFUNCTION("""COMPUTED_VALUE"""),70.0)</f>
        <v>70</v>
      </c>
      <c r="J521" s="559">
        <f>IFERROR(__xludf.DUMMYFUNCTION("""COMPUTED_VALUE"""),70.0)</f>
        <v>70</v>
      </c>
      <c r="K521" s="559">
        <f>IFERROR(__xludf.DUMMYFUNCTION("""COMPUTED_VALUE"""),70.0)</f>
        <v>70</v>
      </c>
      <c r="L521" s="560">
        <f>IFERROR(__xludf.DUMMYFUNCTION("""COMPUTED_VALUE"""),5.0)</f>
        <v>5</v>
      </c>
      <c r="M521" s="561">
        <f>IFERROR(__xludf.DUMMYFUNCTION("""COMPUTED_VALUE"""),1.0)</f>
        <v>1</v>
      </c>
      <c r="N521" s="561">
        <f>IFERROR(__xludf.DUMMYFUNCTION("""COMPUTED_VALUE"""),21.5)</f>
        <v>21.5</v>
      </c>
      <c r="O521" s="560"/>
      <c r="P521" s="562">
        <f>IFERROR(__xludf.DUMMYFUNCTION("""COMPUTED_VALUE"""),0.0)</f>
        <v>0</v>
      </c>
      <c r="Q521" s="562">
        <f>IFERROR(__xludf.DUMMYFUNCTION("""COMPUTED_VALUE"""),0.0)</f>
        <v>0</v>
      </c>
      <c r="R521" s="562">
        <f>IFERROR(__xludf.DUMMYFUNCTION("""COMPUTED_VALUE"""),83.0)</f>
        <v>83</v>
      </c>
      <c r="S521" s="562"/>
      <c r="T521" s="217"/>
      <c r="U521" s="217"/>
      <c r="V521" s="217">
        <f>IFERROR(__xludf.DUMMYFUNCTION("""COMPUTED_VALUE"""),83.0)</f>
        <v>83</v>
      </c>
      <c r="W521" s="217">
        <f>IFERROR(__xludf.DUMMYFUNCTION("""COMPUTED_VALUE"""),72.0)</f>
        <v>72</v>
      </c>
      <c r="X521" s="217">
        <f>IFERROR(__xludf.DUMMYFUNCTION("""COMPUTED_VALUE"""),86.0)</f>
        <v>86</v>
      </c>
      <c r="Y521" s="217"/>
      <c r="Z521" s="217"/>
      <c r="AA521" s="481"/>
      <c r="AB521" s="481">
        <f>IFERROR(__xludf.DUMMYFUNCTION("""COMPUTED_VALUE"""),69.0)</f>
        <v>69</v>
      </c>
      <c r="AC521" s="481">
        <f>IFERROR(__xludf.DUMMYFUNCTION("""COMPUTED_VALUE"""),69.0)</f>
        <v>69</v>
      </c>
      <c r="AD521" s="481">
        <f>IFERROR(__xludf.DUMMYFUNCTION("""COMPUTED_VALUE"""),1.0)</f>
        <v>1</v>
      </c>
      <c r="AE521" s="481">
        <f>IFERROR(__xludf.DUMMYFUNCTION("""COMPUTED_VALUE"""),15.0)</f>
        <v>15</v>
      </c>
      <c r="AF521" s="481"/>
      <c r="AG521" s="481">
        <f>IFERROR(__xludf.DUMMYFUNCTION("""COMPUTED_VALUE"""),48.0)</f>
        <v>48</v>
      </c>
      <c r="AH521" s="481"/>
      <c r="AI521" s="158"/>
      <c r="AJ521" s="158"/>
      <c r="AK521" s="133">
        <f>IFERROR(__xludf.DUMMYFUNCTION("""COMPUTED_VALUE"""),4.0)</f>
        <v>4</v>
      </c>
      <c r="AL521" s="133">
        <f>IFERROR(__xludf.DUMMYFUNCTION("""COMPUTED_VALUE"""),0.0)</f>
        <v>0</v>
      </c>
      <c r="AM521" s="133">
        <f>IFERROR(__xludf.DUMMYFUNCTION("""COMPUTED_VALUE"""),0.0)</f>
        <v>0</v>
      </c>
      <c r="AN521" s="133" t="str">
        <f>IFERROR(__xludf.DUMMYFUNCTION("""COMPUTED_VALUE"""),"3")</f>
        <v>3</v>
      </c>
      <c r="AO521" s="133">
        <f>IFERROR(__xludf.DUMMYFUNCTION("""COMPUTED_VALUE"""),0.0)</f>
        <v>0</v>
      </c>
      <c r="AP521" s="155" t="s">
        <v>3743</v>
      </c>
    </row>
    <row r="522">
      <c r="A522" s="155">
        <f>IFERROR(__xludf.DUMMYFUNCTION("""COMPUTED_VALUE"""),1.0)</f>
        <v>1</v>
      </c>
      <c r="B522" s="155" t="str">
        <f>IFERROR(__xludf.DUMMYFUNCTION("""COMPUTED_VALUE"""),"adsi23aiml@cmrit.ac.in")</f>
        <v>adsi23aiml@cmrit.ac.in</v>
      </c>
      <c r="C522" s="174" t="str">
        <f>IFERROR(__xludf.DUMMYFUNCTION("""COMPUTED_VALUE"""),"ADITYA SINGH")</f>
        <v>ADITYA SINGH</v>
      </c>
      <c r="D522" s="155" t="str">
        <f>IFERROR(__xludf.DUMMYFUNCTION("""COMPUTED_VALUE"""),"1CR23AI001")</f>
        <v>1CR23AI001</v>
      </c>
      <c r="E522" s="563">
        <f>IFERROR(__xludf.DUMMYFUNCTION("""COMPUTED_VALUE"""),8.899757157E9)</f>
        <v>8899757157</v>
      </c>
      <c r="F522" s="155" t="str">
        <f>IFERROR(__xludf.DUMMYFUNCTION("""COMPUTED_VALUE"""),"AIML")</f>
        <v>AIML</v>
      </c>
      <c r="G522" s="158"/>
      <c r="H522" s="559">
        <f>IFERROR(__xludf.DUMMYFUNCTION("""COMPUTED_VALUE"""),71.0)</f>
        <v>71</v>
      </c>
      <c r="I522" s="559">
        <f>IFERROR(__xludf.DUMMYFUNCTION("""COMPUTED_VALUE"""),81.0)</f>
        <v>81</v>
      </c>
      <c r="J522" s="559">
        <f>IFERROR(__xludf.DUMMYFUNCTION("""COMPUTED_VALUE"""),70.0)</f>
        <v>70</v>
      </c>
      <c r="K522" s="559">
        <f>IFERROR(__xludf.DUMMYFUNCTION("""COMPUTED_VALUE"""),70.0)</f>
        <v>70</v>
      </c>
      <c r="L522" s="560">
        <f>IFERROR(__xludf.DUMMYFUNCTION("""COMPUTED_VALUE"""),50.0)</f>
        <v>50</v>
      </c>
      <c r="M522" s="561">
        <f>IFERROR(__xludf.DUMMYFUNCTION("""COMPUTED_VALUE"""),50.0)</f>
        <v>50</v>
      </c>
      <c r="N522" s="561">
        <f>IFERROR(__xludf.DUMMYFUNCTION("""COMPUTED_VALUE"""),54.0)</f>
        <v>54</v>
      </c>
      <c r="O522" s="560"/>
      <c r="P522" s="562">
        <f>IFERROR(__xludf.DUMMYFUNCTION("""COMPUTED_VALUE"""),80.0)</f>
        <v>80</v>
      </c>
      <c r="Q522" s="562">
        <f>IFERROR(__xludf.DUMMYFUNCTION("""COMPUTED_VALUE"""),50.0)</f>
        <v>50</v>
      </c>
      <c r="R522" s="562">
        <f>IFERROR(__xludf.DUMMYFUNCTION("""COMPUTED_VALUE"""),50.0)</f>
        <v>50</v>
      </c>
      <c r="S522" s="562"/>
      <c r="T522" s="217">
        <f>IFERROR(__xludf.DUMMYFUNCTION("""COMPUTED_VALUE"""),13.0)</f>
        <v>13</v>
      </c>
      <c r="U522" s="217">
        <f>IFERROR(__xludf.DUMMYFUNCTION("""COMPUTED_VALUE"""),21.0)</f>
        <v>21</v>
      </c>
      <c r="V522" s="217">
        <f>IFERROR(__xludf.DUMMYFUNCTION("""COMPUTED_VALUE"""),88.0)</f>
        <v>88</v>
      </c>
      <c r="W522" s="217">
        <f>IFERROR(__xludf.DUMMYFUNCTION("""COMPUTED_VALUE"""),72.0)</f>
        <v>72</v>
      </c>
      <c r="X522" s="217">
        <f>IFERROR(__xludf.DUMMYFUNCTION("""COMPUTED_VALUE"""),70.0)</f>
        <v>70</v>
      </c>
      <c r="Y522" s="217"/>
      <c r="Z522" s="217"/>
      <c r="AA522" s="481">
        <f>IFERROR(__xludf.DUMMYFUNCTION("""COMPUTED_VALUE"""),4.0)</f>
        <v>4</v>
      </c>
      <c r="AB522" s="481">
        <f>IFERROR(__xludf.DUMMYFUNCTION("""COMPUTED_VALUE"""),75.0)</f>
        <v>75</v>
      </c>
      <c r="AC522" s="481">
        <f>IFERROR(__xludf.DUMMYFUNCTION("""COMPUTED_VALUE"""),100.0)</f>
        <v>100</v>
      </c>
      <c r="AD522" s="481">
        <f>IFERROR(__xludf.DUMMYFUNCTION("""COMPUTED_VALUE"""),60.0)</f>
        <v>60</v>
      </c>
      <c r="AE522" s="481">
        <f>IFERROR(__xludf.DUMMYFUNCTION("""COMPUTED_VALUE"""),90.0)</f>
        <v>90</v>
      </c>
      <c r="AF522" s="481"/>
      <c r="AG522" s="481">
        <f>IFERROR(__xludf.DUMMYFUNCTION("""COMPUTED_VALUE"""),79.0)</f>
        <v>79</v>
      </c>
      <c r="AH522" s="481"/>
      <c r="AI522" s="158"/>
      <c r="AJ522" s="158"/>
      <c r="AK522" s="133">
        <f>IFERROR(__xludf.DUMMYFUNCTION("""COMPUTED_VALUE"""),4.0)</f>
        <v>4</v>
      </c>
      <c r="AL522" s="133">
        <f>IFERROR(__xludf.DUMMYFUNCTION("""COMPUTED_VALUE"""),3.0)</f>
        <v>3</v>
      </c>
      <c r="AM522" s="133">
        <f>IFERROR(__xludf.DUMMYFUNCTION("""COMPUTED_VALUE"""),3.0)</f>
        <v>3</v>
      </c>
      <c r="AN522" s="133" t="str">
        <f>IFERROR(__xludf.DUMMYFUNCTION("""COMPUTED_VALUE"""),"3.5")</f>
        <v>3.5</v>
      </c>
      <c r="AO522" s="133">
        <f>IFERROR(__xludf.DUMMYFUNCTION("""COMPUTED_VALUE"""),3.0)</f>
        <v>3</v>
      </c>
      <c r="AP522" s="155" t="s">
        <v>3743</v>
      </c>
    </row>
    <row r="523">
      <c r="A523" s="155">
        <f>IFERROR(__xludf.DUMMYFUNCTION("""COMPUTED_VALUE"""),2.0)</f>
        <v>2</v>
      </c>
      <c r="B523" s="155" t="str">
        <f>IFERROR(__xludf.DUMMYFUNCTION("""COMPUTED_VALUE"""),"aiko23aiml@cmrit.ac.in")</f>
        <v>aiko23aiml@cmrit.ac.in</v>
      </c>
      <c r="C523" s="174" t="str">
        <f>IFERROR(__xludf.DUMMYFUNCTION("""COMPUTED_VALUE"""),"Aishwarya kotte")</f>
        <v>Aishwarya kotte</v>
      </c>
      <c r="D523" s="155" t="str">
        <f>IFERROR(__xludf.DUMMYFUNCTION("""COMPUTED_VALUE"""),"1CR23AI002")</f>
        <v>1CR23AI002</v>
      </c>
      <c r="E523" s="563">
        <f>IFERROR(__xludf.DUMMYFUNCTION("""COMPUTED_VALUE"""),8.431855409E9)</f>
        <v>8431855409</v>
      </c>
      <c r="F523" s="155" t="str">
        <f>IFERROR(__xludf.DUMMYFUNCTION("""COMPUTED_VALUE"""),"AIML")</f>
        <v>AIML</v>
      </c>
      <c r="G523" s="158"/>
      <c r="H523" s="559">
        <f>IFERROR(__xludf.DUMMYFUNCTION("""COMPUTED_VALUE"""),78.0)</f>
        <v>78</v>
      </c>
      <c r="I523" s="559">
        <f>IFERROR(__xludf.DUMMYFUNCTION("""COMPUTED_VALUE"""),85.0)</f>
        <v>85</v>
      </c>
      <c r="J523" s="559">
        <f>IFERROR(__xludf.DUMMYFUNCTION("""COMPUTED_VALUE"""),73.0)</f>
        <v>73</v>
      </c>
      <c r="K523" s="559">
        <f>IFERROR(__xludf.DUMMYFUNCTION("""COMPUTED_VALUE"""),77.0)</f>
        <v>77</v>
      </c>
      <c r="L523" s="560">
        <f>IFERROR(__xludf.DUMMYFUNCTION("""COMPUTED_VALUE"""),60.0)</f>
        <v>60</v>
      </c>
      <c r="M523" s="561">
        <f>IFERROR(__xludf.DUMMYFUNCTION("""COMPUTED_VALUE"""),50.0)</f>
        <v>50</v>
      </c>
      <c r="N523" s="561">
        <f>IFERROR(__xludf.DUMMYFUNCTION("""COMPUTED_VALUE"""),50.0)</f>
        <v>50</v>
      </c>
      <c r="O523" s="560"/>
      <c r="P523" s="562">
        <f>IFERROR(__xludf.DUMMYFUNCTION("""COMPUTED_VALUE"""),80.0)</f>
        <v>80</v>
      </c>
      <c r="Q523" s="562">
        <f>IFERROR(__xludf.DUMMYFUNCTION("""COMPUTED_VALUE"""),67.0)</f>
        <v>67</v>
      </c>
      <c r="R523" s="562">
        <f>IFERROR(__xludf.DUMMYFUNCTION("""COMPUTED_VALUE"""),77.0)</f>
        <v>77</v>
      </c>
      <c r="S523" s="562"/>
      <c r="T523" s="217">
        <f>IFERROR(__xludf.DUMMYFUNCTION("""COMPUTED_VALUE"""),16.0)</f>
        <v>16</v>
      </c>
      <c r="U523" s="217">
        <f>IFERROR(__xludf.DUMMYFUNCTION("""COMPUTED_VALUE"""),16.0)</f>
        <v>16</v>
      </c>
      <c r="V523" s="217">
        <f>IFERROR(__xludf.DUMMYFUNCTION("""COMPUTED_VALUE"""),86.0)</f>
        <v>86</v>
      </c>
      <c r="W523" s="217">
        <f>IFERROR(__xludf.DUMMYFUNCTION("""COMPUTED_VALUE"""),86.0)</f>
        <v>86</v>
      </c>
      <c r="X523" s="217">
        <f>IFERROR(__xludf.DUMMYFUNCTION("""COMPUTED_VALUE"""),76.0)</f>
        <v>76</v>
      </c>
      <c r="Y523" s="217"/>
      <c r="Z523" s="217"/>
      <c r="AA523" s="481">
        <f>IFERROR(__xludf.DUMMYFUNCTION("""COMPUTED_VALUE"""),60.0)</f>
        <v>60</v>
      </c>
      <c r="AB523" s="481">
        <f>IFERROR(__xludf.DUMMYFUNCTION("""COMPUTED_VALUE"""),88.0)</f>
        <v>88</v>
      </c>
      <c r="AC523" s="481">
        <f>IFERROR(__xludf.DUMMYFUNCTION("""COMPUTED_VALUE"""),70.0)</f>
        <v>70</v>
      </c>
      <c r="AD523" s="481">
        <f>IFERROR(__xludf.DUMMYFUNCTION("""COMPUTED_VALUE"""),7.0)</f>
        <v>7</v>
      </c>
      <c r="AE523" s="481">
        <f>IFERROR(__xludf.DUMMYFUNCTION("""COMPUTED_VALUE"""),23.0)</f>
        <v>23</v>
      </c>
      <c r="AF523" s="481"/>
      <c r="AG523" s="481">
        <f>IFERROR(__xludf.DUMMYFUNCTION("""COMPUTED_VALUE"""),96.0)</f>
        <v>96</v>
      </c>
      <c r="AH523" s="481"/>
      <c r="AI523" s="158"/>
      <c r="AJ523" s="158"/>
      <c r="AK523" s="133">
        <f>IFERROR(__xludf.DUMMYFUNCTION("""COMPUTED_VALUE"""),4.0)</f>
        <v>4</v>
      </c>
      <c r="AL523" s="133">
        <f>IFERROR(__xludf.DUMMYFUNCTION("""COMPUTED_VALUE"""),3.0)</f>
        <v>3</v>
      </c>
      <c r="AM523" s="133">
        <f>IFERROR(__xludf.DUMMYFUNCTION("""COMPUTED_VALUE"""),3.0)</f>
        <v>3</v>
      </c>
      <c r="AN523" s="133" t="str">
        <f>IFERROR(__xludf.DUMMYFUNCTION("""COMPUTED_VALUE"""),"3")</f>
        <v>3</v>
      </c>
      <c r="AO523" s="133">
        <f>IFERROR(__xludf.DUMMYFUNCTION("""COMPUTED_VALUE"""),3.0)</f>
        <v>3</v>
      </c>
      <c r="AP523" s="155" t="s">
        <v>3743</v>
      </c>
    </row>
    <row r="524">
      <c r="A524" s="155">
        <f>IFERROR(__xludf.DUMMYFUNCTION("""COMPUTED_VALUE"""),3.0)</f>
        <v>3</v>
      </c>
      <c r="B524" s="155" t="str">
        <f>IFERROR(__xludf.DUMMYFUNCTION("""COMPUTED_VALUE"""),"alth23aiml@cmrit.ac.in")</f>
        <v>alth23aiml@cmrit.ac.in</v>
      </c>
      <c r="C524" s="174" t="str">
        <f>IFERROR(__xludf.DUMMYFUNCTION("""COMPUTED_VALUE"""),"ALLIE THAKUR")</f>
        <v>ALLIE THAKUR</v>
      </c>
      <c r="D524" s="155" t="str">
        <f>IFERROR(__xludf.DUMMYFUNCTION("""COMPUTED_VALUE"""),"1CR23AI003")</f>
        <v>1CR23AI003</v>
      </c>
      <c r="E524" s="563">
        <f>IFERROR(__xludf.DUMMYFUNCTION("""COMPUTED_VALUE"""),9.81657171E9)</f>
        <v>9816571710</v>
      </c>
      <c r="F524" s="155" t="str">
        <f>IFERROR(__xludf.DUMMYFUNCTION("""COMPUTED_VALUE"""),"AIML")</f>
        <v>AIML</v>
      </c>
      <c r="G524" s="158"/>
      <c r="H524" s="559">
        <f>IFERROR(__xludf.DUMMYFUNCTION("""COMPUTED_VALUE"""),80.0)</f>
        <v>80</v>
      </c>
      <c r="I524" s="559">
        <f>IFERROR(__xludf.DUMMYFUNCTION("""COMPUTED_VALUE"""),95.0)</f>
        <v>95</v>
      </c>
      <c r="J524" s="559">
        <f>IFERROR(__xludf.DUMMYFUNCTION("""COMPUTED_VALUE"""),70.0)</f>
        <v>70</v>
      </c>
      <c r="K524" s="559">
        <f>IFERROR(__xludf.DUMMYFUNCTION("""COMPUTED_VALUE"""),76.0)</f>
        <v>76</v>
      </c>
      <c r="L524" s="560">
        <f>IFERROR(__xludf.DUMMYFUNCTION("""COMPUTED_VALUE"""),46.0)</f>
        <v>46</v>
      </c>
      <c r="M524" s="561">
        <f>IFERROR(__xludf.DUMMYFUNCTION("""COMPUTED_VALUE"""),50.0)</f>
        <v>50</v>
      </c>
      <c r="N524" s="561">
        <f>IFERROR(__xludf.DUMMYFUNCTION("""COMPUTED_VALUE"""),50.0)</f>
        <v>50</v>
      </c>
      <c r="O524" s="560"/>
      <c r="P524" s="562">
        <f>IFERROR(__xludf.DUMMYFUNCTION("""COMPUTED_VALUE"""),80.0)</f>
        <v>80</v>
      </c>
      <c r="Q524" s="562">
        <f>IFERROR(__xludf.DUMMYFUNCTION("""COMPUTED_VALUE"""),67.0)</f>
        <v>67</v>
      </c>
      <c r="R524" s="562">
        <f>IFERROR(__xludf.DUMMYFUNCTION("""COMPUTED_VALUE"""),73.0)</f>
        <v>73</v>
      </c>
      <c r="S524" s="562"/>
      <c r="T524" s="217">
        <f>IFERROR(__xludf.DUMMYFUNCTION("""COMPUTED_VALUE"""),20.0)</f>
        <v>20</v>
      </c>
      <c r="U524" s="217">
        <f>IFERROR(__xludf.DUMMYFUNCTION("""COMPUTED_VALUE"""),23.0)</f>
        <v>23</v>
      </c>
      <c r="V524" s="217">
        <f>IFERROR(__xludf.DUMMYFUNCTION("""COMPUTED_VALUE"""),90.0)</f>
        <v>90</v>
      </c>
      <c r="W524" s="217">
        <f>IFERROR(__xludf.DUMMYFUNCTION("""COMPUTED_VALUE"""),88.0)</f>
        <v>88</v>
      </c>
      <c r="X524" s="217">
        <f>IFERROR(__xludf.DUMMYFUNCTION("""COMPUTED_VALUE"""),70.0)</f>
        <v>70</v>
      </c>
      <c r="Y524" s="217"/>
      <c r="Z524" s="217"/>
      <c r="AA524" s="481">
        <f>IFERROR(__xludf.DUMMYFUNCTION("""COMPUTED_VALUE"""),40.0)</f>
        <v>40</v>
      </c>
      <c r="AB524" s="481">
        <f>IFERROR(__xludf.DUMMYFUNCTION("""COMPUTED_VALUE"""),61.0)</f>
        <v>61</v>
      </c>
      <c r="AC524" s="481">
        <f>IFERROR(__xludf.DUMMYFUNCTION("""COMPUTED_VALUE"""),23.0)</f>
        <v>23</v>
      </c>
      <c r="AD524" s="481">
        <f>IFERROR(__xludf.DUMMYFUNCTION("""COMPUTED_VALUE"""),62.0)</f>
        <v>62</v>
      </c>
      <c r="AE524" s="481">
        <f>IFERROR(__xludf.DUMMYFUNCTION("""COMPUTED_VALUE"""),45.0)</f>
        <v>45</v>
      </c>
      <c r="AF524" s="481"/>
      <c r="AG524" s="481">
        <f>IFERROR(__xludf.DUMMYFUNCTION("""COMPUTED_VALUE"""),48.0)</f>
        <v>48</v>
      </c>
      <c r="AH524" s="481"/>
      <c r="AI524" s="158"/>
      <c r="AJ524" s="158"/>
      <c r="AK524" s="133">
        <f>IFERROR(__xludf.DUMMYFUNCTION("""COMPUTED_VALUE"""),4.0)</f>
        <v>4</v>
      </c>
      <c r="AL524" s="133">
        <f>IFERROR(__xludf.DUMMYFUNCTION("""COMPUTED_VALUE"""),0.0)</f>
        <v>0</v>
      </c>
      <c r="AM524" s="133">
        <f>IFERROR(__xludf.DUMMYFUNCTION("""COMPUTED_VALUE"""),3.0)</f>
        <v>3</v>
      </c>
      <c r="AN524" s="133" t="str">
        <f>IFERROR(__xludf.DUMMYFUNCTION("""COMPUTED_VALUE"""),"3")</f>
        <v>3</v>
      </c>
      <c r="AO524" s="133">
        <f>IFERROR(__xludf.DUMMYFUNCTION("""COMPUTED_VALUE"""),3.0)</f>
        <v>3</v>
      </c>
      <c r="AP524" s="155" t="s">
        <v>3743</v>
      </c>
    </row>
    <row r="525">
      <c r="A525" s="155">
        <f>IFERROR(__xludf.DUMMYFUNCTION("""COMPUTED_VALUE"""),4.0)</f>
        <v>4</v>
      </c>
      <c r="B525" s="155" t="str">
        <f>IFERROR(__xludf.DUMMYFUNCTION("""COMPUTED_VALUE"""),"ampa23aiml@cmrit.ac.in")</f>
        <v>ampa23aiml@cmrit.ac.in</v>
      </c>
      <c r="C525" s="174" t="str">
        <f>IFERROR(__xludf.DUMMYFUNCTION("""COMPUTED_VALUE"""),"Amogh Shivappa Pattanashetti")</f>
        <v>Amogh Shivappa Pattanashetti</v>
      </c>
      <c r="D525" s="155" t="str">
        <f>IFERROR(__xludf.DUMMYFUNCTION("""COMPUTED_VALUE"""),"1CR23AI004")</f>
        <v>1CR23AI004</v>
      </c>
      <c r="E525" s="563">
        <f>IFERROR(__xludf.DUMMYFUNCTION("""COMPUTED_VALUE"""),7.892450407E9)</f>
        <v>7892450407</v>
      </c>
      <c r="F525" s="155" t="str">
        <f>IFERROR(__xludf.DUMMYFUNCTION("""COMPUTED_VALUE"""),"AIML")</f>
        <v>AIML</v>
      </c>
      <c r="G525" s="158"/>
      <c r="H525" s="559">
        <f>IFERROR(__xludf.DUMMYFUNCTION("""COMPUTED_VALUE"""),70.0)</f>
        <v>70</v>
      </c>
      <c r="I525" s="559">
        <f>IFERROR(__xludf.DUMMYFUNCTION("""COMPUTED_VALUE"""),79.0)</f>
        <v>79</v>
      </c>
      <c r="J525" s="559">
        <f>IFERROR(__xludf.DUMMYFUNCTION("""COMPUTED_VALUE"""),50.0)</f>
        <v>50</v>
      </c>
      <c r="K525" s="559">
        <f>IFERROR(__xludf.DUMMYFUNCTION("""COMPUTED_VALUE"""),70.0)</f>
        <v>70</v>
      </c>
      <c r="L525" s="560">
        <f>IFERROR(__xludf.DUMMYFUNCTION("""COMPUTED_VALUE"""),50.0)</f>
        <v>50</v>
      </c>
      <c r="M525" s="561">
        <f>IFERROR(__xludf.DUMMYFUNCTION("""COMPUTED_VALUE"""),50.0)</f>
        <v>50</v>
      </c>
      <c r="N525" s="561">
        <f>IFERROR(__xludf.DUMMYFUNCTION("""COMPUTED_VALUE"""),0.0)</f>
        <v>0</v>
      </c>
      <c r="O525" s="560"/>
      <c r="P525" s="562">
        <f>IFERROR(__xludf.DUMMYFUNCTION("""COMPUTED_VALUE"""),50.0)</f>
        <v>50</v>
      </c>
      <c r="Q525" s="562">
        <f>IFERROR(__xludf.DUMMYFUNCTION("""COMPUTED_VALUE"""),50.0)</f>
        <v>50</v>
      </c>
      <c r="R525" s="562">
        <f>IFERROR(__xludf.DUMMYFUNCTION("""COMPUTED_VALUE"""),50.0)</f>
        <v>50</v>
      </c>
      <c r="S525" s="562"/>
      <c r="T525" s="217">
        <f>IFERROR(__xludf.DUMMYFUNCTION("""COMPUTED_VALUE"""),19.0)</f>
        <v>19</v>
      </c>
      <c r="U525" s="217">
        <f>IFERROR(__xludf.DUMMYFUNCTION("""COMPUTED_VALUE"""),21.0)</f>
        <v>21</v>
      </c>
      <c r="V525" s="217">
        <f>IFERROR(__xludf.DUMMYFUNCTION("""COMPUTED_VALUE"""),90.0)</f>
        <v>90</v>
      </c>
      <c r="W525" s="217">
        <f>IFERROR(__xludf.DUMMYFUNCTION("""COMPUTED_VALUE"""),0.0)</f>
        <v>0</v>
      </c>
      <c r="X525" s="217">
        <f>IFERROR(__xludf.DUMMYFUNCTION("""COMPUTED_VALUE"""),88.0)</f>
        <v>88</v>
      </c>
      <c r="Y525" s="217"/>
      <c r="Z525" s="217"/>
      <c r="AA525" s="481">
        <f>IFERROR(__xludf.DUMMYFUNCTION("""COMPUTED_VALUE"""),60.0)</f>
        <v>60</v>
      </c>
      <c r="AB525" s="481">
        <f>IFERROR(__xludf.DUMMYFUNCTION("""COMPUTED_VALUE"""),75.0)</f>
        <v>75</v>
      </c>
      <c r="AC525" s="481">
        <f>IFERROR(__xludf.DUMMYFUNCTION("""COMPUTED_VALUE"""),3.0)</f>
        <v>3</v>
      </c>
      <c r="AD525" s="481">
        <f>IFERROR(__xludf.DUMMYFUNCTION("""COMPUTED_VALUE"""),1.0)</f>
        <v>1</v>
      </c>
      <c r="AE525" s="481">
        <f>IFERROR(__xludf.DUMMYFUNCTION("""COMPUTED_VALUE"""),10.0)</f>
        <v>10</v>
      </c>
      <c r="AF525" s="481"/>
      <c r="AG525" s="481">
        <f>IFERROR(__xludf.DUMMYFUNCTION("""COMPUTED_VALUE"""),0.0)</f>
        <v>0</v>
      </c>
      <c r="AH525" s="481"/>
      <c r="AI525" s="158"/>
      <c r="AJ525" s="158"/>
      <c r="AK525" s="133">
        <f>IFERROR(__xludf.DUMMYFUNCTION("""COMPUTED_VALUE"""),2.0)</f>
        <v>2</v>
      </c>
      <c r="AL525" s="133">
        <f>IFERROR(__xludf.DUMMYFUNCTION("""COMPUTED_VALUE"""),2.0)</f>
        <v>2</v>
      </c>
      <c r="AM525" s="133">
        <f>IFERROR(__xludf.DUMMYFUNCTION("""COMPUTED_VALUE"""),2.0)</f>
        <v>2</v>
      </c>
      <c r="AN525" s="133" t="str">
        <f>IFERROR(__xludf.DUMMYFUNCTION("""COMPUTED_VALUE"""),"2")</f>
        <v>2</v>
      </c>
      <c r="AO525" s="133">
        <f>IFERROR(__xludf.DUMMYFUNCTION("""COMPUTED_VALUE"""),3.0)</f>
        <v>3</v>
      </c>
      <c r="AP525" s="155" t="s">
        <v>3743</v>
      </c>
    </row>
    <row r="526">
      <c r="A526" s="155">
        <f>IFERROR(__xludf.DUMMYFUNCTION("""COMPUTED_VALUE"""),5.0)</f>
        <v>5</v>
      </c>
      <c r="B526" s="155" t="str">
        <f>IFERROR(__xludf.DUMMYFUNCTION("""COMPUTED_VALUE"""),"anha23aiml@cmrit.ac.in")</f>
        <v>anha23aiml@cmrit.ac.in</v>
      </c>
      <c r="C526" s="174" t="str">
        <f>IFERROR(__xludf.DUMMYFUNCTION("""COMPUTED_VALUE"""),"Ananya H A")</f>
        <v>Ananya H A</v>
      </c>
      <c r="D526" s="155" t="str">
        <f>IFERROR(__xludf.DUMMYFUNCTION("""COMPUTED_VALUE"""),"1CR23AI005")</f>
        <v>1CR23AI005</v>
      </c>
      <c r="E526" s="563">
        <f>IFERROR(__xludf.DUMMYFUNCTION("""COMPUTED_VALUE"""),7.349720412E9)</f>
        <v>7349720412</v>
      </c>
      <c r="F526" s="155" t="str">
        <f>IFERROR(__xludf.DUMMYFUNCTION("""COMPUTED_VALUE"""),"AIML")</f>
        <v>AIML</v>
      </c>
      <c r="G526" s="158"/>
      <c r="H526" s="559">
        <f>IFERROR(__xludf.DUMMYFUNCTION("""COMPUTED_VALUE"""),70.0)</f>
        <v>70</v>
      </c>
      <c r="I526" s="559">
        <f>IFERROR(__xludf.DUMMYFUNCTION("""COMPUTED_VALUE"""),72.0)</f>
        <v>72</v>
      </c>
      <c r="J526" s="559">
        <f>IFERROR(__xludf.DUMMYFUNCTION("""COMPUTED_VALUE"""),62.0)</f>
        <v>62</v>
      </c>
      <c r="K526" s="559">
        <f>IFERROR(__xludf.DUMMYFUNCTION("""COMPUTED_VALUE"""),70.0)</f>
        <v>70</v>
      </c>
      <c r="L526" s="560">
        <f>IFERROR(__xludf.DUMMYFUNCTION("""COMPUTED_VALUE"""),50.0)</f>
        <v>50</v>
      </c>
      <c r="M526" s="561">
        <f>IFERROR(__xludf.DUMMYFUNCTION("""COMPUTED_VALUE"""),50.0)</f>
        <v>50</v>
      </c>
      <c r="N526" s="561">
        <f>IFERROR(__xludf.DUMMYFUNCTION("""COMPUTED_VALUE"""),10.0)</f>
        <v>10</v>
      </c>
      <c r="O526" s="560"/>
      <c r="P526" s="562">
        <f>IFERROR(__xludf.DUMMYFUNCTION("""COMPUTED_VALUE"""),79.0)</f>
        <v>79</v>
      </c>
      <c r="Q526" s="562">
        <f>IFERROR(__xludf.DUMMYFUNCTION("""COMPUTED_VALUE"""),80.0)</f>
        <v>80</v>
      </c>
      <c r="R526" s="562">
        <f>IFERROR(__xludf.DUMMYFUNCTION("""COMPUTED_VALUE"""),84.0)</f>
        <v>84</v>
      </c>
      <c r="S526" s="562"/>
      <c r="T526" s="217">
        <f>IFERROR(__xludf.DUMMYFUNCTION("""COMPUTED_VALUE"""),18.0)</f>
        <v>18</v>
      </c>
      <c r="U526" s="217">
        <f>IFERROR(__xludf.DUMMYFUNCTION("""COMPUTED_VALUE"""),22.0)</f>
        <v>22</v>
      </c>
      <c r="V526" s="217">
        <f>IFERROR(__xludf.DUMMYFUNCTION("""COMPUTED_VALUE"""),94.0)</f>
        <v>94</v>
      </c>
      <c r="W526" s="217">
        <f>IFERROR(__xludf.DUMMYFUNCTION("""COMPUTED_VALUE"""),88.0)</f>
        <v>88</v>
      </c>
      <c r="X526" s="217">
        <f>IFERROR(__xludf.DUMMYFUNCTION("""COMPUTED_VALUE"""),84.0)</f>
        <v>84</v>
      </c>
      <c r="Y526" s="217"/>
      <c r="Z526" s="217"/>
      <c r="AA526" s="481">
        <f>IFERROR(__xludf.DUMMYFUNCTION("""COMPUTED_VALUE"""),60.0)</f>
        <v>60</v>
      </c>
      <c r="AB526" s="481">
        <f>IFERROR(__xludf.DUMMYFUNCTION("""COMPUTED_VALUE"""),50.0)</f>
        <v>50</v>
      </c>
      <c r="AC526" s="481">
        <f>IFERROR(__xludf.DUMMYFUNCTION("""COMPUTED_VALUE"""),70.0)</f>
        <v>70</v>
      </c>
      <c r="AD526" s="481">
        <f>IFERROR(__xludf.DUMMYFUNCTION("""COMPUTED_VALUE"""),31.0)</f>
        <v>31</v>
      </c>
      <c r="AE526" s="481">
        <f>IFERROR(__xludf.DUMMYFUNCTION("""COMPUTED_VALUE"""),33.0)</f>
        <v>33</v>
      </c>
      <c r="AF526" s="481"/>
      <c r="AG526" s="481">
        <f>IFERROR(__xludf.DUMMYFUNCTION("""COMPUTED_VALUE"""),55.0)</f>
        <v>55</v>
      </c>
      <c r="AH526" s="481"/>
      <c r="AI526" s="158"/>
      <c r="AJ526" s="158"/>
      <c r="AK526" s="133">
        <f>IFERROR(__xludf.DUMMYFUNCTION("""COMPUTED_VALUE"""),2.0)</f>
        <v>2</v>
      </c>
      <c r="AL526" s="133">
        <f>IFERROR(__xludf.DUMMYFUNCTION("""COMPUTED_VALUE"""),2.0)</f>
        <v>2</v>
      </c>
      <c r="AM526" s="133">
        <f>IFERROR(__xludf.DUMMYFUNCTION("""COMPUTED_VALUE"""),3.0)</f>
        <v>3</v>
      </c>
      <c r="AN526" s="133" t="str">
        <f>IFERROR(__xludf.DUMMYFUNCTION("""COMPUTED_VALUE"""),"3")</f>
        <v>3</v>
      </c>
      <c r="AO526" s="133">
        <f>IFERROR(__xludf.DUMMYFUNCTION("""COMPUTED_VALUE"""),3.0)</f>
        <v>3</v>
      </c>
      <c r="AP526" s="155" t="s">
        <v>3743</v>
      </c>
    </row>
    <row r="527">
      <c r="A527" s="155">
        <f>IFERROR(__xludf.DUMMYFUNCTION("""COMPUTED_VALUE"""),6.0)</f>
        <v>6</v>
      </c>
      <c r="B527" s="155" t="str">
        <f>IFERROR(__xludf.DUMMYFUNCTION("""COMPUTED_VALUE"""),"anya23aiml@cmrit.ac.in")</f>
        <v>anya23aiml@cmrit.ac.in</v>
      </c>
      <c r="C527" s="174" t="str">
        <f>IFERROR(__xludf.DUMMYFUNCTION("""COMPUTED_VALUE"""),"ANANYA YAMBA")</f>
        <v>ANANYA YAMBA</v>
      </c>
      <c r="D527" s="155" t="str">
        <f>IFERROR(__xludf.DUMMYFUNCTION("""COMPUTED_VALUE"""),"1CR23AI006")</f>
        <v>1CR23AI006</v>
      </c>
      <c r="E527" s="563">
        <f>IFERROR(__xludf.DUMMYFUNCTION("""COMPUTED_VALUE"""),6.36442975E9)</f>
        <v>6364429750</v>
      </c>
      <c r="F527" s="155" t="str">
        <f>IFERROR(__xludf.DUMMYFUNCTION("""COMPUTED_VALUE"""),"AIML")</f>
        <v>AIML</v>
      </c>
      <c r="G527" s="158"/>
      <c r="H527" s="559">
        <f>IFERROR(__xludf.DUMMYFUNCTION("""COMPUTED_VALUE"""),71.0)</f>
        <v>71</v>
      </c>
      <c r="I527" s="559">
        <f>IFERROR(__xludf.DUMMYFUNCTION("""COMPUTED_VALUE"""),79.0)</f>
        <v>79</v>
      </c>
      <c r="J527" s="559">
        <f>IFERROR(__xludf.DUMMYFUNCTION("""COMPUTED_VALUE"""),55.0)</f>
        <v>55</v>
      </c>
      <c r="K527" s="559">
        <f>IFERROR(__xludf.DUMMYFUNCTION("""COMPUTED_VALUE"""),70.0)</f>
        <v>70</v>
      </c>
      <c r="L527" s="560">
        <f>IFERROR(__xludf.DUMMYFUNCTION("""COMPUTED_VALUE"""),50.0)</f>
        <v>50</v>
      </c>
      <c r="M527" s="561">
        <f>IFERROR(__xludf.DUMMYFUNCTION("""COMPUTED_VALUE"""),13.0)</f>
        <v>13</v>
      </c>
      <c r="N527" s="561">
        <f>IFERROR(__xludf.DUMMYFUNCTION("""COMPUTED_VALUE"""),0.0)</f>
        <v>0</v>
      </c>
      <c r="O527" s="560"/>
      <c r="P527" s="562">
        <f>IFERROR(__xludf.DUMMYFUNCTION("""COMPUTED_VALUE"""),0.0)</f>
        <v>0</v>
      </c>
      <c r="Q527" s="562">
        <f>IFERROR(__xludf.DUMMYFUNCTION("""COMPUTED_VALUE"""),80.0)</f>
        <v>80</v>
      </c>
      <c r="R527" s="562">
        <f>IFERROR(__xludf.DUMMYFUNCTION("""COMPUTED_VALUE"""),50.0)</f>
        <v>50</v>
      </c>
      <c r="S527" s="562"/>
      <c r="T527" s="217">
        <f>IFERROR(__xludf.DUMMYFUNCTION("""COMPUTED_VALUE"""),19.0)</f>
        <v>19</v>
      </c>
      <c r="U527" s="217">
        <f>IFERROR(__xludf.DUMMYFUNCTION("""COMPUTED_VALUE"""),16.0)</f>
        <v>16</v>
      </c>
      <c r="V527" s="217">
        <f>IFERROR(__xludf.DUMMYFUNCTION("""COMPUTED_VALUE"""),0.0)</f>
        <v>0</v>
      </c>
      <c r="W527" s="217">
        <f>IFERROR(__xludf.DUMMYFUNCTION("""COMPUTED_VALUE"""),0.0)</f>
        <v>0</v>
      </c>
      <c r="X527" s="217">
        <f>IFERROR(__xludf.DUMMYFUNCTION("""COMPUTED_VALUE"""),78.0)</f>
        <v>78</v>
      </c>
      <c r="Y527" s="217"/>
      <c r="Z527" s="217"/>
      <c r="AA527" s="481">
        <f>IFERROR(__xludf.DUMMYFUNCTION("""COMPUTED_VALUE"""),24.0)</f>
        <v>24</v>
      </c>
      <c r="AB527" s="481">
        <f>IFERROR(__xludf.DUMMYFUNCTION("""COMPUTED_VALUE"""),35.0)</f>
        <v>35</v>
      </c>
      <c r="AC527" s="481">
        <f>IFERROR(__xludf.DUMMYFUNCTION("""COMPUTED_VALUE"""),35.0)</f>
        <v>35</v>
      </c>
      <c r="AD527" s="481">
        <f>IFERROR(__xludf.DUMMYFUNCTION("""COMPUTED_VALUE"""),0.0)</f>
        <v>0</v>
      </c>
      <c r="AE527" s="481">
        <f>IFERROR(__xludf.DUMMYFUNCTION("""COMPUTED_VALUE"""),10.0)</f>
        <v>10</v>
      </c>
      <c r="AF527" s="481"/>
      <c r="AG527" s="481">
        <f>IFERROR(__xludf.DUMMYFUNCTION("""COMPUTED_VALUE"""),70.0)</f>
        <v>70</v>
      </c>
      <c r="AH527" s="481"/>
      <c r="AI527" s="158"/>
      <c r="AJ527" s="158"/>
      <c r="AK527" s="133">
        <f>IFERROR(__xludf.DUMMYFUNCTION("""COMPUTED_VALUE"""),2.0)</f>
        <v>2</v>
      </c>
      <c r="AL527" s="133">
        <f>IFERROR(__xludf.DUMMYFUNCTION("""COMPUTED_VALUE"""),1.0)</f>
        <v>1</v>
      </c>
      <c r="AM527" s="133">
        <f>IFERROR(__xludf.DUMMYFUNCTION("""COMPUTED_VALUE"""),2.0)</f>
        <v>2</v>
      </c>
      <c r="AN527" s="133" t="str">
        <f>IFERROR(__xludf.DUMMYFUNCTION("""COMPUTED_VALUE"""),"0")</f>
        <v>0</v>
      </c>
      <c r="AO527" s="133">
        <f>IFERROR(__xludf.DUMMYFUNCTION("""COMPUTED_VALUE"""),0.0)</f>
        <v>0</v>
      </c>
      <c r="AP527" s="155" t="s">
        <v>3743</v>
      </c>
    </row>
    <row r="528">
      <c r="A528" s="155">
        <f>IFERROR(__xludf.DUMMYFUNCTION("""COMPUTED_VALUE"""),7.0)</f>
        <v>7</v>
      </c>
      <c r="B528" s="155" t="str">
        <f>IFERROR(__xludf.DUMMYFUNCTION("""COMPUTED_VALUE"""),"ann23aiml@cmrit.ac.in")</f>
        <v>ann23aiml@cmrit.ac.in</v>
      </c>
      <c r="C528" s="174" t="str">
        <f>IFERROR(__xludf.DUMMYFUNCTION("""COMPUTED_VALUE"""),"Ankitha N")</f>
        <v>Ankitha N</v>
      </c>
      <c r="D528" s="155" t="str">
        <f>IFERROR(__xludf.DUMMYFUNCTION("""COMPUTED_VALUE"""),"1CR23AI007")</f>
        <v>1CR23AI007</v>
      </c>
      <c r="E528" s="563">
        <f>IFERROR(__xludf.DUMMYFUNCTION("""COMPUTED_VALUE"""),8.792695603E9)</f>
        <v>8792695603</v>
      </c>
      <c r="F528" s="155" t="str">
        <f>IFERROR(__xludf.DUMMYFUNCTION("""COMPUTED_VALUE"""),"AIML")</f>
        <v>AIML</v>
      </c>
      <c r="G528" s="158"/>
      <c r="H528" s="559">
        <f>IFERROR(__xludf.DUMMYFUNCTION("""COMPUTED_VALUE"""),70.0)</f>
        <v>70</v>
      </c>
      <c r="I528" s="559">
        <f>IFERROR(__xludf.DUMMYFUNCTION("""COMPUTED_VALUE"""),76.0)</f>
        <v>76</v>
      </c>
      <c r="J528" s="559">
        <f>IFERROR(__xludf.DUMMYFUNCTION("""COMPUTED_VALUE"""),70.0)</f>
        <v>70</v>
      </c>
      <c r="K528" s="559">
        <f>IFERROR(__xludf.DUMMYFUNCTION("""COMPUTED_VALUE"""),70.0)</f>
        <v>70</v>
      </c>
      <c r="L528" s="560">
        <f>IFERROR(__xludf.DUMMYFUNCTION("""COMPUTED_VALUE"""),50.0)</f>
        <v>50</v>
      </c>
      <c r="M528" s="561">
        <f>IFERROR(__xludf.DUMMYFUNCTION("""COMPUTED_VALUE"""),18.0)</f>
        <v>18</v>
      </c>
      <c r="N528" s="561">
        <f>IFERROR(__xludf.DUMMYFUNCTION("""COMPUTED_VALUE"""),50.0)</f>
        <v>50</v>
      </c>
      <c r="O528" s="560"/>
      <c r="P528" s="562">
        <f>IFERROR(__xludf.DUMMYFUNCTION("""COMPUTED_VALUE"""),80.0)</f>
        <v>80</v>
      </c>
      <c r="Q528" s="562">
        <f>IFERROR(__xludf.DUMMYFUNCTION("""COMPUTED_VALUE"""),80.0)</f>
        <v>80</v>
      </c>
      <c r="R528" s="562">
        <f>IFERROR(__xludf.DUMMYFUNCTION("""COMPUTED_VALUE"""),77.0)</f>
        <v>77</v>
      </c>
      <c r="S528" s="562"/>
      <c r="T528" s="217">
        <f>IFERROR(__xludf.DUMMYFUNCTION("""COMPUTED_VALUE"""),10.0)</f>
        <v>10</v>
      </c>
      <c r="U528" s="217">
        <f>IFERROR(__xludf.DUMMYFUNCTION("""COMPUTED_VALUE"""),23.0)</f>
        <v>23</v>
      </c>
      <c r="V528" s="217">
        <f>IFERROR(__xludf.DUMMYFUNCTION("""COMPUTED_VALUE"""),92.0)</f>
        <v>92</v>
      </c>
      <c r="W528" s="217">
        <f>IFERROR(__xludf.DUMMYFUNCTION("""COMPUTED_VALUE"""),88.0)</f>
        <v>88</v>
      </c>
      <c r="X528" s="217">
        <f>IFERROR(__xludf.DUMMYFUNCTION("""COMPUTED_VALUE"""),82.0)</f>
        <v>82</v>
      </c>
      <c r="Y528" s="217"/>
      <c r="Z528" s="217"/>
      <c r="AA528" s="481">
        <f>IFERROR(__xludf.DUMMYFUNCTION("""COMPUTED_VALUE"""),14.0)</f>
        <v>14</v>
      </c>
      <c r="AB528" s="481">
        <f>IFERROR(__xludf.DUMMYFUNCTION("""COMPUTED_VALUE"""),94.0)</f>
        <v>94</v>
      </c>
      <c r="AC528" s="481">
        <f>IFERROR(__xludf.DUMMYFUNCTION("""COMPUTED_VALUE"""),100.0)</f>
        <v>100</v>
      </c>
      <c r="AD528" s="481">
        <f>IFERROR(__xludf.DUMMYFUNCTION("""COMPUTED_VALUE"""),73.0)</f>
        <v>73</v>
      </c>
      <c r="AE528" s="481">
        <f>IFERROR(__xludf.DUMMYFUNCTION("""COMPUTED_VALUE"""),37.0)</f>
        <v>37</v>
      </c>
      <c r="AF528" s="481"/>
      <c r="AG528" s="481">
        <f>IFERROR(__xludf.DUMMYFUNCTION("""COMPUTED_VALUE"""),74.0)</f>
        <v>74</v>
      </c>
      <c r="AH528" s="481"/>
      <c r="AI528" s="158"/>
      <c r="AJ528" s="158"/>
      <c r="AK528" s="133">
        <f>IFERROR(__xludf.DUMMYFUNCTION("""COMPUTED_VALUE"""),4.0)</f>
        <v>4</v>
      </c>
      <c r="AL528" s="133">
        <f>IFERROR(__xludf.DUMMYFUNCTION("""COMPUTED_VALUE"""),1.0)</f>
        <v>1</v>
      </c>
      <c r="AM528" s="133">
        <f>IFERROR(__xludf.DUMMYFUNCTION("""COMPUTED_VALUE"""),3.0)</f>
        <v>3</v>
      </c>
      <c r="AN528" s="133" t="str">
        <f>IFERROR(__xludf.DUMMYFUNCTION("""COMPUTED_VALUE"""),"3")</f>
        <v>3</v>
      </c>
      <c r="AO528" s="133">
        <f>IFERROR(__xludf.DUMMYFUNCTION("""COMPUTED_VALUE"""),3.0)</f>
        <v>3</v>
      </c>
      <c r="AP528" s="155" t="s">
        <v>3743</v>
      </c>
    </row>
    <row r="529">
      <c r="A529" s="155">
        <f>IFERROR(__xludf.DUMMYFUNCTION("""COMPUTED_VALUE"""),8.0)</f>
        <v>8</v>
      </c>
      <c r="B529" s="155" t="str">
        <f>IFERROR(__xludf.DUMMYFUNCTION("""COMPUTED_VALUE"""),"anjh23aiml@cmrit.ac.in")</f>
        <v>anjh23aiml@cmrit.ac.in</v>
      </c>
      <c r="C529" s="174" t="str">
        <f>IFERROR(__xludf.DUMMYFUNCTION("""COMPUTED_VALUE"""),"ANURAG JHA")</f>
        <v>ANURAG JHA</v>
      </c>
      <c r="D529" s="155" t="str">
        <f>IFERROR(__xludf.DUMMYFUNCTION("""COMPUTED_VALUE"""),"1CR23AI008")</f>
        <v>1CR23AI008</v>
      </c>
      <c r="E529" s="563">
        <f>IFERROR(__xludf.DUMMYFUNCTION("""COMPUTED_VALUE"""),6.207766774E9)</f>
        <v>6207766774</v>
      </c>
      <c r="F529" s="155" t="str">
        <f>IFERROR(__xludf.DUMMYFUNCTION("""COMPUTED_VALUE"""),"AIML")</f>
        <v>AIML</v>
      </c>
      <c r="G529" s="158"/>
      <c r="H529" s="559">
        <f>IFERROR(__xludf.DUMMYFUNCTION("""COMPUTED_VALUE"""),73.0)</f>
        <v>73</v>
      </c>
      <c r="I529" s="559">
        <f>IFERROR(__xludf.DUMMYFUNCTION("""COMPUTED_VALUE"""),88.0)</f>
        <v>88</v>
      </c>
      <c r="J529" s="559">
        <f>IFERROR(__xludf.DUMMYFUNCTION("""COMPUTED_VALUE"""),79.0)</f>
        <v>79</v>
      </c>
      <c r="K529" s="559">
        <f>IFERROR(__xludf.DUMMYFUNCTION("""COMPUTED_VALUE"""),75.0)</f>
        <v>75</v>
      </c>
      <c r="L529" s="560">
        <f>IFERROR(__xludf.DUMMYFUNCTION("""COMPUTED_VALUE"""),50.0)</f>
        <v>50</v>
      </c>
      <c r="M529" s="561">
        <f>IFERROR(__xludf.DUMMYFUNCTION("""COMPUTED_VALUE"""),50.0)</f>
        <v>50</v>
      </c>
      <c r="N529" s="561">
        <f>IFERROR(__xludf.DUMMYFUNCTION("""COMPUTED_VALUE"""),50.0)</f>
        <v>50</v>
      </c>
      <c r="O529" s="560"/>
      <c r="P529" s="562">
        <f>IFERROR(__xludf.DUMMYFUNCTION("""COMPUTED_VALUE"""),50.0)</f>
        <v>50</v>
      </c>
      <c r="Q529" s="562">
        <f>IFERROR(__xludf.DUMMYFUNCTION("""COMPUTED_VALUE"""),50.0)</f>
        <v>50</v>
      </c>
      <c r="R529" s="562">
        <f>IFERROR(__xludf.DUMMYFUNCTION("""COMPUTED_VALUE"""),50.0)</f>
        <v>50</v>
      </c>
      <c r="S529" s="562"/>
      <c r="T529" s="217">
        <f>IFERROR(__xludf.DUMMYFUNCTION("""COMPUTED_VALUE"""),22.0)</f>
        <v>22</v>
      </c>
      <c r="U529" s="217">
        <f>IFERROR(__xludf.DUMMYFUNCTION("""COMPUTED_VALUE"""),23.0)</f>
        <v>23</v>
      </c>
      <c r="V529" s="217">
        <f>IFERROR(__xludf.DUMMYFUNCTION("""COMPUTED_VALUE"""),86.0)</f>
        <v>86</v>
      </c>
      <c r="W529" s="217">
        <f>IFERROR(__xludf.DUMMYFUNCTION("""COMPUTED_VALUE"""),90.0)</f>
        <v>90</v>
      </c>
      <c r="X529" s="217">
        <f>IFERROR(__xludf.DUMMYFUNCTION("""COMPUTED_VALUE"""),84.0)</f>
        <v>84</v>
      </c>
      <c r="Y529" s="217"/>
      <c r="Z529" s="217"/>
      <c r="AA529" s="481">
        <f>IFERROR(__xludf.DUMMYFUNCTION("""COMPUTED_VALUE"""),100.0)</f>
        <v>100</v>
      </c>
      <c r="AB529" s="481">
        <f>IFERROR(__xludf.DUMMYFUNCTION("""COMPUTED_VALUE"""),100.0)</f>
        <v>100</v>
      </c>
      <c r="AC529" s="481">
        <f>IFERROR(__xludf.DUMMYFUNCTION("""COMPUTED_VALUE"""),71.0)</f>
        <v>71</v>
      </c>
      <c r="AD529" s="481">
        <f>IFERROR(__xludf.DUMMYFUNCTION("""COMPUTED_VALUE"""),60.0)</f>
        <v>60</v>
      </c>
      <c r="AE529" s="481">
        <f>IFERROR(__xludf.DUMMYFUNCTION("""COMPUTED_VALUE"""),97.0)</f>
        <v>97</v>
      </c>
      <c r="AF529" s="481"/>
      <c r="AG529" s="481">
        <f>IFERROR(__xludf.DUMMYFUNCTION("""COMPUTED_VALUE"""),74.0)</f>
        <v>74</v>
      </c>
      <c r="AH529" s="481"/>
      <c r="AI529" s="158"/>
      <c r="AJ529" s="158"/>
      <c r="AK529" s="133">
        <f>IFERROR(__xludf.DUMMYFUNCTION("""COMPUTED_VALUE"""),4.0)</f>
        <v>4</v>
      </c>
      <c r="AL529" s="133">
        <f>IFERROR(__xludf.DUMMYFUNCTION("""COMPUTED_VALUE"""),3.0)</f>
        <v>3</v>
      </c>
      <c r="AM529" s="133">
        <f>IFERROR(__xludf.DUMMYFUNCTION("""COMPUTED_VALUE"""),3.0)</f>
        <v>3</v>
      </c>
      <c r="AN529" s="133" t="str">
        <f>IFERROR(__xludf.DUMMYFUNCTION("""COMPUTED_VALUE"""),"3.5")</f>
        <v>3.5</v>
      </c>
      <c r="AO529" s="133">
        <f>IFERROR(__xludf.DUMMYFUNCTION("""COMPUTED_VALUE"""),3.0)</f>
        <v>3</v>
      </c>
      <c r="AP529" s="155" t="s">
        <v>3743</v>
      </c>
    </row>
    <row r="530">
      <c r="A530" s="155">
        <f>IFERROR(__xludf.DUMMYFUNCTION("""COMPUTED_VALUE"""),9.0)</f>
        <v>9</v>
      </c>
      <c r="B530" s="155" t="str">
        <f>IFERROR(__xludf.DUMMYFUNCTION("""COMPUTED_VALUE"""),"apsh23aiml@cmrit.ac.in")</f>
        <v>apsh23aiml@cmrit.ac.in</v>
      </c>
      <c r="C530" s="174" t="str">
        <f>IFERROR(__xludf.DUMMYFUNCTION("""COMPUTED_VALUE"""),"APOORVA SHASTRI")</f>
        <v>APOORVA SHASTRI</v>
      </c>
      <c r="D530" s="155" t="str">
        <f>IFERROR(__xludf.DUMMYFUNCTION("""COMPUTED_VALUE"""),"1CR23AI009")</f>
        <v>1CR23AI009</v>
      </c>
      <c r="E530" s="563">
        <f>IFERROR(__xludf.DUMMYFUNCTION("""COMPUTED_VALUE"""),8.317303761E9)</f>
        <v>8317303761</v>
      </c>
      <c r="F530" s="155" t="str">
        <f>IFERROR(__xludf.DUMMYFUNCTION("""COMPUTED_VALUE"""),"AIML")</f>
        <v>AIML</v>
      </c>
      <c r="G530" s="158"/>
      <c r="H530" s="559">
        <f>IFERROR(__xludf.DUMMYFUNCTION("""COMPUTED_VALUE"""),71.0)</f>
        <v>71</v>
      </c>
      <c r="I530" s="559">
        <f>IFERROR(__xludf.DUMMYFUNCTION("""COMPUTED_VALUE"""),82.0)</f>
        <v>82</v>
      </c>
      <c r="J530" s="559">
        <f>IFERROR(__xludf.DUMMYFUNCTION("""COMPUTED_VALUE"""),72.0)</f>
        <v>72</v>
      </c>
      <c r="K530" s="559">
        <f>IFERROR(__xludf.DUMMYFUNCTION("""COMPUTED_VALUE"""),70.0)</f>
        <v>70</v>
      </c>
      <c r="L530" s="560">
        <f>IFERROR(__xludf.DUMMYFUNCTION("""COMPUTED_VALUE"""),50.0)</f>
        <v>50</v>
      </c>
      <c r="M530" s="561">
        <f>IFERROR(__xludf.DUMMYFUNCTION("""COMPUTED_VALUE"""),50.0)</f>
        <v>50</v>
      </c>
      <c r="N530" s="561">
        <f>IFERROR(__xludf.DUMMYFUNCTION("""COMPUTED_VALUE"""),54.0)</f>
        <v>54</v>
      </c>
      <c r="O530" s="560"/>
      <c r="P530" s="562">
        <f>IFERROR(__xludf.DUMMYFUNCTION("""COMPUTED_VALUE"""),75.0)</f>
        <v>75</v>
      </c>
      <c r="Q530" s="562">
        <f>IFERROR(__xludf.DUMMYFUNCTION("""COMPUTED_VALUE"""),80.0)</f>
        <v>80</v>
      </c>
      <c r="R530" s="562">
        <f>IFERROR(__xludf.DUMMYFUNCTION("""COMPUTED_VALUE"""),85.0)</f>
        <v>85</v>
      </c>
      <c r="S530" s="562"/>
      <c r="T530" s="217">
        <f>IFERROR(__xludf.DUMMYFUNCTION("""COMPUTED_VALUE"""),15.0)</f>
        <v>15</v>
      </c>
      <c r="U530" s="217">
        <f>IFERROR(__xludf.DUMMYFUNCTION("""COMPUTED_VALUE"""),18.0)</f>
        <v>18</v>
      </c>
      <c r="V530" s="217">
        <f>IFERROR(__xludf.DUMMYFUNCTION("""COMPUTED_VALUE"""),88.0)</f>
        <v>88</v>
      </c>
      <c r="W530" s="217">
        <f>IFERROR(__xludf.DUMMYFUNCTION("""COMPUTED_VALUE"""),82.0)</f>
        <v>82</v>
      </c>
      <c r="X530" s="217">
        <f>IFERROR(__xludf.DUMMYFUNCTION("""COMPUTED_VALUE"""),74.0)</f>
        <v>74</v>
      </c>
      <c r="Y530" s="217"/>
      <c r="Z530" s="217"/>
      <c r="AA530" s="481">
        <f>IFERROR(__xludf.DUMMYFUNCTION("""COMPUTED_VALUE"""),48.0)</f>
        <v>48</v>
      </c>
      <c r="AB530" s="481">
        <f>IFERROR(__xludf.DUMMYFUNCTION("""COMPUTED_VALUE"""),97.0)</f>
        <v>97</v>
      </c>
      <c r="AC530" s="481">
        <f>IFERROR(__xludf.DUMMYFUNCTION("""COMPUTED_VALUE"""),68.0)</f>
        <v>68</v>
      </c>
      <c r="AD530" s="481">
        <f>IFERROR(__xludf.DUMMYFUNCTION("""COMPUTED_VALUE"""),71.0)</f>
        <v>71</v>
      </c>
      <c r="AE530" s="481">
        <f>IFERROR(__xludf.DUMMYFUNCTION("""COMPUTED_VALUE"""),74.0)</f>
        <v>74</v>
      </c>
      <c r="AF530" s="481"/>
      <c r="AG530" s="481">
        <f>IFERROR(__xludf.DUMMYFUNCTION("""COMPUTED_VALUE"""),88.0)</f>
        <v>88</v>
      </c>
      <c r="AH530" s="481"/>
      <c r="AI530" s="158"/>
      <c r="AJ530" s="158"/>
      <c r="AK530" s="133">
        <f>IFERROR(__xludf.DUMMYFUNCTION("""COMPUTED_VALUE"""),4.0)</f>
        <v>4</v>
      </c>
      <c r="AL530" s="133">
        <f>IFERROR(__xludf.DUMMYFUNCTION("""COMPUTED_VALUE"""),3.0)</f>
        <v>3</v>
      </c>
      <c r="AM530" s="133">
        <f>IFERROR(__xludf.DUMMYFUNCTION("""COMPUTED_VALUE"""),3.0)</f>
        <v>3</v>
      </c>
      <c r="AN530" s="133" t="str">
        <f>IFERROR(__xludf.DUMMYFUNCTION("""COMPUTED_VALUE"""),"3.5")</f>
        <v>3.5</v>
      </c>
      <c r="AO530" s="133">
        <f>IFERROR(__xludf.DUMMYFUNCTION("""COMPUTED_VALUE"""),3.0)</f>
        <v>3</v>
      </c>
      <c r="AP530" s="155" t="s">
        <v>3780</v>
      </c>
    </row>
    <row r="531">
      <c r="A531" s="155">
        <f>IFERROR(__xludf.DUMMYFUNCTION("""COMPUTED_VALUE"""),10.0)</f>
        <v>10</v>
      </c>
      <c r="B531" s="155" t="str">
        <f>IFERROR(__xludf.DUMMYFUNCTION("""COMPUTED_VALUE"""),"arba23aiml@cmrit.ac.in")</f>
        <v>arba23aiml@cmrit.ac.in</v>
      </c>
      <c r="C531" s="174" t="str">
        <f>IFERROR(__xludf.DUMMYFUNCTION("""COMPUTED_VALUE"""),"ARNAV BANSAL")</f>
        <v>ARNAV BANSAL</v>
      </c>
      <c r="D531" s="155" t="str">
        <f>IFERROR(__xludf.DUMMYFUNCTION("""COMPUTED_VALUE"""),"1CR23AI010")</f>
        <v>1CR23AI010</v>
      </c>
      <c r="E531" s="563">
        <f>IFERROR(__xludf.DUMMYFUNCTION("""COMPUTED_VALUE"""),9.48322638E9)</f>
        <v>9483226380</v>
      </c>
      <c r="F531" s="155" t="str">
        <f>IFERROR(__xludf.DUMMYFUNCTION("""COMPUTED_VALUE"""),"AIML")</f>
        <v>AIML</v>
      </c>
      <c r="G531" s="158"/>
      <c r="H531" s="559">
        <f>IFERROR(__xludf.DUMMYFUNCTION("""COMPUTED_VALUE"""),76.0)</f>
        <v>76</v>
      </c>
      <c r="I531" s="559">
        <f>IFERROR(__xludf.DUMMYFUNCTION("""COMPUTED_VALUE"""),87.0)</f>
        <v>87</v>
      </c>
      <c r="J531" s="559">
        <f>IFERROR(__xludf.DUMMYFUNCTION("""COMPUTED_VALUE"""),85.0)</f>
        <v>85</v>
      </c>
      <c r="K531" s="559">
        <f>IFERROR(__xludf.DUMMYFUNCTION("""COMPUTED_VALUE"""),6.0)</f>
        <v>6</v>
      </c>
      <c r="L531" s="560">
        <f>IFERROR(__xludf.DUMMYFUNCTION("""COMPUTED_VALUE"""),33.0)</f>
        <v>33</v>
      </c>
      <c r="M531" s="561">
        <f>IFERROR(__xludf.DUMMYFUNCTION("""COMPUTED_VALUE"""),0.0)</f>
        <v>0</v>
      </c>
      <c r="N531" s="561">
        <f>IFERROR(__xludf.DUMMYFUNCTION("""COMPUTED_VALUE"""),10.0)</f>
        <v>10</v>
      </c>
      <c r="O531" s="560"/>
      <c r="P531" s="562">
        <f>IFERROR(__xludf.DUMMYFUNCTION("""COMPUTED_VALUE"""),80.0)</f>
        <v>80</v>
      </c>
      <c r="Q531" s="562">
        <f>IFERROR(__xludf.DUMMYFUNCTION("""COMPUTED_VALUE"""),0.0)</f>
        <v>0</v>
      </c>
      <c r="R531" s="562">
        <f>IFERROR(__xludf.DUMMYFUNCTION("""COMPUTED_VALUE"""),0.0)</f>
        <v>0</v>
      </c>
      <c r="S531" s="562"/>
      <c r="T531" s="217">
        <f>IFERROR(__xludf.DUMMYFUNCTION("""COMPUTED_VALUE"""),23.0)</f>
        <v>23</v>
      </c>
      <c r="U531" s="217">
        <f>IFERROR(__xludf.DUMMYFUNCTION("""COMPUTED_VALUE"""),23.0)</f>
        <v>23</v>
      </c>
      <c r="V531" s="217">
        <f>IFERROR(__xludf.DUMMYFUNCTION("""COMPUTED_VALUE"""),94.0)</f>
        <v>94</v>
      </c>
      <c r="W531" s="217">
        <f>IFERROR(__xludf.DUMMYFUNCTION("""COMPUTED_VALUE"""),0.0)</f>
        <v>0</v>
      </c>
      <c r="X531" s="217">
        <f>IFERROR(__xludf.DUMMYFUNCTION("""COMPUTED_VALUE"""),0.0)</f>
        <v>0</v>
      </c>
      <c r="Y531" s="217"/>
      <c r="Z531" s="217"/>
      <c r="AA531" s="481">
        <f>IFERROR(__xludf.DUMMYFUNCTION("""COMPUTED_VALUE"""),34.0)</f>
        <v>34</v>
      </c>
      <c r="AB531" s="481">
        <f>IFERROR(__xludf.DUMMYFUNCTION("""COMPUTED_VALUE"""),67.0)</f>
        <v>67</v>
      </c>
      <c r="AC531" s="481">
        <f>IFERROR(__xludf.DUMMYFUNCTION("""COMPUTED_VALUE"""),0.0)</f>
        <v>0</v>
      </c>
      <c r="AD531" s="481">
        <f>IFERROR(__xludf.DUMMYFUNCTION("""COMPUTED_VALUE"""),11.0)</f>
        <v>11</v>
      </c>
      <c r="AE531" s="481">
        <f>IFERROR(__xludf.DUMMYFUNCTION("""COMPUTED_VALUE"""),10.0)</f>
        <v>10</v>
      </c>
      <c r="AF531" s="481"/>
      <c r="AG531" s="481">
        <f>IFERROR(__xludf.DUMMYFUNCTION("""COMPUTED_VALUE"""),39.0)</f>
        <v>39</v>
      </c>
      <c r="AH531" s="481"/>
      <c r="AI531" s="158"/>
      <c r="AJ531" s="158"/>
      <c r="AK531" s="133">
        <f>IFERROR(__xludf.DUMMYFUNCTION("""COMPUTED_VALUE"""),3.0)</f>
        <v>3</v>
      </c>
      <c r="AL531" s="133">
        <f>IFERROR(__xludf.DUMMYFUNCTION("""COMPUTED_VALUE"""),0.0)</f>
        <v>0</v>
      </c>
      <c r="AM531" s="133">
        <f>IFERROR(__xludf.DUMMYFUNCTION("""COMPUTED_VALUE"""),2.0)</f>
        <v>2</v>
      </c>
      <c r="AN531" s="133" t="str">
        <f>IFERROR(__xludf.DUMMYFUNCTION("""COMPUTED_VALUE"""),"2")</f>
        <v>2</v>
      </c>
      <c r="AO531" s="133">
        <f>IFERROR(__xludf.DUMMYFUNCTION("""COMPUTED_VALUE"""),1.0)</f>
        <v>1</v>
      </c>
      <c r="AP531" s="155" t="s">
        <v>3780</v>
      </c>
    </row>
    <row r="532">
      <c r="A532" s="155">
        <f>IFERROR(__xludf.DUMMYFUNCTION("""COMPUTED_VALUE"""),11.0)</f>
        <v>11</v>
      </c>
      <c r="B532" s="155" t="str">
        <f>IFERROR(__xludf.DUMMYFUNCTION("""COMPUTED_VALUE"""),"arth23aiml@cmrit.ac.in")</f>
        <v>arth23aiml@cmrit.ac.in</v>
      </c>
      <c r="C532" s="174" t="str">
        <f>IFERROR(__xludf.DUMMYFUNCTION("""COMPUTED_VALUE"""),"ARUN BENEDICT THOTA")</f>
        <v>ARUN BENEDICT THOTA</v>
      </c>
      <c r="D532" s="155" t="str">
        <f>IFERROR(__xludf.DUMMYFUNCTION("""COMPUTED_VALUE"""),"1CR23AI011")</f>
        <v>1CR23AI011</v>
      </c>
      <c r="E532" s="563">
        <f>IFERROR(__xludf.DUMMYFUNCTION("""COMPUTED_VALUE"""),9.53596756E9)</f>
        <v>9535967560</v>
      </c>
      <c r="F532" s="155" t="str">
        <f>IFERROR(__xludf.DUMMYFUNCTION("""COMPUTED_VALUE"""),"AIML")</f>
        <v>AIML</v>
      </c>
      <c r="G532" s="158"/>
      <c r="H532" s="559">
        <f>IFERROR(__xludf.DUMMYFUNCTION("""COMPUTED_VALUE"""),88.0)</f>
        <v>88</v>
      </c>
      <c r="I532" s="559">
        <f>IFERROR(__xludf.DUMMYFUNCTION("""COMPUTED_VALUE"""),87.0)</f>
        <v>87</v>
      </c>
      <c r="J532" s="559">
        <f>IFERROR(__xludf.DUMMYFUNCTION("""COMPUTED_VALUE"""),79.0)</f>
        <v>79</v>
      </c>
      <c r="K532" s="559">
        <f>IFERROR(__xludf.DUMMYFUNCTION("""COMPUTED_VALUE"""),70.0)</f>
        <v>70</v>
      </c>
      <c r="L532" s="560">
        <f>IFERROR(__xludf.DUMMYFUNCTION("""COMPUTED_VALUE"""),58.0)</f>
        <v>58</v>
      </c>
      <c r="M532" s="561">
        <f>IFERROR(__xludf.DUMMYFUNCTION("""COMPUTED_VALUE"""),50.0)</f>
        <v>50</v>
      </c>
      <c r="N532" s="561">
        <f>IFERROR(__xludf.DUMMYFUNCTION("""COMPUTED_VALUE"""),50.0)</f>
        <v>50</v>
      </c>
      <c r="O532" s="560"/>
      <c r="P532" s="562">
        <f>IFERROR(__xludf.DUMMYFUNCTION("""COMPUTED_VALUE"""),83.0)</f>
        <v>83</v>
      </c>
      <c r="Q532" s="562">
        <f>IFERROR(__xludf.DUMMYFUNCTION("""COMPUTED_VALUE"""),88.0)</f>
        <v>88</v>
      </c>
      <c r="R532" s="562">
        <f>IFERROR(__xludf.DUMMYFUNCTION("""COMPUTED_VALUE"""),78.0)</f>
        <v>78</v>
      </c>
      <c r="S532" s="562"/>
      <c r="T532" s="217">
        <f>IFERROR(__xludf.DUMMYFUNCTION("""COMPUTED_VALUE"""),14.0)</f>
        <v>14</v>
      </c>
      <c r="U532" s="217">
        <f>IFERROR(__xludf.DUMMYFUNCTION("""COMPUTED_VALUE"""),18.0)</f>
        <v>18</v>
      </c>
      <c r="V532" s="217">
        <f>IFERROR(__xludf.DUMMYFUNCTION("""COMPUTED_VALUE"""),74.0)</f>
        <v>74</v>
      </c>
      <c r="W532" s="217">
        <f>IFERROR(__xludf.DUMMYFUNCTION("""COMPUTED_VALUE"""),80.0)</f>
        <v>80</v>
      </c>
      <c r="X532" s="217">
        <f>IFERROR(__xludf.DUMMYFUNCTION("""COMPUTED_VALUE"""),72.0)</f>
        <v>72</v>
      </c>
      <c r="Y532" s="217"/>
      <c r="Z532" s="217"/>
      <c r="AA532" s="481">
        <f>IFERROR(__xludf.DUMMYFUNCTION("""COMPUTED_VALUE"""),100.0)</f>
        <v>100</v>
      </c>
      <c r="AB532" s="481">
        <f>IFERROR(__xludf.DUMMYFUNCTION("""COMPUTED_VALUE"""),97.0)</f>
        <v>97</v>
      </c>
      <c r="AC532" s="481">
        <f>IFERROR(__xludf.DUMMYFUNCTION("""COMPUTED_VALUE"""),91.0)</f>
        <v>91</v>
      </c>
      <c r="AD532" s="481">
        <f>IFERROR(__xludf.DUMMYFUNCTION("""COMPUTED_VALUE"""),65.0)</f>
        <v>65</v>
      </c>
      <c r="AE532" s="481">
        <f>IFERROR(__xludf.DUMMYFUNCTION("""COMPUTED_VALUE"""),70.0)</f>
        <v>70</v>
      </c>
      <c r="AF532" s="481"/>
      <c r="AG532" s="481">
        <f>IFERROR(__xludf.DUMMYFUNCTION("""COMPUTED_VALUE"""),81.0)</f>
        <v>81</v>
      </c>
      <c r="AH532" s="481"/>
      <c r="AI532" s="158"/>
      <c r="AJ532" s="158"/>
      <c r="AK532" s="133">
        <f>IFERROR(__xludf.DUMMYFUNCTION("""COMPUTED_VALUE"""),4.0)</f>
        <v>4</v>
      </c>
      <c r="AL532" s="133">
        <f>IFERROR(__xludf.DUMMYFUNCTION("""COMPUTED_VALUE"""),3.0)</f>
        <v>3</v>
      </c>
      <c r="AM532" s="133">
        <f>IFERROR(__xludf.DUMMYFUNCTION("""COMPUTED_VALUE"""),3.0)</f>
        <v>3</v>
      </c>
      <c r="AN532" s="133" t="str">
        <f>IFERROR(__xludf.DUMMYFUNCTION("""COMPUTED_VALUE"""),"3.5")</f>
        <v>3.5</v>
      </c>
      <c r="AO532" s="133">
        <f>IFERROR(__xludf.DUMMYFUNCTION("""COMPUTED_VALUE"""),3.0)</f>
        <v>3</v>
      </c>
      <c r="AP532" s="155" t="s">
        <v>3780</v>
      </c>
    </row>
    <row r="533">
      <c r="A533" s="155">
        <f>IFERROR(__xludf.DUMMYFUNCTION("""COMPUTED_VALUE"""),12.0)</f>
        <v>12</v>
      </c>
      <c r="B533" s="155" t="str">
        <f>IFERROR(__xludf.DUMMYFUNCTION("""COMPUTED_VALUE"""),"aypo23aiml@cmrit.ac.in")</f>
        <v>aypo23aiml@cmrit.ac.in</v>
      </c>
      <c r="C533" s="174" t="str">
        <f>IFERROR(__xludf.DUMMYFUNCTION("""COMPUTED_VALUE"""),"AYAN POKHREL")</f>
        <v>AYAN POKHREL</v>
      </c>
      <c r="D533" s="155" t="str">
        <f>IFERROR(__xludf.DUMMYFUNCTION("""COMPUTED_VALUE"""),"1CR23AI012")</f>
        <v>1CR23AI012</v>
      </c>
      <c r="E533" s="563"/>
      <c r="F533" s="155" t="str">
        <f>IFERROR(__xludf.DUMMYFUNCTION("""COMPUTED_VALUE"""),"AIML")</f>
        <v>AIML</v>
      </c>
      <c r="G533" s="158"/>
      <c r="H533" s="559">
        <f>IFERROR(__xludf.DUMMYFUNCTION("""COMPUTED_VALUE"""),81.0)</f>
        <v>81</v>
      </c>
      <c r="I533" s="559">
        <f>IFERROR(__xludf.DUMMYFUNCTION("""COMPUTED_VALUE"""),89.0)</f>
        <v>89</v>
      </c>
      <c r="J533" s="559">
        <f>IFERROR(__xludf.DUMMYFUNCTION("""COMPUTED_VALUE"""),53.0)</f>
        <v>53</v>
      </c>
      <c r="K533" s="559">
        <f>IFERROR(__xludf.DUMMYFUNCTION("""COMPUTED_VALUE"""),42.0)</f>
        <v>42</v>
      </c>
      <c r="L533" s="560">
        <f>IFERROR(__xludf.DUMMYFUNCTION("""COMPUTED_VALUE"""),17.0)</f>
        <v>17</v>
      </c>
      <c r="M533" s="561">
        <f>IFERROR(__xludf.DUMMYFUNCTION("""COMPUTED_VALUE"""),15.0)</f>
        <v>15</v>
      </c>
      <c r="N533" s="561">
        <f>IFERROR(__xludf.DUMMYFUNCTION("""COMPUTED_VALUE"""),0.0)</f>
        <v>0</v>
      </c>
      <c r="O533" s="560"/>
      <c r="P533" s="562">
        <f>IFERROR(__xludf.DUMMYFUNCTION("""COMPUTED_VALUE"""),0.0)</f>
        <v>0</v>
      </c>
      <c r="Q533" s="562">
        <f>IFERROR(__xludf.DUMMYFUNCTION("""COMPUTED_VALUE"""),50.0)</f>
        <v>50</v>
      </c>
      <c r="R533" s="562">
        <f>IFERROR(__xludf.DUMMYFUNCTION("""COMPUTED_VALUE"""),0.0)</f>
        <v>0</v>
      </c>
      <c r="S533" s="562"/>
      <c r="T533" s="217">
        <f>IFERROR(__xludf.DUMMYFUNCTION("""COMPUTED_VALUE"""),11.0)</f>
        <v>11</v>
      </c>
      <c r="U533" s="217">
        <f>IFERROR(__xludf.DUMMYFUNCTION("""COMPUTED_VALUE"""),19.0)</f>
        <v>19</v>
      </c>
      <c r="V533" s="217">
        <f>IFERROR(__xludf.DUMMYFUNCTION("""COMPUTED_VALUE"""),78.0)</f>
        <v>78</v>
      </c>
      <c r="W533" s="217">
        <f>IFERROR(__xludf.DUMMYFUNCTION("""COMPUTED_VALUE"""),82.0)</f>
        <v>82</v>
      </c>
      <c r="X533" s="217">
        <f>IFERROR(__xludf.DUMMYFUNCTION("""COMPUTED_VALUE"""),70.0)</f>
        <v>70</v>
      </c>
      <c r="Y533" s="217"/>
      <c r="Z533" s="217"/>
      <c r="AA533" s="481">
        <f>IFERROR(__xludf.DUMMYFUNCTION("""COMPUTED_VALUE"""),84.0)</f>
        <v>84</v>
      </c>
      <c r="AB533" s="481">
        <f>IFERROR(__xludf.DUMMYFUNCTION("""COMPUTED_VALUE"""),100.0)</f>
        <v>100</v>
      </c>
      <c r="AC533" s="481">
        <f>IFERROR(__xludf.DUMMYFUNCTION("""COMPUTED_VALUE"""),0.0)</f>
        <v>0</v>
      </c>
      <c r="AD533" s="481">
        <f>IFERROR(__xludf.DUMMYFUNCTION("""COMPUTED_VALUE"""),0.0)</f>
        <v>0</v>
      </c>
      <c r="AE533" s="481">
        <f>IFERROR(__xludf.DUMMYFUNCTION("""COMPUTED_VALUE"""),10.0)</f>
        <v>10</v>
      </c>
      <c r="AF533" s="481"/>
      <c r="AG533" s="481">
        <f>IFERROR(__xludf.DUMMYFUNCTION("""COMPUTED_VALUE"""),21.0)</f>
        <v>21</v>
      </c>
      <c r="AH533" s="481"/>
      <c r="AI533" s="158"/>
      <c r="AJ533" s="158"/>
      <c r="AK533" s="133">
        <f>IFERROR(__xludf.DUMMYFUNCTION("""COMPUTED_VALUE"""),2.0)</f>
        <v>2</v>
      </c>
      <c r="AL533" s="133">
        <f>IFERROR(__xludf.DUMMYFUNCTION("""COMPUTED_VALUE"""),0.0)</f>
        <v>0</v>
      </c>
      <c r="AM533" s="133">
        <f>IFERROR(__xludf.DUMMYFUNCTION("""COMPUTED_VALUE"""),3.0)</f>
        <v>3</v>
      </c>
      <c r="AN533" s="133" t="str">
        <f>IFERROR(__xludf.DUMMYFUNCTION("""COMPUTED_VALUE"""),"2")</f>
        <v>2</v>
      </c>
      <c r="AO533" s="133">
        <f>IFERROR(__xludf.DUMMYFUNCTION("""COMPUTED_VALUE"""),0.0)</f>
        <v>0</v>
      </c>
      <c r="AP533" s="155" t="s">
        <v>3780</v>
      </c>
    </row>
    <row r="534">
      <c r="A534" s="155">
        <f>IFERROR(__xludf.DUMMYFUNCTION("""COMPUTED_VALUE"""),13.0)</f>
        <v>13</v>
      </c>
      <c r="B534" s="155" t="str">
        <f>IFERROR(__xludf.DUMMYFUNCTION("""COMPUTED_VALUE"""),"aygu23aiml@cmrit.ac.in")</f>
        <v>aygu23aiml@cmrit.ac.in</v>
      </c>
      <c r="C534" s="174" t="str">
        <f>IFERROR(__xludf.DUMMYFUNCTION("""COMPUTED_VALUE"""),"AYUSH GUPTA")</f>
        <v>AYUSH GUPTA</v>
      </c>
      <c r="D534" s="155" t="str">
        <f>IFERROR(__xludf.DUMMYFUNCTION("""COMPUTED_VALUE"""),"1CR23AI013")</f>
        <v>1CR23AI013</v>
      </c>
      <c r="E534" s="563">
        <f>IFERROR(__xludf.DUMMYFUNCTION("""COMPUTED_VALUE"""),8.052648374E9)</f>
        <v>8052648374</v>
      </c>
      <c r="F534" s="155" t="str">
        <f>IFERROR(__xludf.DUMMYFUNCTION("""COMPUTED_VALUE"""),"AIML")</f>
        <v>AIML</v>
      </c>
      <c r="G534" s="158"/>
      <c r="H534" s="559">
        <f>IFERROR(__xludf.DUMMYFUNCTION("""COMPUTED_VALUE"""),82.0)</f>
        <v>82</v>
      </c>
      <c r="I534" s="559">
        <f>IFERROR(__xludf.DUMMYFUNCTION("""COMPUTED_VALUE"""),85.0)</f>
        <v>85</v>
      </c>
      <c r="J534" s="559">
        <f>IFERROR(__xludf.DUMMYFUNCTION("""COMPUTED_VALUE"""),78.0)</f>
        <v>78</v>
      </c>
      <c r="K534" s="559">
        <f>IFERROR(__xludf.DUMMYFUNCTION("""COMPUTED_VALUE"""),70.0)</f>
        <v>70</v>
      </c>
      <c r="L534" s="560">
        <f>IFERROR(__xludf.DUMMYFUNCTION("""COMPUTED_VALUE"""),54.0)</f>
        <v>54</v>
      </c>
      <c r="M534" s="561">
        <f>IFERROR(__xludf.DUMMYFUNCTION("""COMPUTED_VALUE"""),50.0)</f>
        <v>50</v>
      </c>
      <c r="N534" s="561">
        <f>IFERROR(__xludf.DUMMYFUNCTION("""COMPUTED_VALUE"""),59.0)</f>
        <v>59</v>
      </c>
      <c r="O534" s="560"/>
      <c r="P534" s="562">
        <f>IFERROR(__xludf.DUMMYFUNCTION("""COMPUTED_VALUE"""),50.0)</f>
        <v>50</v>
      </c>
      <c r="Q534" s="562">
        <f>IFERROR(__xludf.DUMMYFUNCTION("""COMPUTED_VALUE"""),50.0)</f>
        <v>50</v>
      </c>
      <c r="R534" s="562">
        <f>IFERROR(__xludf.DUMMYFUNCTION("""COMPUTED_VALUE"""),50.0)</f>
        <v>50</v>
      </c>
      <c r="S534" s="562"/>
      <c r="T534" s="217">
        <f>IFERROR(__xludf.DUMMYFUNCTION("""COMPUTED_VALUE"""),13.0)</f>
        <v>13</v>
      </c>
      <c r="U534" s="217">
        <f>IFERROR(__xludf.DUMMYFUNCTION("""COMPUTED_VALUE"""),23.0)</f>
        <v>23</v>
      </c>
      <c r="V534" s="217">
        <f>IFERROR(__xludf.DUMMYFUNCTION("""COMPUTED_VALUE"""),88.0)</f>
        <v>88</v>
      </c>
      <c r="W534" s="217">
        <f>IFERROR(__xludf.DUMMYFUNCTION("""COMPUTED_VALUE"""),80.0)</f>
        <v>80</v>
      </c>
      <c r="X534" s="217">
        <f>IFERROR(__xludf.DUMMYFUNCTION("""COMPUTED_VALUE"""),90.0)</f>
        <v>90</v>
      </c>
      <c r="Y534" s="217"/>
      <c r="Z534" s="217"/>
      <c r="AA534" s="481">
        <f>IFERROR(__xludf.DUMMYFUNCTION("""COMPUTED_VALUE"""),80.0)</f>
        <v>80</v>
      </c>
      <c r="AB534" s="481">
        <f>IFERROR(__xludf.DUMMYFUNCTION("""COMPUTED_VALUE"""),100.0)</f>
        <v>100</v>
      </c>
      <c r="AC534" s="481">
        <f>IFERROR(__xludf.DUMMYFUNCTION("""COMPUTED_VALUE"""),100.0)</f>
        <v>100</v>
      </c>
      <c r="AD534" s="481">
        <f>IFERROR(__xludf.DUMMYFUNCTION("""COMPUTED_VALUE"""),80.0)</f>
        <v>80</v>
      </c>
      <c r="AE534" s="481">
        <f>IFERROR(__xludf.DUMMYFUNCTION("""COMPUTED_VALUE"""),10.0)</f>
        <v>10</v>
      </c>
      <c r="AF534" s="481"/>
      <c r="AG534" s="481">
        <f>IFERROR(__xludf.DUMMYFUNCTION("""COMPUTED_VALUE"""),53.0)</f>
        <v>53</v>
      </c>
      <c r="AH534" s="481"/>
      <c r="AI534" s="158"/>
      <c r="AJ534" s="158"/>
      <c r="AK534" s="133">
        <f>IFERROR(__xludf.DUMMYFUNCTION("""COMPUTED_VALUE"""),4.0)</f>
        <v>4</v>
      </c>
      <c r="AL534" s="133">
        <f>IFERROR(__xludf.DUMMYFUNCTION("""COMPUTED_VALUE"""),3.0)</f>
        <v>3</v>
      </c>
      <c r="AM534" s="133">
        <f>IFERROR(__xludf.DUMMYFUNCTION("""COMPUTED_VALUE"""),3.0)</f>
        <v>3</v>
      </c>
      <c r="AN534" s="133" t="str">
        <f>IFERROR(__xludf.DUMMYFUNCTION("""COMPUTED_VALUE"""),"3")</f>
        <v>3</v>
      </c>
      <c r="AO534" s="133">
        <f>IFERROR(__xludf.DUMMYFUNCTION("""COMPUTED_VALUE"""),3.0)</f>
        <v>3</v>
      </c>
      <c r="AP534" s="155" t="s">
        <v>3780</v>
      </c>
    </row>
    <row r="535">
      <c r="A535" s="155">
        <f>IFERROR(__xludf.DUMMYFUNCTION("""COMPUTED_VALUE"""),14.0)</f>
        <v>14</v>
      </c>
      <c r="B535" s="155" t="str">
        <f>IFERROR(__xludf.DUMMYFUNCTION("""COMPUTED_VALUE"""),"baad23aiml@cmrit.ac.in")</f>
        <v>baad23aiml@cmrit.ac.in</v>
      </c>
      <c r="C535" s="174" t="str">
        <f>IFERROR(__xludf.DUMMYFUNCTION("""COMPUTED_VALUE"""),"BALA ADITH R")</f>
        <v>BALA ADITH R</v>
      </c>
      <c r="D535" s="155" t="str">
        <f>IFERROR(__xludf.DUMMYFUNCTION("""COMPUTED_VALUE"""),"1CR23AI014")</f>
        <v>1CR23AI014</v>
      </c>
      <c r="E535" s="563">
        <f>IFERROR(__xludf.DUMMYFUNCTION("""COMPUTED_VALUE"""),9.972268833E9)</f>
        <v>9972268833</v>
      </c>
      <c r="F535" s="155" t="str">
        <f>IFERROR(__xludf.DUMMYFUNCTION("""COMPUTED_VALUE"""),"AIML")</f>
        <v>AIML</v>
      </c>
      <c r="G535" s="158"/>
      <c r="H535" s="559">
        <f>IFERROR(__xludf.DUMMYFUNCTION("""COMPUTED_VALUE"""),81.0)</f>
        <v>81</v>
      </c>
      <c r="I535" s="559">
        <f>IFERROR(__xludf.DUMMYFUNCTION("""COMPUTED_VALUE"""),89.0)</f>
        <v>89</v>
      </c>
      <c r="J535" s="559">
        <f>IFERROR(__xludf.DUMMYFUNCTION("""COMPUTED_VALUE"""),70.0)</f>
        <v>70</v>
      </c>
      <c r="K535" s="559">
        <f>IFERROR(__xludf.DUMMYFUNCTION("""COMPUTED_VALUE"""),70.0)</f>
        <v>70</v>
      </c>
      <c r="L535" s="560">
        <f>IFERROR(__xludf.DUMMYFUNCTION("""COMPUTED_VALUE"""),50.0)</f>
        <v>50</v>
      </c>
      <c r="M535" s="561">
        <f>IFERROR(__xludf.DUMMYFUNCTION("""COMPUTED_VALUE"""),50.0)</f>
        <v>50</v>
      </c>
      <c r="N535" s="561">
        <f>IFERROR(__xludf.DUMMYFUNCTION("""COMPUTED_VALUE"""),50.0)</f>
        <v>50</v>
      </c>
      <c r="O535" s="560"/>
      <c r="P535" s="562">
        <f>IFERROR(__xludf.DUMMYFUNCTION("""COMPUTED_VALUE"""),75.0)</f>
        <v>75</v>
      </c>
      <c r="Q535" s="562">
        <f>IFERROR(__xludf.DUMMYFUNCTION("""COMPUTED_VALUE"""),88.0)</f>
        <v>88</v>
      </c>
      <c r="R535" s="562">
        <f>IFERROR(__xludf.DUMMYFUNCTION("""COMPUTED_VALUE"""),78.0)</f>
        <v>78</v>
      </c>
      <c r="S535" s="562"/>
      <c r="T535" s="217">
        <f>IFERROR(__xludf.DUMMYFUNCTION("""COMPUTED_VALUE"""),13.0)</f>
        <v>13</v>
      </c>
      <c r="U535" s="217">
        <f>IFERROR(__xludf.DUMMYFUNCTION("""COMPUTED_VALUE"""),22.0)</f>
        <v>22</v>
      </c>
      <c r="V535" s="217">
        <f>IFERROR(__xludf.DUMMYFUNCTION("""COMPUTED_VALUE"""),70.0)</f>
        <v>70</v>
      </c>
      <c r="W535" s="217">
        <f>IFERROR(__xludf.DUMMYFUNCTION("""COMPUTED_VALUE"""),88.0)</f>
        <v>88</v>
      </c>
      <c r="X535" s="217">
        <f>IFERROR(__xludf.DUMMYFUNCTION("""COMPUTED_VALUE"""),66.0)</f>
        <v>66</v>
      </c>
      <c r="Y535" s="217"/>
      <c r="Z535" s="217"/>
      <c r="AA535" s="481">
        <f>IFERROR(__xludf.DUMMYFUNCTION("""COMPUTED_VALUE"""),58.0)</f>
        <v>58</v>
      </c>
      <c r="AB535" s="481">
        <f>IFERROR(__xludf.DUMMYFUNCTION("""COMPUTED_VALUE"""),82.0)</f>
        <v>82</v>
      </c>
      <c r="AC535" s="481">
        <f>IFERROR(__xludf.DUMMYFUNCTION("""COMPUTED_VALUE"""),88.0)</f>
        <v>88</v>
      </c>
      <c r="AD535" s="481">
        <f>IFERROR(__xludf.DUMMYFUNCTION("""COMPUTED_VALUE"""),65.0)</f>
        <v>65</v>
      </c>
      <c r="AE535" s="481">
        <f>IFERROR(__xludf.DUMMYFUNCTION("""COMPUTED_VALUE"""),15.0)</f>
        <v>15</v>
      </c>
      <c r="AF535" s="481"/>
      <c r="AG535" s="481">
        <f>IFERROR(__xludf.DUMMYFUNCTION("""COMPUTED_VALUE"""),41.0)</f>
        <v>41</v>
      </c>
      <c r="AH535" s="481"/>
      <c r="AI535" s="158"/>
      <c r="AJ535" s="158"/>
      <c r="AK535" s="133">
        <f>IFERROR(__xludf.DUMMYFUNCTION("""COMPUTED_VALUE"""),4.0)</f>
        <v>4</v>
      </c>
      <c r="AL535" s="133">
        <f>IFERROR(__xludf.DUMMYFUNCTION("""COMPUTED_VALUE"""),3.0)</f>
        <v>3</v>
      </c>
      <c r="AM535" s="133">
        <f>IFERROR(__xludf.DUMMYFUNCTION("""COMPUTED_VALUE"""),3.0)</f>
        <v>3</v>
      </c>
      <c r="AN535" s="133" t="str">
        <f>IFERROR(__xludf.DUMMYFUNCTION("""COMPUTED_VALUE"""),"3")</f>
        <v>3</v>
      </c>
      <c r="AO535" s="133">
        <f>IFERROR(__xludf.DUMMYFUNCTION("""COMPUTED_VALUE"""),3.0)</f>
        <v>3</v>
      </c>
      <c r="AP535" s="155" t="s">
        <v>3780</v>
      </c>
    </row>
    <row r="536">
      <c r="A536" s="155">
        <f>IFERROR(__xludf.DUMMYFUNCTION("""COMPUTED_VALUE"""),15.0)</f>
        <v>15</v>
      </c>
      <c r="B536" s="155" t="str">
        <f>IFERROR(__xludf.DUMMYFUNCTION("""COMPUTED_VALUE"""),"bas23aiml@cmrit.ac.in")</f>
        <v>bas23aiml@cmrit.ac.in</v>
      </c>
      <c r="C536" s="174" t="str">
        <f>IFERROR(__xludf.DUMMYFUNCTION("""COMPUTED_VALUE"""),"BALAJI S")</f>
        <v>BALAJI S</v>
      </c>
      <c r="D536" s="155" t="str">
        <f>IFERROR(__xludf.DUMMYFUNCTION("""COMPUTED_VALUE"""),"1CR23AI015")</f>
        <v>1CR23AI015</v>
      </c>
      <c r="E536" s="563">
        <f>IFERROR(__xludf.DUMMYFUNCTION("""COMPUTED_VALUE"""),8.792772957E9)</f>
        <v>8792772957</v>
      </c>
      <c r="F536" s="155" t="str">
        <f>IFERROR(__xludf.DUMMYFUNCTION("""COMPUTED_VALUE"""),"AIML")</f>
        <v>AIML</v>
      </c>
      <c r="G536" s="158"/>
      <c r="H536" s="559">
        <f>IFERROR(__xludf.DUMMYFUNCTION("""COMPUTED_VALUE"""),70.0)</f>
        <v>70</v>
      </c>
      <c r="I536" s="559">
        <f>IFERROR(__xludf.DUMMYFUNCTION("""COMPUTED_VALUE"""),74.0)</f>
        <v>74</v>
      </c>
      <c r="J536" s="559">
        <f>IFERROR(__xludf.DUMMYFUNCTION("""COMPUTED_VALUE"""),70.0)</f>
        <v>70</v>
      </c>
      <c r="K536" s="559">
        <f>IFERROR(__xludf.DUMMYFUNCTION("""COMPUTED_VALUE"""),70.0)</f>
        <v>70</v>
      </c>
      <c r="L536" s="560">
        <f>IFERROR(__xludf.DUMMYFUNCTION("""COMPUTED_VALUE"""),50.0)</f>
        <v>50</v>
      </c>
      <c r="M536" s="561">
        <f>IFERROR(__xludf.DUMMYFUNCTION("""COMPUTED_VALUE"""),50.0)</f>
        <v>50</v>
      </c>
      <c r="N536" s="561">
        <f>IFERROR(__xludf.DUMMYFUNCTION("""COMPUTED_VALUE"""),34.0)</f>
        <v>34</v>
      </c>
      <c r="O536" s="560"/>
      <c r="P536" s="562">
        <f>IFERROR(__xludf.DUMMYFUNCTION("""COMPUTED_VALUE"""),74.0)</f>
        <v>74</v>
      </c>
      <c r="Q536" s="562">
        <f>IFERROR(__xludf.DUMMYFUNCTION("""COMPUTED_VALUE"""),50.0)</f>
        <v>50</v>
      </c>
      <c r="R536" s="562">
        <f>IFERROR(__xludf.DUMMYFUNCTION("""COMPUTED_VALUE"""),86.0)</f>
        <v>86</v>
      </c>
      <c r="S536" s="562"/>
      <c r="T536" s="217">
        <f>IFERROR(__xludf.DUMMYFUNCTION("""COMPUTED_VALUE"""),20.0)</f>
        <v>20</v>
      </c>
      <c r="U536" s="217">
        <f>IFERROR(__xludf.DUMMYFUNCTION("""COMPUTED_VALUE"""),16.0)</f>
        <v>16</v>
      </c>
      <c r="V536" s="217">
        <f>IFERROR(__xludf.DUMMYFUNCTION("""COMPUTED_VALUE"""),80.0)</f>
        <v>80</v>
      </c>
      <c r="W536" s="217">
        <f>IFERROR(__xludf.DUMMYFUNCTION("""COMPUTED_VALUE"""),88.0)</f>
        <v>88</v>
      </c>
      <c r="X536" s="217">
        <f>IFERROR(__xludf.DUMMYFUNCTION("""COMPUTED_VALUE"""),72.0)</f>
        <v>72</v>
      </c>
      <c r="Y536" s="217"/>
      <c r="Z536" s="217"/>
      <c r="AA536" s="481">
        <f>IFERROR(__xludf.DUMMYFUNCTION("""COMPUTED_VALUE"""),6.0)</f>
        <v>6</v>
      </c>
      <c r="AB536" s="481">
        <f>IFERROR(__xludf.DUMMYFUNCTION("""COMPUTED_VALUE"""),70.0)</f>
        <v>70</v>
      </c>
      <c r="AC536" s="481">
        <f>IFERROR(__xludf.DUMMYFUNCTION("""COMPUTED_VALUE"""),68.0)</f>
        <v>68</v>
      </c>
      <c r="AD536" s="481">
        <f>IFERROR(__xludf.DUMMYFUNCTION("""COMPUTED_VALUE"""),60.0)</f>
        <v>60</v>
      </c>
      <c r="AE536" s="481">
        <f>IFERROR(__xludf.DUMMYFUNCTION("""COMPUTED_VALUE"""),28.0)</f>
        <v>28</v>
      </c>
      <c r="AF536" s="481"/>
      <c r="AG536" s="481">
        <f>IFERROR(__xludf.DUMMYFUNCTION("""COMPUTED_VALUE"""),35.0)</f>
        <v>35</v>
      </c>
      <c r="AH536" s="481"/>
      <c r="AI536" s="158"/>
      <c r="AJ536" s="158"/>
      <c r="AK536" s="133">
        <f>IFERROR(__xludf.DUMMYFUNCTION("""COMPUTED_VALUE"""),4.0)</f>
        <v>4</v>
      </c>
      <c r="AL536" s="133">
        <f>IFERROR(__xludf.DUMMYFUNCTION("""COMPUTED_VALUE"""),2.0)</f>
        <v>2</v>
      </c>
      <c r="AM536" s="133">
        <f>IFERROR(__xludf.DUMMYFUNCTION("""COMPUTED_VALUE"""),3.0)</f>
        <v>3</v>
      </c>
      <c r="AN536" s="133" t="str">
        <f>IFERROR(__xludf.DUMMYFUNCTION("""COMPUTED_VALUE"""),"3")</f>
        <v>3</v>
      </c>
      <c r="AO536" s="133">
        <f>IFERROR(__xludf.DUMMYFUNCTION("""COMPUTED_VALUE"""),3.0)</f>
        <v>3</v>
      </c>
      <c r="AP536" s="155" t="s">
        <v>3780</v>
      </c>
    </row>
    <row r="537">
      <c r="A537" s="155">
        <f>IFERROR(__xludf.DUMMYFUNCTION("""COMPUTED_VALUE"""),16.0)</f>
        <v>16</v>
      </c>
      <c r="B537" s="155" t="str">
        <f>IFERROR(__xludf.DUMMYFUNCTION("""COMPUTED_VALUE"""),"baaa23aiml@cmrit.ac.in")</f>
        <v>baaa23aiml@cmrit.ac.in</v>
      </c>
      <c r="C537" s="174" t="str">
        <f>IFERROR(__xludf.DUMMYFUNCTION("""COMPUTED_VALUE"""),"Bar shaik Aarzoo Nuha")</f>
        <v>Bar shaik Aarzoo Nuha</v>
      </c>
      <c r="D537" s="155" t="str">
        <f>IFERROR(__xludf.DUMMYFUNCTION("""COMPUTED_VALUE"""),"1CR23AI016")</f>
        <v>1CR23AI016</v>
      </c>
      <c r="E537" s="563">
        <f>IFERROR(__xludf.DUMMYFUNCTION("""COMPUTED_VALUE"""),9.449911656E9)</f>
        <v>9449911656</v>
      </c>
      <c r="F537" s="155" t="str">
        <f>IFERROR(__xludf.DUMMYFUNCTION("""COMPUTED_VALUE"""),"AIML")</f>
        <v>AIML</v>
      </c>
      <c r="G537" s="158"/>
      <c r="H537" s="559">
        <f>IFERROR(__xludf.DUMMYFUNCTION("""COMPUTED_VALUE"""),80.0)</f>
        <v>80</v>
      </c>
      <c r="I537" s="559">
        <f>IFERROR(__xludf.DUMMYFUNCTION("""COMPUTED_VALUE"""),81.0)</f>
        <v>81</v>
      </c>
      <c r="J537" s="559">
        <f>IFERROR(__xludf.DUMMYFUNCTION("""COMPUTED_VALUE"""),70.0)</f>
        <v>70</v>
      </c>
      <c r="K537" s="559">
        <f>IFERROR(__xludf.DUMMYFUNCTION("""COMPUTED_VALUE"""),70.0)</f>
        <v>70</v>
      </c>
      <c r="L537" s="560">
        <f>IFERROR(__xludf.DUMMYFUNCTION("""COMPUTED_VALUE"""),50.0)</f>
        <v>50</v>
      </c>
      <c r="M537" s="561">
        <f>IFERROR(__xludf.DUMMYFUNCTION("""COMPUTED_VALUE"""),10.0)</f>
        <v>10</v>
      </c>
      <c r="N537" s="561">
        <f>IFERROR(__xludf.DUMMYFUNCTION("""COMPUTED_VALUE"""),50.0)</f>
        <v>50</v>
      </c>
      <c r="O537" s="560"/>
      <c r="P537" s="562">
        <f>IFERROR(__xludf.DUMMYFUNCTION("""COMPUTED_VALUE"""),77.0)</f>
        <v>77</v>
      </c>
      <c r="Q537" s="562">
        <f>IFERROR(__xludf.DUMMYFUNCTION("""COMPUTED_VALUE"""),88.0)</f>
        <v>88</v>
      </c>
      <c r="R537" s="562">
        <f>IFERROR(__xludf.DUMMYFUNCTION("""COMPUTED_VALUE"""),84.0)</f>
        <v>84</v>
      </c>
      <c r="S537" s="562"/>
      <c r="T537" s="217">
        <f>IFERROR(__xludf.DUMMYFUNCTION("""COMPUTED_VALUE"""),12.0)</f>
        <v>12</v>
      </c>
      <c r="U537" s="217">
        <f>IFERROR(__xludf.DUMMYFUNCTION("""COMPUTED_VALUE"""),21.0)</f>
        <v>21</v>
      </c>
      <c r="V537" s="217">
        <f>IFERROR(__xludf.DUMMYFUNCTION("""COMPUTED_VALUE"""),68.0)</f>
        <v>68</v>
      </c>
      <c r="W537" s="217">
        <f>IFERROR(__xludf.DUMMYFUNCTION("""COMPUTED_VALUE"""),80.0)</f>
        <v>80</v>
      </c>
      <c r="X537" s="217">
        <f>IFERROR(__xludf.DUMMYFUNCTION("""COMPUTED_VALUE"""),88.0)</f>
        <v>88</v>
      </c>
      <c r="Y537" s="217"/>
      <c r="Z537" s="217"/>
      <c r="AA537" s="481">
        <f>IFERROR(__xludf.DUMMYFUNCTION("""COMPUTED_VALUE"""),64.0)</f>
        <v>64</v>
      </c>
      <c r="AB537" s="481">
        <f>IFERROR(__xludf.DUMMYFUNCTION("""COMPUTED_VALUE"""),100.0)</f>
        <v>100</v>
      </c>
      <c r="AC537" s="481">
        <f>IFERROR(__xludf.DUMMYFUNCTION("""COMPUTED_VALUE"""),83.0)</f>
        <v>83</v>
      </c>
      <c r="AD537" s="481">
        <f>IFERROR(__xludf.DUMMYFUNCTION("""COMPUTED_VALUE"""),53.0)</f>
        <v>53</v>
      </c>
      <c r="AE537" s="481">
        <f>IFERROR(__xludf.DUMMYFUNCTION("""COMPUTED_VALUE"""),50.0)</f>
        <v>50</v>
      </c>
      <c r="AF537" s="481"/>
      <c r="AG537" s="481">
        <f>IFERROR(__xludf.DUMMYFUNCTION("""COMPUTED_VALUE"""),75.0)</f>
        <v>75</v>
      </c>
      <c r="AH537" s="481"/>
      <c r="AI537" s="158"/>
      <c r="AJ537" s="158"/>
      <c r="AK537" s="133">
        <f>IFERROR(__xludf.DUMMYFUNCTION("""COMPUTED_VALUE"""),4.0)</f>
        <v>4</v>
      </c>
      <c r="AL537" s="133">
        <f>IFERROR(__xludf.DUMMYFUNCTION("""COMPUTED_VALUE"""),1.0)</f>
        <v>1</v>
      </c>
      <c r="AM537" s="133">
        <f>IFERROR(__xludf.DUMMYFUNCTION("""COMPUTED_VALUE"""),3.0)</f>
        <v>3</v>
      </c>
      <c r="AN537" s="133" t="str">
        <f>IFERROR(__xludf.DUMMYFUNCTION("""COMPUTED_VALUE"""),"3")</f>
        <v>3</v>
      </c>
      <c r="AO537" s="133">
        <f>IFERROR(__xludf.DUMMYFUNCTION("""COMPUTED_VALUE"""),3.0)</f>
        <v>3</v>
      </c>
      <c r="AP537" s="155" t="s">
        <v>3780</v>
      </c>
    </row>
    <row r="538">
      <c r="A538" s="155">
        <f>IFERROR(__xludf.DUMMYFUNCTION("""COMPUTED_VALUE"""),17.0)</f>
        <v>17</v>
      </c>
      <c r="B538" s="155" t="str">
        <f>IFERROR(__xludf.DUMMYFUNCTION("""COMPUTED_VALUE"""),"bhga23aiml@cmrit.ac.in")</f>
        <v>bhga23aiml@cmrit.ac.in</v>
      </c>
      <c r="C538" s="174" t="str">
        <f>IFERROR(__xludf.DUMMYFUNCTION("""COMPUTED_VALUE"""),"BHAWANSH GARG")</f>
        <v>BHAWANSH GARG</v>
      </c>
      <c r="D538" s="155" t="str">
        <f>IFERROR(__xludf.DUMMYFUNCTION("""COMPUTED_VALUE"""),"1CR23AI017")</f>
        <v>1CR23AI017</v>
      </c>
      <c r="E538" s="563">
        <f>IFERROR(__xludf.DUMMYFUNCTION("""COMPUTED_VALUE"""),9.636917174E9)</f>
        <v>9636917174</v>
      </c>
      <c r="F538" s="155" t="str">
        <f>IFERROR(__xludf.DUMMYFUNCTION("""COMPUTED_VALUE"""),"AIML")</f>
        <v>AIML</v>
      </c>
      <c r="G538" s="158"/>
      <c r="H538" s="559">
        <f>IFERROR(__xludf.DUMMYFUNCTION("""COMPUTED_VALUE"""),66.0)</f>
        <v>66</v>
      </c>
      <c r="I538" s="559">
        <f>IFERROR(__xludf.DUMMYFUNCTION("""COMPUTED_VALUE"""),87.0)</f>
        <v>87</v>
      </c>
      <c r="J538" s="559">
        <f>IFERROR(__xludf.DUMMYFUNCTION("""COMPUTED_VALUE"""),78.0)</f>
        <v>78</v>
      </c>
      <c r="K538" s="559">
        <f>IFERROR(__xludf.DUMMYFUNCTION("""COMPUTED_VALUE"""),70.0)</f>
        <v>70</v>
      </c>
      <c r="L538" s="560">
        <f>IFERROR(__xludf.DUMMYFUNCTION("""COMPUTED_VALUE"""),51.0)</f>
        <v>51</v>
      </c>
      <c r="M538" s="561">
        <f>IFERROR(__xludf.DUMMYFUNCTION("""COMPUTED_VALUE"""),50.0)</f>
        <v>50</v>
      </c>
      <c r="N538" s="561">
        <f>IFERROR(__xludf.DUMMYFUNCTION("""COMPUTED_VALUE"""),19.0)</f>
        <v>19</v>
      </c>
      <c r="O538" s="560"/>
      <c r="P538" s="562">
        <f>IFERROR(__xludf.DUMMYFUNCTION("""COMPUTED_VALUE"""),80.0)</f>
        <v>80</v>
      </c>
      <c r="Q538" s="562">
        <f>IFERROR(__xludf.DUMMYFUNCTION("""COMPUTED_VALUE"""),56.0)</f>
        <v>56</v>
      </c>
      <c r="R538" s="562">
        <f>IFERROR(__xludf.DUMMYFUNCTION("""COMPUTED_VALUE"""),50.0)</f>
        <v>50</v>
      </c>
      <c r="S538" s="562"/>
      <c r="T538" s="217">
        <f>IFERROR(__xludf.DUMMYFUNCTION("""COMPUTED_VALUE"""),13.0)</f>
        <v>13</v>
      </c>
      <c r="U538" s="217">
        <f>IFERROR(__xludf.DUMMYFUNCTION("""COMPUTED_VALUE"""),21.0)</f>
        <v>21</v>
      </c>
      <c r="V538" s="217">
        <f>IFERROR(__xludf.DUMMYFUNCTION("""COMPUTED_VALUE"""),88.0)</f>
        <v>88</v>
      </c>
      <c r="W538" s="217">
        <f>IFERROR(__xludf.DUMMYFUNCTION("""COMPUTED_VALUE"""),84.0)</f>
        <v>84</v>
      </c>
      <c r="X538" s="217">
        <f>IFERROR(__xludf.DUMMYFUNCTION("""COMPUTED_VALUE"""),82.0)</f>
        <v>82</v>
      </c>
      <c r="Y538" s="217"/>
      <c r="Z538" s="217"/>
      <c r="AA538" s="481">
        <f>IFERROR(__xludf.DUMMYFUNCTION("""COMPUTED_VALUE"""),88.0)</f>
        <v>88</v>
      </c>
      <c r="AB538" s="481">
        <f>IFERROR(__xludf.DUMMYFUNCTION("""COMPUTED_VALUE"""),97.0)</f>
        <v>97</v>
      </c>
      <c r="AC538" s="481">
        <f>IFERROR(__xludf.DUMMYFUNCTION("""COMPUTED_VALUE"""),68.0)</f>
        <v>68</v>
      </c>
      <c r="AD538" s="481">
        <f>IFERROR(__xludf.DUMMYFUNCTION("""COMPUTED_VALUE"""),80.0)</f>
        <v>80</v>
      </c>
      <c r="AE538" s="481">
        <f>IFERROR(__xludf.DUMMYFUNCTION("""COMPUTED_VALUE"""),70.0)</f>
        <v>70</v>
      </c>
      <c r="AF538" s="481"/>
      <c r="AG538" s="481">
        <f>IFERROR(__xludf.DUMMYFUNCTION("""COMPUTED_VALUE"""),81.0)</f>
        <v>81</v>
      </c>
      <c r="AH538" s="481"/>
      <c r="AI538" s="158"/>
      <c r="AJ538" s="158"/>
      <c r="AK538" s="133">
        <f>IFERROR(__xludf.DUMMYFUNCTION("""COMPUTED_VALUE"""),4.0)</f>
        <v>4</v>
      </c>
      <c r="AL538" s="133">
        <f>IFERROR(__xludf.DUMMYFUNCTION("""COMPUTED_VALUE"""),2.0)</f>
        <v>2</v>
      </c>
      <c r="AM538" s="133">
        <f>IFERROR(__xludf.DUMMYFUNCTION("""COMPUTED_VALUE"""),3.0)</f>
        <v>3</v>
      </c>
      <c r="AN538" s="133" t="str">
        <f>IFERROR(__xludf.DUMMYFUNCTION("""COMPUTED_VALUE"""),"3.5")</f>
        <v>3.5</v>
      </c>
      <c r="AO538" s="133">
        <f>IFERROR(__xludf.DUMMYFUNCTION("""COMPUTED_VALUE"""),3.0)</f>
        <v>3</v>
      </c>
      <c r="AP538" s="155" t="s">
        <v>3780</v>
      </c>
    </row>
    <row r="539">
      <c r="A539" s="155">
        <f>IFERROR(__xludf.DUMMYFUNCTION("""COMPUTED_VALUE"""),18.0)</f>
        <v>18</v>
      </c>
      <c r="B539" s="155" t="str">
        <f>IFERROR(__xludf.DUMMYFUNCTION("""COMPUTED_VALUE"""),"bhm23aiml@cmrit.ac.in")</f>
        <v>bhm23aiml@cmrit.ac.in</v>
      </c>
      <c r="C539" s="174" t="str">
        <f>IFERROR(__xludf.DUMMYFUNCTION("""COMPUTED_VALUE"""),"Bhuvan M")</f>
        <v>Bhuvan M</v>
      </c>
      <c r="D539" s="155" t="str">
        <f>IFERROR(__xludf.DUMMYFUNCTION("""COMPUTED_VALUE"""),"1CR23AI018")</f>
        <v>1CR23AI018</v>
      </c>
      <c r="E539" s="563">
        <f>IFERROR(__xludf.DUMMYFUNCTION("""COMPUTED_VALUE"""),8.095422434E9)</f>
        <v>8095422434</v>
      </c>
      <c r="F539" s="155" t="str">
        <f>IFERROR(__xludf.DUMMYFUNCTION("""COMPUTED_VALUE"""),"AIML")</f>
        <v>AIML</v>
      </c>
      <c r="G539" s="158"/>
      <c r="H539" s="559">
        <f>IFERROR(__xludf.DUMMYFUNCTION("""COMPUTED_VALUE"""),65.0)</f>
        <v>65</v>
      </c>
      <c r="I539" s="559">
        <f>IFERROR(__xludf.DUMMYFUNCTION("""COMPUTED_VALUE"""),62.0)</f>
        <v>62</v>
      </c>
      <c r="J539" s="559">
        <f>IFERROR(__xludf.DUMMYFUNCTION("""COMPUTED_VALUE"""),22.0)</f>
        <v>22</v>
      </c>
      <c r="K539" s="559">
        <f>IFERROR(__xludf.DUMMYFUNCTION("""COMPUTED_VALUE"""),22.0)</f>
        <v>22</v>
      </c>
      <c r="L539" s="560">
        <f>IFERROR(__xludf.DUMMYFUNCTION("""COMPUTED_VALUE"""),11.0)</f>
        <v>11</v>
      </c>
      <c r="M539" s="561">
        <f>IFERROR(__xludf.DUMMYFUNCTION("""COMPUTED_VALUE"""),1.0)</f>
        <v>1</v>
      </c>
      <c r="N539" s="561">
        <f>IFERROR(__xludf.DUMMYFUNCTION("""COMPUTED_VALUE"""),0.0)</f>
        <v>0</v>
      </c>
      <c r="O539" s="560"/>
      <c r="P539" s="562">
        <f>IFERROR(__xludf.DUMMYFUNCTION("""COMPUTED_VALUE"""),0.0)</f>
        <v>0</v>
      </c>
      <c r="Q539" s="562">
        <f>IFERROR(__xludf.DUMMYFUNCTION("""COMPUTED_VALUE"""),0.0)</f>
        <v>0</v>
      </c>
      <c r="R539" s="562">
        <f>IFERROR(__xludf.DUMMYFUNCTION("""COMPUTED_VALUE"""),0.0)</f>
        <v>0</v>
      </c>
      <c r="S539" s="562"/>
      <c r="T539" s="217">
        <f>IFERROR(__xludf.DUMMYFUNCTION("""COMPUTED_VALUE"""),10.0)</f>
        <v>10</v>
      </c>
      <c r="U539" s="217">
        <f>IFERROR(__xludf.DUMMYFUNCTION("""COMPUTED_VALUE"""),4.0)</f>
        <v>4</v>
      </c>
      <c r="V539" s="217">
        <f>IFERROR(__xludf.DUMMYFUNCTION("""COMPUTED_VALUE"""),80.0)</f>
        <v>80</v>
      </c>
      <c r="W539" s="217">
        <f>IFERROR(__xludf.DUMMYFUNCTION("""COMPUTED_VALUE"""),0.0)</f>
        <v>0</v>
      </c>
      <c r="X539" s="217">
        <f>IFERROR(__xludf.DUMMYFUNCTION("""COMPUTED_VALUE"""),0.0)</f>
        <v>0</v>
      </c>
      <c r="Y539" s="217"/>
      <c r="Z539" s="217"/>
      <c r="AA539" s="481">
        <f>IFERROR(__xludf.DUMMYFUNCTION("""COMPUTED_VALUE"""),30.0)</f>
        <v>30</v>
      </c>
      <c r="AB539" s="481">
        <f>IFERROR(__xludf.DUMMYFUNCTION("""COMPUTED_VALUE"""),60.0)</f>
        <v>60</v>
      </c>
      <c r="AC539" s="481">
        <f>IFERROR(__xludf.DUMMYFUNCTION("""COMPUTED_VALUE"""),0.0)</f>
        <v>0</v>
      </c>
      <c r="AD539" s="481">
        <f>IFERROR(__xludf.DUMMYFUNCTION("""COMPUTED_VALUE"""),0.0)</f>
        <v>0</v>
      </c>
      <c r="AE539" s="481">
        <f>IFERROR(__xludf.DUMMYFUNCTION("""COMPUTED_VALUE"""),10.0)</f>
        <v>10</v>
      </c>
      <c r="AF539" s="481"/>
      <c r="AG539" s="481">
        <f>IFERROR(__xludf.DUMMYFUNCTION("""COMPUTED_VALUE"""),49.0)</f>
        <v>49</v>
      </c>
      <c r="AH539" s="481"/>
      <c r="AI539" s="158"/>
      <c r="AJ539" s="158"/>
      <c r="AK539" s="133">
        <f>IFERROR(__xludf.DUMMYFUNCTION("""COMPUTED_VALUE"""),1.0)</f>
        <v>1</v>
      </c>
      <c r="AL539" s="133">
        <f>IFERROR(__xludf.DUMMYFUNCTION("""COMPUTED_VALUE"""),0.0)</f>
        <v>0</v>
      </c>
      <c r="AM539" s="133">
        <f>IFERROR(__xludf.DUMMYFUNCTION("""COMPUTED_VALUE"""),0.0)</f>
        <v>0</v>
      </c>
      <c r="AN539" s="133" t="str">
        <f>IFERROR(__xludf.DUMMYFUNCTION("""COMPUTED_VALUE"""),"2")</f>
        <v>2</v>
      </c>
      <c r="AO539" s="133">
        <f>IFERROR(__xludf.DUMMYFUNCTION("""COMPUTED_VALUE"""),0.0)</f>
        <v>0</v>
      </c>
      <c r="AP539" s="155" t="s">
        <v>3780</v>
      </c>
    </row>
    <row r="540">
      <c r="A540" s="155">
        <f>IFERROR(__xludf.DUMMYFUNCTION("""COMPUTED_VALUE"""),19.0)</f>
        <v>19</v>
      </c>
      <c r="B540" s="155" t="str">
        <f>IFERROR(__xludf.DUMMYFUNCTION("""COMPUTED_VALUE"""),"bich23aiml@cmrit.ac.in")</f>
        <v>bich23aiml@cmrit.ac.in</v>
      </c>
      <c r="C540" s="174" t="str">
        <f>IFERROR(__xludf.DUMMYFUNCTION("""COMPUTED_VALUE"""),"Bishal Chaudhary")</f>
        <v>Bishal Chaudhary</v>
      </c>
      <c r="D540" s="155" t="str">
        <f>IFERROR(__xludf.DUMMYFUNCTION("""COMPUTED_VALUE"""),"1CR23AI019")</f>
        <v>1CR23AI019</v>
      </c>
      <c r="E540" s="563">
        <f>IFERROR(__xludf.DUMMYFUNCTION("""COMPUTED_VALUE"""),8.299511771E9)</f>
        <v>8299511771</v>
      </c>
      <c r="F540" s="155" t="str">
        <f>IFERROR(__xludf.DUMMYFUNCTION("""COMPUTED_VALUE"""),"AIML")</f>
        <v>AIML</v>
      </c>
      <c r="G540" s="158"/>
      <c r="H540" s="559">
        <f>IFERROR(__xludf.DUMMYFUNCTION("""COMPUTED_VALUE"""),83.0)</f>
        <v>83</v>
      </c>
      <c r="I540" s="559">
        <f>IFERROR(__xludf.DUMMYFUNCTION("""COMPUTED_VALUE"""),92.0)</f>
        <v>92</v>
      </c>
      <c r="J540" s="559">
        <f>IFERROR(__xludf.DUMMYFUNCTION("""COMPUTED_VALUE"""),72.0)</f>
        <v>72</v>
      </c>
      <c r="K540" s="559">
        <f>IFERROR(__xludf.DUMMYFUNCTION("""COMPUTED_VALUE"""),70.0)</f>
        <v>70</v>
      </c>
      <c r="L540" s="560">
        <f>IFERROR(__xludf.DUMMYFUNCTION("""COMPUTED_VALUE"""),50.0)</f>
        <v>50</v>
      </c>
      <c r="M540" s="561">
        <f>IFERROR(__xludf.DUMMYFUNCTION("""COMPUTED_VALUE"""),50.0)</f>
        <v>50</v>
      </c>
      <c r="N540" s="561">
        <f>IFERROR(__xludf.DUMMYFUNCTION("""COMPUTED_VALUE"""),0.0)</f>
        <v>0</v>
      </c>
      <c r="O540" s="560"/>
      <c r="P540" s="562">
        <f>IFERROR(__xludf.DUMMYFUNCTION("""COMPUTED_VALUE"""),81.0)</f>
        <v>81</v>
      </c>
      <c r="Q540" s="562">
        <f>IFERROR(__xludf.DUMMYFUNCTION("""COMPUTED_VALUE"""),50.0)</f>
        <v>50</v>
      </c>
      <c r="R540" s="562">
        <f>IFERROR(__xludf.DUMMYFUNCTION("""COMPUTED_VALUE"""),0.0)</f>
        <v>0</v>
      </c>
      <c r="S540" s="562"/>
      <c r="T540" s="217">
        <f>IFERROR(__xludf.DUMMYFUNCTION("""COMPUTED_VALUE"""),16.0)</f>
        <v>16</v>
      </c>
      <c r="U540" s="217">
        <f>IFERROR(__xludf.DUMMYFUNCTION("""COMPUTED_VALUE"""),23.0)</f>
        <v>23</v>
      </c>
      <c r="V540" s="217">
        <f>IFERROR(__xludf.DUMMYFUNCTION("""COMPUTED_VALUE"""),54.0)</f>
        <v>54</v>
      </c>
      <c r="W540" s="217">
        <f>IFERROR(__xludf.DUMMYFUNCTION("""COMPUTED_VALUE"""),88.0)</f>
        <v>88</v>
      </c>
      <c r="X540" s="217">
        <f>IFERROR(__xludf.DUMMYFUNCTION("""COMPUTED_VALUE"""),72.0)</f>
        <v>72</v>
      </c>
      <c r="Y540" s="217"/>
      <c r="Z540" s="217"/>
      <c r="AA540" s="481">
        <f>IFERROR(__xludf.DUMMYFUNCTION("""COMPUTED_VALUE"""),94.0)</f>
        <v>94</v>
      </c>
      <c r="AB540" s="481">
        <f>IFERROR(__xludf.DUMMYFUNCTION("""COMPUTED_VALUE"""),100.0)</f>
        <v>100</v>
      </c>
      <c r="AC540" s="481">
        <f>IFERROR(__xludf.DUMMYFUNCTION("""COMPUTED_VALUE"""),60.0)</f>
        <v>60</v>
      </c>
      <c r="AD540" s="481">
        <f>IFERROR(__xludf.DUMMYFUNCTION("""COMPUTED_VALUE"""),80.0)</f>
        <v>80</v>
      </c>
      <c r="AE540" s="481">
        <f>IFERROR(__xludf.DUMMYFUNCTION("""COMPUTED_VALUE"""),10.0)</f>
        <v>10</v>
      </c>
      <c r="AF540" s="481"/>
      <c r="AG540" s="481">
        <f>IFERROR(__xludf.DUMMYFUNCTION("""COMPUTED_VALUE"""),73.0)</f>
        <v>73</v>
      </c>
      <c r="AH540" s="481"/>
      <c r="AI540" s="158"/>
      <c r="AJ540" s="158"/>
      <c r="AK540" s="133">
        <f>IFERROR(__xludf.DUMMYFUNCTION("""COMPUTED_VALUE"""),4.0)</f>
        <v>4</v>
      </c>
      <c r="AL540" s="133">
        <f>IFERROR(__xludf.DUMMYFUNCTION("""COMPUTED_VALUE"""),2.0)</f>
        <v>2</v>
      </c>
      <c r="AM540" s="133">
        <f>IFERROR(__xludf.DUMMYFUNCTION("""COMPUTED_VALUE"""),3.0)</f>
        <v>3</v>
      </c>
      <c r="AN540" s="133" t="str">
        <f>IFERROR(__xludf.DUMMYFUNCTION("""COMPUTED_VALUE"""),"3")</f>
        <v>3</v>
      </c>
      <c r="AO540" s="133">
        <f>IFERROR(__xludf.DUMMYFUNCTION("""COMPUTED_VALUE"""),2.0)</f>
        <v>2</v>
      </c>
      <c r="AP540" s="155" t="s">
        <v>3780</v>
      </c>
    </row>
    <row r="541">
      <c r="A541" s="155">
        <f>IFERROR(__xludf.DUMMYFUNCTION("""COMPUTED_VALUE"""),20.0)</f>
        <v>20</v>
      </c>
      <c r="B541" s="155" t="str">
        <f>IFERROR(__xludf.DUMMYFUNCTION("""COMPUTED_VALUE"""),"biku23aiml@cmrit.ac.in")</f>
        <v>biku23aiml@cmrit.ac.in</v>
      </c>
      <c r="C541" s="174" t="str">
        <f>IFERROR(__xludf.DUMMYFUNCTION("""COMPUTED_VALUE"""),"Bishal Kumar Shah")</f>
        <v>Bishal Kumar Shah</v>
      </c>
      <c r="D541" s="155" t="str">
        <f>IFERROR(__xludf.DUMMYFUNCTION("""COMPUTED_VALUE"""),"1CR23AI020")</f>
        <v>1CR23AI020</v>
      </c>
      <c r="E541" s="563">
        <f>IFERROR(__xludf.DUMMYFUNCTION("""COMPUTED_VALUE"""),7.645911385E9)</f>
        <v>7645911385</v>
      </c>
      <c r="F541" s="155" t="str">
        <f>IFERROR(__xludf.DUMMYFUNCTION("""COMPUTED_VALUE"""),"AIML")</f>
        <v>AIML</v>
      </c>
      <c r="G541" s="158"/>
      <c r="H541" s="559">
        <f>IFERROR(__xludf.DUMMYFUNCTION("""COMPUTED_VALUE"""),70.0)</f>
        <v>70</v>
      </c>
      <c r="I541" s="559">
        <f>IFERROR(__xludf.DUMMYFUNCTION("""COMPUTED_VALUE"""),81.0)</f>
        <v>81</v>
      </c>
      <c r="J541" s="559">
        <f>IFERROR(__xludf.DUMMYFUNCTION("""COMPUTED_VALUE"""),44.0)</f>
        <v>44</v>
      </c>
      <c r="K541" s="559">
        <f>IFERROR(__xludf.DUMMYFUNCTION("""COMPUTED_VALUE"""),70.0)</f>
        <v>70</v>
      </c>
      <c r="L541" s="560">
        <f>IFERROR(__xludf.DUMMYFUNCTION("""COMPUTED_VALUE"""),50.0)</f>
        <v>50</v>
      </c>
      <c r="M541" s="561">
        <f>IFERROR(__xludf.DUMMYFUNCTION("""COMPUTED_VALUE"""),50.0)</f>
        <v>50</v>
      </c>
      <c r="N541" s="561">
        <f>IFERROR(__xludf.DUMMYFUNCTION("""COMPUTED_VALUE"""),67.0)</f>
        <v>67</v>
      </c>
      <c r="O541" s="560"/>
      <c r="P541" s="562">
        <f>IFERROR(__xludf.DUMMYFUNCTION("""COMPUTED_VALUE"""),50.0)</f>
        <v>50</v>
      </c>
      <c r="Q541" s="562">
        <f>IFERROR(__xludf.DUMMYFUNCTION("""COMPUTED_VALUE"""),50.0)</f>
        <v>50</v>
      </c>
      <c r="R541" s="562">
        <f>IFERROR(__xludf.DUMMYFUNCTION("""COMPUTED_VALUE"""),50.0)</f>
        <v>50</v>
      </c>
      <c r="S541" s="562"/>
      <c r="T541" s="217">
        <f>IFERROR(__xludf.DUMMYFUNCTION("""COMPUTED_VALUE"""),19.0)</f>
        <v>19</v>
      </c>
      <c r="U541" s="217">
        <f>IFERROR(__xludf.DUMMYFUNCTION("""COMPUTED_VALUE"""),22.0)</f>
        <v>22</v>
      </c>
      <c r="V541" s="217">
        <f>IFERROR(__xludf.DUMMYFUNCTION("""COMPUTED_VALUE"""),90.0)</f>
        <v>90</v>
      </c>
      <c r="W541" s="217">
        <f>IFERROR(__xludf.DUMMYFUNCTION("""COMPUTED_VALUE"""),36.0)</f>
        <v>36</v>
      </c>
      <c r="X541" s="217">
        <f>IFERROR(__xludf.DUMMYFUNCTION("""COMPUTED_VALUE"""),66.0)</f>
        <v>66</v>
      </c>
      <c r="Y541" s="217"/>
      <c r="Z541" s="217"/>
      <c r="AA541" s="481">
        <f>IFERROR(__xludf.DUMMYFUNCTION("""COMPUTED_VALUE"""),26.0)</f>
        <v>26</v>
      </c>
      <c r="AB541" s="481">
        <f>IFERROR(__xludf.DUMMYFUNCTION("""COMPUTED_VALUE"""),90.0)</f>
        <v>90</v>
      </c>
      <c r="AC541" s="481">
        <f>IFERROR(__xludf.DUMMYFUNCTION("""COMPUTED_VALUE"""),73.0)</f>
        <v>73</v>
      </c>
      <c r="AD541" s="481">
        <f>IFERROR(__xludf.DUMMYFUNCTION("""COMPUTED_VALUE"""),90.0)</f>
        <v>90</v>
      </c>
      <c r="AE541" s="481">
        <f>IFERROR(__xludf.DUMMYFUNCTION("""COMPUTED_VALUE"""),75.0)</f>
        <v>75</v>
      </c>
      <c r="AF541" s="481"/>
      <c r="AG541" s="481">
        <f>IFERROR(__xludf.DUMMYFUNCTION("""COMPUTED_VALUE"""),57.0)</f>
        <v>57</v>
      </c>
      <c r="AH541" s="481"/>
      <c r="AI541" s="158"/>
      <c r="AJ541" s="158"/>
      <c r="AK541" s="133">
        <f>IFERROR(__xludf.DUMMYFUNCTION("""COMPUTED_VALUE"""),2.0)</f>
        <v>2</v>
      </c>
      <c r="AL541" s="133">
        <f>IFERROR(__xludf.DUMMYFUNCTION("""COMPUTED_VALUE"""),3.0)</f>
        <v>3</v>
      </c>
      <c r="AM541" s="133">
        <f>IFERROR(__xludf.DUMMYFUNCTION("""COMPUTED_VALUE"""),3.0)</f>
        <v>3</v>
      </c>
      <c r="AN541" s="133" t="str">
        <f>IFERROR(__xludf.DUMMYFUNCTION("""COMPUTED_VALUE"""),"3.5")</f>
        <v>3.5</v>
      </c>
      <c r="AO541" s="133">
        <f>IFERROR(__xludf.DUMMYFUNCTION("""COMPUTED_VALUE"""),3.0)</f>
        <v>3</v>
      </c>
      <c r="AP541" s="155" t="s">
        <v>3780</v>
      </c>
    </row>
    <row r="542">
      <c r="A542" s="155">
        <f>IFERROR(__xludf.DUMMYFUNCTION("""COMPUTED_VALUE"""),21.0)</f>
        <v>21</v>
      </c>
      <c r="B542" s="155" t="str">
        <f>IFERROR(__xludf.DUMMYFUNCTION("""COMPUTED_VALUE"""),"chm23aiml@cmrit.ac.in")</f>
        <v>chm23aiml@cmrit.ac.in</v>
      </c>
      <c r="C542" s="174" t="str">
        <f>IFERROR(__xludf.DUMMYFUNCTION("""COMPUTED_VALUE"""),"Chaithanya Kartik m")</f>
        <v>Chaithanya Kartik m</v>
      </c>
      <c r="D542" s="155" t="str">
        <f>IFERROR(__xludf.DUMMYFUNCTION("""COMPUTED_VALUE"""),"1CR23AI021")</f>
        <v>1CR23AI021</v>
      </c>
      <c r="E542" s="563">
        <f>IFERROR(__xludf.DUMMYFUNCTION("""COMPUTED_VALUE"""),9.482593639E9)</f>
        <v>9482593639</v>
      </c>
      <c r="F542" s="155" t="str">
        <f>IFERROR(__xludf.DUMMYFUNCTION("""COMPUTED_VALUE"""),"AIML")</f>
        <v>AIML</v>
      </c>
      <c r="G542" s="158"/>
      <c r="H542" s="559">
        <f>IFERROR(__xludf.DUMMYFUNCTION("""COMPUTED_VALUE"""),88.0)</f>
        <v>88</v>
      </c>
      <c r="I542" s="559">
        <f>IFERROR(__xludf.DUMMYFUNCTION("""COMPUTED_VALUE"""),91.0)</f>
        <v>91</v>
      </c>
      <c r="J542" s="559">
        <f>IFERROR(__xludf.DUMMYFUNCTION("""COMPUTED_VALUE"""),77.0)</f>
        <v>77</v>
      </c>
      <c r="K542" s="559">
        <f>IFERROR(__xludf.DUMMYFUNCTION("""COMPUTED_VALUE"""),19.0)</f>
        <v>19</v>
      </c>
      <c r="L542" s="560">
        <f>IFERROR(__xludf.DUMMYFUNCTION("""COMPUTED_VALUE"""),9.0)</f>
        <v>9</v>
      </c>
      <c r="M542" s="561">
        <f>IFERROR(__xludf.DUMMYFUNCTION("""COMPUTED_VALUE"""),18.0)</f>
        <v>18</v>
      </c>
      <c r="N542" s="561">
        <f>IFERROR(__xludf.DUMMYFUNCTION("""COMPUTED_VALUE"""),0.0)</f>
        <v>0</v>
      </c>
      <c r="O542" s="560"/>
      <c r="P542" s="562">
        <f>IFERROR(__xludf.DUMMYFUNCTION("""COMPUTED_VALUE"""),77.0)</f>
        <v>77</v>
      </c>
      <c r="Q542" s="562">
        <f>IFERROR(__xludf.DUMMYFUNCTION("""COMPUTED_VALUE"""),0.0)</f>
        <v>0</v>
      </c>
      <c r="R542" s="562">
        <f>IFERROR(__xludf.DUMMYFUNCTION("""COMPUTED_VALUE"""),0.0)</f>
        <v>0</v>
      </c>
      <c r="S542" s="562"/>
      <c r="T542" s="217">
        <f>IFERROR(__xludf.DUMMYFUNCTION("""COMPUTED_VALUE"""),13.0)</f>
        <v>13</v>
      </c>
      <c r="U542" s="217">
        <f>IFERROR(__xludf.DUMMYFUNCTION("""COMPUTED_VALUE"""),11.0)</f>
        <v>11</v>
      </c>
      <c r="V542" s="217">
        <f>IFERROR(__xludf.DUMMYFUNCTION("""COMPUTED_VALUE"""),88.0)</f>
        <v>88</v>
      </c>
      <c r="W542" s="217">
        <f>IFERROR(__xludf.DUMMYFUNCTION("""COMPUTED_VALUE"""),0.0)</f>
        <v>0</v>
      </c>
      <c r="X542" s="217">
        <f>IFERROR(__xludf.DUMMYFUNCTION("""COMPUTED_VALUE"""),0.0)</f>
        <v>0</v>
      </c>
      <c r="Y542" s="217"/>
      <c r="Z542" s="217"/>
      <c r="AA542" s="481">
        <f>IFERROR(__xludf.DUMMYFUNCTION("""COMPUTED_VALUE"""),100.0)</f>
        <v>100</v>
      </c>
      <c r="AB542" s="481">
        <f>IFERROR(__xludf.DUMMYFUNCTION("""COMPUTED_VALUE"""),100.0)</f>
        <v>100</v>
      </c>
      <c r="AC542" s="481">
        <f>IFERROR(__xludf.DUMMYFUNCTION("""COMPUTED_VALUE"""),89.0)</f>
        <v>89</v>
      </c>
      <c r="AD542" s="481">
        <f>IFERROR(__xludf.DUMMYFUNCTION("""COMPUTED_VALUE"""),76.0)</f>
        <v>76</v>
      </c>
      <c r="AE542" s="481">
        <f>IFERROR(__xludf.DUMMYFUNCTION("""COMPUTED_VALUE"""),10.0)</f>
        <v>10</v>
      </c>
      <c r="AF542" s="481"/>
      <c r="AG542" s="481">
        <f>IFERROR(__xludf.DUMMYFUNCTION("""COMPUTED_VALUE"""),83.0)</f>
        <v>83</v>
      </c>
      <c r="AH542" s="481"/>
      <c r="AI542" s="158"/>
      <c r="AJ542" s="158"/>
      <c r="AK542" s="133">
        <f>IFERROR(__xludf.DUMMYFUNCTION("""COMPUTED_VALUE"""),3.0)</f>
        <v>3</v>
      </c>
      <c r="AL542" s="133">
        <f>IFERROR(__xludf.DUMMYFUNCTION("""COMPUTED_VALUE"""),0.0)</f>
        <v>0</v>
      </c>
      <c r="AM542" s="133">
        <f>IFERROR(__xludf.DUMMYFUNCTION("""COMPUTED_VALUE"""),2.0)</f>
        <v>2</v>
      </c>
      <c r="AN542" s="133" t="str">
        <f>IFERROR(__xludf.DUMMYFUNCTION("""COMPUTED_VALUE"""),"3")</f>
        <v>3</v>
      </c>
      <c r="AO542" s="133">
        <f>IFERROR(__xludf.DUMMYFUNCTION("""COMPUTED_VALUE"""),1.0)</f>
        <v>1</v>
      </c>
      <c r="AP542" s="155" t="s">
        <v>3780</v>
      </c>
    </row>
    <row r="543">
      <c r="A543" s="155">
        <f>IFERROR(__xludf.DUMMYFUNCTION("""COMPUTED_VALUE"""),22.0)</f>
        <v>22</v>
      </c>
      <c r="B543" s="155" t="str">
        <f>IFERROR(__xludf.DUMMYFUNCTION("""COMPUTED_VALUE"""),"chsi23aiml@cmrit.ac.in")</f>
        <v>chsi23aiml@cmrit.ac.in</v>
      </c>
      <c r="C543" s="174" t="str">
        <f>IFERROR(__xludf.DUMMYFUNCTION("""COMPUTED_VALUE"""),"CHETAN PRASANNA SIRSIKAR")</f>
        <v>CHETAN PRASANNA SIRSIKAR</v>
      </c>
      <c r="D543" s="155" t="str">
        <f>IFERROR(__xludf.DUMMYFUNCTION("""COMPUTED_VALUE"""),"1CR23AI022")</f>
        <v>1CR23AI022</v>
      </c>
      <c r="E543" s="563">
        <f>IFERROR(__xludf.DUMMYFUNCTION("""COMPUTED_VALUE"""),7.34933063E9)</f>
        <v>7349330630</v>
      </c>
      <c r="F543" s="155" t="str">
        <f>IFERROR(__xludf.DUMMYFUNCTION("""COMPUTED_VALUE"""),"AIML")</f>
        <v>AIML</v>
      </c>
      <c r="G543" s="158"/>
      <c r="H543" s="559">
        <f>IFERROR(__xludf.DUMMYFUNCTION("""COMPUTED_VALUE"""),79.0)</f>
        <v>79</v>
      </c>
      <c r="I543" s="559">
        <f>IFERROR(__xludf.DUMMYFUNCTION("""COMPUTED_VALUE"""),82.0)</f>
        <v>82</v>
      </c>
      <c r="J543" s="559">
        <f>IFERROR(__xludf.DUMMYFUNCTION("""COMPUTED_VALUE"""),74.0)</f>
        <v>74</v>
      </c>
      <c r="K543" s="559">
        <f>IFERROR(__xludf.DUMMYFUNCTION("""COMPUTED_VALUE"""),70.0)</f>
        <v>70</v>
      </c>
      <c r="L543" s="560">
        <f>IFERROR(__xludf.DUMMYFUNCTION("""COMPUTED_VALUE"""),50.0)</f>
        <v>50</v>
      </c>
      <c r="M543" s="561">
        <f>IFERROR(__xludf.DUMMYFUNCTION("""COMPUTED_VALUE"""),51.0)</f>
        <v>51</v>
      </c>
      <c r="N543" s="561">
        <f>IFERROR(__xludf.DUMMYFUNCTION("""COMPUTED_VALUE"""),50.0)</f>
        <v>50</v>
      </c>
      <c r="O543" s="560"/>
      <c r="P543" s="562">
        <f>IFERROR(__xludf.DUMMYFUNCTION("""COMPUTED_VALUE"""),50.0)</f>
        <v>50</v>
      </c>
      <c r="Q543" s="562">
        <f>IFERROR(__xludf.DUMMYFUNCTION("""COMPUTED_VALUE"""),73.0)</f>
        <v>73</v>
      </c>
      <c r="R543" s="562">
        <f>IFERROR(__xludf.DUMMYFUNCTION("""COMPUTED_VALUE"""),83.0)</f>
        <v>83</v>
      </c>
      <c r="S543" s="562"/>
      <c r="T543" s="217">
        <f>IFERROR(__xludf.DUMMYFUNCTION("""COMPUTED_VALUE"""),11.0)</f>
        <v>11</v>
      </c>
      <c r="U543" s="217">
        <f>IFERROR(__xludf.DUMMYFUNCTION("""COMPUTED_VALUE"""),22.0)</f>
        <v>22</v>
      </c>
      <c r="V543" s="217">
        <f>IFERROR(__xludf.DUMMYFUNCTION("""COMPUTED_VALUE"""),92.0)</f>
        <v>92</v>
      </c>
      <c r="W543" s="217">
        <f>IFERROR(__xludf.DUMMYFUNCTION("""COMPUTED_VALUE"""),84.0)</f>
        <v>84</v>
      </c>
      <c r="X543" s="217">
        <f>IFERROR(__xludf.DUMMYFUNCTION("""COMPUTED_VALUE"""),64.0)</f>
        <v>64</v>
      </c>
      <c r="Y543" s="217"/>
      <c r="Z543" s="217"/>
      <c r="AA543" s="481">
        <f>IFERROR(__xludf.DUMMYFUNCTION("""COMPUTED_VALUE"""),80.0)</f>
        <v>80</v>
      </c>
      <c r="AB543" s="481">
        <f>IFERROR(__xludf.DUMMYFUNCTION("""COMPUTED_VALUE"""),100.0)</f>
        <v>100</v>
      </c>
      <c r="AC543" s="481">
        <f>IFERROR(__xludf.DUMMYFUNCTION("""COMPUTED_VALUE"""),84.0)</f>
        <v>84</v>
      </c>
      <c r="AD543" s="481">
        <f>IFERROR(__xludf.DUMMYFUNCTION("""COMPUTED_VALUE"""),90.0)</f>
        <v>90</v>
      </c>
      <c r="AE543" s="481">
        <f>IFERROR(__xludf.DUMMYFUNCTION("""COMPUTED_VALUE"""),97.0)</f>
        <v>97</v>
      </c>
      <c r="AF543" s="481"/>
      <c r="AG543" s="481">
        <f>IFERROR(__xludf.DUMMYFUNCTION("""COMPUTED_VALUE"""),88.0)</f>
        <v>88</v>
      </c>
      <c r="AH543" s="481"/>
      <c r="AI543" s="158"/>
      <c r="AJ543" s="158"/>
      <c r="AK543" s="133">
        <f>IFERROR(__xludf.DUMMYFUNCTION("""COMPUTED_VALUE"""),4.0)</f>
        <v>4</v>
      </c>
      <c r="AL543" s="133">
        <f>IFERROR(__xludf.DUMMYFUNCTION("""COMPUTED_VALUE"""),3.0)</f>
        <v>3</v>
      </c>
      <c r="AM543" s="133">
        <f>IFERROR(__xludf.DUMMYFUNCTION("""COMPUTED_VALUE"""),3.0)</f>
        <v>3</v>
      </c>
      <c r="AN543" s="133" t="str">
        <f>IFERROR(__xludf.DUMMYFUNCTION("""COMPUTED_VALUE"""),"3.5")</f>
        <v>3.5</v>
      </c>
      <c r="AO543" s="133">
        <f>IFERROR(__xludf.DUMMYFUNCTION("""COMPUTED_VALUE"""),3.0)</f>
        <v>3</v>
      </c>
      <c r="AP543" s="155" t="s">
        <v>3780</v>
      </c>
    </row>
    <row r="544">
      <c r="A544" s="155">
        <f>IFERROR(__xludf.DUMMYFUNCTION("""COMPUTED_VALUE"""),23.0)</f>
        <v>23</v>
      </c>
      <c r="B544" s="155" t="str">
        <f>IFERROR(__xludf.DUMMYFUNCTION("""COMPUTED_VALUE"""),"chra23aiml@cmrit.ac.in")</f>
        <v>chra23aiml@cmrit.ac.in</v>
      </c>
      <c r="C544" s="174" t="str">
        <f>IFERROR(__xludf.DUMMYFUNCTION("""COMPUTED_VALUE"""),"Chinmay R A")</f>
        <v>Chinmay R A</v>
      </c>
      <c r="D544" s="155" t="str">
        <f>IFERROR(__xludf.DUMMYFUNCTION("""COMPUTED_VALUE"""),"1CR23AI023")</f>
        <v>1CR23AI023</v>
      </c>
      <c r="E544" s="563">
        <f>IFERROR(__xludf.DUMMYFUNCTION("""COMPUTED_VALUE"""),9.035585345E9)</f>
        <v>9035585345</v>
      </c>
      <c r="F544" s="155" t="str">
        <f>IFERROR(__xludf.DUMMYFUNCTION("""COMPUTED_VALUE"""),"AIML")</f>
        <v>AIML</v>
      </c>
      <c r="G544" s="158"/>
      <c r="H544" s="559">
        <f>IFERROR(__xludf.DUMMYFUNCTION("""COMPUTED_VALUE"""),70.0)</f>
        <v>70</v>
      </c>
      <c r="I544" s="559">
        <f>IFERROR(__xludf.DUMMYFUNCTION("""COMPUTED_VALUE"""),85.0)</f>
        <v>85</v>
      </c>
      <c r="J544" s="559">
        <f>IFERROR(__xludf.DUMMYFUNCTION("""COMPUTED_VALUE"""),78.0)</f>
        <v>78</v>
      </c>
      <c r="K544" s="559">
        <f>IFERROR(__xludf.DUMMYFUNCTION("""COMPUTED_VALUE"""),70.0)</f>
        <v>70</v>
      </c>
      <c r="L544" s="560">
        <f>IFERROR(__xludf.DUMMYFUNCTION("""COMPUTED_VALUE"""),50.0)</f>
        <v>50</v>
      </c>
      <c r="M544" s="561">
        <f>IFERROR(__xludf.DUMMYFUNCTION("""COMPUTED_VALUE"""),54.0)</f>
        <v>54</v>
      </c>
      <c r="N544" s="561">
        <f>IFERROR(__xludf.DUMMYFUNCTION("""COMPUTED_VALUE"""),50.0)</f>
        <v>50</v>
      </c>
      <c r="O544" s="560"/>
      <c r="P544" s="562">
        <f>IFERROR(__xludf.DUMMYFUNCTION("""COMPUTED_VALUE"""),50.0)</f>
        <v>50</v>
      </c>
      <c r="Q544" s="562">
        <f>IFERROR(__xludf.DUMMYFUNCTION("""COMPUTED_VALUE"""),73.0)</f>
        <v>73</v>
      </c>
      <c r="R544" s="562">
        <f>IFERROR(__xludf.DUMMYFUNCTION("""COMPUTED_VALUE"""),84.0)</f>
        <v>84</v>
      </c>
      <c r="S544" s="562"/>
      <c r="T544" s="217">
        <f>IFERROR(__xludf.DUMMYFUNCTION("""COMPUTED_VALUE"""),19.0)</f>
        <v>19</v>
      </c>
      <c r="U544" s="217">
        <f>IFERROR(__xludf.DUMMYFUNCTION("""COMPUTED_VALUE"""),24.0)</f>
        <v>24</v>
      </c>
      <c r="V544" s="217">
        <f>IFERROR(__xludf.DUMMYFUNCTION("""COMPUTED_VALUE"""),90.0)</f>
        <v>90</v>
      </c>
      <c r="W544" s="217">
        <f>IFERROR(__xludf.DUMMYFUNCTION("""COMPUTED_VALUE"""),84.0)</f>
        <v>84</v>
      </c>
      <c r="X544" s="217">
        <f>IFERROR(__xludf.DUMMYFUNCTION("""COMPUTED_VALUE"""),72.0)</f>
        <v>72</v>
      </c>
      <c r="Y544" s="217"/>
      <c r="Z544" s="217"/>
      <c r="AA544" s="481">
        <f>IFERROR(__xludf.DUMMYFUNCTION("""COMPUTED_VALUE"""),64.0)</f>
        <v>64</v>
      </c>
      <c r="AB544" s="481">
        <f>IFERROR(__xludf.DUMMYFUNCTION("""COMPUTED_VALUE"""),96.0)</f>
        <v>96</v>
      </c>
      <c r="AC544" s="481">
        <f>IFERROR(__xludf.DUMMYFUNCTION("""COMPUTED_VALUE"""),87.0)</f>
        <v>87</v>
      </c>
      <c r="AD544" s="481">
        <f>IFERROR(__xludf.DUMMYFUNCTION("""COMPUTED_VALUE"""),100.0)</f>
        <v>100</v>
      </c>
      <c r="AE544" s="481">
        <f>IFERROR(__xludf.DUMMYFUNCTION("""COMPUTED_VALUE"""),60.0)</f>
        <v>60</v>
      </c>
      <c r="AF544" s="481"/>
      <c r="AG544" s="481">
        <f>IFERROR(__xludf.DUMMYFUNCTION("""COMPUTED_VALUE"""),72.0)</f>
        <v>72</v>
      </c>
      <c r="AH544" s="481"/>
      <c r="AI544" s="158"/>
      <c r="AJ544" s="158"/>
      <c r="AK544" s="133">
        <f>IFERROR(__xludf.DUMMYFUNCTION("""COMPUTED_VALUE"""),4.0)</f>
        <v>4</v>
      </c>
      <c r="AL544" s="133">
        <f>IFERROR(__xludf.DUMMYFUNCTION("""COMPUTED_VALUE"""),3.0)</f>
        <v>3</v>
      </c>
      <c r="AM544" s="133">
        <f>IFERROR(__xludf.DUMMYFUNCTION("""COMPUTED_VALUE"""),3.0)</f>
        <v>3</v>
      </c>
      <c r="AN544" s="133" t="str">
        <f>IFERROR(__xludf.DUMMYFUNCTION("""COMPUTED_VALUE"""),"3")</f>
        <v>3</v>
      </c>
      <c r="AO544" s="133">
        <f>IFERROR(__xludf.DUMMYFUNCTION("""COMPUTED_VALUE"""),3.0)</f>
        <v>3</v>
      </c>
      <c r="AP544" s="155" t="s">
        <v>3780</v>
      </c>
    </row>
    <row r="545">
      <c r="A545" s="155">
        <f>IFERROR(__xludf.DUMMYFUNCTION("""COMPUTED_VALUE"""),24.0)</f>
        <v>24</v>
      </c>
      <c r="B545" s="155" t="str">
        <f>IFERROR(__xludf.DUMMYFUNCTION("""COMPUTED_VALUE"""),"drte23aiml@cmrit.ac.in")</f>
        <v>drte23aiml@cmrit.ac.in</v>
      </c>
      <c r="C545" s="174" t="str">
        <f>IFERROR(__xludf.DUMMYFUNCTION("""COMPUTED_VALUE"""),"D R TEJASWI YADAV")</f>
        <v>D R TEJASWI YADAV</v>
      </c>
      <c r="D545" s="155" t="str">
        <f>IFERROR(__xludf.DUMMYFUNCTION("""COMPUTED_VALUE"""),"1CR23AI025")</f>
        <v>1CR23AI025</v>
      </c>
      <c r="E545" s="563">
        <f>IFERROR(__xludf.DUMMYFUNCTION("""COMPUTED_VALUE"""),9.110814428E9)</f>
        <v>9110814428</v>
      </c>
      <c r="F545" s="155" t="str">
        <f>IFERROR(__xludf.DUMMYFUNCTION("""COMPUTED_VALUE"""),"AIML")</f>
        <v>AIML</v>
      </c>
      <c r="G545" s="158" t="str">
        <f>IFERROR(__xludf.DUMMYFUNCTION("""COMPUTED_VALUE""")," ")</f>
        <v> </v>
      </c>
      <c r="H545" s="559">
        <f>IFERROR(__xludf.DUMMYFUNCTION("""COMPUTED_VALUE"""),81.0)</f>
        <v>81</v>
      </c>
      <c r="I545" s="559">
        <f>IFERROR(__xludf.DUMMYFUNCTION("""COMPUTED_VALUE"""),87.0)</f>
        <v>87</v>
      </c>
      <c r="J545" s="559">
        <f>IFERROR(__xludf.DUMMYFUNCTION("""COMPUTED_VALUE"""),70.0)</f>
        <v>70</v>
      </c>
      <c r="K545" s="559">
        <f>IFERROR(__xludf.DUMMYFUNCTION("""COMPUTED_VALUE"""),70.0)</f>
        <v>70</v>
      </c>
      <c r="L545" s="560">
        <f>IFERROR(__xludf.DUMMYFUNCTION("""COMPUTED_VALUE"""),62.0)</f>
        <v>62</v>
      </c>
      <c r="M545" s="561">
        <f>IFERROR(__xludf.DUMMYFUNCTION("""COMPUTED_VALUE"""),61.0)</f>
        <v>61</v>
      </c>
      <c r="N545" s="561">
        <f>IFERROR(__xludf.DUMMYFUNCTION("""COMPUTED_VALUE"""),50.0)</f>
        <v>50</v>
      </c>
      <c r="O545" s="560"/>
      <c r="P545" s="562">
        <f>IFERROR(__xludf.DUMMYFUNCTION("""COMPUTED_VALUE"""),81.0)</f>
        <v>81</v>
      </c>
      <c r="Q545" s="562">
        <f>IFERROR(__xludf.DUMMYFUNCTION("""COMPUTED_VALUE"""),50.0)</f>
        <v>50</v>
      </c>
      <c r="R545" s="562">
        <f>IFERROR(__xludf.DUMMYFUNCTION("""COMPUTED_VALUE"""),50.0)</f>
        <v>50</v>
      </c>
      <c r="S545" s="562"/>
      <c r="T545" s="217">
        <f>IFERROR(__xludf.DUMMYFUNCTION("""COMPUTED_VALUE"""),10.0)</f>
        <v>10</v>
      </c>
      <c r="U545" s="217">
        <f>IFERROR(__xludf.DUMMYFUNCTION("""COMPUTED_VALUE"""),20.0)</f>
        <v>20</v>
      </c>
      <c r="V545" s="217">
        <f>IFERROR(__xludf.DUMMYFUNCTION("""COMPUTED_VALUE"""),0.0)</f>
        <v>0</v>
      </c>
      <c r="W545" s="217">
        <f>IFERROR(__xludf.DUMMYFUNCTION("""COMPUTED_VALUE"""),88.0)</f>
        <v>88</v>
      </c>
      <c r="X545" s="217">
        <f>IFERROR(__xludf.DUMMYFUNCTION("""COMPUTED_VALUE"""),78.0)</f>
        <v>78</v>
      </c>
      <c r="Y545" s="217"/>
      <c r="Z545" s="217"/>
      <c r="AA545" s="481">
        <f>IFERROR(__xludf.DUMMYFUNCTION("""COMPUTED_VALUE"""),94.0)</f>
        <v>94</v>
      </c>
      <c r="AB545" s="481">
        <f>IFERROR(__xludf.DUMMYFUNCTION("""COMPUTED_VALUE"""),85.0)</f>
        <v>85</v>
      </c>
      <c r="AC545" s="481">
        <f>IFERROR(__xludf.DUMMYFUNCTION("""COMPUTED_VALUE"""),82.0)</f>
        <v>82</v>
      </c>
      <c r="AD545" s="481">
        <f>IFERROR(__xludf.DUMMYFUNCTION("""COMPUTED_VALUE"""),7.0)</f>
        <v>7</v>
      </c>
      <c r="AE545" s="481">
        <f>IFERROR(__xludf.DUMMYFUNCTION("""COMPUTED_VALUE"""),70.0)</f>
        <v>70</v>
      </c>
      <c r="AF545" s="481"/>
      <c r="AG545" s="481">
        <f>IFERROR(__xludf.DUMMYFUNCTION("""COMPUTED_VALUE"""),73.0)</f>
        <v>73</v>
      </c>
      <c r="AH545" s="481"/>
      <c r="AI545" s="158"/>
      <c r="AJ545" s="158"/>
      <c r="AK545" s="133">
        <f>IFERROR(__xludf.DUMMYFUNCTION("""COMPUTED_VALUE"""),4.0)</f>
        <v>4</v>
      </c>
      <c r="AL545" s="133">
        <f>IFERROR(__xludf.DUMMYFUNCTION("""COMPUTED_VALUE"""),3.0)</f>
        <v>3</v>
      </c>
      <c r="AM545" s="133">
        <f>IFERROR(__xludf.DUMMYFUNCTION("""COMPUTED_VALUE"""),3.0)</f>
        <v>3</v>
      </c>
      <c r="AN545" s="133" t="str">
        <f>IFERROR(__xludf.DUMMYFUNCTION("""COMPUTED_VALUE"""),"3.5")</f>
        <v>3.5</v>
      </c>
      <c r="AO545" s="133">
        <f>IFERROR(__xludf.DUMMYFUNCTION("""COMPUTED_VALUE"""),3.0)</f>
        <v>3</v>
      </c>
      <c r="AP545" s="155" t="s">
        <v>3780</v>
      </c>
    </row>
    <row r="546">
      <c r="A546" s="155">
        <f>IFERROR(__xludf.DUMMYFUNCTION("""COMPUTED_VALUE"""),25.0)</f>
        <v>25</v>
      </c>
      <c r="B546" s="155" t="str">
        <f>IFERROR(__xludf.DUMMYFUNCTION("""COMPUTED_VALUE"""),"dan23aiml@cmrit.ac.in")</f>
        <v>dan23aiml@cmrit.ac.in</v>
      </c>
      <c r="C546" s="174" t="str">
        <f>IFERROR(__xludf.DUMMYFUNCTION("""COMPUTED_VALUE"""),"Darshan N")</f>
        <v>Darshan N</v>
      </c>
      <c r="D546" s="155" t="str">
        <f>IFERROR(__xludf.DUMMYFUNCTION("""COMPUTED_VALUE"""),"1CR23AI026")</f>
        <v>1CR23AI026</v>
      </c>
      <c r="E546" s="563">
        <f>IFERROR(__xludf.DUMMYFUNCTION("""COMPUTED_VALUE"""),7.483031537E9)</f>
        <v>7483031537</v>
      </c>
      <c r="F546" s="155" t="str">
        <f>IFERROR(__xludf.DUMMYFUNCTION("""COMPUTED_VALUE"""),"AIML")</f>
        <v>AIML</v>
      </c>
      <c r="G546" s="158"/>
      <c r="H546" s="559">
        <f>IFERROR(__xludf.DUMMYFUNCTION("""COMPUTED_VALUE"""),62.0)</f>
        <v>62</v>
      </c>
      <c r="I546" s="559">
        <f>IFERROR(__xludf.DUMMYFUNCTION("""COMPUTED_VALUE"""),64.0)</f>
        <v>64</v>
      </c>
      <c r="J546" s="559">
        <f>IFERROR(__xludf.DUMMYFUNCTION("""COMPUTED_VALUE"""),28.0)</f>
        <v>28</v>
      </c>
      <c r="K546" s="559">
        <f>IFERROR(__xludf.DUMMYFUNCTION("""COMPUTED_VALUE"""),17.0)</f>
        <v>17</v>
      </c>
      <c r="L546" s="560">
        <f>IFERROR(__xludf.DUMMYFUNCTION("""COMPUTED_VALUE"""),50.0)</f>
        <v>50</v>
      </c>
      <c r="M546" s="561">
        <f>IFERROR(__xludf.DUMMYFUNCTION("""COMPUTED_VALUE"""),0.0)</f>
        <v>0</v>
      </c>
      <c r="N546" s="561">
        <f>IFERROR(__xludf.DUMMYFUNCTION("""COMPUTED_VALUE"""),9.0)</f>
        <v>9</v>
      </c>
      <c r="O546" s="560"/>
      <c r="P546" s="562">
        <f>IFERROR(__xludf.DUMMYFUNCTION("""COMPUTED_VALUE"""),80.0)</f>
        <v>80</v>
      </c>
      <c r="Q546" s="562">
        <f>IFERROR(__xludf.DUMMYFUNCTION("""COMPUTED_VALUE"""),0.0)</f>
        <v>0</v>
      </c>
      <c r="R546" s="562">
        <f>IFERROR(__xludf.DUMMYFUNCTION("""COMPUTED_VALUE"""),0.0)</f>
        <v>0</v>
      </c>
      <c r="S546" s="562"/>
      <c r="T546" s="217">
        <f>IFERROR(__xludf.DUMMYFUNCTION("""COMPUTED_VALUE"""),20.0)</f>
        <v>20</v>
      </c>
      <c r="U546" s="217"/>
      <c r="V546" s="217">
        <f>IFERROR(__xludf.DUMMYFUNCTION("""COMPUTED_VALUE"""),0.0)</f>
        <v>0</v>
      </c>
      <c r="W546" s="217">
        <f>IFERROR(__xludf.DUMMYFUNCTION("""COMPUTED_VALUE"""),0.0)</f>
        <v>0</v>
      </c>
      <c r="X546" s="217">
        <f>IFERROR(__xludf.DUMMYFUNCTION("""COMPUTED_VALUE"""),56.0)</f>
        <v>56</v>
      </c>
      <c r="Y546" s="217"/>
      <c r="Z546" s="217"/>
      <c r="AA546" s="481">
        <f>IFERROR(__xludf.DUMMYFUNCTION("""COMPUTED_VALUE"""),0.0)</f>
        <v>0</v>
      </c>
      <c r="AB546" s="481">
        <f>IFERROR(__xludf.DUMMYFUNCTION("""COMPUTED_VALUE"""),0.0)</f>
        <v>0</v>
      </c>
      <c r="AC546" s="481">
        <f>IFERROR(__xludf.DUMMYFUNCTION("""COMPUTED_VALUE"""),70.0)</f>
        <v>70</v>
      </c>
      <c r="AD546" s="481">
        <f>IFERROR(__xludf.DUMMYFUNCTION("""COMPUTED_VALUE"""),0.0)</f>
        <v>0</v>
      </c>
      <c r="AE546" s="481">
        <f>IFERROR(__xludf.DUMMYFUNCTION("""COMPUTED_VALUE"""),10.0)</f>
        <v>10</v>
      </c>
      <c r="AF546" s="481"/>
      <c r="AG546" s="481">
        <f>IFERROR(__xludf.DUMMYFUNCTION("""COMPUTED_VALUE"""),50.0)</f>
        <v>50</v>
      </c>
      <c r="AH546" s="481"/>
      <c r="AI546" s="158"/>
      <c r="AJ546" s="158"/>
      <c r="AK546" s="133">
        <f>IFERROR(__xludf.DUMMYFUNCTION("""COMPUTED_VALUE"""),0.0)</f>
        <v>0</v>
      </c>
      <c r="AL546" s="133">
        <f>IFERROR(__xludf.DUMMYFUNCTION("""COMPUTED_VALUE"""),1.0)</f>
        <v>1</v>
      </c>
      <c r="AM546" s="133">
        <f>IFERROR(__xludf.DUMMYFUNCTION("""COMPUTED_VALUE"""),2.0)</f>
        <v>2</v>
      </c>
      <c r="AN546" s="133" t="str">
        <f>IFERROR(__xludf.DUMMYFUNCTION("""COMPUTED_VALUE"""),"0")</f>
        <v>0</v>
      </c>
      <c r="AO546" s="133">
        <f>IFERROR(__xludf.DUMMYFUNCTION("""COMPUTED_VALUE"""),1.0)</f>
        <v>1</v>
      </c>
      <c r="AP546" s="155" t="s">
        <v>3780</v>
      </c>
    </row>
    <row r="547">
      <c r="A547" s="155">
        <f>IFERROR(__xludf.DUMMYFUNCTION("""COMPUTED_VALUE"""),26.0)</f>
        <v>26</v>
      </c>
      <c r="B547" s="155" t="str">
        <f>IFERROR(__xludf.DUMMYFUNCTION("""COMPUTED_VALUE"""),"deba23aiml@cmrit.ac.in")</f>
        <v>deba23aiml@cmrit.ac.in</v>
      </c>
      <c r="C547" s="174" t="str">
        <f>IFERROR(__xludf.DUMMYFUNCTION("""COMPUTED_VALUE"""),"DEEKSHA BABU ")</f>
        <v>DEEKSHA BABU </v>
      </c>
      <c r="D547" s="155" t="str">
        <f>IFERROR(__xludf.DUMMYFUNCTION("""COMPUTED_VALUE"""),"1CR23AI027")</f>
        <v>1CR23AI027</v>
      </c>
      <c r="E547" s="563">
        <f>IFERROR(__xludf.DUMMYFUNCTION("""COMPUTED_VALUE"""),8.792054116E9)</f>
        <v>8792054116</v>
      </c>
      <c r="F547" s="155" t="str">
        <f>IFERROR(__xludf.DUMMYFUNCTION("""COMPUTED_VALUE"""),"AIML")</f>
        <v>AIML</v>
      </c>
      <c r="G547" s="158"/>
      <c r="H547" s="559">
        <f>IFERROR(__xludf.DUMMYFUNCTION("""COMPUTED_VALUE"""),66.0)</f>
        <v>66</v>
      </c>
      <c r="I547" s="559">
        <f>IFERROR(__xludf.DUMMYFUNCTION("""COMPUTED_VALUE"""),80.0)</f>
        <v>80</v>
      </c>
      <c r="J547" s="559">
        <f>IFERROR(__xludf.DUMMYFUNCTION("""COMPUTED_VALUE"""),70.0)</f>
        <v>70</v>
      </c>
      <c r="K547" s="559">
        <f>IFERROR(__xludf.DUMMYFUNCTION("""COMPUTED_VALUE"""),55.0)</f>
        <v>55</v>
      </c>
      <c r="L547" s="560">
        <f>IFERROR(__xludf.DUMMYFUNCTION("""COMPUTED_VALUE"""),6.0)</f>
        <v>6</v>
      </c>
      <c r="M547" s="561">
        <f>IFERROR(__xludf.DUMMYFUNCTION("""COMPUTED_VALUE"""),22.0)</f>
        <v>22</v>
      </c>
      <c r="N547" s="561">
        <f>IFERROR(__xludf.DUMMYFUNCTION("""COMPUTED_VALUE"""),10.0)</f>
        <v>10</v>
      </c>
      <c r="O547" s="560"/>
      <c r="P547" s="562">
        <f>IFERROR(__xludf.DUMMYFUNCTION("""COMPUTED_VALUE"""),81.0)</f>
        <v>81</v>
      </c>
      <c r="Q547" s="562">
        <f>IFERROR(__xludf.DUMMYFUNCTION("""COMPUTED_VALUE"""),67.0)</f>
        <v>67</v>
      </c>
      <c r="R547" s="562">
        <f>IFERROR(__xludf.DUMMYFUNCTION("""COMPUTED_VALUE"""),73.0)</f>
        <v>73</v>
      </c>
      <c r="S547" s="562"/>
      <c r="T547" s="217">
        <f>IFERROR(__xludf.DUMMYFUNCTION("""COMPUTED_VALUE"""),10.0)</f>
        <v>10</v>
      </c>
      <c r="U547" s="217">
        <f>IFERROR(__xludf.DUMMYFUNCTION("""COMPUTED_VALUE"""),20.0)</f>
        <v>20</v>
      </c>
      <c r="V547" s="217">
        <f>IFERROR(__xludf.DUMMYFUNCTION("""COMPUTED_VALUE"""),0.0)</f>
        <v>0</v>
      </c>
      <c r="W547" s="217">
        <f>IFERROR(__xludf.DUMMYFUNCTION("""COMPUTED_VALUE"""),0.0)</f>
        <v>0</v>
      </c>
      <c r="X547" s="217">
        <f>IFERROR(__xludf.DUMMYFUNCTION("""COMPUTED_VALUE"""),66.0)</f>
        <v>66</v>
      </c>
      <c r="Y547" s="217"/>
      <c r="Z547" s="217"/>
      <c r="AA547" s="481">
        <f>IFERROR(__xludf.DUMMYFUNCTION("""COMPUTED_VALUE"""),14.0)</f>
        <v>14</v>
      </c>
      <c r="AB547" s="481">
        <f>IFERROR(__xludf.DUMMYFUNCTION("""COMPUTED_VALUE"""),75.0)</f>
        <v>75</v>
      </c>
      <c r="AC547" s="481">
        <f>IFERROR(__xludf.DUMMYFUNCTION("""COMPUTED_VALUE"""),0.0)</f>
        <v>0</v>
      </c>
      <c r="AD547" s="481">
        <f>IFERROR(__xludf.DUMMYFUNCTION("""COMPUTED_VALUE"""),0.0)</f>
        <v>0</v>
      </c>
      <c r="AE547" s="481">
        <f>IFERROR(__xludf.DUMMYFUNCTION("""COMPUTED_VALUE"""),13.0)</f>
        <v>13</v>
      </c>
      <c r="AF547" s="481"/>
      <c r="AG547" s="481">
        <f>IFERROR(__xludf.DUMMYFUNCTION("""COMPUTED_VALUE"""),36.0)</f>
        <v>36</v>
      </c>
      <c r="AH547" s="481"/>
      <c r="AI547" s="158"/>
      <c r="AJ547" s="158"/>
      <c r="AK547" s="133">
        <f>IFERROR(__xludf.DUMMYFUNCTION("""COMPUTED_VALUE"""),3.0)</f>
        <v>3</v>
      </c>
      <c r="AL547" s="133">
        <f>IFERROR(__xludf.DUMMYFUNCTION("""COMPUTED_VALUE"""),0.0)</f>
        <v>0</v>
      </c>
      <c r="AM547" s="133">
        <f>IFERROR(__xludf.DUMMYFUNCTION("""COMPUTED_VALUE"""),2.0)</f>
        <v>2</v>
      </c>
      <c r="AN547" s="133" t="str">
        <f>IFERROR(__xludf.DUMMYFUNCTION("""COMPUTED_VALUE"""),"2")</f>
        <v>2</v>
      </c>
      <c r="AO547" s="133">
        <f>IFERROR(__xludf.DUMMYFUNCTION("""COMPUTED_VALUE"""),3.0)</f>
        <v>3</v>
      </c>
      <c r="AP547" s="155" t="s">
        <v>3780</v>
      </c>
    </row>
    <row r="548">
      <c r="A548" s="155">
        <f>IFERROR(__xludf.DUMMYFUNCTION("""COMPUTED_VALUE"""),27.0)</f>
        <v>27</v>
      </c>
      <c r="B548" s="155" t="str">
        <f>IFERROR(__xludf.DUMMYFUNCTION("""COMPUTED_VALUE"""),"dech23aiml@cmrit.ac.in")</f>
        <v>dech23aiml@cmrit.ac.in</v>
      </c>
      <c r="C548" s="174" t="str">
        <f>IFERROR(__xludf.DUMMYFUNCTION("""COMPUTED_VALUE"""),"Deepak chouhan")</f>
        <v>Deepak chouhan</v>
      </c>
      <c r="D548" s="155" t="str">
        <f>IFERROR(__xludf.DUMMYFUNCTION("""COMPUTED_VALUE"""),"1CR23AI028")</f>
        <v>1CR23AI028</v>
      </c>
      <c r="E548" s="563">
        <f>IFERROR(__xludf.DUMMYFUNCTION("""COMPUTED_VALUE"""),8.296050012E9)</f>
        <v>8296050012</v>
      </c>
      <c r="F548" s="155" t="str">
        <f>IFERROR(__xludf.DUMMYFUNCTION("""COMPUTED_VALUE"""),"AIML")</f>
        <v>AIML</v>
      </c>
      <c r="G548" s="158"/>
      <c r="H548" s="559">
        <f>IFERROR(__xludf.DUMMYFUNCTION("""COMPUTED_VALUE"""),70.0)</f>
        <v>70</v>
      </c>
      <c r="I548" s="559">
        <f>IFERROR(__xludf.DUMMYFUNCTION("""COMPUTED_VALUE"""),78.0)</f>
        <v>78</v>
      </c>
      <c r="J548" s="559">
        <f>IFERROR(__xludf.DUMMYFUNCTION("""COMPUTED_VALUE"""),70.0)</f>
        <v>70</v>
      </c>
      <c r="K548" s="559">
        <f>IFERROR(__xludf.DUMMYFUNCTION("""COMPUTED_VALUE"""),70.0)</f>
        <v>70</v>
      </c>
      <c r="L548" s="560">
        <f>IFERROR(__xludf.DUMMYFUNCTION("""COMPUTED_VALUE"""),50.0)</f>
        <v>50</v>
      </c>
      <c r="M548" s="561">
        <f>IFERROR(__xludf.DUMMYFUNCTION("""COMPUTED_VALUE"""),50.0)</f>
        <v>50</v>
      </c>
      <c r="N548" s="561">
        <f>IFERROR(__xludf.DUMMYFUNCTION("""COMPUTED_VALUE"""),50.0)</f>
        <v>50</v>
      </c>
      <c r="O548" s="560"/>
      <c r="P548" s="562">
        <f>IFERROR(__xludf.DUMMYFUNCTION("""COMPUTED_VALUE"""),50.0)</f>
        <v>50</v>
      </c>
      <c r="Q548" s="562">
        <f>IFERROR(__xludf.DUMMYFUNCTION("""COMPUTED_VALUE"""),50.0)</f>
        <v>50</v>
      </c>
      <c r="R548" s="562">
        <f>IFERROR(__xludf.DUMMYFUNCTION("""COMPUTED_VALUE"""),50.0)</f>
        <v>50</v>
      </c>
      <c r="S548" s="562"/>
      <c r="T548" s="217">
        <f>IFERROR(__xludf.DUMMYFUNCTION("""COMPUTED_VALUE"""),19.0)</f>
        <v>19</v>
      </c>
      <c r="U548" s="217">
        <f>IFERROR(__xludf.DUMMYFUNCTION("""COMPUTED_VALUE"""),23.0)</f>
        <v>23</v>
      </c>
      <c r="V548" s="217">
        <f>IFERROR(__xludf.DUMMYFUNCTION("""COMPUTED_VALUE"""),90.0)</f>
        <v>90</v>
      </c>
      <c r="W548" s="217">
        <f>IFERROR(__xludf.DUMMYFUNCTION("""COMPUTED_VALUE"""),86.0)</f>
        <v>86</v>
      </c>
      <c r="X548" s="217">
        <f>IFERROR(__xludf.DUMMYFUNCTION("""COMPUTED_VALUE"""),82.0)</f>
        <v>82</v>
      </c>
      <c r="Y548" s="217"/>
      <c r="Z548" s="217"/>
      <c r="AA548" s="481">
        <f>IFERROR(__xludf.DUMMYFUNCTION("""COMPUTED_VALUE"""),42.0)</f>
        <v>42</v>
      </c>
      <c r="AB548" s="481">
        <f>IFERROR(__xludf.DUMMYFUNCTION("""COMPUTED_VALUE"""),75.0)</f>
        <v>75</v>
      </c>
      <c r="AC548" s="481">
        <f>IFERROR(__xludf.DUMMYFUNCTION("""COMPUTED_VALUE"""),83.0)</f>
        <v>83</v>
      </c>
      <c r="AD548" s="481">
        <f>IFERROR(__xludf.DUMMYFUNCTION("""COMPUTED_VALUE"""),70.0)</f>
        <v>70</v>
      </c>
      <c r="AE548" s="481">
        <f>IFERROR(__xludf.DUMMYFUNCTION("""COMPUTED_VALUE"""),85.0)</f>
        <v>85</v>
      </c>
      <c r="AF548" s="481"/>
      <c r="AG548" s="481">
        <f>IFERROR(__xludf.DUMMYFUNCTION("""COMPUTED_VALUE"""),75.0)</f>
        <v>75</v>
      </c>
      <c r="AH548" s="481"/>
      <c r="AI548" s="158"/>
      <c r="AJ548" s="158"/>
      <c r="AK548" s="133">
        <f>IFERROR(__xludf.DUMMYFUNCTION("""COMPUTED_VALUE"""),4.0)</f>
        <v>4</v>
      </c>
      <c r="AL548" s="133">
        <f>IFERROR(__xludf.DUMMYFUNCTION("""COMPUTED_VALUE"""),3.0)</f>
        <v>3</v>
      </c>
      <c r="AM548" s="133">
        <f>IFERROR(__xludf.DUMMYFUNCTION("""COMPUTED_VALUE"""),3.0)</f>
        <v>3</v>
      </c>
      <c r="AN548" s="133" t="str">
        <f>IFERROR(__xludf.DUMMYFUNCTION("""COMPUTED_VALUE"""),"3.5")</f>
        <v>3.5</v>
      </c>
      <c r="AO548" s="133">
        <f>IFERROR(__xludf.DUMMYFUNCTION("""COMPUTED_VALUE"""),3.0)</f>
        <v>3</v>
      </c>
      <c r="AP548" s="155" t="s">
        <v>3780</v>
      </c>
    </row>
    <row r="549">
      <c r="A549" s="155">
        <f>IFERROR(__xludf.DUMMYFUNCTION("""COMPUTED_VALUE"""),28.0)</f>
        <v>28</v>
      </c>
      <c r="B549" s="155" t="str">
        <f>IFERROR(__xludf.DUMMYFUNCTION("""COMPUTED_VALUE"""),"dhsh23aiml@cmrit.ac.in")</f>
        <v>dhsh23aiml@cmrit.ac.in</v>
      </c>
      <c r="C549" s="174" t="str">
        <f>IFERROR(__xludf.DUMMYFUNCTION("""COMPUTED_VALUE"""),"Dhanya shree A")</f>
        <v>Dhanya shree A</v>
      </c>
      <c r="D549" s="155" t="str">
        <f>IFERROR(__xludf.DUMMYFUNCTION("""COMPUTED_VALUE"""),"1CR23AI029")</f>
        <v>1CR23AI029</v>
      </c>
      <c r="E549" s="563">
        <f>IFERROR(__xludf.DUMMYFUNCTION("""COMPUTED_VALUE"""),9.741122241E9)</f>
        <v>9741122241</v>
      </c>
      <c r="F549" s="155" t="str">
        <f>IFERROR(__xludf.DUMMYFUNCTION("""COMPUTED_VALUE"""),"AIML")</f>
        <v>AIML</v>
      </c>
      <c r="G549" s="158"/>
      <c r="H549" s="559">
        <f>IFERROR(__xludf.DUMMYFUNCTION("""COMPUTED_VALUE"""),72.0)</f>
        <v>72</v>
      </c>
      <c r="I549" s="559">
        <f>IFERROR(__xludf.DUMMYFUNCTION("""COMPUTED_VALUE"""),80.0)</f>
        <v>80</v>
      </c>
      <c r="J549" s="559">
        <f>IFERROR(__xludf.DUMMYFUNCTION("""COMPUTED_VALUE"""),75.0)</f>
        <v>75</v>
      </c>
      <c r="K549" s="559">
        <f>IFERROR(__xludf.DUMMYFUNCTION("""COMPUTED_VALUE"""),78.0)</f>
        <v>78</v>
      </c>
      <c r="L549" s="560">
        <f>IFERROR(__xludf.DUMMYFUNCTION("""COMPUTED_VALUE"""),50.0)</f>
        <v>50</v>
      </c>
      <c r="M549" s="561">
        <f>IFERROR(__xludf.DUMMYFUNCTION("""COMPUTED_VALUE"""),50.0)</f>
        <v>50</v>
      </c>
      <c r="N549" s="561">
        <f>IFERROR(__xludf.DUMMYFUNCTION("""COMPUTED_VALUE"""),24.0)</f>
        <v>24</v>
      </c>
      <c r="O549" s="560"/>
      <c r="P549" s="562">
        <f>IFERROR(__xludf.DUMMYFUNCTION("""COMPUTED_VALUE"""),77.0)</f>
        <v>77</v>
      </c>
      <c r="Q549" s="562">
        <f>IFERROR(__xludf.DUMMYFUNCTION("""COMPUTED_VALUE"""),80.0)</f>
        <v>80</v>
      </c>
      <c r="R549" s="562">
        <f>IFERROR(__xludf.DUMMYFUNCTION("""COMPUTED_VALUE"""),84.0)</f>
        <v>84</v>
      </c>
      <c r="S549" s="562"/>
      <c r="T549" s="217">
        <f>IFERROR(__xludf.DUMMYFUNCTION("""COMPUTED_VALUE"""),16.0)</f>
        <v>16</v>
      </c>
      <c r="U549" s="217">
        <f>IFERROR(__xludf.DUMMYFUNCTION("""COMPUTED_VALUE"""),23.0)</f>
        <v>23</v>
      </c>
      <c r="V549" s="217">
        <f>IFERROR(__xludf.DUMMYFUNCTION("""COMPUTED_VALUE"""),86.0)</f>
        <v>86</v>
      </c>
      <c r="W549" s="217">
        <f>IFERROR(__xludf.DUMMYFUNCTION("""COMPUTED_VALUE"""),88.0)</f>
        <v>88</v>
      </c>
      <c r="X549" s="217">
        <f>IFERROR(__xludf.DUMMYFUNCTION("""COMPUTED_VALUE"""),74.0)</f>
        <v>74</v>
      </c>
      <c r="Y549" s="217"/>
      <c r="Z549" s="217"/>
      <c r="AA549" s="481">
        <f>IFERROR(__xludf.DUMMYFUNCTION("""COMPUTED_VALUE"""),68.0)</f>
        <v>68</v>
      </c>
      <c r="AB549" s="481">
        <f>IFERROR(__xludf.DUMMYFUNCTION("""COMPUTED_VALUE"""),64.0)</f>
        <v>64</v>
      </c>
      <c r="AC549" s="481">
        <f>IFERROR(__xludf.DUMMYFUNCTION("""COMPUTED_VALUE"""),100.0)</f>
        <v>100</v>
      </c>
      <c r="AD549" s="481">
        <f>IFERROR(__xludf.DUMMYFUNCTION("""COMPUTED_VALUE"""),2.0)</f>
        <v>2</v>
      </c>
      <c r="AE549" s="481">
        <f>IFERROR(__xludf.DUMMYFUNCTION("""COMPUTED_VALUE"""),32.0)</f>
        <v>32</v>
      </c>
      <c r="AF549" s="481"/>
      <c r="AG549" s="481">
        <f>IFERROR(__xludf.DUMMYFUNCTION("""COMPUTED_VALUE"""),59.0)</f>
        <v>59</v>
      </c>
      <c r="AH549" s="481"/>
      <c r="AI549" s="158"/>
      <c r="AJ549" s="158"/>
      <c r="AK549" s="133">
        <f>IFERROR(__xludf.DUMMYFUNCTION("""COMPUTED_VALUE"""),4.0)</f>
        <v>4</v>
      </c>
      <c r="AL549" s="133">
        <f>IFERROR(__xludf.DUMMYFUNCTION("""COMPUTED_VALUE"""),2.0)</f>
        <v>2</v>
      </c>
      <c r="AM549" s="133">
        <f>IFERROR(__xludf.DUMMYFUNCTION("""COMPUTED_VALUE"""),3.0)</f>
        <v>3</v>
      </c>
      <c r="AN549" s="133" t="str">
        <f>IFERROR(__xludf.DUMMYFUNCTION("""COMPUTED_VALUE"""),"3")</f>
        <v>3</v>
      </c>
      <c r="AO549" s="133">
        <f>IFERROR(__xludf.DUMMYFUNCTION("""COMPUTED_VALUE"""),3.0)</f>
        <v>3</v>
      </c>
      <c r="AP549" s="155" t="s">
        <v>3780</v>
      </c>
    </row>
    <row r="550">
      <c r="A550" s="155">
        <f>IFERROR(__xludf.DUMMYFUNCTION("""COMPUTED_VALUE"""),29.0)</f>
        <v>29</v>
      </c>
      <c r="B550" s="155" t="str">
        <f>IFERROR(__xludf.DUMMYFUNCTION("""COMPUTED_VALUE"""),"dhsa23aiml@cmrit.ac.in")</f>
        <v>dhsa23aiml@cmrit.ac.in</v>
      </c>
      <c r="C550" s="174" t="str">
        <f>IFERROR(__xludf.DUMMYFUNCTION("""COMPUTED_VALUE"""),"DHEERAJ SAMPATH SALIAN")</f>
        <v>DHEERAJ SAMPATH SALIAN</v>
      </c>
      <c r="D550" s="155" t="str">
        <f>IFERROR(__xludf.DUMMYFUNCTION("""COMPUTED_VALUE"""),"1CR23AI030")</f>
        <v>1CR23AI030</v>
      </c>
      <c r="E550" s="563">
        <f>IFERROR(__xludf.DUMMYFUNCTION("""COMPUTED_VALUE"""),9.137879919E9)</f>
        <v>9137879919</v>
      </c>
      <c r="F550" s="155" t="str">
        <f>IFERROR(__xludf.DUMMYFUNCTION("""COMPUTED_VALUE"""),"AIML")</f>
        <v>AIML</v>
      </c>
      <c r="G550" s="158"/>
      <c r="H550" s="559">
        <f>IFERROR(__xludf.DUMMYFUNCTION("""COMPUTED_VALUE"""),85.0)</f>
        <v>85</v>
      </c>
      <c r="I550" s="559">
        <f>IFERROR(__xludf.DUMMYFUNCTION("""COMPUTED_VALUE"""),94.0)</f>
        <v>94</v>
      </c>
      <c r="J550" s="559">
        <f>IFERROR(__xludf.DUMMYFUNCTION("""COMPUTED_VALUE"""),83.0)</f>
        <v>83</v>
      </c>
      <c r="K550" s="559">
        <f>IFERROR(__xludf.DUMMYFUNCTION("""COMPUTED_VALUE"""),73.0)</f>
        <v>73</v>
      </c>
      <c r="L550" s="560">
        <f>IFERROR(__xludf.DUMMYFUNCTION("""COMPUTED_VALUE"""),50.0)</f>
        <v>50</v>
      </c>
      <c r="M550" s="561">
        <f>IFERROR(__xludf.DUMMYFUNCTION("""COMPUTED_VALUE"""),50.0)</f>
        <v>50</v>
      </c>
      <c r="N550" s="561">
        <f>IFERROR(__xludf.DUMMYFUNCTION("""COMPUTED_VALUE"""),62.0)</f>
        <v>62</v>
      </c>
      <c r="O550" s="560"/>
      <c r="P550" s="562">
        <f>IFERROR(__xludf.DUMMYFUNCTION("""COMPUTED_VALUE"""),50.0)</f>
        <v>50</v>
      </c>
      <c r="Q550" s="562">
        <f>IFERROR(__xludf.DUMMYFUNCTION("""COMPUTED_VALUE"""),50.0)</f>
        <v>50</v>
      </c>
      <c r="R550" s="562">
        <f>IFERROR(__xludf.DUMMYFUNCTION("""COMPUTED_VALUE"""),50.0)</f>
        <v>50</v>
      </c>
      <c r="S550" s="562"/>
      <c r="T550" s="217">
        <f>IFERROR(__xludf.DUMMYFUNCTION("""COMPUTED_VALUE"""),15.0)</f>
        <v>15</v>
      </c>
      <c r="U550" s="217">
        <f>IFERROR(__xludf.DUMMYFUNCTION("""COMPUTED_VALUE"""),24.0)</f>
        <v>24</v>
      </c>
      <c r="V550" s="217">
        <f>IFERROR(__xludf.DUMMYFUNCTION("""COMPUTED_VALUE"""),0.0)</f>
        <v>0</v>
      </c>
      <c r="W550" s="217">
        <f>IFERROR(__xludf.DUMMYFUNCTION("""COMPUTED_VALUE"""),94.0)</f>
        <v>94</v>
      </c>
      <c r="X550" s="217">
        <f>IFERROR(__xludf.DUMMYFUNCTION("""COMPUTED_VALUE"""),80.0)</f>
        <v>80</v>
      </c>
      <c r="Y550" s="217"/>
      <c r="Z550" s="217"/>
      <c r="AA550" s="481">
        <f>IFERROR(__xludf.DUMMYFUNCTION("""COMPUTED_VALUE"""),96.0)</f>
        <v>96</v>
      </c>
      <c r="AB550" s="481">
        <f>IFERROR(__xludf.DUMMYFUNCTION("""COMPUTED_VALUE"""),100.0)</f>
        <v>100</v>
      </c>
      <c r="AC550" s="481">
        <f>IFERROR(__xludf.DUMMYFUNCTION("""COMPUTED_VALUE"""),100.0)</f>
        <v>100</v>
      </c>
      <c r="AD550" s="481">
        <f>IFERROR(__xludf.DUMMYFUNCTION("""COMPUTED_VALUE"""),60.0)</f>
        <v>60</v>
      </c>
      <c r="AE550" s="481">
        <f>IFERROR(__xludf.DUMMYFUNCTION("""COMPUTED_VALUE"""),74.0)</f>
        <v>74</v>
      </c>
      <c r="AF550" s="481"/>
      <c r="AG550" s="481">
        <f>IFERROR(__xludf.DUMMYFUNCTION("""COMPUTED_VALUE"""),78.0)</f>
        <v>78</v>
      </c>
      <c r="AH550" s="481"/>
      <c r="AI550" s="158"/>
      <c r="AJ550" s="158"/>
      <c r="AK550" s="133">
        <f>IFERROR(__xludf.DUMMYFUNCTION("""COMPUTED_VALUE"""),4.0)</f>
        <v>4</v>
      </c>
      <c r="AL550" s="133">
        <f>IFERROR(__xludf.DUMMYFUNCTION("""COMPUTED_VALUE"""),3.0)</f>
        <v>3</v>
      </c>
      <c r="AM550" s="133">
        <f>IFERROR(__xludf.DUMMYFUNCTION("""COMPUTED_VALUE"""),3.0)</f>
        <v>3</v>
      </c>
      <c r="AN550" s="133" t="str">
        <f>IFERROR(__xludf.DUMMYFUNCTION("""COMPUTED_VALUE"""),"3.5")</f>
        <v>3.5</v>
      </c>
      <c r="AO550" s="133">
        <f>IFERROR(__xludf.DUMMYFUNCTION("""COMPUTED_VALUE"""),3.0)</f>
        <v>3</v>
      </c>
      <c r="AP550" s="155" t="s">
        <v>3780</v>
      </c>
    </row>
    <row r="551">
      <c r="A551" s="155">
        <f>IFERROR(__xludf.DUMMYFUNCTION("""COMPUTED_VALUE"""),30.0)</f>
        <v>30</v>
      </c>
      <c r="B551" s="155" t="str">
        <f>IFERROR(__xludf.DUMMYFUNCTION("""COMPUTED_VALUE"""),"dula23aiml@cmrit.ac.in")</f>
        <v>dula23aiml@cmrit.ac.in</v>
      </c>
      <c r="C551" s="174" t="str">
        <f>IFERROR(__xludf.DUMMYFUNCTION("""COMPUTED_VALUE"""),"Dikshyant Lamsal")</f>
        <v>Dikshyant Lamsal</v>
      </c>
      <c r="D551" s="155" t="str">
        <f>IFERROR(__xludf.DUMMYFUNCTION("""COMPUTED_VALUE"""),"1CR23AI031")</f>
        <v>1CR23AI031</v>
      </c>
      <c r="E551" s="563">
        <f>IFERROR(__xludf.DUMMYFUNCTION("""COMPUTED_VALUE"""),8.217261302E9)</f>
        <v>8217261302</v>
      </c>
      <c r="F551" s="155" t="str">
        <f>IFERROR(__xludf.DUMMYFUNCTION("""COMPUTED_VALUE"""),"AIML")</f>
        <v>AIML</v>
      </c>
      <c r="G551" s="158"/>
      <c r="H551" s="559">
        <f>IFERROR(__xludf.DUMMYFUNCTION("""COMPUTED_VALUE"""),92.0)</f>
        <v>92</v>
      </c>
      <c r="I551" s="559">
        <f>IFERROR(__xludf.DUMMYFUNCTION("""COMPUTED_VALUE"""),93.0)</f>
        <v>93</v>
      </c>
      <c r="J551" s="559">
        <f>IFERROR(__xludf.DUMMYFUNCTION("""COMPUTED_VALUE"""),75.0)</f>
        <v>75</v>
      </c>
      <c r="K551" s="559">
        <f>IFERROR(__xludf.DUMMYFUNCTION("""COMPUTED_VALUE"""),70.0)</f>
        <v>70</v>
      </c>
      <c r="L551" s="560">
        <f>IFERROR(__xludf.DUMMYFUNCTION("""COMPUTED_VALUE"""),50.0)</f>
        <v>50</v>
      </c>
      <c r="M551" s="561">
        <f>IFERROR(__xludf.DUMMYFUNCTION("""COMPUTED_VALUE"""),50.0)</f>
        <v>50</v>
      </c>
      <c r="N551" s="561">
        <f>IFERROR(__xludf.DUMMYFUNCTION("""COMPUTED_VALUE"""),0.0)</f>
        <v>0</v>
      </c>
      <c r="O551" s="560"/>
      <c r="P551" s="562">
        <f>IFERROR(__xludf.DUMMYFUNCTION("""COMPUTED_VALUE"""),50.0)</f>
        <v>50</v>
      </c>
      <c r="Q551" s="562">
        <f>IFERROR(__xludf.DUMMYFUNCTION("""COMPUTED_VALUE"""),50.0)</f>
        <v>50</v>
      </c>
      <c r="R551" s="562">
        <f>IFERROR(__xludf.DUMMYFUNCTION("""COMPUTED_VALUE"""),50.0)</f>
        <v>50</v>
      </c>
      <c r="S551" s="562"/>
      <c r="T551" s="217">
        <f>IFERROR(__xludf.DUMMYFUNCTION("""COMPUTED_VALUE"""),14.0)</f>
        <v>14</v>
      </c>
      <c r="U551" s="217">
        <f>IFERROR(__xludf.DUMMYFUNCTION("""COMPUTED_VALUE"""),19.0)</f>
        <v>19</v>
      </c>
      <c r="V551" s="217">
        <f>IFERROR(__xludf.DUMMYFUNCTION("""COMPUTED_VALUE"""),70.0)</f>
        <v>70</v>
      </c>
      <c r="W551" s="217">
        <f>IFERROR(__xludf.DUMMYFUNCTION("""COMPUTED_VALUE"""),88.0)</f>
        <v>88</v>
      </c>
      <c r="X551" s="217">
        <f>IFERROR(__xludf.DUMMYFUNCTION("""COMPUTED_VALUE"""),74.0)</f>
        <v>74</v>
      </c>
      <c r="Y551" s="217"/>
      <c r="Z551" s="217"/>
      <c r="AA551" s="481">
        <f>IFERROR(__xludf.DUMMYFUNCTION("""COMPUTED_VALUE"""),96.0)</f>
        <v>96</v>
      </c>
      <c r="AB551" s="481">
        <f>IFERROR(__xludf.DUMMYFUNCTION("""COMPUTED_VALUE"""),100.0)</f>
        <v>100</v>
      </c>
      <c r="AC551" s="481">
        <f>IFERROR(__xludf.DUMMYFUNCTION("""COMPUTED_VALUE"""),100.0)</f>
        <v>100</v>
      </c>
      <c r="AD551" s="481">
        <f>IFERROR(__xludf.DUMMYFUNCTION("""COMPUTED_VALUE"""),80.0)</f>
        <v>80</v>
      </c>
      <c r="AE551" s="481">
        <f>IFERROR(__xludf.DUMMYFUNCTION("""COMPUTED_VALUE"""),10.0)</f>
        <v>10</v>
      </c>
      <c r="AF551" s="481"/>
      <c r="AG551" s="481">
        <f>IFERROR(__xludf.DUMMYFUNCTION("""COMPUTED_VALUE"""),78.0)</f>
        <v>78</v>
      </c>
      <c r="AH551" s="481"/>
      <c r="AI551" s="158"/>
      <c r="AJ551" s="158"/>
      <c r="AK551" s="133">
        <f>IFERROR(__xludf.DUMMYFUNCTION("""COMPUTED_VALUE"""),4.0)</f>
        <v>4</v>
      </c>
      <c r="AL551" s="133">
        <f>IFERROR(__xludf.DUMMYFUNCTION("""COMPUTED_VALUE"""),2.0)</f>
        <v>2</v>
      </c>
      <c r="AM551" s="133">
        <f>IFERROR(__xludf.DUMMYFUNCTION("""COMPUTED_VALUE"""),3.0)</f>
        <v>3</v>
      </c>
      <c r="AN551" s="133" t="str">
        <f>IFERROR(__xludf.DUMMYFUNCTION("""COMPUTED_VALUE"""),"3")</f>
        <v>3</v>
      </c>
      <c r="AO551" s="133">
        <f>IFERROR(__xludf.DUMMYFUNCTION("""COMPUTED_VALUE"""),3.0)</f>
        <v>3</v>
      </c>
      <c r="AP551" s="155" t="s">
        <v>3780</v>
      </c>
    </row>
    <row r="552">
      <c r="A552" s="155">
        <f>IFERROR(__xludf.DUMMYFUNCTION("""COMPUTED_VALUE"""),31.0)</f>
        <v>31</v>
      </c>
      <c r="B552" s="155" t="str">
        <f>IFERROR(__xludf.DUMMYFUNCTION("""COMPUTED_VALUE"""),"dimn23aiml@cmrit.ac.in")</f>
        <v>dimn23aiml@cmrit.ac.in</v>
      </c>
      <c r="C552" s="174" t="str">
        <f>IFERROR(__xludf.DUMMYFUNCTION("""COMPUTED_VALUE"""),"DILEEP M N")</f>
        <v>DILEEP M N</v>
      </c>
      <c r="D552" s="155" t="str">
        <f>IFERROR(__xludf.DUMMYFUNCTION("""COMPUTED_VALUE"""),"1CR23AI032")</f>
        <v>1CR23AI032</v>
      </c>
      <c r="E552" s="563">
        <f>IFERROR(__xludf.DUMMYFUNCTION("""COMPUTED_VALUE"""),7.76046644E9)</f>
        <v>7760466440</v>
      </c>
      <c r="F552" s="155" t="str">
        <f>IFERROR(__xludf.DUMMYFUNCTION("""COMPUTED_VALUE"""),"AIML")</f>
        <v>AIML</v>
      </c>
      <c r="G552" s="158"/>
      <c r="H552" s="559">
        <f>IFERROR(__xludf.DUMMYFUNCTION("""COMPUTED_VALUE"""),70.0)</f>
        <v>70</v>
      </c>
      <c r="I552" s="559">
        <f>IFERROR(__xludf.DUMMYFUNCTION("""COMPUTED_VALUE"""),70.0)</f>
        <v>70</v>
      </c>
      <c r="J552" s="559">
        <f>IFERROR(__xludf.DUMMYFUNCTION("""COMPUTED_VALUE"""),72.0)</f>
        <v>72</v>
      </c>
      <c r="K552" s="559">
        <f>IFERROR(__xludf.DUMMYFUNCTION("""COMPUTED_VALUE"""),70.0)</f>
        <v>70</v>
      </c>
      <c r="L552" s="560">
        <f>IFERROR(__xludf.DUMMYFUNCTION("""COMPUTED_VALUE"""),50.0)</f>
        <v>50</v>
      </c>
      <c r="M552" s="561">
        <f>IFERROR(__xludf.DUMMYFUNCTION("""COMPUTED_VALUE"""),42.0)</f>
        <v>42</v>
      </c>
      <c r="N552" s="561">
        <f>IFERROR(__xludf.DUMMYFUNCTION("""COMPUTED_VALUE"""),64.0)</f>
        <v>64</v>
      </c>
      <c r="O552" s="560"/>
      <c r="P552" s="562">
        <f>IFERROR(__xludf.DUMMYFUNCTION("""COMPUTED_VALUE"""),70.0)</f>
        <v>70</v>
      </c>
      <c r="Q552" s="562">
        <f>IFERROR(__xludf.DUMMYFUNCTION("""COMPUTED_VALUE"""),50.0)</f>
        <v>50</v>
      </c>
      <c r="R552" s="562">
        <f>IFERROR(__xludf.DUMMYFUNCTION("""COMPUTED_VALUE"""),80.0)</f>
        <v>80</v>
      </c>
      <c r="S552" s="562"/>
      <c r="T552" s="217">
        <f>IFERROR(__xludf.DUMMYFUNCTION("""COMPUTED_VALUE"""),21.0)</f>
        <v>21</v>
      </c>
      <c r="U552" s="217">
        <f>IFERROR(__xludf.DUMMYFUNCTION("""COMPUTED_VALUE"""),23.0)</f>
        <v>23</v>
      </c>
      <c r="V552" s="217">
        <f>IFERROR(__xludf.DUMMYFUNCTION("""COMPUTED_VALUE"""),84.0)</f>
        <v>84</v>
      </c>
      <c r="W552" s="217">
        <f>IFERROR(__xludf.DUMMYFUNCTION("""COMPUTED_VALUE"""),86.0)</f>
        <v>86</v>
      </c>
      <c r="X552" s="217">
        <f>IFERROR(__xludf.DUMMYFUNCTION("""COMPUTED_VALUE"""),82.0)</f>
        <v>82</v>
      </c>
      <c r="Y552" s="217"/>
      <c r="Z552" s="217"/>
      <c r="AA552" s="481">
        <f>IFERROR(__xludf.DUMMYFUNCTION("""COMPUTED_VALUE"""),18.0)</f>
        <v>18</v>
      </c>
      <c r="AB552" s="481">
        <f>IFERROR(__xludf.DUMMYFUNCTION("""COMPUTED_VALUE"""),53.0)</f>
        <v>53</v>
      </c>
      <c r="AC552" s="481">
        <f>IFERROR(__xludf.DUMMYFUNCTION("""COMPUTED_VALUE"""),72.0)</f>
        <v>72</v>
      </c>
      <c r="AD552" s="481">
        <f>IFERROR(__xludf.DUMMYFUNCTION("""COMPUTED_VALUE"""),60.0)</f>
        <v>60</v>
      </c>
      <c r="AE552" s="481">
        <f>IFERROR(__xludf.DUMMYFUNCTION("""COMPUTED_VALUE"""),70.0)</f>
        <v>70</v>
      </c>
      <c r="AF552" s="481"/>
      <c r="AG552" s="481">
        <f>IFERROR(__xludf.DUMMYFUNCTION("""COMPUTED_VALUE"""),31.0)</f>
        <v>31</v>
      </c>
      <c r="AH552" s="481"/>
      <c r="AI552" s="158"/>
      <c r="AJ552" s="158"/>
      <c r="AK552" s="133">
        <f>IFERROR(__xludf.DUMMYFUNCTION("""COMPUTED_VALUE"""),4.0)</f>
        <v>4</v>
      </c>
      <c r="AL552" s="133">
        <f>IFERROR(__xludf.DUMMYFUNCTION("""COMPUTED_VALUE"""),1.0)</f>
        <v>1</v>
      </c>
      <c r="AM552" s="133">
        <f>IFERROR(__xludf.DUMMYFUNCTION("""COMPUTED_VALUE"""),3.0)</f>
        <v>3</v>
      </c>
      <c r="AN552" s="133" t="str">
        <f>IFERROR(__xludf.DUMMYFUNCTION("""COMPUTED_VALUE"""),"3.5")</f>
        <v>3.5</v>
      </c>
      <c r="AO552" s="133">
        <f>IFERROR(__xludf.DUMMYFUNCTION("""COMPUTED_VALUE"""),3.0)</f>
        <v>3</v>
      </c>
      <c r="AP552" s="155" t="s">
        <v>3780</v>
      </c>
    </row>
    <row r="553">
      <c r="A553" s="155">
        <f>IFERROR(__xludf.DUMMYFUNCTION("""COMPUTED_VALUE"""),32.0)</f>
        <v>32</v>
      </c>
      <c r="B553" s="155" t="str">
        <f>IFERROR(__xludf.DUMMYFUNCTION("""COMPUTED_VALUE"""),"dis23aiml@cmrit.ac.in")</f>
        <v>dis23aiml@cmrit.ac.in</v>
      </c>
      <c r="C553" s="174" t="str">
        <f>IFERROR(__xludf.DUMMYFUNCTION("""COMPUTED_VALUE"""),"DINAKAR.S")</f>
        <v>DINAKAR.S</v>
      </c>
      <c r="D553" s="155" t="str">
        <f>IFERROR(__xludf.DUMMYFUNCTION("""COMPUTED_VALUE"""),"1CR23AI033")</f>
        <v>1CR23AI033</v>
      </c>
      <c r="E553" s="563">
        <f>IFERROR(__xludf.DUMMYFUNCTION("""COMPUTED_VALUE"""),9.380278563E9)</f>
        <v>9380278563</v>
      </c>
      <c r="F553" s="155" t="str">
        <f>IFERROR(__xludf.DUMMYFUNCTION("""COMPUTED_VALUE"""),"AIML")</f>
        <v>AIML</v>
      </c>
      <c r="G553" s="158"/>
      <c r="H553" s="559">
        <f>IFERROR(__xludf.DUMMYFUNCTION("""COMPUTED_VALUE"""),71.0)</f>
        <v>71</v>
      </c>
      <c r="I553" s="559">
        <f>IFERROR(__xludf.DUMMYFUNCTION("""COMPUTED_VALUE"""),77.0)</f>
        <v>77</v>
      </c>
      <c r="J553" s="559">
        <f>IFERROR(__xludf.DUMMYFUNCTION("""COMPUTED_VALUE"""),70.0)</f>
        <v>70</v>
      </c>
      <c r="K553" s="559">
        <f>IFERROR(__xludf.DUMMYFUNCTION("""COMPUTED_VALUE"""),70.0)</f>
        <v>70</v>
      </c>
      <c r="L553" s="560">
        <f>IFERROR(__xludf.DUMMYFUNCTION("""COMPUTED_VALUE"""),50.0)</f>
        <v>50</v>
      </c>
      <c r="M553" s="561">
        <f>IFERROR(__xludf.DUMMYFUNCTION("""COMPUTED_VALUE"""),50.0)</f>
        <v>50</v>
      </c>
      <c r="N553" s="561">
        <f>IFERROR(__xludf.DUMMYFUNCTION("""COMPUTED_VALUE"""),67.0)</f>
        <v>67</v>
      </c>
      <c r="O553" s="560"/>
      <c r="P553" s="562">
        <f>IFERROR(__xludf.DUMMYFUNCTION("""COMPUTED_VALUE"""),50.0)</f>
        <v>50</v>
      </c>
      <c r="Q553" s="562">
        <f>IFERROR(__xludf.DUMMYFUNCTION("""COMPUTED_VALUE"""),50.0)</f>
        <v>50</v>
      </c>
      <c r="R553" s="562">
        <f>IFERROR(__xludf.DUMMYFUNCTION("""COMPUTED_VALUE"""),68.0)</f>
        <v>68</v>
      </c>
      <c r="S553" s="562"/>
      <c r="T553" s="217">
        <f>IFERROR(__xludf.DUMMYFUNCTION("""COMPUTED_VALUE"""),19.0)</f>
        <v>19</v>
      </c>
      <c r="U553" s="217">
        <f>IFERROR(__xludf.DUMMYFUNCTION("""COMPUTED_VALUE"""),16.0)</f>
        <v>16</v>
      </c>
      <c r="V553" s="217">
        <f>IFERROR(__xludf.DUMMYFUNCTION("""COMPUTED_VALUE"""),82.0)</f>
        <v>82</v>
      </c>
      <c r="W553" s="217">
        <f>IFERROR(__xludf.DUMMYFUNCTION("""COMPUTED_VALUE"""),84.0)</f>
        <v>84</v>
      </c>
      <c r="X553" s="217">
        <f>IFERROR(__xludf.DUMMYFUNCTION("""COMPUTED_VALUE"""),80.0)</f>
        <v>80</v>
      </c>
      <c r="Y553" s="217"/>
      <c r="Z553" s="217"/>
      <c r="AA553" s="481">
        <f>IFERROR(__xludf.DUMMYFUNCTION("""COMPUTED_VALUE"""),20.0)</f>
        <v>20</v>
      </c>
      <c r="AB553" s="481">
        <f>IFERROR(__xludf.DUMMYFUNCTION("""COMPUTED_VALUE"""),87.0)</f>
        <v>87</v>
      </c>
      <c r="AC553" s="481">
        <f>IFERROR(__xludf.DUMMYFUNCTION("""COMPUTED_VALUE"""),54.0)</f>
        <v>54</v>
      </c>
      <c r="AD553" s="481">
        <f>IFERROR(__xludf.DUMMYFUNCTION("""COMPUTED_VALUE"""),60.0)</f>
        <v>60</v>
      </c>
      <c r="AE553" s="481">
        <f>IFERROR(__xludf.DUMMYFUNCTION("""COMPUTED_VALUE"""),60.0)</f>
        <v>60</v>
      </c>
      <c r="AF553" s="481"/>
      <c r="AG553" s="481">
        <f>IFERROR(__xludf.DUMMYFUNCTION("""COMPUTED_VALUE"""),38.0)</f>
        <v>38</v>
      </c>
      <c r="AH553" s="481"/>
      <c r="AI553" s="158"/>
      <c r="AJ553" s="158"/>
      <c r="AK553" s="133">
        <f>IFERROR(__xludf.DUMMYFUNCTION("""COMPUTED_VALUE"""),4.0)</f>
        <v>4</v>
      </c>
      <c r="AL553" s="133">
        <f>IFERROR(__xludf.DUMMYFUNCTION("""COMPUTED_VALUE"""),3.0)</f>
        <v>3</v>
      </c>
      <c r="AM553" s="133">
        <f>IFERROR(__xludf.DUMMYFUNCTION("""COMPUTED_VALUE"""),3.0)</f>
        <v>3</v>
      </c>
      <c r="AN553" s="133" t="str">
        <f>IFERROR(__xludf.DUMMYFUNCTION("""COMPUTED_VALUE"""),"3")</f>
        <v>3</v>
      </c>
      <c r="AO553" s="133">
        <f>IFERROR(__xludf.DUMMYFUNCTION("""COMPUTED_VALUE"""),3.0)</f>
        <v>3</v>
      </c>
      <c r="AP553" s="155" t="s">
        <v>3780</v>
      </c>
    </row>
    <row r="554">
      <c r="A554" s="155">
        <f>IFERROR(__xludf.DUMMYFUNCTION("""COMPUTED_VALUE"""),33.0)</f>
        <v>33</v>
      </c>
      <c r="B554" s="155" t="str">
        <f>IFERROR(__xludf.DUMMYFUNCTION("""COMPUTED_VALUE"""),"fra23aiml@cmrit.ac.in")</f>
        <v>fra23aiml@cmrit.ac.in</v>
      </c>
      <c r="C554" s="174" t="str">
        <f>IFERROR(__xludf.DUMMYFUNCTION("""COMPUTED_VALUE"""),"F RAIHAN")</f>
        <v>F RAIHAN</v>
      </c>
      <c r="D554" s="155" t="str">
        <f>IFERROR(__xludf.DUMMYFUNCTION("""COMPUTED_VALUE"""),"1CR23AI034")</f>
        <v>1CR23AI034</v>
      </c>
      <c r="E554" s="563">
        <f>IFERROR(__xludf.DUMMYFUNCTION("""COMPUTED_VALUE"""),8.971024075E9)</f>
        <v>8971024075</v>
      </c>
      <c r="F554" s="155" t="str">
        <f>IFERROR(__xludf.DUMMYFUNCTION("""COMPUTED_VALUE"""),"AIML")</f>
        <v>AIML</v>
      </c>
      <c r="G554" s="158"/>
      <c r="H554" s="559">
        <f>IFERROR(__xludf.DUMMYFUNCTION("""COMPUTED_VALUE"""),74.0)</f>
        <v>74</v>
      </c>
      <c r="I554" s="559">
        <f>IFERROR(__xludf.DUMMYFUNCTION("""COMPUTED_VALUE"""),91.0)</f>
        <v>91</v>
      </c>
      <c r="J554" s="559">
        <f>IFERROR(__xludf.DUMMYFUNCTION("""COMPUTED_VALUE"""),31.0)</f>
        <v>31</v>
      </c>
      <c r="K554" s="559">
        <f>IFERROR(__xludf.DUMMYFUNCTION("""COMPUTED_VALUE"""),41.0)</f>
        <v>41</v>
      </c>
      <c r="L554" s="560">
        <f>IFERROR(__xludf.DUMMYFUNCTION("""COMPUTED_VALUE"""),2.0)</f>
        <v>2</v>
      </c>
      <c r="M554" s="561">
        <f>IFERROR(__xludf.DUMMYFUNCTION("""COMPUTED_VALUE"""),6.0)</f>
        <v>6</v>
      </c>
      <c r="N554" s="561">
        <f>IFERROR(__xludf.DUMMYFUNCTION("""COMPUTED_VALUE"""),0.0)</f>
        <v>0</v>
      </c>
      <c r="O554" s="560"/>
      <c r="P554" s="562">
        <f>IFERROR(__xludf.DUMMYFUNCTION("""COMPUTED_VALUE"""),83.0)</f>
        <v>83</v>
      </c>
      <c r="Q554" s="562">
        <f>IFERROR(__xludf.DUMMYFUNCTION("""COMPUTED_VALUE"""),0.0)</f>
        <v>0</v>
      </c>
      <c r="R554" s="562">
        <f>IFERROR(__xludf.DUMMYFUNCTION("""COMPUTED_VALUE"""),0.0)</f>
        <v>0</v>
      </c>
      <c r="S554" s="562"/>
      <c r="T554" s="217">
        <f>IFERROR(__xludf.DUMMYFUNCTION("""COMPUTED_VALUE"""),10.0)</f>
        <v>10</v>
      </c>
      <c r="U554" s="217">
        <f>IFERROR(__xludf.DUMMYFUNCTION("""COMPUTED_VALUE"""),13.0)</f>
        <v>13</v>
      </c>
      <c r="V554" s="217">
        <f>IFERROR(__xludf.DUMMYFUNCTION("""COMPUTED_VALUE"""),82.0)</f>
        <v>82</v>
      </c>
      <c r="W554" s="217">
        <f>IFERROR(__xludf.DUMMYFUNCTION("""COMPUTED_VALUE"""),0.0)</f>
        <v>0</v>
      </c>
      <c r="X554" s="217">
        <f>IFERROR(__xludf.DUMMYFUNCTION("""COMPUTED_VALUE"""),72.0)</f>
        <v>72</v>
      </c>
      <c r="Y554" s="217"/>
      <c r="Z554" s="217"/>
      <c r="AA554" s="481">
        <f>IFERROR(__xludf.DUMMYFUNCTION("""COMPUTED_VALUE"""),0.0)</f>
        <v>0</v>
      </c>
      <c r="AB554" s="481">
        <f>IFERROR(__xludf.DUMMYFUNCTION("""COMPUTED_VALUE"""),72.0)</f>
        <v>72</v>
      </c>
      <c r="AC554" s="481">
        <f>IFERROR(__xludf.DUMMYFUNCTION("""COMPUTED_VALUE"""),0.0)</f>
        <v>0</v>
      </c>
      <c r="AD554" s="481">
        <f>IFERROR(__xludf.DUMMYFUNCTION("""COMPUTED_VALUE"""),0.0)</f>
        <v>0</v>
      </c>
      <c r="AE554" s="481">
        <f>IFERROR(__xludf.DUMMYFUNCTION("""COMPUTED_VALUE"""),10.0)</f>
        <v>10</v>
      </c>
      <c r="AF554" s="481"/>
      <c r="AG554" s="481">
        <f>IFERROR(__xludf.DUMMYFUNCTION("""COMPUTED_VALUE"""),0.0)</f>
        <v>0</v>
      </c>
      <c r="AH554" s="481"/>
      <c r="AI554" s="158"/>
      <c r="AJ554" s="158"/>
      <c r="AK554" s="133">
        <f>IFERROR(__xludf.DUMMYFUNCTION("""COMPUTED_VALUE"""),2.0)</f>
        <v>2</v>
      </c>
      <c r="AL554" s="133">
        <f>IFERROR(__xludf.DUMMYFUNCTION("""COMPUTED_VALUE"""),0.0)</f>
        <v>0</v>
      </c>
      <c r="AM554" s="133">
        <f>IFERROR(__xludf.DUMMYFUNCTION("""COMPUTED_VALUE"""),2.0)</f>
        <v>2</v>
      </c>
      <c r="AN554" s="133" t="str">
        <f>IFERROR(__xludf.DUMMYFUNCTION("""COMPUTED_VALUE"""),"2")</f>
        <v>2</v>
      </c>
      <c r="AO554" s="133">
        <f>IFERROR(__xludf.DUMMYFUNCTION("""COMPUTED_VALUE"""),1.0)</f>
        <v>1</v>
      </c>
      <c r="AP554" s="155" t="s">
        <v>3780</v>
      </c>
    </row>
    <row r="555">
      <c r="A555" s="155">
        <f>IFERROR(__xludf.DUMMYFUNCTION("""COMPUTED_VALUE"""),34.0)</f>
        <v>34</v>
      </c>
      <c r="B555" s="155" t="str">
        <f>IFERROR(__xludf.DUMMYFUNCTION("""COMPUTED_VALUE"""),"gpr23aiml@cmrit.ac.in")</f>
        <v>gpr23aiml@cmrit.ac.in</v>
      </c>
      <c r="C555" s="174" t="str">
        <f>IFERROR(__xludf.DUMMYFUNCTION("""COMPUTED_VALUE"""),"G Prajwal Reddy")</f>
        <v>G Prajwal Reddy</v>
      </c>
      <c r="D555" s="155" t="str">
        <f>IFERROR(__xludf.DUMMYFUNCTION("""COMPUTED_VALUE"""),"1CR23AI035")</f>
        <v>1CR23AI035</v>
      </c>
      <c r="E555" s="563">
        <f>IFERROR(__xludf.DUMMYFUNCTION("""COMPUTED_VALUE"""),8.904306171E9)</f>
        <v>8904306171</v>
      </c>
      <c r="F555" s="155" t="str">
        <f>IFERROR(__xludf.DUMMYFUNCTION("""COMPUTED_VALUE"""),"AIML")</f>
        <v>AIML</v>
      </c>
      <c r="G555" s="158"/>
      <c r="H555" s="559">
        <f>IFERROR(__xludf.DUMMYFUNCTION("""COMPUTED_VALUE"""),70.0)</f>
        <v>70</v>
      </c>
      <c r="I555" s="559">
        <f>IFERROR(__xludf.DUMMYFUNCTION("""COMPUTED_VALUE"""),77.0)</f>
        <v>77</v>
      </c>
      <c r="J555" s="559">
        <f>IFERROR(__xludf.DUMMYFUNCTION("""COMPUTED_VALUE"""),48.0)</f>
        <v>48</v>
      </c>
      <c r="K555" s="559">
        <f>IFERROR(__xludf.DUMMYFUNCTION("""COMPUTED_VALUE"""),70.0)</f>
        <v>70</v>
      </c>
      <c r="L555" s="560">
        <f>IFERROR(__xludf.DUMMYFUNCTION("""COMPUTED_VALUE"""),50.0)</f>
        <v>50</v>
      </c>
      <c r="M555" s="561">
        <f>IFERROR(__xludf.DUMMYFUNCTION("""COMPUTED_VALUE"""),0.0)</f>
        <v>0</v>
      </c>
      <c r="N555" s="561">
        <f>IFERROR(__xludf.DUMMYFUNCTION("""COMPUTED_VALUE"""),0.0)</f>
        <v>0</v>
      </c>
      <c r="O555" s="560"/>
      <c r="P555" s="562">
        <f>IFERROR(__xludf.DUMMYFUNCTION("""COMPUTED_VALUE"""),0.0)</f>
        <v>0</v>
      </c>
      <c r="Q555" s="562">
        <f>IFERROR(__xludf.DUMMYFUNCTION("""COMPUTED_VALUE"""),0.0)</f>
        <v>0</v>
      </c>
      <c r="R555" s="562">
        <f>IFERROR(__xludf.DUMMYFUNCTION("""COMPUTED_VALUE"""),0.0)</f>
        <v>0</v>
      </c>
      <c r="S555" s="562"/>
      <c r="T555" s="217">
        <f>IFERROR(__xludf.DUMMYFUNCTION("""COMPUTED_VALUE"""),16.0)</f>
        <v>16</v>
      </c>
      <c r="U555" s="217">
        <f>IFERROR(__xludf.DUMMYFUNCTION("""COMPUTED_VALUE"""),24.0)</f>
        <v>24</v>
      </c>
      <c r="V555" s="217">
        <f>IFERROR(__xludf.DUMMYFUNCTION("""COMPUTED_VALUE"""),0.0)</f>
        <v>0</v>
      </c>
      <c r="W555" s="217">
        <f>IFERROR(__xludf.DUMMYFUNCTION("""COMPUTED_VALUE"""),0.0)</f>
        <v>0</v>
      </c>
      <c r="X555" s="217"/>
      <c r="Y555" s="217"/>
      <c r="Z555" s="217"/>
      <c r="AA555" s="481">
        <f>IFERROR(__xludf.DUMMYFUNCTION("""COMPUTED_VALUE"""),0.0)</f>
        <v>0</v>
      </c>
      <c r="AB555" s="481">
        <f>IFERROR(__xludf.DUMMYFUNCTION("""COMPUTED_VALUE"""),0.0)</f>
        <v>0</v>
      </c>
      <c r="AC555" s="481">
        <f>IFERROR(__xludf.DUMMYFUNCTION("""COMPUTED_VALUE"""),100.0)</f>
        <v>100</v>
      </c>
      <c r="AD555" s="481">
        <f>IFERROR(__xludf.DUMMYFUNCTION("""COMPUTED_VALUE"""),3.0)</f>
        <v>3</v>
      </c>
      <c r="AE555" s="481">
        <f>IFERROR(__xludf.DUMMYFUNCTION("""COMPUTED_VALUE"""),10.0)</f>
        <v>10</v>
      </c>
      <c r="AF555" s="481"/>
      <c r="AG555" s="481">
        <f>IFERROR(__xludf.DUMMYFUNCTION("""COMPUTED_VALUE"""),15.0)</f>
        <v>15</v>
      </c>
      <c r="AH555" s="481"/>
      <c r="AI555" s="158"/>
      <c r="AJ555" s="158"/>
      <c r="AK555" s="133">
        <f>IFERROR(__xludf.DUMMYFUNCTION("""COMPUTED_VALUE"""),2.0)</f>
        <v>2</v>
      </c>
      <c r="AL555" s="133">
        <f>IFERROR(__xludf.DUMMYFUNCTION("""COMPUTED_VALUE"""),1.0)</f>
        <v>1</v>
      </c>
      <c r="AM555" s="133">
        <f>IFERROR(__xludf.DUMMYFUNCTION("""COMPUTED_VALUE"""),2.0)</f>
        <v>2</v>
      </c>
      <c r="AN555" s="133" t="str">
        <f>IFERROR(__xludf.DUMMYFUNCTION("""COMPUTED_VALUE"""),"0")</f>
        <v>0</v>
      </c>
      <c r="AO555" s="133">
        <f>IFERROR(__xludf.DUMMYFUNCTION("""COMPUTED_VALUE"""),0.0)</f>
        <v>0</v>
      </c>
      <c r="AP555" s="155" t="s">
        <v>3780</v>
      </c>
    </row>
    <row r="556">
      <c r="A556" s="155">
        <f>IFERROR(__xludf.DUMMYFUNCTION("""COMPUTED_VALUE"""),35.0)</f>
        <v>35</v>
      </c>
      <c r="B556" s="155" t="str">
        <f>IFERROR(__xludf.DUMMYFUNCTION("""COMPUTED_VALUE"""),"gak23aiml@cmrit.ac.in")</f>
        <v>gak23aiml@cmrit.ac.in</v>
      </c>
      <c r="C556" s="174" t="str">
        <f>IFERROR(__xludf.DUMMYFUNCTION("""COMPUTED_VALUE"""),"GAGAN.K")</f>
        <v>GAGAN.K</v>
      </c>
      <c r="D556" s="155" t="str">
        <f>IFERROR(__xludf.DUMMYFUNCTION("""COMPUTED_VALUE"""),"1CR23AI036")</f>
        <v>1CR23AI036</v>
      </c>
      <c r="E556" s="563">
        <f>IFERROR(__xludf.DUMMYFUNCTION("""COMPUTED_VALUE"""),8.904019782E9)</f>
        <v>8904019782</v>
      </c>
      <c r="F556" s="155" t="str">
        <f>IFERROR(__xludf.DUMMYFUNCTION("""COMPUTED_VALUE"""),"AIML")</f>
        <v>AIML</v>
      </c>
      <c r="G556" s="158"/>
      <c r="H556" s="559">
        <f>IFERROR(__xludf.DUMMYFUNCTION("""COMPUTED_VALUE"""),70.0)</f>
        <v>70</v>
      </c>
      <c r="I556" s="559">
        <f>IFERROR(__xludf.DUMMYFUNCTION("""COMPUTED_VALUE"""),72.0)</f>
        <v>72</v>
      </c>
      <c r="J556" s="559">
        <f>IFERROR(__xludf.DUMMYFUNCTION("""COMPUTED_VALUE"""),70.0)</f>
        <v>70</v>
      </c>
      <c r="K556" s="559">
        <f>IFERROR(__xludf.DUMMYFUNCTION("""COMPUTED_VALUE"""),70.0)</f>
        <v>70</v>
      </c>
      <c r="L556" s="560">
        <f>IFERROR(__xludf.DUMMYFUNCTION("""COMPUTED_VALUE"""),50.0)</f>
        <v>50</v>
      </c>
      <c r="M556" s="561">
        <f>IFERROR(__xludf.DUMMYFUNCTION("""COMPUTED_VALUE"""),50.0)</f>
        <v>50</v>
      </c>
      <c r="N556" s="561">
        <f>IFERROR(__xludf.DUMMYFUNCTION("""COMPUTED_VALUE"""),14.0)</f>
        <v>14</v>
      </c>
      <c r="O556" s="560"/>
      <c r="P556" s="562">
        <f>IFERROR(__xludf.DUMMYFUNCTION("""COMPUTED_VALUE"""),74.0)</f>
        <v>74</v>
      </c>
      <c r="Q556" s="562">
        <f>IFERROR(__xludf.DUMMYFUNCTION("""COMPUTED_VALUE"""),50.0)</f>
        <v>50</v>
      </c>
      <c r="R556" s="562">
        <f>IFERROR(__xludf.DUMMYFUNCTION("""COMPUTED_VALUE"""),0.0)</f>
        <v>0</v>
      </c>
      <c r="S556" s="562"/>
      <c r="T556" s="217">
        <f>IFERROR(__xludf.DUMMYFUNCTION("""COMPUTED_VALUE"""),19.0)</f>
        <v>19</v>
      </c>
      <c r="U556" s="217">
        <f>IFERROR(__xludf.DUMMYFUNCTION("""COMPUTED_VALUE"""),16.0)</f>
        <v>16</v>
      </c>
      <c r="V556" s="217">
        <f>IFERROR(__xludf.DUMMYFUNCTION("""COMPUTED_VALUE"""),90.0)</f>
        <v>90</v>
      </c>
      <c r="W556" s="217">
        <f>IFERROR(__xludf.DUMMYFUNCTION("""COMPUTED_VALUE"""),86.0)</f>
        <v>86</v>
      </c>
      <c r="X556" s="217">
        <f>IFERROR(__xludf.DUMMYFUNCTION("""COMPUTED_VALUE"""),78.0)</f>
        <v>78</v>
      </c>
      <c r="Y556" s="217"/>
      <c r="Z556" s="217"/>
      <c r="AA556" s="481">
        <f>IFERROR(__xludf.DUMMYFUNCTION("""COMPUTED_VALUE"""),16.0)</f>
        <v>16</v>
      </c>
      <c r="AB556" s="481">
        <f>IFERROR(__xludf.DUMMYFUNCTION("""COMPUTED_VALUE"""),12.0)</f>
        <v>12</v>
      </c>
      <c r="AC556" s="481">
        <f>IFERROR(__xludf.DUMMYFUNCTION("""COMPUTED_VALUE"""),63.0)</f>
        <v>63</v>
      </c>
      <c r="AD556" s="481">
        <f>IFERROR(__xludf.DUMMYFUNCTION("""COMPUTED_VALUE"""),60.0)</f>
        <v>60</v>
      </c>
      <c r="AE556" s="481">
        <f>IFERROR(__xludf.DUMMYFUNCTION("""COMPUTED_VALUE"""),45.0)</f>
        <v>45</v>
      </c>
      <c r="AF556" s="481"/>
      <c r="AG556" s="481">
        <f>IFERROR(__xludf.DUMMYFUNCTION("""COMPUTED_VALUE"""),34.0)</f>
        <v>34</v>
      </c>
      <c r="AH556" s="481"/>
      <c r="AI556" s="158"/>
      <c r="AJ556" s="158"/>
      <c r="AK556" s="133">
        <f>IFERROR(__xludf.DUMMYFUNCTION("""COMPUTED_VALUE"""),4.0)</f>
        <v>4</v>
      </c>
      <c r="AL556" s="133">
        <f>IFERROR(__xludf.DUMMYFUNCTION("""COMPUTED_VALUE"""),2.0)</f>
        <v>2</v>
      </c>
      <c r="AM556" s="133">
        <f>IFERROR(__xludf.DUMMYFUNCTION("""COMPUTED_VALUE"""),3.0)</f>
        <v>3</v>
      </c>
      <c r="AN556" s="133" t="str">
        <f>IFERROR(__xludf.DUMMYFUNCTION("""COMPUTED_VALUE"""),"0")</f>
        <v>0</v>
      </c>
      <c r="AO556" s="133">
        <f>IFERROR(__xludf.DUMMYFUNCTION("""COMPUTED_VALUE"""),2.0)</f>
        <v>2</v>
      </c>
      <c r="AP556" s="155" t="s">
        <v>3780</v>
      </c>
    </row>
    <row r="557">
      <c r="A557" s="155">
        <f>IFERROR(__xludf.DUMMYFUNCTION("""COMPUTED_VALUE"""),36.0)</f>
        <v>36</v>
      </c>
      <c r="B557" s="155" t="str">
        <f>IFERROR(__xludf.DUMMYFUNCTION("""COMPUTED_VALUE"""),"gosh23aiml@cmrit.ac.in")</f>
        <v>gosh23aiml@cmrit.ac.in</v>
      </c>
      <c r="C557" s="174" t="str">
        <f>IFERROR(__xludf.DUMMYFUNCTION("""COMPUTED_VALUE"""),"GOVIND SHARMA")</f>
        <v>GOVIND SHARMA</v>
      </c>
      <c r="D557" s="155" t="str">
        <f>IFERROR(__xludf.DUMMYFUNCTION("""COMPUTED_VALUE"""),"1CR23AI037")</f>
        <v>1CR23AI037</v>
      </c>
      <c r="E557" s="563">
        <f>IFERROR(__xludf.DUMMYFUNCTION("""COMPUTED_VALUE"""),9.110810747E9)</f>
        <v>9110810747</v>
      </c>
      <c r="F557" s="155" t="str">
        <f>IFERROR(__xludf.DUMMYFUNCTION("""COMPUTED_VALUE"""),"AIML")</f>
        <v>AIML</v>
      </c>
      <c r="G557" s="158"/>
      <c r="H557" s="559">
        <f>IFERROR(__xludf.DUMMYFUNCTION("""COMPUTED_VALUE"""),78.0)</f>
        <v>78</v>
      </c>
      <c r="I557" s="559">
        <f>IFERROR(__xludf.DUMMYFUNCTION("""COMPUTED_VALUE"""),77.0)</f>
        <v>77</v>
      </c>
      <c r="J557" s="559">
        <f>IFERROR(__xludf.DUMMYFUNCTION("""COMPUTED_VALUE"""),56.0)</f>
        <v>56</v>
      </c>
      <c r="K557" s="559">
        <f>IFERROR(__xludf.DUMMYFUNCTION("""COMPUTED_VALUE"""),2.0)</f>
        <v>2</v>
      </c>
      <c r="L557" s="560">
        <f>IFERROR(__xludf.DUMMYFUNCTION("""COMPUTED_VALUE"""),21.0)</f>
        <v>21</v>
      </c>
      <c r="M557" s="561">
        <f>IFERROR(__xludf.DUMMYFUNCTION("""COMPUTED_VALUE"""),2.0)</f>
        <v>2</v>
      </c>
      <c r="N557" s="561">
        <f>IFERROR(__xludf.DUMMYFUNCTION("""COMPUTED_VALUE"""),0.0)</f>
        <v>0</v>
      </c>
      <c r="O557" s="560"/>
      <c r="P557" s="562">
        <f>IFERROR(__xludf.DUMMYFUNCTION("""COMPUTED_VALUE"""),77.0)</f>
        <v>77</v>
      </c>
      <c r="Q557" s="562">
        <f>IFERROR(__xludf.DUMMYFUNCTION("""COMPUTED_VALUE"""),0.0)</f>
        <v>0</v>
      </c>
      <c r="R557" s="562">
        <f>IFERROR(__xludf.DUMMYFUNCTION("""COMPUTED_VALUE"""),0.0)</f>
        <v>0</v>
      </c>
      <c r="S557" s="562"/>
      <c r="T557" s="217">
        <f>IFERROR(__xludf.DUMMYFUNCTION("""COMPUTED_VALUE"""),11.0)</f>
        <v>11</v>
      </c>
      <c r="U557" s="217">
        <f>IFERROR(__xludf.DUMMYFUNCTION("""COMPUTED_VALUE"""),22.0)</f>
        <v>22</v>
      </c>
      <c r="V557" s="217">
        <f>IFERROR(__xludf.DUMMYFUNCTION("""COMPUTED_VALUE"""),86.0)</f>
        <v>86</v>
      </c>
      <c r="W557" s="217">
        <f>IFERROR(__xludf.DUMMYFUNCTION("""COMPUTED_VALUE"""),0.0)</f>
        <v>0</v>
      </c>
      <c r="X557" s="217">
        <f>IFERROR(__xludf.DUMMYFUNCTION("""COMPUTED_VALUE"""),66.0)</f>
        <v>66</v>
      </c>
      <c r="Y557" s="217"/>
      <c r="Z557" s="217"/>
      <c r="AA557" s="481">
        <f>IFERROR(__xludf.DUMMYFUNCTION("""COMPUTED_VALUE"""),20.0)</f>
        <v>20</v>
      </c>
      <c r="AB557" s="481">
        <f>IFERROR(__xludf.DUMMYFUNCTION("""COMPUTED_VALUE"""),82.0)</f>
        <v>82</v>
      </c>
      <c r="AC557" s="481">
        <f>IFERROR(__xludf.DUMMYFUNCTION("""COMPUTED_VALUE"""),0.0)</f>
        <v>0</v>
      </c>
      <c r="AD557" s="481">
        <f>IFERROR(__xludf.DUMMYFUNCTION("""COMPUTED_VALUE"""),2.0)</f>
        <v>2</v>
      </c>
      <c r="AE557" s="481">
        <f>IFERROR(__xludf.DUMMYFUNCTION("""COMPUTED_VALUE"""),10.0)</f>
        <v>10</v>
      </c>
      <c r="AF557" s="481"/>
      <c r="AG557" s="481">
        <f>IFERROR(__xludf.DUMMYFUNCTION("""COMPUTED_VALUE"""),0.0)</f>
        <v>0</v>
      </c>
      <c r="AH557" s="481"/>
      <c r="AI557" s="158"/>
      <c r="AJ557" s="158"/>
      <c r="AK557" s="133">
        <f>IFERROR(__xludf.DUMMYFUNCTION("""COMPUTED_VALUE"""),2.0)</f>
        <v>2</v>
      </c>
      <c r="AL557" s="133">
        <f>IFERROR(__xludf.DUMMYFUNCTION("""COMPUTED_VALUE"""),0.0)</f>
        <v>0</v>
      </c>
      <c r="AM557" s="133">
        <f>IFERROR(__xludf.DUMMYFUNCTION("""COMPUTED_VALUE"""),2.0)</f>
        <v>2</v>
      </c>
      <c r="AN557" s="133" t="str">
        <f>IFERROR(__xludf.DUMMYFUNCTION("""COMPUTED_VALUE"""),"2")</f>
        <v>2</v>
      </c>
      <c r="AO557" s="133">
        <f>IFERROR(__xludf.DUMMYFUNCTION("""COMPUTED_VALUE"""),1.0)</f>
        <v>1</v>
      </c>
      <c r="AP557" s="155" t="s">
        <v>3780</v>
      </c>
    </row>
    <row r="558">
      <c r="A558" s="155">
        <f>IFERROR(__xludf.DUMMYFUNCTION("""COMPUTED_VALUE"""),37.0)</f>
        <v>37</v>
      </c>
      <c r="B558" s="155" t="str">
        <f>IFERROR(__xludf.DUMMYFUNCTION("""COMPUTED_VALUE"""),"harl23aiml@cmrit.ac.in")</f>
        <v>harl23aiml@cmrit.ac.in</v>
      </c>
      <c r="C558" s="174" t="str">
        <f>IFERROR(__xludf.DUMMYFUNCTION("""COMPUTED_VALUE"""),"Harikrishna RL")</f>
        <v>Harikrishna RL</v>
      </c>
      <c r="D558" s="155" t="str">
        <f>IFERROR(__xludf.DUMMYFUNCTION("""COMPUTED_VALUE"""),"1CR23AI038")</f>
        <v>1CR23AI038</v>
      </c>
      <c r="E558" s="563">
        <f>IFERROR(__xludf.DUMMYFUNCTION("""COMPUTED_VALUE"""),9.916766556E9)</f>
        <v>9916766556</v>
      </c>
      <c r="F558" s="155" t="str">
        <f>IFERROR(__xludf.DUMMYFUNCTION("""COMPUTED_VALUE"""),"AIML")</f>
        <v>AIML</v>
      </c>
      <c r="G558" s="158"/>
      <c r="H558" s="559">
        <f>IFERROR(__xludf.DUMMYFUNCTION("""COMPUTED_VALUE"""),75.0)</f>
        <v>75</v>
      </c>
      <c r="I558" s="559">
        <f>IFERROR(__xludf.DUMMYFUNCTION("""COMPUTED_VALUE"""),87.0)</f>
        <v>87</v>
      </c>
      <c r="J558" s="559">
        <f>IFERROR(__xludf.DUMMYFUNCTION("""COMPUTED_VALUE"""),77.0)</f>
        <v>77</v>
      </c>
      <c r="K558" s="559">
        <f>IFERROR(__xludf.DUMMYFUNCTION("""COMPUTED_VALUE"""),72.0)</f>
        <v>72</v>
      </c>
      <c r="L558" s="560">
        <f>IFERROR(__xludf.DUMMYFUNCTION("""COMPUTED_VALUE"""),50.0)</f>
        <v>50</v>
      </c>
      <c r="M558" s="561">
        <f>IFERROR(__xludf.DUMMYFUNCTION("""COMPUTED_VALUE"""),50.0)</f>
        <v>50</v>
      </c>
      <c r="N558" s="561">
        <f>IFERROR(__xludf.DUMMYFUNCTION("""COMPUTED_VALUE"""),54.0)</f>
        <v>54</v>
      </c>
      <c r="O558" s="560"/>
      <c r="P558" s="562">
        <f>IFERROR(__xludf.DUMMYFUNCTION("""COMPUTED_VALUE"""),50.0)</f>
        <v>50</v>
      </c>
      <c r="Q558" s="562">
        <f>IFERROR(__xludf.DUMMYFUNCTION("""COMPUTED_VALUE"""),73.0)</f>
        <v>73</v>
      </c>
      <c r="R558" s="562">
        <f>IFERROR(__xludf.DUMMYFUNCTION("""COMPUTED_VALUE"""),84.0)</f>
        <v>84</v>
      </c>
      <c r="S558" s="562"/>
      <c r="T558" s="217">
        <f>IFERROR(__xludf.DUMMYFUNCTION("""COMPUTED_VALUE"""),13.0)</f>
        <v>13</v>
      </c>
      <c r="U558" s="217">
        <f>IFERROR(__xludf.DUMMYFUNCTION("""COMPUTED_VALUE"""),23.0)</f>
        <v>23</v>
      </c>
      <c r="V558" s="217">
        <f>IFERROR(__xludf.DUMMYFUNCTION("""COMPUTED_VALUE"""),92.0)</f>
        <v>92</v>
      </c>
      <c r="W558" s="217">
        <f>IFERROR(__xludf.DUMMYFUNCTION("""COMPUTED_VALUE"""),84.0)</f>
        <v>84</v>
      </c>
      <c r="X558" s="217">
        <f>IFERROR(__xludf.DUMMYFUNCTION("""COMPUTED_VALUE"""),76.0)</f>
        <v>76</v>
      </c>
      <c r="Y558" s="217"/>
      <c r="Z558" s="217"/>
      <c r="AA558" s="481">
        <f>IFERROR(__xludf.DUMMYFUNCTION("""COMPUTED_VALUE"""),32.0)</f>
        <v>32</v>
      </c>
      <c r="AB558" s="481">
        <f>IFERROR(__xludf.DUMMYFUNCTION("""COMPUTED_VALUE"""),88.0)</f>
        <v>88</v>
      </c>
      <c r="AC558" s="481">
        <f>IFERROR(__xludf.DUMMYFUNCTION("""COMPUTED_VALUE"""),76.0)</f>
        <v>76</v>
      </c>
      <c r="AD558" s="481">
        <f>IFERROR(__xludf.DUMMYFUNCTION("""COMPUTED_VALUE"""),100.0)</f>
        <v>100</v>
      </c>
      <c r="AE558" s="481">
        <f>IFERROR(__xludf.DUMMYFUNCTION("""COMPUTED_VALUE"""),70.0)</f>
        <v>70</v>
      </c>
      <c r="AF558" s="481"/>
      <c r="AG558" s="481">
        <f>IFERROR(__xludf.DUMMYFUNCTION("""COMPUTED_VALUE"""),70.0)</f>
        <v>70</v>
      </c>
      <c r="AH558" s="481"/>
      <c r="AI558" s="158"/>
      <c r="AJ558" s="158"/>
      <c r="AK558" s="133">
        <f>IFERROR(__xludf.DUMMYFUNCTION("""COMPUTED_VALUE"""),4.0)</f>
        <v>4</v>
      </c>
      <c r="AL558" s="133">
        <f>IFERROR(__xludf.DUMMYFUNCTION("""COMPUTED_VALUE"""),3.0)</f>
        <v>3</v>
      </c>
      <c r="AM558" s="133">
        <f>IFERROR(__xludf.DUMMYFUNCTION("""COMPUTED_VALUE"""),3.0)</f>
        <v>3</v>
      </c>
      <c r="AN558" s="133" t="str">
        <f>IFERROR(__xludf.DUMMYFUNCTION("""COMPUTED_VALUE"""),"3.5")</f>
        <v>3.5</v>
      </c>
      <c r="AO558" s="133">
        <f>IFERROR(__xludf.DUMMYFUNCTION("""COMPUTED_VALUE"""),3.0)</f>
        <v>3</v>
      </c>
      <c r="AP558" s="155" t="s">
        <v>3780</v>
      </c>
    </row>
    <row r="559">
      <c r="A559" s="155">
        <f>IFERROR(__xludf.DUMMYFUNCTION("""COMPUTED_VALUE"""),38.0)</f>
        <v>38</v>
      </c>
      <c r="B559" s="155" t="str">
        <f>IFERROR(__xludf.DUMMYFUNCTION("""COMPUTED_VALUE"""),"hara23aiml@cmrit.ac.in")</f>
        <v>hara23aiml@cmrit.ac.in</v>
      </c>
      <c r="C559" s="174" t="str">
        <f>IFERROR(__xludf.DUMMYFUNCTION("""COMPUTED_VALUE"""),"HARSH VARDHAN RAJ")</f>
        <v>HARSH VARDHAN RAJ</v>
      </c>
      <c r="D559" s="155" t="str">
        <f>IFERROR(__xludf.DUMMYFUNCTION("""COMPUTED_VALUE"""),"1CR23AI039")</f>
        <v>1CR23AI039</v>
      </c>
      <c r="E559" s="563">
        <f>IFERROR(__xludf.DUMMYFUNCTION("""COMPUTED_VALUE"""),9.798218257E9)</f>
        <v>9798218257</v>
      </c>
      <c r="F559" s="155" t="str">
        <f>IFERROR(__xludf.DUMMYFUNCTION("""COMPUTED_VALUE"""),"AIML")</f>
        <v>AIML</v>
      </c>
      <c r="G559" s="158"/>
      <c r="H559" s="559">
        <f>IFERROR(__xludf.DUMMYFUNCTION("""COMPUTED_VALUE"""),73.0)</f>
        <v>73</v>
      </c>
      <c r="I559" s="559">
        <f>IFERROR(__xludf.DUMMYFUNCTION("""COMPUTED_VALUE"""),81.0)</f>
        <v>81</v>
      </c>
      <c r="J559" s="559">
        <f>IFERROR(__xludf.DUMMYFUNCTION("""COMPUTED_VALUE"""),67.0)</f>
        <v>67</v>
      </c>
      <c r="K559" s="559">
        <f>IFERROR(__xludf.DUMMYFUNCTION("""COMPUTED_VALUE"""),24.0)</f>
        <v>24</v>
      </c>
      <c r="L559" s="560">
        <f>IFERROR(__xludf.DUMMYFUNCTION("""COMPUTED_VALUE"""),40.0)</f>
        <v>40</v>
      </c>
      <c r="M559" s="561">
        <f>IFERROR(__xludf.DUMMYFUNCTION("""COMPUTED_VALUE"""),0.0)</f>
        <v>0</v>
      </c>
      <c r="N559" s="561">
        <f>IFERROR(__xludf.DUMMYFUNCTION("""COMPUTED_VALUE"""),0.0)</f>
        <v>0</v>
      </c>
      <c r="O559" s="560"/>
      <c r="P559" s="562">
        <f>IFERROR(__xludf.DUMMYFUNCTION("""COMPUTED_VALUE"""),0.0)</f>
        <v>0</v>
      </c>
      <c r="Q559" s="562">
        <f>IFERROR(__xludf.DUMMYFUNCTION("""COMPUTED_VALUE"""),0.0)</f>
        <v>0</v>
      </c>
      <c r="R559" s="562">
        <f>IFERROR(__xludf.DUMMYFUNCTION("""COMPUTED_VALUE"""),0.0)</f>
        <v>0</v>
      </c>
      <c r="S559" s="562"/>
      <c r="T559" s="217">
        <f>IFERROR(__xludf.DUMMYFUNCTION("""COMPUTED_VALUE"""),17.0)</f>
        <v>17</v>
      </c>
      <c r="U559" s="217">
        <f>IFERROR(__xludf.DUMMYFUNCTION("""COMPUTED_VALUE"""),17.0)</f>
        <v>17</v>
      </c>
      <c r="V559" s="217">
        <f>IFERROR(__xludf.DUMMYFUNCTION("""COMPUTED_VALUE"""),90.0)</f>
        <v>90</v>
      </c>
      <c r="W559" s="217">
        <f>IFERROR(__xludf.DUMMYFUNCTION("""COMPUTED_VALUE"""),76.0)</f>
        <v>76</v>
      </c>
      <c r="X559" s="217">
        <f>IFERROR(__xludf.DUMMYFUNCTION("""COMPUTED_VALUE"""),76.0)</f>
        <v>76</v>
      </c>
      <c r="Y559" s="217"/>
      <c r="Z559" s="217"/>
      <c r="AA559" s="481">
        <f>IFERROR(__xludf.DUMMYFUNCTION("""COMPUTED_VALUE"""),2.0)</f>
        <v>2</v>
      </c>
      <c r="AB559" s="481">
        <f>IFERROR(__xludf.DUMMYFUNCTION("""COMPUTED_VALUE"""),72.0)</f>
        <v>72</v>
      </c>
      <c r="AC559" s="481">
        <f>IFERROR(__xludf.DUMMYFUNCTION("""COMPUTED_VALUE"""),0.0)</f>
        <v>0</v>
      </c>
      <c r="AD559" s="481">
        <f>IFERROR(__xludf.DUMMYFUNCTION("""COMPUTED_VALUE"""),1.0)</f>
        <v>1</v>
      </c>
      <c r="AE559" s="481">
        <f>IFERROR(__xludf.DUMMYFUNCTION("""COMPUTED_VALUE"""),10.0)</f>
        <v>10</v>
      </c>
      <c r="AF559" s="481"/>
      <c r="AG559" s="481">
        <f>IFERROR(__xludf.DUMMYFUNCTION("""COMPUTED_VALUE"""),0.0)</f>
        <v>0</v>
      </c>
      <c r="AH559" s="481"/>
      <c r="AI559" s="158"/>
      <c r="AJ559" s="158"/>
      <c r="AK559" s="133">
        <f>IFERROR(__xludf.DUMMYFUNCTION("""COMPUTED_VALUE"""),2.0)</f>
        <v>2</v>
      </c>
      <c r="AL559" s="133">
        <f>IFERROR(__xludf.DUMMYFUNCTION("""COMPUTED_VALUE"""),0.0)</f>
        <v>0</v>
      </c>
      <c r="AM559" s="133">
        <f>IFERROR(__xludf.DUMMYFUNCTION("""COMPUTED_VALUE"""),3.0)</f>
        <v>3</v>
      </c>
      <c r="AN559" s="133" t="str">
        <f>IFERROR(__xludf.DUMMYFUNCTION("""COMPUTED_VALUE"""),"2")</f>
        <v>2</v>
      </c>
      <c r="AO559" s="133">
        <f>IFERROR(__xludf.DUMMYFUNCTION("""COMPUTED_VALUE"""),0.0)</f>
        <v>0</v>
      </c>
      <c r="AP559" s="155" t="s">
        <v>3780</v>
      </c>
    </row>
    <row r="560">
      <c r="A560" s="155">
        <f>IFERROR(__xludf.DUMMYFUNCTION("""COMPUTED_VALUE"""),39.0)</f>
        <v>39</v>
      </c>
      <c r="B560" s="155" t="str">
        <f>IFERROR(__xludf.DUMMYFUNCTION("""COMPUTED_VALUE"""),"imsh23aiml@cmrit.ac.in")</f>
        <v>imsh23aiml@cmrit.ac.in</v>
      </c>
      <c r="C560" s="174" t="str">
        <f>IFERROR(__xludf.DUMMYFUNCTION("""COMPUTED_VALUE"""),"Image Shrestha")</f>
        <v>Image Shrestha</v>
      </c>
      <c r="D560" s="155" t="str">
        <f>IFERROR(__xludf.DUMMYFUNCTION("""COMPUTED_VALUE"""),"1CR23AI040")</f>
        <v>1CR23AI040</v>
      </c>
      <c r="E560" s="563">
        <f>IFERROR(__xludf.DUMMYFUNCTION("""COMPUTED_VALUE"""),9.779811380482E12)</f>
        <v>9779811380482</v>
      </c>
      <c r="F560" s="155" t="str">
        <f>IFERROR(__xludf.DUMMYFUNCTION("""COMPUTED_VALUE"""),"AIML")</f>
        <v>AIML</v>
      </c>
      <c r="G560" s="158"/>
      <c r="H560" s="559">
        <f>IFERROR(__xludf.DUMMYFUNCTION("""COMPUTED_VALUE"""),73.0)</f>
        <v>73</v>
      </c>
      <c r="I560" s="559">
        <f>IFERROR(__xludf.DUMMYFUNCTION("""COMPUTED_VALUE"""),84.0)</f>
        <v>84</v>
      </c>
      <c r="J560" s="559">
        <f>IFERROR(__xludf.DUMMYFUNCTION("""COMPUTED_VALUE"""),61.0)</f>
        <v>61</v>
      </c>
      <c r="K560" s="559">
        <f>IFERROR(__xludf.DUMMYFUNCTION("""COMPUTED_VALUE"""),44.0)</f>
        <v>44</v>
      </c>
      <c r="L560" s="560">
        <f>IFERROR(__xludf.DUMMYFUNCTION("""COMPUTED_VALUE"""),18.0)</f>
        <v>18</v>
      </c>
      <c r="M560" s="561">
        <f>IFERROR(__xludf.DUMMYFUNCTION("""COMPUTED_VALUE"""),11.0)</f>
        <v>11</v>
      </c>
      <c r="N560" s="561">
        <f>IFERROR(__xludf.DUMMYFUNCTION("""COMPUTED_VALUE"""),0.0)</f>
        <v>0</v>
      </c>
      <c r="O560" s="560"/>
      <c r="P560" s="562">
        <f>IFERROR(__xludf.DUMMYFUNCTION("""COMPUTED_VALUE"""),0.0)</f>
        <v>0</v>
      </c>
      <c r="Q560" s="562">
        <f>IFERROR(__xludf.DUMMYFUNCTION("""COMPUTED_VALUE"""),0.0)</f>
        <v>0</v>
      </c>
      <c r="R560" s="562">
        <f>IFERROR(__xludf.DUMMYFUNCTION("""COMPUTED_VALUE"""),0.0)</f>
        <v>0</v>
      </c>
      <c r="S560" s="562"/>
      <c r="T560" s="217">
        <f>IFERROR(__xludf.DUMMYFUNCTION("""COMPUTED_VALUE"""),12.0)</f>
        <v>12</v>
      </c>
      <c r="U560" s="217">
        <f>IFERROR(__xludf.DUMMYFUNCTION("""COMPUTED_VALUE"""),15.0)</f>
        <v>15</v>
      </c>
      <c r="V560" s="217">
        <f>IFERROR(__xludf.DUMMYFUNCTION("""COMPUTED_VALUE"""),88.0)</f>
        <v>88</v>
      </c>
      <c r="W560" s="217">
        <f>IFERROR(__xludf.DUMMYFUNCTION("""COMPUTED_VALUE"""),68.0)</f>
        <v>68</v>
      </c>
      <c r="X560" s="217">
        <f>IFERROR(__xludf.DUMMYFUNCTION("""COMPUTED_VALUE"""),76.0)</f>
        <v>76</v>
      </c>
      <c r="Y560" s="217"/>
      <c r="Z560" s="217"/>
      <c r="AA560" s="481">
        <f>IFERROR(__xludf.DUMMYFUNCTION("""COMPUTED_VALUE"""),64.0)</f>
        <v>64</v>
      </c>
      <c r="AB560" s="481">
        <f>IFERROR(__xludf.DUMMYFUNCTION("""COMPUTED_VALUE"""),73.0)</f>
        <v>73</v>
      </c>
      <c r="AC560" s="481">
        <f>IFERROR(__xludf.DUMMYFUNCTION("""COMPUTED_VALUE"""),0.0)</f>
        <v>0</v>
      </c>
      <c r="AD560" s="481">
        <f>IFERROR(__xludf.DUMMYFUNCTION("""COMPUTED_VALUE"""),40.0)</f>
        <v>40</v>
      </c>
      <c r="AE560" s="481">
        <f>IFERROR(__xludf.DUMMYFUNCTION("""COMPUTED_VALUE"""),10.0)</f>
        <v>10</v>
      </c>
      <c r="AF560" s="481"/>
      <c r="AG560" s="481">
        <f>IFERROR(__xludf.DUMMYFUNCTION("""COMPUTED_VALUE"""),39.0)</f>
        <v>39</v>
      </c>
      <c r="AH560" s="481"/>
      <c r="AI560" s="158"/>
      <c r="AJ560" s="158"/>
      <c r="AK560" s="133">
        <f>IFERROR(__xludf.DUMMYFUNCTION("""COMPUTED_VALUE"""),2.0)</f>
        <v>2</v>
      </c>
      <c r="AL560" s="133">
        <f>IFERROR(__xludf.DUMMYFUNCTION("""COMPUTED_VALUE"""),0.0)</f>
        <v>0</v>
      </c>
      <c r="AM560" s="133">
        <f>IFERROR(__xludf.DUMMYFUNCTION("""COMPUTED_VALUE"""),3.0)</f>
        <v>3</v>
      </c>
      <c r="AN560" s="133" t="str">
        <f>IFERROR(__xludf.DUMMYFUNCTION("""COMPUTED_VALUE"""),"2")</f>
        <v>2</v>
      </c>
      <c r="AO560" s="133">
        <f>IFERROR(__xludf.DUMMYFUNCTION("""COMPUTED_VALUE"""),0.0)</f>
        <v>0</v>
      </c>
      <c r="AP560" s="155" t="s">
        <v>3780</v>
      </c>
    </row>
    <row r="561">
      <c r="A561" s="155">
        <f>IFERROR(__xludf.DUMMYFUNCTION("""COMPUTED_VALUE"""),40.0)</f>
        <v>40</v>
      </c>
      <c r="B561" s="155" t="str">
        <f>IFERROR(__xludf.DUMMYFUNCTION("""COMPUTED_VALUE"""),"jago23aiml@cmrit.ac.in")</f>
        <v>jago23aiml@cmrit.ac.in</v>
      </c>
      <c r="C561" s="174" t="str">
        <f>IFERROR(__xludf.DUMMYFUNCTION("""COMPUTED_VALUE"""),"JAYANTH GOWDA C R")</f>
        <v>JAYANTH GOWDA C R</v>
      </c>
      <c r="D561" s="155" t="str">
        <f>IFERROR(__xludf.DUMMYFUNCTION("""COMPUTED_VALUE"""),"1CR23AI041")</f>
        <v>1CR23AI041</v>
      </c>
      <c r="E561" s="563">
        <f>IFERROR(__xludf.DUMMYFUNCTION("""COMPUTED_VALUE"""),9.901893308E9)</f>
        <v>9901893308</v>
      </c>
      <c r="F561" s="155" t="str">
        <f>IFERROR(__xludf.DUMMYFUNCTION("""COMPUTED_VALUE"""),"AIML")</f>
        <v>AIML</v>
      </c>
      <c r="G561" s="158"/>
      <c r="H561" s="559">
        <f>IFERROR(__xludf.DUMMYFUNCTION("""COMPUTED_VALUE"""),70.0)</f>
        <v>70</v>
      </c>
      <c r="I561" s="559">
        <f>IFERROR(__xludf.DUMMYFUNCTION("""COMPUTED_VALUE"""),70.0)</f>
        <v>70</v>
      </c>
      <c r="J561" s="559">
        <f>IFERROR(__xludf.DUMMYFUNCTION("""COMPUTED_VALUE"""),70.0)</f>
        <v>70</v>
      </c>
      <c r="K561" s="559">
        <f>IFERROR(__xludf.DUMMYFUNCTION("""COMPUTED_VALUE"""),70.0)</f>
        <v>70</v>
      </c>
      <c r="L561" s="560">
        <f>IFERROR(__xludf.DUMMYFUNCTION("""COMPUTED_VALUE"""),50.0)</f>
        <v>50</v>
      </c>
      <c r="M561" s="561">
        <f>IFERROR(__xludf.DUMMYFUNCTION("""COMPUTED_VALUE"""),50.0)</f>
        <v>50</v>
      </c>
      <c r="N561" s="561">
        <f>IFERROR(__xludf.DUMMYFUNCTION("""COMPUTED_VALUE"""),44.0)</f>
        <v>44</v>
      </c>
      <c r="O561" s="560"/>
      <c r="P561" s="562">
        <f>IFERROR(__xludf.DUMMYFUNCTION("""COMPUTED_VALUE"""),70.0)</f>
        <v>70</v>
      </c>
      <c r="Q561" s="562">
        <f>IFERROR(__xludf.DUMMYFUNCTION("""COMPUTED_VALUE"""),50.0)</f>
        <v>50</v>
      </c>
      <c r="R561" s="562">
        <f>IFERROR(__xludf.DUMMYFUNCTION("""COMPUTED_VALUE"""),50.0)</f>
        <v>50</v>
      </c>
      <c r="S561" s="562"/>
      <c r="T561" s="217">
        <f>IFERROR(__xludf.DUMMYFUNCTION("""COMPUTED_VALUE"""),11.0)</f>
        <v>11</v>
      </c>
      <c r="U561" s="217">
        <f>IFERROR(__xludf.DUMMYFUNCTION("""COMPUTED_VALUE"""),17.0)</f>
        <v>17</v>
      </c>
      <c r="V561" s="217">
        <f>IFERROR(__xludf.DUMMYFUNCTION("""COMPUTED_VALUE"""),86.0)</f>
        <v>86</v>
      </c>
      <c r="W561" s="217">
        <f>IFERROR(__xludf.DUMMYFUNCTION("""COMPUTED_VALUE"""),86.0)</f>
        <v>86</v>
      </c>
      <c r="X561" s="217">
        <f>IFERROR(__xludf.DUMMYFUNCTION("""COMPUTED_VALUE"""),72.0)</f>
        <v>72</v>
      </c>
      <c r="Y561" s="217"/>
      <c r="Z561" s="217"/>
      <c r="AA561" s="481">
        <f>IFERROR(__xludf.DUMMYFUNCTION("""COMPUTED_VALUE"""),8.0)</f>
        <v>8</v>
      </c>
      <c r="AB561" s="481">
        <f>IFERROR(__xludf.DUMMYFUNCTION("""COMPUTED_VALUE"""),45.0)</f>
        <v>45</v>
      </c>
      <c r="AC561" s="481">
        <f>IFERROR(__xludf.DUMMYFUNCTION("""COMPUTED_VALUE"""),45.0)</f>
        <v>45</v>
      </c>
      <c r="AD561" s="481">
        <f>IFERROR(__xludf.DUMMYFUNCTION("""COMPUTED_VALUE"""),60.0)</f>
        <v>60</v>
      </c>
      <c r="AE561" s="481">
        <f>IFERROR(__xludf.DUMMYFUNCTION("""COMPUTED_VALUE"""),60.0)</f>
        <v>60</v>
      </c>
      <c r="AF561" s="481"/>
      <c r="AG561" s="481">
        <f>IFERROR(__xludf.DUMMYFUNCTION("""COMPUTED_VALUE"""),30.0)</f>
        <v>30</v>
      </c>
      <c r="AH561" s="481"/>
      <c r="AI561" s="158"/>
      <c r="AJ561" s="158"/>
      <c r="AK561" s="133">
        <f>IFERROR(__xludf.DUMMYFUNCTION("""COMPUTED_VALUE"""),4.0)</f>
        <v>4</v>
      </c>
      <c r="AL561" s="133">
        <f>IFERROR(__xludf.DUMMYFUNCTION("""COMPUTED_VALUE"""),2.0)</f>
        <v>2</v>
      </c>
      <c r="AM561" s="133">
        <f>IFERROR(__xludf.DUMMYFUNCTION("""COMPUTED_VALUE"""),3.0)</f>
        <v>3</v>
      </c>
      <c r="AN561" s="133" t="str">
        <f>IFERROR(__xludf.DUMMYFUNCTION("""COMPUTED_VALUE"""),"0")</f>
        <v>0</v>
      </c>
      <c r="AO561" s="133">
        <f>IFERROR(__xludf.DUMMYFUNCTION("""COMPUTED_VALUE"""),3.0)</f>
        <v>3</v>
      </c>
      <c r="AP561" s="155" t="s">
        <v>3780</v>
      </c>
    </row>
    <row r="562">
      <c r="A562" s="155">
        <f>IFERROR(__xludf.DUMMYFUNCTION("""COMPUTED_VALUE"""),41.0)</f>
        <v>41</v>
      </c>
      <c r="B562" s="155" t="str">
        <f>IFERROR(__xludf.DUMMYFUNCTION("""COMPUTED_VALUE"""),"jeka23aiml@cmrit.ac.in")</f>
        <v>jeka23aiml@cmrit.ac.in</v>
      </c>
      <c r="C562" s="174" t="str">
        <f>IFERROR(__xludf.DUMMYFUNCTION("""COMPUTED_VALUE"""),"Jenish karki")</f>
        <v>Jenish karki</v>
      </c>
      <c r="D562" s="155" t="str">
        <f>IFERROR(__xludf.DUMMYFUNCTION("""COMPUTED_VALUE"""),"1CR23AI042")</f>
        <v>1CR23AI042</v>
      </c>
      <c r="E562" s="563">
        <f>IFERROR(__xludf.DUMMYFUNCTION("""COMPUTED_VALUE"""),-9.862298931E9)</f>
        <v>-9862298931</v>
      </c>
      <c r="F562" s="155" t="str">
        <f>IFERROR(__xludf.DUMMYFUNCTION("""COMPUTED_VALUE"""),"AIML")</f>
        <v>AIML</v>
      </c>
      <c r="G562" s="158"/>
      <c r="H562" s="559">
        <f>IFERROR(__xludf.DUMMYFUNCTION("""COMPUTED_VALUE"""),75.0)</f>
        <v>75</v>
      </c>
      <c r="I562" s="559">
        <f>IFERROR(__xludf.DUMMYFUNCTION("""COMPUTED_VALUE"""),75.0)</f>
        <v>75</v>
      </c>
      <c r="J562" s="559">
        <f>IFERROR(__xludf.DUMMYFUNCTION("""COMPUTED_VALUE"""),60.0)</f>
        <v>60</v>
      </c>
      <c r="K562" s="559">
        <f>IFERROR(__xludf.DUMMYFUNCTION("""COMPUTED_VALUE"""),32.0)</f>
        <v>32</v>
      </c>
      <c r="L562" s="560">
        <f>IFERROR(__xludf.DUMMYFUNCTION("""COMPUTED_VALUE"""),10.0)</f>
        <v>10</v>
      </c>
      <c r="M562" s="561">
        <f>IFERROR(__xludf.DUMMYFUNCTION("""COMPUTED_VALUE"""),11.0)</f>
        <v>11</v>
      </c>
      <c r="N562" s="561">
        <f>IFERROR(__xludf.DUMMYFUNCTION("""COMPUTED_VALUE"""),0.0)</f>
        <v>0</v>
      </c>
      <c r="O562" s="560"/>
      <c r="P562" s="562">
        <f>IFERROR(__xludf.DUMMYFUNCTION("""COMPUTED_VALUE"""),82.0)</f>
        <v>82</v>
      </c>
      <c r="Q562" s="562">
        <f>IFERROR(__xludf.DUMMYFUNCTION("""COMPUTED_VALUE"""),0.0)</f>
        <v>0</v>
      </c>
      <c r="R562" s="562">
        <f>IFERROR(__xludf.DUMMYFUNCTION("""COMPUTED_VALUE"""),0.0)</f>
        <v>0</v>
      </c>
      <c r="S562" s="562"/>
      <c r="T562" s="217">
        <f>IFERROR(__xludf.DUMMYFUNCTION("""COMPUTED_VALUE"""),10.0)</f>
        <v>10</v>
      </c>
      <c r="U562" s="217">
        <f>IFERROR(__xludf.DUMMYFUNCTION("""COMPUTED_VALUE"""),19.0)</f>
        <v>19</v>
      </c>
      <c r="V562" s="217">
        <f>IFERROR(__xludf.DUMMYFUNCTION("""COMPUTED_VALUE"""),84.0)</f>
        <v>84</v>
      </c>
      <c r="W562" s="217">
        <f>IFERROR(__xludf.DUMMYFUNCTION("""COMPUTED_VALUE"""),92.0)</f>
        <v>92</v>
      </c>
      <c r="X562" s="217">
        <f>IFERROR(__xludf.DUMMYFUNCTION("""COMPUTED_VALUE"""),82.0)</f>
        <v>82</v>
      </c>
      <c r="Y562" s="217"/>
      <c r="Z562" s="217"/>
      <c r="AA562" s="481">
        <f>IFERROR(__xludf.DUMMYFUNCTION("""COMPUTED_VALUE"""),42.0)</f>
        <v>42</v>
      </c>
      <c r="AB562" s="481">
        <f>IFERROR(__xludf.DUMMYFUNCTION("""COMPUTED_VALUE"""),90.0)</f>
        <v>90</v>
      </c>
      <c r="AC562" s="481">
        <f>IFERROR(__xludf.DUMMYFUNCTION("""COMPUTED_VALUE"""),0.0)</f>
        <v>0</v>
      </c>
      <c r="AD562" s="481">
        <f>IFERROR(__xludf.DUMMYFUNCTION("""COMPUTED_VALUE"""),0.0)</f>
        <v>0</v>
      </c>
      <c r="AE562" s="481">
        <f>IFERROR(__xludf.DUMMYFUNCTION("""COMPUTED_VALUE"""),10.0)</f>
        <v>10</v>
      </c>
      <c r="AF562" s="481"/>
      <c r="AG562" s="481">
        <f>IFERROR(__xludf.DUMMYFUNCTION("""COMPUTED_VALUE"""),7.0)</f>
        <v>7</v>
      </c>
      <c r="AH562" s="481"/>
      <c r="AI562" s="158"/>
      <c r="AJ562" s="158"/>
      <c r="AK562" s="133">
        <f>IFERROR(__xludf.DUMMYFUNCTION("""COMPUTED_VALUE"""),2.0)</f>
        <v>2</v>
      </c>
      <c r="AL562" s="133">
        <f>IFERROR(__xludf.DUMMYFUNCTION("""COMPUTED_VALUE"""),0.0)</f>
        <v>0</v>
      </c>
      <c r="AM562" s="133">
        <f>IFERROR(__xludf.DUMMYFUNCTION("""COMPUTED_VALUE"""),3.0)</f>
        <v>3</v>
      </c>
      <c r="AN562" s="133" t="str">
        <f>IFERROR(__xludf.DUMMYFUNCTION("""COMPUTED_VALUE"""),"2")</f>
        <v>2</v>
      </c>
      <c r="AO562" s="133">
        <f>IFERROR(__xludf.DUMMYFUNCTION("""COMPUTED_VALUE"""),1.0)</f>
        <v>1</v>
      </c>
      <c r="AP562" s="155" t="s">
        <v>3780</v>
      </c>
    </row>
    <row r="563">
      <c r="A563" s="155">
        <f>IFERROR(__xludf.DUMMYFUNCTION("""COMPUTED_VALUE"""),42.0)</f>
        <v>42</v>
      </c>
      <c r="B563" s="155" t="str">
        <f>IFERROR(__xludf.DUMMYFUNCTION("""COMPUTED_VALUE"""),"jyj23aiml@cmrit.ac.in")</f>
        <v>jyj23aiml@cmrit.ac.in</v>
      </c>
      <c r="C563" s="174" t="str">
        <f>IFERROR(__xludf.DUMMYFUNCTION("""COMPUTED_VALUE"""),"JYOTHI")</f>
        <v>JYOTHI</v>
      </c>
      <c r="D563" s="155" t="str">
        <f>IFERROR(__xludf.DUMMYFUNCTION("""COMPUTED_VALUE"""),"1CR23AI043")</f>
        <v>1CR23AI043</v>
      </c>
      <c r="E563" s="563">
        <f>IFERROR(__xludf.DUMMYFUNCTION("""COMPUTED_VALUE"""),9.449232975E9)</f>
        <v>9449232975</v>
      </c>
      <c r="F563" s="155" t="str">
        <f>IFERROR(__xludf.DUMMYFUNCTION("""COMPUTED_VALUE"""),"AIML")</f>
        <v>AIML</v>
      </c>
      <c r="G563" s="158"/>
      <c r="H563" s="559">
        <f>IFERROR(__xludf.DUMMYFUNCTION("""COMPUTED_VALUE"""),70.0)</f>
        <v>70</v>
      </c>
      <c r="I563" s="559">
        <f>IFERROR(__xludf.DUMMYFUNCTION("""COMPUTED_VALUE"""),78.0)</f>
        <v>78</v>
      </c>
      <c r="J563" s="559">
        <f>IFERROR(__xludf.DUMMYFUNCTION("""COMPUTED_VALUE"""),70.0)</f>
        <v>70</v>
      </c>
      <c r="K563" s="559">
        <f>IFERROR(__xludf.DUMMYFUNCTION("""COMPUTED_VALUE"""),70.0)</f>
        <v>70</v>
      </c>
      <c r="L563" s="560">
        <f>IFERROR(__xludf.DUMMYFUNCTION("""COMPUTED_VALUE"""),50.0)</f>
        <v>50</v>
      </c>
      <c r="M563" s="561">
        <f>IFERROR(__xludf.DUMMYFUNCTION("""COMPUTED_VALUE"""),50.0)</f>
        <v>50</v>
      </c>
      <c r="N563" s="561">
        <f>IFERROR(__xludf.DUMMYFUNCTION("""COMPUTED_VALUE"""),50.0)</f>
        <v>50</v>
      </c>
      <c r="O563" s="560"/>
      <c r="P563" s="562">
        <f>IFERROR(__xludf.DUMMYFUNCTION("""COMPUTED_VALUE"""),82.0)</f>
        <v>82</v>
      </c>
      <c r="Q563" s="562">
        <f>IFERROR(__xludf.DUMMYFUNCTION("""COMPUTED_VALUE"""),80.0)</f>
        <v>80</v>
      </c>
      <c r="R563" s="562">
        <f>IFERROR(__xludf.DUMMYFUNCTION("""COMPUTED_VALUE"""),84.0)</f>
        <v>84</v>
      </c>
      <c r="S563" s="562"/>
      <c r="T563" s="217">
        <f>IFERROR(__xludf.DUMMYFUNCTION("""COMPUTED_VALUE"""),22.0)</f>
        <v>22</v>
      </c>
      <c r="U563" s="217">
        <f>IFERROR(__xludf.DUMMYFUNCTION("""COMPUTED_VALUE"""),23.0)</f>
        <v>23</v>
      </c>
      <c r="V563" s="217">
        <f>IFERROR(__xludf.DUMMYFUNCTION("""COMPUTED_VALUE"""),86.0)</f>
        <v>86</v>
      </c>
      <c r="W563" s="217">
        <f>IFERROR(__xludf.DUMMYFUNCTION("""COMPUTED_VALUE"""),86.0)</f>
        <v>86</v>
      </c>
      <c r="X563" s="217">
        <f>IFERROR(__xludf.DUMMYFUNCTION("""COMPUTED_VALUE"""),84.0)</f>
        <v>84</v>
      </c>
      <c r="Y563" s="217"/>
      <c r="Z563" s="217"/>
      <c r="AA563" s="481">
        <f>IFERROR(__xludf.DUMMYFUNCTION("""COMPUTED_VALUE"""),0.0)</f>
        <v>0</v>
      </c>
      <c r="AB563" s="481">
        <f>IFERROR(__xludf.DUMMYFUNCTION("""COMPUTED_VALUE"""),88.0)</f>
        <v>88</v>
      </c>
      <c r="AC563" s="481">
        <f>IFERROR(__xludf.DUMMYFUNCTION("""COMPUTED_VALUE"""),70.0)</f>
        <v>70</v>
      </c>
      <c r="AD563" s="481">
        <f>IFERROR(__xludf.DUMMYFUNCTION("""COMPUTED_VALUE"""),90.0)</f>
        <v>90</v>
      </c>
      <c r="AE563" s="481">
        <f>IFERROR(__xludf.DUMMYFUNCTION("""COMPUTED_VALUE"""),72.0)</f>
        <v>72</v>
      </c>
      <c r="AF563" s="481"/>
      <c r="AG563" s="481">
        <f>IFERROR(__xludf.DUMMYFUNCTION("""COMPUTED_VALUE"""),62.0)</f>
        <v>62</v>
      </c>
      <c r="AH563" s="481"/>
      <c r="AI563" s="158"/>
      <c r="AJ563" s="158"/>
      <c r="AK563" s="133">
        <f>IFERROR(__xludf.DUMMYFUNCTION("""COMPUTED_VALUE"""),4.0)</f>
        <v>4</v>
      </c>
      <c r="AL563" s="133">
        <f>IFERROR(__xludf.DUMMYFUNCTION("""COMPUTED_VALUE"""),3.0)</f>
        <v>3</v>
      </c>
      <c r="AM563" s="133">
        <f>IFERROR(__xludf.DUMMYFUNCTION("""COMPUTED_VALUE"""),3.0)</f>
        <v>3</v>
      </c>
      <c r="AN563" s="133" t="str">
        <f>IFERROR(__xludf.DUMMYFUNCTION("""COMPUTED_VALUE"""),"3.5")</f>
        <v>3.5</v>
      </c>
      <c r="AO563" s="133">
        <f>IFERROR(__xludf.DUMMYFUNCTION("""COMPUTED_VALUE"""),3.0)</f>
        <v>3</v>
      </c>
      <c r="AP563" s="155" t="s">
        <v>3780</v>
      </c>
    </row>
    <row r="564">
      <c r="A564" s="155">
        <f>IFERROR(__xludf.DUMMYFUNCTION("""COMPUTED_VALUE"""),43.0)</f>
        <v>43</v>
      </c>
      <c r="B564" s="155" t="str">
        <f>IFERROR(__xludf.DUMMYFUNCTION("""COMPUTED_VALUE"""),"kmvi23aiml@cmrit.ac.in")</f>
        <v>kmvi23aiml@cmrit.ac.in</v>
      </c>
      <c r="C564" s="174" t="str">
        <f>IFERROR(__xludf.DUMMYFUNCTION("""COMPUTED_VALUE"""),"K M VINAY PATEL")</f>
        <v>K M VINAY PATEL</v>
      </c>
      <c r="D564" s="155" t="str">
        <f>IFERROR(__xludf.DUMMYFUNCTION("""COMPUTED_VALUE"""),"1CR23AI044")</f>
        <v>1CR23AI044</v>
      </c>
      <c r="E564" s="563">
        <f>IFERROR(__xludf.DUMMYFUNCTION("""COMPUTED_VALUE"""),8.073612487E9)</f>
        <v>8073612487</v>
      </c>
      <c r="F564" s="155" t="str">
        <f>IFERROR(__xludf.DUMMYFUNCTION("""COMPUTED_VALUE"""),"AIML")</f>
        <v>AIML</v>
      </c>
      <c r="G564" s="158"/>
      <c r="H564" s="559">
        <f>IFERROR(__xludf.DUMMYFUNCTION("""COMPUTED_VALUE"""),72.0)</f>
        <v>72</v>
      </c>
      <c r="I564" s="559">
        <f>IFERROR(__xludf.DUMMYFUNCTION("""COMPUTED_VALUE"""),84.0)</f>
        <v>84</v>
      </c>
      <c r="J564" s="559">
        <f>IFERROR(__xludf.DUMMYFUNCTION("""COMPUTED_VALUE"""),70.0)</f>
        <v>70</v>
      </c>
      <c r="K564" s="559">
        <f>IFERROR(__xludf.DUMMYFUNCTION("""COMPUTED_VALUE"""),70.0)</f>
        <v>70</v>
      </c>
      <c r="L564" s="560">
        <f>IFERROR(__xludf.DUMMYFUNCTION("""COMPUTED_VALUE"""),50.0)</f>
        <v>50</v>
      </c>
      <c r="M564" s="561">
        <f>IFERROR(__xludf.DUMMYFUNCTION("""COMPUTED_VALUE"""),50.0)</f>
        <v>50</v>
      </c>
      <c r="N564" s="561">
        <f>IFERROR(__xludf.DUMMYFUNCTION("""COMPUTED_VALUE"""),14.0)</f>
        <v>14</v>
      </c>
      <c r="O564" s="560"/>
      <c r="P564" s="562">
        <f>IFERROR(__xludf.DUMMYFUNCTION("""COMPUTED_VALUE"""),74.0)</f>
        <v>74</v>
      </c>
      <c r="Q564" s="562">
        <f>IFERROR(__xludf.DUMMYFUNCTION("""COMPUTED_VALUE"""),50.0)</f>
        <v>50</v>
      </c>
      <c r="R564" s="562">
        <f>IFERROR(__xludf.DUMMYFUNCTION("""COMPUTED_VALUE"""),50.0)</f>
        <v>50</v>
      </c>
      <c r="S564" s="562"/>
      <c r="T564" s="217">
        <f>IFERROR(__xludf.DUMMYFUNCTION("""COMPUTED_VALUE"""),13.0)</f>
        <v>13</v>
      </c>
      <c r="U564" s="217">
        <f>IFERROR(__xludf.DUMMYFUNCTION("""COMPUTED_VALUE"""),22.0)</f>
        <v>22</v>
      </c>
      <c r="V564" s="217">
        <f>IFERROR(__xludf.DUMMYFUNCTION("""COMPUTED_VALUE"""),86.0)</f>
        <v>86</v>
      </c>
      <c r="W564" s="217">
        <f>IFERROR(__xludf.DUMMYFUNCTION("""COMPUTED_VALUE"""),64.0)</f>
        <v>64</v>
      </c>
      <c r="X564" s="217">
        <f>IFERROR(__xludf.DUMMYFUNCTION("""COMPUTED_VALUE"""),74.0)</f>
        <v>74</v>
      </c>
      <c r="Y564" s="217"/>
      <c r="Z564" s="217"/>
      <c r="AA564" s="481">
        <f>IFERROR(__xludf.DUMMYFUNCTION("""COMPUTED_VALUE"""),44.0)</f>
        <v>44</v>
      </c>
      <c r="AB564" s="481">
        <f>IFERROR(__xludf.DUMMYFUNCTION("""COMPUTED_VALUE"""),73.0)</f>
        <v>73</v>
      </c>
      <c r="AC564" s="481">
        <f>IFERROR(__xludf.DUMMYFUNCTION("""COMPUTED_VALUE"""),100.0)</f>
        <v>100</v>
      </c>
      <c r="AD564" s="481">
        <f>IFERROR(__xludf.DUMMYFUNCTION("""COMPUTED_VALUE"""),100.0)</f>
        <v>100</v>
      </c>
      <c r="AE564" s="481">
        <f>IFERROR(__xludf.DUMMYFUNCTION("""COMPUTED_VALUE"""),45.0)</f>
        <v>45</v>
      </c>
      <c r="AF564" s="481"/>
      <c r="AG564" s="481">
        <f>IFERROR(__xludf.DUMMYFUNCTION("""COMPUTED_VALUE"""),14.0)</f>
        <v>14</v>
      </c>
      <c r="AH564" s="481"/>
      <c r="AI564" s="158"/>
      <c r="AJ564" s="158"/>
      <c r="AK564" s="133">
        <f>IFERROR(__xludf.DUMMYFUNCTION("""COMPUTED_VALUE"""),4.0)</f>
        <v>4</v>
      </c>
      <c r="AL564" s="133">
        <f>IFERROR(__xludf.DUMMYFUNCTION("""COMPUTED_VALUE"""),2.0)</f>
        <v>2</v>
      </c>
      <c r="AM564" s="133">
        <f>IFERROR(__xludf.DUMMYFUNCTION("""COMPUTED_VALUE"""),3.0)</f>
        <v>3</v>
      </c>
      <c r="AN564" s="133" t="str">
        <f>IFERROR(__xludf.DUMMYFUNCTION("""COMPUTED_VALUE"""),"3")</f>
        <v>3</v>
      </c>
      <c r="AO564" s="133">
        <f>IFERROR(__xludf.DUMMYFUNCTION("""COMPUTED_VALUE"""),3.0)</f>
        <v>3</v>
      </c>
      <c r="AP564" s="155" t="s">
        <v>3780</v>
      </c>
    </row>
    <row r="565">
      <c r="A565" s="155">
        <f>IFERROR(__xludf.DUMMYFUNCTION("""COMPUTED_VALUE"""),44.0)</f>
        <v>44</v>
      </c>
      <c r="B565" s="155" t="str">
        <f>IFERROR(__xludf.DUMMYFUNCTION("""COMPUTED_VALUE"""),"kewa23aiml@cmrit.ac.in")</f>
        <v>kewa23aiml@cmrit.ac.in</v>
      </c>
      <c r="C565" s="174" t="str">
        <f>IFERROR(__xludf.DUMMYFUNCTION("""COMPUTED_VALUE"""),"KENESHA WATT Q")</f>
        <v>KENESHA WATT Q</v>
      </c>
      <c r="D565" s="155" t="str">
        <f>IFERROR(__xludf.DUMMYFUNCTION("""COMPUTED_VALUE"""),"1CR23AI045")</f>
        <v>1CR23AI045</v>
      </c>
      <c r="E565" s="563">
        <f>IFERROR(__xludf.DUMMYFUNCTION("""COMPUTED_VALUE"""),7.795911776E9)</f>
        <v>7795911776</v>
      </c>
      <c r="F565" s="155" t="str">
        <f>IFERROR(__xludf.DUMMYFUNCTION("""COMPUTED_VALUE"""),"AIML")</f>
        <v>AIML</v>
      </c>
      <c r="G565" s="158"/>
      <c r="H565" s="559">
        <f>IFERROR(__xludf.DUMMYFUNCTION("""COMPUTED_VALUE"""),70.0)</f>
        <v>70</v>
      </c>
      <c r="I565" s="559">
        <f>IFERROR(__xludf.DUMMYFUNCTION("""COMPUTED_VALUE"""),77.0)</f>
        <v>77</v>
      </c>
      <c r="J565" s="559">
        <f>IFERROR(__xludf.DUMMYFUNCTION("""COMPUTED_VALUE"""),70.0)</f>
        <v>70</v>
      </c>
      <c r="K565" s="559">
        <f>IFERROR(__xludf.DUMMYFUNCTION("""COMPUTED_VALUE"""),74.0)</f>
        <v>74</v>
      </c>
      <c r="L565" s="560">
        <f>IFERROR(__xludf.DUMMYFUNCTION("""COMPUTED_VALUE"""),50.0)</f>
        <v>50</v>
      </c>
      <c r="M565" s="561">
        <f>IFERROR(__xludf.DUMMYFUNCTION("""COMPUTED_VALUE"""),25.0)</f>
        <v>25</v>
      </c>
      <c r="N565" s="561">
        <f>IFERROR(__xludf.DUMMYFUNCTION("""COMPUTED_VALUE"""),27.0)</f>
        <v>27</v>
      </c>
      <c r="O565" s="560"/>
      <c r="P565" s="562">
        <f>IFERROR(__xludf.DUMMYFUNCTION("""COMPUTED_VALUE"""),76.0)</f>
        <v>76</v>
      </c>
      <c r="Q565" s="562">
        <f>IFERROR(__xludf.DUMMYFUNCTION("""COMPUTED_VALUE"""),67.0)</f>
        <v>67</v>
      </c>
      <c r="R565" s="562">
        <f>IFERROR(__xludf.DUMMYFUNCTION("""COMPUTED_VALUE"""),80.0)</f>
        <v>80</v>
      </c>
      <c r="S565" s="562"/>
      <c r="T565" s="217">
        <f>IFERROR(__xludf.DUMMYFUNCTION("""COMPUTED_VALUE"""),10.0)</f>
        <v>10</v>
      </c>
      <c r="U565" s="217">
        <f>IFERROR(__xludf.DUMMYFUNCTION("""COMPUTED_VALUE"""),16.0)</f>
        <v>16</v>
      </c>
      <c r="V565" s="217">
        <f>IFERROR(__xludf.DUMMYFUNCTION("""COMPUTED_VALUE"""),76.0)</f>
        <v>76</v>
      </c>
      <c r="W565" s="217">
        <f>IFERROR(__xludf.DUMMYFUNCTION("""COMPUTED_VALUE"""),84.0)</f>
        <v>84</v>
      </c>
      <c r="X565" s="217">
        <f>IFERROR(__xludf.DUMMYFUNCTION("""COMPUTED_VALUE"""),84.0)</f>
        <v>84</v>
      </c>
      <c r="Y565" s="217"/>
      <c r="Z565" s="217"/>
      <c r="AA565" s="481">
        <f>IFERROR(__xludf.DUMMYFUNCTION("""COMPUTED_VALUE"""),26.0)</f>
        <v>26</v>
      </c>
      <c r="AB565" s="481">
        <f>IFERROR(__xludf.DUMMYFUNCTION("""COMPUTED_VALUE"""),45.0)</f>
        <v>45</v>
      </c>
      <c r="AC565" s="481">
        <f>IFERROR(__xludf.DUMMYFUNCTION("""COMPUTED_VALUE"""),70.0)</f>
        <v>70</v>
      </c>
      <c r="AD565" s="481">
        <f>IFERROR(__xludf.DUMMYFUNCTION("""COMPUTED_VALUE"""),1.0)</f>
        <v>1</v>
      </c>
      <c r="AE565" s="481">
        <f>IFERROR(__xludf.DUMMYFUNCTION("""COMPUTED_VALUE"""),18.0)</f>
        <v>18</v>
      </c>
      <c r="AF565" s="481"/>
      <c r="AG565" s="481">
        <f>IFERROR(__xludf.DUMMYFUNCTION("""COMPUTED_VALUE"""),54.0)</f>
        <v>54</v>
      </c>
      <c r="AH565" s="481"/>
      <c r="AI565" s="158"/>
      <c r="AJ565" s="158"/>
      <c r="AK565" s="133">
        <f>IFERROR(__xludf.DUMMYFUNCTION("""COMPUTED_VALUE"""),4.0)</f>
        <v>4</v>
      </c>
      <c r="AL565" s="133">
        <f>IFERROR(__xludf.DUMMYFUNCTION("""COMPUTED_VALUE"""),1.0)</f>
        <v>1</v>
      </c>
      <c r="AM565" s="133">
        <f>IFERROR(__xludf.DUMMYFUNCTION("""COMPUTED_VALUE"""),3.0)</f>
        <v>3</v>
      </c>
      <c r="AN565" s="133" t="str">
        <f>IFERROR(__xludf.DUMMYFUNCTION("""COMPUTED_VALUE"""),"0")</f>
        <v>0</v>
      </c>
      <c r="AO565" s="133">
        <f>IFERROR(__xludf.DUMMYFUNCTION("""COMPUTED_VALUE"""),3.0)</f>
        <v>3</v>
      </c>
      <c r="AP565" s="155" t="s">
        <v>3780</v>
      </c>
    </row>
    <row r="566">
      <c r="A566" s="155">
        <f>IFERROR(__xludf.DUMMYFUNCTION("""COMPUTED_VALUE"""),45.0)</f>
        <v>45</v>
      </c>
      <c r="B566" s="155" t="str">
        <f>IFERROR(__xludf.DUMMYFUNCTION("""COMPUTED_VALUE"""),"khve23aiml@cmrit.ac.in")</f>
        <v>khve23aiml@cmrit.ac.in</v>
      </c>
      <c r="C566" s="174" t="str">
        <f>IFERROR(__xludf.DUMMYFUNCTION("""COMPUTED_VALUE"""),"KHUSHI VENKATESH")</f>
        <v>KHUSHI VENKATESH</v>
      </c>
      <c r="D566" s="155" t="str">
        <f>IFERROR(__xludf.DUMMYFUNCTION("""COMPUTED_VALUE"""),"1CR23AI046")</f>
        <v>1CR23AI046</v>
      </c>
      <c r="E566" s="563">
        <f>IFERROR(__xludf.DUMMYFUNCTION("""COMPUTED_VALUE"""),7.702195775E9)</f>
        <v>7702195775</v>
      </c>
      <c r="F566" s="155" t="str">
        <f>IFERROR(__xludf.DUMMYFUNCTION("""COMPUTED_VALUE"""),"AIML")</f>
        <v>AIML</v>
      </c>
      <c r="G566" s="158"/>
      <c r="H566" s="559">
        <f>IFERROR(__xludf.DUMMYFUNCTION("""COMPUTED_VALUE"""),83.0)</f>
        <v>83</v>
      </c>
      <c r="I566" s="559">
        <f>IFERROR(__xludf.DUMMYFUNCTION("""COMPUTED_VALUE"""),90.0)</f>
        <v>90</v>
      </c>
      <c r="J566" s="559">
        <f>IFERROR(__xludf.DUMMYFUNCTION("""COMPUTED_VALUE"""),67.0)</f>
        <v>67</v>
      </c>
      <c r="K566" s="559">
        <f>IFERROR(__xludf.DUMMYFUNCTION("""COMPUTED_VALUE"""),71.0)</f>
        <v>71</v>
      </c>
      <c r="L566" s="560">
        <f>IFERROR(__xludf.DUMMYFUNCTION("""COMPUTED_VALUE"""),31.0)</f>
        <v>31</v>
      </c>
      <c r="M566" s="561">
        <f>IFERROR(__xludf.DUMMYFUNCTION("""COMPUTED_VALUE"""),21.0)</f>
        <v>21</v>
      </c>
      <c r="N566" s="561">
        <f>IFERROR(__xludf.DUMMYFUNCTION("""COMPUTED_VALUE"""),31.0)</f>
        <v>31</v>
      </c>
      <c r="O566" s="560"/>
      <c r="P566" s="562">
        <f>IFERROR(__xludf.DUMMYFUNCTION("""COMPUTED_VALUE"""),50.0)</f>
        <v>50</v>
      </c>
      <c r="Q566" s="562">
        <f>IFERROR(__xludf.DUMMYFUNCTION("""COMPUTED_VALUE"""),88.0)</f>
        <v>88</v>
      </c>
      <c r="R566" s="562">
        <f>IFERROR(__xludf.DUMMYFUNCTION("""COMPUTED_VALUE"""),72.0)</f>
        <v>72</v>
      </c>
      <c r="S566" s="562"/>
      <c r="T566" s="217">
        <f>IFERROR(__xludf.DUMMYFUNCTION("""COMPUTED_VALUE"""),13.0)</f>
        <v>13</v>
      </c>
      <c r="U566" s="217">
        <f>IFERROR(__xludf.DUMMYFUNCTION("""COMPUTED_VALUE"""),23.0)</f>
        <v>23</v>
      </c>
      <c r="V566" s="217">
        <f>IFERROR(__xludf.DUMMYFUNCTION("""COMPUTED_VALUE"""),80.0)</f>
        <v>80</v>
      </c>
      <c r="W566" s="217">
        <f>IFERROR(__xludf.DUMMYFUNCTION("""COMPUTED_VALUE"""),70.0)</f>
        <v>70</v>
      </c>
      <c r="X566" s="217"/>
      <c r="Y566" s="217"/>
      <c r="Z566" s="217"/>
      <c r="AA566" s="481">
        <f>IFERROR(__xludf.DUMMYFUNCTION("""COMPUTED_VALUE"""),90.0)</f>
        <v>90</v>
      </c>
      <c r="AB566" s="481">
        <f>IFERROR(__xludf.DUMMYFUNCTION("""COMPUTED_VALUE"""),78.0)</f>
        <v>78</v>
      </c>
      <c r="AC566" s="481">
        <f>IFERROR(__xludf.DUMMYFUNCTION("""COMPUTED_VALUE"""),20.0)</f>
        <v>20</v>
      </c>
      <c r="AD566" s="481">
        <f>IFERROR(__xludf.DUMMYFUNCTION("""COMPUTED_VALUE"""),11.0)</f>
        <v>11</v>
      </c>
      <c r="AE566" s="481">
        <f>IFERROR(__xludf.DUMMYFUNCTION("""COMPUTED_VALUE"""),14.0)</f>
        <v>14</v>
      </c>
      <c r="AF566" s="481"/>
      <c r="AG566" s="481">
        <f>IFERROR(__xludf.DUMMYFUNCTION("""COMPUTED_VALUE"""),51.0)</f>
        <v>51</v>
      </c>
      <c r="AH566" s="481"/>
      <c r="AI566" s="158"/>
      <c r="AJ566" s="158"/>
      <c r="AK566" s="133">
        <f>IFERROR(__xludf.DUMMYFUNCTION("""COMPUTED_VALUE"""),2.0)</f>
        <v>2</v>
      </c>
      <c r="AL566" s="133">
        <f>IFERROR(__xludf.DUMMYFUNCTION("""COMPUTED_VALUE"""),0.0)</f>
        <v>0</v>
      </c>
      <c r="AM566" s="133">
        <f>IFERROR(__xludf.DUMMYFUNCTION("""COMPUTED_VALUE"""),3.0)</f>
        <v>3</v>
      </c>
      <c r="AN566" s="133" t="str">
        <f>IFERROR(__xludf.DUMMYFUNCTION("""COMPUTED_VALUE"""),"2")</f>
        <v>2</v>
      </c>
      <c r="AO566" s="133">
        <f>IFERROR(__xludf.DUMMYFUNCTION("""COMPUTED_VALUE"""),3.0)</f>
        <v>3</v>
      </c>
      <c r="AP566" s="155" t="s">
        <v>3780</v>
      </c>
    </row>
    <row r="567">
      <c r="A567" s="155">
        <f>IFERROR(__xludf.DUMMYFUNCTION("""COMPUTED_VALUE"""),46.0)</f>
        <v>46</v>
      </c>
      <c r="B567" s="155" t="str">
        <f>IFERROR(__xludf.DUMMYFUNCTION("""COMPUTED_VALUE"""),"kish23aiml@cmrit.ac.in")</f>
        <v>kish23aiml@cmrit.ac.in</v>
      </c>
      <c r="C567" s="174" t="str">
        <f>IFERROR(__xludf.DUMMYFUNCTION("""COMPUTED_VALUE"""),"Kirtan Shrestha")</f>
        <v>Kirtan Shrestha</v>
      </c>
      <c r="D567" s="155" t="str">
        <f>IFERROR(__xludf.DUMMYFUNCTION("""COMPUTED_VALUE"""),"1CR23AI047")</f>
        <v>1CR23AI047</v>
      </c>
      <c r="E567" s="563">
        <f>IFERROR(__xludf.DUMMYFUNCTION("""COMPUTED_VALUE"""),9.81301985E9)</f>
        <v>9813019850</v>
      </c>
      <c r="F567" s="155" t="str">
        <f>IFERROR(__xludf.DUMMYFUNCTION("""COMPUTED_VALUE"""),"AIML")</f>
        <v>AIML</v>
      </c>
      <c r="G567" s="158"/>
      <c r="H567" s="559">
        <f>IFERROR(__xludf.DUMMYFUNCTION("""COMPUTED_VALUE"""),74.0)</f>
        <v>74</v>
      </c>
      <c r="I567" s="559">
        <f>IFERROR(__xludf.DUMMYFUNCTION("""COMPUTED_VALUE"""),84.0)</f>
        <v>84</v>
      </c>
      <c r="J567" s="559">
        <f>IFERROR(__xludf.DUMMYFUNCTION("""COMPUTED_VALUE"""),70.0)</f>
        <v>70</v>
      </c>
      <c r="K567" s="559">
        <f>IFERROR(__xludf.DUMMYFUNCTION("""COMPUTED_VALUE"""),40.0)</f>
        <v>40</v>
      </c>
      <c r="L567" s="560">
        <f>IFERROR(__xludf.DUMMYFUNCTION("""COMPUTED_VALUE"""),7.0)</f>
        <v>7</v>
      </c>
      <c r="M567" s="561">
        <f>IFERROR(__xludf.DUMMYFUNCTION("""COMPUTED_VALUE"""),21.0)</f>
        <v>21</v>
      </c>
      <c r="N567" s="561">
        <f>IFERROR(__xludf.DUMMYFUNCTION("""COMPUTED_VALUE"""),0.0)</f>
        <v>0</v>
      </c>
      <c r="O567" s="560"/>
      <c r="P567" s="562">
        <f>IFERROR(__xludf.DUMMYFUNCTION("""COMPUTED_VALUE"""),82.0)</f>
        <v>82</v>
      </c>
      <c r="Q567" s="562">
        <f>IFERROR(__xludf.DUMMYFUNCTION("""COMPUTED_VALUE"""),50.0)</f>
        <v>50</v>
      </c>
      <c r="R567" s="562">
        <f>IFERROR(__xludf.DUMMYFUNCTION("""COMPUTED_VALUE"""),0.0)</f>
        <v>0</v>
      </c>
      <c r="S567" s="562"/>
      <c r="T567" s="217">
        <f>IFERROR(__xludf.DUMMYFUNCTION("""COMPUTED_VALUE"""),10.0)</f>
        <v>10</v>
      </c>
      <c r="U567" s="217">
        <f>IFERROR(__xludf.DUMMYFUNCTION("""COMPUTED_VALUE"""),21.0)</f>
        <v>21</v>
      </c>
      <c r="V567" s="217">
        <f>IFERROR(__xludf.DUMMYFUNCTION("""COMPUTED_VALUE"""),86.0)</f>
        <v>86</v>
      </c>
      <c r="W567" s="217">
        <f>IFERROR(__xludf.DUMMYFUNCTION("""COMPUTED_VALUE"""),88.0)</f>
        <v>88</v>
      </c>
      <c r="X567" s="217">
        <f>IFERROR(__xludf.DUMMYFUNCTION("""COMPUTED_VALUE"""),76.0)</f>
        <v>76</v>
      </c>
      <c r="Y567" s="217"/>
      <c r="Z567" s="217"/>
      <c r="AA567" s="481">
        <f>IFERROR(__xludf.DUMMYFUNCTION("""COMPUTED_VALUE"""),92.0)</f>
        <v>92</v>
      </c>
      <c r="AB567" s="481">
        <f>IFERROR(__xludf.DUMMYFUNCTION("""COMPUTED_VALUE"""),86.0)</f>
        <v>86</v>
      </c>
      <c r="AC567" s="481">
        <f>IFERROR(__xludf.DUMMYFUNCTION("""COMPUTED_VALUE"""),0.0)</f>
        <v>0</v>
      </c>
      <c r="AD567" s="481">
        <f>IFERROR(__xludf.DUMMYFUNCTION("""COMPUTED_VALUE"""),0.0)</f>
        <v>0</v>
      </c>
      <c r="AE567" s="481">
        <f>IFERROR(__xludf.DUMMYFUNCTION("""COMPUTED_VALUE"""),10.0)</f>
        <v>10</v>
      </c>
      <c r="AF567" s="481"/>
      <c r="AG567" s="481">
        <f>IFERROR(__xludf.DUMMYFUNCTION("""COMPUTED_VALUE"""),0.0)</f>
        <v>0</v>
      </c>
      <c r="AH567" s="481"/>
      <c r="AI567" s="158"/>
      <c r="AJ567" s="158"/>
      <c r="AK567" s="133">
        <f>IFERROR(__xludf.DUMMYFUNCTION("""COMPUTED_VALUE"""),3.0)</f>
        <v>3</v>
      </c>
      <c r="AL567" s="133">
        <f>IFERROR(__xludf.DUMMYFUNCTION("""COMPUTED_VALUE"""),0.0)</f>
        <v>0</v>
      </c>
      <c r="AM567" s="133">
        <f>IFERROR(__xludf.DUMMYFUNCTION("""COMPUTED_VALUE"""),3.0)</f>
        <v>3</v>
      </c>
      <c r="AN567" s="133" t="str">
        <f>IFERROR(__xludf.DUMMYFUNCTION("""COMPUTED_VALUE"""),"2")</f>
        <v>2</v>
      </c>
      <c r="AO567" s="133">
        <f>IFERROR(__xludf.DUMMYFUNCTION("""COMPUTED_VALUE"""),2.0)</f>
        <v>2</v>
      </c>
      <c r="AP567" s="155" t="s">
        <v>3780</v>
      </c>
    </row>
    <row r="568">
      <c r="A568" s="155">
        <f>IFERROR(__xludf.DUMMYFUNCTION("""COMPUTED_VALUE"""),47.0)</f>
        <v>47</v>
      </c>
      <c r="B568" s="155" t="str">
        <f>IFERROR(__xludf.DUMMYFUNCTION("""COMPUTED_VALUE"""),"kore23aiml@cmrit.ac.in")</f>
        <v>kore23aiml@cmrit.ac.in</v>
      </c>
      <c r="C568" s="174" t="str">
        <f>IFERROR(__xludf.DUMMYFUNCTION("""COMPUTED_VALUE"""),"KOPPARTHI VENKATESWARLU REDDY")</f>
        <v>KOPPARTHI VENKATESWARLU REDDY</v>
      </c>
      <c r="D568" s="155" t="str">
        <f>IFERROR(__xludf.DUMMYFUNCTION("""COMPUTED_VALUE"""),"1CR23AI048")</f>
        <v>1CR23AI048</v>
      </c>
      <c r="E568" s="563">
        <f>IFERROR(__xludf.DUMMYFUNCTION("""COMPUTED_VALUE"""),9.182459067E9)</f>
        <v>9182459067</v>
      </c>
      <c r="F568" s="155" t="str">
        <f>IFERROR(__xludf.DUMMYFUNCTION("""COMPUTED_VALUE"""),"AIML")</f>
        <v>AIML</v>
      </c>
      <c r="G568" s="158"/>
      <c r="H568" s="559">
        <f>IFERROR(__xludf.DUMMYFUNCTION("""COMPUTED_VALUE"""),76.0)</f>
        <v>76</v>
      </c>
      <c r="I568" s="559">
        <f>IFERROR(__xludf.DUMMYFUNCTION("""COMPUTED_VALUE"""),70.0)</f>
        <v>70</v>
      </c>
      <c r="J568" s="559">
        <f>IFERROR(__xludf.DUMMYFUNCTION("""COMPUTED_VALUE"""),70.0)</f>
        <v>70</v>
      </c>
      <c r="K568" s="559">
        <f>IFERROR(__xludf.DUMMYFUNCTION("""COMPUTED_VALUE"""),71.0)</f>
        <v>71</v>
      </c>
      <c r="L568" s="560">
        <f>IFERROR(__xludf.DUMMYFUNCTION("""COMPUTED_VALUE"""),50.0)</f>
        <v>50</v>
      </c>
      <c r="M568" s="561">
        <f>IFERROR(__xludf.DUMMYFUNCTION("""COMPUTED_VALUE"""),50.0)</f>
        <v>50</v>
      </c>
      <c r="N568" s="561">
        <f>IFERROR(__xludf.DUMMYFUNCTION("""COMPUTED_VALUE"""),61.0)</f>
        <v>61</v>
      </c>
      <c r="O568" s="560"/>
      <c r="P568" s="562">
        <f>IFERROR(__xludf.DUMMYFUNCTION("""COMPUTED_VALUE"""),81.0)</f>
        <v>81</v>
      </c>
      <c r="Q568" s="562">
        <f>IFERROR(__xludf.DUMMYFUNCTION("""COMPUTED_VALUE"""),50.0)</f>
        <v>50</v>
      </c>
      <c r="R568" s="562">
        <f>IFERROR(__xludf.DUMMYFUNCTION("""COMPUTED_VALUE"""),73.0)</f>
        <v>73</v>
      </c>
      <c r="S568" s="562"/>
      <c r="T568" s="217">
        <f>IFERROR(__xludf.DUMMYFUNCTION("""COMPUTED_VALUE"""),11.0)</f>
        <v>11</v>
      </c>
      <c r="U568" s="217">
        <f>IFERROR(__xludf.DUMMYFUNCTION("""COMPUTED_VALUE"""),21.0)</f>
        <v>21</v>
      </c>
      <c r="V568" s="217">
        <f>IFERROR(__xludf.DUMMYFUNCTION("""COMPUTED_VALUE"""),82.0)</f>
        <v>82</v>
      </c>
      <c r="W568" s="217">
        <f>IFERROR(__xludf.DUMMYFUNCTION("""COMPUTED_VALUE"""),90.0)</f>
        <v>90</v>
      </c>
      <c r="X568" s="217">
        <f>IFERROR(__xludf.DUMMYFUNCTION("""COMPUTED_VALUE"""),74.0)</f>
        <v>74</v>
      </c>
      <c r="Y568" s="217"/>
      <c r="Z568" s="217"/>
      <c r="AA568" s="481">
        <f>IFERROR(__xludf.DUMMYFUNCTION("""COMPUTED_VALUE"""),34.0)</f>
        <v>34</v>
      </c>
      <c r="AB568" s="481">
        <f>IFERROR(__xludf.DUMMYFUNCTION("""COMPUTED_VALUE"""),97.0)</f>
        <v>97</v>
      </c>
      <c r="AC568" s="481">
        <f>IFERROR(__xludf.DUMMYFUNCTION("""COMPUTED_VALUE"""),72.0)</f>
        <v>72</v>
      </c>
      <c r="AD568" s="481">
        <f>IFERROR(__xludf.DUMMYFUNCTION("""COMPUTED_VALUE"""),2.0)</f>
        <v>2</v>
      </c>
      <c r="AE568" s="481">
        <f>IFERROR(__xludf.DUMMYFUNCTION("""COMPUTED_VALUE"""),23.0)</f>
        <v>23</v>
      </c>
      <c r="AF568" s="481"/>
      <c r="AG568" s="481">
        <f>IFERROR(__xludf.DUMMYFUNCTION("""COMPUTED_VALUE"""),72.0)</f>
        <v>72</v>
      </c>
      <c r="AH568" s="481"/>
      <c r="AI568" s="158"/>
      <c r="AJ568" s="158"/>
      <c r="AK568" s="133">
        <f>IFERROR(__xludf.DUMMYFUNCTION("""COMPUTED_VALUE"""),4.0)</f>
        <v>4</v>
      </c>
      <c r="AL568" s="133">
        <f>IFERROR(__xludf.DUMMYFUNCTION("""COMPUTED_VALUE"""),3.0)</f>
        <v>3</v>
      </c>
      <c r="AM568" s="133">
        <f>IFERROR(__xludf.DUMMYFUNCTION("""COMPUTED_VALUE"""),3.0)</f>
        <v>3</v>
      </c>
      <c r="AN568" s="133" t="str">
        <f>IFERROR(__xludf.DUMMYFUNCTION("""COMPUTED_VALUE"""),"3")</f>
        <v>3</v>
      </c>
      <c r="AO568" s="133">
        <f>IFERROR(__xludf.DUMMYFUNCTION("""COMPUTED_VALUE"""),3.0)</f>
        <v>3</v>
      </c>
      <c r="AP568" s="155" t="s">
        <v>3780</v>
      </c>
    </row>
    <row r="569">
      <c r="A569" s="155">
        <f>IFERROR(__xludf.DUMMYFUNCTION("""COMPUTED_VALUE"""),48.0)</f>
        <v>48</v>
      </c>
      <c r="B569" s="155" t="str">
        <f>IFERROR(__xludf.DUMMYFUNCTION("""COMPUTED_VALUE"""),"koha23aiml@cmrit.ac.in")</f>
        <v>koha23aiml@cmrit.ac.in</v>
      </c>
      <c r="C569" s="174" t="str">
        <f>IFERROR(__xludf.DUMMYFUNCTION("""COMPUTED_VALUE"""),"Kothakota Harshitha")</f>
        <v>Kothakota Harshitha</v>
      </c>
      <c r="D569" s="155" t="str">
        <f>IFERROR(__xludf.DUMMYFUNCTION("""COMPUTED_VALUE"""),"1CR23AI049")</f>
        <v>1CR23AI049</v>
      </c>
      <c r="E569" s="563">
        <f>IFERROR(__xludf.DUMMYFUNCTION("""COMPUTED_VALUE"""),7.619582253E9)</f>
        <v>7619582253</v>
      </c>
      <c r="F569" s="155" t="str">
        <f>IFERROR(__xludf.DUMMYFUNCTION("""COMPUTED_VALUE"""),"AIML")</f>
        <v>AIML</v>
      </c>
      <c r="G569" s="158"/>
      <c r="H569" s="559">
        <f>IFERROR(__xludf.DUMMYFUNCTION("""COMPUTED_VALUE"""),82.0)</f>
        <v>82</v>
      </c>
      <c r="I569" s="559">
        <f>IFERROR(__xludf.DUMMYFUNCTION("""COMPUTED_VALUE"""),83.0)</f>
        <v>83</v>
      </c>
      <c r="J569" s="559">
        <f>IFERROR(__xludf.DUMMYFUNCTION("""COMPUTED_VALUE"""),70.0)</f>
        <v>70</v>
      </c>
      <c r="K569" s="559">
        <f>IFERROR(__xludf.DUMMYFUNCTION("""COMPUTED_VALUE"""),70.0)</f>
        <v>70</v>
      </c>
      <c r="L569" s="560">
        <f>IFERROR(__xludf.DUMMYFUNCTION("""COMPUTED_VALUE"""),15.0)</f>
        <v>15</v>
      </c>
      <c r="M569" s="561">
        <f>IFERROR(__xludf.DUMMYFUNCTION("""COMPUTED_VALUE"""),50.0)</f>
        <v>50</v>
      </c>
      <c r="N569" s="561">
        <f>IFERROR(__xludf.DUMMYFUNCTION("""COMPUTED_VALUE"""),53.0)</f>
        <v>53</v>
      </c>
      <c r="O569" s="560"/>
      <c r="P569" s="562">
        <f>IFERROR(__xludf.DUMMYFUNCTION("""COMPUTED_VALUE"""),80.0)</f>
        <v>80</v>
      </c>
      <c r="Q569" s="562">
        <f>IFERROR(__xludf.DUMMYFUNCTION("""COMPUTED_VALUE"""),88.0)</f>
        <v>88</v>
      </c>
      <c r="R569" s="562">
        <f>IFERROR(__xludf.DUMMYFUNCTION("""COMPUTED_VALUE"""),88.0)</f>
        <v>88</v>
      </c>
      <c r="S569" s="562"/>
      <c r="T569" s="217">
        <f>IFERROR(__xludf.DUMMYFUNCTION("""COMPUTED_VALUE"""),12.0)</f>
        <v>12</v>
      </c>
      <c r="U569" s="217">
        <f>IFERROR(__xludf.DUMMYFUNCTION("""COMPUTED_VALUE"""),20.0)</f>
        <v>20</v>
      </c>
      <c r="V569" s="217">
        <f>IFERROR(__xludf.DUMMYFUNCTION("""COMPUTED_VALUE"""),86.0)</f>
        <v>86</v>
      </c>
      <c r="W569" s="217">
        <f>IFERROR(__xludf.DUMMYFUNCTION("""COMPUTED_VALUE"""),84.0)</f>
        <v>84</v>
      </c>
      <c r="X569" s="217">
        <f>IFERROR(__xludf.DUMMYFUNCTION("""COMPUTED_VALUE"""),82.0)</f>
        <v>82</v>
      </c>
      <c r="Y569" s="217"/>
      <c r="Z569" s="217"/>
      <c r="AA569" s="481">
        <f>IFERROR(__xludf.DUMMYFUNCTION("""COMPUTED_VALUE"""),76.0)</f>
        <v>76</v>
      </c>
      <c r="AB569" s="481">
        <f>IFERROR(__xludf.DUMMYFUNCTION("""COMPUTED_VALUE"""),90.0)</f>
        <v>90</v>
      </c>
      <c r="AC569" s="481">
        <f>IFERROR(__xludf.DUMMYFUNCTION("""COMPUTED_VALUE"""),62.0)</f>
        <v>62</v>
      </c>
      <c r="AD569" s="481">
        <f>IFERROR(__xludf.DUMMYFUNCTION("""COMPUTED_VALUE"""),65.0)</f>
        <v>65</v>
      </c>
      <c r="AE569" s="481">
        <f>IFERROR(__xludf.DUMMYFUNCTION("""COMPUTED_VALUE"""),70.0)</f>
        <v>70</v>
      </c>
      <c r="AF569" s="481"/>
      <c r="AG569" s="481">
        <f>IFERROR(__xludf.DUMMYFUNCTION("""COMPUTED_VALUE"""),74.0)</f>
        <v>74</v>
      </c>
      <c r="AH569" s="481"/>
      <c r="AI569" s="158"/>
      <c r="AJ569" s="158"/>
      <c r="AK569" s="133">
        <f>IFERROR(__xludf.DUMMYFUNCTION("""COMPUTED_VALUE"""),4.0)</f>
        <v>4</v>
      </c>
      <c r="AL569" s="133">
        <f>IFERROR(__xludf.DUMMYFUNCTION("""COMPUTED_VALUE"""),0.0)</f>
        <v>0</v>
      </c>
      <c r="AM569" s="133">
        <f>IFERROR(__xludf.DUMMYFUNCTION("""COMPUTED_VALUE"""),3.0)</f>
        <v>3</v>
      </c>
      <c r="AN569" s="133" t="str">
        <f>IFERROR(__xludf.DUMMYFUNCTION("""COMPUTED_VALUE"""),"3.5")</f>
        <v>3.5</v>
      </c>
      <c r="AO569" s="133">
        <f>IFERROR(__xludf.DUMMYFUNCTION("""COMPUTED_VALUE"""),3.0)</f>
        <v>3</v>
      </c>
      <c r="AP569" s="155" t="s">
        <v>3780</v>
      </c>
    </row>
    <row r="570">
      <c r="A570" s="155">
        <f>IFERROR(__xludf.DUMMYFUNCTION("""COMPUTED_VALUE"""),49.0)</f>
        <v>49</v>
      </c>
      <c r="B570" s="155" t="str">
        <f>IFERROR(__xludf.DUMMYFUNCTION("""COMPUTED_VALUE"""),"msh23aiml@cmrit.ac.in")</f>
        <v>msh23aiml@cmrit.ac.in</v>
      </c>
      <c r="C570" s="174" t="str">
        <f>IFERROR(__xludf.DUMMYFUNCTION("""COMPUTED_VALUE"""),"M SHRI RAMYA")</f>
        <v>M SHRI RAMYA</v>
      </c>
      <c r="D570" s="155" t="str">
        <f>IFERROR(__xludf.DUMMYFUNCTION("""COMPUTED_VALUE"""),"1CR23AI051")</f>
        <v>1CR23AI051</v>
      </c>
      <c r="E570" s="563">
        <f>IFERROR(__xludf.DUMMYFUNCTION("""COMPUTED_VALUE"""),9.482794025E9)</f>
        <v>9482794025</v>
      </c>
      <c r="F570" s="155" t="str">
        <f>IFERROR(__xludf.DUMMYFUNCTION("""COMPUTED_VALUE"""),"AIML")</f>
        <v>AIML</v>
      </c>
      <c r="G570" s="158"/>
      <c r="H570" s="559">
        <f>IFERROR(__xludf.DUMMYFUNCTION("""COMPUTED_VALUE"""),71.0)</f>
        <v>71</v>
      </c>
      <c r="I570" s="559">
        <f>IFERROR(__xludf.DUMMYFUNCTION("""COMPUTED_VALUE"""),83.0)</f>
        <v>83</v>
      </c>
      <c r="J570" s="559">
        <f>IFERROR(__xludf.DUMMYFUNCTION("""COMPUTED_VALUE"""),70.0)</f>
        <v>70</v>
      </c>
      <c r="K570" s="559">
        <f>IFERROR(__xludf.DUMMYFUNCTION("""COMPUTED_VALUE"""),70.0)</f>
        <v>70</v>
      </c>
      <c r="L570" s="560">
        <f>IFERROR(__xludf.DUMMYFUNCTION("""COMPUTED_VALUE"""),26.0)</f>
        <v>26</v>
      </c>
      <c r="M570" s="561">
        <f>IFERROR(__xludf.DUMMYFUNCTION("""COMPUTED_VALUE"""),50.0)</f>
        <v>50</v>
      </c>
      <c r="N570" s="561">
        <f>IFERROR(__xludf.DUMMYFUNCTION("""COMPUTED_VALUE"""),55.0)</f>
        <v>55</v>
      </c>
      <c r="O570" s="560"/>
      <c r="P570" s="562">
        <f>IFERROR(__xludf.DUMMYFUNCTION("""COMPUTED_VALUE"""),80.0)</f>
        <v>80</v>
      </c>
      <c r="Q570" s="562">
        <f>IFERROR(__xludf.DUMMYFUNCTION("""COMPUTED_VALUE"""),80.0)</f>
        <v>80</v>
      </c>
      <c r="R570" s="562">
        <f>IFERROR(__xludf.DUMMYFUNCTION("""COMPUTED_VALUE"""),85.0)</f>
        <v>85</v>
      </c>
      <c r="S570" s="562"/>
      <c r="T570" s="217">
        <f>IFERROR(__xludf.DUMMYFUNCTION("""COMPUTED_VALUE"""),12.0)</f>
        <v>12</v>
      </c>
      <c r="U570" s="217">
        <f>IFERROR(__xludf.DUMMYFUNCTION("""COMPUTED_VALUE"""),22.0)</f>
        <v>22</v>
      </c>
      <c r="V570" s="217">
        <f>IFERROR(__xludf.DUMMYFUNCTION("""COMPUTED_VALUE"""),90.0)</f>
        <v>90</v>
      </c>
      <c r="W570" s="217">
        <f>IFERROR(__xludf.DUMMYFUNCTION("""COMPUTED_VALUE"""),80.0)</f>
        <v>80</v>
      </c>
      <c r="X570" s="217">
        <f>IFERROR(__xludf.DUMMYFUNCTION("""COMPUTED_VALUE"""),74.0)</f>
        <v>74</v>
      </c>
      <c r="Y570" s="217"/>
      <c r="Z570" s="217"/>
      <c r="AA570" s="481">
        <f>IFERROR(__xludf.DUMMYFUNCTION("""COMPUTED_VALUE"""),57.0)</f>
        <v>57</v>
      </c>
      <c r="AB570" s="481">
        <f>IFERROR(__xludf.DUMMYFUNCTION("""COMPUTED_VALUE"""),95.0)</f>
        <v>95</v>
      </c>
      <c r="AC570" s="481">
        <f>IFERROR(__xludf.DUMMYFUNCTION("""COMPUTED_VALUE"""),14.0)</f>
        <v>14</v>
      </c>
      <c r="AD570" s="481">
        <f>IFERROR(__xludf.DUMMYFUNCTION("""COMPUTED_VALUE"""),71.0)</f>
        <v>71</v>
      </c>
      <c r="AE570" s="481">
        <f>IFERROR(__xludf.DUMMYFUNCTION("""COMPUTED_VALUE"""),30.0)</f>
        <v>30</v>
      </c>
      <c r="AF570" s="481"/>
      <c r="AG570" s="481">
        <f>IFERROR(__xludf.DUMMYFUNCTION("""COMPUTED_VALUE"""),95.0)</f>
        <v>95</v>
      </c>
      <c r="AH570" s="481"/>
      <c r="AI570" s="158"/>
      <c r="AJ570" s="158"/>
      <c r="AK570" s="133">
        <f>IFERROR(__xludf.DUMMYFUNCTION("""COMPUTED_VALUE"""),4.0)</f>
        <v>4</v>
      </c>
      <c r="AL570" s="133">
        <f>IFERROR(__xludf.DUMMYFUNCTION("""COMPUTED_VALUE"""),0.0)</f>
        <v>0</v>
      </c>
      <c r="AM570" s="133">
        <f>IFERROR(__xludf.DUMMYFUNCTION("""COMPUTED_VALUE"""),3.0)</f>
        <v>3</v>
      </c>
      <c r="AN570" s="133" t="str">
        <f>IFERROR(__xludf.DUMMYFUNCTION("""COMPUTED_VALUE"""),"3")</f>
        <v>3</v>
      </c>
      <c r="AO570" s="133">
        <f>IFERROR(__xludf.DUMMYFUNCTION("""COMPUTED_VALUE"""),3.0)</f>
        <v>3</v>
      </c>
      <c r="AP570" s="155" t="s">
        <v>3780</v>
      </c>
    </row>
    <row r="571">
      <c r="A571" s="155">
        <f>IFERROR(__xludf.DUMMYFUNCTION("""COMPUTED_VALUE"""),50.0)</f>
        <v>50</v>
      </c>
      <c r="B571" s="155" t="str">
        <f>IFERROR(__xludf.DUMMYFUNCTION("""COMPUTED_VALUE"""),"mama23aiml@cmrit.ac.in")</f>
        <v>mama23aiml@cmrit.ac.in</v>
      </c>
      <c r="C571" s="174" t="str">
        <f>IFERROR(__xludf.DUMMYFUNCTION("""COMPUTED_VALUE"""),"MADHAN MATTHEW S")</f>
        <v>MADHAN MATTHEW S</v>
      </c>
      <c r="D571" s="155" t="str">
        <f>IFERROR(__xludf.DUMMYFUNCTION("""COMPUTED_VALUE"""),"1CR23AI052")</f>
        <v>1CR23AI052</v>
      </c>
      <c r="E571" s="563">
        <f>IFERROR(__xludf.DUMMYFUNCTION("""COMPUTED_VALUE"""),7.89964376E9)</f>
        <v>7899643760</v>
      </c>
      <c r="F571" s="155" t="str">
        <f>IFERROR(__xludf.DUMMYFUNCTION("""COMPUTED_VALUE"""),"AIML")</f>
        <v>AIML</v>
      </c>
      <c r="G571" s="158"/>
      <c r="H571" s="559">
        <f>IFERROR(__xludf.DUMMYFUNCTION("""COMPUTED_VALUE"""),76.0)</f>
        <v>76</v>
      </c>
      <c r="I571" s="559">
        <f>IFERROR(__xludf.DUMMYFUNCTION("""COMPUTED_VALUE"""),91.0)</f>
        <v>91</v>
      </c>
      <c r="J571" s="559">
        <f>IFERROR(__xludf.DUMMYFUNCTION("""COMPUTED_VALUE"""),70.0)</f>
        <v>70</v>
      </c>
      <c r="K571" s="559">
        <f>IFERROR(__xludf.DUMMYFUNCTION("""COMPUTED_VALUE"""),70.0)</f>
        <v>70</v>
      </c>
      <c r="L571" s="560">
        <f>IFERROR(__xludf.DUMMYFUNCTION("""COMPUTED_VALUE"""),30.0)</f>
        <v>30</v>
      </c>
      <c r="M571" s="561">
        <f>IFERROR(__xludf.DUMMYFUNCTION("""COMPUTED_VALUE"""),17.0)</f>
        <v>17</v>
      </c>
      <c r="N571" s="561">
        <f>IFERROR(__xludf.DUMMYFUNCTION("""COMPUTED_VALUE"""),50.0)</f>
        <v>50</v>
      </c>
      <c r="O571" s="560"/>
      <c r="P571" s="562">
        <f>IFERROR(__xludf.DUMMYFUNCTION("""COMPUTED_VALUE"""),81.0)</f>
        <v>81</v>
      </c>
      <c r="Q571" s="562">
        <f>IFERROR(__xludf.DUMMYFUNCTION("""COMPUTED_VALUE"""),50.0)</f>
        <v>50</v>
      </c>
      <c r="R571" s="562">
        <f>IFERROR(__xludf.DUMMYFUNCTION("""COMPUTED_VALUE"""),79.0)</f>
        <v>79</v>
      </c>
      <c r="S571" s="562"/>
      <c r="T571" s="217">
        <f>IFERROR(__xludf.DUMMYFUNCTION("""COMPUTED_VALUE"""),15.0)</f>
        <v>15</v>
      </c>
      <c r="U571" s="217">
        <f>IFERROR(__xludf.DUMMYFUNCTION("""COMPUTED_VALUE"""),18.0)</f>
        <v>18</v>
      </c>
      <c r="V571" s="217">
        <f>IFERROR(__xludf.DUMMYFUNCTION("""COMPUTED_VALUE"""),0.0)</f>
        <v>0</v>
      </c>
      <c r="W571" s="217">
        <f>IFERROR(__xludf.DUMMYFUNCTION("""COMPUTED_VALUE"""),84.0)</f>
        <v>84</v>
      </c>
      <c r="X571" s="217">
        <f>IFERROR(__xludf.DUMMYFUNCTION("""COMPUTED_VALUE"""),72.0)</f>
        <v>72</v>
      </c>
      <c r="Y571" s="217"/>
      <c r="Z571" s="217"/>
      <c r="AA571" s="481">
        <f>IFERROR(__xludf.DUMMYFUNCTION("""COMPUTED_VALUE"""),50.0)</f>
        <v>50</v>
      </c>
      <c r="AB571" s="481">
        <f>IFERROR(__xludf.DUMMYFUNCTION("""COMPUTED_VALUE"""),100.0)</f>
        <v>100</v>
      </c>
      <c r="AC571" s="481">
        <f>IFERROR(__xludf.DUMMYFUNCTION("""COMPUTED_VALUE"""),80.0)</f>
        <v>80</v>
      </c>
      <c r="AD571" s="481">
        <f>IFERROR(__xludf.DUMMYFUNCTION("""COMPUTED_VALUE"""),2.0)</f>
        <v>2</v>
      </c>
      <c r="AE571" s="481">
        <f>IFERROR(__xludf.DUMMYFUNCTION("""COMPUTED_VALUE"""),60.0)</f>
        <v>60</v>
      </c>
      <c r="AF571" s="481"/>
      <c r="AG571" s="481">
        <f>IFERROR(__xludf.DUMMYFUNCTION("""COMPUTED_VALUE"""),48.0)</f>
        <v>48</v>
      </c>
      <c r="AH571" s="481"/>
      <c r="AI571" s="158"/>
      <c r="AJ571" s="158"/>
      <c r="AK571" s="133">
        <f>IFERROR(__xludf.DUMMYFUNCTION("""COMPUTED_VALUE"""),4.0)</f>
        <v>4</v>
      </c>
      <c r="AL571" s="133">
        <f>IFERROR(__xludf.DUMMYFUNCTION("""COMPUTED_VALUE"""),0.0)</f>
        <v>0</v>
      </c>
      <c r="AM571" s="133">
        <f>IFERROR(__xludf.DUMMYFUNCTION("""COMPUTED_VALUE"""),3.0)</f>
        <v>3</v>
      </c>
      <c r="AN571" s="133" t="str">
        <f>IFERROR(__xludf.DUMMYFUNCTION("""COMPUTED_VALUE"""),"3")</f>
        <v>3</v>
      </c>
      <c r="AO571" s="133">
        <f>IFERROR(__xludf.DUMMYFUNCTION("""COMPUTED_VALUE"""),3.0)</f>
        <v>3</v>
      </c>
      <c r="AP571" s="155" t="s">
        <v>3780</v>
      </c>
    </row>
    <row r="572">
      <c r="A572" s="155">
        <f>IFERROR(__xludf.DUMMYFUNCTION("""COMPUTED_VALUE"""),51.0)</f>
        <v>51</v>
      </c>
      <c r="B572" s="155" t="str">
        <f>IFERROR(__xludf.DUMMYFUNCTION("""COMPUTED_VALUE"""),"ma23aiml@cmrit.ac.in")</f>
        <v>ma23aiml@cmrit.ac.in</v>
      </c>
      <c r="C572" s="174" t="str">
        <f>IFERROR(__xludf.DUMMYFUNCTION("""COMPUTED_VALUE"""),"MAHADEV")</f>
        <v>MAHADEV</v>
      </c>
      <c r="D572" s="155" t="str">
        <f>IFERROR(__xludf.DUMMYFUNCTION("""COMPUTED_VALUE"""),"1CR23AI053")</f>
        <v>1CR23AI053</v>
      </c>
      <c r="E572" s="563">
        <f>IFERROR(__xludf.DUMMYFUNCTION("""COMPUTED_VALUE"""),9.019322854E9)</f>
        <v>9019322854</v>
      </c>
      <c r="F572" s="155" t="str">
        <f>IFERROR(__xludf.DUMMYFUNCTION("""COMPUTED_VALUE"""),"AIML")</f>
        <v>AIML</v>
      </c>
      <c r="G572" s="158"/>
      <c r="H572" s="559">
        <f>IFERROR(__xludf.DUMMYFUNCTION("""COMPUTED_VALUE"""),70.0)</f>
        <v>70</v>
      </c>
      <c r="I572" s="559">
        <f>IFERROR(__xludf.DUMMYFUNCTION("""COMPUTED_VALUE"""),83.0)</f>
        <v>83</v>
      </c>
      <c r="J572" s="559">
        <f>IFERROR(__xludf.DUMMYFUNCTION("""COMPUTED_VALUE"""),70.0)</f>
        <v>70</v>
      </c>
      <c r="K572" s="559">
        <f>IFERROR(__xludf.DUMMYFUNCTION("""COMPUTED_VALUE"""),70.0)</f>
        <v>70</v>
      </c>
      <c r="L572" s="560">
        <f>IFERROR(__xludf.DUMMYFUNCTION("""COMPUTED_VALUE"""),50.0)</f>
        <v>50</v>
      </c>
      <c r="M572" s="561">
        <f>IFERROR(__xludf.DUMMYFUNCTION("""COMPUTED_VALUE"""),50.0)</f>
        <v>50</v>
      </c>
      <c r="N572" s="561">
        <f>IFERROR(__xludf.DUMMYFUNCTION("""COMPUTED_VALUE"""),50.0)</f>
        <v>50</v>
      </c>
      <c r="O572" s="560"/>
      <c r="P572" s="562">
        <f>IFERROR(__xludf.DUMMYFUNCTION("""COMPUTED_VALUE"""),50.0)</f>
        <v>50</v>
      </c>
      <c r="Q572" s="562">
        <f>IFERROR(__xludf.DUMMYFUNCTION("""COMPUTED_VALUE"""),73.0)</f>
        <v>73</v>
      </c>
      <c r="R572" s="562">
        <f>IFERROR(__xludf.DUMMYFUNCTION("""COMPUTED_VALUE"""),80.0)</f>
        <v>80</v>
      </c>
      <c r="S572" s="562"/>
      <c r="T572" s="217">
        <f>IFERROR(__xludf.DUMMYFUNCTION("""COMPUTED_VALUE"""),5.0)</f>
        <v>5</v>
      </c>
      <c r="U572" s="217"/>
      <c r="V572" s="217">
        <f>IFERROR(__xludf.DUMMYFUNCTION("""COMPUTED_VALUE"""),94.0)</f>
        <v>94</v>
      </c>
      <c r="W572" s="217">
        <f>IFERROR(__xludf.DUMMYFUNCTION("""COMPUTED_VALUE"""),84.0)</f>
        <v>84</v>
      </c>
      <c r="X572" s="217">
        <f>IFERROR(__xludf.DUMMYFUNCTION("""COMPUTED_VALUE"""),70.0)</f>
        <v>70</v>
      </c>
      <c r="Y572" s="217"/>
      <c r="Z572" s="217"/>
      <c r="AA572" s="481">
        <f>IFERROR(__xludf.DUMMYFUNCTION("""COMPUTED_VALUE"""),22.0)</f>
        <v>22</v>
      </c>
      <c r="AB572" s="481">
        <f>IFERROR(__xludf.DUMMYFUNCTION("""COMPUTED_VALUE"""),90.0)</f>
        <v>90</v>
      </c>
      <c r="AC572" s="481">
        <f>IFERROR(__xludf.DUMMYFUNCTION("""COMPUTED_VALUE"""),91.0)</f>
        <v>91</v>
      </c>
      <c r="AD572" s="481">
        <f>IFERROR(__xludf.DUMMYFUNCTION("""COMPUTED_VALUE"""),100.0)</f>
        <v>100</v>
      </c>
      <c r="AE572" s="481">
        <f>IFERROR(__xludf.DUMMYFUNCTION("""COMPUTED_VALUE"""),40.0)</f>
        <v>40</v>
      </c>
      <c r="AF572" s="481"/>
      <c r="AG572" s="481">
        <f>IFERROR(__xludf.DUMMYFUNCTION("""COMPUTED_VALUE"""),83.0)</f>
        <v>83</v>
      </c>
      <c r="AH572" s="481"/>
      <c r="AI572" s="158"/>
      <c r="AJ572" s="158"/>
      <c r="AK572" s="133">
        <f>IFERROR(__xludf.DUMMYFUNCTION("""COMPUTED_VALUE"""),4.0)</f>
        <v>4</v>
      </c>
      <c r="AL572" s="133">
        <f>IFERROR(__xludf.DUMMYFUNCTION("""COMPUTED_VALUE"""),3.0)</f>
        <v>3</v>
      </c>
      <c r="AM572" s="133">
        <f>IFERROR(__xludf.DUMMYFUNCTION("""COMPUTED_VALUE"""),3.0)</f>
        <v>3</v>
      </c>
      <c r="AN572" s="133" t="str">
        <f>IFERROR(__xludf.DUMMYFUNCTION("""COMPUTED_VALUE"""),"3")</f>
        <v>3</v>
      </c>
      <c r="AO572" s="133">
        <f>IFERROR(__xludf.DUMMYFUNCTION("""COMPUTED_VALUE"""),3.0)</f>
        <v>3</v>
      </c>
      <c r="AP572" s="155" t="s">
        <v>3780</v>
      </c>
    </row>
    <row r="573">
      <c r="A573" s="155">
        <f>IFERROR(__xludf.DUMMYFUNCTION("""COMPUTED_VALUE"""),52.0)</f>
        <v>52</v>
      </c>
      <c r="B573" s="155" t="str">
        <f>IFERROR(__xludf.DUMMYFUNCTION("""COMPUTED_VALUE"""),"masu23aiml@cmrit.ac.in")</f>
        <v>masu23aiml@cmrit.ac.in</v>
      </c>
      <c r="C573" s="174" t="str">
        <f>IFERROR(__xludf.DUMMYFUNCTION("""COMPUTED_VALUE"""),"MALLIKARJUN SUGAREDDY")</f>
        <v>MALLIKARJUN SUGAREDDY</v>
      </c>
      <c r="D573" s="155" t="str">
        <f>IFERROR(__xludf.DUMMYFUNCTION("""COMPUTED_VALUE"""),"1CR23AI054")</f>
        <v>1CR23AI054</v>
      </c>
      <c r="E573" s="563">
        <f>IFERROR(__xludf.DUMMYFUNCTION("""COMPUTED_VALUE"""),8.884694388E9)</f>
        <v>8884694388</v>
      </c>
      <c r="F573" s="155" t="str">
        <f>IFERROR(__xludf.DUMMYFUNCTION("""COMPUTED_VALUE"""),"AIML")</f>
        <v>AIML</v>
      </c>
      <c r="G573" s="158"/>
      <c r="H573" s="559">
        <f>IFERROR(__xludf.DUMMYFUNCTION("""COMPUTED_VALUE"""),78.0)</f>
        <v>78</v>
      </c>
      <c r="I573" s="559">
        <f>IFERROR(__xludf.DUMMYFUNCTION("""COMPUTED_VALUE"""),78.0)</f>
        <v>78</v>
      </c>
      <c r="J573" s="559">
        <f>IFERROR(__xludf.DUMMYFUNCTION("""COMPUTED_VALUE"""),46.0)</f>
        <v>46</v>
      </c>
      <c r="K573" s="559">
        <f>IFERROR(__xludf.DUMMYFUNCTION("""COMPUTED_VALUE"""),42.0)</f>
        <v>42</v>
      </c>
      <c r="L573" s="560">
        <f>IFERROR(__xludf.DUMMYFUNCTION("""COMPUTED_VALUE"""),9.0)</f>
        <v>9</v>
      </c>
      <c r="M573" s="561">
        <f>IFERROR(__xludf.DUMMYFUNCTION("""COMPUTED_VALUE"""),4.0)</f>
        <v>4</v>
      </c>
      <c r="N573" s="561">
        <f>IFERROR(__xludf.DUMMYFUNCTION("""COMPUTED_VALUE"""),0.0)</f>
        <v>0</v>
      </c>
      <c r="O573" s="560"/>
      <c r="P573" s="562">
        <f>IFERROR(__xludf.DUMMYFUNCTION("""COMPUTED_VALUE"""),77.0)</f>
        <v>77</v>
      </c>
      <c r="Q573" s="562">
        <f>IFERROR(__xludf.DUMMYFUNCTION("""COMPUTED_VALUE"""),0.0)</f>
        <v>0</v>
      </c>
      <c r="R573" s="562">
        <f>IFERROR(__xludf.DUMMYFUNCTION("""COMPUTED_VALUE"""),0.0)</f>
        <v>0</v>
      </c>
      <c r="S573" s="562"/>
      <c r="T573" s="217">
        <f>IFERROR(__xludf.DUMMYFUNCTION("""COMPUTED_VALUE"""),18.0)</f>
        <v>18</v>
      </c>
      <c r="U573" s="217">
        <f>IFERROR(__xludf.DUMMYFUNCTION("""COMPUTED_VALUE"""),16.0)</f>
        <v>16</v>
      </c>
      <c r="V573" s="217">
        <f>IFERROR(__xludf.DUMMYFUNCTION("""COMPUTED_VALUE"""),0.0)</f>
        <v>0</v>
      </c>
      <c r="W573" s="217">
        <f>IFERROR(__xludf.DUMMYFUNCTION("""COMPUTED_VALUE"""),0.0)</f>
        <v>0</v>
      </c>
      <c r="X573" s="217">
        <f>IFERROR(__xludf.DUMMYFUNCTION("""COMPUTED_VALUE"""),78.0)</f>
        <v>78</v>
      </c>
      <c r="Y573" s="217"/>
      <c r="Z573" s="217"/>
      <c r="AA573" s="481">
        <f>IFERROR(__xludf.DUMMYFUNCTION("""COMPUTED_VALUE"""),42.0)</f>
        <v>42</v>
      </c>
      <c r="AB573" s="481">
        <f>IFERROR(__xludf.DUMMYFUNCTION("""COMPUTED_VALUE"""),0.0)</f>
        <v>0</v>
      </c>
      <c r="AC573" s="481">
        <f>IFERROR(__xludf.DUMMYFUNCTION("""COMPUTED_VALUE"""),0.0)</f>
        <v>0</v>
      </c>
      <c r="AD573" s="481">
        <f>IFERROR(__xludf.DUMMYFUNCTION("""COMPUTED_VALUE"""),0.0)</f>
        <v>0</v>
      </c>
      <c r="AE573" s="481">
        <f>IFERROR(__xludf.DUMMYFUNCTION("""COMPUTED_VALUE"""),10.0)</f>
        <v>10</v>
      </c>
      <c r="AF573" s="481"/>
      <c r="AG573" s="481">
        <f>IFERROR(__xludf.DUMMYFUNCTION("""COMPUTED_VALUE"""),13.0)</f>
        <v>13</v>
      </c>
      <c r="AH573" s="481"/>
      <c r="AI573" s="158"/>
      <c r="AJ573" s="158"/>
      <c r="AK573" s="133">
        <f>IFERROR(__xludf.DUMMYFUNCTION("""COMPUTED_VALUE"""),2.0)</f>
        <v>2</v>
      </c>
      <c r="AL573" s="133">
        <f>IFERROR(__xludf.DUMMYFUNCTION("""COMPUTED_VALUE"""),0.0)</f>
        <v>0</v>
      </c>
      <c r="AM573" s="133">
        <f>IFERROR(__xludf.DUMMYFUNCTION("""COMPUTED_VALUE"""),2.0)</f>
        <v>2</v>
      </c>
      <c r="AN573" s="133" t="str">
        <f>IFERROR(__xludf.DUMMYFUNCTION("""COMPUTED_VALUE"""),"0")</f>
        <v>0</v>
      </c>
      <c r="AO573" s="133">
        <f>IFERROR(__xludf.DUMMYFUNCTION("""COMPUTED_VALUE"""),1.0)</f>
        <v>1</v>
      </c>
      <c r="AP573" s="155" t="s">
        <v>3780</v>
      </c>
    </row>
    <row r="574">
      <c r="A574" s="155">
        <f>IFERROR(__xludf.DUMMYFUNCTION("""COMPUTED_VALUE"""),53.0)</f>
        <v>53</v>
      </c>
      <c r="B574" s="155" t="str">
        <f>IFERROR(__xludf.DUMMYFUNCTION("""COMPUTED_VALUE"""),"mads23aiml@cmrit.ac.in")</f>
        <v>mads23aiml@cmrit.ac.in</v>
      </c>
      <c r="C574" s="174" t="str">
        <f>IFERROR(__xludf.DUMMYFUNCTION("""COMPUTED_VALUE"""),"MANISH D S")</f>
        <v>MANISH D S</v>
      </c>
      <c r="D574" s="155" t="str">
        <f>IFERROR(__xludf.DUMMYFUNCTION("""COMPUTED_VALUE"""),"1CR23AI055")</f>
        <v>1CR23AI055</v>
      </c>
      <c r="E574" s="563">
        <f>IFERROR(__xludf.DUMMYFUNCTION("""COMPUTED_VALUE"""),8.792261467E9)</f>
        <v>8792261467</v>
      </c>
      <c r="F574" s="155" t="str">
        <f>IFERROR(__xludf.DUMMYFUNCTION("""COMPUTED_VALUE"""),"AIML")</f>
        <v>AIML</v>
      </c>
      <c r="G574" s="158"/>
      <c r="H574" s="559">
        <f>IFERROR(__xludf.DUMMYFUNCTION("""COMPUTED_VALUE"""),63.0)</f>
        <v>63</v>
      </c>
      <c r="I574" s="559">
        <f>IFERROR(__xludf.DUMMYFUNCTION("""COMPUTED_VALUE"""),69.0)</f>
        <v>69</v>
      </c>
      <c r="J574" s="559">
        <f>IFERROR(__xludf.DUMMYFUNCTION("""COMPUTED_VALUE"""),43.0)</f>
        <v>43</v>
      </c>
      <c r="K574" s="559">
        <f>IFERROR(__xludf.DUMMYFUNCTION("""COMPUTED_VALUE"""),70.0)</f>
        <v>70</v>
      </c>
      <c r="L574" s="560">
        <f>IFERROR(__xludf.DUMMYFUNCTION("""COMPUTED_VALUE"""),20.0)</f>
        <v>20</v>
      </c>
      <c r="M574" s="561">
        <f>IFERROR(__xludf.DUMMYFUNCTION("""COMPUTED_VALUE"""),13.0)</f>
        <v>13</v>
      </c>
      <c r="N574" s="561">
        <f>IFERROR(__xludf.DUMMYFUNCTION("""COMPUTED_VALUE"""),0.0)</f>
        <v>0</v>
      </c>
      <c r="O574" s="560"/>
      <c r="P574" s="562">
        <f>IFERROR(__xludf.DUMMYFUNCTION("""COMPUTED_VALUE"""),0.0)</f>
        <v>0</v>
      </c>
      <c r="Q574" s="562">
        <f>IFERROR(__xludf.DUMMYFUNCTION("""COMPUTED_VALUE"""),0.0)</f>
        <v>0</v>
      </c>
      <c r="R574" s="562">
        <f>IFERROR(__xludf.DUMMYFUNCTION("""COMPUTED_VALUE"""),0.0)</f>
        <v>0</v>
      </c>
      <c r="S574" s="562"/>
      <c r="T574" s="217">
        <f>IFERROR(__xludf.DUMMYFUNCTION("""COMPUTED_VALUE"""),15.0)</f>
        <v>15</v>
      </c>
      <c r="U574" s="217">
        <f>IFERROR(__xludf.DUMMYFUNCTION("""COMPUTED_VALUE"""),16.0)</f>
        <v>16</v>
      </c>
      <c r="V574" s="217">
        <f>IFERROR(__xludf.DUMMYFUNCTION("""COMPUTED_VALUE"""),92.0)</f>
        <v>92</v>
      </c>
      <c r="W574" s="217">
        <f>IFERROR(__xludf.DUMMYFUNCTION("""COMPUTED_VALUE"""),0.0)</f>
        <v>0</v>
      </c>
      <c r="X574" s="217">
        <f>IFERROR(__xludf.DUMMYFUNCTION("""COMPUTED_VALUE"""),72.0)</f>
        <v>72</v>
      </c>
      <c r="Y574" s="217"/>
      <c r="Z574" s="217"/>
      <c r="AA574" s="481">
        <f>IFERROR(__xludf.DUMMYFUNCTION("""COMPUTED_VALUE"""),16.0)</f>
        <v>16</v>
      </c>
      <c r="AB574" s="481">
        <f>IFERROR(__xludf.DUMMYFUNCTION("""COMPUTED_VALUE"""),45.0)</f>
        <v>45</v>
      </c>
      <c r="AC574" s="481">
        <f>IFERROR(__xludf.DUMMYFUNCTION("""COMPUTED_VALUE"""),0.0)</f>
        <v>0</v>
      </c>
      <c r="AD574" s="481">
        <f>IFERROR(__xludf.DUMMYFUNCTION("""COMPUTED_VALUE"""),0.0)</f>
        <v>0</v>
      </c>
      <c r="AE574" s="481">
        <f>IFERROR(__xludf.DUMMYFUNCTION("""COMPUTED_VALUE"""),10.0)</f>
        <v>10</v>
      </c>
      <c r="AF574" s="481"/>
      <c r="AG574" s="481">
        <f>IFERROR(__xludf.DUMMYFUNCTION("""COMPUTED_VALUE"""),0.0)</f>
        <v>0</v>
      </c>
      <c r="AH574" s="481"/>
      <c r="AI574" s="158"/>
      <c r="AJ574" s="158"/>
      <c r="AK574" s="133">
        <f>IFERROR(__xludf.DUMMYFUNCTION("""COMPUTED_VALUE"""),0.0)</f>
        <v>0</v>
      </c>
      <c r="AL574" s="133">
        <f>IFERROR(__xludf.DUMMYFUNCTION("""COMPUTED_VALUE"""),0.0)</f>
        <v>0</v>
      </c>
      <c r="AM574" s="133">
        <f>IFERROR(__xludf.DUMMYFUNCTION("""COMPUTED_VALUE"""),2.0)</f>
        <v>2</v>
      </c>
      <c r="AN574" s="133" t="str">
        <f>IFERROR(__xludf.DUMMYFUNCTION("""COMPUTED_VALUE"""),"0")</f>
        <v>0</v>
      </c>
      <c r="AO574" s="133">
        <f>IFERROR(__xludf.DUMMYFUNCTION("""COMPUTED_VALUE"""),0.0)</f>
        <v>0</v>
      </c>
      <c r="AP574" s="155" t="s">
        <v>3780</v>
      </c>
    </row>
    <row r="575">
      <c r="A575" s="155">
        <f>IFERROR(__xludf.DUMMYFUNCTION("""COMPUTED_VALUE"""),54.0)</f>
        <v>54</v>
      </c>
      <c r="B575" s="155" t="str">
        <f>IFERROR(__xludf.DUMMYFUNCTION("""COMPUTED_VALUE"""),"magj23aiml@cmrit.ac.in")</f>
        <v>magj23aiml@cmrit.ac.in</v>
      </c>
      <c r="C575" s="174" t="str">
        <f>IFERROR(__xludf.DUMMYFUNCTION("""COMPUTED_VALUE"""),"MANOJ G J")</f>
        <v>MANOJ G J</v>
      </c>
      <c r="D575" s="155" t="str">
        <f>IFERROR(__xludf.DUMMYFUNCTION("""COMPUTED_VALUE"""),"1CR23AI056")</f>
        <v>1CR23AI056</v>
      </c>
      <c r="E575" s="563">
        <f>IFERROR(__xludf.DUMMYFUNCTION("""COMPUTED_VALUE"""),7.892592426E9)</f>
        <v>7892592426</v>
      </c>
      <c r="F575" s="155" t="str">
        <f>IFERROR(__xludf.DUMMYFUNCTION("""COMPUTED_VALUE"""),"AIML")</f>
        <v>AIML</v>
      </c>
      <c r="G575" s="158"/>
      <c r="H575" s="559">
        <f>IFERROR(__xludf.DUMMYFUNCTION("""COMPUTED_VALUE"""),65.0)</f>
        <v>65</v>
      </c>
      <c r="I575" s="559">
        <f>IFERROR(__xludf.DUMMYFUNCTION("""COMPUTED_VALUE"""),70.0)</f>
        <v>70</v>
      </c>
      <c r="J575" s="559">
        <f>IFERROR(__xludf.DUMMYFUNCTION("""COMPUTED_VALUE"""),70.0)</f>
        <v>70</v>
      </c>
      <c r="K575" s="559">
        <f>IFERROR(__xludf.DUMMYFUNCTION("""COMPUTED_VALUE"""),70.0)</f>
        <v>70</v>
      </c>
      <c r="L575" s="560">
        <f>IFERROR(__xludf.DUMMYFUNCTION("""COMPUTED_VALUE"""),1.0)</f>
        <v>1</v>
      </c>
      <c r="M575" s="561">
        <f>IFERROR(__xludf.DUMMYFUNCTION("""COMPUTED_VALUE"""),50.0)</f>
        <v>50</v>
      </c>
      <c r="N575" s="561">
        <f>IFERROR(__xludf.DUMMYFUNCTION("""COMPUTED_VALUE"""),50.0)</f>
        <v>50</v>
      </c>
      <c r="O575" s="560"/>
      <c r="P575" s="562">
        <f>IFERROR(__xludf.DUMMYFUNCTION("""COMPUTED_VALUE"""),80.0)</f>
        <v>80</v>
      </c>
      <c r="Q575" s="562">
        <f>IFERROR(__xludf.DUMMYFUNCTION("""COMPUTED_VALUE"""),50.0)</f>
        <v>50</v>
      </c>
      <c r="R575" s="562">
        <f>IFERROR(__xludf.DUMMYFUNCTION("""COMPUTED_VALUE"""),67.0)</f>
        <v>67</v>
      </c>
      <c r="S575" s="562"/>
      <c r="T575" s="217">
        <f>IFERROR(__xludf.DUMMYFUNCTION("""COMPUTED_VALUE"""),11.0)</f>
        <v>11</v>
      </c>
      <c r="U575" s="217">
        <f>IFERROR(__xludf.DUMMYFUNCTION("""COMPUTED_VALUE"""),12.0)</f>
        <v>12</v>
      </c>
      <c r="V575" s="217">
        <f>IFERROR(__xludf.DUMMYFUNCTION("""COMPUTED_VALUE"""),88.0)</f>
        <v>88</v>
      </c>
      <c r="W575" s="217">
        <f>IFERROR(__xludf.DUMMYFUNCTION("""COMPUTED_VALUE"""),84.0)</f>
        <v>84</v>
      </c>
      <c r="X575" s="217">
        <f>IFERROR(__xludf.DUMMYFUNCTION("""COMPUTED_VALUE"""),74.0)</f>
        <v>74</v>
      </c>
      <c r="Y575" s="217"/>
      <c r="Z575" s="217"/>
      <c r="AA575" s="481">
        <f>IFERROR(__xludf.DUMMYFUNCTION("""COMPUTED_VALUE"""),50.0)</f>
        <v>50</v>
      </c>
      <c r="AB575" s="481">
        <f>IFERROR(__xludf.DUMMYFUNCTION("""COMPUTED_VALUE"""),100.0)</f>
        <v>100</v>
      </c>
      <c r="AC575" s="481">
        <f>IFERROR(__xludf.DUMMYFUNCTION("""COMPUTED_VALUE"""),92.0)</f>
        <v>92</v>
      </c>
      <c r="AD575" s="481">
        <f>IFERROR(__xludf.DUMMYFUNCTION("""COMPUTED_VALUE"""),0.0)</f>
        <v>0</v>
      </c>
      <c r="AE575" s="481">
        <f>IFERROR(__xludf.DUMMYFUNCTION("""COMPUTED_VALUE"""),35.0)</f>
        <v>35</v>
      </c>
      <c r="AF575" s="481"/>
      <c r="AG575" s="481">
        <f>IFERROR(__xludf.DUMMYFUNCTION("""COMPUTED_VALUE"""),70.0)</f>
        <v>70</v>
      </c>
      <c r="AH575" s="481"/>
      <c r="AI575" s="158"/>
      <c r="AJ575" s="158"/>
      <c r="AK575" s="133">
        <f>IFERROR(__xludf.DUMMYFUNCTION("""COMPUTED_VALUE"""),4.0)</f>
        <v>4</v>
      </c>
      <c r="AL575" s="133">
        <f>IFERROR(__xludf.DUMMYFUNCTION("""COMPUTED_VALUE"""),0.0)</f>
        <v>0</v>
      </c>
      <c r="AM575" s="133">
        <f>IFERROR(__xludf.DUMMYFUNCTION("""COMPUTED_VALUE"""),3.0)</f>
        <v>3</v>
      </c>
      <c r="AN575" s="133" t="str">
        <f>IFERROR(__xludf.DUMMYFUNCTION("""COMPUTED_VALUE"""),"#REF!")</f>
        <v>#REF!</v>
      </c>
      <c r="AO575" s="133">
        <f>IFERROR(__xludf.DUMMYFUNCTION("""COMPUTED_VALUE"""),3.0)</f>
        <v>3</v>
      </c>
      <c r="AP575" s="155" t="s">
        <v>3780</v>
      </c>
    </row>
    <row r="576">
      <c r="A576" s="155">
        <f>IFERROR(__xludf.DUMMYFUNCTION("""COMPUTED_VALUE"""),55.0)</f>
        <v>55</v>
      </c>
      <c r="B576" s="155" t="str">
        <f>IFERROR(__xludf.DUMMYFUNCTION("""COMPUTED_VALUE"""),"masa23aiml@cmrit.ac.in")</f>
        <v>masa23aiml@cmrit.ac.in</v>
      </c>
      <c r="C576" s="174" t="str">
        <f>IFERROR(__xludf.DUMMYFUNCTION("""COMPUTED_VALUE"""),"MANOJ SASIKUMAR")</f>
        <v>MANOJ SASIKUMAR</v>
      </c>
      <c r="D576" s="155" t="str">
        <f>IFERROR(__xludf.DUMMYFUNCTION("""COMPUTED_VALUE"""),"1CR23AI058")</f>
        <v>1CR23AI058</v>
      </c>
      <c r="E576" s="563">
        <f>IFERROR(__xludf.DUMMYFUNCTION("""COMPUTED_VALUE"""),7.899390739E9)</f>
        <v>7899390739</v>
      </c>
      <c r="F576" s="155" t="str">
        <f>IFERROR(__xludf.DUMMYFUNCTION("""COMPUTED_VALUE"""),"AIML")</f>
        <v>AIML</v>
      </c>
      <c r="G576" s="158"/>
      <c r="H576" s="559">
        <f>IFERROR(__xludf.DUMMYFUNCTION("""COMPUTED_VALUE"""),73.0)</f>
        <v>73</v>
      </c>
      <c r="I576" s="559">
        <f>IFERROR(__xludf.DUMMYFUNCTION("""COMPUTED_VALUE"""),81.0)</f>
        <v>81</v>
      </c>
      <c r="J576" s="559">
        <f>IFERROR(__xludf.DUMMYFUNCTION("""COMPUTED_VALUE"""),70.0)</f>
        <v>70</v>
      </c>
      <c r="K576" s="559">
        <f>IFERROR(__xludf.DUMMYFUNCTION("""COMPUTED_VALUE"""),70.0)</f>
        <v>70</v>
      </c>
      <c r="L576" s="560">
        <f>IFERROR(__xludf.DUMMYFUNCTION("""COMPUTED_VALUE"""),16.0)</f>
        <v>16</v>
      </c>
      <c r="M576" s="561">
        <f>IFERROR(__xludf.DUMMYFUNCTION("""COMPUTED_VALUE"""),12.0)</f>
        <v>12</v>
      </c>
      <c r="N576" s="561">
        <f>IFERROR(__xludf.DUMMYFUNCTION("""COMPUTED_VALUE"""),50.0)</f>
        <v>50</v>
      </c>
      <c r="O576" s="560"/>
      <c r="P576" s="562">
        <f>IFERROR(__xludf.DUMMYFUNCTION("""COMPUTED_VALUE"""),80.0)</f>
        <v>80</v>
      </c>
      <c r="Q576" s="562">
        <f>IFERROR(__xludf.DUMMYFUNCTION("""COMPUTED_VALUE"""),50.0)</f>
        <v>50</v>
      </c>
      <c r="R576" s="562">
        <f>IFERROR(__xludf.DUMMYFUNCTION("""COMPUTED_VALUE"""),73.0)</f>
        <v>73</v>
      </c>
      <c r="S576" s="562"/>
      <c r="T576" s="217">
        <f>IFERROR(__xludf.DUMMYFUNCTION("""COMPUTED_VALUE"""),12.0)</f>
        <v>12</v>
      </c>
      <c r="U576" s="217">
        <f>IFERROR(__xludf.DUMMYFUNCTION("""COMPUTED_VALUE"""),18.0)</f>
        <v>18</v>
      </c>
      <c r="V576" s="217">
        <f>IFERROR(__xludf.DUMMYFUNCTION("""COMPUTED_VALUE"""),0.0)</f>
        <v>0</v>
      </c>
      <c r="W576" s="217">
        <f>IFERROR(__xludf.DUMMYFUNCTION("""COMPUTED_VALUE"""),84.0)</f>
        <v>84</v>
      </c>
      <c r="X576" s="217">
        <f>IFERROR(__xludf.DUMMYFUNCTION("""COMPUTED_VALUE"""),68.0)</f>
        <v>68</v>
      </c>
      <c r="Y576" s="217"/>
      <c r="Z576" s="217"/>
      <c r="AA576" s="481">
        <f>IFERROR(__xludf.DUMMYFUNCTION("""COMPUTED_VALUE"""),39.6)</f>
        <v>39.6</v>
      </c>
      <c r="AB576" s="481">
        <f>IFERROR(__xludf.DUMMYFUNCTION("""COMPUTED_VALUE"""),100.0)</f>
        <v>100</v>
      </c>
      <c r="AC576" s="481">
        <f>IFERROR(__xludf.DUMMYFUNCTION("""COMPUTED_VALUE"""),90.0)</f>
        <v>90</v>
      </c>
      <c r="AD576" s="481">
        <f>IFERROR(__xludf.DUMMYFUNCTION("""COMPUTED_VALUE"""),3.0)</f>
        <v>3</v>
      </c>
      <c r="AE576" s="481">
        <f>IFERROR(__xludf.DUMMYFUNCTION("""COMPUTED_VALUE"""),15.0)</f>
        <v>15</v>
      </c>
      <c r="AF576" s="481"/>
      <c r="AG576" s="481">
        <f>IFERROR(__xludf.DUMMYFUNCTION("""COMPUTED_VALUE"""),48.0)</f>
        <v>48</v>
      </c>
      <c r="AH576" s="481"/>
      <c r="AI576" s="158"/>
      <c r="AJ576" s="158"/>
      <c r="AK576" s="133">
        <f>IFERROR(__xludf.DUMMYFUNCTION("""COMPUTED_VALUE"""),4.0)</f>
        <v>4</v>
      </c>
      <c r="AL576" s="133">
        <f>IFERROR(__xludf.DUMMYFUNCTION("""COMPUTED_VALUE"""),0.0)</f>
        <v>0</v>
      </c>
      <c r="AM576" s="133">
        <f>IFERROR(__xludf.DUMMYFUNCTION("""COMPUTED_VALUE"""),3.0)</f>
        <v>3</v>
      </c>
      <c r="AN576" s="133" t="str">
        <f>IFERROR(__xludf.DUMMYFUNCTION("""COMPUTED_VALUE"""),"3")</f>
        <v>3</v>
      </c>
      <c r="AO576" s="133">
        <f>IFERROR(__xludf.DUMMYFUNCTION("""COMPUTED_VALUE"""),3.0)</f>
        <v>3</v>
      </c>
      <c r="AP576" s="155" t="s">
        <v>3780</v>
      </c>
    </row>
    <row r="577">
      <c r="A577" s="155">
        <f>IFERROR(__xludf.DUMMYFUNCTION("""COMPUTED_VALUE"""),56.0)</f>
        <v>56</v>
      </c>
      <c r="B577" s="155" t="str">
        <f>IFERROR(__xludf.DUMMYFUNCTION("""COMPUTED_VALUE"""),"maha23aiml@cmrit.ac.in")</f>
        <v>maha23aiml@cmrit.ac.in</v>
      </c>
      <c r="C577" s="174" t="str">
        <f>IFERROR(__xludf.DUMMYFUNCTION("""COMPUTED_VALUE"""),"Mansi Arunkumar Harti")</f>
        <v>Mansi Arunkumar Harti</v>
      </c>
      <c r="D577" s="155" t="str">
        <f>IFERROR(__xludf.DUMMYFUNCTION("""COMPUTED_VALUE"""),"1CR23AI059")</f>
        <v>1CR23AI059</v>
      </c>
      <c r="E577" s="563">
        <f>IFERROR(__xludf.DUMMYFUNCTION("""COMPUTED_VALUE"""),8.951999115E9)</f>
        <v>8951999115</v>
      </c>
      <c r="F577" s="155" t="str">
        <f>IFERROR(__xludf.DUMMYFUNCTION("""COMPUTED_VALUE"""),"AIML")</f>
        <v>AIML</v>
      </c>
      <c r="G577" s="158"/>
      <c r="H577" s="559">
        <f>IFERROR(__xludf.DUMMYFUNCTION("""COMPUTED_VALUE"""),70.0)</f>
        <v>70</v>
      </c>
      <c r="I577" s="559">
        <f>IFERROR(__xludf.DUMMYFUNCTION("""COMPUTED_VALUE"""),77.0)</f>
        <v>77</v>
      </c>
      <c r="J577" s="559">
        <f>IFERROR(__xludf.DUMMYFUNCTION("""COMPUTED_VALUE"""),70.0)</f>
        <v>70</v>
      </c>
      <c r="K577" s="559">
        <f>IFERROR(__xludf.DUMMYFUNCTION("""COMPUTED_VALUE"""),77.0)</f>
        <v>77</v>
      </c>
      <c r="L577" s="560">
        <f>IFERROR(__xludf.DUMMYFUNCTION("""COMPUTED_VALUE"""),50.0)</f>
        <v>50</v>
      </c>
      <c r="M577" s="561">
        <f>IFERROR(__xludf.DUMMYFUNCTION("""COMPUTED_VALUE"""),50.0)</f>
        <v>50</v>
      </c>
      <c r="N577" s="561">
        <f>IFERROR(__xludf.DUMMYFUNCTION("""COMPUTED_VALUE"""),50.0)</f>
        <v>50</v>
      </c>
      <c r="O577" s="560"/>
      <c r="P577" s="562">
        <f>IFERROR(__xludf.DUMMYFUNCTION("""COMPUTED_VALUE"""),75.0)</f>
        <v>75</v>
      </c>
      <c r="Q577" s="562">
        <f>IFERROR(__xludf.DUMMYFUNCTION("""COMPUTED_VALUE"""),52.0)</f>
        <v>52</v>
      </c>
      <c r="R577" s="562">
        <f>IFERROR(__xludf.DUMMYFUNCTION("""COMPUTED_VALUE"""),88.0)</f>
        <v>88</v>
      </c>
      <c r="S577" s="562"/>
      <c r="T577" s="217">
        <f>IFERROR(__xludf.DUMMYFUNCTION("""COMPUTED_VALUE"""),20.0)</f>
        <v>20</v>
      </c>
      <c r="U577" s="217">
        <f>IFERROR(__xludf.DUMMYFUNCTION("""COMPUTED_VALUE"""),24.0)</f>
        <v>24</v>
      </c>
      <c r="V577" s="217">
        <f>IFERROR(__xludf.DUMMYFUNCTION("""COMPUTED_VALUE"""),88.0)</f>
        <v>88</v>
      </c>
      <c r="W577" s="217">
        <f>IFERROR(__xludf.DUMMYFUNCTION("""COMPUTED_VALUE"""),86.0)</f>
        <v>86</v>
      </c>
      <c r="X577" s="217">
        <f>IFERROR(__xludf.DUMMYFUNCTION("""COMPUTED_VALUE"""),70.0)</f>
        <v>70</v>
      </c>
      <c r="Y577" s="217"/>
      <c r="Z577" s="217"/>
      <c r="AA577" s="481">
        <f>IFERROR(__xludf.DUMMYFUNCTION("""COMPUTED_VALUE"""),60.0)</f>
        <v>60</v>
      </c>
      <c r="AB577" s="481">
        <f>IFERROR(__xludf.DUMMYFUNCTION("""COMPUTED_VALUE"""),95.0)</f>
        <v>95</v>
      </c>
      <c r="AC577" s="481">
        <f>IFERROR(__xludf.DUMMYFUNCTION("""COMPUTED_VALUE"""),70.0)</f>
        <v>70</v>
      </c>
      <c r="AD577" s="481">
        <f>IFERROR(__xludf.DUMMYFUNCTION("""COMPUTED_VALUE"""),75.0)</f>
        <v>75</v>
      </c>
      <c r="AE577" s="481">
        <f>IFERROR(__xludf.DUMMYFUNCTION("""COMPUTED_VALUE"""),70.0)</f>
        <v>70</v>
      </c>
      <c r="AF577" s="481"/>
      <c r="AG577" s="481">
        <f>IFERROR(__xludf.DUMMYFUNCTION("""COMPUTED_VALUE"""),84.0)</f>
        <v>84</v>
      </c>
      <c r="AH577" s="481"/>
      <c r="AI577" s="158"/>
      <c r="AJ577" s="158"/>
      <c r="AK577" s="133">
        <f>IFERROR(__xludf.DUMMYFUNCTION("""COMPUTED_VALUE"""),4.0)</f>
        <v>4</v>
      </c>
      <c r="AL577" s="133">
        <f>IFERROR(__xludf.DUMMYFUNCTION("""COMPUTED_VALUE"""),3.0)</f>
        <v>3</v>
      </c>
      <c r="AM577" s="133">
        <f>IFERROR(__xludf.DUMMYFUNCTION("""COMPUTED_VALUE"""),3.0)</f>
        <v>3</v>
      </c>
      <c r="AN577" s="133" t="str">
        <f>IFERROR(__xludf.DUMMYFUNCTION("""COMPUTED_VALUE"""),"3.5")</f>
        <v>3.5</v>
      </c>
      <c r="AO577" s="133">
        <f>IFERROR(__xludf.DUMMYFUNCTION("""COMPUTED_VALUE"""),3.0)</f>
        <v>3</v>
      </c>
      <c r="AP577" s="155" t="s">
        <v>3780</v>
      </c>
    </row>
    <row r="578">
      <c r="A578" s="155">
        <f>IFERROR(__xludf.DUMMYFUNCTION("""COMPUTED_VALUE"""),57.0)</f>
        <v>57</v>
      </c>
      <c r="B578" s="155" t="str">
        <f>IFERROR(__xludf.DUMMYFUNCTION("""COMPUTED_VALUE"""),"mina23aiml@cmrit.ac.in")</f>
        <v>mina23aiml@cmrit.ac.in</v>
      </c>
      <c r="C578" s="174" t="str">
        <f>IFERROR(__xludf.DUMMYFUNCTION("""COMPUTED_VALUE"""),"MILIND NAIDU ")</f>
        <v>MILIND NAIDU </v>
      </c>
      <c r="D578" s="155" t="str">
        <f>IFERROR(__xludf.DUMMYFUNCTION("""COMPUTED_VALUE"""),"1CR23AI060")</f>
        <v>1CR23AI060</v>
      </c>
      <c r="E578" s="563">
        <f>IFERROR(__xludf.DUMMYFUNCTION("""COMPUTED_VALUE"""),7.619382977E9)</f>
        <v>7619382977</v>
      </c>
      <c r="F578" s="155" t="str">
        <f>IFERROR(__xludf.DUMMYFUNCTION("""COMPUTED_VALUE"""),"AIML")</f>
        <v>AIML</v>
      </c>
      <c r="G578" s="158"/>
      <c r="H578" s="559">
        <f>IFERROR(__xludf.DUMMYFUNCTION("""COMPUTED_VALUE"""),75.0)</f>
        <v>75</v>
      </c>
      <c r="I578" s="559">
        <f>IFERROR(__xludf.DUMMYFUNCTION("""COMPUTED_VALUE"""),78.0)</f>
        <v>78</v>
      </c>
      <c r="J578" s="559">
        <f>IFERROR(__xludf.DUMMYFUNCTION("""COMPUTED_VALUE"""),70.0)</f>
        <v>70</v>
      </c>
      <c r="K578" s="559">
        <f>IFERROR(__xludf.DUMMYFUNCTION("""COMPUTED_VALUE"""),77.0)</f>
        <v>77</v>
      </c>
      <c r="L578" s="560">
        <f>IFERROR(__xludf.DUMMYFUNCTION("""COMPUTED_VALUE"""),50.0)</f>
        <v>50</v>
      </c>
      <c r="M578" s="561">
        <f>IFERROR(__xludf.DUMMYFUNCTION("""COMPUTED_VALUE"""),53.0)</f>
        <v>53</v>
      </c>
      <c r="N578" s="561">
        <f>IFERROR(__xludf.DUMMYFUNCTION("""COMPUTED_VALUE"""),50.0)</f>
        <v>50</v>
      </c>
      <c r="O578" s="560"/>
      <c r="P578" s="562">
        <f>IFERROR(__xludf.DUMMYFUNCTION("""COMPUTED_VALUE"""),83.0)</f>
        <v>83</v>
      </c>
      <c r="Q578" s="562">
        <f>IFERROR(__xludf.DUMMYFUNCTION("""COMPUTED_VALUE"""),50.0)</f>
        <v>50</v>
      </c>
      <c r="R578" s="562">
        <f>IFERROR(__xludf.DUMMYFUNCTION("""COMPUTED_VALUE"""),71.0)</f>
        <v>71</v>
      </c>
      <c r="S578" s="562"/>
      <c r="T578" s="217">
        <f>IFERROR(__xludf.DUMMYFUNCTION("""COMPUTED_VALUE"""),16.0)</f>
        <v>16</v>
      </c>
      <c r="U578" s="217">
        <f>IFERROR(__xludf.DUMMYFUNCTION("""COMPUTED_VALUE"""),21.0)</f>
        <v>21</v>
      </c>
      <c r="V578" s="217">
        <f>IFERROR(__xludf.DUMMYFUNCTION("""COMPUTED_VALUE"""),90.0)</f>
        <v>90</v>
      </c>
      <c r="W578" s="217">
        <f>IFERROR(__xludf.DUMMYFUNCTION("""COMPUTED_VALUE"""),88.0)</f>
        <v>88</v>
      </c>
      <c r="X578" s="217"/>
      <c r="Y578" s="217"/>
      <c r="Z578" s="217"/>
      <c r="AA578" s="481">
        <f>IFERROR(__xludf.DUMMYFUNCTION("""COMPUTED_VALUE"""),24.0)</f>
        <v>24</v>
      </c>
      <c r="AB578" s="481">
        <f>IFERROR(__xludf.DUMMYFUNCTION("""COMPUTED_VALUE"""),90.0)</f>
        <v>90</v>
      </c>
      <c r="AC578" s="481">
        <f>IFERROR(__xludf.DUMMYFUNCTION("""COMPUTED_VALUE"""),41.0)</f>
        <v>41</v>
      </c>
      <c r="AD578" s="481">
        <f>IFERROR(__xludf.DUMMYFUNCTION("""COMPUTED_VALUE"""),2.0)</f>
        <v>2</v>
      </c>
      <c r="AE578" s="481">
        <f>IFERROR(__xludf.DUMMYFUNCTION("""COMPUTED_VALUE"""),10.0)</f>
        <v>10</v>
      </c>
      <c r="AF578" s="481"/>
      <c r="AG578" s="481">
        <f>IFERROR(__xludf.DUMMYFUNCTION("""COMPUTED_VALUE"""),70.0)</f>
        <v>70</v>
      </c>
      <c r="AH578" s="481"/>
      <c r="AI578" s="158"/>
      <c r="AJ578" s="158"/>
      <c r="AK578" s="133">
        <f>IFERROR(__xludf.DUMMYFUNCTION("""COMPUTED_VALUE"""),4.0)</f>
        <v>4</v>
      </c>
      <c r="AL578" s="133">
        <f>IFERROR(__xludf.DUMMYFUNCTION("""COMPUTED_VALUE"""),3.0)</f>
        <v>3</v>
      </c>
      <c r="AM578" s="133">
        <f>IFERROR(__xludf.DUMMYFUNCTION("""COMPUTED_VALUE"""),3.0)</f>
        <v>3</v>
      </c>
      <c r="AN578" s="133" t="str">
        <f>IFERROR(__xludf.DUMMYFUNCTION("""COMPUTED_VALUE"""),"2")</f>
        <v>2</v>
      </c>
      <c r="AO578" s="133">
        <f>IFERROR(__xludf.DUMMYFUNCTION("""COMPUTED_VALUE"""),3.0)</f>
        <v>3</v>
      </c>
      <c r="AP578" s="155" t="s">
        <v>3780</v>
      </c>
    </row>
    <row r="579">
      <c r="A579" s="155">
        <f>IFERROR(__xludf.DUMMYFUNCTION("""COMPUTED_VALUE"""),58.0)</f>
        <v>58</v>
      </c>
      <c r="B579" s="155" t="str">
        <f>IFERROR(__xludf.DUMMYFUNCTION("""COMPUTED_VALUE"""),"moaq23aiml@cmrit.ac.in")</f>
        <v>moaq23aiml@cmrit.ac.in</v>
      </c>
      <c r="C579" s="174" t="str">
        <f>IFERROR(__xludf.DUMMYFUNCTION("""COMPUTED_VALUE"""),"Mohamed Aqeeb ")</f>
        <v>Mohamed Aqeeb </v>
      </c>
      <c r="D579" s="155" t="str">
        <f>IFERROR(__xludf.DUMMYFUNCTION("""COMPUTED_VALUE"""),"1CR23AI061")</f>
        <v>1CR23AI061</v>
      </c>
      <c r="E579" s="563">
        <f>IFERROR(__xludf.DUMMYFUNCTION("""COMPUTED_VALUE"""),7.349583937E9)</f>
        <v>7349583937</v>
      </c>
      <c r="F579" s="155" t="str">
        <f>IFERROR(__xludf.DUMMYFUNCTION("""COMPUTED_VALUE"""),"AIML")</f>
        <v>AIML</v>
      </c>
      <c r="G579" s="158"/>
      <c r="H579" s="559">
        <f>IFERROR(__xludf.DUMMYFUNCTION("""COMPUTED_VALUE"""),82.0)</f>
        <v>82</v>
      </c>
      <c r="I579" s="559">
        <f>IFERROR(__xludf.DUMMYFUNCTION("""COMPUTED_VALUE"""),86.0)</f>
        <v>86</v>
      </c>
      <c r="J579" s="559">
        <f>IFERROR(__xludf.DUMMYFUNCTION("""COMPUTED_VALUE"""),75.0)</f>
        <v>75</v>
      </c>
      <c r="K579" s="559">
        <f>IFERROR(__xludf.DUMMYFUNCTION("""COMPUTED_VALUE"""),70.0)</f>
        <v>70</v>
      </c>
      <c r="L579" s="560">
        <f>IFERROR(__xludf.DUMMYFUNCTION("""COMPUTED_VALUE"""),50.0)</f>
        <v>50</v>
      </c>
      <c r="M579" s="561">
        <f>IFERROR(__xludf.DUMMYFUNCTION("""COMPUTED_VALUE"""),50.0)</f>
        <v>50</v>
      </c>
      <c r="N579" s="561">
        <f>IFERROR(__xludf.DUMMYFUNCTION("""COMPUTED_VALUE"""),45.0)</f>
        <v>45</v>
      </c>
      <c r="O579" s="560"/>
      <c r="P579" s="562">
        <f>IFERROR(__xludf.DUMMYFUNCTION("""COMPUTED_VALUE"""),84.0)</f>
        <v>84</v>
      </c>
      <c r="Q579" s="562">
        <f>IFERROR(__xludf.DUMMYFUNCTION("""COMPUTED_VALUE"""),52.0)</f>
        <v>52</v>
      </c>
      <c r="R579" s="562">
        <f>IFERROR(__xludf.DUMMYFUNCTION("""COMPUTED_VALUE"""),88.0)</f>
        <v>88</v>
      </c>
      <c r="S579" s="562"/>
      <c r="T579" s="217">
        <f>IFERROR(__xludf.DUMMYFUNCTION("""COMPUTED_VALUE"""),10.0)</f>
        <v>10</v>
      </c>
      <c r="U579" s="217">
        <f>IFERROR(__xludf.DUMMYFUNCTION("""COMPUTED_VALUE"""),23.0)</f>
        <v>23</v>
      </c>
      <c r="V579" s="217">
        <f>IFERROR(__xludf.DUMMYFUNCTION("""COMPUTED_VALUE"""),86.0)</f>
        <v>86</v>
      </c>
      <c r="W579" s="217">
        <f>IFERROR(__xludf.DUMMYFUNCTION("""COMPUTED_VALUE"""),84.0)</f>
        <v>84</v>
      </c>
      <c r="X579" s="217">
        <f>IFERROR(__xludf.DUMMYFUNCTION("""COMPUTED_VALUE"""),84.0)</f>
        <v>84</v>
      </c>
      <c r="Y579" s="217"/>
      <c r="Z579" s="217"/>
      <c r="AA579" s="481">
        <f>IFERROR(__xludf.DUMMYFUNCTION("""COMPUTED_VALUE"""),84.0)</f>
        <v>84</v>
      </c>
      <c r="AB579" s="481">
        <f>IFERROR(__xludf.DUMMYFUNCTION("""COMPUTED_VALUE"""),100.0)</f>
        <v>100</v>
      </c>
      <c r="AC579" s="481">
        <f>IFERROR(__xludf.DUMMYFUNCTION("""COMPUTED_VALUE"""),72.0)</f>
        <v>72</v>
      </c>
      <c r="AD579" s="481">
        <f>IFERROR(__xludf.DUMMYFUNCTION("""COMPUTED_VALUE"""),90.0)</f>
        <v>90</v>
      </c>
      <c r="AE579" s="481">
        <f>IFERROR(__xludf.DUMMYFUNCTION("""COMPUTED_VALUE"""),62.0)</f>
        <v>62</v>
      </c>
      <c r="AF579" s="481"/>
      <c r="AG579" s="481">
        <f>IFERROR(__xludf.DUMMYFUNCTION("""COMPUTED_VALUE"""),80.0)</f>
        <v>80</v>
      </c>
      <c r="AH579" s="481"/>
      <c r="AI579" s="158"/>
      <c r="AJ579" s="158"/>
      <c r="AK579" s="133">
        <f>IFERROR(__xludf.DUMMYFUNCTION("""COMPUTED_VALUE"""),4.0)</f>
        <v>4</v>
      </c>
      <c r="AL579" s="133">
        <f>IFERROR(__xludf.DUMMYFUNCTION("""COMPUTED_VALUE"""),2.0)</f>
        <v>2</v>
      </c>
      <c r="AM579" s="133">
        <f>IFERROR(__xludf.DUMMYFUNCTION("""COMPUTED_VALUE"""),3.0)</f>
        <v>3</v>
      </c>
      <c r="AN579" s="133" t="str">
        <f>IFERROR(__xludf.DUMMYFUNCTION("""COMPUTED_VALUE"""),"3")</f>
        <v>3</v>
      </c>
      <c r="AO579" s="133">
        <f>IFERROR(__xludf.DUMMYFUNCTION("""COMPUTED_VALUE"""),3.0)</f>
        <v>3</v>
      </c>
      <c r="AP579" s="155" t="s">
        <v>3780</v>
      </c>
    </row>
    <row r="580">
      <c r="A580" s="155">
        <f>IFERROR(__xludf.DUMMYFUNCTION("""COMPUTED_VALUE"""),59.0)</f>
        <v>59</v>
      </c>
      <c r="B580" s="155" t="str">
        <f>IFERROR(__xludf.DUMMYFUNCTION("""COMPUTED_VALUE"""),"mokh23aiml@cmrit.ac.in")</f>
        <v>mokh23aiml@cmrit.ac.in</v>
      </c>
      <c r="C580" s="174" t="str">
        <f>IFERROR(__xludf.DUMMYFUNCTION("""COMPUTED_VALUE"""),"MOHAMMED KHALANDER K")</f>
        <v>MOHAMMED KHALANDER K</v>
      </c>
      <c r="D580" s="155" t="str">
        <f>IFERROR(__xludf.DUMMYFUNCTION("""COMPUTED_VALUE"""),"1CR23AI062")</f>
        <v>1CR23AI062</v>
      </c>
      <c r="E580" s="563">
        <f>IFERROR(__xludf.DUMMYFUNCTION("""COMPUTED_VALUE"""),8.217755124E9)</f>
        <v>8217755124</v>
      </c>
      <c r="F580" s="155" t="str">
        <f>IFERROR(__xludf.DUMMYFUNCTION("""COMPUTED_VALUE"""),"AIML")</f>
        <v>AIML</v>
      </c>
      <c r="G580" s="158"/>
      <c r="H580" s="559">
        <f>IFERROR(__xludf.DUMMYFUNCTION("""COMPUTED_VALUE"""),71.0)</f>
        <v>71</v>
      </c>
      <c r="I580" s="559">
        <f>IFERROR(__xludf.DUMMYFUNCTION("""COMPUTED_VALUE"""),79.0)</f>
        <v>79</v>
      </c>
      <c r="J580" s="559">
        <f>IFERROR(__xludf.DUMMYFUNCTION("""COMPUTED_VALUE"""),46.0)</f>
        <v>46</v>
      </c>
      <c r="K580" s="559">
        <f>IFERROR(__xludf.DUMMYFUNCTION("""COMPUTED_VALUE"""),70.0)</f>
        <v>70</v>
      </c>
      <c r="L580" s="560">
        <f>IFERROR(__xludf.DUMMYFUNCTION("""COMPUTED_VALUE"""),50.0)</f>
        <v>50</v>
      </c>
      <c r="M580" s="561">
        <f>IFERROR(__xludf.DUMMYFUNCTION("""COMPUTED_VALUE"""),50.0)</f>
        <v>50</v>
      </c>
      <c r="N580" s="561">
        <f>IFERROR(__xludf.DUMMYFUNCTION("""COMPUTED_VALUE"""),6.0)</f>
        <v>6</v>
      </c>
      <c r="O580" s="560"/>
      <c r="P580" s="562">
        <f>IFERROR(__xludf.DUMMYFUNCTION("""COMPUTED_VALUE"""),77.0)</f>
        <v>77</v>
      </c>
      <c r="Q580" s="562">
        <f>IFERROR(__xludf.DUMMYFUNCTION("""COMPUTED_VALUE"""),73.0)</f>
        <v>73</v>
      </c>
      <c r="R580" s="562">
        <f>IFERROR(__xludf.DUMMYFUNCTION("""COMPUTED_VALUE"""),50.0)</f>
        <v>50</v>
      </c>
      <c r="S580" s="562"/>
      <c r="T580" s="217">
        <f>IFERROR(__xludf.DUMMYFUNCTION("""COMPUTED_VALUE"""),17.0)</f>
        <v>17</v>
      </c>
      <c r="U580" s="217">
        <f>IFERROR(__xludf.DUMMYFUNCTION("""COMPUTED_VALUE"""),23.0)</f>
        <v>23</v>
      </c>
      <c r="V580" s="217">
        <f>IFERROR(__xludf.DUMMYFUNCTION("""COMPUTED_VALUE"""),66.0)</f>
        <v>66</v>
      </c>
      <c r="W580" s="217">
        <f>IFERROR(__xludf.DUMMYFUNCTION("""COMPUTED_VALUE"""),84.0)</f>
        <v>84</v>
      </c>
      <c r="X580" s="217">
        <f>IFERROR(__xludf.DUMMYFUNCTION("""COMPUTED_VALUE"""),78.0)</f>
        <v>78</v>
      </c>
      <c r="Y580" s="217"/>
      <c r="Z580" s="217"/>
      <c r="AA580" s="481">
        <f>IFERROR(__xludf.DUMMYFUNCTION("""COMPUTED_VALUE"""),14.0)</f>
        <v>14</v>
      </c>
      <c r="AB580" s="481">
        <f>IFERROR(__xludf.DUMMYFUNCTION("""COMPUTED_VALUE"""),81.0)</f>
        <v>81</v>
      </c>
      <c r="AC580" s="481">
        <f>IFERROR(__xludf.DUMMYFUNCTION("""COMPUTED_VALUE"""),70.0)</f>
        <v>70</v>
      </c>
      <c r="AD580" s="481">
        <f>IFERROR(__xludf.DUMMYFUNCTION("""COMPUTED_VALUE"""),2.0)</f>
        <v>2</v>
      </c>
      <c r="AE580" s="481">
        <f>IFERROR(__xludf.DUMMYFUNCTION("""COMPUTED_VALUE"""),10.0)</f>
        <v>10</v>
      </c>
      <c r="AF580" s="481"/>
      <c r="AG580" s="481">
        <f>IFERROR(__xludf.DUMMYFUNCTION("""COMPUTED_VALUE"""),50.0)</f>
        <v>50</v>
      </c>
      <c r="AH580" s="481"/>
      <c r="AI580" s="158"/>
      <c r="AJ580" s="158"/>
      <c r="AK580" s="133">
        <f>IFERROR(__xludf.DUMMYFUNCTION("""COMPUTED_VALUE"""),2.0)</f>
        <v>2</v>
      </c>
      <c r="AL580" s="133">
        <f>IFERROR(__xludf.DUMMYFUNCTION("""COMPUTED_VALUE"""),2.0)</f>
        <v>2</v>
      </c>
      <c r="AM580" s="133">
        <f>IFERROR(__xludf.DUMMYFUNCTION("""COMPUTED_VALUE"""),3.0)</f>
        <v>3</v>
      </c>
      <c r="AN580" s="133" t="str">
        <f>IFERROR(__xludf.DUMMYFUNCTION("""COMPUTED_VALUE"""),"3")</f>
        <v>3</v>
      </c>
      <c r="AO580" s="133">
        <f>IFERROR(__xludf.DUMMYFUNCTION("""COMPUTED_VALUE"""),3.0)</f>
        <v>3</v>
      </c>
      <c r="AP580" s="155" t="s">
        <v>3780</v>
      </c>
    </row>
    <row r="581">
      <c r="A581" s="155">
        <f>IFERROR(__xludf.DUMMYFUNCTION("""COMPUTED_VALUE"""),60.0)</f>
        <v>60</v>
      </c>
      <c r="B581" s="155" t="str">
        <f>IFERROR(__xludf.DUMMYFUNCTION("""COMPUTED_VALUE"""),"moma23aiml@cmrit.ac.in")</f>
        <v>moma23aiml@cmrit.ac.in</v>
      </c>
      <c r="C581" s="174" t="str">
        <f>IFERROR(__xludf.DUMMYFUNCTION("""COMPUTED_VALUE"""),"MOHAMMED MAHIN")</f>
        <v>MOHAMMED MAHIN</v>
      </c>
      <c r="D581" s="155" t="str">
        <f>IFERROR(__xludf.DUMMYFUNCTION("""COMPUTED_VALUE"""),"1CR23AI063")</f>
        <v>1CR23AI063</v>
      </c>
      <c r="E581" s="563">
        <f>IFERROR(__xludf.DUMMYFUNCTION("""COMPUTED_VALUE"""),9.972111274E9)</f>
        <v>9972111274</v>
      </c>
      <c r="F581" s="155" t="str">
        <f>IFERROR(__xludf.DUMMYFUNCTION("""COMPUTED_VALUE"""),"AIML")</f>
        <v>AIML</v>
      </c>
      <c r="G581" s="158"/>
      <c r="H581" s="559">
        <f>IFERROR(__xludf.DUMMYFUNCTION("""COMPUTED_VALUE"""),79.0)</f>
        <v>79</v>
      </c>
      <c r="I581" s="559">
        <f>IFERROR(__xludf.DUMMYFUNCTION("""COMPUTED_VALUE"""),89.0)</f>
        <v>89</v>
      </c>
      <c r="J581" s="559">
        <f>IFERROR(__xludf.DUMMYFUNCTION("""COMPUTED_VALUE"""),81.0)</f>
        <v>81</v>
      </c>
      <c r="K581" s="559">
        <f>IFERROR(__xludf.DUMMYFUNCTION("""COMPUTED_VALUE"""),70.0)</f>
        <v>70</v>
      </c>
      <c r="L581" s="560">
        <f>IFERROR(__xludf.DUMMYFUNCTION("""COMPUTED_VALUE"""),51.0)</f>
        <v>51</v>
      </c>
      <c r="M581" s="561">
        <f>IFERROR(__xludf.DUMMYFUNCTION("""COMPUTED_VALUE"""),50.0)</f>
        <v>50</v>
      </c>
      <c r="N581" s="561">
        <f>IFERROR(__xludf.DUMMYFUNCTION("""COMPUTED_VALUE"""),50.0)</f>
        <v>50</v>
      </c>
      <c r="O581" s="560"/>
      <c r="P581" s="562">
        <f>IFERROR(__xludf.DUMMYFUNCTION("""COMPUTED_VALUE"""),83.0)</f>
        <v>83</v>
      </c>
      <c r="Q581" s="562">
        <f>IFERROR(__xludf.DUMMYFUNCTION("""COMPUTED_VALUE"""),38.0)</f>
        <v>38</v>
      </c>
      <c r="R581" s="562">
        <f>IFERROR(__xludf.DUMMYFUNCTION("""COMPUTED_VALUE"""),64.0)</f>
        <v>64</v>
      </c>
      <c r="S581" s="562"/>
      <c r="T581" s="217">
        <f>IFERROR(__xludf.DUMMYFUNCTION("""COMPUTED_VALUE"""),12.0)</f>
        <v>12</v>
      </c>
      <c r="U581" s="217">
        <f>IFERROR(__xludf.DUMMYFUNCTION("""COMPUTED_VALUE"""),21.0)</f>
        <v>21</v>
      </c>
      <c r="V581" s="217">
        <f>IFERROR(__xludf.DUMMYFUNCTION("""COMPUTED_VALUE"""),82.0)</f>
        <v>82</v>
      </c>
      <c r="W581" s="217">
        <f>IFERROR(__xludf.DUMMYFUNCTION("""COMPUTED_VALUE"""),88.0)</f>
        <v>88</v>
      </c>
      <c r="X581" s="217"/>
      <c r="Y581" s="217"/>
      <c r="Z581" s="217"/>
      <c r="AA581" s="481">
        <f>IFERROR(__xludf.DUMMYFUNCTION("""COMPUTED_VALUE"""),42.0)</f>
        <v>42</v>
      </c>
      <c r="AB581" s="481">
        <f>IFERROR(__xludf.DUMMYFUNCTION("""COMPUTED_VALUE"""),91.0)</f>
        <v>91</v>
      </c>
      <c r="AC581" s="481">
        <f>IFERROR(__xludf.DUMMYFUNCTION("""COMPUTED_VALUE"""),70.0)</f>
        <v>70</v>
      </c>
      <c r="AD581" s="481">
        <f>IFERROR(__xludf.DUMMYFUNCTION("""COMPUTED_VALUE"""),32.0)</f>
        <v>32</v>
      </c>
      <c r="AE581" s="481">
        <f>IFERROR(__xludf.DUMMYFUNCTION("""COMPUTED_VALUE"""),16.0)</f>
        <v>16</v>
      </c>
      <c r="AF581" s="481"/>
      <c r="AG581" s="481">
        <f>IFERROR(__xludf.DUMMYFUNCTION("""COMPUTED_VALUE"""),70.0)</f>
        <v>70</v>
      </c>
      <c r="AH581" s="481"/>
      <c r="AI581" s="158"/>
      <c r="AJ581" s="158"/>
      <c r="AK581" s="133">
        <f>IFERROR(__xludf.DUMMYFUNCTION("""COMPUTED_VALUE"""),4.0)</f>
        <v>4</v>
      </c>
      <c r="AL581" s="133">
        <f>IFERROR(__xludf.DUMMYFUNCTION("""COMPUTED_VALUE"""),3.0)</f>
        <v>3</v>
      </c>
      <c r="AM581" s="133">
        <f>IFERROR(__xludf.DUMMYFUNCTION("""COMPUTED_VALUE"""),3.0)</f>
        <v>3</v>
      </c>
      <c r="AN581" s="133" t="str">
        <f>IFERROR(__xludf.DUMMYFUNCTION("""COMPUTED_VALUE"""),"3")</f>
        <v>3</v>
      </c>
      <c r="AO581" s="133">
        <f>IFERROR(__xludf.DUMMYFUNCTION("""COMPUTED_VALUE"""),1.0)</f>
        <v>1</v>
      </c>
      <c r="AP581" s="155" t="s">
        <v>3780</v>
      </c>
    </row>
    <row r="582">
      <c r="A582" s="155">
        <f>IFERROR(__xludf.DUMMYFUNCTION("""COMPUTED_VALUE"""),61.0)</f>
        <v>61</v>
      </c>
      <c r="B582" s="155" t="str">
        <f>IFERROR(__xludf.DUMMYFUNCTION("""COMPUTED_VALUE"""),"mota23aiml@cmrit.ac.in")</f>
        <v>mota23aiml@cmrit.ac.in</v>
      </c>
      <c r="C582" s="174" t="str">
        <f>IFERROR(__xludf.DUMMYFUNCTION("""COMPUTED_VALUE"""),"MOHAMMED TAHA KALEEM ")</f>
        <v>MOHAMMED TAHA KALEEM </v>
      </c>
      <c r="D582" s="155" t="str">
        <f>IFERROR(__xludf.DUMMYFUNCTION("""COMPUTED_VALUE"""),"1CR23AI064")</f>
        <v>1CR23AI064</v>
      </c>
      <c r="E582" s="563">
        <f>IFERROR(__xludf.DUMMYFUNCTION("""COMPUTED_VALUE"""),8.618172241E9)</f>
        <v>8618172241</v>
      </c>
      <c r="F582" s="155" t="str">
        <f>IFERROR(__xludf.DUMMYFUNCTION("""COMPUTED_VALUE"""),"AIML")</f>
        <v>AIML</v>
      </c>
      <c r="G582" s="158"/>
      <c r="H582" s="559">
        <f>IFERROR(__xludf.DUMMYFUNCTION("""COMPUTED_VALUE"""),83.0)</f>
        <v>83</v>
      </c>
      <c r="I582" s="559">
        <f>IFERROR(__xludf.DUMMYFUNCTION("""COMPUTED_VALUE"""),79.0)</f>
        <v>79</v>
      </c>
      <c r="J582" s="559">
        <f>IFERROR(__xludf.DUMMYFUNCTION("""COMPUTED_VALUE"""),71.0)</f>
        <v>71</v>
      </c>
      <c r="K582" s="559">
        <f>IFERROR(__xludf.DUMMYFUNCTION("""COMPUTED_VALUE"""),76.0)</f>
        <v>76</v>
      </c>
      <c r="L582" s="560">
        <f>IFERROR(__xludf.DUMMYFUNCTION("""COMPUTED_VALUE"""),50.0)</f>
        <v>50</v>
      </c>
      <c r="M582" s="561">
        <f>IFERROR(__xludf.DUMMYFUNCTION("""COMPUTED_VALUE"""),50.0)</f>
        <v>50</v>
      </c>
      <c r="N582" s="561">
        <f>IFERROR(__xludf.DUMMYFUNCTION("""COMPUTED_VALUE"""),46.0)</f>
        <v>46</v>
      </c>
      <c r="O582" s="560"/>
      <c r="P582" s="562">
        <f>IFERROR(__xludf.DUMMYFUNCTION("""COMPUTED_VALUE"""),75.0)</f>
        <v>75</v>
      </c>
      <c r="Q582" s="562">
        <f>IFERROR(__xludf.DUMMYFUNCTION("""COMPUTED_VALUE"""),50.0)</f>
        <v>50</v>
      </c>
      <c r="R582" s="562">
        <f>IFERROR(__xludf.DUMMYFUNCTION("""COMPUTED_VALUE"""),70.0)</f>
        <v>70</v>
      </c>
      <c r="S582" s="562"/>
      <c r="T582" s="217">
        <f>IFERROR(__xludf.DUMMYFUNCTION("""COMPUTED_VALUE"""),14.0)</f>
        <v>14</v>
      </c>
      <c r="U582" s="217">
        <f>IFERROR(__xludf.DUMMYFUNCTION("""COMPUTED_VALUE"""),20.0)</f>
        <v>20</v>
      </c>
      <c r="V582" s="217">
        <f>IFERROR(__xludf.DUMMYFUNCTION("""COMPUTED_VALUE"""),90.0)</f>
        <v>90</v>
      </c>
      <c r="W582" s="217">
        <f>IFERROR(__xludf.DUMMYFUNCTION("""COMPUTED_VALUE"""),88.0)</f>
        <v>88</v>
      </c>
      <c r="X582" s="217">
        <f>IFERROR(__xludf.DUMMYFUNCTION("""COMPUTED_VALUE"""),82.0)</f>
        <v>82</v>
      </c>
      <c r="Y582" s="217"/>
      <c r="Z582" s="217"/>
      <c r="AA582" s="481">
        <f>IFERROR(__xludf.DUMMYFUNCTION("""COMPUTED_VALUE"""),40.0)</f>
        <v>40</v>
      </c>
      <c r="AB582" s="481">
        <f>IFERROR(__xludf.DUMMYFUNCTION("""COMPUTED_VALUE"""),93.0)</f>
        <v>93</v>
      </c>
      <c r="AC582" s="481">
        <f>IFERROR(__xludf.DUMMYFUNCTION("""COMPUTED_VALUE"""),70.0)</f>
        <v>70</v>
      </c>
      <c r="AD582" s="481">
        <f>IFERROR(__xludf.DUMMYFUNCTION("""COMPUTED_VALUE"""),1.0)</f>
        <v>1</v>
      </c>
      <c r="AE582" s="481">
        <f>IFERROR(__xludf.DUMMYFUNCTION("""COMPUTED_VALUE"""),23.0)</f>
        <v>23</v>
      </c>
      <c r="AF582" s="481"/>
      <c r="AG582" s="481">
        <f>IFERROR(__xludf.DUMMYFUNCTION("""COMPUTED_VALUE"""),85.0)</f>
        <v>85</v>
      </c>
      <c r="AH582" s="481"/>
      <c r="AI582" s="158"/>
      <c r="AJ582" s="158"/>
      <c r="AK582" s="133">
        <f>IFERROR(__xludf.DUMMYFUNCTION("""COMPUTED_VALUE"""),4.0)</f>
        <v>4</v>
      </c>
      <c r="AL582" s="133">
        <f>IFERROR(__xludf.DUMMYFUNCTION("""COMPUTED_VALUE"""),2.0)</f>
        <v>2</v>
      </c>
      <c r="AM582" s="133">
        <f>IFERROR(__xludf.DUMMYFUNCTION("""COMPUTED_VALUE"""),3.0)</f>
        <v>3</v>
      </c>
      <c r="AN582" s="133" t="str">
        <f>IFERROR(__xludf.DUMMYFUNCTION("""COMPUTED_VALUE"""),"3")</f>
        <v>3</v>
      </c>
      <c r="AO582" s="133">
        <f>IFERROR(__xludf.DUMMYFUNCTION("""COMPUTED_VALUE"""),3.0)</f>
        <v>3</v>
      </c>
      <c r="AP582" s="155" t="s">
        <v>3780</v>
      </c>
    </row>
    <row r="583">
      <c r="A583" s="155">
        <f>IFERROR(__xludf.DUMMYFUNCTION("""COMPUTED_VALUE"""),62.0)</f>
        <v>62</v>
      </c>
      <c r="B583" s="155" t="str">
        <f>IFERROR(__xludf.DUMMYFUNCTION("""COMPUTED_VALUE"""),"moab23aiml@cmrit.ac.in")</f>
        <v>moab23aiml@cmrit.ac.in</v>
      </c>
      <c r="C583" s="174" t="str">
        <f>IFERROR(__xludf.DUMMYFUNCTION("""COMPUTED_VALUE"""),"MOHD AMAN ABBASI")</f>
        <v>MOHD AMAN ABBASI</v>
      </c>
      <c r="D583" s="155" t="str">
        <f>IFERROR(__xludf.DUMMYFUNCTION("""COMPUTED_VALUE"""),"1CR23AI065")</f>
        <v>1CR23AI065</v>
      </c>
      <c r="E583" s="563">
        <f>IFERROR(__xludf.DUMMYFUNCTION("""COMPUTED_VALUE"""),9.036552554E9)</f>
        <v>9036552554</v>
      </c>
      <c r="F583" s="155" t="str">
        <f>IFERROR(__xludf.DUMMYFUNCTION("""COMPUTED_VALUE"""),"AIML")</f>
        <v>AIML</v>
      </c>
      <c r="G583" s="158"/>
      <c r="H583" s="559">
        <f>IFERROR(__xludf.DUMMYFUNCTION("""COMPUTED_VALUE"""),71.0)</f>
        <v>71</v>
      </c>
      <c r="I583" s="559">
        <f>IFERROR(__xludf.DUMMYFUNCTION("""COMPUTED_VALUE"""),84.0)</f>
        <v>84</v>
      </c>
      <c r="J583" s="559">
        <f>IFERROR(__xludf.DUMMYFUNCTION("""COMPUTED_VALUE"""),64.0)</f>
        <v>64</v>
      </c>
      <c r="K583" s="559">
        <f>IFERROR(__xludf.DUMMYFUNCTION("""COMPUTED_VALUE"""),18.0)</f>
        <v>18</v>
      </c>
      <c r="L583" s="560">
        <f>IFERROR(__xludf.DUMMYFUNCTION("""COMPUTED_VALUE"""),20.0)</f>
        <v>20</v>
      </c>
      <c r="M583" s="561">
        <f>IFERROR(__xludf.DUMMYFUNCTION("""COMPUTED_VALUE"""),0.0)</f>
        <v>0</v>
      </c>
      <c r="N583" s="561">
        <f>IFERROR(__xludf.DUMMYFUNCTION("""COMPUTED_VALUE"""),0.0)</f>
        <v>0</v>
      </c>
      <c r="O583" s="560"/>
      <c r="P583" s="562">
        <f>IFERROR(__xludf.DUMMYFUNCTION("""COMPUTED_VALUE"""),77.0)</f>
        <v>77</v>
      </c>
      <c r="Q583" s="562">
        <f>IFERROR(__xludf.DUMMYFUNCTION("""COMPUTED_VALUE"""),50.0)</f>
        <v>50</v>
      </c>
      <c r="R583" s="562">
        <f>IFERROR(__xludf.DUMMYFUNCTION("""COMPUTED_VALUE"""),50.0)</f>
        <v>50</v>
      </c>
      <c r="S583" s="562"/>
      <c r="T583" s="217">
        <f>IFERROR(__xludf.DUMMYFUNCTION("""COMPUTED_VALUE"""),15.0)</f>
        <v>15</v>
      </c>
      <c r="U583" s="217"/>
      <c r="V583" s="217">
        <f>IFERROR(__xludf.DUMMYFUNCTION("""COMPUTED_VALUE"""),94.0)</f>
        <v>94</v>
      </c>
      <c r="W583" s="217">
        <f>IFERROR(__xludf.DUMMYFUNCTION("""COMPUTED_VALUE"""),0.0)</f>
        <v>0</v>
      </c>
      <c r="X583" s="217"/>
      <c r="Y583" s="217"/>
      <c r="Z583" s="217"/>
      <c r="AA583" s="481">
        <f>IFERROR(__xludf.DUMMYFUNCTION("""COMPUTED_VALUE"""),98.0)</f>
        <v>98</v>
      </c>
      <c r="AB583" s="481">
        <f>IFERROR(__xludf.DUMMYFUNCTION("""COMPUTED_VALUE"""),65.0)</f>
        <v>65</v>
      </c>
      <c r="AC583" s="481">
        <f>IFERROR(__xludf.DUMMYFUNCTION("""COMPUTED_VALUE"""),0.0)</f>
        <v>0</v>
      </c>
      <c r="AD583" s="481">
        <f>IFERROR(__xludf.DUMMYFUNCTION("""COMPUTED_VALUE"""),66.0)</f>
        <v>66</v>
      </c>
      <c r="AE583" s="481">
        <f>IFERROR(__xludf.DUMMYFUNCTION("""COMPUTED_VALUE"""),10.0)</f>
        <v>10</v>
      </c>
      <c r="AF583" s="481"/>
      <c r="AG583" s="481">
        <f>IFERROR(__xludf.DUMMYFUNCTION("""COMPUTED_VALUE"""),0.0)</f>
        <v>0</v>
      </c>
      <c r="AH583" s="481"/>
      <c r="AI583" s="158"/>
      <c r="AJ583" s="158"/>
      <c r="AK583" s="133">
        <f>IFERROR(__xludf.DUMMYFUNCTION("""COMPUTED_VALUE"""),2.0)</f>
        <v>2</v>
      </c>
      <c r="AL583" s="133">
        <f>IFERROR(__xludf.DUMMYFUNCTION("""COMPUTED_VALUE"""),0.0)</f>
        <v>0</v>
      </c>
      <c r="AM583" s="133">
        <f>IFERROR(__xludf.DUMMYFUNCTION("""COMPUTED_VALUE"""),2.0)</f>
        <v>2</v>
      </c>
      <c r="AN583" s="133" t="str">
        <f>IFERROR(__xludf.DUMMYFUNCTION("""COMPUTED_VALUE"""),"3")</f>
        <v>3</v>
      </c>
      <c r="AO583" s="133">
        <f>IFERROR(__xludf.DUMMYFUNCTION("""COMPUTED_VALUE"""),3.0)</f>
        <v>3</v>
      </c>
      <c r="AP583" s="155" t="s">
        <v>3780</v>
      </c>
    </row>
    <row r="584">
      <c r="A584" s="155">
        <f>IFERROR(__xludf.DUMMYFUNCTION("""COMPUTED_VALUE"""),63.0)</f>
        <v>63</v>
      </c>
      <c r="B584" s="155" t="str">
        <f>IFERROR(__xludf.DUMMYFUNCTION("""COMPUTED_VALUE"""),"moja23aiml@cmrit.ac.in")</f>
        <v>moja23aiml@cmrit.ac.in</v>
      </c>
      <c r="C584" s="174" t="str">
        <f>IFERROR(__xludf.DUMMYFUNCTION("""COMPUTED_VALUE"""),"MOHNISH JAKHAR")</f>
        <v>MOHNISH JAKHAR</v>
      </c>
      <c r="D584" s="155" t="str">
        <f>IFERROR(__xludf.DUMMYFUNCTION("""COMPUTED_VALUE"""),"1CR23AI066")</f>
        <v>1CR23AI066</v>
      </c>
      <c r="E584" s="563">
        <f>IFERROR(__xludf.DUMMYFUNCTION("""COMPUTED_VALUE"""),7.878856394E9)</f>
        <v>7878856394</v>
      </c>
      <c r="F584" s="155" t="str">
        <f>IFERROR(__xludf.DUMMYFUNCTION("""COMPUTED_VALUE"""),"AIML")</f>
        <v>AIML</v>
      </c>
      <c r="G584" s="158"/>
      <c r="H584" s="559">
        <f>IFERROR(__xludf.DUMMYFUNCTION("""COMPUTED_VALUE"""),70.0)</f>
        <v>70</v>
      </c>
      <c r="I584" s="559">
        <f>IFERROR(__xludf.DUMMYFUNCTION("""COMPUTED_VALUE"""),79.0)</f>
        <v>79</v>
      </c>
      <c r="J584" s="559">
        <f>IFERROR(__xludf.DUMMYFUNCTION("""COMPUTED_VALUE"""),70.0)</f>
        <v>70</v>
      </c>
      <c r="K584" s="559">
        <f>IFERROR(__xludf.DUMMYFUNCTION("""COMPUTED_VALUE"""),70.0)</f>
        <v>70</v>
      </c>
      <c r="L584" s="560">
        <f>IFERROR(__xludf.DUMMYFUNCTION("""COMPUTED_VALUE"""),50.0)</f>
        <v>50</v>
      </c>
      <c r="M584" s="561">
        <f>IFERROR(__xludf.DUMMYFUNCTION("""COMPUTED_VALUE"""),40.0)</f>
        <v>40</v>
      </c>
      <c r="N584" s="561">
        <f>IFERROR(__xludf.DUMMYFUNCTION("""COMPUTED_VALUE"""),57.0)</f>
        <v>57</v>
      </c>
      <c r="O584" s="560"/>
      <c r="P584" s="562">
        <f>IFERROR(__xludf.DUMMYFUNCTION("""COMPUTED_VALUE"""),80.0)</f>
        <v>80</v>
      </c>
      <c r="Q584" s="562">
        <f>IFERROR(__xludf.DUMMYFUNCTION("""COMPUTED_VALUE"""),76.0)</f>
        <v>76</v>
      </c>
      <c r="R584" s="562">
        <f>IFERROR(__xludf.DUMMYFUNCTION("""COMPUTED_VALUE"""),81.0)</f>
        <v>81</v>
      </c>
      <c r="S584" s="562"/>
      <c r="T584" s="217">
        <f>IFERROR(__xludf.DUMMYFUNCTION("""COMPUTED_VALUE"""),19.0)</f>
        <v>19</v>
      </c>
      <c r="U584" s="217">
        <f>IFERROR(__xludf.DUMMYFUNCTION("""COMPUTED_VALUE"""),24.0)</f>
        <v>24</v>
      </c>
      <c r="V584" s="217">
        <f>IFERROR(__xludf.DUMMYFUNCTION("""COMPUTED_VALUE"""),90.0)</f>
        <v>90</v>
      </c>
      <c r="W584" s="217">
        <f>IFERROR(__xludf.DUMMYFUNCTION("""COMPUTED_VALUE"""),86.0)</f>
        <v>86</v>
      </c>
      <c r="X584" s="217">
        <f>IFERROR(__xludf.DUMMYFUNCTION("""COMPUTED_VALUE"""),86.0)</f>
        <v>86</v>
      </c>
      <c r="Y584" s="217"/>
      <c r="Z584" s="217"/>
      <c r="AA584" s="481">
        <f>IFERROR(__xludf.DUMMYFUNCTION("""COMPUTED_VALUE"""),44.0)</f>
        <v>44</v>
      </c>
      <c r="AB584" s="481">
        <f>IFERROR(__xludf.DUMMYFUNCTION("""COMPUTED_VALUE"""),96.0)</f>
        <v>96</v>
      </c>
      <c r="AC584" s="481">
        <f>IFERROR(__xludf.DUMMYFUNCTION("""COMPUTED_VALUE"""),98.0)</f>
        <v>98</v>
      </c>
      <c r="AD584" s="481">
        <f>IFERROR(__xludf.DUMMYFUNCTION("""COMPUTED_VALUE"""),80.0)</f>
        <v>80</v>
      </c>
      <c r="AE584" s="481">
        <f>IFERROR(__xludf.DUMMYFUNCTION("""COMPUTED_VALUE"""),70.0)</f>
        <v>70</v>
      </c>
      <c r="AF584" s="481"/>
      <c r="AG584" s="481">
        <f>IFERROR(__xludf.DUMMYFUNCTION("""COMPUTED_VALUE"""),88.0)</f>
        <v>88</v>
      </c>
      <c r="AH584" s="481"/>
      <c r="AI584" s="158"/>
      <c r="AJ584" s="158"/>
      <c r="AK584" s="133">
        <f>IFERROR(__xludf.DUMMYFUNCTION("""COMPUTED_VALUE"""),4.0)</f>
        <v>4</v>
      </c>
      <c r="AL584" s="133">
        <f>IFERROR(__xludf.DUMMYFUNCTION("""COMPUTED_VALUE"""),1.0)</f>
        <v>1</v>
      </c>
      <c r="AM584" s="133">
        <f>IFERROR(__xludf.DUMMYFUNCTION("""COMPUTED_VALUE"""),3.0)</f>
        <v>3</v>
      </c>
      <c r="AN584" s="133" t="str">
        <f>IFERROR(__xludf.DUMMYFUNCTION("""COMPUTED_VALUE"""),"3.5")</f>
        <v>3.5</v>
      </c>
      <c r="AO584" s="133">
        <f>IFERROR(__xludf.DUMMYFUNCTION("""COMPUTED_VALUE"""),3.0)</f>
        <v>3</v>
      </c>
      <c r="AP584" s="155" t="s">
        <v>3780</v>
      </c>
    </row>
    <row r="585">
      <c r="A585" s="155">
        <f>IFERROR(__xludf.DUMMYFUNCTION("""COMPUTED_VALUE"""),64.0)</f>
        <v>64</v>
      </c>
      <c r="B585" s="155" t="str">
        <f>IFERROR(__xludf.DUMMYFUNCTION("""COMPUTED_VALUE"""),"more23aiml@cmrit.ac.in")</f>
        <v>more23aiml@cmrit.ac.in</v>
      </c>
      <c r="C585" s="174" t="str">
        <f>IFERROR(__xludf.DUMMYFUNCTION("""COMPUTED_VALUE"""),"MONITH REDDY H R")</f>
        <v>MONITH REDDY H R</v>
      </c>
      <c r="D585" s="155" t="str">
        <f>IFERROR(__xludf.DUMMYFUNCTION("""COMPUTED_VALUE"""),"1CR23AI067")</f>
        <v>1CR23AI067</v>
      </c>
      <c r="E585" s="563">
        <f>IFERROR(__xludf.DUMMYFUNCTION("""COMPUTED_VALUE"""),6.362045535E9)</f>
        <v>6362045535</v>
      </c>
      <c r="F585" s="155" t="str">
        <f>IFERROR(__xludf.DUMMYFUNCTION("""COMPUTED_VALUE"""),"AIML")</f>
        <v>AIML</v>
      </c>
      <c r="G585" s="158"/>
      <c r="H585" s="559">
        <f>IFERROR(__xludf.DUMMYFUNCTION("""COMPUTED_VALUE"""),71.0)</f>
        <v>71</v>
      </c>
      <c r="I585" s="559">
        <f>IFERROR(__xludf.DUMMYFUNCTION("""COMPUTED_VALUE"""),70.0)</f>
        <v>70</v>
      </c>
      <c r="J585" s="559">
        <f>IFERROR(__xludf.DUMMYFUNCTION("""COMPUTED_VALUE"""),38.0)</f>
        <v>38</v>
      </c>
      <c r="K585" s="559">
        <f>IFERROR(__xludf.DUMMYFUNCTION("""COMPUTED_VALUE"""),44.0)</f>
        <v>44</v>
      </c>
      <c r="L585" s="560">
        <f>IFERROR(__xludf.DUMMYFUNCTION("""COMPUTED_VALUE"""),0.0)</f>
        <v>0</v>
      </c>
      <c r="M585" s="561">
        <f>IFERROR(__xludf.DUMMYFUNCTION("""COMPUTED_VALUE"""),0.0)</f>
        <v>0</v>
      </c>
      <c r="N585" s="561">
        <f>IFERROR(__xludf.DUMMYFUNCTION("""COMPUTED_VALUE"""),0.0)</f>
        <v>0</v>
      </c>
      <c r="O585" s="560"/>
      <c r="P585" s="562">
        <f>IFERROR(__xludf.DUMMYFUNCTION("""COMPUTED_VALUE"""),0.0)</f>
        <v>0</v>
      </c>
      <c r="Q585" s="562">
        <f>IFERROR(__xludf.DUMMYFUNCTION("""COMPUTED_VALUE"""),0.0)</f>
        <v>0</v>
      </c>
      <c r="R585" s="562">
        <f>IFERROR(__xludf.DUMMYFUNCTION("""COMPUTED_VALUE"""),0.0)</f>
        <v>0</v>
      </c>
      <c r="S585" s="562"/>
      <c r="T585" s="217">
        <f>IFERROR(__xludf.DUMMYFUNCTION("""COMPUTED_VALUE"""),17.0)</f>
        <v>17</v>
      </c>
      <c r="U585" s="217">
        <f>IFERROR(__xludf.DUMMYFUNCTION("""COMPUTED_VALUE"""),15.0)</f>
        <v>15</v>
      </c>
      <c r="V585" s="217">
        <f>IFERROR(__xludf.DUMMYFUNCTION("""COMPUTED_VALUE"""),80.0)</f>
        <v>80</v>
      </c>
      <c r="W585" s="217">
        <f>IFERROR(__xludf.DUMMYFUNCTION("""COMPUTED_VALUE"""),0.0)</f>
        <v>0</v>
      </c>
      <c r="X585" s="217"/>
      <c r="Y585" s="217"/>
      <c r="Z585" s="217"/>
      <c r="AA585" s="481">
        <f>IFERROR(__xludf.DUMMYFUNCTION("""COMPUTED_VALUE"""),14.0)</f>
        <v>14</v>
      </c>
      <c r="AB585" s="481">
        <f>IFERROR(__xludf.DUMMYFUNCTION("""COMPUTED_VALUE"""),67.0)</f>
        <v>67</v>
      </c>
      <c r="AC585" s="481">
        <f>IFERROR(__xludf.DUMMYFUNCTION("""COMPUTED_VALUE"""),0.0)</f>
        <v>0</v>
      </c>
      <c r="AD585" s="481">
        <f>IFERROR(__xludf.DUMMYFUNCTION("""COMPUTED_VALUE"""),0.0)</f>
        <v>0</v>
      </c>
      <c r="AE585" s="481">
        <f>IFERROR(__xludf.DUMMYFUNCTION("""COMPUTED_VALUE"""),10.0)</f>
        <v>10</v>
      </c>
      <c r="AF585" s="481"/>
      <c r="AG585" s="481">
        <f>IFERROR(__xludf.DUMMYFUNCTION("""COMPUTED_VALUE"""),10.0)</f>
        <v>10</v>
      </c>
      <c r="AH585" s="481"/>
      <c r="AI585" s="158"/>
      <c r="AJ585" s="158"/>
      <c r="AK585" s="133">
        <f>IFERROR(__xludf.DUMMYFUNCTION("""COMPUTED_VALUE"""),2.0)</f>
        <v>2</v>
      </c>
      <c r="AL585" s="133">
        <f>IFERROR(__xludf.DUMMYFUNCTION("""COMPUTED_VALUE"""),0.0)</f>
        <v>0</v>
      </c>
      <c r="AM585" s="133">
        <f>IFERROR(__xludf.DUMMYFUNCTION("""COMPUTED_VALUE"""),2.0)</f>
        <v>2</v>
      </c>
      <c r="AN585" s="133" t="str">
        <f>IFERROR(__xludf.DUMMYFUNCTION("""COMPUTED_VALUE"""),"2")</f>
        <v>2</v>
      </c>
      <c r="AO585" s="133">
        <f>IFERROR(__xludf.DUMMYFUNCTION("""COMPUTED_VALUE"""),0.0)</f>
        <v>0</v>
      </c>
      <c r="AP585" s="155" t="s">
        <v>3780</v>
      </c>
    </row>
    <row r="586">
      <c r="A586" s="155">
        <f>IFERROR(__xludf.DUMMYFUNCTION("""COMPUTED_VALUE"""),65.0)</f>
        <v>65</v>
      </c>
      <c r="B586" s="155" t="str">
        <f>IFERROR(__xludf.DUMMYFUNCTION("""COMPUTED_VALUE"""),"mored23aiml@cmrit.ac.in")</f>
        <v>mored23aiml@cmrit.ac.in</v>
      </c>
      <c r="C586" s="174" t="str">
        <f>IFERROR(__xludf.DUMMYFUNCTION("""COMPUTED_VALUE"""),"MOURYA REDDY V")</f>
        <v>MOURYA REDDY V</v>
      </c>
      <c r="D586" s="155" t="str">
        <f>IFERROR(__xludf.DUMMYFUNCTION("""COMPUTED_VALUE"""),"1CR23AI068")</f>
        <v>1CR23AI068</v>
      </c>
      <c r="E586" s="563">
        <f>IFERROR(__xludf.DUMMYFUNCTION("""COMPUTED_VALUE"""),8.147766026E9)</f>
        <v>8147766026</v>
      </c>
      <c r="F586" s="155" t="str">
        <f>IFERROR(__xludf.DUMMYFUNCTION("""COMPUTED_VALUE"""),"AIML")</f>
        <v>AIML</v>
      </c>
      <c r="G586" s="158"/>
      <c r="H586" s="559">
        <f>IFERROR(__xludf.DUMMYFUNCTION("""COMPUTED_VALUE"""),65.0)</f>
        <v>65</v>
      </c>
      <c r="I586" s="559">
        <f>IFERROR(__xludf.DUMMYFUNCTION("""COMPUTED_VALUE"""),72.0)</f>
        <v>72</v>
      </c>
      <c r="J586" s="559">
        <f>IFERROR(__xludf.DUMMYFUNCTION("""COMPUTED_VALUE"""),70.0)</f>
        <v>70</v>
      </c>
      <c r="K586" s="559">
        <f>IFERROR(__xludf.DUMMYFUNCTION("""COMPUTED_VALUE"""),70.0)</f>
        <v>70</v>
      </c>
      <c r="L586" s="560">
        <f>IFERROR(__xludf.DUMMYFUNCTION("""COMPUTED_VALUE"""),4.0)</f>
        <v>4</v>
      </c>
      <c r="M586" s="561">
        <f>IFERROR(__xludf.DUMMYFUNCTION("""COMPUTED_VALUE"""),27.0)</f>
        <v>27</v>
      </c>
      <c r="N586" s="561">
        <f>IFERROR(__xludf.DUMMYFUNCTION("""COMPUTED_VALUE"""),0.0)</f>
        <v>0</v>
      </c>
      <c r="O586" s="560"/>
      <c r="P586" s="562">
        <f>IFERROR(__xludf.DUMMYFUNCTION("""COMPUTED_VALUE"""),50.0)</f>
        <v>50</v>
      </c>
      <c r="Q586" s="562">
        <f>IFERROR(__xludf.DUMMYFUNCTION("""COMPUTED_VALUE"""),0.0)</f>
        <v>0</v>
      </c>
      <c r="R586" s="562">
        <f>IFERROR(__xludf.DUMMYFUNCTION("""COMPUTED_VALUE"""),0.0)</f>
        <v>0</v>
      </c>
      <c r="S586" s="562"/>
      <c r="T586" s="217">
        <f>IFERROR(__xludf.DUMMYFUNCTION("""COMPUTED_VALUE"""),17.0)</f>
        <v>17</v>
      </c>
      <c r="U586" s="217">
        <f>IFERROR(__xludf.DUMMYFUNCTION("""COMPUTED_VALUE"""),14.0)</f>
        <v>14</v>
      </c>
      <c r="V586" s="217">
        <f>IFERROR(__xludf.DUMMYFUNCTION("""COMPUTED_VALUE"""),0.0)</f>
        <v>0</v>
      </c>
      <c r="W586" s="217">
        <f>IFERROR(__xludf.DUMMYFUNCTION("""COMPUTED_VALUE"""),0.0)</f>
        <v>0</v>
      </c>
      <c r="X586" s="217"/>
      <c r="Y586" s="217"/>
      <c r="Z586" s="217"/>
      <c r="AA586" s="481">
        <f>IFERROR(__xludf.DUMMYFUNCTION("""COMPUTED_VALUE"""),24.0)</f>
        <v>24</v>
      </c>
      <c r="AB586" s="481">
        <f>IFERROR(__xludf.DUMMYFUNCTION("""COMPUTED_VALUE"""),87.0)</f>
        <v>87</v>
      </c>
      <c r="AC586" s="481">
        <f>IFERROR(__xludf.DUMMYFUNCTION("""COMPUTED_VALUE"""),0.0)</f>
        <v>0</v>
      </c>
      <c r="AD586" s="481">
        <f>IFERROR(__xludf.DUMMYFUNCTION("""COMPUTED_VALUE"""),0.0)</f>
        <v>0</v>
      </c>
      <c r="AE586" s="481">
        <f>IFERROR(__xludf.DUMMYFUNCTION("""COMPUTED_VALUE"""),10.0)</f>
        <v>10</v>
      </c>
      <c r="AF586" s="481"/>
      <c r="AG586" s="481">
        <f>IFERROR(__xludf.DUMMYFUNCTION("""COMPUTED_VALUE"""),48.0)</f>
        <v>48</v>
      </c>
      <c r="AH586" s="481"/>
      <c r="AI586" s="158"/>
      <c r="AJ586" s="158"/>
      <c r="AK586" s="133">
        <f>IFERROR(__xludf.DUMMYFUNCTION("""COMPUTED_VALUE"""),4.0)</f>
        <v>4</v>
      </c>
      <c r="AL586" s="133">
        <f>IFERROR(__xludf.DUMMYFUNCTION("""COMPUTED_VALUE"""),0.0)</f>
        <v>0</v>
      </c>
      <c r="AM586" s="133">
        <f>IFERROR(__xludf.DUMMYFUNCTION("""COMPUTED_VALUE"""),2.0)</f>
        <v>2</v>
      </c>
      <c r="AN586" s="133" t="str">
        <f>IFERROR(__xludf.DUMMYFUNCTION("""COMPUTED_VALUE"""),"2")</f>
        <v>2</v>
      </c>
      <c r="AO586" s="133">
        <f>IFERROR(__xludf.DUMMYFUNCTION("""COMPUTED_VALUE"""),1.0)</f>
        <v>1</v>
      </c>
      <c r="AP586" s="155" t="s">
        <v>3780</v>
      </c>
    </row>
    <row r="587">
      <c r="A587" s="155">
        <f>IFERROR(__xludf.DUMMYFUNCTION("""COMPUTED_VALUE"""),66.0)</f>
        <v>66</v>
      </c>
      <c r="B587" s="155" t="str">
        <f>IFERROR(__xludf.DUMMYFUNCTION("""COMPUTED_VALUE"""),"mysm23aiml@cmrit.ac.in")</f>
        <v>mysm23aiml@cmrit.ac.in</v>
      </c>
      <c r="C587" s="174" t="str">
        <f>IFERROR(__xludf.DUMMYFUNCTION("""COMPUTED_VALUE"""),"MYTHRI S M")</f>
        <v>MYTHRI S M</v>
      </c>
      <c r="D587" s="155" t="str">
        <f>IFERROR(__xludf.DUMMYFUNCTION("""COMPUTED_VALUE"""),"1CR23AI069")</f>
        <v>1CR23AI069</v>
      </c>
      <c r="E587" s="563">
        <f>IFERROR(__xludf.DUMMYFUNCTION("""COMPUTED_VALUE"""),7.411441322E9)</f>
        <v>7411441322</v>
      </c>
      <c r="F587" s="155" t="str">
        <f>IFERROR(__xludf.DUMMYFUNCTION("""COMPUTED_VALUE"""),"AIML")</f>
        <v>AIML</v>
      </c>
      <c r="G587" s="158"/>
      <c r="H587" s="559">
        <f>IFERROR(__xludf.DUMMYFUNCTION("""COMPUTED_VALUE"""),79.0)</f>
        <v>79</v>
      </c>
      <c r="I587" s="559">
        <f>IFERROR(__xludf.DUMMYFUNCTION("""COMPUTED_VALUE"""),86.0)</f>
        <v>86</v>
      </c>
      <c r="J587" s="559">
        <f>IFERROR(__xludf.DUMMYFUNCTION("""COMPUTED_VALUE"""),70.0)</f>
        <v>70</v>
      </c>
      <c r="K587" s="559">
        <f>IFERROR(__xludf.DUMMYFUNCTION("""COMPUTED_VALUE"""),81.0)</f>
        <v>81</v>
      </c>
      <c r="L587" s="560">
        <f>IFERROR(__xludf.DUMMYFUNCTION("""COMPUTED_VALUE"""),52.0)</f>
        <v>52</v>
      </c>
      <c r="M587" s="561">
        <f>IFERROR(__xludf.DUMMYFUNCTION("""COMPUTED_VALUE"""),50.0)</f>
        <v>50</v>
      </c>
      <c r="N587" s="561">
        <f>IFERROR(__xludf.DUMMYFUNCTION("""COMPUTED_VALUE"""),50.0)</f>
        <v>50</v>
      </c>
      <c r="O587" s="560"/>
      <c r="P587" s="562">
        <f>IFERROR(__xludf.DUMMYFUNCTION("""COMPUTED_VALUE"""),79.0)</f>
        <v>79</v>
      </c>
      <c r="Q587" s="562">
        <f>IFERROR(__xludf.DUMMYFUNCTION("""COMPUTED_VALUE"""),52.0)</f>
        <v>52</v>
      </c>
      <c r="R587" s="562">
        <f>IFERROR(__xludf.DUMMYFUNCTION("""COMPUTED_VALUE"""),88.0)</f>
        <v>88</v>
      </c>
      <c r="S587" s="562"/>
      <c r="T587" s="217">
        <f>IFERROR(__xludf.DUMMYFUNCTION("""COMPUTED_VALUE"""),19.0)</f>
        <v>19</v>
      </c>
      <c r="U587" s="217">
        <f>IFERROR(__xludf.DUMMYFUNCTION("""COMPUTED_VALUE"""),23.0)</f>
        <v>23</v>
      </c>
      <c r="V587" s="217">
        <f>IFERROR(__xludf.DUMMYFUNCTION("""COMPUTED_VALUE"""),88.0)</f>
        <v>88</v>
      </c>
      <c r="W587" s="217">
        <f>IFERROR(__xludf.DUMMYFUNCTION("""COMPUTED_VALUE"""),88.0)</f>
        <v>88</v>
      </c>
      <c r="X587" s="217">
        <f>IFERROR(__xludf.DUMMYFUNCTION("""COMPUTED_VALUE"""),72.0)</f>
        <v>72</v>
      </c>
      <c r="Y587" s="217"/>
      <c r="Z587" s="217"/>
      <c r="AA587" s="481">
        <f>IFERROR(__xludf.DUMMYFUNCTION("""COMPUTED_VALUE"""),92.0)</f>
        <v>92</v>
      </c>
      <c r="AB587" s="481">
        <f>IFERROR(__xludf.DUMMYFUNCTION("""COMPUTED_VALUE"""),92.0)</f>
        <v>92</v>
      </c>
      <c r="AC587" s="481">
        <f>IFERROR(__xludf.DUMMYFUNCTION("""COMPUTED_VALUE"""),61.0)</f>
        <v>61</v>
      </c>
      <c r="AD587" s="481">
        <f>IFERROR(__xludf.DUMMYFUNCTION("""COMPUTED_VALUE"""),60.0)</f>
        <v>60</v>
      </c>
      <c r="AE587" s="481">
        <f>IFERROR(__xludf.DUMMYFUNCTION("""COMPUTED_VALUE"""),75.0)</f>
        <v>75</v>
      </c>
      <c r="AF587" s="481"/>
      <c r="AG587" s="481">
        <f>IFERROR(__xludf.DUMMYFUNCTION("""COMPUTED_VALUE"""),83.0)</f>
        <v>83</v>
      </c>
      <c r="AH587" s="481"/>
      <c r="AI587" s="158"/>
      <c r="AJ587" s="158"/>
      <c r="AK587" s="133">
        <f>IFERROR(__xludf.DUMMYFUNCTION("""COMPUTED_VALUE"""),4.0)</f>
        <v>4</v>
      </c>
      <c r="AL587" s="133">
        <f>IFERROR(__xludf.DUMMYFUNCTION("""COMPUTED_VALUE"""),3.0)</f>
        <v>3</v>
      </c>
      <c r="AM587" s="133">
        <f>IFERROR(__xludf.DUMMYFUNCTION("""COMPUTED_VALUE"""),3.0)</f>
        <v>3</v>
      </c>
      <c r="AN587" s="133" t="str">
        <f>IFERROR(__xludf.DUMMYFUNCTION("""COMPUTED_VALUE"""),"3.5")</f>
        <v>3.5</v>
      </c>
      <c r="AO587" s="133">
        <f>IFERROR(__xludf.DUMMYFUNCTION("""COMPUTED_VALUE"""),3.0)</f>
        <v>3</v>
      </c>
      <c r="AP587" s="155" t="s">
        <v>3780</v>
      </c>
    </row>
    <row r="588">
      <c r="A588" s="155">
        <f>IFERROR(__xludf.DUMMYFUNCTION("""COMPUTED_VALUE"""),67.0)</f>
        <v>67</v>
      </c>
      <c r="B588" s="155" t="str">
        <f>IFERROR(__xludf.DUMMYFUNCTION("""COMPUTED_VALUE"""),"nakh23aiml@cmrit.ac.in")</f>
        <v>nakh23aiml@cmrit.ac.in</v>
      </c>
      <c r="C588" s="174" t="str">
        <f>IFERROR(__xludf.DUMMYFUNCTION("""COMPUTED_VALUE"""),"Nabin khati")</f>
        <v>Nabin khati</v>
      </c>
      <c r="D588" s="155" t="str">
        <f>IFERROR(__xludf.DUMMYFUNCTION("""COMPUTED_VALUE"""),"1CR23AI070")</f>
        <v>1CR23AI070</v>
      </c>
      <c r="E588" s="563">
        <f>IFERROR(__xludf.DUMMYFUNCTION("""COMPUTED_VALUE"""),8.310671591E9)</f>
        <v>8310671591</v>
      </c>
      <c r="F588" s="155" t="str">
        <f>IFERROR(__xludf.DUMMYFUNCTION("""COMPUTED_VALUE"""),"AIML")</f>
        <v>AIML</v>
      </c>
      <c r="G588" s="158"/>
      <c r="H588" s="559">
        <f>IFERROR(__xludf.DUMMYFUNCTION("""COMPUTED_VALUE"""),67.0)</f>
        <v>67</v>
      </c>
      <c r="I588" s="559">
        <f>IFERROR(__xludf.DUMMYFUNCTION("""COMPUTED_VALUE"""),65.0)</f>
        <v>65</v>
      </c>
      <c r="J588" s="559">
        <f>IFERROR(__xludf.DUMMYFUNCTION("""COMPUTED_VALUE"""),51.0)</f>
        <v>51</v>
      </c>
      <c r="K588" s="559">
        <f>IFERROR(__xludf.DUMMYFUNCTION("""COMPUTED_VALUE"""),6.0)</f>
        <v>6</v>
      </c>
      <c r="L588" s="560">
        <f>IFERROR(__xludf.DUMMYFUNCTION("""COMPUTED_VALUE"""),22.0)</f>
        <v>22</v>
      </c>
      <c r="M588" s="561">
        <f>IFERROR(__xludf.DUMMYFUNCTION("""COMPUTED_VALUE"""),0.0)</f>
        <v>0</v>
      </c>
      <c r="N588" s="561">
        <f>IFERROR(__xludf.DUMMYFUNCTION("""COMPUTED_VALUE"""),0.0)</f>
        <v>0</v>
      </c>
      <c r="O588" s="560"/>
      <c r="P588" s="562">
        <f>IFERROR(__xludf.DUMMYFUNCTION("""COMPUTED_VALUE"""),75.0)</f>
        <v>75</v>
      </c>
      <c r="Q588" s="562">
        <f>IFERROR(__xludf.DUMMYFUNCTION("""COMPUTED_VALUE"""),0.0)</f>
        <v>0</v>
      </c>
      <c r="R588" s="562">
        <f>IFERROR(__xludf.DUMMYFUNCTION("""COMPUTED_VALUE"""),0.0)</f>
        <v>0</v>
      </c>
      <c r="S588" s="562"/>
      <c r="T588" s="217">
        <f>IFERROR(__xludf.DUMMYFUNCTION("""COMPUTED_VALUE"""),15.0)</f>
        <v>15</v>
      </c>
      <c r="U588" s="217">
        <f>IFERROR(__xludf.DUMMYFUNCTION("""COMPUTED_VALUE"""),22.0)</f>
        <v>22</v>
      </c>
      <c r="V588" s="217">
        <f>IFERROR(__xludf.DUMMYFUNCTION("""COMPUTED_VALUE"""),88.0)</f>
        <v>88</v>
      </c>
      <c r="W588" s="217">
        <f>IFERROR(__xludf.DUMMYFUNCTION("""COMPUTED_VALUE"""),0.0)</f>
        <v>0</v>
      </c>
      <c r="X588" s="217">
        <f>IFERROR(__xludf.DUMMYFUNCTION("""COMPUTED_VALUE"""),78.0)</f>
        <v>78</v>
      </c>
      <c r="Y588" s="217"/>
      <c r="Z588" s="217"/>
      <c r="AA588" s="481">
        <f>IFERROR(__xludf.DUMMYFUNCTION("""COMPUTED_VALUE"""),100.0)</f>
        <v>100</v>
      </c>
      <c r="AB588" s="481">
        <f>IFERROR(__xludf.DUMMYFUNCTION("""COMPUTED_VALUE"""),83.0)</f>
        <v>83</v>
      </c>
      <c r="AC588" s="481">
        <f>IFERROR(__xludf.DUMMYFUNCTION("""COMPUTED_VALUE"""),0.0)</f>
        <v>0</v>
      </c>
      <c r="AD588" s="481">
        <f>IFERROR(__xludf.DUMMYFUNCTION("""COMPUTED_VALUE"""),26.0)</f>
        <v>26</v>
      </c>
      <c r="AE588" s="481">
        <f>IFERROR(__xludf.DUMMYFUNCTION("""COMPUTED_VALUE"""),10.0)</f>
        <v>10</v>
      </c>
      <c r="AF588" s="481"/>
      <c r="AG588" s="481">
        <f>IFERROR(__xludf.DUMMYFUNCTION("""COMPUTED_VALUE"""),15.0)</f>
        <v>15</v>
      </c>
      <c r="AH588" s="481"/>
      <c r="AI588" s="158"/>
      <c r="AJ588" s="158"/>
      <c r="AK588" s="133">
        <f>IFERROR(__xludf.DUMMYFUNCTION("""COMPUTED_VALUE"""),2.0)</f>
        <v>2</v>
      </c>
      <c r="AL588" s="133">
        <f>IFERROR(__xludf.DUMMYFUNCTION("""COMPUTED_VALUE"""),0.0)</f>
        <v>0</v>
      </c>
      <c r="AM588" s="133">
        <f>IFERROR(__xludf.DUMMYFUNCTION("""COMPUTED_VALUE"""),2.0)</f>
        <v>2</v>
      </c>
      <c r="AN588" s="133" t="str">
        <f>IFERROR(__xludf.DUMMYFUNCTION("""COMPUTED_VALUE"""),"2")</f>
        <v>2</v>
      </c>
      <c r="AO588" s="133">
        <f>IFERROR(__xludf.DUMMYFUNCTION("""COMPUTED_VALUE"""),1.0)</f>
        <v>1</v>
      </c>
      <c r="AP588" s="155" t="s">
        <v>3780</v>
      </c>
    </row>
    <row r="589">
      <c r="A589" s="155">
        <f>IFERROR(__xludf.DUMMYFUNCTION("""COMPUTED_VALUE"""),68.0)</f>
        <v>68</v>
      </c>
      <c r="B589" s="155" t="str">
        <f>IFERROR(__xludf.DUMMYFUNCTION("""COMPUTED_VALUE"""),"nagt23aiml@cmrit.ac.in")</f>
        <v>nagt23aiml@cmrit.ac.in</v>
      </c>
      <c r="C589" s="174" t="str">
        <f>IFERROR(__xludf.DUMMYFUNCTION("""COMPUTED_VALUE"""),"Navaneeth Gowda GT")</f>
        <v>Navaneeth Gowda GT</v>
      </c>
      <c r="D589" s="155" t="str">
        <f>IFERROR(__xludf.DUMMYFUNCTION("""COMPUTED_VALUE"""),"1CR23AI071")</f>
        <v>1CR23AI071</v>
      </c>
      <c r="E589" s="563">
        <f>IFERROR(__xludf.DUMMYFUNCTION("""COMPUTED_VALUE"""),8.310869229E9)</f>
        <v>8310869229</v>
      </c>
      <c r="F589" s="155" t="str">
        <f>IFERROR(__xludf.DUMMYFUNCTION("""COMPUTED_VALUE"""),"AIML")</f>
        <v>AIML</v>
      </c>
      <c r="G589" s="158"/>
      <c r="H589" s="559">
        <f>IFERROR(__xludf.DUMMYFUNCTION("""COMPUTED_VALUE"""),70.0)</f>
        <v>70</v>
      </c>
      <c r="I589" s="559">
        <f>IFERROR(__xludf.DUMMYFUNCTION("""COMPUTED_VALUE"""),80.0)</f>
        <v>80</v>
      </c>
      <c r="J589" s="559">
        <f>IFERROR(__xludf.DUMMYFUNCTION("""COMPUTED_VALUE"""),71.0)</f>
        <v>71</v>
      </c>
      <c r="K589" s="559">
        <f>IFERROR(__xludf.DUMMYFUNCTION("""COMPUTED_VALUE"""),70.0)</f>
        <v>70</v>
      </c>
      <c r="L589" s="560">
        <f>IFERROR(__xludf.DUMMYFUNCTION("""COMPUTED_VALUE"""),32.0)</f>
        <v>32</v>
      </c>
      <c r="M589" s="561">
        <f>IFERROR(__xludf.DUMMYFUNCTION("""COMPUTED_VALUE"""),50.0)</f>
        <v>50</v>
      </c>
      <c r="N589" s="561">
        <f>IFERROR(__xludf.DUMMYFUNCTION("""COMPUTED_VALUE"""),50.0)</f>
        <v>50</v>
      </c>
      <c r="O589" s="560"/>
      <c r="P589" s="562">
        <f>IFERROR(__xludf.DUMMYFUNCTION("""COMPUTED_VALUE"""),75.0)</f>
        <v>75</v>
      </c>
      <c r="Q589" s="562">
        <f>IFERROR(__xludf.DUMMYFUNCTION("""COMPUTED_VALUE"""),50.0)</f>
        <v>50</v>
      </c>
      <c r="R589" s="562">
        <f>IFERROR(__xludf.DUMMYFUNCTION("""COMPUTED_VALUE"""),74.0)</f>
        <v>74</v>
      </c>
      <c r="S589" s="562"/>
      <c r="T589" s="217">
        <f>IFERROR(__xludf.DUMMYFUNCTION("""COMPUTED_VALUE"""),11.0)</f>
        <v>11</v>
      </c>
      <c r="U589" s="217">
        <f>IFERROR(__xludf.DUMMYFUNCTION("""COMPUTED_VALUE"""),21.0)</f>
        <v>21</v>
      </c>
      <c r="V589" s="217">
        <f>IFERROR(__xludf.DUMMYFUNCTION("""COMPUTED_VALUE"""),90.0)</f>
        <v>90</v>
      </c>
      <c r="W589" s="217">
        <f>IFERROR(__xludf.DUMMYFUNCTION("""COMPUTED_VALUE"""),86.0)</f>
        <v>86</v>
      </c>
      <c r="X589" s="217">
        <f>IFERROR(__xludf.DUMMYFUNCTION("""COMPUTED_VALUE"""),70.0)</f>
        <v>70</v>
      </c>
      <c r="Y589" s="217"/>
      <c r="Z589" s="217"/>
      <c r="AA589" s="481">
        <f>IFERROR(__xludf.DUMMYFUNCTION("""COMPUTED_VALUE"""),26.0)</f>
        <v>26</v>
      </c>
      <c r="AB589" s="481">
        <f>IFERROR(__xludf.DUMMYFUNCTION("""COMPUTED_VALUE"""),32.0)</f>
        <v>32</v>
      </c>
      <c r="AC589" s="481">
        <f>IFERROR(__xludf.DUMMYFUNCTION("""COMPUTED_VALUE"""),0.0)</f>
        <v>0</v>
      </c>
      <c r="AD589" s="481">
        <f>IFERROR(__xludf.DUMMYFUNCTION("""COMPUTED_VALUE"""),100.0)</f>
        <v>100</v>
      </c>
      <c r="AE589" s="481">
        <f>IFERROR(__xludf.DUMMYFUNCTION("""COMPUTED_VALUE"""),21.0)</f>
        <v>21</v>
      </c>
      <c r="AF589" s="481"/>
      <c r="AG589" s="481">
        <f>IFERROR(__xludf.DUMMYFUNCTION("""COMPUTED_VALUE"""),57.0)</f>
        <v>57</v>
      </c>
      <c r="AH589" s="481"/>
      <c r="AI589" s="158"/>
      <c r="AJ589" s="158"/>
      <c r="AK589" s="133">
        <f>IFERROR(__xludf.DUMMYFUNCTION("""COMPUTED_VALUE"""),4.0)</f>
        <v>4</v>
      </c>
      <c r="AL589" s="133">
        <f>IFERROR(__xludf.DUMMYFUNCTION("""COMPUTED_VALUE"""),0.0)</f>
        <v>0</v>
      </c>
      <c r="AM589" s="133">
        <f>IFERROR(__xludf.DUMMYFUNCTION("""COMPUTED_VALUE"""),3.0)</f>
        <v>3</v>
      </c>
      <c r="AN589" s="133" t="str">
        <f>IFERROR(__xludf.DUMMYFUNCTION("""COMPUTED_VALUE"""),"0")</f>
        <v>0</v>
      </c>
      <c r="AO589" s="133">
        <f>IFERROR(__xludf.DUMMYFUNCTION("""COMPUTED_VALUE"""),3.0)</f>
        <v>3</v>
      </c>
      <c r="AP589" s="155" t="s">
        <v>3780</v>
      </c>
    </row>
    <row r="590">
      <c r="A590" s="155">
        <f>IFERROR(__xludf.DUMMYFUNCTION("""COMPUTED_VALUE"""),69.0)</f>
        <v>69</v>
      </c>
      <c r="B590" s="155" t="str">
        <f>IFERROR(__xludf.DUMMYFUNCTION("""COMPUTED_VALUE"""),"nipr23aiml@cmrit.ac.in")</f>
        <v>nipr23aiml@cmrit.ac.in</v>
      </c>
      <c r="C590" s="174" t="str">
        <f>IFERROR(__xludf.DUMMYFUNCTION("""COMPUTED_VALUE"""),"NICHENAMETLA PRANATHI")</f>
        <v>NICHENAMETLA PRANATHI</v>
      </c>
      <c r="D590" s="155" t="str">
        <f>IFERROR(__xludf.DUMMYFUNCTION("""COMPUTED_VALUE"""),"1CR23AI072")</f>
        <v>1CR23AI072</v>
      </c>
      <c r="E590" s="563">
        <f>IFERROR(__xludf.DUMMYFUNCTION("""COMPUTED_VALUE"""),8.149759918E9)</f>
        <v>8149759918</v>
      </c>
      <c r="F590" s="155" t="str">
        <f>IFERROR(__xludf.DUMMYFUNCTION("""COMPUTED_VALUE"""),"AIML")</f>
        <v>AIML</v>
      </c>
      <c r="G590" s="158"/>
      <c r="H590" s="559">
        <f>IFERROR(__xludf.DUMMYFUNCTION("""COMPUTED_VALUE"""),74.0)</f>
        <v>74</v>
      </c>
      <c r="I590" s="559">
        <f>IFERROR(__xludf.DUMMYFUNCTION("""COMPUTED_VALUE"""),87.0)</f>
        <v>87</v>
      </c>
      <c r="J590" s="559">
        <f>IFERROR(__xludf.DUMMYFUNCTION("""COMPUTED_VALUE"""),77.0)</f>
        <v>77</v>
      </c>
      <c r="K590" s="559">
        <f>IFERROR(__xludf.DUMMYFUNCTION("""COMPUTED_VALUE"""),70.0)</f>
        <v>70</v>
      </c>
      <c r="L590" s="560">
        <f>IFERROR(__xludf.DUMMYFUNCTION("""COMPUTED_VALUE"""),17.0)</f>
        <v>17</v>
      </c>
      <c r="M590" s="561">
        <f>IFERROR(__xludf.DUMMYFUNCTION("""COMPUTED_VALUE"""),50.0)</f>
        <v>50</v>
      </c>
      <c r="N590" s="561">
        <f>IFERROR(__xludf.DUMMYFUNCTION("""COMPUTED_VALUE"""),50.0)</f>
        <v>50</v>
      </c>
      <c r="O590" s="560"/>
      <c r="P590" s="562">
        <f>IFERROR(__xludf.DUMMYFUNCTION("""COMPUTED_VALUE"""),82.0)</f>
        <v>82</v>
      </c>
      <c r="Q590" s="562">
        <f>IFERROR(__xludf.DUMMYFUNCTION("""COMPUTED_VALUE"""),67.0)</f>
        <v>67</v>
      </c>
      <c r="R590" s="562">
        <f>IFERROR(__xludf.DUMMYFUNCTION("""COMPUTED_VALUE"""),0.0)</f>
        <v>0</v>
      </c>
      <c r="S590" s="562"/>
      <c r="T590" s="217">
        <f>IFERROR(__xludf.DUMMYFUNCTION("""COMPUTED_VALUE"""),14.0)</f>
        <v>14</v>
      </c>
      <c r="U590" s="217">
        <f>IFERROR(__xludf.DUMMYFUNCTION("""COMPUTED_VALUE"""),20.0)</f>
        <v>20</v>
      </c>
      <c r="V590" s="217">
        <f>IFERROR(__xludf.DUMMYFUNCTION("""COMPUTED_VALUE"""),54.0)</f>
        <v>54</v>
      </c>
      <c r="W590" s="217">
        <f>IFERROR(__xludf.DUMMYFUNCTION("""COMPUTED_VALUE"""),88.0)</f>
        <v>88</v>
      </c>
      <c r="X590" s="217">
        <f>IFERROR(__xludf.DUMMYFUNCTION("""COMPUTED_VALUE"""),84.0)</f>
        <v>84</v>
      </c>
      <c r="Y590" s="217"/>
      <c r="Z590" s="217"/>
      <c r="AA590" s="481">
        <f>IFERROR(__xludf.DUMMYFUNCTION("""COMPUTED_VALUE"""),46.0)</f>
        <v>46</v>
      </c>
      <c r="AB590" s="481">
        <f>IFERROR(__xludf.DUMMYFUNCTION("""COMPUTED_VALUE"""),93.0)</f>
        <v>93</v>
      </c>
      <c r="AC590" s="481">
        <f>IFERROR(__xludf.DUMMYFUNCTION("""COMPUTED_VALUE"""),8.0)</f>
        <v>8</v>
      </c>
      <c r="AD590" s="481">
        <f>IFERROR(__xludf.DUMMYFUNCTION("""COMPUTED_VALUE"""),1.0)</f>
        <v>1</v>
      </c>
      <c r="AE590" s="481">
        <f>IFERROR(__xludf.DUMMYFUNCTION("""COMPUTED_VALUE"""),17.0)</f>
        <v>17</v>
      </c>
      <c r="AF590" s="481"/>
      <c r="AG590" s="481">
        <f>IFERROR(__xludf.DUMMYFUNCTION("""COMPUTED_VALUE"""),89.0)</f>
        <v>89</v>
      </c>
      <c r="AH590" s="481"/>
      <c r="AI590" s="158"/>
      <c r="AJ590" s="158"/>
      <c r="AK590" s="133">
        <f>IFERROR(__xludf.DUMMYFUNCTION("""COMPUTED_VALUE"""),4.0)</f>
        <v>4</v>
      </c>
      <c r="AL590" s="133">
        <f>IFERROR(__xludf.DUMMYFUNCTION("""COMPUTED_VALUE"""),0.0)</f>
        <v>0</v>
      </c>
      <c r="AM590" s="133">
        <f>IFERROR(__xludf.DUMMYFUNCTION("""COMPUTED_VALUE"""),3.0)</f>
        <v>3</v>
      </c>
      <c r="AN590" s="133" t="str">
        <f>IFERROR(__xludf.DUMMYFUNCTION("""COMPUTED_VALUE"""),"2")</f>
        <v>2</v>
      </c>
      <c r="AO590" s="133">
        <f>IFERROR(__xludf.DUMMYFUNCTION("""COMPUTED_VALUE"""),2.0)</f>
        <v>2</v>
      </c>
      <c r="AP590" s="155" t="s">
        <v>3780</v>
      </c>
    </row>
    <row r="591">
      <c r="A591" s="155">
        <f>IFERROR(__xludf.DUMMYFUNCTION("""COMPUTED_VALUE"""),70.0)</f>
        <v>70</v>
      </c>
      <c r="B591" s="155" t="str">
        <f>IFERROR(__xludf.DUMMYFUNCTION("""COMPUTED_VALUE"""),"nimi23aiml@cmrit.ac.in")</f>
        <v>nimi23aiml@cmrit.ac.in</v>
      </c>
      <c r="C591" s="174" t="str">
        <f>IFERROR(__xludf.DUMMYFUNCTION("""COMPUTED_VALUE"""),"Nidhi Mishra")</f>
        <v>Nidhi Mishra</v>
      </c>
      <c r="D591" s="155" t="str">
        <f>IFERROR(__xludf.DUMMYFUNCTION("""COMPUTED_VALUE"""),"1CR23AI073")</f>
        <v>1CR23AI073</v>
      </c>
      <c r="E591" s="563">
        <f>IFERROR(__xludf.DUMMYFUNCTION("""COMPUTED_VALUE"""),8.528027453E9)</f>
        <v>8528027453</v>
      </c>
      <c r="F591" s="155" t="str">
        <f>IFERROR(__xludf.DUMMYFUNCTION("""COMPUTED_VALUE"""),"AIML")</f>
        <v>AIML</v>
      </c>
      <c r="G591" s="158"/>
      <c r="H591" s="559">
        <f>IFERROR(__xludf.DUMMYFUNCTION("""COMPUTED_VALUE"""),76.0)</f>
        <v>76</v>
      </c>
      <c r="I591" s="559">
        <f>IFERROR(__xludf.DUMMYFUNCTION("""COMPUTED_VALUE"""),91.0)</f>
        <v>91</v>
      </c>
      <c r="J591" s="559">
        <f>IFERROR(__xludf.DUMMYFUNCTION("""COMPUTED_VALUE"""),70.0)</f>
        <v>70</v>
      </c>
      <c r="K591" s="559">
        <f>IFERROR(__xludf.DUMMYFUNCTION("""COMPUTED_VALUE"""),70.0)</f>
        <v>70</v>
      </c>
      <c r="L591" s="560">
        <f>IFERROR(__xludf.DUMMYFUNCTION("""COMPUTED_VALUE"""),18.0)</f>
        <v>18</v>
      </c>
      <c r="M591" s="561">
        <f>IFERROR(__xludf.DUMMYFUNCTION("""COMPUTED_VALUE"""),28.0)</f>
        <v>28</v>
      </c>
      <c r="N591" s="561">
        <f>IFERROR(__xludf.DUMMYFUNCTION("""COMPUTED_VALUE"""),17.0)</f>
        <v>17</v>
      </c>
      <c r="O591" s="560"/>
      <c r="P591" s="562">
        <f>IFERROR(__xludf.DUMMYFUNCTION("""COMPUTED_VALUE"""),79.0)</f>
        <v>79</v>
      </c>
      <c r="Q591" s="562">
        <f>IFERROR(__xludf.DUMMYFUNCTION("""COMPUTED_VALUE"""),71.0)</f>
        <v>71</v>
      </c>
      <c r="R591" s="562">
        <f>IFERROR(__xludf.DUMMYFUNCTION("""COMPUTED_VALUE"""),89.0)</f>
        <v>89</v>
      </c>
      <c r="S591" s="562"/>
      <c r="T591" s="217">
        <f>IFERROR(__xludf.DUMMYFUNCTION("""COMPUTED_VALUE"""),21.0)</f>
        <v>21</v>
      </c>
      <c r="U591" s="217">
        <f>IFERROR(__xludf.DUMMYFUNCTION("""COMPUTED_VALUE"""),24.0)</f>
        <v>24</v>
      </c>
      <c r="V591" s="217">
        <f>IFERROR(__xludf.DUMMYFUNCTION("""COMPUTED_VALUE"""),92.0)</f>
        <v>92</v>
      </c>
      <c r="W591" s="217">
        <f>IFERROR(__xludf.DUMMYFUNCTION("""COMPUTED_VALUE"""),84.0)</f>
        <v>84</v>
      </c>
      <c r="X591" s="217">
        <f>IFERROR(__xludf.DUMMYFUNCTION("""COMPUTED_VALUE"""),76.0)</f>
        <v>76</v>
      </c>
      <c r="Y591" s="217"/>
      <c r="Z591" s="217"/>
      <c r="AA591" s="481">
        <f>IFERROR(__xludf.DUMMYFUNCTION("""COMPUTED_VALUE"""),72.0)</f>
        <v>72</v>
      </c>
      <c r="AB591" s="481">
        <f>IFERROR(__xludf.DUMMYFUNCTION("""COMPUTED_VALUE"""),92.0)</f>
        <v>92</v>
      </c>
      <c r="AC591" s="481">
        <f>IFERROR(__xludf.DUMMYFUNCTION("""COMPUTED_VALUE"""),3.0)</f>
        <v>3</v>
      </c>
      <c r="AD591" s="481">
        <f>IFERROR(__xludf.DUMMYFUNCTION("""COMPUTED_VALUE"""),60.0)</f>
        <v>60</v>
      </c>
      <c r="AE591" s="481">
        <f>IFERROR(__xludf.DUMMYFUNCTION("""COMPUTED_VALUE"""),28.0)</f>
        <v>28</v>
      </c>
      <c r="AF591" s="481"/>
      <c r="AG591" s="481">
        <f>IFERROR(__xludf.DUMMYFUNCTION("""COMPUTED_VALUE"""),87.0)</f>
        <v>87</v>
      </c>
      <c r="AH591" s="481"/>
      <c r="AI591" s="158"/>
      <c r="AJ591" s="158"/>
      <c r="AK591" s="133">
        <f>IFERROR(__xludf.DUMMYFUNCTION("""COMPUTED_VALUE"""),4.0)</f>
        <v>4</v>
      </c>
      <c r="AL591" s="133">
        <f>IFERROR(__xludf.DUMMYFUNCTION("""COMPUTED_VALUE"""),0.0)</f>
        <v>0</v>
      </c>
      <c r="AM591" s="133">
        <f>IFERROR(__xludf.DUMMYFUNCTION("""COMPUTED_VALUE"""),3.0)</f>
        <v>3</v>
      </c>
      <c r="AN591" s="133" t="str">
        <f>IFERROR(__xludf.DUMMYFUNCTION("""COMPUTED_VALUE"""),"3")</f>
        <v>3</v>
      </c>
      <c r="AO591" s="133">
        <f>IFERROR(__xludf.DUMMYFUNCTION("""COMPUTED_VALUE"""),3.0)</f>
        <v>3</v>
      </c>
      <c r="AP591" s="155" t="s">
        <v>3780</v>
      </c>
    </row>
    <row r="592">
      <c r="A592" s="155">
        <f>IFERROR(__xludf.DUMMYFUNCTION("""COMPUTED_VALUE"""),71.0)</f>
        <v>71</v>
      </c>
      <c r="B592" s="155" t="str">
        <f>IFERROR(__xludf.DUMMYFUNCTION("""COMPUTED_VALUE"""),"nish23aiml@cmrit.ac.in")</f>
        <v>nish23aiml@cmrit.ac.in</v>
      </c>
      <c r="C592" s="174" t="str">
        <f>IFERROR(__xludf.DUMMYFUNCTION("""COMPUTED_VALUE"""),"NIHA MUSKAAN SHARIEF")</f>
        <v>NIHA MUSKAAN SHARIEF</v>
      </c>
      <c r="D592" s="155" t="str">
        <f>IFERROR(__xludf.DUMMYFUNCTION("""COMPUTED_VALUE"""),"1CR23AI074")</f>
        <v>1CR23AI074</v>
      </c>
      <c r="E592" s="563">
        <f>IFERROR(__xludf.DUMMYFUNCTION("""COMPUTED_VALUE"""),8.861895707E9)</f>
        <v>8861895707</v>
      </c>
      <c r="F592" s="155" t="str">
        <f>IFERROR(__xludf.DUMMYFUNCTION("""COMPUTED_VALUE"""),"AIML")</f>
        <v>AIML</v>
      </c>
      <c r="G592" s="158"/>
      <c r="H592" s="559">
        <f>IFERROR(__xludf.DUMMYFUNCTION("""COMPUTED_VALUE"""),78.0)</f>
        <v>78</v>
      </c>
      <c r="I592" s="559">
        <f>IFERROR(__xludf.DUMMYFUNCTION("""COMPUTED_VALUE"""),86.0)</f>
        <v>86</v>
      </c>
      <c r="J592" s="559">
        <f>IFERROR(__xludf.DUMMYFUNCTION("""COMPUTED_VALUE"""),87.0)</f>
        <v>87</v>
      </c>
      <c r="K592" s="559">
        <f>IFERROR(__xludf.DUMMYFUNCTION("""COMPUTED_VALUE"""),70.0)</f>
        <v>70</v>
      </c>
      <c r="L592" s="560">
        <f>IFERROR(__xludf.DUMMYFUNCTION("""COMPUTED_VALUE"""),50.0)</f>
        <v>50</v>
      </c>
      <c r="M592" s="561">
        <f>IFERROR(__xludf.DUMMYFUNCTION("""COMPUTED_VALUE"""),32.0)</f>
        <v>32</v>
      </c>
      <c r="N592" s="561">
        <f>IFERROR(__xludf.DUMMYFUNCTION("""COMPUTED_VALUE"""),50.0)</f>
        <v>50</v>
      </c>
      <c r="O592" s="560"/>
      <c r="P592" s="562">
        <f>IFERROR(__xludf.DUMMYFUNCTION("""COMPUTED_VALUE"""),84.0)</f>
        <v>84</v>
      </c>
      <c r="Q592" s="562">
        <f>IFERROR(__xludf.DUMMYFUNCTION("""COMPUTED_VALUE"""),87.0)</f>
        <v>87</v>
      </c>
      <c r="R592" s="562">
        <f>IFERROR(__xludf.DUMMYFUNCTION("""COMPUTED_VALUE"""),95.0)</f>
        <v>95</v>
      </c>
      <c r="S592" s="562"/>
      <c r="T592" s="217">
        <f>IFERROR(__xludf.DUMMYFUNCTION("""COMPUTED_VALUE"""),17.0)</f>
        <v>17</v>
      </c>
      <c r="U592" s="217">
        <f>IFERROR(__xludf.DUMMYFUNCTION("""COMPUTED_VALUE"""),22.0)</f>
        <v>22</v>
      </c>
      <c r="V592" s="217">
        <f>IFERROR(__xludf.DUMMYFUNCTION("""COMPUTED_VALUE"""),92.0)</f>
        <v>92</v>
      </c>
      <c r="W592" s="217">
        <f>IFERROR(__xludf.DUMMYFUNCTION("""COMPUTED_VALUE"""),88.0)</f>
        <v>88</v>
      </c>
      <c r="X592" s="217">
        <f>IFERROR(__xludf.DUMMYFUNCTION("""COMPUTED_VALUE"""),70.0)</f>
        <v>70</v>
      </c>
      <c r="Y592" s="217"/>
      <c r="Z592" s="217"/>
      <c r="AA592" s="481">
        <f>IFERROR(__xludf.DUMMYFUNCTION("""COMPUTED_VALUE"""),64.0)</f>
        <v>64</v>
      </c>
      <c r="AB592" s="481">
        <f>IFERROR(__xludf.DUMMYFUNCTION("""COMPUTED_VALUE"""),100.0)</f>
        <v>100</v>
      </c>
      <c r="AC592" s="481">
        <f>IFERROR(__xludf.DUMMYFUNCTION("""COMPUTED_VALUE"""),90.0)</f>
        <v>90</v>
      </c>
      <c r="AD592" s="481">
        <f>IFERROR(__xludf.DUMMYFUNCTION("""COMPUTED_VALUE"""),75.0)</f>
        <v>75</v>
      </c>
      <c r="AE592" s="481">
        <f>IFERROR(__xludf.DUMMYFUNCTION("""COMPUTED_VALUE"""),74.0)</f>
        <v>74</v>
      </c>
      <c r="AF592" s="481"/>
      <c r="AG592" s="481">
        <f>IFERROR(__xludf.DUMMYFUNCTION("""COMPUTED_VALUE"""),81.0)</f>
        <v>81</v>
      </c>
      <c r="AH592" s="481"/>
      <c r="AI592" s="158"/>
      <c r="AJ592" s="158"/>
      <c r="AK592" s="133">
        <f>IFERROR(__xludf.DUMMYFUNCTION("""COMPUTED_VALUE"""),4.0)</f>
        <v>4</v>
      </c>
      <c r="AL592" s="133">
        <f>IFERROR(__xludf.DUMMYFUNCTION("""COMPUTED_VALUE"""),1.0)</f>
        <v>1</v>
      </c>
      <c r="AM592" s="133">
        <f>IFERROR(__xludf.DUMMYFUNCTION("""COMPUTED_VALUE"""),3.0)</f>
        <v>3</v>
      </c>
      <c r="AN592" s="133" t="str">
        <f>IFERROR(__xludf.DUMMYFUNCTION("""COMPUTED_VALUE"""),"3.5")</f>
        <v>3.5</v>
      </c>
      <c r="AO592" s="133">
        <f>IFERROR(__xludf.DUMMYFUNCTION("""COMPUTED_VALUE"""),3.0)</f>
        <v>3</v>
      </c>
      <c r="AP592" s="155" t="s">
        <v>3780</v>
      </c>
    </row>
    <row r="593">
      <c r="A593" s="155">
        <f>IFERROR(__xludf.DUMMYFUNCTION("""COMPUTED_VALUE"""),72.0)</f>
        <v>72</v>
      </c>
      <c r="B593" s="155" t="str">
        <f>IFERROR(__xludf.DUMMYFUNCTION("""COMPUTED_VALUE"""),"nich23aiml@cmrit.ac.in")</f>
        <v>nich23aiml@cmrit.ac.in</v>
      </c>
      <c r="C593" s="174" t="str">
        <f>IFERROR(__xludf.DUMMYFUNCTION("""COMPUTED_VALUE"""),"Nikhil Chaudhary")</f>
        <v>Nikhil Chaudhary</v>
      </c>
      <c r="D593" s="155" t="str">
        <f>IFERROR(__xludf.DUMMYFUNCTION("""COMPUTED_VALUE"""),"1CR23AI075")</f>
        <v>1CR23AI075</v>
      </c>
      <c r="E593" s="563">
        <f>IFERROR(__xludf.DUMMYFUNCTION("""COMPUTED_VALUE"""),6.393096193E9)</f>
        <v>6393096193</v>
      </c>
      <c r="F593" s="155" t="str">
        <f>IFERROR(__xludf.DUMMYFUNCTION("""COMPUTED_VALUE"""),"AIML")</f>
        <v>AIML</v>
      </c>
      <c r="G593" s="158"/>
      <c r="H593" s="559">
        <f>IFERROR(__xludf.DUMMYFUNCTION("""COMPUTED_VALUE"""),70.0)</f>
        <v>70</v>
      </c>
      <c r="I593" s="559">
        <f>IFERROR(__xludf.DUMMYFUNCTION("""COMPUTED_VALUE"""),88.0)</f>
        <v>88</v>
      </c>
      <c r="J593" s="559">
        <f>IFERROR(__xludf.DUMMYFUNCTION("""COMPUTED_VALUE"""),59.0)</f>
        <v>59</v>
      </c>
      <c r="K593" s="559">
        <f>IFERROR(__xludf.DUMMYFUNCTION("""COMPUTED_VALUE"""),70.0)</f>
        <v>70</v>
      </c>
      <c r="L593" s="560">
        <f>IFERROR(__xludf.DUMMYFUNCTION("""COMPUTED_VALUE"""),50.0)</f>
        <v>50</v>
      </c>
      <c r="M593" s="561">
        <f>IFERROR(__xludf.DUMMYFUNCTION("""COMPUTED_VALUE"""),50.0)</f>
        <v>50</v>
      </c>
      <c r="N593" s="561">
        <f>IFERROR(__xludf.DUMMYFUNCTION("""COMPUTED_VALUE"""),50.0)</f>
        <v>50</v>
      </c>
      <c r="O593" s="560"/>
      <c r="P593" s="562">
        <f>IFERROR(__xludf.DUMMYFUNCTION("""COMPUTED_VALUE"""),77.0)</f>
        <v>77</v>
      </c>
      <c r="Q593" s="562">
        <f>IFERROR(__xludf.DUMMYFUNCTION("""COMPUTED_VALUE"""),71.0)</f>
        <v>71</v>
      </c>
      <c r="R593" s="562">
        <f>IFERROR(__xludf.DUMMYFUNCTION("""COMPUTED_VALUE"""),78.0)</f>
        <v>78</v>
      </c>
      <c r="S593" s="562"/>
      <c r="T593" s="217">
        <f>IFERROR(__xludf.DUMMYFUNCTION("""COMPUTED_VALUE"""),11.0)</f>
        <v>11</v>
      </c>
      <c r="U593" s="217">
        <f>IFERROR(__xludf.DUMMYFUNCTION("""COMPUTED_VALUE"""),24.0)</f>
        <v>24</v>
      </c>
      <c r="V593" s="217">
        <f>IFERROR(__xludf.DUMMYFUNCTION("""COMPUTED_VALUE"""),92.0)</f>
        <v>92</v>
      </c>
      <c r="W593" s="217">
        <f>IFERROR(__xludf.DUMMYFUNCTION("""COMPUTED_VALUE"""),84.0)</f>
        <v>84</v>
      </c>
      <c r="X593" s="217">
        <f>IFERROR(__xludf.DUMMYFUNCTION("""COMPUTED_VALUE"""),72.0)</f>
        <v>72</v>
      </c>
      <c r="Y593" s="217"/>
      <c r="Z593" s="217"/>
      <c r="AA593" s="481">
        <f>IFERROR(__xludf.DUMMYFUNCTION("""COMPUTED_VALUE"""),44.0)</f>
        <v>44</v>
      </c>
      <c r="AB593" s="481">
        <f>IFERROR(__xludf.DUMMYFUNCTION("""COMPUTED_VALUE"""),96.0)</f>
        <v>96</v>
      </c>
      <c r="AC593" s="481">
        <f>IFERROR(__xludf.DUMMYFUNCTION("""COMPUTED_VALUE"""),100.0)</f>
        <v>100</v>
      </c>
      <c r="AD593" s="481">
        <f>IFERROR(__xludf.DUMMYFUNCTION("""COMPUTED_VALUE"""),0.0)</f>
        <v>0</v>
      </c>
      <c r="AE593" s="481">
        <f>IFERROR(__xludf.DUMMYFUNCTION("""COMPUTED_VALUE"""),17.0)</f>
        <v>17</v>
      </c>
      <c r="AF593" s="481"/>
      <c r="AG593" s="481">
        <f>IFERROR(__xludf.DUMMYFUNCTION("""COMPUTED_VALUE"""),73.0)</f>
        <v>73</v>
      </c>
      <c r="AH593" s="481"/>
      <c r="AI593" s="158"/>
      <c r="AJ593" s="158"/>
      <c r="AK593" s="133">
        <f>IFERROR(__xludf.DUMMYFUNCTION("""COMPUTED_VALUE"""),2.0)</f>
        <v>2</v>
      </c>
      <c r="AL593" s="133">
        <f>IFERROR(__xludf.DUMMYFUNCTION("""COMPUTED_VALUE"""),3.0)</f>
        <v>3</v>
      </c>
      <c r="AM593" s="133">
        <f>IFERROR(__xludf.DUMMYFUNCTION("""COMPUTED_VALUE"""),3.0)</f>
        <v>3</v>
      </c>
      <c r="AN593" s="133" t="str">
        <f>IFERROR(__xludf.DUMMYFUNCTION("""COMPUTED_VALUE"""),"3")</f>
        <v>3</v>
      </c>
      <c r="AO593" s="133">
        <f>IFERROR(__xludf.DUMMYFUNCTION("""COMPUTED_VALUE"""),3.0)</f>
        <v>3</v>
      </c>
      <c r="AP593" s="155" t="s">
        <v>3780</v>
      </c>
    </row>
    <row r="594">
      <c r="A594" s="155">
        <f>IFERROR(__xludf.DUMMYFUNCTION("""COMPUTED_VALUE"""),73.0)</f>
        <v>73</v>
      </c>
      <c r="B594" s="155" t="str">
        <f>IFERROR(__xludf.DUMMYFUNCTION("""COMPUTED_VALUE"""),"nib23aiml@cmrit.ac.in")</f>
        <v>nib23aiml@cmrit.ac.in</v>
      </c>
      <c r="C594" s="174" t="str">
        <f>IFERROR(__xludf.DUMMYFUNCTION("""COMPUTED_VALUE"""),"Niranjan B")</f>
        <v>Niranjan B</v>
      </c>
      <c r="D594" s="155" t="str">
        <f>IFERROR(__xludf.DUMMYFUNCTION("""COMPUTED_VALUE"""),"1CR23AI076")</f>
        <v>1CR23AI076</v>
      </c>
      <c r="E594" s="563">
        <f>IFERROR(__xludf.DUMMYFUNCTION("""COMPUTED_VALUE"""),7.019867534E9)</f>
        <v>7019867534</v>
      </c>
      <c r="F594" s="155" t="str">
        <f>IFERROR(__xludf.DUMMYFUNCTION("""COMPUTED_VALUE"""),"AIML")</f>
        <v>AIML</v>
      </c>
      <c r="G594" s="158"/>
      <c r="H594" s="559">
        <f>IFERROR(__xludf.DUMMYFUNCTION("""COMPUTED_VALUE"""),70.0)</f>
        <v>70</v>
      </c>
      <c r="I594" s="559">
        <f>IFERROR(__xludf.DUMMYFUNCTION("""COMPUTED_VALUE"""),70.0)</f>
        <v>70</v>
      </c>
      <c r="J594" s="559">
        <f>IFERROR(__xludf.DUMMYFUNCTION("""COMPUTED_VALUE"""),70.0)</f>
        <v>70</v>
      </c>
      <c r="K594" s="559">
        <f>IFERROR(__xludf.DUMMYFUNCTION("""COMPUTED_VALUE"""),70.0)</f>
        <v>70</v>
      </c>
      <c r="L594" s="560">
        <f>IFERROR(__xludf.DUMMYFUNCTION("""COMPUTED_VALUE"""),50.0)</f>
        <v>50</v>
      </c>
      <c r="M594" s="561">
        <f>IFERROR(__xludf.DUMMYFUNCTION("""COMPUTED_VALUE"""),50.0)</f>
        <v>50</v>
      </c>
      <c r="N594" s="561">
        <f>IFERROR(__xludf.DUMMYFUNCTION("""COMPUTED_VALUE"""),0.0)</f>
        <v>0</v>
      </c>
      <c r="O594" s="560"/>
      <c r="P594" s="562">
        <f>IFERROR(__xludf.DUMMYFUNCTION("""COMPUTED_VALUE"""),50.0)</f>
        <v>50</v>
      </c>
      <c r="Q594" s="562">
        <f>IFERROR(__xludf.DUMMYFUNCTION("""COMPUTED_VALUE"""),50.0)</f>
        <v>50</v>
      </c>
      <c r="R594" s="562">
        <f>IFERROR(__xludf.DUMMYFUNCTION("""COMPUTED_VALUE"""),50.0)</f>
        <v>50</v>
      </c>
      <c r="S594" s="562"/>
      <c r="T594" s="217">
        <f>IFERROR(__xludf.DUMMYFUNCTION("""COMPUTED_VALUE"""),15.0)</f>
        <v>15</v>
      </c>
      <c r="U594" s="217">
        <f>IFERROR(__xludf.DUMMYFUNCTION("""COMPUTED_VALUE"""),24.0)</f>
        <v>24</v>
      </c>
      <c r="V594" s="217">
        <f>IFERROR(__xludf.DUMMYFUNCTION("""COMPUTED_VALUE"""),0.0)</f>
        <v>0</v>
      </c>
      <c r="W594" s="217">
        <f>IFERROR(__xludf.DUMMYFUNCTION("""COMPUTED_VALUE"""),84.0)</f>
        <v>84</v>
      </c>
      <c r="X594" s="217"/>
      <c r="Y594" s="217"/>
      <c r="Z594" s="217"/>
      <c r="AA594" s="481">
        <f>IFERROR(__xludf.DUMMYFUNCTION("""COMPUTED_VALUE"""),18.0)</f>
        <v>18</v>
      </c>
      <c r="AB594" s="481">
        <f>IFERROR(__xludf.DUMMYFUNCTION("""COMPUTED_VALUE"""),73.0)</f>
        <v>73</v>
      </c>
      <c r="AC594" s="481">
        <f>IFERROR(__xludf.DUMMYFUNCTION("""COMPUTED_VALUE"""),100.0)</f>
        <v>100</v>
      </c>
      <c r="AD594" s="481">
        <f>IFERROR(__xludf.DUMMYFUNCTION("""COMPUTED_VALUE"""),26.0)</f>
        <v>26</v>
      </c>
      <c r="AE594" s="481">
        <f>IFERROR(__xludf.DUMMYFUNCTION("""COMPUTED_VALUE"""),10.0)</f>
        <v>10</v>
      </c>
      <c r="AF594" s="481"/>
      <c r="AG594" s="481">
        <f>IFERROR(__xludf.DUMMYFUNCTION("""COMPUTED_VALUE"""),25.0)</f>
        <v>25</v>
      </c>
      <c r="AH594" s="481"/>
      <c r="AI594" s="158"/>
      <c r="AJ594" s="158"/>
      <c r="AK594" s="133">
        <f>IFERROR(__xludf.DUMMYFUNCTION("""COMPUTED_VALUE"""),4.0)</f>
        <v>4</v>
      </c>
      <c r="AL594" s="133">
        <f>IFERROR(__xludf.DUMMYFUNCTION("""COMPUTED_VALUE"""),2.0)</f>
        <v>2</v>
      </c>
      <c r="AM594" s="133">
        <f>IFERROR(__xludf.DUMMYFUNCTION("""COMPUTED_VALUE"""),3.0)</f>
        <v>3</v>
      </c>
      <c r="AN594" s="133" t="str">
        <f>IFERROR(__xludf.DUMMYFUNCTION("""COMPUTED_VALUE"""),"3")</f>
        <v>3</v>
      </c>
      <c r="AO594" s="133">
        <f>IFERROR(__xludf.DUMMYFUNCTION("""COMPUTED_VALUE"""),3.0)</f>
        <v>3</v>
      </c>
      <c r="AP594" s="155" t="s">
        <v>3780</v>
      </c>
    </row>
    <row r="595">
      <c r="A595" s="155">
        <f>IFERROR(__xludf.DUMMYFUNCTION("""COMPUTED_VALUE"""),74.0)</f>
        <v>74</v>
      </c>
      <c r="B595" s="155" t="str">
        <f>IFERROR(__xludf.DUMMYFUNCTION("""COMPUTED_VALUE"""),"psh23aiml@cmrit.ac.in")</f>
        <v>psh23aiml@cmrit.ac.in</v>
      </c>
      <c r="C595" s="174" t="str">
        <f>IFERROR(__xludf.DUMMYFUNCTION("""COMPUTED_VALUE"""),"P SHREEYA ")</f>
        <v>P SHREEYA </v>
      </c>
      <c r="D595" s="155" t="str">
        <f>IFERROR(__xludf.DUMMYFUNCTION("""COMPUTED_VALUE"""),"1CR23AI077")</f>
        <v>1CR23AI077</v>
      </c>
      <c r="E595" s="563">
        <f>IFERROR(__xludf.DUMMYFUNCTION("""COMPUTED_VALUE"""),8.073916866E9)</f>
        <v>8073916866</v>
      </c>
      <c r="F595" s="155" t="str">
        <f>IFERROR(__xludf.DUMMYFUNCTION("""COMPUTED_VALUE"""),"AIML")</f>
        <v>AIML</v>
      </c>
      <c r="G595" s="158"/>
      <c r="H595" s="559">
        <f>IFERROR(__xludf.DUMMYFUNCTION("""COMPUTED_VALUE"""),77.0)</f>
        <v>77</v>
      </c>
      <c r="I595" s="559">
        <f>IFERROR(__xludf.DUMMYFUNCTION("""COMPUTED_VALUE"""),81.0)</f>
        <v>81</v>
      </c>
      <c r="J595" s="559">
        <f>IFERROR(__xludf.DUMMYFUNCTION("""COMPUTED_VALUE"""),72.0)</f>
        <v>72</v>
      </c>
      <c r="K595" s="559">
        <f>IFERROR(__xludf.DUMMYFUNCTION("""COMPUTED_VALUE"""),70.0)</f>
        <v>70</v>
      </c>
      <c r="L595" s="560">
        <f>IFERROR(__xludf.DUMMYFUNCTION("""COMPUTED_VALUE"""),50.0)</f>
        <v>50</v>
      </c>
      <c r="M595" s="561">
        <f>IFERROR(__xludf.DUMMYFUNCTION("""COMPUTED_VALUE"""),43.0)</f>
        <v>43</v>
      </c>
      <c r="N595" s="561">
        <f>IFERROR(__xludf.DUMMYFUNCTION("""COMPUTED_VALUE"""),9.0)</f>
        <v>9</v>
      </c>
      <c r="O595" s="560"/>
      <c r="P595" s="562">
        <f>IFERROR(__xludf.DUMMYFUNCTION("""COMPUTED_VALUE"""),82.0)</f>
        <v>82</v>
      </c>
      <c r="Q595" s="562">
        <f>IFERROR(__xludf.DUMMYFUNCTION("""COMPUTED_VALUE"""),72.0)</f>
        <v>72</v>
      </c>
      <c r="R595" s="562">
        <f>IFERROR(__xludf.DUMMYFUNCTION("""COMPUTED_VALUE"""),83.0)</f>
        <v>83</v>
      </c>
      <c r="S595" s="562"/>
      <c r="T595" s="217">
        <f>IFERROR(__xludf.DUMMYFUNCTION("""COMPUTED_VALUE"""),10.0)</f>
        <v>10</v>
      </c>
      <c r="U595" s="217">
        <f>IFERROR(__xludf.DUMMYFUNCTION("""COMPUTED_VALUE"""),20.0)</f>
        <v>20</v>
      </c>
      <c r="V595" s="217">
        <f>IFERROR(__xludf.DUMMYFUNCTION("""COMPUTED_VALUE"""),88.0)</f>
        <v>88</v>
      </c>
      <c r="W595" s="217">
        <f>IFERROR(__xludf.DUMMYFUNCTION("""COMPUTED_VALUE"""),88.0)</f>
        <v>88</v>
      </c>
      <c r="X595" s="217">
        <f>IFERROR(__xludf.DUMMYFUNCTION("""COMPUTED_VALUE"""),76.0)</f>
        <v>76</v>
      </c>
      <c r="Y595" s="217"/>
      <c r="Z595" s="217"/>
      <c r="AA595" s="481">
        <f>IFERROR(__xludf.DUMMYFUNCTION("""COMPUTED_VALUE"""),0.0)</f>
        <v>0</v>
      </c>
      <c r="AB595" s="481">
        <f>IFERROR(__xludf.DUMMYFUNCTION("""COMPUTED_VALUE"""),78.0)</f>
        <v>78</v>
      </c>
      <c r="AC595" s="481">
        <f>IFERROR(__xludf.DUMMYFUNCTION("""COMPUTED_VALUE"""),78.0)</f>
        <v>78</v>
      </c>
      <c r="AD595" s="481">
        <f>IFERROR(__xludf.DUMMYFUNCTION("""COMPUTED_VALUE"""),2.0)</f>
        <v>2</v>
      </c>
      <c r="AE595" s="481">
        <f>IFERROR(__xludf.DUMMYFUNCTION("""COMPUTED_VALUE"""),40.0)</f>
        <v>40</v>
      </c>
      <c r="AF595" s="481"/>
      <c r="AG595" s="481">
        <f>IFERROR(__xludf.DUMMYFUNCTION("""COMPUTED_VALUE"""),70.0)</f>
        <v>70</v>
      </c>
      <c r="AH595" s="481"/>
      <c r="AI595" s="158"/>
      <c r="AJ595" s="158"/>
      <c r="AK595" s="133">
        <f>IFERROR(__xludf.DUMMYFUNCTION("""COMPUTED_VALUE"""),4.0)</f>
        <v>4</v>
      </c>
      <c r="AL595" s="133">
        <f>IFERROR(__xludf.DUMMYFUNCTION("""COMPUTED_VALUE"""),1.0)</f>
        <v>1</v>
      </c>
      <c r="AM595" s="133">
        <f>IFERROR(__xludf.DUMMYFUNCTION("""COMPUTED_VALUE"""),3.0)</f>
        <v>3</v>
      </c>
      <c r="AN595" s="133" t="str">
        <f>IFERROR(__xludf.DUMMYFUNCTION("""COMPUTED_VALUE"""),"3")</f>
        <v>3</v>
      </c>
      <c r="AO595" s="133">
        <f>IFERROR(__xludf.DUMMYFUNCTION("""COMPUTED_VALUE"""),3.0)</f>
        <v>3</v>
      </c>
      <c r="AP595" s="155" t="s">
        <v>3780</v>
      </c>
    </row>
    <row r="596">
      <c r="A596" s="155">
        <f>IFERROR(__xludf.DUMMYFUNCTION("""COMPUTED_VALUE"""),75.0)</f>
        <v>75</v>
      </c>
      <c r="B596" s="155" t="str">
        <f>IFERROR(__xludf.DUMMYFUNCTION("""COMPUTED_VALUE"""),"pasa23aiml@cmrit.ac.in")</f>
        <v>pasa23aiml@cmrit.ac.in</v>
      </c>
      <c r="C596" s="174" t="str">
        <f>IFERROR(__xludf.DUMMYFUNCTION("""COMPUTED_VALUE"""),"PALAKONDA SAI KIRAN ")</f>
        <v>PALAKONDA SAI KIRAN </v>
      </c>
      <c r="D596" s="155" t="str">
        <f>IFERROR(__xludf.DUMMYFUNCTION("""COMPUTED_VALUE"""),"1CR23AI078")</f>
        <v>1CR23AI078</v>
      </c>
      <c r="E596" s="563">
        <f>IFERROR(__xludf.DUMMYFUNCTION("""COMPUTED_VALUE"""),6.303766119E9)</f>
        <v>6303766119</v>
      </c>
      <c r="F596" s="155" t="str">
        <f>IFERROR(__xludf.DUMMYFUNCTION("""COMPUTED_VALUE"""),"AIML")</f>
        <v>AIML</v>
      </c>
      <c r="G596" s="158"/>
      <c r="H596" s="559">
        <f>IFERROR(__xludf.DUMMYFUNCTION("""COMPUTED_VALUE"""),98.0)</f>
        <v>98</v>
      </c>
      <c r="I596" s="559">
        <f>IFERROR(__xludf.DUMMYFUNCTION("""COMPUTED_VALUE"""),70.0)</f>
        <v>70</v>
      </c>
      <c r="J596" s="559">
        <f>IFERROR(__xludf.DUMMYFUNCTION("""COMPUTED_VALUE"""),70.0)</f>
        <v>70</v>
      </c>
      <c r="K596" s="559">
        <f>IFERROR(__xludf.DUMMYFUNCTION("""COMPUTED_VALUE"""),70.0)</f>
        <v>70</v>
      </c>
      <c r="L596" s="560">
        <f>IFERROR(__xludf.DUMMYFUNCTION("""COMPUTED_VALUE"""),50.0)</f>
        <v>50</v>
      </c>
      <c r="M596" s="561">
        <f>IFERROR(__xludf.DUMMYFUNCTION("""COMPUTED_VALUE"""),28.0)</f>
        <v>28</v>
      </c>
      <c r="N596" s="561">
        <f>IFERROR(__xludf.DUMMYFUNCTION("""COMPUTED_VALUE"""),50.0)</f>
        <v>50</v>
      </c>
      <c r="O596" s="560"/>
      <c r="P596" s="562">
        <f>IFERROR(__xludf.DUMMYFUNCTION("""COMPUTED_VALUE"""),81.0)</f>
        <v>81</v>
      </c>
      <c r="Q596" s="562">
        <f>IFERROR(__xludf.DUMMYFUNCTION("""COMPUTED_VALUE"""),53.0)</f>
        <v>53</v>
      </c>
      <c r="R596" s="562">
        <f>IFERROR(__xludf.DUMMYFUNCTION("""COMPUTED_VALUE"""),89.0)</f>
        <v>89</v>
      </c>
      <c r="S596" s="562"/>
      <c r="T596" s="217">
        <f>IFERROR(__xludf.DUMMYFUNCTION("""COMPUTED_VALUE"""),17.0)</f>
        <v>17</v>
      </c>
      <c r="U596" s="217">
        <f>IFERROR(__xludf.DUMMYFUNCTION("""COMPUTED_VALUE"""),21.0)</f>
        <v>21</v>
      </c>
      <c r="V596" s="217">
        <f>IFERROR(__xludf.DUMMYFUNCTION("""COMPUTED_VALUE"""),90.0)</f>
        <v>90</v>
      </c>
      <c r="W596" s="217">
        <f>IFERROR(__xludf.DUMMYFUNCTION("""COMPUTED_VALUE"""),84.0)</f>
        <v>84</v>
      </c>
      <c r="X596" s="217">
        <f>IFERROR(__xludf.DUMMYFUNCTION("""COMPUTED_VALUE"""),80.0)</f>
        <v>80</v>
      </c>
      <c r="Y596" s="217"/>
      <c r="Z596" s="217"/>
      <c r="AA596" s="481">
        <f>IFERROR(__xludf.DUMMYFUNCTION("""COMPUTED_VALUE"""),32.0)</f>
        <v>32</v>
      </c>
      <c r="AB596" s="481">
        <f>IFERROR(__xludf.DUMMYFUNCTION("""COMPUTED_VALUE"""),85.0)</f>
        <v>85</v>
      </c>
      <c r="AC596" s="481">
        <f>IFERROR(__xludf.DUMMYFUNCTION("""COMPUTED_VALUE"""),72.0)</f>
        <v>72</v>
      </c>
      <c r="AD596" s="481">
        <f>IFERROR(__xludf.DUMMYFUNCTION("""COMPUTED_VALUE"""),90.0)</f>
        <v>90</v>
      </c>
      <c r="AE596" s="481">
        <f>IFERROR(__xludf.DUMMYFUNCTION("""COMPUTED_VALUE"""),80.0)</f>
        <v>80</v>
      </c>
      <c r="AF596" s="481"/>
      <c r="AG596" s="481">
        <f>IFERROR(__xludf.DUMMYFUNCTION("""COMPUTED_VALUE"""),85.0)</f>
        <v>85</v>
      </c>
      <c r="AH596" s="481"/>
      <c r="AI596" s="158"/>
      <c r="AJ596" s="158"/>
      <c r="AK596" s="133">
        <f>IFERROR(__xludf.DUMMYFUNCTION("""COMPUTED_VALUE"""),4.0)</f>
        <v>4</v>
      </c>
      <c r="AL596" s="133">
        <f>IFERROR(__xludf.DUMMYFUNCTION("""COMPUTED_VALUE"""),1.0)</f>
        <v>1</v>
      </c>
      <c r="AM596" s="133">
        <f>IFERROR(__xludf.DUMMYFUNCTION("""COMPUTED_VALUE"""),3.0)</f>
        <v>3</v>
      </c>
      <c r="AN596" s="133" t="str">
        <f>IFERROR(__xludf.DUMMYFUNCTION("""COMPUTED_VALUE"""),"3.5")</f>
        <v>3.5</v>
      </c>
      <c r="AO596" s="133">
        <f>IFERROR(__xludf.DUMMYFUNCTION("""COMPUTED_VALUE"""),3.0)</f>
        <v>3</v>
      </c>
      <c r="AP596" s="155" t="s">
        <v>3780</v>
      </c>
    </row>
    <row r="597">
      <c r="A597" s="155">
        <f>IFERROR(__xludf.DUMMYFUNCTION("""COMPUTED_VALUE"""),76.0)</f>
        <v>76</v>
      </c>
      <c r="B597" s="155" t="str">
        <f>IFERROR(__xludf.DUMMYFUNCTION("""COMPUTED_VALUE"""),"prde23aiml@cmrit.ac.in")</f>
        <v>prde23aiml@cmrit.ac.in</v>
      </c>
      <c r="C597" s="174" t="str">
        <f>IFERROR(__xludf.DUMMYFUNCTION("""COMPUTED_VALUE"""),"PARTHIB DEY")</f>
        <v>PARTHIB DEY</v>
      </c>
      <c r="D597" s="155" t="str">
        <f>IFERROR(__xludf.DUMMYFUNCTION("""COMPUTED_VALUE"""),"1CR23AI079")</f>
        <v>1CR23AI079</v>
      </c>
      <c r="E597" s="563">
        <f>IFERROR(__xludf.DUMMYFUNCTION("""COMPUTED_VALUE"""),7.099647523E9)</f>
        <v>7099647523</v>
      </c>
      <c r="F597" s="155" t="str">
        <f>IFERROR(__xludf.DUMMYFUNCTION("""COMPUTED_VALUE"""),"AIML")</f>
        <v>AIML</v>
      </c>
      <c r="G597" s="158"/>
      <c r="H597" s="559">
        <f>IFERROR(__xludf.DUMMYFUNCTION("""COMPUTED_VALUE"""),76.0)</f>
        <v>76</v>
      </c>
      <c r="I597" s="559">
        <f>IFERROR(__xludf.DUMMYFUNCTION("""COMPUTED_VALUE"""),88.0)</f>
        <v>88</v>
      </c>
      <c r="J597" s="559">
        <f>IFERROR(__xludf.DUMMYFUNCTION("""COMPUTED_VALUE"""),70.0)</f>
        <v>70</v>
      </c>
      <c r="K597" s="559">
        <f>IFERROR(__xludf.DUMMYFUNCTION("""COMPUTED_VALUE"""),70.0)</f>
        <v>70</v>
      </c>
      <c r="L597" s="560">
        <f>IFERROR(__xludf.DUMMYFUNCTION("""COMPUTED_VALUE"""),50.0)</f>
        <v>50</v>
      </c>
      <c r="M597" s="561">
        <f>IFERROR(__xludf.DUMMYFUNCTION("""COMPUTED_VALUE"""),50.0)</f>
        <v>50</v>
      </c>
      <c r="N597" s="561">
        <f>IFERROR(__xludf.DUMMYFUNCTION("""COMPUTED_VALUE"""),50.0)</f>
        <v>50</v>
      </c>
      <c r="O597" s="560"/>
      <c r="P597" s="562">
        <f>IFERROR(__xludf.DUMMYFUNCTION("""COMPUTED_VALUE"""),79.0)</f>
        <v>79</v>
      </c>
      <c r="Q597" s="562">
        <f>IFERROR(__xludf.DUMMYFUNCTION("""COMPUTED_VALUE"""),71.0)</f>
        <v>71</v>
      </c>
      <c r="R597" s="562">
        <f>IFERROR(__xludf.DUMMYFUNCTION("""COMPUTED_VALUE"""),50.0)</f>
        <v>50</v>
      </c>
      <c r="S597" s="562"/>
      <c r="T597" s="217">
        <f>IFERROR(__xludf.DUMMYFUNCTION("""COMPUTED_VALUE"""),10.0)</f>
        <v>10</v>
      </c>
      <c r="U597" s="217">
        <f>IFERROR(__xludf.DUMMYFUNCTION("""COMPUTED_VALUE"""),23.0)</f>
        <v>23</v>
      </c>
      <c r="V597" s="217">
        <f>IFERROR(__xludf.DUMMYFUNCTION("""COMPUTED_VALUE"""),82.0)</f>
        <v>82</v>
      </c>
      <c r="W597" s="217">
        <f>IFERROR(__xludf.DUMMYFUNCTION("""COMPUTED_VALUE"""),0.0)</f>
        <v>0</v>
      </c>
      <c r="X597" s="217">
        <f>IFERROR(__xludf.DUMMYFUNCTION("""COMPUTED_VALUE"""),66.0)</f>
        <v>66</v>
      </c>
      <c r="Y597" s="217"/>
      <c r="Z597" s="217"/>
      <c r="AA597" s="481">
        <f>IFERROR(__xludf.DUMMYFUNCTION("""COMPUTED_VALUE"""),0.0)</f>
        <v>0</v>
      </c>
      <c r="AB597" s="481">
        <f>IFERROR(__xludf.DUMMYFUNCTION("""COMPUTED_VALUE"""),87.0)</f>
        <v>87</v>
      </c>
      <c r="AC597" s="481">
        <f>IFERROR(__xludf.DUMMYFUNCTION("""COMPUTED_VALUE"""),10.0)</f>
        <v>10</v>
      </c>
      <c r="AD597" s="481">
        <f>IFERROR(__xludf.DUMMYFUNCTION("""COMPUTED_VALUE"""),37.0)</f>
        <v>37</v>
      </c>
      <c r="AE597" s="481">
        <f>IFERROR(__xludf.DUMMYFUNCTION("""COMPUTED_VALUE"""),70.0)</f>
        <v>70</v>
      </c>
      <c r="AF597" s="481"/>
      <c r="AG597" s="481">
        <f>IFERROR(__xludf.DUMMYFUNCTION("""COMPUTED_VALUE"""),50.0)</f>
        <v>50</v>
      </c>
      <c r="AH597" s="481"/>
      <c r="AI597" s="158"/>
      <c r="AJ597" s="158"/>
      <c r="AK597" s="133">
        <f>IFERROR(__xludf.DUMMYFUNCTION("""COMPUTED_VALUE"""),4.0)</f>
        <v>4</v>
      </c>
      <c r="AL597" s="133">
        <f>IFERROR(__xludf.DUMMYFUNCTION("""COMPUTED_VALUE"""),3.0)</f>
        <v>3</v>
      </c>
      <c r="AM597" s="133">
        <f>IFERROR(__xludf.DUMMYFUNCTION("""COMPUTED_VALUE"""),2.0)</f>
        <v>2</v>
      </c>
      <c r="AN597" s="133" t="str">
        <f>IFERROR(__xludf.DUMMYFUNCTION("""COMPUTED_VALUE"""),"2")</f>
        <v>2</v>
      </c>
      <c r="AO597" s="133">
        <f>IFERROR(__xludf.DUMMYFUNCTION("""COMPUTED_VALUE"""),3.0)</f>
        <v>3</v>
      </c>
      <c r="AP597" s="155" t="s">
        <v>3780</v>
      </c>
    </row>
    <row r="598">
      <c r="A598" s="155">
        <f>IFERROR(__xludf.DUMMYFUNCTION("""COMPUTED_VALUE"""),77.0)</f>
        <v>77</v>
      </c>
      <c r="B598" s="155" t="str">
        <f>IFERROR(__xludf.DUMMYFUNCTION("""COMPUTED_VALUE"""),"pag23aiml@cmrit.ac.in")</f>
        <v>pag23aiml@cmrit.ac.in</v>
      </c>
      <c r="C598" s="174" t="str">
        <f>IFERROR(__xludf.DUMMYFUNCTION("""COMPUTED_VALUE"""),"PAVAN BHAT G")</f>
        <v>PAVAN BHAT G</v>
      </c>
      <c r="D598" s="155" t="str">
        <f>IFERROR(__xludf.DUMMYFUNCTION("""COMPUTED_VALUE"""),"1CR23AI080")</f>
        <v>1CR23AI080</v>
      </c>
      <c r="E598" s="563">
        <f>IFERROR(__xludf.DUMMYFUNCTION("""COMPUTED_VALUE"""),8.431482518E9)</f>
        <v>8431482518</v>
      </c>
      <c r="F598" s="155" t="str">
        <f>IFERROR(__xludf.DUMMYFUNCTION("""COMPUTED_VALUE"""),"AIML")</f>
        <v>AIML</v>
      </c>
      <c r="G598" s="158"/>
      <c r="H598" s="559">
        <f>IFERROR(__xludf.DUMMYFUNCTION("""COMPUTED_VALUE"""),84.0)</f>
        <v>84</v>
      </c>
      <c r="I598" s="559">
        <f>IFERROR(__xludf.DUMMYFUNCTION("""COMPUTED_VALUE"""),89.0)</f>
        <v>89</v>
      </c>
      <c r="J598" s="559">
        <f>IFERROR(__xludf.DUMMYFUNCTION("""COMPUTED_VALUE"""),76.0)</f>
        <v>76</v>
      </c>
      <c r="K598" s="559">
        <f>IFERROR(__xludf.DUMMYFUNCTION("""COMPUTED_VALUE"""),77.0)</f>
        <v>77</v>
      </c>
      <c r="L598" s="560">
        <f>IFERROR(__xludf.DUMMYFUNCTION("""COMPUTED_VALUE"""),66.0)</f>
        <v>66</v>
      </c>
      <c r="M598" s="561">
        <f>IFERROR(__xludf.DUMMYFUNCTION("""COMPUTED_VALUE"""),50.0)</f>
        <v>50</v>
      </c>
      <c r="N598" s="561">
        <f>IFERROR(__xludf.DUMMYFUNCTION("""COMPUTED_VALUE"""),50.0)</f>
        <v>50</v>
      </c>
      <c r="O598" s="560"/>
      <c r="P598" s="562">
        <f>IFERROR(__xludf.DUMMYFUNCTION("""COMPUTED_VALUE"""),79.0)</f>
        <v>79</v>
      </c>
      <c r="Q598" s="562">
        <f>IFERROR(__xludf.DUMMYFUNCTION("""COMPUTED_VALUE"""),87.0)</f>
        <v>87</v>
      </c>
      <c r="R598" s="562">
        <f>IFERROR(__xludf.DUMMYFUNCTION("""COMPUTED_VALUE"""),95.0)</f>
        <v>95</v>
      </c>
      <c r="S598" s="562"/>
      <c r="T598" s="217">
        <f>IFERROR(__xludf.DUMMYFUNCTION("""COMPUTED_VALUE"""),13.0)</f>
        <v>13</v>
      </c>
      <c r="U598" s="217">
        <f>IFERROR(__xludf.DUMMYFUNCTION("""COMPUTED_VALUE"""),23.0)</f>
        <v>23</v>
      </c>
      <c r="V598" s="217">
        <f>IFERROR(__xludf.DUMMYFUNCTION("""COMPUTED_VALUE"""),92.0)</f>
        <v>92</v>
      </c>
      <c r="W598" s="217">
        <f>IFERROR(__xludf.DUMMYFUNCTION("""COMPUTED_VALUE"""),84.0)</f>
        <v>84</v>
      </c>
      <c r="X598" s="217">
        <f>IFERROR(__xludf.DUMMYFUNCTION("""COMPUTED_VALUE"""),76.0)</f>
        <v>76</v>
      </c>
      <c r="Y598" s="217"/>
      <c r="Z598" s="217"/>
      <c r="AA598" s="481">
        <f>IFERROR(__xludf.DUMMYFUNCTION("""COMPUTED_VALUE"""),92.0)</f>
        <v>92</v>
      </c>
      <c r="AB598" s="481">
        <f>IFERROR(__xludf.DUMMYFUNCTION("""COMPUTED_VALUE"""),100.0)</f>
        <v>100</v>
      </c>
      <c r="AC598" s="481">
        <f>IFERROR(__xludf.DUMMYFUNCTION("""COMPUTED_VALUE"""),95.0)</f>
        <v>95</v>
      </c>
      <c r="AD598" s="481">
        <f>IFERROR(__xludf.DUMMYFUNCTION("""COMPUTED_VALUE"""),75.0)</f>
        <v>75</v>
      </c>
      <c r="AE598" s="481">
        <f>IFERROR(__xludf.DUMMYFUNCTION("""COMPUTED_VALUE"""),75.0)</f>
        <v>75</v>
      </c>
      <c r="AF598" s="481"/>
      <c r="AG598" s="481">
        <f>IFERROR(__xludf.DUMMYFUNCTION("""COMPUTED_VALUE"""),86.0)</f>
        <v>86</v>
      </c>
      <c r="AH598" s="481"/>
      <c r="AI598" s="158"/>
      <c r="AJ598" s="158"/>
      <c r="AK598" s="133">
        <f>IFERROR(__xludf.DUMMYFUNCTION("""COMPUTED_VALUE"""),4.0)</f>
        <v>4</v>
      </c>
      <c r="AL598" s="133">
        <f>IFERROR(__xludf.DUMMYFUNCTION("""COMPUTED_VALUE"""),3.0)</f>
        <v>3</v>
      </c>
      <c r="AM598" s="133">
        <f>IFERROR(__xludf.DUMMYFUNCTION("""COMPUTED_VALUE"""),3.0)</f>
        <v>3</v>
      </c>
      <c r="AN598" s="133" t="str">
        <f>IFERROR(__xludf.DUMMYFUNCTION("""COMPUTED_VALUE"""),"3.5")</f>
        <v>3.5</v>
      </c>
      <c r="AO598" s="133">
        <f>IFERROR(__xludf.DUMMYFUNCTION("""COMPUTED_VALUE"""),3.0)</f>
        <v>3</v>
      </c>
      <c r="AP598" s="155" t="s">
        <v>3780</v>
      </c>
    </row>
    <row r="599">
      <c r="A599" s="155">
        <f>IFERROR(__xludf.DUMMYFUNCTION("""COMPUTED_VALUE"""),78.0)</f>
        <v>78</v>
      </c>
      <c r="B599" s="155" t="str">
        <f>IFERROR(__xludf.DUMMYFUNCTION("""COMPUTED_VALUE"""),"pahe23aiml@cmrit.ac.in")</f>
        <v>pahe23aiml@cmrit.ac.in</v>
      </c>
      <c r="C599" s="174" t="str">
        <f>IFERROR(__xludf.DUMMYFUNCTION("""COMPUTED_VALUE"""),"PAVAN TARANATH HEGDE")</f>
        <v>PAVAN TARANATH HEGDE</v>
      </c>
      <c r="D599" s="155" t="str">
        <f>IFERROR(__xludf.DUMMYFUNCTION("""COMPUTED_VALUE"""),"1CR23AI081")</f>
        <v>1CR23AI081</v>
      </c>
      <c r="E599" s="563">
        <f>IFERROR(__xludf.DUMMYFUNCTION("""COMPUTED_VALUE"""),9.481328175E9)</f>
        <v>9481328175</v>
      </c>
      <c r="F599" s="155" t="str">
        <f>IFERROR(__xludf.DUMMYFUNCTION("""COMPUTED_VALUE"""),"AIML")</f>
        <v>AIML</v>
      </c>
      <c r="G599" s="158"/>
      <c r="H599" s="559">
        <f>IFERROR(__xludf.DUMMYFUNCTION("""COMPUTED_VALUE"""),70.0)</f>
        <v>70</v>
      </c>
      <c r="I599" s="559">
        <f>IFERROR(__xludf.DUMMYFUNCTION("""COMPUTED_VALUE"""),76.0)</f>
        <v>76</v>
      </c>
      <c r="J599" s="559">
        <f>IFERROR(__xludf.DUMMYFUNCTION("""COMPUTED_VALUE"""),75.0)</f>
        <v>75</v>
      </c>
      <c r="K599" s="559">
        <f>IFERROR(__xludf.DUMMYFUNCTION("""COMPUTED_VALUE"""),70.0)</f>
        <v>70</v>
      </c>
      <c r="L599" s="560">
        <f>IFERROR(__xludf.DUMMYFUNCTION("""COMPUTED_VALUE"""),50.0)</f>
        <v>50</v>
      </c>
      <c r="M599" s="561">
        <f>IFERROR(__xludf.DUMMYFUNCTION("""COMPUTED_VALUE"""),54.0)</f>
        <v>54</v>
      </c>
      <c r="N599" s="561">
        <f>IFERROR(__xludf.DUMMYFUNCTION("""COMPUTED_VALUE"""),52.0)</f>
        <v>52</v>
      </c>
      <c r="O599" s="560"/>
      <c r="P599" s="562">
        <f>IFERROR(__xludf.DUMMYFUNCTION("""COMPUTED_VALUE"""),75.0)</f>
        <v>75</v>
      </c>
      <c r="Q599" s="562">
        <f>IFERROR(__xludf.DUMMYFUNCTION("""COMPUTED_VALUE"""),87.0)</f>
        <v>87</v>
      </c>
      <c r="R599" s="562">
        <f>IFERROR(__xludf.DUMMYFUNCTION("""COMPUTED_VALUE"""),93.0)</f>
        <v>93</v>
      </c>
      <c r="S599" s="562"/>
      <c r="T599" s="217">
        <f>IFERROR(__xludf.DUMMYFUNCTION("""COMPUTED_VALUE"""),12.0)</f>
        <v>12</v>
      </c>
      <c r="U599" s="217">
        <f>IFERROR(__xludf.DUMMYFUNCTION("""COMPUTED_VALUE"""),23.0)</f>
        <v>23</v>
      </c>
      <c r="V599" s="217">
        <f>IFERROR(__xludf.DUMMYFUNCTION("""COMPUTED_VALUE"""),88.0)</f>
        <v>88</v>
      </c>
      <c r="W599" s="217">
        <f>IFERROR(__xludf.DUMMYFUNCTION("""COMPUTED_VALUE"""),82.0)</f>
        <v>82</v>
      </c>
      <c r="X599" s="217">
        <f>IFERROR(__xludf.DUMMYFUNCTION("""COMPUTED_VALUE"""),70.0)</f>
        <v>70</v>
      </c>
      <c r="Y599" s="217"/>
      <c r="Z599" s="217"/>
      <c r="AA599" s="481">
        <f>IFERROR(__xludf.DUMMYFUNCTION("""COMPUTED_VALUE"""),92.0)</f>
        <v>92</v>
      </c>
      <c r="AB599" s="481">
        <f>IFERROR(__xludf.DUMMYFUNCTION("""COMPUTED_VALUE"""),85.0)</f>
        <v>85</v>
      </c>
      <c r="AC599" s="481">
        <f>IFERROR(__xludf.DUMMYFUNCTION("""COMPUTED_VALUE"""),70.0)</f>
        <v>70</v>
      </c>
      <c r="AD599" s="481">
        <f>IFERROR(__xludf.DUMMYFUNCTION("""COMPUTED_VALUE"""),80.0)</f>
        <v>80</v>
      </c>
      <c r="AE599" s="481">
        <f>IFERROR(__xludf.DUMMYFUNCTION("""COMPUTED_VALUE"""),76.0)</f>
        <v>76</v>
      </c>
      <c r="AF599" s="481"/>
      <c r="AG599" s="481">
        <f>IFERROR(__xludf.DUMMYFUNCTION("""COMPUTED_VALUE"""),91.0)</f>
        <v>91</v>
      </c>
      <c r="AH599" s="481"/>
      <c r="AI599" s="158"/>
      <c r="AJ599" s="158"/>
      <c r="AK599" s="133">
        <f>IFERROR(__xludf.DUMMYFUNCTION("""COMPUTED_VALUE"""),4.0)</f>
        <v>4</v>
      </c>
      <c r="AL599" s="133">
        <f>IFERROR(__xludf.DUMMYFUNCTION("""COMPUTED_VALUE"""),3.0)</f>
        <v>3</v>
      </c>
      <c r="AM599" s="133">
        <f>IFERROR(__xludf.DUMMYFUNCTION("""COMPUTED_VALUE"""),3.0)</f>
        <v>3</v>
      </c>
      <c r="AN599" s="133" t="str">
        <f>IFERROR(__xludf.DUMMYFUNCTION("""COMPUTED_VALUE"""),"3.5")</f>
        <v>3.5</v>
      </c>
      <c r="AO599" s="133">
        <f>IFERROR(__xludf.DUMMYFUNCTION("""COMPUTED_VALUE"""),3.0)</f>
        <v>3</v>
      </c>
      <c r="AP599" s="155" t="s">
        <v>3780</v>
      </c>
    </row>
    <row r="600">
      <c r="A600" s="155">
        <f>IFERROR(__xludf.DUMMYFUNCTION("""COMPUTED_VALUE"""),79.0)</f>
        <v>79</v>
      </c>
      <c r="B600" s="155" t="str">
        <f>IFERROR(__xludf.DUMMYFUNCTION("""COMPUTED_VALUE"""),"prch23aiml@cmrit.ac.in")</f>
        <v>prch23aiml@cmrit.ac.in</v>
      </c>
      <c r="C600" s="174" t="str">
        <f>IFERROR(__xludf.DUMMYFUNCTION("""COMPUTED_VALUE"""),"Pragati Singh Chauhan")</f>
        <v>Pragati Singh Chauhan</v>
      </c>
      <c r="D600" s="155" t="str">
        <f>IFERROR(__xludf.DUMMYFUNCTION("""COMPUTED_VALUE"""),"1CR23AI082")</f>
        <v>1CR23AI082</v>
      </c>
      <c r="E600" s="563">
        <f>IFERROR(__xludf.DUMMYFUNCTION("""COMPUTED_VALUE"""),8.630446901E9)</f>
        <v>8630446901</v>
      </c>
      <c r="F600" s="155" t="str">
        <f>IFERROR(__xludf.DUMMYFUNCTION("""COMPUTED_VALUE"""),"AIML")</f>
        <v>AIML</v>
      </c>
      <c r="G600" s="158"/>
      <c r="H600" s="559">
        <f>IFERROR(__xludf.DUMMYFUNCTION("""COMPUTED_VALUE"""),72.0)</f>
        <v>72</v>
      </c>
      <c r="I600" s="559">
        <f>IFERROR(__xludf.DUMMYFUNCTION("""COMPUTED_VALUE"""),84.0)</f>
        <v>84</v>
      </c>
      <c r="J600" s="559">
        <f>IFERROR(__xludf.DUMMYFUNCTION("""COMPUTED_VALUE"""),70.0)</f>
        <v>70</v>
      </c>
      <c r="K600" s="559">
        <f>IFERROR(__xludf.DUMMYFUNCTION("""COMPUTED_VALUE"""),70.0)</f>
        <v>70</v>
      </c>
      <c r="L600" s="560">
        <f>IFERROR(__xludf.DUMMYFUNCTION("""COMPUTED_VALUE"""),50.0)</f>
        <v>50</v>
      </c>
      <c r="M600" s="561">
        <f>IFERROR(__xludf.DUMMYFUNCTION("""COMPUTED_VALUE"""),50.0)</f>
        <v>50</v>
      </c>
      <c r="N600" s="561">
        <f>IFERROR(__xludf.DUMMYFUNCTION("""COMPUTED_VALUE"""),50.0)</f>
        <v>50</v>
      </c>
      <c r="O600" s="560"/>
      <c r="P600" s="562">
        <f>IFERROR(__xludf.DUMMYFUNCTION("""COMPUTED_VALUE"""),81.0)</f>
        <v>81</v>
      </c>
      <c r="Q600" s="562">
        <f>IFERROR(__xludf.DUMMYFUNCTION("""COMPUTED_VALUE"""),50.0)</f>
        <v>50</v>
      </c>
      <c r="R600" s="562">
        <f>IFERROR(__xludf.DUMMYFUNCTION("""COMPUTED_VALUE"""),72.0)</f>
        <v>72</v>
      </c>
      <c r="S600" s="562"/>
      <c r="T600" s="217">
        <f>IFERROR(__xludf.DUMMYFUNCTION("""COMPUTED_VALUE"""),22.0)</f>
        <v>22</v>
      </c>
      <c r="U600" s="217">
        <f>IFERROR(__xludf.DUMMYFUNCTION("""COMPUTED_VALUE"""),24.0)</f>
        <v>24</v>
      </c>
      <c r="V600" s="217">
        <f>IFERROR(__xludf.DUMMYFUNCTION("""COMPUTED_VALUE"""),94.0)</f>
        <v>94</v>
      </c>
      <c r="W600" s="217">
        <f>IFERROR(__xludf.DUMMYFUNCTION("""COMPUTED_VALUE"""),90.0)</f>
        <v>90</v>
      </c>
      <c r="X600" s="217">
        <f>IFERROR(__xludf.DUMMYFUNCTION("""COMPUTED_VALUE"""),76.0)</f>
        <v>76</v>
      </c>
      <c r="Y600" s="217"/>
      <c r="Z600" s="217"/>
      <c r="AA600" s="481">
        <f>IFERROR(__xludf.DUMMYFUNCTION("""COMPUTED_VALUE"""),0.0)</f>
        <v>0</v>
      </c>
      <c r="AB600" s="481">
        <f>IFERROR(__xludf.DUMMYFUNCTION("""COMPUTED_VALUE"""),87.0)</f>
        <v>87</v>
      </c>
      <c r="AC600" s="481">
        <f>IFERROR(__xludf.DUMMYFUNCTION("""COMPUTED_VALUE"""),100.0)</f>
        <v>100</v>
      </c>
      <c r="AD600" s="481">
        <f>IFERROR(__xludf.DUMMYFUNCTION("""COMPUTED_VALUE"""),12.0)</f>
        <v>12</v>
      </c>
      <c r="AE600" s="481">
        <f>IFERROR(__xludf.DUMMYFUNCTION("""COMPUTED_VALUE"""),70.0)</f>
        <v>70</v>
      </c>
      <c r="AF600" s="481"/>
      <c r="AG600" s="481">
        <f>IFERROR(__xludf.DUMMYFUNCTION("""COMPUTED_VALUE"""),74.0)</f>
        <v>74</v>
      </c>
      <c r="AH600" s="481"/>
      <c r="AI600" s="158"/>
      <c r="AJ600" s="158"/>
      <c r="AK600" s="133">
        <f>IFERROR(__xludf.DUMMYFUNCTION("""COMPUTED_VALUE"""),4.0)</f>
        <v>4</v>
      </c>
      <c r="AL600" s="133">
        <f>IFERROR(__xludf.DUMMYFUNCTION("""COMPUTED_VALUE"""),3.0)</f>
        <v>3</v>
      </c>
      <c r="AM600" s="133">
        <f>IFERROR(__xludf.DUMMYFUNCTION("""COMPUTED_VALUE"""),3.0)</f>
        <v>3</v>
      </c>
      <c r="AN600" s="133" t="str">
        <f>IFERROR(__xludf.DUMMYFUNCTION("""COMPUTED_VALUE"""),"3.5")</f>
        <v>3.5</v>
      </c>
      <c r="AO600" s="133">
        <f>IFERROR(__xludf.DUMMYFUNCTION("""COMPUTED_VALUE"""),3.0)</f>
        <v>3</v>
      </c>
      <c r="AP600" s="155" t="s">
        <v>3780</v>
      </c>
    </row>
    <row r="601">
      <c r="A601" s="155">
        <f>IFERROR(__xludf.DUMMYFUNCTION("""COMPUTED_VALUE"""),80.0)</f>
        <v>80</v>
      </c>
      <c r="B601" s="155" t="str">
        <f>IFERROR(__xludf.DUMMYFUNCTION("""COMPUTED_VALUE"""),"prla23aiml@cmrit.ac.in")</f>
        <v>prla23aiml@cmrit.ac.in</v>
      </c>
      <c r="C601" s="174" t="str">
        <f>IFERROR(__xludf.DUMMYFUNCTION("""COMPUTED_VALUE"""),"PRAKSHI LAKHCHAURA")</f>
        <v>PRAKSHI LAKHCHAURA</v>
      </c>
      <c r="D601" s="155" t="str">
        <f>IFERROR(__xludf.DUMMYFUNCTION("""COMPUTED_VALUE"""),"1CR23AI083")</f>
        <v>1CR23AI083</v>
      </c>
      <c r="E601" s="563">
        <f>IFERROR(__xludf.DUMMYFUNCTION("""COMPUTED_VALUE"""),9.019150233E9)</f>
        <v>9019150233</v>
      </c>
      <c r="F601" s="155" t="str">
        <f>IFERROR(__xludf.DUMMYFUNCTION("""COMPUTED_VALUE"""),"AIML")</f>
        <v>AIML</v>
      </c>
      <c r="G601" s="158"/>
      <c r="H601" s="559">
        <f>IFERROR(__xludf.DUMMYFUNCTION("""COMPUTED_VALUE"""),88.0)</f>
        <v>88</v>
      </c>
      <c r="I601" s="559">
        <f>IFERROR(__xludf.DUMMYFUNCTION("""COMPUTED_VALUE"""),90.0)</f>
        <v>90</v>
      </c>
      <c r="J601" s="559">
        <f>IFERROR(__xludf.DUMMYFUNCTION("""COMPUTED_VALUE"""),72.0)</f>
        <v>72</v>
      </c>
      <c r="K601" s="559">
        <f>IFERROR(__xludf.DUMMYFUNCTION("""COMPUTED_VALUE"""),70.0)</f>
        <v>70</v>
      </c>
      <c r="L601" s="560">
        <f>IFERROR(__xludf.DUMMYFUNCTION("""COMPUTED_VALUE"""),55.0)</f>
        <v>55</v>
      </c>
      <c r="M601" s="561">
        <f>IFERROR(__xludf.DUMMYFUNCTION("""COMPUTED_VALUE"""),50.0)</f>
        <v>50</v>
      </c>
      <c r="N601" s="561">
        <f>IFERROR(__xludf.DUMMYFUNCTION("""COMPUTED_VALUE"""),51.0)</f>
        <v>51</v>
      </c>
      <c r="O601" s="560"/>
      <c r="P601" s="562">
        <f>IFERROR(__xludf.DUMMYFUNCTION("""COMPUTED_VALUE"""),79.0)</f>
        <v>79</v>
      </c>
      <c r="Q601" s="562">
        <f>IFERROR(__xludf.DUMMYFUNCTION("""COMPUTED_VALUE"""),54.0)</f>
        <v>54</v>
      </c>
      <c r="R601" s="562">
        <f>IFERROR(__xludf.DUMMYFUNCTION("""COMPUTED_VALUE"""),91.0)</f>
        <v>91</v>
      </c>
      <c r="S601" s="562"/>
      <c r="T601" s="217">
        <f>IFERROR(__xludf.DUMMYFUNCTION("""COMPUTED_VALUE"""),14.0)</f>
        <v>14</v>
      </c>
      <c r="U601" s="217">
        <f>IFERROR(__xludf.DUMMYFUNCTION("""COMPUTED_VALUE"""),21.0)</f>
        <v>21</v>
      </c>
      <c r="V601" s="217">
        <f>IFERROR(__xludf.DUMMYFUNCTION("""COMPUTED_VALUE"""),92.0)</f>
        <v>92</v>
      </c>
      <c r="W601" s="217">
        <f>IFERROR(__xludf.DUMMYFUNCTION("""COMPUTED_VALUE"""),86.0)</f>
        <v>86</v>
      </c>
      <c r="X601" s="217">
        <f>IFERROR(__xludf.DUMMYFUNCTION("""COMPUTED_VALUE"""),76.0)</f>
        <v>76</v>
      </c>
      <c r="Y601" s="217"/>
      <c r="Z601" s="217"/>
      <c r="AA601" s="481">
        <f>IFERROR(__xludf.DUMMYFUNCTION("""COMPUTED_VALUE"""),74.0)</f>
        <v>74</v>
      </c>
      <c r="AB601" s="481">
        <f>IFERROR(__xludf.DUMMYFUNCTION("""COMPUTED_VALUE"""),100.0)</f>
        <v>100</v>
      </c>
      <c r="AC601" s="481">
        <f>IFERROR(__xludf.DUMMYFUNCTION("""COMPUTED_VALUE"""),89.0)</f>
        <v>89</v>
      </c>
      <c r="AD601" s="481">
        <f>IFERROR(__xludf.DUMMYFUNCTION("""COMPUTED_VALUE"""),60.0)</f>
        <v>60</v>
      </c>
      <c r="AE601" s="481">
        <f>IFERROR(__xludf.DUMMYFUNCTION("""COMPUTED_VALUE"""),70.0)</f>
        <v>70</v>
      </c>
      <c r="AF601" s="481"/>
      <c r="AG601" s="481">
        <f>IFERROR(__xludf.DUMMYFUNCTION("""COMPUTED_VALUE"""),96.0)</f>
        <v>96</v>
      </c>
      <c r="AH601" s="481"/>
      <c r="AI601" s="158"/>
      <c r="AJ601" s="158"/>
      <c r="AK601" s="133">
        <f>IFERROR(__xludf.DUMMYFUNCTION("""COMPUTED_VALUE"""),4.0)</f>
        <v>4</v>
      </c>
      <c r="AL601" s="133">
        <f>IFERROR(__xludf.DUMMYFUNCTION("""COMPUTED_VALUE"""),3.0)</f>
        <v>3</v>
      </c>
      <c r="AM601" s="133">
        <f>IFERROR(__xludf.DUMMYFUNCTION("""COMPUTED_VALUE"""),3.0)</f>
        <v>3</v>
      </c>
      <c r="AN601" s="133" t="str">
        <f>IFERROR(__xludf.DUMMYFUNCTION("""COMPUTED_VALUE"""),"3.5")</f>
        <v>3.5</v>
      </c>
      <c r="AO601" s="133">
        <f>IFERROR(__xludf.DUMMYFUNCTION("""COMPUTED_VALUE"""),3.0)</f>
        <v>3</v>
      </c>
      <c r="AP601" s="155" t="s">
        <v>3780</v>
      </c>
    </row>
    <row r="602">
      <c r="A602" s="155">
        <f>IFERROR(__xludf.DUMMYFUNCTION("""COMPUTED_VALUE"""),81.0)</f>
        <v>81</v>
      </c>
      <c r="B602" s="155" t="str">
        <f>IFERROR(__xludf.DUMMYFUNCTION("""COMPUTED_VALUE"""),"prsi23aiml@cmrit.ac.in")</f>
        <v>prsi23aiml@cmrit.ac.in</v>
      </c>
      <c r="C602" s="174" t="str">
        <f>IFERROR(__xludf.DUMMYFUNCTION("""COMPUTED_VALUE"""),"PRASHANT SINGH")</f>
        <v>PRASHANT SINGH</v>
      </c>
      <c r="D602" s="155" t="str">
        <f>IFERROR(__xludf.DUMMYFUNCTION("""COMPUTED_VALUE"""),"1CR23AI084")</f>
        <v>1CR23AI084</v>
      </c>
      <c r="E602" s="563">
        <f>IFERROR(__xludf.DUMMYFUNCTION("""COMPUTED_VALUE"""),8.188030181E9)</f>
        <v>8188030181</v>
      </c>
      <c r="F602" s="155" t="str">
        <f>IFERROR(__xludf.DUMMYFUNCTION("""COMPUTED_VALUE"""),"AIML")</f>
        <v>AIML</v>
      </c>
      <c r="G602" s="158"/>
      <c r="H602" s="559">
        <f>IFERROR(__xludf.DUMMYFUNCTION("""COMPUTED_VALUE"""),73.0)</f>
        <v>73</v>
      </c>
      <c r="I602" s="559">
        <f>IFERROR(__xludf.DUMMYFUNCTION("""COMPUTED_VALUE"""),84.0)</f>
        <v>84</v>
      </c>
      <c r="J602" s="559">
        <f>IFERROR(__xludf.DUMMYFUNCTION("""COMPUTED_VALUE"""),70.0)</f>
        <v>70</v>
      </c>
      <c r="K602" s="559">
        <f>IFERROR(__xludf.DUMMYFUNCTION("""COMPUTED_VALUE"""),70.0)</f>
        <v>70</v>
      </c>
      <c r="L602" s="560">
        <f>IFERROR(__xludf.DUMMYFUNCTION("""COMPUTED_VALUE"""),50.0)</f>
        <v>50</v>
      </c>
      <c r="M602" s="561">
        <f>IFERROR(__xludf.DUMMYFUNCTION("""COMPUTED_VALUE"""),50.0)</f>
        <v>50</v>
      </c>
      <c r="N602" s="561">
        <f>IFERROR(__xludf.DUMMYFUNCTION("""COMPUTED_VALUE"""),50.0)</f>
        <v>50</v>
      </c>
      <c r="O602" s="560"/>
      <c r="P602" s="562">
        <f>IFERROR(__xludf.DUMMYFUNCTION("""COMPUTED_VALUE"""),76.0)</f>
        <v>76</v>
      </c>
      <c r="Q602" s="562">
        <f>IFERROR(__xludf.DUMMYFUNCTION("""COMPUTED_VALUE"""),50.0)</f>
        <v>50</v>
      </c>
      <c r="R602" s="562">
        <f>IFERROR(__xludf.DUMMYFUNCTION("""COMPUTED_VALUE"""),50.0)</f>
        <v>50</v>
      </c>
      <c r="S602" s="562"/>
      <c r="T602" s="217">
        <f>IFERROR(__xludf.DUMMYFUNCTION("""COMPUTED_VALUE"""),13.0)</f>
        <v>13</v>
      </c>
      <c r="U602" s="217">
        <f>IFERROR(__xludf.DUMMYFUNCTION("""COMPUTED_VALUE"""),22.0)</f>
        <v>22</v>
      </c>
      <c r="V602" s="217">
        <f>IFERROR(__xludf.DUMMYFUNCTION("""COMPUTED_VALUE"""),92.0)</f>
        <v>92</v>
      </c>
      <c r="W602" s="217">
        <f>IFERROR(__xludf.DUMMYFUNCTION("""COMPUTED_VALUE"""),86.0)</f>
        <v>86</v>
      </c>
      <c r="X602" s="217">
        <f>IFERROR(__xludf.DUMMYFUNCTION("""COMPUTED_VALUE"""),86.0)</f>
        <v>86</v>
      </c>
      <c r="Y602" s="217"/>
      <c r="Z602" s="217"/>
      <c r="AA602" s="481">
        <f>IFERROR(__xludf.DUMMYFUNCTION("""COMPUTED_VALUE"""),18.0)</f>
        <v>18</v>
      </c>
      <c r="AB602" s="481">
        <f>IFERROR(__xludf.DUMMYFUNCTION("""COMPUTED_VALUE"""),97.0)</f>
        <v>97</v>
      </c>
      <c r="AC602" s="481">
        <f>IFERROR(__xludf.DUMMYFUNCTION("""COMPUTED_VALUE"""),1.0)</f>
        <v>1</v>
      </c>
      <c r="AD602" s="481">
        <f>IFERROR(__xludf.DUMMYFUNCTION("""COMPUTED_VALUE"""),90.0)</f>
        <v>90</v>
      </c>
      <c r="AE602" s="481">
        <f>IFERROR(__xludf.DUMMYFUNCTION("""COMPUTED_VALUE"""),60.0)</f>
        <v>60</v>
      </c>
      <c r="AF602" s="481"/>
      <c r="AG602" s="481">
        <f>IFERROR(__xludf.DUMMYFUNCTION("""COMPUTED_VALUE"""),87.0)</f>
        <v>87</v>
      </c>
      <c r="AH602" s="481"/>
      <c r="AI602" s="158"/>
      <c r="AJ602" s="158"/>
      <c r="AK602" s="133">
        <f>IFERROR(__xludf.DUMMYFUNCTION("""COMPUTED_VALUE"""),4.0)</f>
        <v>4</v>
      </c>
      <c r="AL602" s="133">
        <f>IFERROR(__xludf.DUMMYFUNCTION("""COMPUTED_VALUE"""),3.0)</f>
        <v>3</v>
      </c>
      <c r="AM602" s="133">
        <f>IFERROR(__xludf.DUMMYFUNCTION("""COMPUTED_VALUE"""),3.0)</f>
        <v>3</v>
      </c>
      <c r="AN602" s="133" t="str">
        <f>IFERROR(__xludf.DUMMYFUNCTION("""COMPUTED_VALUE"""),"3")</f>
        <v>3</v>
      </c>
      <c r="AO602" s="133">
        <f>IFERROR(__xludf.DUMMYFUNCTION("""COMPUTED_VALUE"""),3.0)</f>
        <v>3</v>
      </c>
      <c r="AP602" s="155" t="s">
        <v>3780</v>
      </c>
    </row>
    <row r="603">
      <c r="A603" s="155">
        <f>IFERROR(__xludf.DUMMYFUNCTION("""COMPUTED_VALUE"""),82.0)</f>
        <v>82</v>
      </c>
      <c r="B603" s="155" t="str">
        <f>IFERROR(__xludf.DUMMYFUNCTION("""COMPUTED_VALUE"""),"pr23aiml@cmrit.ac.in")</f>
        <v>pr23aiml@cmrit.ac.in</v>
      </c>
      <c r="C603" s="174" t="str">
        <f>IFERROR(__xludf.DUMMYFUNCTION("""COMPUTED_VALUE"""),"Preethi")</f>
        <v>Preethi</v>
      </c>
      <c r="D603" s="155" t="str">
        <f>IFERROR(__xludf.DUMMYFUNCTION("""COMPUTED_VALUE"""),"1CR23AI085")</f>
        <v>1CR23AI085</v>
      </c>
      <c r="E603" s="563">
        <f>IFERROR(__xludf.DUMMYFUNCTION("""COMPUTED_VALUE"""),9.84598038E9)</f>
        <v>9845980380</v>
      </c>
      <c r="F603" s="155" t="str">
        <f>IFERROR(__xludf.DUMMYFUNCTION("""COMPUTED_VALUE"""),"AIML")</f>
        <v>AIML</v>
      </c>
      <c r="G603" s="158"/>
      <c r="H603" s="559">
        <f>IFERROR(__xludf.DUMMYFUNCTION("""COMPUTED_VALUE"""),70.0)</f>
        <v>70</v>
      </c>
      <c r="I603" s="559">
        <f>IFERROR(__xludf.DUMMYFUNCTION("""COMPUTED_VALUE"""),73.0)</f>
        <v>73</v>
      </c>
      <c r="J603" s="559">
        <f>IFERROR(__xludf.DUMMYFUNCTION("""COMPUTED_VALUE"""),70.0)</f>
        <v>70</v>
      </c>
      <c r="K603" s="559">
        <f>IFERROR(__xludf.DUMMYFUNCTION("""COMPUTED_VALUE"""),70.0)</f>
        <v>70</v>
      </c>
      <c r="L603" s="560">
        <f>IFERROR(__xludf.DUMMYFUNCTION("""COMPUTED_VALUE"""),50.0)</f>
        <v>50</v>
      </c>
      <c r="M603" s="561">
        <f>IFERROR(__xludf.DUMMYFUNCTION("""COMPUTED_VALUE"""),22.0)</f>
        <v>22</v>
      </c>
      <c r="N603" s="561">
        <f>IFERROR(__xludf.DUMMYFUNCTION("""COMPUTED_VALUE"""),21.0)</f>
        <v>21</v>
      </c>
      <c r="O603" s="560"/>
      <c r="P603" s="562">
        <f>IFERROR(__xludf.DUMMYFUNCTION("""COMPUTED_VALUE"""),70.0)</f>
        <v>70</v>
      </c>
      <c r="Q603" s="562">
        <f>IFERROR(__xludf.DUMMYFUNCTION("""COMPUTED_VALUE"""),73.0)</f>
        <v>73</v>
      </c>
      <c r="R603" s="562">
        <f>IFERROR(__xludf.DUMMYFUNCTION("""COMPUTED_VALUE"""),90.0)</f>
        <v>90</v>
      </c>
      <c r="S603" s="562"/>
      <c r="T603" s="217">
        <f>IFERROR(__xludf.DUMMYFUNCTION("""COMPUTED_VALUE"""),10.0)</f>
        <v>10</v>
      </c>
      <c r="U603" s="217">
        <f>IFERROR(__xludf.DUMMYFUNCTION("""COMPUTED_VALUE"""),24.0)</f>
        <v>24</v>
      </c>
      <c r="V603" s="217">
        <f>IFERROR(__xludf.DUMMYFUNCTION("""COMPUTED_VALUE"""),92.0)</f>
        <v>92</v>
      </c>
      <c r="W603" s="217">
        <f>IFERROR(__xludf.DUMMYFUNCTION("""COMPUTED_VALUE"""),90.0)</f>
        <v>90</v>
      </c>
      <c r="X603" s="217">
        <f>IFERROR(__xludf.DUMMYFUNCTION("""COMPUTED_VALUE"""),72.0)</f>
        <v>72</v>
      </c>
      <c r="Y603" s="217"/>
      <c r="Z603" s="217"/>
      <c r="AA603" s="481">
        <f>IFERROR(__xludf.DUMMYFUNCTION("""COMPUTED_VALUE"""),26.0)</f>
        <v>26</v>
      </c>
      <c r="AB603" s="481">
        <f>IFERROR(__xludf.DUMMYFUNCTION("""COMPUTED_VALUE"""),86.0)</f>
        <v>86</v>
      </c>
      <c r="AC603" s="481">
        <f>IFERROR(__xludf.DUMMYFUNCTION("""COMPUTED_VALUE"""),100.0)</f>
        <v>100</v>
      </c>
      <c r="AD603" s="481">
        <f>IFERROR(__xludf.DUMMYFUNCTION("""COMPUTED_VALUE"""),60.0)</f>
        <v>60</v>
      </c>
      <c r="AE603" s="481">
        <f>IFERROR(__xludf.DUMMYFUNCTION("""COMPUTED_VALUE"""),21.0)</f>
        <v>21</v>
      </c>
      <c r="AF603" s="481"/>
      <c r="AG603" s="481">
        <f>IFERROR(__xludf.DUMMYFUNCTION("""COMPUTED_VALUE"""),82.0)</f>
        <v>82</v>
      </c>
      <c r="AH603" s="481"/>
      <c r="AI603" s="158"/>
      <c r="AJ603" s="158"/>
      <c r="AK603" s="133">
        <f>IFERROR(__xludf.DUMMYFUNCTION("""COMPUTED_VALUE"""),4.0)</f>
        <v>4</v>
      </c>
      <c r="AL603" s="133">
        <f>IFERROR(__xludf.DUMMYFUNCTION("""COMPUTED_VALUE"""),1.0)</f>
        <v>1</v>
      </c>
      <c r="AM603" s="133">
        <f>IFERROR(__xludf.DUMMYFUNCTION("""COMPUTED_VALUE"""),3.0)</f>
        <v>3</v>
      </c>
      <c r="AN603" s="133" t="str">
        <f>IFERROR(__xludf.DUMMYFUNCTION("""COMPUTED_VALUE"""),"3")</f>
        <v>3</v>
      </c>
      <c r="AO603" s="133">
        <f>IFERROR(__xludf.DUMMYFUNCTION("""COMPUTED_VALUE"""),3.0)</f>
        <v>3</v>
      </c>
      <c r="AP603" s="155" t="s">
        <v>3780</v>
      </c>
    </row>
    <row r="604">
      <c r="A604" s="155">
        <f>IFERROR(__xludf.DUMMYFUNCTION("""COMPUTED_VALUE"""),83.0)</f>
        <v>83</v>
      </c>
      <c r="B604" s="155" t="str">
        <f>IFERROR(__xludf.DUMMYFUNCTION("""COMPUTED_VALUE"""),"prlo23aiml@cmrit.ac.in")</f>
        <v>prlo23aiml@cmrit.ac.in</v>
      </c>
      <c r="C604" s="174" t="str">
        <f>IFERROR(__xludf.DUMMYFUNCTION("""COMPUTED_VALUE"""),"Priyanshu Lohani")</f>
        <v>Priyanshu Lohani</v>
      </c>
      <c r="D604" s="155" t="str">
        <f>IFERROR(__xludf.DUMMYFUNCTION("""COMPUTED_VALUE"""),"1CR23AI086")</f>
        <v>1CR23AI086</v>
      </c>
      <c r="E604" s="563">
        <f>IFERROR(__xludf.DUMMYFUNCTION("""COMPUTED_VALUE"""),9.153842219E9)</f>
        <v>9153842219</v>
      </c>
      <c r="F604" s="155" t="str">
        <f>IFERROR(__xludf.DUMMYFUNCTION("""COMPUTED_VALUE"""),"AIML")</f>
        <v>AIML</v>
      </c>
      <c r="G604" s="158"/>
      <c r="H604" s="559">
        <f>IFERROR(__xludf.DUMMYFUNCTION("""COMPUTED_VALUE"""),77.0)</f>
        <v>77</v>
      </c>
      <c r="I604" s="559">
        <f>IFERROR(__xludf.DUMMYFUNCTION("""COMPUTED_VALUE"""),83.0)</f>
        <v>83</v>
      </c>
      <c r="J604" s="559">
        <f>IFERROR(__xludf.DUMMYFUNCTION("""COMPUTED_VALUE"""),70.0)</f>
        <v>70</v>
      </c>
      <c r="K604" s="559">
        <f>IFERROR(__xludf.DUMMYFUNCTION("""COMPUTED_VALUE"""),70.0)</f>
        <v>70</v>
      </c>
      <c r="L604" s="560">
        <f>IFERROR(__xludf.DUMMYFUNCTION("""COMPUTED_VALUE"""),29.0)</f>
        <v>29</v>
      </c>
      <c r="M604" s="561">
        <f>IFERROR(__xludf.DUMMYFUNCTION("""COMPUTED_VALUE"""),50.0)</f>
        <v>50</v>
      </c>
      <c r="N604" s="561">
        <f>IFERROR(__xludf.DUMMYFUNCTION("""COMPUTED_VALUE"""),0.0)</f>
        <v>0</v>
      </c>
      <c r="O604" s="560"/>
      <c r="P604" s="562">
        <f>IFERROR(__xludf.DUMMYFUNCTION("""COMPUTED_VALUE"""),75.0)</f>
        <v>75</v>
      </c>
      <c r="Q604" s="562">
        <f>IFERROR(__xludf.DUMMYFUNCTION("""COMPUTED_VALUE"""),50.0)</f>
        <v>50</v>
      </c>
      <c r="R604" s="562">
        <f>IFERROR(__xludf.DUMMYFUNCTION("""COMPUTED_VALUE"""),0.0)</f>
        <v>0</v>
      </c>
      <c r="S604" s="562"/>
      <c r="T604" s="217">
        <f>IFERROR(__xludf.DUMMYFUNCTION("""COMPUTED_VALUE"""),21.0)</f>
        <v>21</v>
      </c>
      <c r="U604" s="217">
        <f>IFERROR(__xludf.DUMMYFUNCTION("""COMPUTED_VALUE"""),17.0)</f>
        <v>17</v>
      </c>
      <c r="V604" s="217">
        <f>IFERROR(__xludf.DUMMYFUNCTION("""COMPUTED_VALUE"""),92.0)</f>
        <v>92</v>
      </c>
      <c r="W604" s="217">
        <f>IFERROR(__xludf.DUMMYFUNCTION("""COMPUTED_VALUE"""),86.0)</f>
        <v>86</v>
      </c>
      <c r="X604" s="217">
        <f>IFERROR(__xludf.DUMMYFUNCTION("""COMPUTED_VALUE"""),76.0)</f>
        <v>76</v>
      </c>
      <c r="Y604" s="217"/>
      <c r="Z604" s="217"/>
      <c r="AA604" s="481">
        <f>IFERROR(__xludf.DUMMYFUNCTION("""COMPUTED_VALUE"""),94.0)</f>
        <v>94</v>
      </c>
      <c r="AB604" s="481">
        <f>IFERROR(__xludf.DUMMYFUNCTION("""COMPUTED_VALUE"""),88.0)</f>
        <v>88</v>
      </c>
      <c r="AC604" s="481">
        <f>IFERROR(__xludf.DUMMYFUNCTION("""COMPUTED_VALUE"""),100.0)</f>
        <v>100</v>
      </c>
      <c r="AD604" s="481">
        <f>IFERROR(__xludf.DUMMYFUNCTION("""COMPUTED_VALUE"""),3.0)</f>
        <v>3</v>
      </c>
      <c r="AE604" s="481">
        <f>IFERROR(__xludf.DUMMYFUNCTION("""COMPUTED_VALUE"""),10.0)</f>
        <v>10</v>
      </c>
      <c r="AF604" s="481"/>
      <c r="AG604" s="481">
        <f>IFERROR(__xludf.DUMMYFUNCTION("""COMPUTED_VALUE"""),60.0)</f>
        <v>60</v>
      </c>
      <c r="AH604" s="481"/>
      <c r="AI604" s="158"/>
      <c r="AJ604" s="158"/>
      <c r="AK604" s="133">
        <f>IFERROR(__xludf.DUMMYFUNCTION("""COMPUTED_VALUE"""),4.0)</f>
        <v>4</v>
      </c>
      <c r="AL604" s="133">
        <f>IFERROR(__xludf.DUMMYFUNCTION("""COMPUTED_VALUE"""),0.0)</f>
        <v>0</v>
      </c>
      <c r="AM604" s="133">
        <f>IFERROR(__xludf.DUMMYFUNCTION("""COMPUTED_VALUE"""),3.0)</f>
        <v>3</v>
      </c>
      <c r="AN604" s="133" t="str">
        <f>IFERROR(__xludf.DUMMYFUNCTION("""COMPUTED_VALUE"""),"3")</f>
        <v>3</v>
      </c>
      <c r="AO604" s="133">
        <f>IFERROR(__xludf.DUMMYFUNCTION("""COMPUTED_VALUE"""),2.0)</f>
        <v>2</v>
      </c>
      <c r="AP604" s="155" t="s">
        <v>3780</v>
      </c>
    </row>
    <row r="605">
      <c r="A605" s="155">
        <f>IFERROR(__xludf.DUMMYFUNCTION("""COMPUTED_VALUE"""),84.0)</f>
        <v>84</v>
      </c>
      <c r="B605" s="155" t="str">
        <f>IFERROR(__xludf.DUMMYFUNCTION("""COMPUTED_VALUE"""),"rsu23aiml@cmrit.ac.in")</f>
        <v>rsu23aiml@cmrit.ac.in</v>
      </c>
      <c r="C605" s="174" t="str">
        <f>IFERROR(__xludf.DUMMYFUNCTION("""COMPUTED_VALUE"""),"R SUDHIRKUMAR")</f>
        <v>R SUDHIRKUMAR</v>
      </c>
      <c r="D605" s="155" t="str">
        <f>IFERROR(__xludf.DUMMYFUNCTION("""COMPUTED_VALUE"""),"1CR23AI087")</f>
        <v>1CR23AI087</v>
      </c>
      <c r="E605" s="563">
        <f>IFERROR(__xludf.DUMMYFUNCTION("""COMPUTED_VALUE"""),7.719049455E9)</f>
        <v>7719049455</v>
      </c>
      <c r="F605" s="155" t="str">
        <f>IFERROR(__xludf.DUMMYFUNCTION("""COMPUTED_VALUE"""),"AIML")</f>
        <v>AIML</v>
      </c>
      <c r="G605" s="158"/>
      <c r="H605" s="559">
        <f>IFERROR(__xludf.DUMMYFUNCTION("""COMPUTED_VALUE"""),74.0)</f>
        <v>74</v>
      </c>
      <c r="I605" s="559">
        <f>IFERROR(__xludf.DUMMYFUNCTION("""COMPUTED_VALUE"""),83.0)</f>
        <v>83</v>
      </c>
      <c r="J605" s="559">
        <f>IFERROR(__xludf.DUMMYFUNCTION("""COMPUTED_VALUE"""),46.0)</f>
        <v>46</v>
      </c>
      <c r="K605" s="559">
        <f>IFERROR(__xludf.DUMMYFUNCTION("""COMPUTED_VALUE"""),43.0)</f>
        <v>43</v>
      </c>
      <c r="L605" s="560">
        <f>IFERROR(__xludf.DUMMYFUNCTION("""COMPUTED_VALUE"""),6.0)</f>
        <v>6</v>
      </c>
      <c r="M605" s="561">
        <f>IFERROR(__xludf.DUMMYFUNCTION("""COMPUTED_VALUE"""),10.0)</f>
        <v>10</v>
      </c>
      <c r="N605" s="561">
        <f>IFERROR(__xludf.DUMMYFUNCTION("""COMPUTED_VALUE"""),0.0)</f>
        <v>0</v>
      </c>
      <c r="O605" s="560"/>
      <c r="P605" s="562">
        <f>IFERROR(__xludf.DUMMYFUNCTION("""COMPUTED_VALUE"""),76.0)</f>
        <v>76</v>
      </c>
      <c r="Q605" s="562">
        <f>IFERROR(__xludf.DUMMYFUNCTION("""COMPUTED_VALUE"""),54.0)</f>
        <v>54</v>
      </c>
      <c r="R605" s="562">
        <f>IFERROR(__xludf.DUMMYFUNCTION("""COMPUTED_VALUE"""),0.0)</f>
        <v>0</v>
      </c>
      <c r="S605" s="562"/>
      <c r="T605" s="217">
        <f>IFERROR(__xludf.DUMMYFUNCTION("""COMPUTED_VALUE"""),18.0)</f>
        <v>18</v>
      </c>
      <c r="U605" s="217"/>
      <c r="V605" s="217">
        <f>IFERROR(__xludf.DUMMYFUNCTION("""COMPUTED_VALUE"""),92.0)</f>
        <v>92</v>
      </c>
      <c r="W605" s="217">
        <f>IFERROR(__xludf.DUMMYFUNCTION("""COMPUTED_VALUE"""),0.0)</f>
        <v>0</v>
      </c>
      <c r="X605" s="217"/>
      <c r="Y605" s="217"/>
      <c r="Z605" s="217"/>
      <c r="AA605" s="481">
        <f>IFERROR(__xludf.DUMMYFUNCTION("""COMPUTED_VALUE"""),0.0)</f>
        <v>0</v>
      </c>
      <c r="AB605" s="481">
        <f>IFERROR(__xludf.DUMMYFUNCTION("""COMPUTED_VALUE"""),13.0)</f>
        <v>13</v>
      </c>
      <c r="AC605" s="481">
        <f>IFERROR(__xludf.DUMMYFUNCTION("""COMPUTED_VALUE"""),1.0)</f>
        <v>1</v>
      </c>
      <c r="AD605" s="481">
        <f>IFERROR(__xludf.DUMMYFUNCTION("""COMPUTED_VALUE"""),2.0)</f>
        <v>2</v>
      </c>
      <c r="AE605" s="481">
        <f>IFERROR(__xludf.DUMMYFUNCTION("""COMPUTED_VALUE"""),10.0)</f>
        <v>10</v>
      </c>
      <c r="AF605" s="481"/>
      <c r="AG605" s="481">
        <f>IFERROR(__xludf.DUMMYFUNCTION("""COMPUTED_VALUE"""),0.0)</f>
        <v>0</v>
      </c>
      <c r="AH605" s="481"/>
      <c r="AI605" s="158"/>
      <c r="AJ605" s="158"/>
      <c r="AK605" s="133">
        <f>IFERROR(__xludf.DUMMYFUNCTION("""COMPUTED_VALUE"""),2.0)</f>
        <v>2</v>
      </c>
      <c r="AL605" s="133">
        <f>IFERROR(__xludf.DUMMYFUNCTION("""COMPUTED_VALUE"""),0.0)</f>
        <v>0</v>
      </c>
      <c r="AM605" s="133">
        <f>IFERROR(__xludf.DUMMYFUNCTION("""COMPUTED_VALUE"""),2.0)</f>
        <v>2</v>
      </c>
      <c r="AN605" s="133" t="str">
        <f>IFERROR(__xludf.DUMMYFUNCTION("""COMPUTED_VALUE"""),"0")</f>
        <v>0</v>
      </c>
      <c r="AO605" s="133">
        <f>IFERROR(__xludf.DUMMYFUNCTION("""COMPUTED_VALUE"""),2.0)</f>
        <v>2</v>
      </c>
      <c r="AP605" s="155" t="s">
        <v>3780</v>
      </c>
    </row>
    <row r="606">
      <c r="A606" s="155">
        <f>IFERROR(__xludf.DUMMYFUNCTION("""COMPUTED_VALUE"""),85.0)</f>
        <v>85</v>
      </c>
      <c r="B606" s="155" t="str">
        <f>IFERROR(__xludf.DUMMYFUNCTION("""COMPUTED_VALUE"""),"raga23aiml@cmrit.ac.in")</f>
        <v>raga23aiml@cmrit.ac.in</v>
      </c>
      <c r="C606" s="174" t="str">
        <f>IFERROR(__xludf.DUMMYFUNCTION("""COMPUTED_VALUE"""),"Rachit Garg")</f>
        <v>Rachit Garg</v>
      </c>
      <c r="D606" s="155" t="str">
        <f>IFERROR(__xludf.DUMMYFUNCTION("""COMPUTED_VALUE"""),"1CR23AI088")</f>
        <v>1CR23AI088</v>
      </c>
      <c r="E606" s="563">
        <f>IFERROR(__xludf.DUMMYFUNCTION("""COMPUTED_VALUE"""),9.516556789E9)</f>
        <v>9516556789</v>
      </c>
      <c r="F606" s="155" t="str">
        <f>IFERROR(__xludf.DUMMYFUNCTION("""COMPUTED_VALUE"""),"AIML")</f>
        <v>AIML</v>
      </c>
      <c r="G606" s="158"/>
      <c r="H606" s="559">
        <f>IFERROR(__xludf.DUMMYFUNCTION("""COMPUTED_VALUE"""),78.0)</f>
        <v>78</v>
      </c>
      <c r="I606" s="559">
        <f>IFERROR(__xludf.DUMMYFUNCTION("""COMPUTED_VALUE"""),65.0)</f>
        <v>65</v>
      </c>
      <c r="J606" s="559">
        <f>IFERROR(__xludf.DUMMYFUNCTION("""COMPUTED_VALUE"""),70.0)</f>
        <v>70</v>
      </c>
      <c r="K606" s="559">
        <f>IFERROR(__xludf.DUMMYFUNCTION("""COMPUTED_VALUE"""),70.0)</f>
        <v>70</v>
      </c>
      <c r="L606" s="560">
        <f>IFERROR(__xludf.DUMMYFUNCTION("""COMPUTED_VALUE"""),62.0)</f>
        <v>62</v>
      </c>
      <c r="M606" s="561">
        <f>IFERROR(__xludf.DUMMYFUNCTION("""COMPUTED_VALUE"""),50.0)</f>
        <v>50</v>
      </c>
      <c r="N606" s="561">
        <f>IFERROR(__xludf.DUMMYFUNCTION("""COMPUTED_VALUE"""),30.0)</f>
        <v>30</v>
      </c>
      <c r="O606" s="560"/>
      <c r="P606" s="562">
        <f>IFERROR(__xludf.DUMMYFUNCTION("""COMPUTED_VALUE"""),50.0)</f>
        <v>50</v>
      </c>
      <c r="Q606" s="562">
        <f>IFERROR(__xludf.DUMMYFUNCTION("""COMPUTED_VALUE"""),50.0)</f>
        <v>50</v>
      </c>
      <c r="R606" s="562">
        <f>IFERROR(__xludf.DUMMYFUNCTION("""COMPUTED_VALUE"""),0.0)</f>
        <v>0</v>
      </c>
      <c r="S606" s="562"/>
      <c r="T606" s="217">
        <f>IFERROR(__xludf.DUMMYFUNCTION("""COMPUTED_VALUE"""),21.0)</f>
        <v>21</v>
      </c>
      <c r="U606" s="217">
        <f>IFERROR(__xludf.DUMMYFUNCTION("""COMPUTED_VALUE"""),20.0)</f>
        <v>20</v>
      </c>
      <c r="V606" s="217">
        <f>IFERROR(__xludf.DUMMYFUNCTION("""COMPUTED_VALUE"""),90.0)</f>
        <v>90</v>
      </c>
      <c r="W606" s="217">
        <f>IFERROR(__xludf.DUMMYFUNCTION("""COMPUTED_VALUE"""),86.0)</f>
        <v>86</v>
      </c>
      <c r="X606" s="217">
        <f>IFERROR(__xludf.DUMMYFUNCTION("""COMPUTED_VALUE"""),76.0)</f>
        <v>76</v>
      </c>
      <c r="Y606" s="217"/>
      <c r="Z606" s="217"/>
      <c r="AA606" s="481">
        <f>IFERROR(__xludf.DUMMYFUNCTION("""COMPUTED_VALUE"""),80.0)</f>
        <v>80</v>
      </c>
      <c r="AB606" s="481">
        <f>IFERROR(__xludf.DUMMYFUNCTION("""COMPUTED_VALUE"""),97.0)</f>
        <v>97</v>
      </c>
      <c r="AC606" s="481">
        <f>IFERROR(__xludf.DUMMYFUNCTION("""COMPUTED_VALUE"""),60.0)</f>
        <v>60</v>
      </c>
      <c r="AD606" s="481">
        <f>IFERROR(__xludf.DUMMYFUNCTION("""COMPUTED_VALUE"""),0.0)</f>
        <v>0</v>
      </c>
      <c r="AE606" s="481">
        <f>IFERROR(__xludf.DUMMYFUNCTION("""COMPUTED_VALUE"""),25.0)</f>
        <v>25</v>
      </c>
      <c r="AF606" s="481"/>
      <c r="AG606" s="481">
        <f>IFERROR(__xludf.DUMMYFUNCTION("""COMPUTED_VALUE"""),20.0)</f>
        <v>20</v>
      </c>
      <c r="AH606" s="481"/>
      <c r="AI606" s="158"/>
      <c r="AJ606" s="158"/>
      <c r="AK606" s="133">
        <f>IFERROR(__xludf.DUMMYFUNCTION("""COMPUTED_VALUE"""),4.0)</f>
        <v>4</v>
      </c>
      <c r="AL606" s="133">
        <f>IFERROR(__xludf.DUMMYFUNCTION("""COMPUTED_VALUE"""),2.0)</f>
        <v>2</v>
      </c>
      <c r="AM606" s="133">
        <f>IFERROR(__xludf.DUMMYFUNCTION("""COMPUTED_VALUE"""),3.0)</f>
        <v>3</v>
      </c>
      <c r="AN606" s="133" t="str">
        <f>IFERROR(__xludf.DUMMYFUNCTION("""COMPUTED_VALUE"""),"3")</f>
        <v>3</v>
      </c>
      <c r="AO606" s="133">
        <f>IFERROR(__xludf.DUMMYFUNCTION("""COMPUTED_VALUE"""),2.0)</f>
        <v>2</v>
      </c>
      <c r="AP606" s="155" t="s">
        <v>3780</v>
      </c>
    </row>
    <row r="607">
      <c r="A607" s="155">
        <f>IFERROR(__xludf.DUMMYFUNCTION("""COMPUTED_VALUE"""),86.0)</f>
        <v>86</v>
      </c>
      <c r="B607" s="155" t="str">
        <f>IFERROR(__xludf.DUMMYFUNCTION("""COMPUTED_VALUE"""),"raag23aiml@cmrit.ac.in")</f>
        <v>raag23aiml@cmrit.ac.in</v>
      </c>
      <c r="C607" s="174" t="str">
        <f>IFERROR(__xludf.DUMMYFUNCTION("""COMPUTED_VALUE"""),"RAGHAV AGRAWAL")</f>
        <v>RAGHAV AGRAWAL</v>
      </c>
      <c r="D607" s="155" t="str">
        <f>IFERROR(__xludf.DUMMYFUNCTION("""COMPUTED_VALUE"""),"1CR23AI089")</f>
        <v>1CR23AI089</v>
      </c>
      <c r="E607" s="563">
        <f>IFERROR(__xludf.DUMMYFUNCTION("""COMPUTED_VALUE"""),8.763653112E9)</f>
        <v>8763653112</v>
      </c>
      <c r="F607" s="155" t="str">
        <f>IFERROR(__xludf.DUMMYFUNCTION("""COMPUTED_VALUE"""),"AIML")</f>
        <v>AIML</v>
      </c>
      <c r="G607" s="158"/>
      <c r="H607" s="559">
        <f>IFERROR(__xludf.DUMMYFUNCTION("""COMPUTED_VALUE"""),70.0)</f>
        <v>70</v>
      </c>
      <c r="I607" s="559">
        <f>IFERROR(__xludf.DUMMYFUNCTION("""COMPUTED_VALUE"""),82.0)</f>
        <v>82</v>
      </c>
      <c r="J607" s="559">
        <f>IFERROR(__xludf.DUMMYFUNCTION("""COMPUTED_VALUE"""),70.0)</f>
        <v>70</v>
      </c>
      <c r="K607" s="559">
        <f>IFERROR(__xludf.DUMMYFUNCTION("""COMPUTED_VALUE"""),70.0)</f>
        <v>70</v>
      </c>
      <c r="L607" s="560">
        <f>IFERROR(__xludf.DUMMYFUNCTION("""COMPUTED_VALUE"""),50.0)</f>
        <v>50</v>
      </c>
      <c r="M607" s="561">
        <f>IFERROR(__xludf.DUMMYFUNCTION("""COMPUTED_VALUE"""),50.0)</f>
        <v>50</v>
      </c>
      <c r="N607" s="561">
        <f>IFERROR(__xludf.DUMMYFUNCTION("""COMPUTED_VALUE"""),57.0)</f>
        <v>57</v>
      </c>
      <c r="O607" s="560"/>
      <c r="P607" s="562">
        <f>IFERROR(__xludf.DUMMYFUNCTION("""COMPUTED_VALUE"""),50.0)</f>
        <v>50</v>
      </c>
      <c r="Q607" s="562">
        <f>IFERROR(__xludf.DUMMYFUNCTION("""COMPUTED_VALUE"""),50.0)</f>
        <v>50</v>
      </c>
      <c r="R607" s="562">
        <f>IFERROR(__xludf.DUMMYFUNCTION("""COMPUTED_VALUE"""),50.0)</f>
        <v>50</v>
      </c>
      <c r="S607" s="562"/>
      <c r="T607" s="217">
        <f>IFERROR(__xludf.DUMMYFUNCTION("""COMPUTED_VALUE"""),15.0)</f>
        <v>15</v>
      </c>
      <c r="U607" s="217">
        <f>IFERROR(__xludf.DUMMYFUNCTION("""COMPUTED_VALUE"""),21.0)</f>
        <v>21</v>
      </c>
      <c r="V607" s="217">
        <f>IFERROR(__xludf.DUMMYFUNCTION("""COMPUTED_VALUE"""),92.0)</f>
        <v>92</v>
      </c>
      <c r="W607" s="217">
        <f>IFERROR(__xludf.DUMMYFUNCTION("""COMPUTED_VALUE"""),86.0)</f>
        <v>86</v>
      </c>
      <c r="X607" s="217">
        <f>IFERROR(__xludf.DUMMYFUNCTION("""COMPUTED_VALUE"""),66.0)</f>
        <v>66</v>
      </c>
      <c r="Y607" s="217"/>
      <c r="Z607" s="217"/>
      <c r="AA607" s="481">
        <f>IFERROR(__xludf.DUMMYFUNCTION("""COMPUTED_VALUE"""),69.0)</f>
        <v>69</v>
      </c>
      <c r="AB607" s="481">
        <f>IFERROR(__xludf.DUMMYFUNCTION("""COMPUTED_VALUE"""),100.0)</f>
        <v>100</v>
      </c>
      <c r="AC607" s="481">
        <f>IFERROR(__xludf.DUMMYFUNCTION("""COMPUTED_VALUE"""),100.0)</f>
        <v>100</v>
      </c>
      <c r="AD607" s="481">
        <f>IFERROR(__xludf.DUMMYFUNCTION("""COMPUTED_VALUE"""),0.0)</f>
        <v>0</v>
      </c>
      <c r="AE607" s="481">
        <f>IFERROR(__xludf.DUMMYFUNCTION("""COMPUTED_VALUE"""),57.0)</f>
        <v>57</v>
      </c>
      <c r="AF607" s="481"/>
      <c r="AG607" s="481">
        <f>IFERROR(__xludf.DUMMYFUNCTION("""COMPUTED_VALUE"""),48.0)</f>
        <v>48</v>
      </c>
      <c r="AH607" s="481"/>
      <c r="AI607" s="158"/>
      <c r="AJ607" s="158"/>
      <c r="AK607" s="133">
        <f>IFERROR(__xludf.DUMMYFUNCTION("""COMPUTED_VALUE"""),4.0)</f>
        <v>4</v>
      </c>
      <c r="AL607" s="133">
        <f>IFERROR(__xludf.DUMMYFUNCTION("""COMPUTED_VALUE"""),3.0)</f>
        <v>3</v>
      </c>
      <c r="AM607" s="133">
        <f>IFERROR(__xludf.DUMMYFUNCTION("""COMPUTED_VALUE"""),3.0)</f>
        <v>3</v>
      </c>
      <c r="AN607" s="133" t="str">
        <f>IFERROR(__xludf.DUMMYFUNCTION("""COMPUTED_VALUE"""),"3")</f>
        <v>3</v>
      </c>
      <c r="AO607" s="133">
        <f>IFERROR(__xludf.DUMMYFUNCTION("""COMPUTED_VALUE"""),3.0)</f>
        <v>3</v>
      </c>
      <c r="AP607" s="155" t="s">
        <v>3780</v>
      </c>
    </row>
    <row r="608">
      <c r="A608" s="155">
        <f>IFERROR(__xludf.DUMMYFUNCTION("""COMPUTED_VALUE"""),87.0)</f>
        <v>87</v>
      </c>
      <c r="B608" s="155" t="str">
        <f>IFERROR(__xludf.DUMMYFUNCTION("""COMPUTED_VALUE"""),"ra23aiml@cmrit.ac.in")</f>
        <v>ra23aiml@cmrit.ac.in</v>
      </c>
      <c r="C608" s="174" t="str">
        <f>IFERROR(__xludf.DUMMYFUNCTION("""COMPUTED_VALUE"""),"RAGHAVENDRA")</f>
        <v>RAGHAVENDRA</v>
      </c>
      <c r="D608" s="155" t="str">
        <f>IFERROR(__xludf.DUMMYFUNCTION("""COMPUTED_VALUE"""),"1CR23AI090")</f>
        <v>1CR23AI090</v>
      </c>
      <c r="E608" s="563">
        <f>IFERROR(__xludf.DUMMYFUNCTION("""COMPUTED_VALUE"""),7.899597816E9)</f>
        <v>7899597816</v>
      </c>
      <c r="F608" s="155" t="str">
        <f>IFERROR(__xludf.DUMMYFUNCTION("""COMPUTED_VALUE"""),"AIML")</f>
        <v>AIML</v>
      </c>
      <c r="G608" s="158"/>
      <c r="H608" s="559">
        <f>IFERROR(__xludf.DUMMYFUNCTION("""COMPUTED_VALUE"""),70.0)</f>
        <v>70</v>
      </c>
      <c r="I608" s="559">
        <f>IFERROR(__xludf.DUMMYFUNCTION("""COMPUTED_VALUE"""),70.0)</f>
        <v>70</v>
      </c>
      <c r="J608" s="559">
        <f>IFERROR(__xludf.DUMMYFUNCTION("""COMPUTED_VALUE"""),70.0)</f>
        <v>70</v>
      </c>
      <c r="K608" s="559">
        <f>IFERROR(__xludf.DUMMYFUNCTION("""COMPUTED_VALUE"""),70.0)</f>
        <v>70</v>
      </c>
      <c r="L608" s="560">
        <f>IFERROR(__xludf.DUMMYFUNCTION("""COMPUTED_VALUE"""),50.0)</f>
        <v>50</v>
      </c>
      <c r="M608" s="561">
        <f>IFERROR(__xludf.DUMMYFUNCTION("""COMPUTED_VALUE"""),31.0)</f>
        <v>31</v>
      </c>
      <c r="N608" s="561">
        <f>IFERROR(__xludf.DUMMYFUNCTION("""COMPUTED_VALUE"""),0.0)</f>
        <v>0</v>
      </c>
      <c r="O608" s="560"/>
      <c r="P608" s="562">
        <f>IFERROR(__xludf.DUMMYFUNCTION("""COMPUTED_VALUE"""),0.0)</f>
        <v>0</v>
      </c>
      <c r="Q608" s="562">
        <f>IFERROR(__xludf.DUMMYFUNCTION("""COMPUTED_VALUE"""),53.0)</f>
        <v>53</v>
      </c>
      <c r="R608" s="562">
        <f>IFERROR(__xludf.DUMMYFUNCTION("""COMPUTED_VALUE"""),0.0)</f>
        <v>0</v>
      </c>
      <c r="S608" s="562"/>
      <c r="T608" s="217">
        <f>IFERROR(__xludf.DUMMYFUNCTION("""COMPUTED_VALUE"""),10.0)</f>
        <v>10</v>
      </c>
      <c r="U608" s="217">
        <f>IFERROR(__xludf.DUMMYFUNCTION("""COMPUTED_VALUE"""),21.0)</f>
        <v>21</v>
      </c>
      <c r="V608" s="217">
        <f>IFERROR(__xludf.DUMMYFUNCTION("""COMPUTED_VALUE"""),92.0)</f>
        <v>92</v>
      </c>
      <c r="W608" s="217">
        <f>IFERROR(__xludf.DUMMYFUNCTION("""COMPUTED_VALUE"""),84.0)</f>
        <v>84</v>
      </c>
      <c r="X608" s="217">
        <f>IFERROR(__xludf.DUMMYFUNCTION("""COMPUTED_VALUE"""),66.0)</f>
        <v>66</v>
      </c>
      <c r="Y608" s="217"/>
      <c r="Z608" s="217"/>
      <c r="AA608" s="481">
        <f>IFERROR(__xludf.DUMMYFUNCTION("""COMPUTED_VALUE"""),0.0)</f>
        <v>0</v>
      </c>
      <c r="AB608" s="481">
        <f>IFERROR(__xludf.DUMMYFUNCTION("""COMPUTED_VALUE"""),22.0)</f>
        <v>22</v>
      </c>
      <c r="AC608" s="481">
        <f>IFERROR(__xludf.DUMMYFUNCTION("""COMPUTED_VALUE"""),0.0)</f>
        <v>0</v>
      </c>
      <c r="AD608" s="481">
        <f>IFERROR(__xludf.DUMMYFUNCTION("""COMPUTED_VALUE"""),70.0)</f>
        <v>70</v>
      </c>
      <c r="AE608" s="481">
        <f>IFERROR(__xludf.DUMMYFUNCTION("""COMPUTED_VALUE"""),10.0)</f>
        <v>10</v>
      </c>
      <c r="AF608" s="481"/>
      <c r="AG608" s="481">
        <f>IFERROR(__xludf.DUMMYFUNCTION("""COMPUTED_VALUE"""),44.0)</f>
        <v>44</v>
      </c>
      <c r="AH608" s="481"/>
      <c r="AI608" s="158"/>
      <c r="AJ608" s="158"/>
      <c r="AK608" s="133">
        <f>IFERROR(__xludf.DUMMYFUNCTION("""COMPUTED_VALUE"""),4.0)</f>
        <v>4</v>
      </c>
      <c r="AL608" s="133">
        <f>IFERROR(__xludf.DUMMYFUNCTION("""COMPUTED_VALUE"""),1.0)</f>
        <v>1</v>
      </c>
      <c r="AM608" s="133">
        <f>IFERROR(__xludf.DUMMYFUNCTION("""COMPUTED_VALUE"""),3.0)</f>
        <v>3</v>
      </c>
      <c r="AN608" s="133" t="str">
        <f>IFERROR(__xludf.DUMMYFUNCTION("""COMPUTED_VALUE"""),"0")</f>
        <v>0</v>
      </c>
      <c r="AO608" s="133">
        <f>IFERROR(__xludf.DUMMYFUNCTION("""COMPUTED_VALUE"""),0.0)</f>
        <v>0</v>
      </c>
      <c r="AP608" s="155" t="s">
        <v>3780</v>
      </c>
    </row>
    <row r="609">
      <c r="A609" s="155">
        <f>IFERROR(__xludf.DUMMYFUNCTION("""COMPUTED_VALUE"""),88.0)</f>
        <v>88</v>
      </c>
      <c r="B609" s="155" t="str">
        <f>IFERROR(__xludf.DUMMYFUNCTION("""COMPUTED_VALUE"""),"raes23aiml@cmrit.ac.in")</f>
        <v>raes23aiml@cmrit.ac.in</v>
      </c>
      <c r="C609" s="174" t="str">
        <f>IFERROR(__xludf.DUMMYFUNCTION("""COMPUTED_VALUE"""),"Raghavendra E S")</f>
        <v>Raghavendra E S</v>
      </c>
      <c r="D609" s="155" t="str">
        <f>IFERROR(__xludf.DUMMYFUNCTION("""COMPUTED_VALUE"""),"1CR23AI091")</f>
        <v>1CR23AI091</v>
      </c>
      <c r="E609" s="563">
        <f>IFERROR(__xludf.DUMMYFUNCTION("""COMPUTED_VALUE"""),9.980739255E9)</f>
        <v>9980739255</v>
      </c>
      <c r="F609" s="155" t="str">
        <f>IFERROR(__xludf.DUMMYFUNCTION("""COMPUTED_VALUE"""),"AIML")</f>
        <v>AIML</v>
      </c>
      <c r="G609" s="158"/>
      <c r="H609" s="559">
        <f>IFERROR(__xludf.DUMMYFUNCTION("""COMPUTED_VALUE"""),70.0)</f>
        <v>70</v>
      </c>
      <c r="I609" s="559">
        <f>IFERROR(__xludf.DUMMYFUNCTION("""COMPUTED_VALUE"""),71.0)</f>
        <v>71</v>
      </c>
      <c r="J609" s="559">
        <f>IFERROR(__xludf.DUMMYFUNCTION("""COMPUTED_VALUE"""),70.0)</f>
        <v>70</v>
      </c>
      <c r="K609" s="559">
        <f>IFERROR(__xludf.DUMMYFUNCTION("""COMPUTED_VALUE"""),70.0)</f>
        <v>70</v>
      </c>
      <c r="L609" s="560">
        <f>IFERROR(__xludf.DUMMYFUNCTION("""COMPUTED_VALUE"""),50.0)</f>
        <v>50</v>
      </c>
      <c r="M609" s="561">
        <f>IFERROR(__xludf.DUMMYFUNCTION("""COMPUTED_VALUE"""),50.0)</f>
        <v>50</v>
      </c>
      <c r="N609" s="561">
        <f>IFERROR(__xludf.DUMMYFUNCTION("""COMPUTED_VALUE"""),50.0)</f>
        <v>50</v>
      </c>
      <c r="O609" s="560"/>
      <c r="P609" s="562">
        <f>IFERROR(__xludf.DUMMYFUNCTION("""COMPUTED_VALUE"""),50.0)</f>
        <v>50</v>
      </c>
      <c r="Q609" s="562">
        <f>IFERROR(__xludf.DUMMYFUNCTION("""COMPUTED_VALUE"""),50.0)</f>
        <v>50</v>
      </c>
      <c r="R609" s="562">
        <f>IFERROR(__xludf.DUMMYFUNCTION("""COMPUTED_VALUE"""),50.0)</f>
        <v>50</v>
      </c>
      <c r="S609" s="562"/>
      <c r="T609" s="217">
        <f>IFERROR(__xludf.DUMMYFUNCTION("""COMPUTED_VALUE"""),21.0)</f>
        <v>21</v>
      </c>
      <c r="U609" s="217">
        <f>IFERROR(__xludf.DUMMYFUNCTION("""COMPUTED_VALUE"""),23.0)</f>
        <v>23</v>
      </c>
      <c r="V609" s="217">
        <f>IFERROR(__xludf.DUMMYFUNCTION("""COMPUTED_VALUE"""),94.0)</f>
        <v>94</v>
      </c>
      <c r="W609" s="217">
        <f>IFERROR(__xludf.DUMMYFUNCTION("""COMPUTED_VALUE"""),86.0)</f>
        <v>86</v>
      </c>
      <c r="X609" s="217">
        <f>IFERROR(__xludf.DUMMYFUNCTION("""COMPUTED_VALUE"""),84.0)</f>
        <v>84</v>
      </c>
      <c r="Y609" s="217"/>
      <c r="Z609" s="217"/>
      <c r="AA609" s="481">
        <f>IFERROR(__xludf.DUMMYFUNCTION("""COMPUTED_VALUE"""),60.0)</f>
        <v>60</v>
      </c>
      <c r="AB609" s="481">
        <f>IFERROR(__xludf.DUMMYFUNCTION("""COMPUTED_VALUE"""),83.0)</f>
        <v>83</v>
      </c>
      <c r="AC609" s="481">
        <f>IFERROR(__xludf.DUMMYFUNCTION("""COMPUTED_VALUE"""),100.0)</f>
        <v>100</v>
      </c>
      <c r="AD609" s="481">
        <f>IFERROR(__xludf.DUMMYFUNCTION("""COMPUTED_VALUE"""),90.0)</f>
        <v>90</v>
      </c>
      <c r="AE609" s="481">
        <f>IFERROR(__xludf.DUMMYFUNCTION("""COMPUTED_VALUE"""),70.0)</f>
        <v>70</v>
      </c>
      <c r="AF609" s="481"/>
      <c r="AG609" s="481">
        <f>IFERROR(__xludf.DUMMYFUNCTION("""COMPUTED_VALUE"""),45.0)</f>
        <v>45</v>
      </c>
      <c r="AH609" s="481"/>
      <c r="AI609" s="158"/>
      <c r="AJ609" s="158"/>
      <c r="AK609" s="133">
        <f>IFERROR(__xludf.DUMMYFUNCTION("""COMPUTED_VALUE"""),4.0)</f>
        <v>4</v>
      </c>
      <c r="AL609" s="133">
        <f>IFERROR(__xludf.DUMMYFUNCTION("""COMPUTED_VALUE"""),3.0)</f>
        <v>3</v>
      </c>
      <c r="AM609" s="133">
        <f>IFERROR(__xludf.DUMMYFUNCTION("""COMPUTED_VALUE"""),3.0)</f>
        <v>3</v>
      </c>
      <c r="AN609" s="133" t="str">
        <f>IFERROR(__xludf.DUMMYFUNCTION("""COMPUTED_VALUE"""),"3.5")</f>
        <v>3.5</v>
      </c>
      <c r="AO609" s="133">
        <f>IFERROR(__xludf.DUMMYFUNCTION("""COMPUTED_VALUE"""),3.0)</f>
        <v>3</v>
      </c>
      <c r="AP609" s="155" t="s">
        <v>3780</v>
      </c>
    </row>
    <row r="610">
      <c r="A610" s="155">
        <f>IFERROR(__xludf.DUMMYFUNCTION("""COMPUTED_VALUE"""),89.0)</f>
        <v>89</v>
      </c>
      <c r="B610" s="155" t="str">
        <f>IFERROR(__xludf.DUMMYFUNCTION("""COMPUTED_VALUE"""),"rar23aiml@cmrit.ac.in")</f>
        <v>rar23aiml@cmrit.ac.in</v>
      </c>
      <c r="C610" s="174" t="str">
        <f>IFERROR(__xludf.DUMMYFUNCTION("""COMPUTED_VALUE"""),"RAGHAVI.R")</f>
        <v>RAGHAVI.R</v>
      </c>
      <c r="D610" s="155" t="str">
        <f>IFERROR(__xludf.DUMMYFUNCTION("""COMPUTED_VALUE"""),"1CR23AI092")</f>
        <v>1CR23AI092</v>
      </c>
      <c r="E610" s="563">
        <f>IFERROR(__xludf.DUMMYFUNCTION("""COMPUTED_VALUE"""),7.624966398E9)</f>
        <v>7624966398</v>
      </c>
      <c r="F610" s="155" t="str">
        <f>IFERROR(__xludf.DUMMYFUNCTION("""COMPUTED_VALUE"""),"AIML")</f>
        <v>AIML</v>
      </c>
      <c r="G610" s="158"/>
      <c r="H610" s="559">
        <f>IFERROR(__xludf.DUMMYFUNCTION("""COMPUTED_VALUE"""),71.0)</f>
        <v>71</v>
      </c>
      <c r="I610" s="559">
        <f>IFERROR(__xludf.DUMMYFUNCTION("""COMPUTED_VALUE"""),78.0)</f>
        <v>78</v>
      </c>
      <c r="J610" s="559">
        <f>IFERROR(__xludf.DUMMYFUNCTION("""COMPUTED_VALUE"""),74.0)</f>
        <v>74</v>
      </c>
      <c r="K610" s="559">
        <f>IFERROR(__xludf.DUMMYFUNCTION("""COMPUTED_VALUE"""),70.0)</f>
        <v>70</v>
      </c>
      <c r="L610" s="560">
        <f>IFERROR(__xludf.DUMMYFUNCTION("""COMPUTED_VALUE"""),50.0)</f>
        <v>50</v>
      </c>
      <c r="M610" s="561">
        <f>IFERROR(__xludf.DUMMYFUNCTION("""COMPUTED_VALUE"""),50.0)</f>
        <v>50</v>
      </c>
      <c r="N610" s="561">
        <f>IFERROR(__xludf.DUMMYFUNCTION("""COMPUTED_VALUE"""),50.0)</f>
        <v>50</v>
      </c>
      <c r="O610" s="560"/>
      <c r="P610" s="562">
        <f>IFERROR(__xludf.DUMMYFUNCTION("""COMPUTED_VALUE"""),50.0)</f>
        <v>50</v>
      </c>
      <c r="Q610" s="562">
        <f>IFERROR(__xludf.DUMMYFUNCTION("""COMPUTED_VALUE"""),67.0)</f>
        <v>67</v>
      </c>
      <c r="R610" s="562">
        <f>IFERROR(__xludf.DUMMYFUNCTION("""COMPUTED_VALUE"""),75.0)</f>
        <v>75</v>
      </c>
      <c r="S610" s="562"/>
      <c r="T610" s="217">
        <f>IFERROR(__xludf.DUMMYFUNCTION("""COMPUTED_VALUE"""),10.0)</f>
        <v>10</v>
      </c>
      <c r="U610" s="217">
        <f>IFERROR(__xludf.DUMMYFUNCTION("""COMPUTED_VALUE"""),23.0)</f>
        <v>23</v>
      </c>
      <c r="V610" s="217">
        <f>IFERROR(__xludf.DUMMYFUNCTION("""COMPUTED_VALUE"""),84.0)</f>
        <v>84</v>
      </c>
      <c r="W610" s="217">
        <f>IFERROR(__xludf.DUMMYFUNCTION("""COMPUTED_VALUE"""),86.0)</f>
        <v>86</v>
      </c>
      <c r="X610" s="217">
        <f>IFERROR(__xludf.DUMMYFUNCTION("""COMPUTED_VALUE"""),70.0)</f>
        <v>70</v>
      </c>
      <c r="Y610" s="217"/>
      <c r="Z610" s="217"/>
      <c r="AA610" s="481">
        <f>IFERROR(__xludf.DUMMYFUNCTION("""COMPUTED_VALUE"""),40.0)</f>
        <v>40</v>
      </c>
      <c r="AB610" s="481">
        <f>IFERROR(__xludf.DUMMYFUNCTION("""COMPUTED_VALUE"""),92.0)</f>
        <v>92</v>
      </c>
      <c r="AC610" s="481">
        <f>IFERROR(__xludf.DUMMYFUNCTION("""COMPUTED_VALUE"""),0.0)</f>
        <v>0</v>
      </c>
      <c r="AD610" s="481">
        <f>IFERROR(__xludf.DUMMYFUNCTION("""COMPUTED_VALUE"""),70.0)</f>
        <v>70</v>
      </c>
      <c r="AE610" s="481">
        <f>IFERROR(__xludf.DUMMYFUNCTION("""COMPUTED_VALUE"""),45.0)</f>
        <v>45</v>
      </c>
      <c r="AF610" s="481"/>
      <c r="AG610" s="481">
        <f>IFERROR(__xludf.DUMMYFUNCTION("""COMPUTED_VALUE"""),95.0)</f>
        <v>95</v>
      </c>
      <c r="AH610" s="481"/>
      <c r="AI610" s="158"/>
      <c r="AJ610" s="158"/>
      <c r="AK610" s="133">
        <f>IFERROR(__xludf.DUMMYFUNCTION("""COMPUTED_VALUE"""),4.0)</f>
        <v>4</v>
      </c>
      <c r="AL610" s="133">
        <f>IFERROR(__xludf.DUMMYFUNCTION("""COMPUTED_VALUE"""),3.0)</f>
        <v>3</v>
      </c>
      <c r="AM610" s="133">
        <f>IFERROR(__xludf.DUMMYFUNCTION("""COMPUTED_VALUE"""),3.0)</f>
        <v>3</v>
      </c>
      <c r="AN610" s="133" t="str">
        <f>IFERROR(__xludf.DUMMYFUNCTION("""COMPUTED_VALUE"""),"3")</f>
        <v>3</v>
      </c>
      <c r="AO610" s="133">
        <f>IFERROR(__xludf.DUMMYFUNCTION("""COMPUTED_VALUE"""),3.0)</f>
        <v>3</v>
      </c>
      <c r="AP610" s="155" t="s">
        <v>3780</v>
      </c>
    </row>
    <row r="611">
      <c r="A611" s="155">
        <f>IFERROR(__xludf.DUMMYFUNCTION("""COMPUTED_VALUE"""),90.0)</f>
        <v>90</v>
      </c>
      <c r="B611" s="155" t="str">
        <f>IFERROR(__xludf.DUMMYFUNCTION("""COMPUTED_VALUE"""),"raar23aiml@cmrit.ac.in")</f>
        <v>raar23aiml@cmrit.ac.in</v>
      </c>
      <c r="C611" s="174" t="str">
        <f>IFERROR(__xludf.DUMMYFUNCTION("""COMPUTED_VALUE"""),"RAJ ARYAN")</f>
        <v>RAJ ARYAN</v>
      </c>
      <c r="D611" s="155" t="str">
        <f>IFERROR(__xludf.DUMMYFUNCTION("""COMPUTED_VALUE"""),"1CR23AI093")</f>
        <v>1CR23AI093</v>
      </c>
      <c r="E611" s="563">
        <f>IFERROR(__xludf.DUMMYFUNCTION("""COMPUTED_VALUE"""),8.09200254E9)</f>
        <v>8092002540</v>
      </c>
      <c r="F611" s="155" t="str">
        <f>IFERROR(__xludf.DUMMYFUNCTION("""COMPUTED_VALUE"""),"AIML")</f>
        <v>AIML</v>
      </c>
      <c r="G611" s="158"/>
      <c r="H611" s="559">
        <f>IFERROR(__xludf.DUMMYFUNCTION("""COMPUTED_VALUE"""),85.0)</f>
        <v>85</v>
      </c>
      <c r="I611" s="559">
        <f>IFERROR(__xludf.DUMMYFUNCTION("""COMPUTED_VALUE"""),90.0)</f>
        <v>90</v>
      </c>
      <c r="J611" s="559">
        <f>IFERROR(__xludf.DUMMYFUNCTION("""COMPUTED_VALUE"""),71.0)</f>
        <v>71</v>
      </c>
      <c r="K611" s="559">
        <f>IFERROR(__xludf.DUMMYFUNCTION("""COMPUTED_VALUE"""),70.0)</f>
        <v>70</v>
      </c>
      <c r="L611" s="560">
        <f>IFERROR(__xludf.DUMMYFUNCTION("""COMPUTED_VALUE"""),50.0)</f>
        <v>50</v>
      </c>
      <c r="M611" s="561">
        <f>IFERROR(__xludf.DUMMYFUNCTION("""COMPUTED_VALUE"""),50.0)</f>
        <v>50</v>
      </c>
      <c r="N611" s="561">
        <f>IFERROR(__xludf.DUMMYFUNCTION("""COMPUTED_VALUE"""),59.0)</f>
        <v>59</v>
      </c>
      <c r="O611" s="560"/>
      <c r="P611" s="562">
        <f>IFERROR(__xludf.DUMMYFUNCTION("""COMPUTED_VALUE"""),77.0)</f>
        <v>77</v>
      </c>
      <c r="Q611" s="562">
        <f>IFERROR(__xludf.DUMMYFUNCTION("""COMPUTED_VALUE"""),50.0)</f>
        <v>50</v>
      </c>
      <c r="R611" s="562">
        <f>IFERROR(__xludf.DUMMYFUNCTION("""COMPUTED_VALUE"""),91.0)</f>
        <v>91</v>
      </c>
      <c r="S611" s="562"/>
      <c r="T611" s="217">
        <f>IFERROR(__xludf.DUMMYFUNCTION("""COMPUTED_VALUE"""),13.0)</f>
        <v>13</v>
      </c>
      <c r="U611" s="217"/>
      <c r="V611" s="217">
        <f>IFERROR(__xludf.DUMMYFUNCTION("""COMPUTED_VALUE"""),90.0)</f>
        <v>90</v>
      </c>
      <c r="W611" s="217">
        <f>IFERROR(__xludf.DUMMYFUNCTION("""COMPUTED_VALUE"""),0.0)</f>
        <v>0</v>
      </c>
      <c r="X611" s="217">
        <f>IFERROR(__xludf.DUMMYFUNCTION("""COMPUTED_VALUE"""),74.0)</f>
        <v>74</v>
      </c>
      <c r="Y611" s="217"/>
      <c r="Z611" s="217"/>
      <c r="AA611" s="481">
        <f>IFERROR(__xludf.DUMMYFUNCTION("""COMPUTED_VALUE"""),12.0)</f>
        <v>12</v>
      </c>
      <c r="AB611" s="481">
        <f>IFERROR(__xludf.DUMMYFUNCTION("""COMPUTED_VALUE"""),99.0)</f>
        <v>99</v>
      </c>
      <c r="AC611" s="481">
        <f>IFERROR(__xludf.DUMMYFUNCTION("""COMPUTED_VALUE"""),60.0)</f>
        <v>60</v>
      </c>
      <c r="AD611" s="481">
        <f>IFERROR(__xludf.DUMMYFUNCTION("""COMPUTED_VALUE"""),0.0)</f>
        <v>0</v>
      </c>
      <c r="AE611" s="481">
        <f>IFERROR(__xludf.DUMMYFUNCTION("""COMPUTED_VALUE"""),70.0)</f>
        <v>70</v>
      </c>
      <c r="AF611" s="481"/>
      <c r="AG611" s="481">
        <f>IFERROR(__xludf.DUMMYFUNCTION("""COMPUTED_VALUE"""),70.0)</f>
        <v>70</v>
      </c>
      <c r="AH611" s="481"/>
      <c r="AI611" s="158"/>
      <c r="AJ611" s="158"/>
      <c r="AK611" s="133">
        <f>IFERROR(__xludf.DUMMYFUNCTION("""COMPUTED_VALUE"""),4.0)</f>
        <v>4</v>
      </c>
      <c r="AL611" s="133">
        <f>IFERROR(__xludf.DUMMYFUNCTION("""COMPUTED_VALUE"""),3.0)</f>
        <v>3</v>
      </c>
      <c r="AM611" s="133">
        <f>IFERROR(__xludf.DUMMYFUNCTION("""COMPUTED_VALUE"""),2.0)</f>
        <v>2</v>
      </c>
      <c r="AN611" s="133" t="str">
        <f>IFERROR(__xludf.DUMMYFUNCTION("""COMPUTED_VALUE"""),"3.5")</f>
        <v>3.5</v>
      </c>
      <c r="AO611" s="133">
        <f>IFERROR(__xludf.DUMMYFUNCTION("""COMPUTED_VALUE"""),3.0)</f>
        <v>3</v>
      </c>
      <c r="AP611" s="155" t="s">
        <v>3780</v>
      </c>
    </row>
    <row r="612">
      <c r="A612" s="155">
        <f>IFERROR(__xludf.DUMMYFUNCTION("""COMPUTED_VALUE"""),91.0)</f>
        <v>91</v>
      </c>
      <c r="B612" s="155" t="str">
        <f>IFERROR(__xludf.DUMMYFUNCTION("""COMPUTED_VALUE"""),"ras23aiml@cmrit.ac.in")</f>
        <v>ras23aiml@cmrit.ac.in</v>
      </c>
      <c r="C612" s="174" t="str">
        <f>IFERROR(__xludf.DUMMYFUNCTION("""COMPUTED_VALUE"""),"RAKSHITHA PATIL S")</f>
        <v>RAKSHITHA PATIL S</v>
      </c>
      <c r="D612" s="155" t="str">
        <f>IFERROR(__xludf.DUMMYFUNCTION("""COMPUTED_VALUE"""),"1CR23AI094")</f>
        <v>1CR23AI094</v>
      </c>
      <c r="E612" s="563">
        <f>IFERROR(__xludf.DUMMYFUNCTION("""COMPUTED_VALUE"""),6.360233413E9)</f>
        <v>6360233413</v>
      </c>
      <c r="F612" s="155" t="str">
        <f>IFERROR(__xludf.DUMMYFUNCTION("""COMPUTED_VALUE"""),"AIML")</f>
        <v>AIML</v>
      </c>
      <c r="G612" s="158"/>
      <c r="H612" s="559">
        <f>IFERROR(__xludf.DUMMYFUNCTION("""COMPUTED_VALUE"""),73.0)</f>
        <v>73</v>
      </c>
      <c r="I612" s="559">
        <f>IFERROR(__xludf.DUMMYFUNCTION("""COMPUTED_VALUE"""),76.0)</f>
        <v>76</v>
      </c>
      <c r="J612" s="559">
        <f>IFERROR(__xludf.DUMMYFUNCTION("""COMPUTED_VALUE"""),70.0)</f>
        <v>70</v>
      </c>
      <c r="K612" s="559">
        <f>IFERROR(__xludf.DUMMYFUNCTION("""COMPUTED_VALUE"""),70.0)</f>
        <v>70</v>
      </c>
      <c r="L612" s="560">
        <f>IFERROR(__xludf.DUMMYFUNCTION("""COMPUTED_VALUE"""),50.0)</f>
        <v>50</v>
      </c>
      <c r="M612" s="561">
        <f>IFERROR(__xludf.DUMMYFUNCTION("""COMPUTED_VALUE"""),50.0)</f>
        <v>50</v>
      </c>
      <c r="N612" s="561">
        <f>IFERROR(__xludf.DUMMYFUNCTION("""COMPUTED_VALUE"""),50.0)</f>
        <v>50</v>
      </c>
      <c r="O612" s="560"/>
      <c r="P612" s="562">
        <f>IFERROR(__xludf.DUMMYFUNCTION("""COMPUTED_VALUE"""),84.0)</f>
        <v>84</v>
      </c>
      <c r="Q612" s="562">
        <f>IFERROR(__xludf.DUMMYFUNCTION("""COMPUTED_VALUE"""),50.0)</f>
        <v>50</v>
      </c>
      <c r="R612" s="562">
        <f>IFERROR(__xludf.DUMMYFUNCTION("""COMPUTED_VALUE"""),0.0)</f>
        <v>0</v>
      </c>
      <c r="S612" s="562"/>
      <c r="T612" s="217">
        <f>IFERROR(__xludf.DUMMYFUNCTION("""COMPUTED_VALUE"""),12.0)</f>
        <v>12</v>
      </c>
      <c r="U612" s="217">
        <f>IFERROR(__xludf.DUMMYFUNCTION("""COMPUTED_VALUE"""),16.0)</f>
        <v>16</v>
      </c>
      <c r="V612" s="217">
        <f>IFERROR(__xludf.DUMMYFUNCTION("""COMPUTED_VALUE"""),92.0)</f>
        <v>92</v>
      </c>
      <c r="W612" s="217">
        <f>IFERROR(__xludf.DUMMYFUNCTION("""COMPUTED_VALUE"""),88.0)</f>
        <v>88</v>
      </c>
      <c r="X612" s="217">
        <f>IFERROR(__xludf.DUMMYFUNCTION("""COMPUTED_VALUE"""),78.0)</f>
        <v>78</v>
      </c>
      <c r="Y612" s="217"/>
      <c r="Z612" s="217"/>
      <c r="AA612" s="481">
        <f>IFERROR(__xludf.DUMMYFUNCTION("""COMPUTED_VALUE"""),72.0)</f>
        <v>72</v>
      </c>
      <c r="AB612" s="481">
        <f>IFERROR(__xludf.DUMMYFUNCTION("""COMPUTED_VALUE"""),100.0)</f>
        <v>100</v>
      </c>
      <c r="AC612" s="481">
        <f>IFERROR(__xludf.DUMMYFUNCTION("""COMPUTED_VALUE"""),100.0)</f>
        <v>100</v>
      </c>
      <c r="AD612" s="481">
        <f>IFERROR(__xludf.DUMMYFUNCTION("""COMPUTED_VALUE"""),100.0)</f>
        <v>100</v>
      </c>
      <c r="AE612" s="481">
        <f>IFERROR(__xludf.DUMMYFUNCTION("""COMPUTED_VALUE"""),42.0)</f>
        <v>42</v>
      </c>
      <c r="AF612" s="481"/>
      <c r="AG612" s="481">
        <f>IFERROR(__xludf.DUMMYFUNCTION("""COMPUTED_VALUE"""),81.0)</f>
        <v>81</v>
      </c>
      <c r="AH612" s="481"/>
      <c r="AI612" s="158"/>
      <c r="AJ612" s="158"/>
      <c r="AK612" s="133">
        <f>IFERROR(__xludf.DUMMYFUNCTION("""COMPUTED_VALUE"""),4.0)</f>
        <v>4</v>
      </c>
      <c r="AL612" s="133">
        <f>IFERROR(__xludf.DUMMYFUNCTION("""COMPUTED_VALUE"""),3.0)</f>
        <v>3</v>
      </c>
      <c r="AM612" s="133">
        <f>IFERROR(__xludf.DUMMYFUNCTION("""COMPUTED_VALUE"""),3.0)</f>
        <v>3</v>
      </c>
      <c r="AN612" s="133" t="str">
        <f>IFERROR(__xludf.DUMMYFUNCTION("""COMPUTED_VALUE"""),"3")</f>
        <v>3</v>
      </c>
      <c r="AO612" s="133">
        <f>IFERROR(__xludf.DUMMYFUNCTION("""COMPUTED_VALUE"""),2.0)</f>
        <v>2</v>
      </c>
      <c r="AP612" s="155" t="s">
        <v>3780</v>
      </c>
    </row>
    <row r="613">
      <c r="A613" s="155">
        <f>IFERROR(__xludf.DUMMYFUNCTION("""COMPUTED_VALUE"""),92.0)</f>
        <v>92</v>
      </c>
      <c r="B613" s="155" t="str">
        <f>IFERROR(__xludf.DUMMYFUNCTION("""COMPUTED_VALUE"""),"raa23aiml@cmrit.ac.in")</f>
        <v>raa23aiml@cmrit.ac.in</v>
      </c>
      <c r="C613" s="174" t="str">
        <f>IFERROR(__xludf.DUMMYFUNCTION("""COMPUTED_VALUE"""),"RAM CHARAN TEJ A")</f>
        <v>RAM CHARAN TEJ A</v>
      </c>
      <c r="D613" s="155" t="str">
        <f>IFERROR(__xludf.DUMMYFUNCTION("""COMPUTED_VALUE"""),"1CR23AI095")</f>
        <v>1CR23AI095</v>
      </c>
      <c r="E613" s="563">
        <f>IFERROR(__xludf.DUMMYFUNCTION("""COMPUTED_VALUE"""),7.348872248E9)</f>
        <v>7348872248</v>
      </c>
      <c r="F613" s="155" t="str">
        <f>IFERROR(__xludf.DUMMYFUNCTION("""COMPUTED_VALUE"""),"AIML")</f>
        <v>AIML</v>
      </c>
      <c r="G613" s="158"/>
      <c r="H613" s="559">
        <f>IFERROR(__xludf.DUMMYFUNCTION("""COMPUTED_VALUE"""),70.0)</f>
        <v>70</v>
      </c>
      <c r="I613" s="559">
        <f>IFERROR(__xludf.DUMMYFUNCTION("""COMPUTED_VALUE"""),71.0)</f>
        <v>71</v>
      </c>
      <c r="J613" s="559">
        <f>IFERROR(__xludf.DUMMYFUNCTION("""COMPUTED_VALUE"""),70.0)</f>
        <v>70</v>
      </c>
      <c r="K613" s="559">
        <f>IFERROR(__xludf.DUMMYFUNCTION("""COMPUTED_VALUE"""),70.0)</f>
        <v>70</v>
      </c>
      <c r="L613" s="560">
        <f>IFERROR(__xludf.DUMMYFUNCTION("""COMPUTED_VALUE"""),50.0)</f>
        <v>50</v>
      </c>
      <c r="M613" s="561">
        <f>IFERROR(__xludf.DUMMYFUNCTION("""COMPUTED_VALUE"""),50.0)</f>
        <v>50</v>
      </c>
      <c r="N613" s="561">
        <f>IFERROR(__xludf.DUMMYFUNCTION("""COMPUTED_VALUE"""),58.0)</f>
        <v>58</v>
      </c>
      <c r="O613" s="560"/>
      <c r="P613" s="562">
        <f>IFERROR(__xludf.DUMMYFUNCTION("""COMPUTED_VALUE"""),50.0)</f>
        <v>50</v>
      </c>
      <c r="Q613" s="562">
        <f>IFERROR(__xludf.DUMMYFUNCTION("""COMPUTED_VALUE"""),50.0)</f>
        <v>50</v>
      </c>
      <c r="R613" s="562">
        <f>IFERROR(__xludf.DUMMYFUNCTION("""COMPUTED_VALUE"""),50.0)</f>
        <v>50</v>
      </c>
      <c r="S613" s="562"/>
      <c r="T613" s="217">
        <f>IFERROR(__xludf.DUMMYFUNCTION("""COMPUTED_VALUE"""),13.0)</f>
        <v>13</v>
      </c>
      <c r="U613" s="217">
        <f>IFERROR(__xludf.DUMMYFUNCTION("""COMPUTED_VALUE"""),24.0)</f>
        <v>24</v>
      </c>
      <c r="V613" s="217">
        <f>IFERROR(__xludf.DUMMYFUNCTION("""COMPUTED_VALUE"""),88.0)</f>
        <v>88</v>
      </c>
      <c r="W613" s="217">
        <f>IFERROR(__xludf.DUMMYFUNCTION("""COMPUTED_VALUE"""),86.0)</f>
        <v>86</v>
      </c>
      <c r="X613" s="217">
        <f>IFERROR(__xludf.DUMMYFUNCTION("""COMPUTED_VALUE"""),78.0)</f>
        <v>78</v>
      </c>
      <c r="Y613" s="217"/>
      <c r="Z613" s="217"/>
      <c r="AA613" s="481">
        <f>IFERROR(__xludf.DUMMYFUNCTION("""COMPUTED_VALUE"""),0.0)</f>
        <v>0</v>
      </c>
      <c r="AB613" s="481">
        <f>IFERROR(__xludf.DUMMYFUNCTION("""COMPUTED_VALUE"""),15.0)</f>
        <v>15</v>
      </c>
      <c r="AC613" s="481">
        <f>IFERROR(__xludf.DUMMYFUNCTION("""COMPUTED_VALUE"""),100.0)</f>
        <v>100</v>
      </c>
      <c r="AD613" s="481">
        <f>IFERROR(__xludf.DUMMYFUNCTION("""COMPUTED_VALUE"""),80.0)</f>
        <v>80</v>
      </c>
      <c r="AE613" s="481">
        <f>IFERROR(__xludf.DUMMYFUNCTION("""COMPUTED_VALUE"""),55.0)</f>
        <v>55</v>
      </c>
      <c r="AF613" s="481"/>
      <c r="AG613" s="481">
        <f>IFERROR(__xludf.DUMMYFUNCTION("""COMPUTED_VALUE"""),73.0)</f>
        <v>73</v>
      </c>
      <c r="AH613" s="481"/>
      <c r="AI613" s="158"/>
      <c r="AJ613" s="158"/>
      <c r="AK613" s="133">
        <f>IFERROR(__xludf.DUMMYFUNCTION("""COMPUTED_VALUE"""),4.0)</f>
        <v>4</v>
      </c>
      <c r="AL613" s="133">
        <f>IFERROR(__xludf.DUMMYFUNCTION("""COMPUTED_VALUE"""),3.0)</f>
        <v>3</v>
      </c>
      <c r="AM613" s="133">
        <f>IFERROR(__xludf.DUMMYFUNCTION("""COMPUTED_VALUE"""),3.0)</f>
        <v>3</v>
      </c>
      <c r="AN613" s="133" t="str">
        <f>IFERROR(__xludf.DUMMYFUNCTION("""COMPUTED_VALUE"""),"0")</f>
        <v>0</v>
      </c>
      <c r="AO613" s="133">
        <f>IFERROR(__xludf.DUMMYFUNCTION("""COMPUTED_VALUE"""),3.0)</f>
        <v>3</v>
      </c>
      <c r="AP613" s="155" t="s">
        <v>3780</v>
      </c>
    </row>
    <row r="614">
      <c r="A614" s="155">
        <f>IFERROR(__xludf.DUMMYFUNCTION("""COMPUTED_VALUE"""),93.0)</f>
        <v>93</v>
      </c>
      <c r="B614" s="155" t="str">
        <f>IFERROR(__xludf.DUMMYFUNCTION("""COMPUTED_VALUE"""),"ravi23aiml@cmrit.ac.in")</f>
        <v>ravi23aiml@cmrit.ac.in</v>
      </c>
      <c r="C614" s="174" t="str">
        <f>IFERROR(__xludf.DUMMYFUNCTION("""COMPUTED_VALUE"""),"RAMAKRISHNAN VINUSH")</f>
        <v>RAMAKRISHNAN VINUSH</v>
      </c>
      <c r="D614" s="155" t="str">
        <f>IFERROR(__xludf.DUMMYFUNCTION("""COMPUTED_VALUE"""),"1CR23AI096")</f>
        <v>1CR23AI096</v>
      </c>
      <c r="E614" s="563">
        <f>IFERROR(__xludf.DUMMYFUNCTION("""COMPUTED_VALUE"""),9.380787323E9)</f>
        <v>9380787323</v>
      </c>
      <c r="F614" s="155" t="str">
        <f>IFERROR(__xludf.DUMMYFUNCTION("""COMPUTED_VALUE"""),"AIML")</f>
        <v>AIML</v>
      </c>
      <c r="G614" s="158"/>
      <c r="H614" s="559">
        <f>IFERROR(__xludf.DUMMYFUNCTION("""COMPUTED_VALUE"""),81.0)</f>
        <v>81</v>
      </c>
      <c r="I614" s="559">
        <f>IFERROR(__xludf.DUMMYFUNCTION("""COMPUTED_VALUE"""),90.0)</f>
        <v>90</v>
      </c>
      <c r="J614" s="559">
        <f>IFERROR(__xludf.DUMMYFUNCTION("""COMPUTED_VALUE"""),48.0)</f>
        <v>48</v>
      </c>
      <c r="K614" s="559">
        <f>IFERROR(__xludf.DUMMYFUNCTION("""COMPUTED_VALUE"""),70.0)</f>
        <v>70</v>
      </c>
      <c r="L614" s="560">
        <f>IFERROR(__xludf.DUMMYFUNCTION("""COMPUTED_VALUE"""),16.0)</f>
        <v>16</v>
      </c>
      <c r="M614" s="561">
        <f>IFERROR(__xludf.DUMMYFUNCTION("""COMPUTED_VALUE"""),19.0)</f>
        <v>19</v>
      </c>
      <c r="N614" s="561">
        <f>IFERROR(__xludf.DUMMYFUNCTION("""COMPUTED_VALUE"""),0.0)</f>
        <v>0</v>
      </c>
      <c r="O614" s="560"/>
      <c r="P614" s="562">
        <f>IFERROR(__xludf.DUMMYFUNCTION("""COMPUTED_VALUE"""),77.0)</f>
        <v>77</v>
      </c>
      <c r="Q614" s="562">
        <f>IFERROR(__xludf.DUMMYFUNCTION("""COMPUTED_VALUE"""),50.0)</f>
        <v>50</v>
      </c>
      <c r="R614" s="562">
        <f>IFERROR(__xludf.DUMMYFUNCTION("""COMPUTED_VALUE"""),0.0)</f>
        <v>0</v>
      </c>
      <c r="S614" s="562"/>
      <c r="T614" s="217">
        <f>IFERROR(__xludf.DUMMYFUNCTION("""COMPUTED_VALUE"""),10.0)</f>
        <v>10</v>
      </c>
      <c r="U614" s="217">
        <f>IFERROR(__xludf.DUMMYFUNCTION("""COMPUTED_VALUE"""),19.0)</f>
        <v>19</v>
      </c>
      <c r="V614" s="217">
        <f>IFERROR(__xludf.DUMMYFUNCTION("""COMPUTED_VALUE"""),84.0)</f>
        <v>84</v>
      </c>
      <c r="W614" s="217">
        <f>IFERROR(__xludf.DUMMYFUNCTION("""COMPUTED_VALUE"""),88.0)</f>
        <v>88</v>
      </c>
      <c r="X614" s="217">
        <f>IFERROR(__xludf.DUMMYFUNCTION("""COMPUTED_VALUE"""),78.0)</f>
        <v>78</v>
      </c>
      <c r="Y614" s="217"/>
      <c r="Z614" s="217"/>
      <c r="AA614" s="481">
        <f>IFERROR(__xludf.DUMMYFUNCTION("""COMPUTED_VALUE"""),14.0)</f>
        <v>14</v>
      </c>
      <c r="AB614" s="481">
        <f>IFERROR(__xludf.DUMMYFUNCTION("""COMPUTED_VALUE"""),67.0)</f>
        <v>67</v>
      </c>
      <c r="AC614" s="481">
        <f>IFERROR(__xludf.DUMMYFUNCTION("""COMPUTED_VALUE"""),80.0)</f>
        <v>80</v>
      </c>
      <c r="AD614" s="481">
        <f>IFERROR(__xludf.DUMMYFUNCTION("""COMPUTED_VALUE"""),1.0)</f>
        <v>1</v>
      </c>
      <c r="AE614" s="481">
        <f>IFERROR(__xludf.DUMMYFUNCTION("""COMPUTED_VALUE"""),50.0)</f>
        <v>50</v>
      </c>
      <c r="AF614" s="481"/>
      <c r="AG614" s="481">
        <f>IFERROR(__xludf.DUMMYFUNCTION("""COMPUTED_VALUE"""),42.0)</f>
        <v>42</v>
      </c>
      <c r="AH614" s="481"/>
      <c r="AI614" s="158"/>
      <c r="AJ614" s="158"/>
      <c r="AK614" s="133">
        <f>IFERROR(__xludf.DUMMYFUNCTION("""COMPUTED_VALUE"""),2.0)</f>
        <v>2</v>
      </c>
      <c r="AL614" s="133">
        <f>IFERROR(__xludf.DUMMYFUNCTION("""COMPUTED_VALUE"""),0.0)</f>
        <v>0</v>
      </c>
      <c r="AM614" s="133">
        <f>IFERROR(__xludf.DUMMYFUNCTION("""COMPUTED_VALUE"""),3.0)</f>
        <v>3</v>
      </c>
      <c r="AN614" s="133" t="str">
        <f>IFERROR(__xludf.DUMMYFUNCTION("""COMPUTED_VALUE"""),"3")</f>
        <v>3</v>
      </c>
      <c r="AO614" s="133">
        <f>IFERROR(__xludf.DUMMYFUNCTION("""COMPUTED_VALUE"""),2.0)</f>
        <v>2</v>
      </c>
      <c r="AP614" s="155" t="s">
        <v>3780</v>
      </c>
    </row>
    <row r="615">
      <c r="A615" s="155">
        <f>IFERROR(__xludf.DUMMYFUNCTION("""COMPUTED_VALUE"""),94.0)</f>
        <v>94</v>
      </c>
      <c r="B615" s="155" t="str">
        <f>IFERROR(__xludf.DUMMYFUNCTION("""COMPUTED_VALUE"""),"rav23aiml@cmrit.ac.in")</f>
        <v>rav23aiml@cmrit.ac.in</v>
      </c>
      <c r="C615" s="174" t="str">
        <f>IFERROR(__xludf.DUMMYFUNCTION("""COMPUTED_VALUE"""),"RAMESH V")</f>
        <v>RAMESH V</v>
      </c>
      <c r="D615" s="155" t="str">
        <f>IFERROR(__xludf.DUMMYFUNCTION("""COMPUTED_VALUE"""),"1CR23AI097")</f>
        <v>1CR23AI097</v>
      </c>
      <c r="E615" s="563">
        <f>IFERROR(__xludf.DUMMYFUNCTION("""COMPUTED_VALUE"""),6.302647025E9)</f>
        <v>6302647025</v>
      </c>
      <c r="F615" s="155" t="str">
        <f>IFERROR(__xludf.DUMMYFUNCTION("""COMPUTED_VALUE"""),"AIML")</f>
        <v>AIML</v>
      </c>
      <c r="G615" s="158"/>
      <c r="H615" s="559">
        <f>IFERROR(__xludf.DUMMYFUNCTION("""COMPUTED_VALUE"""),77.0)</f>
        <v>77</v>
      </c>
      <c r="I615" s="559">
        <f>IFERROR(__xludf.DUMMYFUNCTION("""COMPUTED_VALUE"""),88.0)</f>
        <v>88</v>
      </c>
      <c r="J615" s="559">
        <f>IFERROR(__xludf.DUMMYFUNCTION("""COMPUTED_VALUE"""),74.0)</f>
        <v>74</v>
      </c>
      <c r="K615" s="559">
        <f>IFERROR(__xludf.DUMMYFUNCTION("""COMPUTED_VALUE"""),70.0)</f>
        <v>70</v>
      </c>
      <c r="L615" s="560">
        <f>IFERROR(__xludf.DUMMYFUNCTION("""COMPUTED_VALUE"""),55.0)</f>
        <v>55</v>
      </c>
      <c r="M615" s="561">
        <f>IFERROR(__xludf.DUMMYFUNCTION("""COMPUTED_VALUE"""),50.0)</f>
        <v>50</v>
      </c>
      <c r="N615" s="561">
        <f>IFERROR(__xludf.DUMMYFUNCTION("""COMPUTED_VALUE"""),62.0)</f>
        <v>62</v>
      </c>
      <c r="O615" s="560"/>
      <c r="P615" s="562">
        <f>IFERROR(__xludf.DUMMYFUNCTION("""COMPUTED_VALUE"""),79.0)</f>
        <v>79</v>
      </c>
      <c r="Q615" s="562">
        <f>IFERROR(__xludf.DUMMYFUNCTION("""COMPUTED_VALUE"""),87.0)</f>
        <v>87</v>
      </c>
      <c r="R615" s="562">
        <f>IFERROR(__xludf.DUMMYFUNCTION("""COMPUTED_VALUE"""),94.0)</f>
        <v>94</v>
      </c>
      <c r="S615" s="562"/>
      <c r="T615" s="217">
        <f>IFERROR(__xludf.DUMMYFUNCTION("""COMPUTED_VALUE"""),14.0)</f>
        <v>14</v>
      </c>
      <c r="U615" s="217">
        <f>IFERROR(__xludf.DUMMYFUNCTION("""COMPUTED_VALUE"""),22.0)</f>
        <v>22</v>
      </c>
      <c r="V615" s="217">
        <f>IFERROR(__xludf.DUMMYFUNCTION("""COMPUTED_VALUE"""),90.0)</f>
        <v>90</v>
      </c>
      <c r="W615" s="217">
        <f>IFERROR(__xludf.DUMMYFUNCTION("""COMPUTED_VALUE"""),86.0)</f>
        <v>86</v>
      </c>
      <c r="X615" s="217">
        <f>IFERROR(__xludf.DUMMYFUNCTION("""COMPUTED_VALUE"""),70.0)</f>
        <v>70</v>
      </c>
      <c r="Y615" s="217"/>
      <c r="Z615" s="217"/>
      <c r="AA615" s="481">
        <f>IFERROR(__xludf.DUMMYFUNCTION("""COMPUTED_VALUE"""),96.0)</f>
        <v>96</v>
      </c>
      <c r="AB615" s="481">
        <f>IFERROR(__xludf.DUMMYFUNCTION("""COMPUTED_VALUE"""),100.0)</f>
        <v>100</v>
      </c>
      <c r="AC615" s="481">
        <f>IFERROR(__xludf.DUMMYFUNCTION("""COMPUTED_VALUE"""),93.0)</f>
        <v>93</v>
      </c>
      <c r="AD615" s="481">
        <f>IFERROR(__xludf.DUMMYFUNCTION("""COMPUTED_VALUE"""),70.0)</f>
        <v>70</v>
      </c>
      <c r="AE615" s="481">
        <f>IFERROR(__xludf.DUMMYFUNCTION("""COMPUTED_VALUE"""),70.0)</f>
        <v>70</v>
      </c>
      <c r="AF615" s="481"/>
      <c r="AG615" s="481">
        <f>IFERROR(__xludf.DUMMYFUNCTION("""COMPUTED_VALUE"""),80.0)</f>
        <v>80</v>
      </c>
      <c r="AH615" s="481"/>
      <c r="AI615" s="158"/>
      <c r="AJ615" s="158"/>
      <c r="AK615" s="133">
        <f>IFERROR(__xludf.DUMMYFUNCTION("""COMPUTED_VALUE"""),4.0)</f>
        <v>4</v>
      </c>
      <c r="AL615" s="133">
        <f>IFERROR(__xludf.DUMMYFUNCTION("""COMPUTED_VALUE"""),3.0)</f>
        <v>3</v>
      </c>
      <c r="AM615" s="133">
        <f>IFERROR(__xludf.DUMMYFUNCTION("""COMPUTED_VALUE"""),3.0)</f>
        <v>3</v>
      </c>
      <c r="AN615" s="133" t="str">
        <f>IFERROR(__xludf.DUMMYFUNCTION("""COMPUTED_VALUE"""),"3.5")</f>
        <v>3.5</v>
      </c>
      <c r="AO615" s="133">
        <f>IFERROR(__xludf.DUMMYFUNCTION("""COMPUTED_VALUE"""),3.0)</f>
        <v>3</v>
      </c>
      <c r="AP615" s="155" t="s">
        <v>3780</v>
      </c>
    </row>
    <row r="616">
      <c r="A616" s="155">
        <f>IFERROR(__xludf.DUMMYFUNCTION("""COMPUTED_VALUE"""),95.0)</f>
        <v>95</v>
      </c>
      <c r="B616" s="155" t="str">
        <f>IFERROR(__xludf.DUMMYFUNCTION("""COMPUTED_VALUE"""),"rira23aiml@cmrit.ac.in")</f>
        <v>rira23aiml@cmrit.ac.in</v>
      </c>
      <c r="C616" s="174" t="str">
        <f>IFERROR(__xludf.DUMMYFUNCTION("""COMPUTED_VALUE"""),"Rishav Raj ")</f>
        <v>Rishav Raj </v>
      </c>
      <c r="D616" s="155" t="str">
        <f>IFERROR(__xludf.DUMMYFUNCTION("""COMPUTED_VALUE"""),"1CR23AI098")</f>
        <v>1CR23AI098</v>
      </c>
      <c r="E616" s="563">
        <f>IFERROR(__xludf.DUMMYFUNCTION("""COMPUTED_VALUE"""),7.273818999E9)</f>
        <v>7273818999</v>
      </c>
      <c r="F616" s="155" t="str">
        <f>IFERROR(__xludf.DUMMYFUNCTION("""COMPUTED_VALUE"""),"AIML")</f>
        <v>AIML</v>
      </c>
      <c r="G616" s="158"/>
      <c r="H616" s="559">
        <f>IFERROR(__xludf.DUMMYFUNCTION("""COMPUTED_VALUE"""),68.0)</f>
        <v>68</v>
      </c>
      <c r="I616" s="559">
        <f>IFERROR(__xludf.DUMMYFUNCTION("""COMPUTED_VALUE"""),78.0)</f>
        <v>78</v>
      </c>
      <c r="J616" s="559">
        <f>IFERROR(__xludf.DUMMYFUNCTION("""COMPUTED_VALUE"""),70.0)</f>
        <v>70</v>
      </c>
      <c r="K616" s="559">
        <f>IFERROR(__xludf.DUMMYFUNCTION("""COMPUTED_VALUE"""),48.0)</f>
        <v>48</v>
      </c>
      <c r="L616" s="560">
        <f>IFERROR(__xludf.DUMMYFUNCTION("""COMPUTED_VALUE"""),50.0)</f>
        <v>50</v>
      </c>
      <c r="M616" s="561">
        <f>IFERROR(__xludf.DUMMYFUNCTION("""COMPUTED_VALUE"""),50.0)</f>
        <v>50</v>
      </c>
      <c r="N616" s="561">
        <f>IFERROR(__xludf.DUMMYFUNCTION("""COMPUTED_VALUE"""),0.0)</f>
        <v>0</v>
      </c>
      <c r="O616" s="560"/>
      <c r="P616" s="562">
        <f>IFERROR(__xludf.DUMMYFUNCTION("""COMPUTED_VALUE"""),50.0)</f>
        <v>50</v>
      </c>
      <c r="Q616" s="562">
        <f>IFERROR(__xludf.DUMMYFUNCTION("""COMPUTED_VALUE"""),53.0)</f>
        <v>53</v>
      </c>
      <c r="R616" s="562">
        <f>IFERROR(__xludf.DUMMYFUNCTION("""COMPUTED_VALUE"""),50.0)</f>
        <v>50</v>
      </c>
      <c r="S616" s="562"/>
      <c r="T616" s="217">
        <f>IFERROR(__xludf.DUMMYFUNCTION("""COMPUTED_VALUE"""),19.0)</f>
        <v>19</v>
      </c>
      <c r="U616" s="217">
        <f>IFERROR(__xludf.DUMMYFUNCTION("""COMPUTED_VALUE"""),25.0)</f>
        <v>25</v>
      </c>
      <c r="V616" s="217">
        <f>IFERROR(__xludf.DUMMYFUNCTION("""COMPUTED_VALUE"""),94.0)</f>
        <v>94</v>
      </c>
      <c r="W616" s="217">
        <f>IFERROR(__xludf.DUMMYFUNCTION("""COMPUTED_VALUE"""),82.0)</f>
        <v>82</v>
      </c>
      <c r="X616" s="217">
        <f>IFERROR(__xludf.DUMMYFUNCTION("""COMPUTED_VALUE"""),76.0)</f>
        <v>76</v>
      </c>
      <c r="Y616" s="217"/>
      <c r="Z616" s="217"/>
      <c r="AA616" s="481">
        <f>IFERROR(__xludf.DUMMYFUNCTION("""COMPUTED_VALUE"""),50.0)</f>
        <v>50</v>
      </c>
      <c r="AB616" s="481">
        <f>IFERROR(__xludf.DUMMYFUNCTION("""COMPUTED_VALUE"""),96.0)</f>
        <v>96</v>
      </c>
      <c r="AC616" s="481">
        <f>IFERROR(__xludf.DUMMYFUNCTION("""COMPUTED_VALUE"""),20.0)</f>
        <v>20</v>
      </c>
      <c r="AD616" s="481">
        <f>IFERROR(__xludf.DUMMYFUNCTION("""COMPUTED_VALUE"""),80.0)</f>
        <v>80</v>
      </c>
      <c r="AE616" s="481">
        <f>IFERROR(__xludf.DUMMYFUNCTION("""COMPUTED_VALUE"""),10.0)</f>
        <v>10</v>
      </c>
      <c r="AF616" s="481"/>
      <c r="AG616" s="481">
        <f>IFERROR(__xludf.DUMMYFUNCTION("""COMPUTED_VALUE"""),59.0)</f>
        <v>59</v>
      </c>
      <c r="AH616" s="481"/>
      <c r="AI616" s="158"/>
      <c r="AJ616" s="158"/>
      <c r="AK616" s="133">
        <f>IFERROR(__xludf.DUMMYFUNCTION("""COMPUTED_VALUE"""),3.0)</f>
        <v>3</v>
      </c>
      <c r="AL616" s="133">
        <f>IFERROR(__xludf.DUMMYFUNCTION("""COMPUTED_VALUE"""),2.0)</f>
        <v>2</v>
      </c>
      <c r="AM616" s="133">
        <f>IFERROR(__xludf.DUMMYFUNCTION("""COMPUTED_VALUE"""),3.0)</f>
        <v>3</v>
      </c>
      <c r="AN616" s="133" t="str">
        <f>IFERROR(__xludf.DUMMYFUNCTION("""COMPUTED_VALUE"""),"3")</f>
        <v>3</v>
      </c>
      <c r="AO616" s="133">
        <f>IFERROR(__xludf.DUMMYFUNCTION("""COMPUTED_VALUE"""),3.0)</f>
        <v>3</v>
      </c>
      <c r="AP616" s="155" t="s">
        <v>3780</v>
      </c>
    </row>
    <row r="617">
      <c r="A617" s="155">
        <f>IFERROR(__xludf.DUMMYFUNCTION("""COMPUTED_VALUE"""),96.0)</f>
        <v>96</v>
      </c>
      <c r="B617" s="155" t="str">
        <f>IFERROR(__xludf.DUMMYFUNCTION("""COMPUTED_VALUE"""),"rika23aiml@cmrit.ac.in")</f>
        <v>rika23aiml@cmrit.ac.in</v>
      </c>
      <c r="C617" s="174" t="str">
        <f>IFERROR(__xludf.DUMMYFUNCTION("""COMPUTED_VALUE"""),"Rishi katkam")</f>
        <v>Rishi katkam</v>
      </c>
      <c r="D617" s="155" t="str">
        <f>IFERROR(__xludf.DUMMYFUNCTION("""COMPUTED_VALUE"""),"1CR23AI099")</f>
        <v>1CR23AI099</v>
      </c>
      <c r="E617" s="563">
        <f>IFERROR(__xludf.DUMMYFUNCTION("""COMPUTED_VALUE"""),9.38017025E9)</f>
        <v>9380170250</v>
      </c>
      <c r="F617" s="155" t="str">
        <f>IFERROR(__xludf.DUMMYFUNCTION("""COMPUTED_VALUE"""),"AIML")</f>
        <v>AIML</v>
      </c>
      <c r="G617" s="158"/>
      <c r="H617" s="559">
        <f>IFERROR(__xludf.DUMMYFUNCTION("""COMPUTED_VALUE"""),74.0)</f>
        <v>74</v>
      </c>
      <c r="I617" s="559">
        <f>IFERROR(__xludf.DUMMYFUNCTION("""COMPUTED_VALUE"""),89.0)</f>
        <v>89</v>
      </c>
      <c r="J617" s="559">
        <f>IFERROR(__xludf.DUMMYFUNCTION("""COMPUTED_VALUE"""),70.0)</f>
        <v>70</v>
      </c>
      <c r="K617" s="559">
        <f>IFERROR(__xludf.DUMMYFUNCTION("""COMPUTED_VALUE"""),70.0)</f>
        <v>70</v>
      </c>
      <c r="L617" s="560">
        <f>IFERROR(__xludf.DUMMYFUNCTION("""COMPUTED_VALUE"""),50.0)</f>
        <v>50</v>
      </c>
      <c r="M617" s="561">
        <f>IFERROR(__xludf.DUMMYFUNCTION("""COMPUTED_VALUE"""),50.0)</f>
        <v>50</v>
      </c>
      <c r="N617" s="561">
        <f>IFERROR(__xludf.DUMMYFUNCTION("""COMPUTED_VALUE"""),50.0)</f>
        <v>50</v>
      </c>
      <c r="O617" s="560"/>
      <c r="P617" s="562">
        <f>IFERROR(__xludf.DUMMYFUNCTION("""COMPUTED_VALUE"""),84.0)</f>
        <v>84</v>
      </c>
      <c r="Q617" s="562">
        <f>IFERROR(__xludf.DUMMYFUNCTION("""COMPUTED_VALUE"""),53.0)</f>
        <v>53</v>
      </c>
      <c r="R617" s="562">
        <f>IFERROR(__xludf.DUMMYFUNCTION("""COMPUTED_VALUE"""),50.0)</f>
        <v>50</v>
      </c>
      <c r="S617" s="562"/>
      <c r="T617" s="217">
        <f>IFERROR(__xludf.DUMMYFUNCTION("""COMPUTED_VALUE"""),11.0)</f>
        <v>11</v>
      </c>
      <c r="U617" s="217">
        <f>IFERROR(__xludf.DUMMYFUNCTION("""COMPUTED_VALUE"""),21.0)</f>
        <v>21</v>
      </c>
      <c r="V617" s="217">
        <f>IFERROR(__xludf.DUMMYFUNCTION("""COMPUTED_VALUE"""),94.0)</f>
        <v>94</v>
      </c>
      <c r="W617" s="217">
        <f>IFERROR(__xludf.DUMMYFUNCTION("""COMPUTED_VALUE"""),86.0)</f>
        <v>86</v>
      </c>
      <c r="X617" s="217">
        <f>IFERROR(__xludf.DUMMYFUNCTION("""COMPUTED_VALUE"""),80.0)</f>
        <v>80</v>
      </c>
      <c r="Y617" s="217"/>
      <c r="Z617" s="217"/>
      <c r="AA617" s="481">
        <f>IFERROR(__xludf.DUMMYFUNCTION("""COMPUTED_VALUE"""),38.0)</f>
        <v>38</v>
      </c>
      <c r="AB617" s="481">
        <f>IFERROR(__xludf.DUMMYFUNCTION("""COMPUTED_VALUE"""),67.0)</f>
        <v>67</v>
      </c>
      <c r="AC617" s="481">
        <f>IFERROR(__xludf.DUMMYFUNCTION("""COMPUTED_VALUE"""),100.0)</f>
        <v>100</v>
      </c>
      <c r="AD617" s="481">
        <f>IFERROR(__xludf.DUMMYFUNCTION("""COMPUTED_VALUE"""),100.0)</f>
        <v>100</v>
      </c>
      <c r="AE617" s="481">
        <f>IFERROR(__xludf.DUMMYFUNCTION("""COMPUTED_VALUE"""),80.0)</f>
        <v>80</v>
      </c>
      <c r="AF617" s="481"/>
      <c r="AG617" s="481">
        <f>IFERROR(__xludf.DUMMYFUNCTION("""COMPUTED_VALUE"""),64.0)</f>
        <v>64</v>
      </c>
      <c r="AH617" s="481"/>
      <c r="AI617" s="158"/>
      <c r="AJ617" s="158"/>
      <c r="AK617" s="133">
        <f>IFERROR(__xludf.DUMMYFUNCTION("""COMPUTED_VALUE"""),4.0)</f>
        <v>4</v>
      </c>
      <c r="AL617" s="133">
        <f>IFERROR(__xludf.DUMMYFUNCTION("""COMPUTED_VALUE"""),3.0)</f>
        <v>3</v>
      </c>
      <c r="AM617" s="133">
        <f>IFERROR(__xludf.DUMMYFUNCTION("""COMPUTED_VALUE"""),3.0)</f>
        <v>3</v>
      </c>
      <c r="AN617" s="133" t="str">
        <f>IFERROR(__xludf.DUMMYFUNCTION("""COMPUTED_VALUE"""),"3.5")</f>
        <v>3.5</v>
      </c>
      <c r="AO617" s="133">
        <f>IFERROR(__xludf.DUMMYFUNCTION("""COMPUTED_VALUE"""),3.0)</f>
        <v>3</v>
      </c>
      <c r="AP617" s="155" t="s">
        <v>3780</v>
      </c>
    </row>
    <row r="618">
      <c r="A618" s="155">
        <f>IFERROR(__xludf.DUMMYFUNCTION("""COMPUTED_VALUE"""),97.0)</f>
        <v>97</v>
      </c>
      <c r="B618" s="155" t="str">
        <f>IFERROR(__xludf.DUMMYFUNCTION("""COMPUTED_VALUE"""),"rona23aiml@cmrit.ac.in")</f>
        <v>rona23aiml@cmrit.ac.in</v>
      </c>
      <c r="C618" s="174" t="str">
        <f>IFERROR(__xludf.DUMMYFUNCTION("""COMPUTED_VALUE"""),"Rohana N Acharya")</f>
        <v>Rohana N Acharya</v>
      </c>
      <c r="D618" s="155" t="str">
        <f>IFERROR(__xludf.DUMMYFUNCTION("""COMPUTED_VALUE"""),"1CR23AI100")</f>
        <v>1CR23AI100</v>
      </c>
      <c r="E618" s="563">
        <f>IFERROR(__xludf.DUMMYFUNCTION("""COMPUTED_VALUE"""),8.951965801E9)</f>
        <v>8951965801</v>
      </c>
      <c r="F618" s="155" t="str">
        <f>IFERROR(__xludf.DUMMYFUNCTION("""COMPUTED_VALUE"""),"AIML")</f>
        <v>AIML</v>
      </c>
      <c r="G618" s="158"/>
      <c r="H618" s="559">
        <f>IFERROR(__xludf.DUMMYFUNCTION("""COMPUTED_VALUE"""),76.0)</f>
        <v>76</v>
      </c>
      <c r="I618" s="559">
        <f>IFERROR(__xludf.DUMMYFUNCTION("""COMPUTED_VALUE"""),81.0)</f>
        <v>81</v>
      </c>
      <c r="J618" s="559">
        <f>IFERROR(__xludf.DUMMYFUNCTION("""COMPUTED_VALUE"""),70.0)</f>
        <v>70</v>
      </c>
      <c r="K618" s="559">
        <f>IFERROR(__xludf.DUMMYFUNCTION("""COMPUTED_VALUE"""),72.0)</f>
        <v>72</v>
      </c>
      <c r="L618" s="560">
        <f>IFERROR(__xludf.DUMMYFUNCTION("""COMPUTED_VALUE"""),16.0)</f>
        <v>16</v>
      </c>
      <c r="M618" s="561">
        <f>IFERROR(__xludf.DUMMYFUNCTION("""COMPUTED_VALUE"""),26.0)</f>
        <v>26</v>
      </c>
      <c r="N618" s="561">
        <f>IFERROR(__xludf.DUMMYFUNCTION("""COMPUTED_VALUE"""),13.0)</f>
        <v>13</v>
      </c>
      <c r="O618" s="560"/>
      <c r="P618" s="562">
        <f>IFERROR(__xludf.DUMMYFUNCTION("""COMPUTED_VALUE"""),80.0)</f>
        <v>80</v>
      </c>
      <c r="Q618" s="562">
        <f>IFERROR(__xludf.DUMMYFUNCTION("""COMPUTED_VALUE"""),50.0)</f>
        <v>50</v>
      </c>
      <c r="R618" s="562">
        <f>IFERROR(__xludf.DUMMYFUNCTION("""COMPUTED_VALUE"""),82.0)</f>
        <v>82</v>
      </c>
      <c r="S618" s="562"/>
      <c r="T618" s="217">
        <f>IFERROR(__xludf.DUMMYFUNCTION("""COMPUTED_VALUE"""),12.0)</f>
        <v>12</v>
      </c>
      <c r="U618" s="217">
        <f>IFERROR(__xludf.DUMMYFUNCTION("""COMPUTED_VALUE"""),23.0)</f>
        <v>23</v>
      </c>
      <c r="V618" s="217">
        <f>IFERROR(__xludf.DUMMYFUNCTION("""COMPUTED_VALUE"""),90.0)</f>
        <v>90</v>
      </c>
      <c r="W618" s="217">
        <f>IFERROR(__xludf.DUMMYFUNCTION("""COMPUTED_VALUE"""),84.0)</f>
        <v>84</v>
      </c>
      <c r="X618" s="217">
        <f>IFERROR(__xludf.DUMMYFUNCTION("""COMPUTED_VALUE"""),76.0)</f>
        <v>76</v>
      </c>
      <c r="Y618" s="217"/>
      <c r="Z618" s="217"/>
      <c r="AA618" s="481">
        <f>IFERROR(__xludf.DUMMYFUNCTION("""COMPUTED_VALUE"""),46.0)</f>
        <v>46</v>
      </c>
      <c r="AB618" s="481">
        <f>IFERROR(__xludf.DUMMYFUNCTION("""COMPUTED_VALUE"""),87.0)</f>
        <v>87</v>
      </c>
      <c r="AC618" s="481">
        <f>IFERROR(__xludf.DUMMYFUNCTION("""COMPUTED_VALUE"""),58.0)</f>
        <v>58</v>
      </c>
      <c r="AD618" s="481">
        <f>IFERROR(__xludf.DUMMYFUNCTION("""COMPUTED_VALUE"""),100.0)</f>
        <v>100</v>
      </c>
      <c r="AE618" s="481">
        <f>IFERROR(__xludf.DUMMYFUNCTION("""COMPUTED_VALUE"""),70.0)</f>
        <v>70</v>
      </c>
      <c r="AF618" s="481"/>
      <c r="AG618" s="481">
        <f>IFERROR(__xludf.DUMMYFUNCTION("""COMPUTED_VALUE"""),73.0)</f>
        <v>73</v>
      </c>
      <c r="AH618" s="481"/>
      <c r="AI618" s="158"/>
      <c r="AJ618" s="158"/>
      <c r="AK618" s="133">
        <f>IFERROR(__xludf.DUMMYFUNCTION("""COMPUTED_VALUE"""),4.0)</f>
        <v>4</v>
      </c>
      <c r="AL618" s="133">
        <f>IFERROR(__xludf.DUMMYFUNCTION("""COMPUTED_VALUE"""),0.0)</f>
        <v>0</v>
      </c>
      <c r="AM618" s="133">
        <f>IFERROR(__xludf.DUMMYFUNCTION("""COMPUTED_VALUE"""),3.0)</f>
        <v>3</v>
      </c>
      <c r="AN618" s="133" t="str">
        <f>IFERROR(__xludf.DUMMYFUNCTION("""COMPUTED_VALUE"""),"3.5")</f>
        <v>3.5</v>
      </c>
      <c r="AO618" s="133">
        <f>IFERROR(__xludf.DUMMYFUNCTION("""COMPUTED_VALUE"""),3.0)</f>
        <v>3</v>
      </c>
      <c r="AP618" s="155" t="s">
        <v>3780</v>
      </c>
    </row>
    <row r="619">
      <c r="A619" s="155">
        <f>IFERROR(__xludf.DUMMYFUNCTION("""COMPUTED_VALUE"""),98.0)</f>
        <v>98</v>
      </c>
      <c r="B619" s="155" t="str">
        <f>IFERROR(__xludf.DUMMYFUNCTION("""COMPUTED_VALUE"""),"sak23aiml@cmrit.ac.in")</f>
        <v>sak23aiml@cmrit.ac.in</v>
      </c>
      <c r="C619" s="174" t="str">
        <f>IFERROR(__xludf.DUMMYFUNCTION("""COMPUTED_VALUE"""),"S AKSHITA SAI")</f>
        <v>S AKSHITA SAI</v>
      </c>
      <c r="D619" s="155" t="str">
        <f>IFERROR(__xludf.DUMMYFUNCTION("""COMPUTED_VALUE"""),"1CR23AI101")</f>
        <v>1CR23AI101</v>
      </c>
      <c r="E619" s="563">
        <f>IFERROR(__xludf.DUMMYFUNCTION("""COMPUTED_VALUE"""),9.535792085E9)</f>
        <v>9535792085</v>
      </c>
      <c r="F619" s="155" t="str">
        <f>IFERROR(__xludf.DUMMYFUNCTION("""COMPUTED_VALUE"""),"AIML")</f>
        <v>AIML</v>
      </c>
      <c r="G619" s="158"/>
      <c r="H619" s="559">
        <f>IFERROR(__xludf.DUMMYFUNCTION("""COMPUTED_VALUE"""),70.0)</f>
        <v>70</v>
      </c>
      <c r="I619" s="559">
        <f>IFERROR(__xludf.DUMMYFUNCTION("""COMPUTED_VALUE"""),86.0)</f>
        <v>86</v>
      </c>
      <c r="J619" s="559">
        <f>IFERROR(__xludf.DUMMYFUNCTION("""COMPUTED_VALUE"""),70.0)</f>
        <v>70</v>
      </c>
      <c r="K619" s="559">
        <f>IFERROR(__xludf.DUMMYFUNCTION("""COMPUTED_VALUE"""),70.0)</f>
        <v>70</v>
      </c>
      <c r="L619" s="560">
        <f>IFERROR(__xludf.DUMMYFUNCTION("""COMPUTED_VALUE"""),50.0)</f>
        <v>50</v>
      </c>
      <c r="M619" s="561">
        <f>IFERROR(__xludf.DUMMYFUNCTION("""COMPUTED_VALUE"""),23.0)</f>
        <v>23</v>
      </c>
      <c r="N619" s="561">
        <f>IFERROR(__xludf.DUMMYFUNCTION("""COMPUTED_VALUE"""),29.0)</f>
        <v>29</v>
      </c>
      <c r="O619" s="560"/>
      <c r="P619" s="562">
        <f>IFERROR(__xludf.DUMMYFUNCTION("""COMPUTED_VALUE"""),81.0)</f>
        <v>81</v>
      </c>
      <c r="Q619" s="562">
        <f>IFERROR(__xludf.DUMMYFUNCTION("""COMPUTED_VALUE"""),71.0)</f>
        <v>71</v>
      </c>
      <c r="R619" s="562">
        <f>IFERROR(__xludf.DUMMYFUNCTION("""COMPUTED_VALUE"""),76.0)</f>
        <v>76</v>
      </c>
      <c r="S619" s="562"/>
      <c r="T619" s="217">
        <f>IFERROR(__xludf.DUMMYFUNCTION("""COMPUTED_VALUE"""),17.0)</f>
        <v>17</v>
      </c>
      <c r="U619" s="217">
        <f>IFERROR(__xludf.DUMMYFUNCTION("""COMPUTED_VALUE"""),22.0)</f>
        <v>22</v>
      </c>
      <c r="V619" s="217">
        <f>IFERROR(__xludf.DUMMYFUNCTION("""COMPUTED_VALUE"""),92.0)</f>
        <v>92</v>
      </c>
      <c r="W619" s="217">
        <f>IFERROR(__xludf.DUMMYFUNCTION("""COMPUTED_VALUE"""),78.0)</f>
        <v>78</v>
      </c>
      <c r="X619" s="217">
        <f>IFERROR(__xludf.DUMMYFUNCTION("""COMPUTED_VALUE"""),74.0)</f>
        <v>74</v>
      </c>
      <c r="Y619" s="217"/>
      <c r="Z619" s="217"/>
      <c r="AA619" s="481">
        <f>IFERROR(__xludf.DUMMYFUNCTION("""COMPUTED_VALUE"""),12.0)</f>
        <v>12</v>
      </c>
      <c r="AB619" s="481">
        <f>IFERROR(__xludf.DUMMYFUNCTION("""COMPUTED_VALUE"""),98.0)</f>
        <v>98</v>
      </c>
      <c r="AC619" s="481">
        <f>IFERROR(__xludf.DUMMYFUNCTION("""COMPUTED_VALUE"""),7.0)</f>
        <v>7</v>
      </c>
      <c r="AD619" s="481">
        <f>IFERROR(__xludf.DUMMYFUNCTION("""COMPUTED_VALUE"""),62.0)</f>
        <v>62</v>
      </c>
      <c r="AE619" s="481">
        <f>IFERROR(__xludf.DUMMYFUNCTION("""COMPUTED_VALUE"""),23.0)</f>
        <v>23</v>
      </c>
      <c r="AF619" s="481"/>
      <c r="AG619" s="481">
        <f>IFERROR(__xludf.DUMMYFUNCTION("""COMPUTED_VALUE"""),73.0)</f>
        <v>73</v>
      </c>
      <c r="AH619" s="481"/>
      <c r="AI619" s="158"/>
      <c r="AJ619" s="158"/>
      <c r="AK619" s="133">
        <f>IFERROR(__xludf.DUMMYFUNCTION("""COMPUTED_VALUE"""),4.0)</f>
        <v>4</v>
      </c>
      <c r="AL619" s="133">
        <f>IFERROR(__xludf.DUMMYFUNCTION("""COMPUTED_VALUE"""),1.0)</f>
        <v>1</v>
      </c>
      <c r="AM619" s="133">
        <f>IFERROR(__xludf.DUMMYFUNCTION("""COMPUTED_VALUE"""),3.0)</f>
        <v>3</v>
      </c>
      <c r="AN619" s="133" t="str">
        <f>IFERROR(__xludf.DUMMYFUNCTION("""COMPUTED_VALUE"""),"3")</f>
        <v>3</v>
      </c>
      <c r="AO619" s="133">
        <f>IFERROR(__xludf.DUMMYFUNCTION("""COMPUTED_VALUE"""),3.0)</f>
        <v>3</v>
      </c>
      <c r="AP619" s="155" t="s">
        <v>3780</v>
      </c>
    </row>
    <row r="620">
      <c r="A620" s="155">
        <f>IFERROR(__xludf.DUMMYFUNCTION("""COMPUTED_VALUE"""),99.0)</f>
        <v>99</v>
      </c>
      <c r="B620" s="155" t="str">
        <f>IFERROR(__xludf.DUMMYFUNCTION("""COMPUTED_VALUE"""),"sas23aiml@cmrit.ac.in")</f>
        <v>sas23aiml@cmrit.ac.in</v>
      </c>
      <c r="C620" s="174" t="str">
        <f>IFERROR(__xludf.DUMMYFUNCTION("""COMPUTED_VALUE"""),"S Sanvi ")</f>
        <v>S Sanvi </v>
      </c>
      <c r="D620" s="155" t="str">
        <f>IFERROR(__xludf.DUMMYFUNCTION("""COMPUTED_VALUE"""),"1CR23AI103")</f>
        <v>1CR23AI103</v>
      </c>
      <c r="E620" s="563">
        <f>IFERROR(__xludf.DUMMYFUNCTION("""COMPUTED_VALUE"""),8.217560381E9)</f>
        <v>8217560381</v>
      </c>
      <c r="F620" s="155" t="str">
        <f>IFERROR(__xludf.DUMMYFUNCTION("""COMPUTED_VALUE"""),"AIML")</f>
        <v>AIML</v>
      </c>
      <c r="G620" s="158"/>
      <c r="H620" s="559">
        <f>IFERROR(__xludf.DUMMYFUNCTION("""COMPUTED_VALUE"""),80.0)</f>
        <v>80</v>
      </c>
      <c r="I620" s="559">
        <f>IFERROR(__xludf.DUMMYFUNCTION("""COMPUTED_VALUE"""),83.0)</f>
        <v>83</v>
      </c>
      <c r="J620" s="559">
        <f>IFERROR(__xludf.DUMMYFUNCTION("""COMPUTED_VALUE"""),80.0)</f>
        <v>80</v>
      </c>
      <c r="K620" s="559">
        <f>IFERROR(__xludf.DUMMYFUNCTION("""COMPUTED_VALUE"""),70.0)</f>
        <v>70</v>
      </c>
      <c r="L620" s="560">
        <f>IFERROR(__xludf.DUMMYFUNCTION("""COMPUTED_VALUE"""),50.0)</f>
        <v>50</v>
      </c>
      <c r="M620" s="561">
        <f>IFERROR(__xludf.DUMMYFUNCTION("""COMPUTED_VALUE"""),50.0)</f>
        <v>50</v>
      </c>
      <c r="N620" s="561">
        <f>IFERROR(__xludf.DUMMYFUNCTION("""COMPUTED_VALUE"""),50.0)</f>
        <v>50</v>
      </c>
      <c r="O620" s="560"/>
      <c r="P620" s="562">
        <f>IFERROR(__xludf.DUMMYFUNCTION("""COMPUTED_VALUE"""),81.0)</f>
        <v>81</v>
      </c>
      <c r="Q620" s="562">
        <f>IFERROR(__xludf.DUMMYFUNCTION("""COMPUTED_VALUE"""),87.0)</f>
        <v>87</v>
      </c>
      <c r="R620" s="562">
        <f>IFERROR(__xludf.DUMMYFUNCTION("""COMPUTED_VALUE"""),94.0)</f>
        <v>94</v>
      </c>
      <c r="S620" s="562"/>
      <c r="T620" s="217">
        <f>IFERROR(__xludf.DUMMYFUNCTION("""COMPUTED_VALUE"""),12.0)</f>
        <v>12</v>
      </c>
      <c r="U620" s="217">
        <f>IFERROR(__xludf.DUMMYFUNCTION("""COMPUTED_VALUE"""),21.0)</f>
        <v>21</v>
      </c>
      <c r="V620" s="217">
        <f>IFERROR(__xludf.DUMMYFUNCTION("""COMPUTED_VALUE"""),92.0)</f>
        <v>92</v>
      </c>
      <c r="W620" s="217">
        <f>IFERROR(__xludf.DUMMYFUNCTION("""COMPUTED_VALUE"""),86.0)</f>
        <v>86</v>
      </c>
      <c r="X620" s="217">
        <f>IFERROR(__xludf.DUMMYFUNCTION("""COMPUTED_VALUE"""),76.0)</f>
        <v>76</v>
      </c>
      <c r="Y620" s="217"/>
      <c r="Z620" s="217"/>
      <c r="AA620" s="481">
        <f>IFERROR(__xludf.DUMMYFUNCTION("""COMPUTED_VALUE"""),60.0)</f>
        <v>60</v>
      </c>
      <c r="AB620" s="481">
        <f>IFERROR(__xludf.DUMMYFUNCTION("""COMPUTED_VALUE"""),85.0)</f>
        <v>85</v>
      </c>
      <c r="AC620" s="481">
        <f>IFERROR(__xludf.DUMMYFUNCTION("""COMPUTED_VALUE"""),80.0)</f>
        <v>80</v>
      </c>
      <c r="AD620" s="481">
        <f>IFERROR(__xludf.DUMMYFUNCTION("""COMPUTED_VALUE"""),80.0)</f>
        <v>80</v>
      </c>
      <c r="AE620" s="481">
        <f>IFERROR(__xludf.DUMMYFUNCTION("""COMPUTED_VALUE"""),76.0)</f>
        <v>76</v>
      </c>
      <c r="AF620" s="481"/>
      <c r="AG620" s="481">
        <f>IFERROR(__xludf.DUMMYFUNCTION("""COMPUTED_VALUE"""),95.0)</f>
        <v>95</v>
      </c>
      <c r="AH620" s="481"/>
      <c r="AI620" s="158"/>
      <c r="AJ620" s="158"/>
      <c r="AK620" s="133">
        <f>IFERROR(__xludf.DUMMYFUNCTION("""COMPUTED_VALUE"""),4.0)</f>
        <v>4</v>
      </c>
      <c r="AL620" s="133">
        <f>IFERROR(__xludf.DUMMYFUNCTION("""COMPUTED_VALUE"""),3.0)</f>
        <v>3</v>
      </c>
      <c r="AM620" s="133">
        <f>IFERROR(__xludf.DUMMYFUNCTION("""COMPUTED_VALUE"""),3.0)</f>
        <v>3</v>
      </c>
      <c r="AN620" s="133" t="str">
        <f>IFERROR(__xludf.DUMMYFUNCTION("""COMPUTED_VALUE"""),"3.5")</f>
        <v>3.5</v>
      </c>
      <c r="AO620" s="133">
        <f>IFERROR(__xludf.DUMMYFUNCTION("""COMPUTED_VALUE"""),3.0)</f>
        <v>3</v>
      </c>
      <c r="AP620" s="155" t="s">
        <v>3780</v>
      </c>
    </row>
    <row r="621">
      <c r="A621" s="155">
        <f>IFERROR(__xludf.DUMMYFUNCTION("""COMPUTED_VALUE"""),100.0)</f>
        <v>100</v>
      </c>
      <c r="B621" s="155" t="str">
        <f>IFERROR(__xludf.DUMMYFUNCTION("""COMPUTED_VALUE"""),"svn23aiml@cmrit.ac.in")</f>
        <v>svn23aiml@cmrit.ac.in</v>
      </c>
      <c r="C621" s="174" t="str">
        <f>IFERROR(__xludf.DUMMYFUNCTION("""COMPUTED_VALUE"""),"S V NAYANA ")</f>
        <v>S V NAYANA </v>
      </c>
      <c r="D621" s="155" t="str">
        <f>IFERROR(__xludf.DUMMYFUNCTION("""COMPUTED_VALUE"""),"1CR23AI104")</f>
        <v>1CR23AI104</v>
      </c>
      <c r="E621" s="563">
        <f>IFERROR(__xludf.DUMMYFUNCTION("""COMPUTED_VALUE"""),6.366268327E9)</f>
        <v>6366268327</v>
      </c>
      <c r="F621" s="155" t="str">
        <f>IFERROR(__xludf.DUMMYFUNCTION("""COMPUTED_VALUE"""),"AIML")</f>
        <v>AIML</v>
      </c>
      <c r="G621" s="158"/>
      <c r="H621" s="559">
        <f>IFERROR(__xludf.DUMMYFUNCTION("""COMPUTED_VALUE"""),70.0)</f>
        <v>70</v>
      </c>
      <c r="I621" s="559">
        <f>IFERROR(__xludf.DUMMYFUNCTION("""COMPUTED_VALUE"""),71.0)</f>
        <v>71</v>
      </c>
      <c r="J621" s="559">
        <f>IFERROR(__xludf.DUMMYFUNCTION("""COMPUTED_VALUE"""),71.0)</f>
        <v>71</v>
      </c>
      <c r="K621" s="559">
        <f>IFERROR(__xludf.DUMMYFUNCTION("""COMPUTED_VALUE"""),72.0)</f>
        <v>72</v>
      </c>
      <c r="L621" s="560">
        <f>IFERROR(__xludf.DUMMYFUNCTION("""COMPUTED_VALUE"""),50.0)</f>
        <v>50</v>
      </c>
      <c r="M621" s="561">
        <f>IFERROR(__xludf.DUMMYFUNCTION("""COMPUTED_VALUE"""),50.0)</f>
        <v>50</v>
      </c>
      <c r="N621" s="561">
        <f>IFERROR(__xludf.DUMMYFUNCTION("""COMPUTED_VALUE"""),50.0)</f>
        <v>50</v>
      </c>
      <c r="O621" s="560"/>
      <c r="P621" s="562">
        <f>IFERROR(__xludf.DUMMYFUNCTION("""COMPUTED_VALUE"""),85.0)</f>
        <v>85</v>
      </c>
      <c r="Q621" s="562">
        <f>IFERROR(__xludf.DUMMYFUNCTION("""COMPUTED_VALUE"""),67.0)</f>
        <v>67</v>
      </c>
      <c r="R621" s="562">
        <f>IFERROR(__xludf.DUMMYFUNCTION("""COMPUTED_VALUE"""),72.0)</f>
        <v>72</v>
      </c>
      <c r="S621" s="562"/>
      <c r="T621" s="217">
        <f>IFERROR(__xludf.DUMMYFUNCTION("""COMPUTED_VALUE"""),13.0)</f>
        <v>13</v>
      </c>
      <c r="U621" s="217">
        <f>IFERROR(__xludf.DUMMYFUNCTION("""COMPUTED_VALUE"""),23.0)</f>
        <v>23</v>
      </c>
      <c r="V621" s="217">
        <f>IFERROR(__xludf.DUMMYFUNCTION("""COMPUTED_VALUE"""),84.0)</f>
        <v>84</v>
      </c>
      <c r="W621" s="217">
        <f>IFERROR(__xludf.DUMMYFUNCTION("""COMPUTED_VALUE"""),84.0)</f>
        <v>84</v>
      </c>
      <c r="X621" s="217">
        <f>IFERROR(__xludf.DUMMYFUNCTION("""COMPUTED_VALUE"""),72.0)</f>
        <v>72</v>
      </c>
      <c r="Y621" s="217"/>
      <c r="Z621" s="217"/>
      <c r="AA621" s="481">
        <f>IFERROR(__xludf.DUMMYFUNCTION("""COMPUTED_VALUE"""),9.0)</f>
        <v>9</v>
      </c>
      <c r="AB621" s="481">
        <f>IFERROR(__xludf.DUMMYFUNCTION("""COMPUTED_VALUE"""),93.0)</f>
        <v>93</v>
      </c>
      <c r="AC621" s="481">
        <f>IFERROR(__xludf.DUMMYFUNCTION("""COMPUTED_VALUE"""),28.0)</f>
        <v>28</v>
      </c>
      <c r="AD621" s="481">
        <f>IFERROR(__xludf.DUMMYFUNCTION("""COMPUTED_VALUE"""),73.0)</f>
        <v>73</v>
      </c>
      <c r="AE621" s="481">
        <f>IFERROR(__xludf.DUMMYFUNCTION("""COMPUTED_VALUE"""),21.0)</f>
        <v>21</v>
      </c>
      <c r="AF621" s="481"/>
      <c r="AG621" s="481">
        <f>IFERROR(__xludf.DUMMYFUNCTION("""COMPUTED_VALUE"""),78.0)</f>
        <v>78</v>
      </c>
      <c r="AH621" s="481"/>
      <c r="AI621" s="158"/>
      <c r="AJ621" s="158"/>
      <c r="AK621" s="133">
        <f>IFERROR(__xludf.DUMMYFUNCTION("""COMPUTED_VALUE"""),4.0)</f>
        <v>4</v>
      </c>
      <c r="AL621" s="133">
        <f>IFERROR(__xludf.DUMMYFUNCTION("""COMPUTED_VALUE"""),3.0)</f>
        <v>3</v>
      </c>
      <c r="AM621" s="133">
        <f>IFERROR(__xludf.DUMMYFUNCTION("""COMPUTED_VALUE"""),3.0)</f>
        <v>3</v>
      </c>
      <c r="AN621" s="133" t="str">
        <f>IFERROR(__xludf.DUMMYFUNCTION("""COMPUTED_VALUE"""),"3")</f>
        <v>3</v>
      </c>
      <c r="AO621" s="133">
        <f>IFERROR(__xludf.DUMMYFUNCTION("""COMPUTED_VALUE"""),3.0)</f>
        <v>3</v>
      </c>
      <c r="AP621" s="155" t="s">
        <v>3780</v>
      </c>
    </row>
    <row r="622">
      <c r="A622" s="155">
        <f>IFERROR(__xludf.DUMMYFUNCTION("""COMPUTED_VALUE"""),101.0)</f>
        <v>101</v>
      </c>
      <c r="B622" s="155" t="str">
        <f>IFERROR(__xludf.DUMMYFUNCTION("""COMPUTED_VALUE"""),"sama23aiml@cmrit.ac.in")</f>
        <v>sama23aiml@cmrit.ac.in</v>
      </c>
      <c r="C622" s="174" t="str">
        <f>IFERROR(__xludf.DUMMYFUNCTION("""COMPUTED_VALUE"""),"SAFA MARIYAH")</f>
        <v>SAFA MARIYAH</v>
      </c>
      <c r="D622" s="155" t="str">
        <f>IFERROR(__xludf.DUMMYFUNCTION("""COMPUTED_VALUE"""),"1CR23AI105")</f>
        <v>1CR23AI105</v>
      </c>
      <c r="E622" s="563">
        <f>IFERROR(__xludf.DUMMYFUNCTION("""COMPUTED_VALUE"""),8.660600503E9)</f>
        <v>8660600503</v>
      </c>
      <c r="F622" s="155" t="str">
        <f>IFERROR(__xludf.DUMMYFUNCTION("""COMPUTED_VALUE"""),"AIML")</f>
        <v>AIML</v>
      </c>
      <c r="G622" s="158"/>
      <c r="H622" s="559">
        <f>IFERROR(__xludf.DUMMYFUNCTION("""COMPUTED_VALUE"""),88.0)</f>
        <v>88</v>
      </c>
      <c r="I622" s="559">
        <f>IFERROR(__xludf.DUMMYFUNCTION("""COMPUTED_VALUE"""),94.0)</f>
        <v>94</v>
      </c>
      <c r="J622" s="559">
        <f>IFERROR(__xludf.DUMMYFUNCTION("""COMPUTED_VALUE"""),79.0)</f>
        <v>79</v>
      </c>
      <c r="K622" s="559">
        <f>IFERROR(__xludf.DUMMYFUNCTION("""COMPUTED_VALUE"""),70.0)</f>
        <v>70</v>
      </c>
      <c r="L622" s="560">
        <f>IFERROR(__xludf.DUMMYFUNCTION("""COMPUTED_VALUE"""),51.0)</f>
        <v>51</v>
      </c>
      <c r="M622" s="561">
        <f>IFERROR(__xludf.DUMMYFUNCTION("""COMPUTED_VALUE"""),60.0)</f>
        <v>60</v>
      </c>
      <c r="N622" s="561">
        <f>IFERROR(__xludf.DUMMYFUNCTION("""COMPUTED_VALUE"""),65.0)</f>
        <v>65</v>
      </c>
      <c r="O622" s="560"/>
      <c r="P622" s="562">
        <f>IFERROR(__xludf.DUMMYFUNCTION("""COMPUTED_VALUE"""),80.0)</f>
        <v>80</v>
      </c>
      <c r="Q622" s="562">
        <f>IFERROR(__xludf.DUMMYFUNCTION("""COMPUTED_VALUE"""),54.0)</f>
        <v>54</v>
      </c>
      <c r="R622" s="562">
        <f>IFERROR(__xludf.DUMMYFUNCTION("""COMPUTED_VALUE"""),85.0)</f>
        <v>85</v>
      </c>
      <c r="S622" s="562"/>
      <c r="T622" s="217">
        <f>IFERROR(__xludf.DUMMYFUNCTION("""COMPUTED_VALUE"""),10.0)</f>
        <v>10</v>
      </c>
      <c r="U622" s="217"/>
      <c r="V622" s="217">
        <f>IFERROR(__xludf.DUMMYFUNCTION("""COMPUTED_VALUE"""),94.0)</f>
        <v>94</v>
      </c>
      <c r="W622" s="217">
        <f>IFERROR(__xludf.DUMMYFUNCTION("""COMPUTED_VALUE"""),90.0)</f>
        <v>90</v>
      </c>
      <c r="X622" s="217">
        <f>IFERROR(__xludf.DUMMYFUNCTION("""COMPUTED_VALUE"""),76.0)</f>
        <v>76</v>
      </c>
      <c r="Y622" s="217"/>
      <c r="Z622" s="217"/>
      <c r="AA622" s="481">
        <f>IFERROR(__xludf.DUMMYFUNCTION("""COMPUTED_VALUE"""),80.0)</f>
        <v>80</v>
      </c>
      <c r="AB622" s="481">
        <f>IFERROR(__xludf.DUMMYFUNCTION("""COMPUTED_VALUE"""),100.0)</f>
        <v>100</v>
      </c>
      <c r="AC622" s="481">
        <f>IFERROR(__xludf.DUMMYFUNCTION("""COMPUTED_VALUE"""),90.0)</f>
        <v>90</v>
      </c>
      <c r="AD622" s="481">
        <f>IFERROR(__xludf.DUMMYFUNCTION("""COMPUTED_VALUE"""),65.0)</f>
        <v>65</v>
      </c>
      <c r="AE622" s="481">
        <f>IFERROR(__xludf.DUMMYFUNCTION("""COMPUTED_VALUE"""),70.0)</f>
        <v>70</v>
      </c>
      <c r="AF622" s="481"/>
      <c r="AG622" s="481">
        <f>IFERROR(__xludf.DUMMYFUNCTION("""COMPUTED_VALUE"""),99.0)</f>
        <v>99</v>
      </c>
      <c r="AH622" s="481"/>
      <c r="AI622" s="158"/>
      <c r="AJ622" s="158"/>
      <c r="AK622" s="133">
        <f>IFERROR(__xludf.DUMMYFUNCTION("""COMPUTED_VALUE"""),4.0)</f>
        <v>4</v>
      </c>
      <c r="AL622" s="133">
        <f>IFERROR(__xludf.DUMMYFUNCTION("""COMPUTED_VALUE"""),3.0)</f>
        <v>3</v>
      </c>
      <c r="AM622" s="133">
        <f>IFERROR(__xludf.DUMMYFUNCTION("""COMPUTED_VALUE"""),3.0)</f>
        <v>3</v>
      </c>
      <c r="AN622" s="133" t="str">
        <f>IFERROR(__xludf.DUMMYFUNCTION("""COMPUTED_VALUE"""),"3.5")</f>
        <v>3.5</v>
      </c>
      <c r="AO622" s="133">
        <f>IFERROR(__xludf.DUMMYFUNCTION("""COMPUTED_VALUE"""),3.0)</f>
        <v>3</v>
      </c>
      <c r="AP622" s="155" t="s">
        <v>3780</v>
      </c>
    </row>
    <row r="623">
      <c r="A623" s="155">
        <f>IFERROR(__xludf.DUMMYFUNCTION("""COMPUTED_VALUE"""),102.0)</f>
        <v>102</v>
      </c>
      <c r="B623" s="155" t="str">
        <f>IFERROR(__xludf.DUMMYFUNCTION("""COMPUTED_VALUE"""),"saha23aiml@cmrit.ac.in")</f>
        <v>saha23aiml@cmrit.ac.in</v>
      </c>
      <c r="C623" s="174" t="str">
        <f>IFERROR(__xludf.DUMMYFUNCTION("""COMPUTED_VALUE"""),"SAI HARSHA K")</f>
        <v>SAI HARSHA K</v>
      </c>
      <c r="D623" s="155" t="str">
        <f>IFERROR(__xludf.DUMMYFUNCTION("""COMPUTED_VALUE"""),"1CR23AI106")</f>
        <v>1CR23AI106</v>
      </c>
      <c r="E623" s="563">
        <f>IFERROR(__xludf.DUMMYFUNCTION("""COMPUTED_VALUE"""),7.259450707E9)</f>
        <v>7259450707</v>
      </c>
      <c r="F623" s="155" t="str">
        <f>IFERROR(__xludf.DUMMYFUNCTION("""COMPUTED_VALUE"""),"AIML")</f>
        <v>AIML</v>
      </c>
      <c r="G623" s="158"/>
      <c r="H623" s="559">
        <f>IFERROR(__xludf.DUMMYFUNCTION("""COMPUTED_VALUE"""),79.0)</f>
        <v>79</v>
      </c>
      <c r="I623" s="559">
        <f>IFERROR(__xludf.DUMMYFUNCTION("""COMPUTED_VALUE"""),79.0)</f>
        <v>79</v>
      </c>
      <c r="J623" s="559">
        <f>IFERROR(__xludf.DUMMYFUNCTION("""COMPUTED_VALUE"""),65.0)</f>
        <v>65</v>
      </c>
      <c r="K623" s="559">
        <f>IFERROR(__xludf.DUMMYFUNCTION("""COMPUTED_VALUE"""),70.0)</f>
        <v>70</v>
      </c>
      <c r="L623" s="560">
        <f>IFERROR(__xludf.DUMMYFUNCTION("""COMPUTED_VALUE"""),5.0)</f>
        <v>5</v>
      </c>
      <c r="M623" s="561">
        <f>IFERROR(__xludf.DUMMYFUNCTION("""COMPUTED_VALUE"""),13.0)</f>
        <v>13</v>
      </c>
      <c r="N623" s="561">
        <f>IFERROR(__xludf.DUMMYFUNCTION("""COMPUTED_VALUE"""),0.0)</f>
        <v>0</v>
      </c>
      <c r="O623" s="560"/>
      <c r="P623" s="562">
        <f>IFERROR(__xludf.DUMMYFUNCTION("""COMPUTED_VALUE"""),82.0)</f>
        <v>82</v>
      </c>
      <c r="Q623" s="562">
        <f>IFERROR(__xludf.DUMMYFUNCTION("""COMPUTED_VALUE"""),72.0)</f>
        <v>72</v>
      </c>
      <c r="R623" s="562">
        <f>IFERROR(__xludf.DUMMYFUNCTION("""COMPUTED_VALUE"""),0.0)</f>
        <v>0</v>
      </c>
      <c r="S623" s="562"/>
      <c r="T623" s="217">
        <f>IFERROR(__xludf.DUMMYFUNCTION("""COMPUTED_VALUE"""),17.0)</f>
        <v>17</v>
      </c>
      <c r="U623" s="217">
        <f>IFERROR(__xludf.DUMMYFUNCTION("""COMPUTED_VALUE"""),16.0)</f>
        <v>16</v>
      </c>
      <c r="V623" s="217">
        <f>IFERROR(__xludf.DUMMYFUNCTION("""COMPUTED_VALUE"""),88.0)</f>
        <v>88</v>
      </c>
      <c r="W623" s="217">
        <f>IFERROR(__xludf.DUMMYFUNCTION("""COMPUTED_VALUE"""),88.0)</f>
        <v>88</v>
      </c>
      <c r="X623" s="217">
        <f>IFERROR(__xludf.DUMMYFUNCTION("""COMPUTED_VALUE"""),74.0)</f>
        <v>74</v>
      </c>
      <c r="Y623" s="217"/>
      <c r="Z623" s="217"/>
      <c r="AA623" s="481">
        <f>IFERROR(__xludf.DUMMYFUNCTION("""COMPUTED_VALUE"""),4.0)</f>
        <v>4</v>
      </c>
      <c r="AB623" s="481">
        <f>IFERROR(__xludf.DUMMYFUNCTION("""COMPUTED_VALUE"""),24.0)</f>
        <v>24</v>
      </c>
      <c r="AC623" s="481">
        <f>IFERROR(__xludf.DUMMYFUNCTION("""COMPUTED_VALUE"""),0.0)</f>
        <v>0</v>
      </c>
      <c r="AD623" s="481">
        <f>IFERROR(__xludf.DUMMYFUNCTION("""COMPUTED_VALUE"""),0.0)</f>
        <v>0</v>
      </c>
      <c r="AE623" s="481">
        <f>IFERROR(__xludf.DUMMYFUNCTION("""COMPUTED_VALUE"""),10.0)</f>
        <v>10</v>
      </c>
      <c r="AF623" s="481"/>
      <c r="AG623" s="481">
        <f>IFERROR(__xludf.DUMMYFUNCTION("""COMPUTED_VALUE"""),26.0)</f>
        <v>26</v>
      </c>
      <c r="AH623" s="481"/>
      <c r="AI623" s="158"/>
      <c r="AJ623" s="158"/>
      <c r="AK623" s="133">
        <f>IFERROR(__xludf.DUMMYFUNCTION("""COMPUTED_VALUE"""),2.0)</f>
        <v>2</v>
      </c>
      <c r="AL623" s="133">
        <f>IFERROR(__xludf.DUMMYFUNCTION("""COMPUTED_VALUE"""),0.0)</f>
        <v>0</v>
      </c>
      <c r="AM623" s="133">
        <f>IFERROR(__xludf.DUMMYFUNCTION("""COMPUTED_VALUE"""),3.0)</f>
        <v>3</v>
      </c>
      <c r="AN623" s="133" t="str">
        <f>IFERROR(__xludf.DUMMYFUNCTION("""COMPUTED_VALUE"""),"0")</f>
        <v>0</v>
      </c>
      <c r="AO623" s="133">
        <f>IFERROR(__xludf.DUMMYFUNCTION("""COMPUTED_VALUE"""),2.0)</f>
        <v>2</v>
      </c>
      <c r="AP623" s="155" t="s">
        <v>3780</v>
      </c>
    </row>
    <row r="624">
      <c r="A624" s="155">
        <f>IFERROR(__xludf.DUMMYFUNCTION("""COMPUTED_VALUE"""),103.0)</f>
        <v>103</v>
      </c>
      <c r="B624" s="155" t="str">
        <f>IFERROR(__xludf.DUMMYFUNCTION("""COMPUTED_VALUE"""),"ssa23aiml@cmrit.ac.in")</f>
        <v>ssa23aiml@cmrit.ac.in</v>
      </c>
      <c r="C624" s="174" t="str">
        <f>IFERROR(__xludf.DUMMYFUNCTION("""COMPUTED_VALUE"""),"SAMIKSHA S SHETTY")</f>
        <v>SAMIKSHA S SHETTY</v>
      </c>
      <c r="D624" s="155" t="str">
        <f>IFERROR(__xludf.DUMMYFUNCTION("""COMPUTED_VALUE"""),"1CR23AI107")</f>
        <v>1CR23AI107</v>
      </c>
      <c r="E624" s="563">
        <f>IFERROR(__xludf.DUMMYFUNCTION("""COMPUTED_VALUE"""),8.884477321E9)</f>
        <v>8884477321</v>
      </c>
      <c r="F624" s="155" t="str">
        <f>IFERROR(__xludf.DUMMYFUNCTION("""COMPUTED_VALUE"""),"ISE to AIML")</f>
        <v>ISE to AIML</v>
      </c>
      <c r="G624" s="158"/>
      <c r="H624" s="559">
        <f>IFERROR(__xludf.DUMMYFUNCTION("""COMPUTED_VALUE"""),80.0)</f>
        <v>80</v>
      </c>
      <c r="I624" s="559">
        <f>IFERROR(__xludf.DUMMYFUNCTION("""COMPUTED_VALUE"""),90.0)</f>
        <v>90</v>
      </c>
      <c r="J624" s="559">
        <f>IFERROR(__xludf.DUMMYFUNCTION("""COMPUTED_VALUE"""),80.0)</f>
        <v>80</v>
      </c>
      <c r="K624" s="559">
        <f>IFERROR(__xludf.DUMMYFUNCTION("""COMPUTED_VALUE"""),70.0)</f>
        <v>70</v>
      </c>
      <c r="L624" s="560">
        <f>IFERROR(__xludf.DUMMYFUNCTION("""COMPUTED_VALUE"""),50.0)</f>
        <v>50</v>
      </c>
      <c r="M624" s="561">
        <f>IFERROR(__xludf.DUMMYFUNCTION("""COMPUTED_VALUE"""),34.0)</f>
        <v>34</v>
      </c>
      <c r="N624" s="561">
        <f>IFERROR(__xludf.DUMMYFUNCTION("""COMPUTED_VALUE"""),51.0)</f>
        <v>51</v>
      </c>
      <c r="O624" s="560"/>
      <c r="P624" s="562">
        <f>IFERROR(__xludf.DUMMYFUNCTION("""COMPUTED_VALUE"""),82.0)</f>
        <v>82</v>
      </c>
      <c r="Q624" s="562">
        <f>IFERROR(__xludf.DUMMYFUNCTION("""COMPUTED_VALUE"""),87.0)</f>
        <v>87</v>
      </c>
      <c r="R624" s="562">
        <f>IFERROR(__xludf.DUMMYFUNCTION("""COMPUTED_VALUE"""),50.0)</f>
        <v>50</v>
      </c>
      <c r="S624" s="562"/>
      <c r="T624" s="217">
        <f>IFERROR(__xludf.DUMMYFUNCTION("""COMPUTED_VALUE"""),14.0)</f>
        <v>14</v>
      </c>
      <c r="U624" s="217">
        <f>IFERROR(__xludf.DUMMYFUNCTION("""COMPUTED_VALUE"""),22.0)</f>
        <v>22</v>
      </c>
      <c r="V624" s="217">
        <f>IFERROR(__xludf.DUMMYFUNCTION("""COMPUTED_VALUE"""),86.0)</f>
        <v>86</v>
      </c>
      <c r="W624" s="217">
        <f>IFERROR(__xludf.DUMMYFUNCTION("""COMPUTED_VALUE"""),84.0)</f>
        <v>84</v>
      </c>
      <c r="X624" s="217"/>
      <c r="Y624" s="217"/>
      <c r="Z624" s="217"/>
      <c r="AA624" s="481">
        <f>IFERROR(__xludf.DUMMYFUNCTION("""COMPUTED_VALUE"""),86.0)</f>
        <v>86</v>
      </c>
      <c r="AB624" s="481">
        <f>IFERROR(__xludf.DUMMYFUNCTION("""COMPUTED_VALUE"""),88.0)</f>
        <v>88</v>
      </c>
      <c r="AC624" s="481">
        <f>IFERROR(__xludf.DUMMYFUNCTION("""COMPUTED_VALUE"""),90.0)</f>
        <v>90</v>
      </c>
      <c r="AD624" s="481">
        <f>IFERROR(__xludf.DUMMYFUNCTION("""COMPUTED_VALUE"""),75.0)</f>
        <v>75</v>
      </c>
      <c r="AE624" s="481">
        <f>IFERROR(__xludf.DUMMYFUNCTION("""COMPUTED_VALUE"""),70.0)</f>
        <v>70</v>
      </c>
      <c r="AF624" s="481"/>
      <c r="AG624" s="481">
        <f>IFERROR(__xludf.DUMMYFUNCTION("""COMPUTED_VALUE"""),74.0)</f>
        <v>74</v>
      </c>
      <c r="AH624" s="481"/>
      <c r="AI624" s="158"/>
      <c r="AJ624" s="158"/>
      <c r="AK624" s="133">
        <f>IFERROR(__xludf.DUMMYFUNCTION("""COMPUTED_VALUE"""),4.0)</f>
        <v>4</v>
      </c>
      <c r="AL624" s="133">
        <f>IFERROR(__xludf.DUMMYFUNCTION("""COMPUTED_VALUE"""),1.0)</f>
        <v>1</v>
      </c>
      <c r="AM624" s="133">
        <f>IFERROR(__xludf.DUMMYFUNCTION("""COMPUTED_VALUE"""),3.0)</f>
        <v>3</v>
      </c>
      <c r="AN624" s="133" t="str">
        <f>IFERROR(__xludf.DUMMYFUNCTION("""COMPUTED_VALUE"""),"#REF!")</f>
        <v>#REF!</v>
      </c>
      <c r="AO624" s="133">
        <f>IFERROR(__xludf.DUMMYFUNCTION("""COMPUTED_VALUE"""),3.0)</f>
        <v>3</v>
      </c>
      <c r="AP624" s="155" t="s">
        <v>3780</v>
      </c>
    </row>
    <row r="625">
      <c r="A625" s="155">
        <f>IFERROR(__xludf.DUMMYFUNCTION("""COMPUTED_VALUE"""),104.0)</f>
        <v>104</v>
      </c>
      <c r="B625" s="155" t="str">
        <f>IFERROR(__xludf.DUMMYFUNCTION("""COMPUTED_VALUE"""),"sara23aiml@cmrit.ac.in")</f>
        <v>sara23aiml@cmrit.ac.in</v>
      </c>
      <c r="C625" s="174" t="str">
        <f>IFERROR(__xludf.DUMMYFUNCTION("""COMPUTED_VALUE"""),"SANJANNA RAMESHH ")</f>
        <v>SANJANNA RAMESHH </v>
      </c>
      <c r="D625" s="155" t="str">
        <f>IFERROR(__xludf.DUMMYFUNCTION("""COMPUTED_VALUE"""),"1CR23AI108")</f>
        <v>1CR23AI108</v>
      </c>
      <c r="E625" s="563">
        <f>IFERROR(__xludf.DUMMYFUNCTION("""COMPUTED_VALUE"""),8.105748589E9)</f>
        <v>8105748589</v>
      </c>
      <c r="F625" s="155" t="str">
        <f>IFERROR(__xludf.DUMMYFUNCTION("""COMPUTED_VALUE"""),"AIML")</f>
        <v>AIML</v>
      </c>
      <c r="G625" s="158"/>
      <c r="H625" s="559">
        <f>IFERROR(__xludf.DUMMYFUNCTION("""COMPUTED_VALUE"""),70.0)</f>
        <v>70</v>
      </c>
      <c r="I625" s="559">
        <f>IFERROR(__xludf.DUMMYFUNCTION("""COMPUTED_VALUE"""),76.0)</f>
        <v>76</v>
      </c>
      <c r="J625" s="559">
        <f>IFERROR(__xludf.DUMMYFUNCTION("""COMPUTED_VALUE"""),63.0)</f>
        <v>63</v>
      </c>
      <c r="K625" s="559">
        <f>IFERROR(__xludf.DUMMYFUNCTION("""COMPUTED_VALUE"""),70.0)</f>
        <v>70</v>
      </c>
      <c r="L625" s="560">
        <f>IFERROR(__xludf.DUMMYFUNCTION("""COMPUTED_VALUE"""),7.0)</f>
        <v>7</v>
      </c>
      <c r="M625" s="561">
        <f>IFERROR(__xludf.DUMMYFUNCTION("""COMPUTED_VALUE"""),14.0)</f>
        <v>14</v>
      </c>
      <c r="N625" s="561">
        <f>IFERROR(__xludf.DUMMYFUNCTION("""COMPUTED_VALUE"""),50.0)</f>
        <v>50</v>
      </c>
      <c r="O625" s="560"/>
      <c r="P625" s="562">
        <f>IFERROR(__xludf.DUMMYFUNCTION("""COMPUTED_VALUE"""),79.0)</f>
        <v>79</v>
      </c>
      <c r="Q625" s="562">
        <f>IFERROR(__xludf.DUMMYFUNCTION("""COMPUTED_VALUE"""),72.0)</f>
        <v>72</v>
      </c>
      <c r="R625" s="562">
        <f>IFERROR(__xludf.DUMMYFUNCTION("""COMPUTED_VALUE"""),0.0)</f>
        <v>0</v>
      </c>
      <c r="S625" s="562"/>
      <c r="T625" s="217">
        <f>IFERROR(__xludf.DUMMYFUNCTION("""COMPUTED_VALUE"""),11.0)</f>
        <v>11</v>
      </c>
      <c r="U625" s="217">
        <f>IFERROR(__xludf.DUMMYFUNCTION("""COMPUTED_VALUE"""),20.0)</f>
        <v>20</v>
      </c>
      <c r="V625" s="217">
        <f>IFERROR(__xludf.DUMMYFUNCTION("""COMPUTED_VALUE"""),84.0)</f>
        <v>84</v>
      </c>
      <c r="W625" s="217">
        <f>IFERROR(__xludf.DUMMYFUNCTION("""COMPUTED_VALUE"""),90.0)</f>
        <v>90</v>
      </c>
      <c r="X625" s="217">
        <f>IFERROR(__xludf.DUMMYFUNCTION("""COMPUTED_VALUE"""),84.0)</f>
        <v>84</v>
      </c>
      <c r="Y625" s="217"/>
      <c r="Z625" s="217"/>
      <c r="AA625" s="481">
        <f>IFERROR(__xludf.DUMMYFUNCTION("""COMPUTED_VALUE"""),92.0)</f>
        <v>92</v>
      </c>
      <c r="AB625" s="481">
        <f>IFERROR(__xludf.DUMMYFUNCTION("""COMPUTED_VALUE"""),90.0)</f>
        <v>90</v>
      </c>
      <c r="AC625" s="481">
        <f>IFERROR(__xludf.DUMMYFUNCTION("""COMPUTED_VALUE"""),80.0)</f>
        <v>80</v>
      </c>
      <c r="AD625" s="481">
        <f>IFERROR(__xludf.DUMMYFUNCTION("""COMPUTED_VALUE"""),0.0)</f>
        <v>0</v>
      </c>
      <c r="AE625" s="481">
        <f>IFERROR(__xludf.DUMMYFUNCTION("""COMPUTED_VALUE"""),10.0)</f>
        <v>10</v>
      </c>
      <c r="AF625" s="481"/>
      <c r="AG625" s="481">
        <f>IFERROR(__xludf.DUMMYFUNCTION("""COMPUTED_VALUE"""),46.0)</f>
        <v>46</v>
      </c>
      <c r="AH625" s="481"/>
      <c r="AI625" s="158"/>
      <c r="AJ625" s="158"/>
      <c r="AK625" s="133">
        <f>IFERROR(__xludf.DUMMYFUNCTION("""COMPUTED_VALUE"""),2.0)</f>
        <v>2</v>
      </c>
      <c r="AL625" s="133">
        <f>IFERROR(__xludf.DUMMYFUNCTION("""COMPUTED_VALUE"""),0.0)</f>
        <v>0</v>
      </c>
      <c r="AM625" s="133">
        <f>IFERROR(__xludf.DUMMYFUNCTION("""COMPUTED_VALUE"""),3.0)</f>
        <v>3</v>
      </c>
      <c r="AN625" s="133" t="str">
        <f>IFERROR(__xludf.DUMMYFUNCTION("""COMPUTED_VALUE"""),"3")</f>
        <v>3</v>
      </c>
      <c r="AO625" s="133">
        <f>IFERROR(__xludf.DUMMYFUNCTION("""COMPUTED_VALUE"""),2.0)</f>
        <v>2</v>
      </c>
      <c r="AP625" s="155" t="s">
        <v>3780</v>
      </c>
    </row>
    <row r="626">
      <c r="A626" s="155">
        <f>IFERROR(__xludf.DUMMYFUNCTION("""COMPUTED_VALUE"""),105.0)</f>
        <v>105</v>
      </c>
      <c r="B626" s="155" t="str">
        <f>IFERROR(__xludf.DUMMYFUNCTION("""COMPUTED_VALUE"""),"sahi23aiml@cmrit.ac.in")</f>
        <v>sahi23aiml@cmrit.ac.in</v>
      </c>
      <c r="C626" s="174" t="str">
        <f>IFERROR(__xludf.DUMMYFUNCTION("""COMPUTED_VALUE"""),"SANKALP LINGABASAYYA HIREMATH")</f>
        <v>SANKALP LINGABASAYYA HIREMATH</v>
      </c>
      <c r="D626" s="155" t="str">
        <f>IFERROR(__xludf.DUMMYFUNCTION("""COMPUTED_VALUE"""),"1CR23AI109")</f>
        <v>1CR23AI109</v>
      </c>
      <c r="E626" s="563">
        <f>IFERROR(__xludf.DUMMYFUNCTION("""COMPUTED_VALUE"""),8.095184999E9)</f>
        <v>8095184999</v>
      </c>
      <c r="F626" s="155" t="str">
        <f>IFERROR(__xludf.DUMMYFUNCTION("""COMPUTED_VALUE"""),"AIML")</f>
        <v>AIML</v>
      </c>
      <c r="G626" s="158"/>
      <c r="H626" s="559">
        <f>IFERROR(__xludf.DUMMYFUNCTION("""COMPUTED_VALUE"""),65.0)</f>
        <v>65</v>
      </c>
      <c r="I626" s="559">
        <f>IFERROR(__xludf.DUMMYFUNCTION("""COMPUTED_VALUE"""),80.0)</f>
        <v>80</v>
      </c>
      <c r="J626" s="559">
        <f>IFERROR(__xludf.DUMMYFUNCTION("""COMPUTED_VALUE"""),70.0)</f>
        <v>70</v>
      </c>
      <c r="K626" s="559">
        <f>IFERROR(__xludf.DUMMYFUNCTION("""COMPUTED_VALUE"""),70.0)</f>
        <v>70</v>
      </c>
      <c r="L626" s="560">
        <f>IFERROR(__xludf.DUMMYFUNCTION("""COMPUTED_VALUE"""),10.0)</f>
        <v>10</v>
      </c>
      <c r="M626" s="561">
        <f>IFERROR(__xludf.DUMMYFUNCTION("""COMPUTED_VALUE"""),19.0)</f>
        <v>19</v>
      </c>
      <c r="N626" s="561">
        <f>IFERROR(__xludf.DUMMYFUNCTION("""COMPUTED_VALUE"""),50.0)</f>
        <v>50</v>
      </c>
      <c r="O626" s="560"/>
      <c r="P626" s="562">
        <f>IFERROR(__xludf.DUMMYFUNCTION("""COMPUTED_VALUE"""),50.0)</f>
        <v>50</v>
      </c>
      <c r="Q626" s="562">
        <f>IFERROR(__xludf.DUMMYFUNCTION("""COMPUTED_VALUE"""),50.0)</f>
        <v>50</v>
      </c>
      <c r="R626" s="562">
        <f>IFERROR(__xludf.DUMMYFUNCTION("""COMPUTED_VALUE"""),50.0)</f>
        <v>50</v>
      </c>
      <c r="S626" s="562"/>
      <c r="T626" s="217">
        <f>IFERROR(__xludf.DUMMYFUNCTION("""COMPUTED_VALUE"""),11.0)</f>
        <v>11</v>
      </c>
      <c r="U626" s="217">
        <f>IFERROR(__xludf.DUMMYFUNCTION("""COMPUTED_VALUE"""),16.0)</f>
        <v>16</v>
      </c>
      <c r="V626" s="217">
        <f>IFERROR(__xludf.DUMMYFUNCTION("""COMPUTED_VALUE"""),90.0)</f>
        <v>90</v>
      </c>
      <c r="W626" s="217">
        <f>IFERROR(__xludf.DUMMYFUNCTION("""COMPUTED_VALUE"""),80.0)</f>
        <v>80</v>
      </c>
      <c r="X626" s="217">
        <f>IFERROR(__xludf.DUMMYFUNCTION("""COMPUTED_VALUE"""),80.0)</f>
        <v>80</v>
      </c>
      <c r="Y626" s="217"/>
      <c r="Z626" s="217"/>
      <c r="AA626" s="481">
        <f>IFERROR(__xludf.DUMMYFUNCTION("""COMPUTED_VALUE"""),12.0)</f>
        <v>12</v>
      </c>
      <c r="AB626" s="481">
        <f>IFERROR(__xludf.DUMMYFUNCTION("""COMPUTED_VALUE"""),95.0)</f>
        <v>95</v>
      </c>
      <c r="AC626" s="481">
        <f>IFERROR(__xludf.DUMMYFUNCTION("""COMPUTED_VALUE"""),57.0)</f>
        <v>57</v>
      </c>
      <c r="AD626" s="481">
        <f>IFERROR(__xludf.DUMMYFUNCTION("""COMPUTED_VALUE"""),93.0)</f>
        <v>93</v>
      </c>
      <c r="AE626" s="481">
        <f>IFERROR(__xludf.DUMMYFUNCTION("""COMPUTED_VALUE"""),55.0)</f>
        <v>55</v>
      </c>
      <c r="AF626" s="481"/>
      <c r="AG626" s="481">
        <f>IFERROR(__xludf.DUMMYFUNCTION("""COMPUTED_VALUE"""),78.0)</f>
        <v>78</v>
      </c>
      <c r="AH626" s="481"/>
      <c r="AI626" s="158"/>
      <c r="AJ626" s="158"/>
      <c r="AK626" s="133">
        <f>IFERROR(__xludf.DUMMYFUNCTION("""COMPUTED_VALUE"""),4.0)</f>
        <v>4</v>
      </c>
      <c r="AL626" s="133">
        <f>IFERROR(__xludf.DUMMYFUNCTION("""COMPUTED_VALUE"""),0.0)</f>
        <v>0</v>
      </c>
      <c r="AM626" s="133">
        <f>IFERROR(__xludf.DUMMYFUNCTION("""COMPUTED_VALUE"""),3.0)</f>
        <v>3</v>
      </c>
      <c r="AN626" s="133" t="str">
        <f>IFERROR(__xludf.DUMMYFUNCTION("""COMPUTED_VALUE"""),"3")</f>
        <v>3</v>
      </c>
      <c r="AO626" s="133">
        <f>IFERROR(__xludf.DUMMYFUNCTION("""COMPUTED_VALUE"""),3.0)</f>
        <v>3</v>
      </c>
      <c r="AP626" s="155" t="s">
        <v>3780</v>
      </c>
    </row>
    <row r="627">
      <c r="A627" s="155">
        <f>IFERROR(__xludf.DUMMYFUNCTION("""COMPUTED_VALUE"""),106.0)</f>
        <v>106</v>
      </c>
      <c r="B627" s="155" t="str">
        <f>IFERROR(__xludf.DUMMYFUNCTION("""COMPUTED_VALUE"""),"sash23aiml@cmrit.ac.in")</f>
        <v>sash23aiml@cmrit.ac.in</v>
      </c>
      <c r="C627" s="174" t="str">
        <f>IFERROR(__xludf.DUMMYFUNCTION("""COMPUTED_VALUE"""),"SANNAH SHARMA")</f>
        <v>SANNAH SHARMA</v>
      </c>
      <c r="D627" s="155" t="str">
        <f>IFERROR(__xludf.DUMMYFUNCTION("""COMPUTED_VALUE"""),"1CR23AI110")</f>
        <v>1CR23AI110</v>
      </c>
      <c r="E627" s="563">
        <f>IFERROR(__xludf.DUMMYFUNCTION("""COMPUTED_VALUE"""),9.66368128E9)</f>
        <v>9663681280</v>
      </c>
      <c r="F627" s="155" t="str">
        <f>IFERROR(__xludf.DUMMYFUNCTION("""COMPUTED_VALUE"""),"AIML")</f>
        <v>AIML</v>
      </c>
      <c r="G627" s="158"/>
      <c r="H627" s="559">
        <f>IFERROR(__xludf.DUMMYFUNCTION("""COMPUTED_VALUE"""),78.0)</f>
        <v>78</v>
      </c>
      <c r="I627" s="559">
        <f>IFERROR(__xludf.DUMMYFUNCTION("""COMPUTED_VALUE"""),89.0)</f>
        <v>89</v>
      </c>
      <c r="J627" s="559">
        <f>IFERROR(__xludf.DUMMYFUNCTION("""COMPUTED_VALUE"""),57.0)</f>
        <v>57</v>
      </c>
      <c r="K627" s="559">
        <f>IFERROR(__xludf.DUMMYFUNCTION("""COMPUTED_VALUE"""),70.0)</f>
        <v>70</v>
      </c>
      <c r="L627" s="560">
        <f>IFERROR(__xludf.DUMMYFUNCTION("""COMPUTED_VALUE"""),14.0)</f>
        <v>14</v>
      </c>
      <c r="M627" s="561">
        <f>IFERROR(__xludf.DUMMYFUNCTION("""COMPUTED_VALUE"""),16.0)</f>
        <v>16</v>
      </c>
      <c r="N627" s="561">
        <f>IFERROR(__xludf.DUMMYFUNCTION("""COMPUTED_VALUE"""),50.0)</f>
        <v>50</v>
      </c>
      <c r="O627" s="560"/>
      <c r="P627" s="562">
        <f>IFERROR(__xludf.DUMMYFUNCTION("""COMPUTED_VALUE"""),80.0)</f>
        <v>80</v>
      </c>
      <c r="Q627" s="562">
        <f>IFERROR(__xludf.DUMMYFUNCTION("""COMPUTED_VALUE"""),54.0)</f>
        <v>54</v>
      </c>
      <c r="R627" s="562">
        <f>IFERROR(__xludf.DUMMYFUNCTION("""COMPUTED_VALUE"""),72.0)</f>
        <v>72</v>
      </c>
      <c r="S627" s="562"/>
      <c r="T627" s="217">
        <f>IFERROR(__xludf.DUMMYFUNCTION("""COMPUTED_VALUE"""),16.0)</f>
        <v>16</v>
      </c>
      <c r="U627" s="217">
        <f>IFERROR(__xludf.DUMMYFUNCTION("""COMPUTED_VALUE"""),24.0)</f>
        <v>24</v>
      </c>
      <c r="V627" s="217">
        <f>IFERROR(__xludf.DUMMYFUNCTION("""COMPUTED_VALUE"""),94.0)</f>
        <v>94</v>
      </c>
      <c r="W627" s="217">
        <f>IFERROR(__xludf.DUMMYFUNCTION("""COMPUTED_VALUE"""),86.0)</f>
        <v>86</v>
      </c>
      <c r="X627" s="217">
        <f>IFERROR(__xludf.DUMMYFUNCTION("""COMPUTED_VALUE"""),72.0)</f>
        <v>72</v>
      </c>
      <c r="Y627" s="217"/>
      <c r="Z627" s="217"/>
      <c r="AA627" s="481">
        <f>IFERROR(__xludf.DUMMYFUNCTION("""COMPUTED_VALUE"""),0.0)</f>
        <v>0</v>
      </c>
      <c r="AB627" s="481">
        <f>IFERROR(__xludf.DUMMYFUNCTION("""COMPUTED_VALUE"""),91.0)</f>
        <v>91</v>
      </c>
      <c r="AC627" s="481">
        <f>IFERROR(__xludf.DUMMYFUNCTION("""COMPUTED_VALUE"""),10.0)</f>
        <v>10</v>
      </c>
      <c r="AD627" s="481">
        <f>IFERROR(__xludf.DUMMYFUNCTION("""COMPUTED_VALUE"""),2.0)</f>
        <v>2</v>
      </c>
      <c r="AE627" s="481">
        <f>IFERROR(__xludf.DUMMYFUNCTION("""COMPUTED_VALUE"""),19.0)</f>
        <v>19</v>
      </c>
      <c r="AF627" s="481"/>
      <c r="AG627" s="481">
        <f>IFERROR(__xludf.DUMMYFUNCTION("""COMPUTED_VALUE"""),82.0)</f>
        <v>82</v>
      </c>
      <c r="AH627" s="481"/>
      <c r="AI627" s="158"/>
      <c r="AJ627" s="158"/>
      <c r="AK627" s="133">
        <f>IFERROR(__xludf.DUMMYFUNCTION("""COMPUTED_VALUE"""),2.0)</f>
        <v>2</v>
      </c>
      <c r="AL627" s="133">
        <f>IFERROR(__xludf.DUMMYFUNCTION("""COMPUTED_VALUE"""),0.0)</f>
        <v>0</v>
      </c>
      <c r="AM627" s="133">
        <f>IFERROR(__xludf.DUMMYFUNCTION("""COMPUTED_VALUE"""),3.0)</f>
        <v>3</v>
      </c>
      <c r="AN627" s="133" t="str">
        <f>IFERROR(__xludf.DUMMYFUNCTION("""COMPUTED_VALUE"""),"2")</f>
        <v>2</v>
      </c>
      <c r="AO627" s="133">
        <f>IFERROR(__xludf.DUMMYFUNCTION("""COMPUTED_VALUE"""),3.0)</f>
        <v>3</v>
      </c>
      <c r="AP627" s="155" t="s">
        <v>3780</v>
      </c>
    </row>
    <row r="628">
      <c r="A628" s="155">
        <f>IFERROR(__xludf.DUMMYFUNCTION("""COMPUTED_VALUE"""),107.0)</f>
        <v>107</v>
      </c>
      <c r="B628" s="155" t="str">
        <f>IFERROR(__xludf.DUMMYFUNCTION("""COMPUTED_VALUE"""),"shag23aiml@cmrit.ac.in")</f>
        <v>shag23aiml@cmrit.ac.in</v>
      </c>
      <c r="C628" s="174" t="str">
        <f>IFERROR(__xludf.DUMMYFUNCTION("""COMPUTED_VALUE"""),"SHASHANK AGRAWAL")</f>
        <v>SHASHANK AGRAWAL</v>
      </c>
      <c r="D628" s="155" t="str">
        <f>IFERROR(__xludf.DUMMYFUNCTION("""COMPUTED_VALUE"""),"1CR23AI111")</f>
        <v>1CR23AI111</v>
      </c>
      <c r="E628" s="563">
        <f>IFERROR(__xludf.DUMMYFUNCTION("""COMPUTED_VALUE"""),9.065823581E9)</f>
        <v>9065823581</v>
      </c>
      <c r="F628" s="155" t="str">
        <f>IFERROR(__xludf.DUMMYFUNCTION("""COMPUTED_VALUE"""),"AIML")</f>
        <v>AIML</v>
      </c>
      <c r="G628" s="158"/>
      <c r="H628" s="559">
        <f>IFERROR(__xludf.DUMMYFUNCTION("""COMPUTED_VALUE"""),79.0)</f>
        <v>79</v>
      </c>
      <c r="I628" s="559">
        <f>IFERROR(__xludf.DUMMYFUNCTION("""COMPUTED_VALUE"""),91.0)</f>
        <v>91</v>
      </c>
      <c r="J628" s="559">
        <f>IFERROR(__xludf.DUMMYFUNCTION("""COMPUTED_VALUE"""),70.0)</f>
        <v>70</v>
      </c>
      <c r="K628" s="559">
        <f>IFERROR(__xludf.DUMMYFUNCTION("""COMPUTED_VALUE"""),70.0)</f>
        <v>70</v>
      </c>
      <c r="L628" s="560">
        <f>IFERROR(__xludf.DUMMYFUNCTION("""COMPUTED_VALUE"""),29.0)</f>
        <v>29</v>
      </c>
      <c r="M628" s="561">
        <f>IFERROR(__xludf.DUMMYFUNCTION("""COMPUTED_VALUE"""),50.0)</f>
        <v>50</v>
      </c>
      <c r="N628" s="561">
        <f>IFERROR(__xludf.DUMMYFUNCTION("""COMPUTED_VALUE"""),50.0)</f>
        <v>50</v>
      </c>
      <c r="O628" s="560"/>
      <c r="P628" s="562">
        <f>IFERROR(__xludf.DUMMYFUNCTION("""COMPUTED_VALUE"""),82.0)</f>
        <v>82</v>
      </c>
      <c r="Q628" s="562">
        <f>IFERROR(__xludf.DUMMYFUNCTION("""COMPUTED_VALUE"""),71.0)</f>
        <v>71</v>
      </c>
      <c r="R628" s="562">
        <f>IFERROR(__xludf.DUMMYFUNCTION("""COMPUTED_VALUE"""),75.0)</f>
        <v>75</v>
      </c>
      <c r="S628" s="562"/>
      <c r="T628" s="217">
        <f>IFERROR(__xludf.DUMMYFUNCTION("""COMPUTED_VALUE"""),12.0)</f>
        <v>12</v>
      </c>
      <c r="U628" s="217">
        <f>IFERROR(__xludf.DUMMYFUNCTION("""COMPUTED_VALUE"""),20.0)</f>
        <v>20</v>
      </c>
      <c r="V628" s="217">
        <f>IFERROR(__xludf.DUMMYFUNCTION("""COMPUTED_VALUE"""),88.0)</f>
        <v>88</v>
      </c>
      <c r="W628" s="217">
        <f>IFERROR(__xludf.DUMMYFUNCTION("""COMPUTED_VALUE"""),88.0)</f>
        <v>88</v>
      </c>
      <c r="X628" s="217">
        <f>IFERROR(__xludf.DUMMYFUNCTION("""COMPUTED_VALUE"""),76.0)</f>
        <v>76</v>
      </c>
      <c r="Y628" s="217"/>
      <c r="Z628" s="217"/>
      <c r="AA628" s="481">
        <f>IFERROR(__xludf.DUMMYFUNCTION("""COMPUTED_VALUE"""),0.0)</f>
        <v>0</v>
      </c>
      <c r="AB628" s="481">
        <f>IFERROR(__xludf.DUMMYFUNCTION("""COMPUTED_VALUE"""),100.0)</f>
        <v>100</v>
      </c>
      <c r="AC628" s="481">
        <f>IFERROR(__xludf.DUMMYFUNCTION("""COMPUTED_VALUE"""),20.0)</f>
        <v>20</v>
      </c>
      <c r="AD628" s="481">
        <f>IFERROR(__xludf.DUMMYFUNCTION("""COMPUTED_VALUE"""),7.0)</f>
        <v>7</v>
      </c>
      <c r="AE628" s="481">
        <f>IFERROR(__xludf.DUMMYFUNCTION("""COMPUTED_VALUE"""),60.0)</f>
        <v>60</v>
      </c>
      <c r="AF628" s="481"/>
      <c r="AG628" s="481">
        <f>IFERROR(__xludf.DUMMYFUNCTION("""COMPUTED_VALUE"""),52.0)</f>
        <v>52</v>
      </c>
      <c r="AH628" s="481"/>
      <c r="AI628" s="158"/>
      <c r="AJ628" s="158"/>
      <c r="AK628" s="133">
        <f>IFERROR(__xludf.DUMMYFUNCTION("""COMPUTED_VALUE"""),4.0)</f>
        <v>4</v>
      </c>
      <c r="AL628" s="133">
        <f>IFERROR(__xludf.DUMMYFUNCTION("""COMPUTED_VALUE"""),0.0)</f>
        <v>0</v>
      </c>
      <c r="AM628" s="133">
        <f>IFERROR(__xludf.DUMMYFUNCTION("""COMPUTED_VALUE"""),3.0)</f>
        <v>3</v>
      </c>
      <c r="AN628" s="133" t="str">
        <f>IFERROR(__xludf.DUMMYFUNCTION("""COMPUTED_VALUE"""),"2")</f>
        <v>2</v>
      </c>
      <c r="AO628" s="133">
        <f>IFERROR(__xludf.DUMMYFUNCTION("""COMPUTED_VALUE"""),3.0)</f>
        <v>3</v>
      </c>
      <c r="AP628" s="155" t="s">
        <v>3780</v>
      </c>
    </row>
    <row r="629">
      <c r="A629" s="155">
        <f>IFERROR(__xludf.DUMMYFUNCTION("""COMPUTED_VALUE"""),108.0)</f>
        <v>108</v>
      </c>
      <c r="B629" s="155" t="str">
        <f>IFERROR(__xludf.DUMMYFUNCTION("""COMPUTED_VALUE"""),"shs23aiml@cmrit.ac.in")</f>
        <v>shs23aiml@cmrit.ac.in</v>
      </c>
      <c r="C629" s="174" t="str">
        <f>IFERROR(__xludf.DUMMYFUNCTION("""COMPUTED_VALUE"""),"Sheetal")</f>
        <v>Sheetal</v>
      </c>
      <c r="D629" s="155" t="str">
        <f>IFERROR(__xludf.DUMMYFUNCTION("""COMPUTED_VALUE"""),"1CR23AI112")</f>
        <v>1CR23AI112</v>
      </c>
      <c r="E629" s="563">
        <f>IFERROR(__xludf.DUMMYFUNCTION("""COMPUTED_VALUE"""),9.10856152E9)</f>
        <v>9108561520</v>
      </c>
      <c r="F629" s="155" t="str">
        <f>IFERROR(__xludf.DUMMYFUNCTION("""COMPUTED_VALUE"""),"AIML")</f>
        <v>AIML</v>
      </c>
      <c r="G629" s="158"/>
      <c r="H629" s="559">
        <f>IFERROR(__xludf.DUMMYFUNCTION("""COMPUTED_VALUE"""),75.0)</f>
        <v>75</v>
      </c>
      <c r="I629" s="559">
        <f>IFERROR(__xludf.DUMMYFUNCTION("""COMPUTED_VALUE"""),84.0)</f>
        <v>84</v>
      </c>
      <c r="J629" s="559">
        <f>IFERROR(__xludf.DUMMYFUNCTION("""COMPUTED_VALUE"""),77.0)</f>
        <v>77</v>
      </c>
      <c r="K629" s="559">
        <f>IFERROR(__xludf.DUMMYFUNCTION("""COMPUTED_VALUE"""),70.0)</f>
        <v>70</v>
      </c>
      <c r="L629" s="560">
        <f>IFERROR(__xludf.DUMMYFUNCTION("""COMPUTED_VALUE"""),50.0)</f>
        <v>50</v>
      </c>
      <c r="M629" s="561">
        <f>IFERROR(__xludf.DUMMYFUNCTION("""COMPUTED_VALUE"""),50.0)</f>
        <v>50</v>
      </c>
      <c r="N629" s="561">
        <f>IFERROR(__xludf.DUMMYFUNCTION("""COMPUTED_VALUE"""),53.0)</f>
        <v>53</v>
      </c>
      <c r="O629" s="560"/>
      <c r="P629" s="562">
        <f>IFERROR(__xludf.DUMMYFUNCTION("""COMPUTED_VALUE"""),79.0)</f>
        <v>79</v>
      </c>
      <c r="Q629" s="562">
        <f>IFERROR(__xludf.DUMMYFUNCTION("""COMPUTED_VALUE"""),71.0)</f>
        <v>71</v>
      </c>
      <c r="R629" s="562">
        <f>IFERROR(__xludf.DUMMYFUNCTION("""COMPUTED_VALUE"""),77.0)</f>
        <v>77</v>
      </c>
      <c r="S629" s="562"/>
      <c r="T629" s="217">
        <f>IFERROR(__xludf.DUMMYFUNCTION("""COMPUTED_VALUE"""),13.0)</f>
        <v>13</v>
      </c>
      <c r="U629" s="217">
        <f>IFERROR(__xludf.DUMMYFUNCTION("""COMPUTED_VALUE"""),10.0)</f>
        <v>10</v>
      </c>
      <c r="V629" s="217">
        <f>IFERROR(__xludf.DUMMYFUNCTION("""COMPUTED_VALUE"""),68.0)</f>
        <v>68</v>
      </c>
      <c r="W629" s="217">
        <f>IFERROR(__xludf.DUMMYFUNCTION("""COMPUTED_VALUE"""),84.0)</f>
        <v>84</v>
      </c>
      <c r="X629" s="217">
        <f>IFERROR(__xludf.DUMMYFUNCTION("""COMPUTED_VALUE"""),72.0)</f>
        <v>72</v>
      </c>
      <c r="Y629" s="217"/>
      <c r="Z629" s="217"/>
      <c r="AA629" s="481">
        <f>IFERROR(__xludf.DUMMYFUNCTION("""COMPUTED_VALUE"""),80.0)</f>
        <v>80</v>
      </c>
      <c r="AB629" s="481">
        <f>IFERROR(__xludf.DUMMYFUNCTION("""COMPUTED_VALUE"""),100.0)</f>
        <v>100</v>
      </c>
      <c r="AC629" s="481">
        <f>IFERROR(__xludf.DUMMYFUNCTION("""COMPUTED_VALUE"""),90.0)</f>
        <v>90</v>
      </c>
      <c r="AD629" s="481">
        <f>IFERROR(__xludf.DUMMYFUNCTION("""COMPUTED_VALUE"""),70.0)</f>
        <v>70</v>
      </c>
      <c r="AE629" s="481">
        <f>IFERROR(__xludf.DUMMYFUNCTION("""COMPUTED_VALUE"""),70.0)</f>
        <v>70</v>
      </c>
      <c r="AF629" s="481"/>
      <c r="AG629" s="481">
        <f>IFERROR(__xludf.DUMMYFUNCTION("""COMPUTED_VALUE"""),95.0)</f>
        <v>95</v>
      </c>
      <c r="AH629" s="481"/>
      <c r="AI629" s="158"/>
      <c r="AJ629" s="158"/>
      <c r="AK629" s="133">
        <f>IFERROR(__xludf.DUMMYFUNCTION("""COMPUTED_VALUE"""),4.0)</f>
        <v>4</v>
      </c>
      <c r="AL629" s="133">
        <f>IFERROR(__xludf.DUMMYFUNCTION("""COMPUTED_VALUE"""),3.0)</f>
        <v>3</v>
      </c>
      <c r="AM629" s="133">
        <f>IFERROR(__xludf.DUMMYFUNCTION("""COMPUTED_VALUE"""),3.0)</f>
        <v>3</v>
      </c>
      <c r="AN629" s="133" t="str">
        <f>IFERROR(__xludf.DUMMYFUNCTION("""COMPUTED_VALUE"""),"3.5")</f>
        <v>3.5</v>
      </c>
      <c r="AO629" s="133">
        <f>IFERROR(__xludf.DUMMYFUNCTION("""COMPUTED_VALUE"""),3.0)</f>
        <v>3</v>
      </c>
      <c r="AP629" s="155" t="s">
        <v>3780</v>
      </c>
    </row>
    <row r="630">
      <c r="A630" s="155">
        <f>IFERROR(__xludf.DUMMYFUNCTION("""COMPUTED_VALUE"""),109.0)</f>
        <v>109</v>
      </c>
      <c r="B630" s="155" t="str">
        <f>IFERROR(__xludf.DUMMYFUNCTION("""COMPUTED_VALUE"""),"shar23aiml@cmrit.ac.in")</f>
        <v>shar23aiml@cmrit.ac.in</v>
      </c>
      <c r="C630" s="174" t="str">
        <f>IFERROR(__xludf.DUMMYFUNCTION("""COMPUTED_VALUE"""),"SHIVAM ARYA")</f>
        <v>SHIVAM ARYA</v>
      </c>
      <c r="D630" s="155" t="str">
        <f>IFERROR(__xludf.DUMMYFUNCTION("""COMPUTED_VALUE"""),"1CR23AI113")</f>
        <v>1CR23AI113</v>
      </c>
      <c r="E630" s="563">
        <f>IFERROR(__xludf.DUMMYFUNCTION("""COMPUTED_VALUE"""),7.635023448E9)</f>
        <v>7635023448</v>
      </c>
      <c r="F630" s="155" t="str">
        <f>IFERROR(__xludf.DUMMYFUNCTION("""COMPUTED_VALUE"""),"AIML")</f>
        <v>AIML</v>
      </c>
      <c r="G630" s="158"/>
      <c r="H630" s="559">
        <f>IFERROR(__xludf.DUMMYFUNCTION("""COMPUTED_VALUE"""),77.0)</f>
        <v>77</v>
      </c>
      <c r="I630" s="559">
        <f>IFERROR(__xludf.DUMMYFUNCTION("""COMPUTED_VALUE"""),90.0)</f>
        <v>90</v>
      </c>
      <c r="J630" s="559">
        <f>IFERROR(__xludf.DUMMYFUNCTION("""COMPUTED_VALUE"""),70.0)</f>
        <v>70</v>
      </c>
      <c r="K630" s="559">
        <f>IFERROR(__xludf.DUMMYFUNCTION("""COMPUTED_VALUE"""),70.0)</f>
        <v>70</v>
      </c>
      <c r="L630" s="560">
        <f>IFERROR(__xludf.DUMMYFUNCTION("""COMPUTED_VALUE"""),50.0)</f>
        <v>50</v>
      </c>
      <c r="M630" s="561">
        <f>IFERROR(__xludf.DUMMYFUNCTION("""COMPUTED_VALUE"""),29.0)</f>
        <v>29</v>
      </c>
      <c r="N630" s="561">
        <f>IFERROR(__xludf.DUMMYFUNCTION("""COMPUTED_VALUE"""),50.0)</f>
        <v>50</v>
      </c>
      <c r="O630" s="560"/>
      <c r="P630" s="562">
        <f>IFERROR(__xludf.DUMMYFUNCTION("""COMPUTED_VALUE"""),75.0)</f>
        <v>75</v>
      </c>
      <c r="Q630" s="562">
        <f>IFERROR(__xludf.DUMMYFUNCTION("""COMPUTED_VALUE"""),71.0)</f>
        <v>71</v>
      </c>
      <c r="R630" s="562">
        <f>IFERROR(__xludf.DUMMYFUNCTION("""COMPUTED_VALUE"""),38.0)</f>
        <v>38</v>
      </c>
      <c r="S630" s="562"/>
      <c r="T630" s="217">
        <f>IFERROR(__xludf.DUMMYFUNCTION("""COMPUTED_VALUE"""),14.0)</f>
        <v>14</v>
      </c>
      <c r="U630" s="217">
        <f>IFERROR(__xludf.DUMMYFUNCTION("""COMPUTED_VALUE"""),20.0)</f>
        <v>20</v>
      </c>
      <c r="V630" s="217">
        <f>IFERROR(__xludf.DUMMYFUNCTION("""COMPUTED_VALUE"""),0.0)</f>
        <v>0</v>
      </c>
      <c r="W630" s="217">
        <f>IFERROR(__xludf.DUMMYFUNCTION("""COMPUTED_VALUE"""),86.0)</f>
        <v>86</v>
      </c>
      <c r="X630" s="217">
        <f>IFERROR(__xludf.DUMMYFUNCTION("""COMPUTED_VALUE"""),62.0)</f>
        <v>62</v>
      </c>
      <c r="Y630" s="217"/>
      <c r="Z630" s="217"/>
      <c r="AA630" s="481">
        <f>IFERROR(__xludf.DUMMYFUNCTION("""COMPUTED_VALUE"""),10.0)</f>
        <v>10</v>
      </c>
      <c r="AB630" s="481">
        <f>IFERROR(__xludf.DUMMYFUNCTION("""COMPUTED_VALUE"""),97.0)</f>
        <v>97</v>
      </c>
      <c r="AC630" s="481">
        <f>IFERROR(__xludf.DUMMYFUNCTION("""COMPUTED_VALUE"""),60.0)</f>
        <v>60</v>
      </c>
      <c r="AD630" s="481">
        <f>IFERROR(__xludf.DUMMYFUNCTION("""COMPUTED_VALUE"""),62.0)</f>
        <v>62</v>
      </c>
      <c r="AE630" s="481">
        <f>IFERROR(__xludf.DUMMYFUNCTION("""COMPUTED_VALUE"""),50.0)</f>
        <v>50</v>
      </c>
      <c r="AF630" s="481"/>
      <c r="AG630" s="481">
        <f>IFERROR(__xludf.DUMMYFUNCTION("""COMPUTED_VALUE"""),87.0)</f>
        <v>87</v>
      </c>
      <c r="AH630" s="481"/>
      <c r="AI630" s="158"/>
      <c r="AJ630" s="158"/>
      <c r="AK630" s="133">
        <f>IFERROR(__xludf.DUMMYFUNCTION("""COMPUTED_VALUE"""),4.0)</f>
        <v>4</v>
      </c>
      <c r="AL630" s="133">
        <f>IFERROR(__xludf.DUMMYFUNCTION("""COMPUTED_VALUE"""),1.0)</f>
        <v>1</v>
      </c>
      <c r="AM630" s="133">
        <f>IFERROR(__xludf.DUMMYFUNCTION("""COMPUTED_VALUE"""),3.0)</f>
        <v>3</v>
      </c>
      <c r="AN630" s="133" t="str">
        <f>IFERROR(__xludf.DUMMYFUNCTION("""COMPUTED_VALUE"""),"3")</f>
        <v>3</v>
      </c>
      <c r="AO630" s="133">
        <f>IFERROR(__xludf.DUMMYFUNCTION("""COMPUTED_VALUE"""),2.0)</f>
        <v>2</v>
      </c>
      <c r="AP630" s="155" t="s">
        <v>3780</v>
      </c>
    </row>
    <row r="631">
      <c r="A631" s="155">
        <f>IFERROR(__xludf.DUMMYFUNCTION("""COMPUTED_VALUE"""),110.0)</f>
        <v>110</v>
      </c>
      <c r="B631" s="155" t="str">
        <f>IFERROR(__xludf.DUMMYFUNCTION("""COMPUTED_VALUE"""),"shr23aiml@cmrit.ac.in")</f>
        <v>shr23aiml@cmrit.ac.in</v>
      </c>
      <c r="C631" s="174" t="str">
        <f>IFERROR(__xludf.DUMMYFUNCTION("""COMPUTED_VALUE"""),"SHOMITH R")</f>
        <v>SHOMITH R</v>
      </c>
      <c r="D631" s="155" t="str">
        <f>IFERROR(__xludf.DUMMYFUNCTION("""COMPUTED_VALUE"""),"1CR23AI114")</f>
        <v>1CR23AI114</v>
      </c>
      <c r="E631" s="563">
        <f>IFERROR(__xludf.DUMMYFUNCTION("""COMPUTED_VALUE"""),7.411442609E9)</f>
        <v>7411442609</v>
      </c>
      <c r="F631" s="155" t="str">
        <f>IFERROR(__xludf.DUMMYFUNCTION("""COMPUTED_VALUE"""),"AIML")</f>
        <v>AIML</v>
      </c>
      <c r="G631" s="158"/>
      <c r="H631" s="559">
        <f>IFERROR(__xludf.DUMMYFUNCTION("""COMPUTED_VALUE"""),71.0)</f>
        <v>71</v>
      </c>
      <c r="I631" s="559">
        <f>IFERROR(__xludf.DUMMYFUNCTION("""COMPUTED_VALUE"""),81.0)</f>
        <v>81</v>
      </c>
      <c r="J631" s="559">
        <f>IFERROR(__xludf.DUMMYFUNCTION("""COMPUTED_VALUE"""),70.0)</f>
        <v>70</v>
      </c>
      <c r="K631" s="559">
        <f>IFERROR(__xludf.DUMMYFUNCTION("""COMPUTED_VALUE"""),70.0)</f>
        <v>70</v>
      </c>
      <c r="L631" s="560">
        <f>IFERROR(__xludf.DUMMYFUNCTION("""COMPUTED_VALUE"""),50.0)</f>
        <v>50</v>
      </c>
      <c r="M631" s="561">
        <f>IFERROR(__xludf.DUMMYFUNCTION("""COMPUTED_VALUE"""),12.0)</f>
        <v>12</v>
      </c>
      <c r="N631" s="561">
        <f>IFERROR(__xludf.DUMMYFUNCTION("""COMPUTED_VALUE"""),50.0)</f>
        <v>50</v>
      </c>
      <c r="O631" s="560"/>
      <c r="P631" s="562">
        <f>IFERROR(__xludf.DUMMYFUNCTION("""COMPUTED_VALUE"""),82.0)</f>
        <v>82</v>
      </c>
      <c r="Q631" s="562">
        <f>IFERROR(__xludf.DUMMYFUNCTION("""COMPUTED_VALUE"""),72.0)</f>
        <v>72</v>
      </c>
      <c r="R631" s="562">
        <f>IFERROR(__xludf.DUMMYFUNCTION("""COMPUTED_VALUE"""),74.0)</f>
        <v>74</v>
      </c>
      <c r="S631" s="562"/>
      <c r="T631" s="217">
        <f>IFERROR(__xludf.DUMMYFUNCTION("""COMPUTED_VALUE"""),11.0)</f>
        <v>11</v>
      </c>
      <c r="U631" s="217">
        <f>IFERROR(__xludf.DUMMYFUNCTION("""COMPUTED_VALUE"""),22.0)</f>
        <v>22</v>
      </c>
      <c r="V631" s="217">
        <f>IFERROR(__xludf.DUMMYFUNCTION("""COMPUTED_VALUE"""),74.0)</f>
        <v>74</v>
      </c>
      <c r="W631" s="217">
        <f>IFERROR(__xludf.DUMMYFUNCTION("""COMPUTED_VALUE"""),78.0)</f>
        <v>78</v>
      </c>
      <c r="X631" s="217">
        <f>IFERROR(__xludf.DUMMYFUNCTION("""COMPUTED_VALUE"""),74.0)</f>
        <v>74</v>
      </c>
      <c r="Y631" s="217"/>
      <c r="Z631" s="217"/>
      <c r="AA631" s="481">
        <f>IFERROR(__xludf.DUMMYFUNCTION("""COMPUTED_VALUE"""),61.0)</f>
        <v>61</v>
      </c>
      <c r="AB631" s="481">
        <f>IFERROR(__xludf.DUMMYFUNCTION("""COMPUTED_VALUE"""),72.0)</f>
        <v>72</v>
      </c>
      <c r="AC631" s="481">
        <f>IFERROR(__xludf.DUMMYFUNCTION("""COMPUTED_VALUE"""),0.0)</f>
        <v>0</v>
      </c>
      <c r="AD631" s="481">
        <f>IFERROR(__xludf.DUMMYFUNCTION("""COMPUTED_VALUE"""),94.0)</f>
        <v>94</v>
      </c>
      <c r="AE631" s="481">
        <f>IFERROR(__xludf.DUMMYFUNCTION("""COMPUTED_VALUE"""),70.0)</f>
        <v>70</v>
      </c>
      <c r="AF631" s="481"/>
      <c r="AG631" s="481">
        <f>IFERROR(__xludf.DUMMYFUNCTION("""COMPUTED_VALUE"""),55.0)</f>
        <v>55</v>
      </c>
      <c r="AH631" s="481"/>
      <c r="AI631" s="158"/>
      <c r="AJ631" s="158"/>
      <c r="AK631" s="133">
        <f>IFERROR(__xludf.DUMMYFUNCTION("""COMPUTED_VALUE"""),4.0)</f>
        <v>4</v>
      </c>
      <c r="AL631" s="133">
        <f>IFERROR(__xludf.DUMMYFUNCTION("""COMPUTED_VALUE"""),1.0)</f>
        <v>1</v>
      </c>
      <c r="AM631" s="133">
        <f>IFERROR(__xludf.DUMMYFUNCTION("""COMPUTED_VALUE"""),3.0)</f>
        <v>3</v>
      </c>
      <c r="AN631" s="133" t="str">
        <f>IFERROR(__xludf.DUMMYFUNCTION("""COMPUTED_VALUE"""),"3.5")</f>
        <v>3.5</v>
      </c>
      <c r="AO631" s="133">
        <f>IFERROR(__xludf.DUMMYFUNCTION("""COMPUTED_VALUE"""),3.0)</f>
        <v>3</v>
      </c>
      <c r="AP631" s="155" t="s">
        <v>3780</v>
      </c>
    </row>
    <row r="632">
      <c r="A632" s="155">
        <f>IFERROR(__xludf.DUMMYFUNCTION("""COMPUTED_VALUE"""),111.0)</f>
        <v>111</v>
      </c>
      <c r="B632" s="155" t="str">
        <f>IFERROR(__xludf.DUMMYFUNCTION("""COMPUTED_VALUE"""),"shhe23aiml@cmrit.ac.in")</f>
        <v>shhe23aiml@cmrit.ac.in</v>
      </c>
      <c r="C632" s="174" t="str">
        <f>IFERROR(__xludf.DUMMYFUNCTION("""COMPUTED_VALUE"""),"Shreyas Hemmady ")</f>
        <v>Shreyas Hemmady </v>
      </c>
      <c r="D632" s="155" t="str">
        <f>IFERROR(__xludf.DUMMYFUNCTION("""COMPUTED_VALUE"""),"1CR23AI115")</f>
        <v>1CR23AI115</v>
      </c>
      <c r="E632" s="563">
        <f>IFERROR(__xludf.DUMMYFUNCTION("""COMPUTED_VALUE"""),8.147811129E9)</f>
        <v>8147811129</v>
      </c>
      <c r="F632" s="155" t="str">
        <f>IFERROR(__xludf.DUMMYFUNCTION("""COMPUTED_VALUE"""),"AIML")</f>
        <v>AIML</v>
      </c>
      <c r="G632" s="158"/>
      <c r="H632" s="559">
        <f>IFERROR(__xludf.DUMMYFUNCTION("""COMPUTED_VALUE"""),71.0)</f>
        <v>71</v>
      </c>
      <c r="I632" s="559">
        <f>IFERROR(__xludf.DUMMYFUNCTION("""COMPUTED_VALUE"""),83.0)</f>
        <v>83</v>
      </c>
      <c r="J632" s="559">
        <f>IFERROR(__xludf.DUMMYFUNCTION("""COMPUTED_VALUE"""),70.0)</f>
        <v>70</v>
      </c>
      <c r="K632" s="559">
        <f>IFERROR(__xludf.DUMMYFUNCTION("""COMPUTED_VALUE"""),74.0)</f>
        <v>74</v>
      </c>
      <c r="L632" s="560">
        <f>IFERROR(__xludf.DUMMYFUNCTION("""COMPUTED_VALUE"""),50.0)</f>
        <v>50</v>
      </c>
      <c r="M632" s="561">
        <f>IFERROR(__xludf.DUMMYFUNCTION("""COMPUTED_VALUE"""),35.0)</f>
        <v>35</v>
      </c>
      <c r="N632" s="561">
        <f>IFERROR(__xludf.DUMMYFUNCTION("""COMPUTED_VALUE"""),50.0)</f>
        <v>50</v>
      </c>
      <c r="O632" s="560"/>
      <c r="P632" s="562">
        <f>IFERROR(__xludf.DUMMYFUNCTION("""COMPUTED_VALUE"""),75.0)</f>
        <v>75</v>
      </c>
      <c r="Q632" s="562">
        <f>IFERROR(__xludf.DUMMYFUNCTION("""COMPUTED_VALUE"""),53.0)</f>
        <v>53</v>
      </c>
      <c r="R632" s="562">
        <f>IFERROR(__xludf.DUMMYFUNCTION("""COMPUTED_VALUE"""),90.0)</f>
        <v>90</v>
      </c>
      <c r="S632" s="562"/>
      <c r="T632" s="217">
        <f>IFERROR(__xludf.DUMMYFUNCTION("""COMPUTED_VALUE"""),11.0)</f>
        <v>11</v>
      </c>
      <c r="U632" s="217">
        <f>IFERROR(__xludf.DUMMYFUNCTION("""COMPUTED_VALUE"""),25.0)</f>
        <v>25</v>
      </c>
      <c r="V632" s="217">
        <f>IFERROR(__xludf.DUMMYFUNCTION("""COMPUTED_VALUE"""),88.0)</f>
        <v>88</v>
      </c>
      <c r="W632" s="217">
        <f>IFERROR(__xludf.DUMMYFUNCTION("""COMPUTED_VALUE"""),90.0)</f>
        <v>90</v>
      </c>
      <c r="X632" s="217">
        <f>IFERROR(__xludf.DUMMYFUNCTION("""COMPUTED_VALUE"""),68.0)</f>
        <v>68</v>
      </c>
      <c r="Y632" s="217"/>
      <c r="Z632" s="217"/>
      <c r="AA632" s="481">
        <f>IFERROR(__xludf.DUMMYFUNCTION("""COMPUTED_VALUE"""),78.0)</f>
        <v>78</v>
      </c>
      <c r="AB632" s="481">
        <f>IFERROR(__xludf.DUMMYFUNCTION("""COMPUTED_VALUE"""),100.0)</f>
        <v>100</v>
      </c>
      <c r="AC632" s="481">
        <f>IFERROR(__xludf.DUMMYFUNCTION("""COMPUTED_VALUE"""),60.0)</f>
        <v>60</v>
      </c>
      <c r="AD632" s="481">
        <f>IFERROR(__xludf.DUMMYFUNCTION("""COMPUTED_VALUE"""),100.0)</f>
        <v>100</v>
      </c>
      <c r="AE632" s="481">
        <f>IFERROR(__xludf.DUMMYFUNCTION("""COMPUTED_VALUE"""),70.0)</f>
        <v>70</v>
      </c>
      <c r="AF632" s="481"/>
      <c r="AG632" s="481">
        <f>IFERROR(__xludf.DUMMYFUNCTION("""COMPUTED_VALUE"""),82.0)</f>
        <v>82</v>
      </c>
      <c r="AH632" s="481"/>
      <c r="AI632" s="158"/>
      <c r="AJ632" s="158"/>
      <c r="AK632" s="133">
        <f>IFERROR(__xludf.DUMMYFUNCTION("""COMPUTED_VALUE"""),4.0)</f>
        <v>4</v>
      </c>
      <c r="AL632" s="133">
        <f>IFERROR(__xludf.DUMMYFUNCTION("""COMPUTED_VALUE"""),1.0)</f>
        <v>1</v>
      </c>
      <c r="AM632" s="133">
        <f>IFERROR(__xludf.DUMMYFUNCTION("""COMPUTED_VALUE"""),3.0)</f>
        <v>3</v>
      </c>
      <c r="AN632" s="133" t="str">
        <f>IFERROR(__xludf.DUMMYFUNCTION("""COMPUTED_VALUE"""),"3.5")</f>
        <v>3.5</v>
      </c>
      <c r="AO632" s="133">
        <f>IFERROR(__xludf.DUMMYFUNCTION("""COMPUTED_VALUE"""),3.0)</f>
        <v>3</v>
      </c>
      <c r="AP632" s="155" t="s">
        <v>3780</v>
      </c>
    </row>
    <row r="633">
      <c r="A633" s="155">
        <f>IFERROR(__xludf.DUMMYFUNCTION("""COMPUTED_VALUE"""),112.0)</f>
        <v>112</v>
      </c>
      <c r="B633" s="155" t="str">
        <f>IFERROR(__xludf.DUMMYFUNCTION("""COMPUTED_VALUE"""),"srma23aiml@cmrit.ac.in")</f>
        <v>srma23aiml@cmrit.ac.in</v>
      </c>
      <c r="C633" s="174" t="str">
        <f>IFERROR(__xludf.DUMMYFUNCTION("""COMPUTED_VALUE"""),"Srishti Sangayya Malimath")</f>
        <v>Srishti Sangayya Malimath</v>
      </c>
      <c r="D633" s="155" t="str">
        <f>IFERROR(__xludf.DUMMYFUNCTION("""COMPUTED_VALUE"""),"1CR23AI117")</f>
        <v>1CR23AI117</v>
      </c>
      <c r="E633" s="563">
        <f>IFERROR(__xludf.DUMMYFUNCTION("""COMPUTED_VALUE"""),8.431270997E9)</f>
        <v>8431270997</v>
      </c>
      <c r="F633" s="155" t="str">
        <f>IFERROR(__xludf.DUMMYFUNCTION("""COMPUTED_VALUE"""),"AIML")</f>
        <v>AIML</v>
      </c>
      <c r="G633" s="158"/>
      <c r="H633" s="559">
        <f>IFERROR(__xludf.DUMMYFUNCTION("""COMPUTED_VALUE"""),70.0)</f>
        <v>70</v>
      </c>
      <c r="I633" s="559">
        <f>IFERROR(__xludf.DUMMYFUNCTION("""COMPUTED_VALUE"""),70.0)</f>
        <v>70</v>
      </c>
      <c r="J633" s="559">
        <f>IFERROR(__xludf.DUMMYFUNCTION("""COMPUTED_VALUE"""),71.0)</f>
        <v>71</v>
      </c>
      <c r="K633" s="559">
        <f>IFERROR(__xludf.DUMMYFUNCTION("""COMPUTED_VALUE"""),70.0)</f>
        <v>70</v>
      </c>
      <c r="L633" s="560">
        <f>IFERROR(__xludf.DUMMYFUNCTION("""COMPUTED_VALUE"""),50.0)</f>
        <v>50</v>
      </c>
      <c r="M633" s="561">
        <f>IFERROR(__xludf.DUMMYFUNCTION("""COMPUTED_VALUE"""),29.0)</f>
        <v>29</v>
      </c>
      <c r="N633" s="561">
        <f>IFERROR(__xludf.DUMMYFUNCTION("""COMPUTED_VALUE"""),50.0)</f>
        <v>50</v>
      </c>
      <c r="O633" s="560"/>
      <c r="P633" s="562">
        <f>IFERROR(__xludf.DUMMYFUNCTION("""COMPUTED_VALUE"""),70.0)</f>
        <v>70</v>
      </c>
      <c r="Q633" s="562">
        <f>IFERROR(__xludf.DUMMYFUNCTION("""COMPUTED_VALUE"""),73.0)</f>
        <v>73</v>
      </c>
      <c r="R633" s="562">
        <f>IFERROR(__xludf.DUMMYFUNCTION("""COMPUTED_VALUE"""),78.0)</f>
        <v>78</v>
      </c>
      <c r="S633" s="562"/>
      <c r="T633" s="217">
        <f>IFERROR(__xludf.DUMMYFUNCTION("""COMPUTED_VALUE"""),13.0)</f>
        <v>13</v>
      </c>
      <c r="U633" s="217">
        <f>IFERROR(__xludf.DUMMYFUNCTION("""COMPUTED_VALUE"""),15.0)</f>
        <v>15</v>
      </c>
      <c r="V633" s="217">
        <f>IFERROR(__xludf.DUMMYFUNCTION("""COMPUTED_VALUE"""),84.0)</f>
        <v>84</v>
      </c>
      <c r="W633" s="217">
        <f>IFERROR(__xludf.DUMMYFUNCTION("""COMPUTED_VALUE"""),90.0)</f>
        <v>90</v>
      </c>
      <c r="X633" s="217">
        <f>IFERROR(__xludf.DUMMYFUNCTION("""COMPUTED_VALUE"""),78.0)</f>
        <v>78</v>
      </c>
      <c r="Y633" s="217"/>
      <c r="Z633" s="217"/>
      <c r="AA633" s="481">
        <f>IFERROR(__xludf.DUMMYFUNCTION("""COMPUTED_VALUE"""),48.0)</f>
        <v>48</v>
      </c>
      <c r="AB633" s="481">
        <f>IFERROR(__xludf.DUMMYFUNCTION("""COMPUTED_VALUE"""),69.0)</f>
        <v>69</v>
      </c>
      <c r="AC633" s="481">
        <f>IFERROR(__xludf.DUMMYFUNCTION("""COMPUTED_VALUE"""),80.0)</f>
        <v>80</v>
      </c>
      <c r="AD633" s="481">
        <f>IFERROR(__xludf.DUMMYFUNCTION("""COMPUTED_VALUE"""),90.0)</f>
        <v>90</v>
      </c>
      <c r="AE633" s="481">
        <f>IFERROR(__xludf.DUMMYFUNCTION("""COMPUTED_VALUE"""),70.0)</f>
        <v>70</v>
      </c>
      <c r="AF633" s="481"/>
      <c r="AG633" s="481">
        <f>IFERROR(__xludf.DUMMYFUNCTION("""COMPUTED_VALUE"""),71.0)</f>
        <v>71</v>
      </c>
      <c r="AH633" s="481"/>
      <c r="AI633" s="158"/>
      <c r="AJ633" s="158"/>
      <c r="AK633" s="133">
        <f>IFERROR(__xludf.DUMMYFUNCTION("""COMPUTED_VALUE"""),4.0)</f>
        <v>4</v>
      </c>
      <c r="AL633" s="133">
        <f>IFERROR(__xludf.DUMMYFUNCTION("""COMPUTED_VALUE"""),1.0)</f>
        <v>1</v>
      </c>
      <c r="AM633" s="133">
        <f>IFERROR(__xludf.DUMMYFUNCTION("""COMPUTED_VALUE"""),3.0)</f>
        <v>3</v>
      </c>
      <c r="AN633" s="133" t="str">
        <f>IFERROR(__xludf.DUMMYFUNCTION("""COMPUTED_VALUE"""),"3.5")</f>
        <v>3.5</v>
      </c>
      <c r="AO633" s="133">
        <f>IFERROR(__xludf.DUMMYFUNCTION("""COMPUTED_VALUE"""),3.0)</f>
        <v>3</v>
      </c>
      <c r="AP633" s="155" t="s">
        <v>3792</v>
      </c>
    </row>
    <row r="634">
      <c r="A634" s="155">
        <f>IFERROR(__xludf.DUMMYFUNCTION("""COMPUTED_VALUE"""),113.0)</f>
        <v>113</v>
      </c>
      <c r="B634" s="155" t="str">
        <f>IFERROR(__xludf.DUMMYFUNCTION("""COMPUTED_VALUE"""),"stka23aiml@cmrit.ac.in")</f>
        <v>stka23aiml@cmrit.ac.in</v>
      </c>
      <c r="C634" s="174" t="str">
        <f>IFERROR(__xludf.DUMMYFUNCTION("""COMPUTED_VALUE"""),"STUTI KATIYAR")</f>
        <v>STUTI KATIYAR</v>
      </c>
      <c r="D634" s="155" t="str">
        <f>IFERROR(__xludf.DUMMYFUNCTION("""COMPUTED_VALUE"""),"1CR23AI118")</f>
        <v>1CR23AI118</v>
      </c>
      <c r="E634" s="563">
        <f>IFERROR(__xludf.DUMMYFUNCTION("""COMPUTED_VALUE"""),9.305893112E9)</f>
        <v>9305893112</v>
      </c>
      <c r="F634" s="155" t="str">
        <f>IFERROR(__xludf.DUMMYFUNCTION("""COMPUTED_VALUE"""),"AIML")</f>
        <v>AIML</v>
      </c>
      <c r="G634" s="158"/>
      <c r="H634" s="559">
        <f>IFERROR(__xludf.DUMMYFUNCTION("""COMPUTED_VALUE"""),79.0)</f>
        <v>79</v>
      </c>
      <c r="I634" s="559">
        <f>IFERROR(__xludf.DUMMYFUNCTION("""COMPUTED_VALUE"""),83.0)</f>
        <v>83</v>
      </c>
      <c r="J634" s="559">
        <f>IFERROR(__xludf.DUMMYFUNCTION("""COMPUTED_VALUE"""),70.0)</f>
        <v>70</v>
      </c>
      <c r="K634" s="559">
        <f>IFERROR(__xludf.DUMMYFUNCTION("""COMPUTED_VALUE"""),70.0)</f>
        <v>70</v>
      </c>
      <c r="L634" s="560">
        <f>IFERROR(__xludf.DUMMYFUNCTION("""COMPUTED_VALUE"""),4.0)</f>
        <v>4</v>
      </c>
      <c r="M634" s="561">
        <f>IFERROR(__xludf.DUMMYFUNCTION("""COMPUTED_VALUE"""),14.0)</f>
        <v>14</v>
      </c>
      <c r="N634" s="561">
        <f>IFERROR(__xludf.DUMMYFUNCTION("""COMPUTED_VALUE"""),14.0)</f>
        <v>14</v>
      </c>
      <c r="O634" s="560"/>
      <c r="P634" s="562">
        <f>IFERROR(__xludf.DUMMYFUNCTION("""COMPUTED_VALUE"""),82.0)</f>
        <v>82</v>
      </c>
      <c r="Q634" s="562">
        <f>IFERROR(__xludf.DUMMYFUNCTION("""COMPUTED_VALUE"""),54.0)</f>
        <v>54</v>
      </c>
      <c r="R634" s="562">
        <f>IFERROR(__xludf.DUMMYFUNCTION("""COMPUTED_VALUE"""),89.0)</f>
        <v>89</v>
      </c>
      <c r="S634" s="562"/>
      <c r="T634" s="217">
        <f>IFERROR(__xludf.DUMMYFUNCTION("""COMPUTED_VALUE"""),13.0)</f>
        <v>13</v>
      </c>
      <c r="U634" s="217">
        <f>IFERROR(__xludf.DUMMYFUNCTION("""COMPUTED_VALUE"""),22.0)</f>
        <v>22</v>
      </c>
      <c r="V634" s="217">
        <f>IFERROR(__xludf.DUMMYFUNCTION("""COMPUTED_VALUE"""),88.0)</f>
        <v>88</v>
      </c>
      <c r="W634" s="217">
        <f>IFERROR(__xludf.DUMMYFUNCTION("""COMPUTED_VALUE"""),32.0)</f>
        <v>32</v>
      </c>
      <c r="X634" s="217">
        <f>IFERROR(__xludf.DUMMYFUNCTION("""COMPUTED_VALUE"""),68.0)</f>
        <v>68</v>
      </c>
      <c r="Y634" s="217"/>
      <c r="Z634" s="217"/>
      <c r="AA634" s="481">
        <f>IFERROR(__xludf.DUMMYFUNCTION("""COMPUTED_VALUE"""),2.0)</f>
        <v>2</v>
      </c>
      <c r="AB634" s="481">
        <f>IFERROR(__xludf.DUMMYFUNCTION("""COMPUTED_VALUE"""),21.0)</f>
        <v>21</v>
      </c>
      <c r="AC634" s="481">
        <f>IFERROR(__xludf.DUMMYFUNCTION("""COMPUTED_VALUE"""),0.0)</f>
        <v>0</v>
      </c>
      <c r="AD634" s="481">
        <f>IFERROR(__xludf.DUMMYFUNCTION("""COMPUTED_VALUE"""),0.0)</f>
        <v>0</v>
      </c>
      <c r="AE634" s="481">
        <f>IFERROR(__xludf.DUMMYFUNCTION("""COMPUTED_VALUE"""),15.0)</f>
        <v>15</v>
      </c>
      <c r="AF634" s="481"/>
      <c r="AG634" s="481">
        <f>IFERROR(__xludf.DUMMYFUNCTION("""COMPUTED_VALUE"""),75.0)</f>
        <v>75</v>
      </c>
      <c r="AH634" s="481"/>
      <c r="AI634" s="158"/>
      <c r="AJ634" s="158"/>
      <c r="AK634" s="133">
        <f>IFERROR(__xludf.DUMMYFUNCTION("""COMPUTED_VALUE"""),4.0)</f>
        <v>4</v>
      </c>
      <c r="AL634" s="133">
        <f>IFERROR(__xludf.DUMMYFUNCTION("""COMPUTED_VALUE"""),0.0)</f>
        <v>0</v>
      </c>
      <c r="AM634" s="133">
        <f>IFERROR(__xludf.DUMMYFUNCTION("""COMPUTED_VALUE"""),3.0)</f>
        <v>3</v>
      </c>
      <c r="AN634" s="133" t="str">
        <f>IFERROR(__xludf.DUMMYFUNCTION("""COMPUTED_VALUE"""),"0")</f>
        <v>0</v>
      </c>
      <c r="AO634" s="133">
        <f>IFERROR(__xludf.DUMMYFUNCTION("""COMPUTED_VALUE"""),3.0)</f>
        <v>3</v>
      </c>
      <c r="AP634" s="155" t="s">
        <v>3780</v>
      </c>
    </row>
    <row r="635">
      <c r="A635" s="155">
        <f>IFERROR(__xludf.DUMMYFUNCTION("""COMPUTED_VALUE"""),114.0)</f>
        <v>114</v>
      </c>
      <c r="B635" s="155" t="str">
        <f>IFERROR(__xludf.DUMMYFUNCTION("""COMPUTED_VALUE"""),"sura23aiml@cmrit.ac.in")</f>
        <v>sura23aiml@cmrit.ac.in</v>
      </c>
      <c r="C635" s="174" t="str">
        <f>IFERROR(__xludf.DUMMYFUNCTION("""COMPUTED_VALUE"""),"SUJAL RANJAN")</f>
        <v>SUJAL RANJAN</v>
      </c>
      <c r="D635" s="155" t="str">
        <f>IFERROR(__xludf.DUMMYFUNCTION("""COMPUTED_VALUE"""),"1CR23AI119")</f>
        <v>1CR23AI119</v>
      </c>
      <c r="E635" s="563">
        <f>IFERROR(__xludf.DUMMYFUNCTION("""COMPUTED_VALUE"""),9.006360448E9)</f>
        <v>9006360448</v>
      </c>
      <c r="F635" s="155" t="str">
        <f>IFERROR(__xludf.DUMMYFUNCTION("""COMPUTED_VALUE"""),"AIML")</f>
        <v>AIML</v>
      </c>
      <c r="G635" s="158"/>
      <c r="H635" s="559">
        <f>IFERROR(__xludf.DUMMYFUNCTION("""COMPUTED_VALUE"""),85.0)</f>
        <v>85</v>
      </c>
      <c r="I635" s="559">
        <f>IFERROR(__xludf.DUMMYFUNCTION("""COMPUTED_VALUE"""),86.0)</f>
        <v>86</v>
      </c>
      <c r="J635" s="559">
        <f>IFERROR(__xludf.DUMMYFUNCTION("""COMPUTED_VALUE"""),70.0)</f>
        <v>70</v>
      </c>
      <c r="K635" s="559">
        <f>IFERROR(__xludf.DUMMYFUNCTION("""COMPUTED_VALUE"""),70.0)</f>
        <v>70</v>
      </c>
      <c r="L635" s="560">
        <f>IFERROR(__xludf.DUMMYFUNCTION("""COMPUTED_VALUE"""),75.0)</f>
        <v>75</v>
      </c>
      <c r="M635" s="561">
        <f>IFERROR(__xludf.DUMMYFUNCTION("""COMPUTED_VALUE"""),65.0)</f>
        <v>65</v>
      </c>
      <c r="N635" s="561">
        <f>IFERROR(__xludf.DUMMYFUNCTION("""COMPUTED_VALUE"""),66.0)</f>
        <v>66</v>
      </c>
      <c r="O635" s="560"/>
      <c r="P635" s="562">
        <f>IFERROR(__xludf.DUMMYFUNCTION("""COMPUTED_VALUE"""),79.0)</f>
        <v>79</v>
      </c>
      <c r="Q635" s="562">
        <f>IFERROR(__xludf.DUMMYFUNCTION("""COMPUTED_VALUE"""),71.0)</f>
        <v>71</v>
      </c>
      <c r="R635" s="562">
        <f>IFERROR(__xludf.DUMMYFUNCTION("""COMPUTED_VALUE"""),89.0)</f>
        <v>89</v>
      </c>
      <c r="S635" s="562"/>
      <c r="T635" s="217">
        <f>IFERROR(__xludf.DUMMYFUNCTION("""COMPUTED_VALUE"""),10.0)</f>
        <v>10</v>
      </c>
      <c r="U635" s="217">
        <f>IFERROR(__xludf.DUMMYFUNCTION("""COMPUTED_VALUE"""),24.0)</f>
        <v>24</v>
      </c>
      <c r="V635" s="217">
        <f>IFERROR(__xludf.DUMMYFUNCTION("""COMPUTED_VALUE"""),90.0)</f>
        <v>90</v>
      </c>
      <c r="W635" s="217">
        <f>IFERROR(__xludf.DUMMYFUNCTION("""COMPUTED_VALUE"""),78.0)</f>
        <v>78</v>
      </c>
      <c r="X635" s="217">
        <f>IFERROR(__xludf.DUMMYFUNCTION("""COMPUTED_VALUE"""),82.0)</f>
        <v>82</v>
      </c>
      <c r="Y635" s="217"/>
      <c r="Z635" s="217"/>
      <c r="AA635" s="481">
        <f>IFERROR(__xludf.DUMMYFUNCTION("""COMPUTED_VALUE"""),80.0)</f>
        <v>80</v>
      </c>
      <c r="AB635" s="481">
        <f>IFERROR(__xludf.DUMMYFUNCTION("""COMPUTED_VALUE"""),75.0)</f>
        <v>75</v>
      </c>
      <c r="AC635" s="481">
        <f>IFERROR(__xludf.DUMMYFUNCTION("""COMPUTED_VALUE"""),94.0)</f>
        <v>94</v>
      </c>
      <c r="AD635" s="481">
        <f>IFERROR(__xludf.DUMMYFUNCTION("""COMPUTED_VALUE"""),60.0)</f>
        <v>60</v>
      </c>
      <c r="AE635" s="481">
        <f>IFERROR(__xludf.DUMMYFUNCTION("""COMPUTED_VALUE"""),80.0)</f>
        <v>80</v>
      </c>
      <c r="AF635" s="481"/>
      <c r="AG635" s="481">
        <f>IFERROR(__xludf.DUMMYFUNCTION("""COMPUTED_VALUE"""),77.0)</f>
        <v>77</v>
      </c>
      <c r="AH635" s="481"/>
      <c r="AI635" s="158"/>
      <c r="AJ635" s="158"/>
      <c r="AK635" s="133">
        <f>IFERROR(__xludf.DUMMYFUNCTION("""COMPUTED_VALUE"""),4.0)</f>
        <v>4</v>
      </c>
      <c r="AL635" s="133">
        <f>IFERROR(__xludf.DUMMYFUNCTION("""COMPUTED_VALUE"""),3.0)</f>
        <v>3</v>
      </c>
      <c r="AM635" s="133">
        <f>IFERROR(__xludf.DUMMYFUNCTION("""COMPUTED_VALUE"""),3.0)</f>
        <v>3</v>
      </c>
      <c r="AN635" s="133" t="str">
        <f>IFERROR(__xludf.DUMMYFUNCTION("""COMPUTED_VALUE"""),"3.5")</f>
        <v>3.5</v>
      </c>
      <c r="AO635" s="133">
        <f>IFERROR(__xludf.DUMMYFUNCTION("""COMPUTED_VALUE"""),3.0)</f>
        <v>3</v>
      </c>
      <c r="AP635" s="155" t="s">
        <v>3780</v>
      </c>
    </row>
    <row r="636">
      <c r="A636" s="155">
        <f>IFERROR(__xludf.DUMMYFUNCTION("""COMPUTED_VALUE"""),115.0)</f>
        <v>115</v>
      </c>
      <c r="B636" s="155" t="str">
        <f>IFERROR(__xludf.DUMMYFUNCTION("""COMPUTED_VALUE"""),"suah23aiml@cmrit.ac.in")</f>
        <v>suah23aiml@cmrit.ac.in</v>
      </c>
      <c r="C636" s="174" t="str">
        <f>IFERROR(__xludf.DUMMYFUNCTION("""COMPUTED_VALUE"""),"SUMAIRAA AHMED")</f>
        <v>SUMAIRAA AHMED</v>
      </c>
      <c r="D636" s="155" t="str">
        <f>IFERROR(__xludf.DUMMYFUNCTION("""COMPUTED_VALUE"""),"1CR23AI120")</f>
        <v>1CR23AI120</v>
      </c>
      <c r="E636" s="563">
        <f>IFERROR(__xludf.DUMMYFUNCTION("""COMPUTED_VALUE"""),7.975077809E9)</f>
        <v>7975077809</v>
      </c>
      <c r="F636" s="155" t="str">
        <f>IFERROR(__xludf.DUMMYFUNCTION("""COMPUTED_VALUE"""),"AIML")</f>
        <v>AIML</v>
      </c>
      <c r="G636" s="158"/>
      <c r="H636" s="559">
        <f>IFERROR(__xludf.DUMMYFUNCTION("""COMPUTED_VALUE"""),75.0)</f>
        <v>75</v>
      </c>
      <c r="I636" s="559">
        <f>IFERROR(__xludf.DUMMYFUNCTION("""COMPUTED_VALUE"""),87.0)</f>
        <v>87</v>
      </c>
      <c r="J636" s="559">
        <f>IFERROR(__xludf.DUMMYFUNCTION("""COMPUTED_VALUE"""),52.0)</f>
        <v>52</v>
      </c>
      <c r="K636" s="559">
        <f>IFERROR(__xludf.DUMMYFUNCTION("""COMPUTED_VALUE"""),70.0)</f>
        <v>70</v>
      </c>
      <c r="L636" s="560">
        <f>IFERROR(__xludf.DUMMYFUNCTION("""COMPUTED_VALUE"""),11.0)</f>
        <v>11</v>
      </c>
      <c r="M636" s="561">
        <f>IFERROR(__xludf.DUMMYFUNCTION("""COMPUTED_VALUE"""),16.0)</f>
        <v>16</v>
      </c>
      <c r="N636" s="561">
        <f>IFERROR(__xludf.DUMMYFUNCTION("""COMPUTED_VALUE"""),24.0)</f>
        <v>24</v>
      </c>
      <c r="O636" s="560"/>
      <c r="P636" s="562">
        <f>IFERROR(__xludf.DUMMYFUNCTION("""COMPUTED_VALUE"""),74.0)</f>
        <v>74</v>
      </c>
      <c r="Q636" s="562">
        <f>IFERROR(__xludf.DUMMYFUNCTION("""COMPUTED_VALUE"""),0.0)</f>
        <v>0</v>
      </c>
      <c r="R636" s="562">
        <f>IFERROR(__xludf.DUMMYFUNCTION("""COMPUTED_VALUE"""),0.0)</f>
        <v>0</v>
      </c>
      <c r="S636" s="562"/>
      <c r="T636" s="217">
        <f>IFERROR(__xludf.DUMMYFUNCTION("""COMPUTED_VALUE"""),12.0)</f>
        <v>12</v>
      </c>
      <c r="U636" s="217">
        <f>IFERROR(__xludf.DUMMYFUNCTION("""COMPUTED_VALUE"""),18.0)</f>
        <v>18</v>
      </c>
      <c r="V636" s="217">
        <f>IFERROR(__xludf.DUMMYFUNCTION("""COMPUTED_VALUE"""),82.0)</f>
        <v>82</v>
      </c>
      <c r="W636" s="217">
        <f>IFERROR(__xludf.DUMMYFUNCTION("""COMPUTED_VALUE"""),0.0)</f>
        <v>0</v>
      </c>
      <c r="X636" s="217">
        <f>IFERROR(__xludf.DUMMYFUNCTION("""COMPUTED_VALUE"""),80.0)</f>
        <v>80</v>
      </c>
      <c r="Y636" s="217"/>
      <c r="Z636" s="217"/>
      <c r="AA636" s="481">
        <f>IFERROR(__xludf.DUMMYFUNCTION("""COMPUTED_VALUE"""),12.0)</f>
        <v>12</v>
      </c>
      <c r="AB636" s="481">
        <f>IFERROR(__xludf.DUMMYFUNCTION("""COMPUTED_VALUE"""),62.0)</f>
        <v>62</v>
      </c>
      <c r="AC636" s="481">
        <f>IFERROR(__xludf.DUMMYFUNCTION("""COMPUTED_VALUE"""),0.0)</f>
        <v>0</v>
      </c>
      <c r="AD636" s="481">
        <f>IFERROR(__xludf.DUMMYFUNCTION("""COMPUTED_VALUE"""),0.0)</f>
        <v>0</v>
      </c>
      <c r="AE636" s="481">
        <f>IFERROR(__xludf.DUMMYFUNCTION("""COMPUTED_VALUE"""),16.0)</f>
        <v>16</v>
      </c>
      <c r="AF636" s="481"/>
      <c r="AG636" s="481">
        <f>IFERROR(__xludf.DUMMYFUNCTION("""COMPUTED_VALUE"""),77.0)</f>
        <v>77</v>
      </c>
      <c r="AH636" s="481"/>
      <c r="AI636" s="158"/>
      <c r="AJ636" s="158"/>
      <c r="AK636" s="133">
        <f>IFERROR(__xludf.DUMMYFUNCTION("""COMPUTED_VALUE"""),2.0)</f>
        <v>2</v>
      </c>
      <c r="AL636" s="133">
        <f>IFERROR(__xludf.DUMMYFUNCTION("""COMPUTED_VALUE"""),0.0)</f>
        <v>0</v>
      </c>
      <c r="AM636" s="133">
        <f>IFERROR(__xludf.DUMMYFUNCTION("""COMPUTED_VALUE"""),2.0)</f>
        <v>2</v>
      </c>
      <c r="AN636" s="133" t="str">
        <f>IFERROR(__xludf.DUMMYFUNCTION("""COMPUTED_VALUE"""),"2")</f>
        <v>2</v>
      </c>
      <c r="AO636" s="133">
        <f>IFERROR(__xludf.DUMMYFUNCTION("""COMPUTED_VALUE"""),1.0)</f>
        <v>1</v>
      </c>
      <c r="AP636" s="155" t="s">
        <v>3780</v>
      </c>
    </row>
    <row r="637">
      <c r="A637" s="155">
        <f>IFERROR(__xludf.DUMMYFUNCTION("""COMPUTED_VALUE"""),116.0)</f>
        <v>116</v>
      </c>
      <c r="B637" s="155" t="str">
        <f>IFERROR(__xludf.DUMMYFUNCTION("""COMPUTED_VALUE"""),"tach23aiml@cmrit.ac.in")</f>
        <v>tach23aiml@cmrit.ac.in</v>
      </c>
      <c r="C637" s="174" t="str">
        <f>IFERROR(__xludf.DUMMYFUNCTION("""COMPUTED_VALUE"""),"TANAY CHATURVEDI")</f>
        <v>TANAY CHATURVEDI</v>
      </c>
      <c r="D637" s="155" t="str">
        <f>IFERROR(__xludf.DUMMYFUNCTION("""COMPUTED_VALUE"""),"1CR23AI121")</f>
        <v>1CR23AI121</v>
      </c>
      <c r="E637" s="563">
        <f>IFERROR(__xludf.DUMMYFUNCTION("""COMPUTED_VALUE"""),7.877100789E9)</f>
        <v>7877100789</v>
      </c>
      <c r="F637" s="155" t="str">
        <f>IFERROR(__xludf.DUMMYFUNCTION("""COMPUTED_VALUE"""),"AIML")</f>
        <v>AIML</v>
      </c>
      <c r="G637" s="158"/>
      <c r="H637" s="559">
        <f>IFERROR(__xludf.DUMMYFUNCTION("""COMPUTED_VALUE"""),87.0)</f>
        <v>87</v>
      </c>
      <c r="I637" s="559">
        <f>IFERROR(__xludf.DUMMYFUNCTION("""COMPUTED_VALUE"""),85.0)</f>
        <v>85</v>
      </c>
      <c r="J637" s="559">
        <f>IFERROR(__xludf.DUMMYFUNCTION("""COMPUTED_VALUE"""),71.0)</f>
        <v>71</v>
      </c>
      <c r="K637" s="559">
        <f>IFERROR(__xludf.DUMMYFUNCTION("""COMPUTED_VALUE"""),70.0)</f>
        <v>70</v>
      </c>
      <c r="L637" s="560">
        <f>IFERROR(__xludf.DUMMYFUNCTION("""COMPUTED_VALUE"""),50.0)</f>
        <v>50</v>
      </c>
      <c r="M637" s="561">
        <f>IFERROR(__xludf.DUMMYFUNCTION("""COMPUTED_VALUE"""),50.0)</f>
        <v>50</v>
      </c>
      <c r="N637" s="561">
        <f>IFERROR(__xludf.DUMMYFUNCTION("""COMPUTED_VALUE"""),57.0)</f>
        <v>57</v>
      </c>
      <c r="O637" s="560"/>
      <c r="P637" s="562">
        <f>IFERROR(__xludf.DUMMYFUNCTION("""COMPUTED_VALUE"""),85.0)</f>
        <v>85</v>
      </c>
      <c r="Q637" s="562">
        <f>IFERROR(__xludf.DUMMYFUNCTION("""COMPUTED_VALUE"""),71.0)</f>
        <v>71</v>
      </c>
      <c r="R637" s="562">
        <f>IFERROR(__xludf.DUMMYFUNCTION("""COMPUTED_VALUE"""),91.0)</f>
        <v>91</v>
      </c>
      <c r="S637" s="562"/>
      <c r="T637" s="217">
        <f>IFERROR(__xludf.DUMMYFUNCTION("""COMPUTED_VALUE"""),10.0)</f>
        <v>10</v>
      </c>
      <c r="U637" s="217">
        <f>IFERROR(__xludf.DUMMYFUNCTION("""COMPUTED_VALUE"""),23.0)</f>
        <v>23</v>
      </c>
      <c r="V637" s="217">
        <f>IFERROR(__xludf.DUMMYFUNCTION("""COMPUTED_VALUE"""),94.0)</f>
        <v>94</v>
      </c>
      <c r="W637" s="217">
        <f>IFERROR(__xludf.DUMMYFUNCTION("""COMPUTED_VALUE"""),82.0)</f>
        <v>82</v>
      </c>
      <c r="X637" s="217">
        <f>IFERROR(__xludf.DUMMYFUNCTION("""COMPUTED_VALUE"""),78.0)</f>
        <v>78</v>
      </c>
      <c r="Y637" s="217"/>
      <c r="Z637" s="217"/>
      <c r="AA637" s="481">
        <f>IFERROR(__xludf.DUMMYFUNCTION("""COMPUTED_VALUE"""),60.0)</f>
        <v>60</v>
      </c>
      <c r="AB637" s="481">
        <f>IFERROR(__xludf.DUMMYFUNCTION("""COMPUTED_VALUE"""),100.0)</f>
        <v>100</v>
      </c>
      <c r="AC637" s="481">
        <f>IFERROR(__xludf.DUMMYFUNCTION("""COMPUTED_VALUE"""),100.0)</f>
        <v>100</v>
      </c>
      <c r="AD637" s="481">
        <f>IFERROR(__xludf.DUMMYFUNCTION("""COMPUTED_VALUE"""),0.0)</f>
        <v>0</v>
      </c>
      <c r="AE637" s="481">
        <f>IFERROR(__xludf.DUMMYFUNCTION("""COMPUTED_VALUE"""),82.0)</f>
        <v>82</v>
      </c>
      <c r="AF637" s="481"/>
      <c r="AG637" s="481">
        <f>IFERROR(__xludf.DUMMYFUNCTION("""COMPUTED_VALUE"""),87.0)</f>
        <v>87</v>
      </c>
      <c r="AH637" s="481"/>
      <c r="AI637" s="158"/>
      <c r="AJ637" s="158"/>
      <c r="AK637" s="133">
        <f>IFERROR(__xludf.DUMMYFUNCTION("""COMPUTED_VALUE"""),4.0)</f>
        <v>4</v>
      </c>
      <c r="AL637" s="133">
        <f>IFERROR(__xludf.DUMMYFUNCTION("""COMPUTED_VALUE"""),3.0)</f>
        <v>3</v>
      </c>
      <c r="AM637" s="133">
        <f>IFERROR(__xludf.DUMMYFUNCTION("""COMPUTED_VALUE"""),3.0)</f>
        <v>3</v>
      </c>
      <c r="AN637" s="133" t="str">
        <f>IFERROR(__xludf.DUMMYFUNCTION("""COMPUTED_VALUE"""),"3.5")</f>
        <v>3.5</v>
      </c>
      <c r="AO637" s="133">
        <f>IFERROR(__xludf.DUMMYFUNCTION("""COMPUTED_VALUE"""),3.0)</f>
        <v>3</v>
      </c>
      <c r="AP637" s="155" t="s">
        <v>3780</v>
      </c>
    </row>
    <row r="638">
      <c r="A638" s="155">
        <f>IFERROR(__xludf.DUMMYFUNCTION("""COMPUTED_VALUE"""),117.0)</f>
        <v>117</v>
      </c>
      <c r="B638" s="155" t="str">
        <f>IFERROR(__xludf.DUMMYFUNCTION("""COMPUTED_VALUE"""),"tata23aiml@cmrit.ac.in")</f>
        <v>tata23aiml@cmrit.ac.in</v>
      </c>
      <c r="C638" s="174" t="str">
        <f>IFERROR(__xludf.DUMMYFUNCTION("""COMPUTED_VALUE"""),"Tanish Tammanna Pandiyanda")</f>
        <v>Tanish Tammanna Pandiyanda</v>
      </c>
      <c r="D638" s="155" t="str">
        <f>IFERROR(__xludf.DUMMYFUNCTION("""COMPUTED_VALUE"""),"1CR23AI122")</f>
        <v>1CR23AI122</v>
      </c>
      <c r="E638" s="563">
        <f>IFERROR(__xludf.DUMMYFUNCTION("""COMPUTED_VALUE"""),8.95184158E9)</f>
        <v>8951841580</v>
      </c>
      <c r="F638" s="155" t="str">
        <f>IFERROR(__xludf.DUMMYFUNCTION("""COMPUTED_VALUE"""),"AIML")</f>
        <v>AIML</v>
      </c>
      <c r="G638" s="158"/>
      <c r="H638" s="559">
        <f>IFERROR(__xludf.DUMMYFUNCTION("""COMPUTED_VALUE"""),70.0)</f>
        <v>70</v>
      </c>
      <c r="I638" s="559">
        <f>IFERROR(__xludf.DUMMYFUNCTION("""COMPUTED_VALUE"""),84.0)</f>
        <v>84</v>
      </c>
      <c r="J638" s="559">
        <f>IFERROR(__xludf.DUMMYFUNCTION("""COMPUTED_VALUE"""),48.0)</f>
        <v>48</v>
      </c>
      <c r="K638" s="559">
        <f>IFERROR(__xludf.DUMMYFUNCTION("""COMPUTED_VALUE"""),34.0)</f>
        <v>34</v>
      </c>
      <c r="L638" s="560">
        <f>IFERROR(__xludf.DUMMYFUNCTION("""COMPUTED_VALUE"""),29.0)</f>
        <v>29</v>
      </c>
      <c r="M638" s="561">
        <f>IFERROR(__xludf.DUMMYFUNCTION("""COMPUTED_VALUE"""),12.0)</f>
        <v>12</v>
      </c>
      <c r="N638" s="561">
        <f>IFERROR(__xludf.DUMMYFUNCTION("""COMPUTED_VALUE"""),0.0)</f>
        <v>0</v>
      </c>
      <c r="O638" s="560"/>
      <c r="P638" s="562">
        <f>IFERROR(__xludf.DUMMYFUNCTION("""COMPUTED_VALUE"""),79.0)</f>
        <v>79</v>
      </c>
      <c r="Q638" s="562">
        <f>IFERROR(__xludf.DUMMYFUNCTION("""COMPUTED_VALUE"""),54.0)</f>
        <v>54</v>
      </c>
      <c r="R638" s="562">
        <f>IFERROR(__xludf.DUMMYFUNCTION("""COMPUTED_VALUE"""),0.0)</f>
        <v>0</v>
      </c>
      <c r="S638" s="562"/>
      <c r="T638" s="217">
        <f>IFERROR(__xludf.DUMMYFUNCTION("""COMPUTED_VALUE"""),19.0)</f>
        <v>19</v>
      </c>
      <c r="U638" s="217"/>
      <c r="V638" s="217">
        <f>IFERROR(__xludf.DUMMYFUNCTION("""COMPUTED_VALUE"""),0.0)</f>
        <v>0</v>
      </c>
      <c r="W638" s="217">
        <f>IFERROR(__xludf.DUMMYFUNCTION("""COMPUTED_VALUE"""),0.0)</f>
        <v>0</v>
      </c>
      <c r="X638" s="217"/>
      <c r="Y638" s="217"/>
      <c r="Z638" s="217"/>
      <c r="AA638" s="481">
        <f>IFERROR(__xludf.DUMMYFUNCTION("""COMPUTED_VALUE"""),17.0)</f>
        <v>17</v>
      </c>
      <c r="AB638" s="481">
        <f>IFERROR(__xludf.DUMMYFUNCTION("""COMPUTED_VALUE"""),17.0)</f>
        <v>17</v>
      </c>
      <c r="AC638" s="481">
        <f>IFERROR(__xludf.DUMMYFUNCTION("""COMPUTED_VALUE"""),0.0)</f>
        <v>0</v>
      </c>
      <c r="AD638" s="481">
        <f>IFERROR(__xludf.DUMMYFUNCTION("""COMPUTED_VALUE"""),0.0)</f>
        <v>0</v>
      </c>
      <c r="AE638" s="481">
        <f>IFERROR(__xludf.DUMMYFUNCTION("""COMPUTED_VALUE"""),10.0)</f>
        <v>10</v>
      </c>
      <c r="AF638" s="481"/>
      <c r="AG638" s="481">
        <f>IFERROR(__xludf.DUMMYFUNCTION("""COMPUTED_VALUE"""),0.0)</f>
        <v>0</v>
      </c>
      <c r="AH638" s="481"/>
      <c r="AI638" s="158"/>
      <c r="AJ638" s="158"/>
      <c r="AK638" s="133">
        <f>IFERROR(__xludf.DUMMYFUNCTION("""COMPUTED_VALUE"""),2.0)</f>
        <v>2</v>
      </c>
      <c r="AL638" s="133">
        <f>IFERROR(__xludf.DUMMYFUNCTION("""COMPUTED_VALUE"""),0.0)</f>
        <v>0</v>
      </c>
      <c r="AM638" s="133">
        <f>IFERROR(__xludf.DUMMYFUNCTION("""COMPUTED_VALUE"""),2.0)</f>
        <v>2</v>
      </c>
      <c r="AN638" s="133" t="str">
        <f>IFERROR(__xludf.DUMMYFUNCTION("""COMPUTED_VALUE"""),"0")</f>
        <v>0</v>
      </c>
      <c r="AO638" s="133">
        <f>IFERROR(__xludf.DUMMYFUNCTION("""COMPUTED_VALUE"""),2.0)</f>
        <v>2</v>
      </c>
      <c r="AP638" s="155" t="s">
        <v>3780</v>
      </c>
    </row>
    <row r="639">
      <c r="A639" s="155">
        <f>IFERROR(__xludf.DUMMYFUNCTION("""COMPUTED_VALUE"""),118.0)</f>
        <v>118</v>
      </c>
      <c r="B639" s="155" t="str">
        <f>IFERROR(__xludf.DUMMYFUNCTION("""COMPUTED_VALUE"""),"tash23aiml@cmrit.ac.in")</f>
        <v>tash23aiml@cmrit.ac.in</v>
      </c>
      <c r="C639" s="174" t="str">
        <f>IFERROR(__xludf.DUMMYFUNCTION("""COMPUTED_VALUE"""),"Tannushree Vaishnav")</f>
        <v>Tannushree Vaishnav</v>
      </c>
      <c r="D639" s="155" t="str">
        <f>IFERROR(__xludf.DUMMYFUNCTION("""COMPUTED_VALUE"""),"1CR23AI123")</f>
        <v>1CR23AI123</v>
      </c>
      <c r="E639" s="563">
        <f>IFERROR(__xludf.DUMMYFUNCTION("""COMPUTED_VALUE"""),7.877805542E9)</f>
        <v>7877805542</v>
      </c>
      <c r="F639" s="155" t="str">
        <f>IFERROR(__xludf.DUMMYFUNCTION("""COMPUTED_VALUE"""),"AIML")</f>
        <v>AIML</v>
      </c>
      <c r="G639" s="158"/>
      <c r="H639" s="559">
        <f>IFERROR(__xludf.DUMMYFUNCTION("""COMPUTED_VALUE"""),74.0)</f>
        <v>74</v>
      </c>
      <c r="I639" s="559">
        <f>IFERROR(__xludf.DUMMYFUNCTION("""COMPUTED_VALUE"""),75.0)</f>
        <v>75</v>
      </c>
      <c r="J639" s="559">
        <f>IFERROR(__xludf.DUMMYFUNCTION("""COMPUTED_VALUE"""),70.0)</f>
        <v>70</v>
      </c>
      <c r="K639" s="559">
        <f>IFERROR(__xludf.DUMMYFUNCTION("""COMPUTED_VALUE"""),70.0)</f>
        <v>70</v>
      </c>
      <c r="L639" s="560">
        <f>IFERROR(__xludf.DUMMYFUNCTION("""COMPUTED_VALUE"""),50.0)</f>
        <v>50</v>
      </c>
      <c r="M639" s="561">
        <f>IFERROR(__xludf.DUMMYFUNCTION("""COMPUTED_VALUE"""),19.0)</f>
        <v>19</v>
      </c>
      <c r="N639" s="561">
        <f>IFERROR(__xludf.DUMMYFUNCTION("""COMPUTED_VALUE"""),50.0)</f>
        <v>50</v>
      </c>
      <c r="O639" s="560"/>
      <c r="P639" s="562">
        <f>IFERROR(__xludf.DUMMYFUNCTION("""COMPUTED_VALUE"""),84.0)</f>
        <v>84</v>
      </c>
      <c r="Q639" s="562">
        <f>IFERROR(__xludf.DUMMYFUNCTION("""COMPUTED_VALUE"""),71.0)</f>
        <v>71</v>
      </c>
      <c r="R639" s="562">
        <f>IFERROR(__xludf.DUMMYFUNCTION("""COMPUTED_VALUE"""),85.0)</f>
        <v>85</v>
      </c>
      <c r="S639" s="562"/>
      <c r="T639" s="217">
        <f>IFERROR(__xludf.DUMMYFUNCTION("""COMPUTED_VALUE"""),19.0)</f>
        <v>19</v>
      </c>
      <c r="U639" s="217">
        <f>IFERROR(__xludf.DUMMYFUNCTION("""COMPUTED_VALUE"""),24.0)</f>
        <v>24</v>
      </c>
      <c r="V639" s="217">
        <f>IFERROR(__xludf.DUMMYFUNCTION("""COMPUTED_VALUE"""),92.0)</f>
        <v>92</v>
      </c>
      <c r="W639" s="217">
        <f>IFERROR(__xludf.DUMMYFUNCTION("""COMPUTED_VALUE"""),84.0)</f>
        <v>84</v>
      </c>
      <c r="X639" s="217">
        <f>IFERROR(__xludf.DUMMYFUNCTION("""COMPUTED_VALUE"""),76.0)</f>
        <v>76</v>
      </c>
      <c r="Y639" s="217"/>
      <c r="Z639" s="217"/>
      <c r="AA639" s="481">
        <f>IFERROR(__xludf.DUMMYFUNCTION("""COMPUTED_VALUE"""),60.0)</f>
        <v>60</v>
      </c>
      <c r="AB639" s="481">
        <f>IFERROR(__xludf.DUMMYFUNCTION("""COMPUTED_VALUE"""),100.0)</f>
        <v>100</v>
      </c>
      <c r="AC639" s="481">
        <f>IFERROR(__xludf.DUMMYFUNCTION("""COMPUTED_VALUE"""),60.0)</f>
        <v>60</v>
      </c>
      <c r="AD639" s="481">
        <f>IFERROR(__xludf.DUMMYFUNCTION("""COMPUTED_VALUE"""),62.0)</f>
        <v>62</v>
      </c>
      <c r="AE639" s="481">
        <f>IFERROR(__xludf.DUMMYFUNCTION("""COMPUTED_VALUE"""),71.0)</f>
        <v>71</v>
      </c>
      <c r="AF639" s="481"/>
      <c r="AG639" s="481">
        <f>IFERROR(__xludf.DUMMYFUNCTION("""COMPUTED_VALUE"""),72.0)</f>
        <v>72</v>
      </c>
      <c r="AH639" s="481"/>
      <c r="AI639" s="158"/>
      <c r="AJ639" s="158"/>
      <c r="AK639" s="133">
        <f>IFERROR(__xludf.DUMMYFUNCTION("""COMPUTED_VALUE"""),4.0)</f>
        <v>4</v>
      </c>
      <c r="AL639" s="133">
        <f>IFERROR(__xludf.DUMMYFUNCTION("""COMPUTED_VALUE"""),1.0)</f>
        <v>1</v>
      </c>
      <c r="AM639" s="133">
        <f>IFERROR(__xludf.DUMMYFUNCTION("""COMPUTED_VALUE"""),3.0)</f>
        <v>3</v>
      </c>
      <c r="AN639" s="133" t="str">
        <f>IFERROR(__xludf.DUMMYFUNCTION("""COMPUTED_VALUE"""),"3.5")</f>
        <v>3.5</v>
      </c>
      <c r="AO639" s="133">
        <f>IFERROR(__xludf.DUMMYFUNCTION("""COMPUTED_VALUE"""),3.0)</f>
        <v>3</v>
      </c>
      <c r="AP639" s="155" t="s">
        <v>3780</v>
      </c>
    </row>
    <row r="640">
      <c r="A640" s="155">
        <f>IFERROR(__xludf.DUMMYFUNCTION("""COMPUTED_VALUE"""),119.0)</f>
        <v>119</v>
      </c>
      <c r="B640" s="155" t="str">
        <f>IFERROR(__xludf.DUMMYFUNCTION("""COMPUTED_VALUE"""),"teg23aiml@cmrit.ac.in")</f>
        <v>teg23aiml@cmrit.ac.in</v>
      </c>
      <c r="C640" s="174" t="str">
        <f>IFERROR(__xludf.DUMMYFUNCTION("""COMPUTED_VALUE"""),"TEJAS. G")</f>
        <v>TEJAS. G</v>
      </c>
      <c r="D640" s="155" t="str">
        <f>IFERROR(__xludf.DUMMYFUNCTION("""COMPUTED_VALUE"""),"1CR23AI124")</f>
        <v>1CR23AI124</v>
      </c>
      <c r="E640" s="563">
        <f>IFERROR(__xludf.DUMMYFUNCTION("""COMPUTED_VALUE"""),7.337758816E9)</f>
        <v>7337758816</v>
      </c>
      <c r="F640" s="155" t="str">
        <f>IFERROR(__xludf.DUMMYFUNCTION("""COMPUTED_VALUE"""),"AIML")</f>
        <v>AIML</v>
      </c>
      <c r="G640" s="158"/>
      <c r="H640" s="559">
        <f>IFERROR(__xludf.DUMMYFUNCTION("""COMPUTED_VALUE"""),67.0)</f>
        <v>67</v>
      </c>
      <c r="I640" s="559">
        <f>IFERROR(__xludf.DUMMYFUNCTION("""COMPUTED_VALUE"""),75.0)</f>
        <v>75</v>
      </c>
      <c r="J640" s="559">
        <f>IFERROR(__xludf.DUMMYFUNCTION("""COMPUTED_VALUE"""),70.0)</f>
        <v>70</v>
      </c>
      <c r="K640" s="559">
        <f>IFERROR(__xludf.DUMMYFUNCTION("""COMPUTED_VALUE"""),70.0)</f>
        <v>70</v>
      </c>
      <c r="L640" s="560">
        <f>IFERROR(__xludf.DUMMYFUNCTION("""COMPUTED_VALUE"""),3.0)</f>
        <v>3</v>
      </c>
      <c r="M640" s="561">
        <f>IFERROR(__xludf.DUMMYFUNCTION("""COMPUTED_VALUE"""),50.0)</f>
        <v>50</v>
      </c>
      <c r="N640" s="561">
        <f>IFERROR(__xludf.DUMMYFUNCTION("""COMPUTED_VALUE"""),20.0)</f>
        <v>20</v>
      </c>
      <c r="O640" s="560"/>
      <c r="P640" s="562">
        <f>IFERROR(__xludf.DUMMYFUNCTION("""COMPUTED_VALUE"""),50.0)</f>
        <v>50</v>
      </c>
      <c r="Q640" s="562">
        <f>IFERROR(__xludf.DUMMYFUNCTION("""COMPUTED_VALUE"""),50.0)</f>
        <v>50</v>
      </c>
      <c r="R640" s="562">
        <f>IFERROR(__xludf.DUMMYFUNCTION("""COMPUTED_VALUE"""),50.0)</f>
        <v>50</v>
      </c>
      <c r="S640" s="562"/>
      <c r="T640" s="217">
        <f>IFERROR(__xludf.DUMMYFUNCTION("""COMPUTED_VALUE"""),12.0)</f>
        <v>12</v>
      </c>
      <c r="U640" s="217">
        <f>IFERROR(__xludf.DUMMYFUNCTION("""COMPUTED_VALUE"""),22.0)</f>
        <v>22</v>
      </c>
      <c r="V640" s="217">
        <f>IFERROR(__xludf.DUMMYFUNCTION("""COMPUTED_VALUE"""),94.0)</f>
        <v>94</v>
      </c>
      <c r="W640" s="217">
        <f>IFERROR(__xludf.DUMMYFUNCTION("""COMPUTED_VALUE"""),90.0)</f>
        <v>90</v>
      </c>
      <c r="X640" s="217">
        <f>IFERROR(__xludf.DUMMYFUNCTION("""COMPUTED_VALUE"""),76.0)</f>
        <v>76</v>
      </c>
      <c r="Y640" s="217"/>
      <c r="Z640" s="217"/>
      <c r="AA640" s="481">
        <f>IFERROR(__xludf.DUMMYFUNCTION("""COMPUTED_VALUE"""),2.0)</f>
        <v>2</v>
      </c>
      <c r="AB640" s="481">
        <f>IFERROR(__xludf.DUMMYFUNCTION("""COMPUTED_VALUE"""),52.0)</f>
        <v>52</v>
      </c>
      <c r="AC640" s="481">
        <f>IFERROR(__xludf.DUMMYFUNCTION("""COMPUTED_VALUE"""),0.0)</f>
        <v>0</v>
      </c>
      <c r="AD640" s="481">
        <f>IFERROR(__xludf.DUMMYFUNCTION("""COMPUTED_VALUE"""),93.0)</f>
        <v>93</v>
      </c>
      <c r="AE640" s="481">
        <f>IFERROR(__xludf.DUMMYFUNCTION("""COMPUTED_VALUE"""),45.0)</f>
        <v>45</v>
      </c>
      <c r="AF640" s="481"/>
      <c r="AG640" s="481">
        <f>IFERROR(__xludf.DUMMYFUNCTION("""COMPUTED_VALUE"""),46.0)</f>
        <v>46</v>
      </c>
      <c r="AH640" s="481"/>
      <c r="AI640" s="158"/>
      <c r="AJ640" s="158"/>
      <c r="AK640" s="133">
        <f>IFERROR(__xludf.DUMMYFUNCTION("""COMPUTED_VALUE"""),4.0)</f>
        <v>4</v>
      </c>
      <c r="AL640" s="133">
        <f>IFERROR(__xludf.DUMMYFUNCTION("""COMPUTED_VALUE"""),0.0)</f>
        <v>0</v>
      </c>
      <c r="AM640" s="133">
        <f>IFERROR(__xludf.DUMMYFUNCTION("""COMPUTED_VALUE"""),3.0)</f>
        <v>3</v>
      </c>
      <c r="AN640" s="133" t="str">
        <f>IFERROR(__xludf.DUMMYFUNCTION("""COMPUTED_VALUE"""),"3")</f>
        <v>3</v>
      </c>
      <c r="AO640" s="133">
        <f>IFERROR(__xludf.DUMMYFUNCTION("""COMPUTED_VALUE"""),3.0)</f>
        <v>3</v>
      </c>
      <c r="AP640" s="155" t="s">
        <v>3780</v>
      </c>
    </row>
    <row r="641">
      <c r="A641" s="155">
        <f>IFERROR(__xludf.DUMMYFUNCTION("""COMPUTED_VALUE"""),120.0)</f>
        <v>120</v>
      </c>
      <c r="B641" s="155" t="str">
        <f>IFERROR(__xludf.DUMMYFUNCTION("""COMPUTED_VALUE"""),"thc23aiml@cmrit.ac.in")</f>
        <v>thc23aiml@cmrit.ac.in</v>
      </c>
      <c r="C641" s="174" t="str">
        <f>IFERROR(__xludf.DUMMYFUNCTION("""COMPUTED_VALUE"""),"THARUN C")</f>
        <v>THARUN C</v>
      </c>
      <c r="D641" s="155" t="str">
        <f>IFERROR(__xludf.DUMMYFUNCTION("""COMPUTED_VALUE"""),"1CR23AI126")</f>
        <v>1CR23AI126</v>
      </c>
      <c r="E641" s="563">
        <f>IFERROR(__xludf.DUMMYFUNCTION("""COMPUTED_VALUE"""),8.296976023E9)</f>
        <v>8296976023</v>
      </c>
      <c r="F641" s="155" t="str">
        <f>IFERROR(__xludf.DUMMYFUNCTION("""COMPUTED_VALUE"""),"AIML")</f>
        <v>AIML</v>
      </c>
      <c r="G641" s="158"/>
      <c r="H641" s="559">
        <f>IFERROR(__xludf.DUMMYFUNCTION("""COMPUTED_VALUE"""),70.0)</f>
        <v>70</v>
      </c>
      <c r="I641" s="559">
        <f>IFERROR(__xludf.DUMMYFUNCTION("""COMPUTED_VALUE"""),85.0)</f>
        <v>85</v>
      </c>
      <c r="J641" s="559">
        <f>IFERROR(__xludf.DUMMYFUNCTION("""COMPUTED_VALUE"""),70.0)</f>
        <v>70</v>
      </c>
      <c r="K641" s="559">
        <f>IFERROR(__xludf.DUMMYFUNCTION("""COMPUTED_VALUE"""),70.0)</f>
        <v>70</v>
      </c>
      <c r="L641" s="560">
        <f>IFERROR(__xludf.DUMMYFUNCTION("""COMPUTED_VALUE"""),16.0)</f>
        <v>16</v>
      </c>
      <c r="M641" s="561">
        <f>IFERROR(__xludf.DUMMYFUNCTION("""COMPUTED_VALUE"""),50.0)</f>
        <v>50</v>
      </c>
      <c r="N641" s="561">
        <f>IFERROR(__xludf.DUMMYFUNCTION("""COMPUTED_VALUE"""),39.0)</f>
        <v>39</v>
      </c>
      <c r="O641" s="560"/>
      <c r="P641" s="562">
        <f>IFERROR(__xludf.DUMMYFUNCTION("""COMPUTED_VALUE"""),79.0)</f>
        <v>79</v>
      </c>
      <c r="Q641" s="562">
        <f>IFERROR(__xludf.DUMMYFUNCTION("""COMPUTED_VALUE"""),50.0)</f>
        <v>50</v>
      </c>
      <c r="R641" s="562">
        <f>IFERROR(__xludf.DUMMYFUNCTION("""COMPUTED_VALUE"""),50.0)</f>
        <v>50</v>
      </c>
      <c r="S641" s="562"/>
      <c r="T641" s="217">
        <f>IFERROR(__xludf.DUMMYFUNCTION("""COMPUTED_VALUE"""),18.0)</f>
        <v>18</v>
      </c>
      <c r="U641" s="217">
        <f>IFERROR(__xludf.DUMMYFUNCTION("""COMPUTED_VALUE"""),21.0)</f>
        <v>21</v>
      </c>
      <c r="V641" s="217">
        <f>IFERROR(__xludf.DUMMYFUNCTION("""COMPUTED_VALUE"""),84.0)</f>
        <v>84</v>
      </c>
      <c r="W641" s="217">
        <f>IFERROR(__xludf.DUMMYFUNCTION("""COMPUTED_VALUE"""),86.0)</f>
        <v>86</v>
      </c>
      <c r="X641" s="217">
        <f>IFERROR(__xludf.DUMMYFUNCTION("""COMPUTED_VALUE"""),86.0)</f>
        <v>86</v>
      </c>
      <c r="Y641" s="217"/>
      <c r="Z641" s="217"/>
      <c r="AA641" s="481">
        <f>IFERROR(__xludf.DUMMYFUNCTION("""COMPUTED_VALUE"""),80.0)</f>
        <v>80</v>
      </c>
      <c r="AB641" s="481">
        <f>IFERROR(__xludf.DUMMYFUNCTION("""COMPUTED_VALUE"""),72.0)</f>
        <v>72</v>
      </c>
      <c r="AC641" s="481">
        <f>IFERROR(__xludf.DUMMYFUNCTION("""COMPUTED_VALUE"""),87.0)</f>
        <v>87</v>
      </c>
      <c r="AD641" s="481">
        <f>IFERROR(__xludf.DUMMYFUNCTION("""COMPUTED_VALUE"""),80.0)</f>
        <v>80</v>
      </c>
      <c r="AE641" s="481">
        <f>IFERROR(__xludf.DUMMYFUNCTION("""COMPUTED_VALUE"""),32.0)</f>
        <v>32</v>
      </c>
      <c r="AF641" s="481"/>
      <c r="AG641" s="481">
        <f>IFERROR(__xludf.DUMMYFUNCTION("""COMPUTED_VALUE"""),48.0)</f>
        <v>48</v>
      </c>
      <c r="AH641" s="481"/>
      <c r="AI641" s="158"/>
      <c r="AJ641" s="158"/>
      <c r="AK641" s="133">
        <f>IFERROR(__xludf.DUMMYFUNCTION("""COMPUTED_VALUE"""),4.0)</f>
        <v>4</v>
      </c>
      <c r="AL641" s="133">
        <f>IFERROR(__xludf.DUMMYFUNCTION("""COMPUTED_VALUE"""),0.0)</f>
        <v>0</v>
      </c>
      <c r="AM641" s="133">
        <f>IFERROR(__xludf.DUMMYFUNCTION("""COMPUTED_VALUE"""),3.0)</f>
        <v>3</v>
      </c>
      <c r="AN641" s="133" t="str">
        <f>IFERROR(__xludf.DUMMYFUNCTION("""COMPUTED_VALUE"""),"3")</f>
        <v>3</v>
      </c>
      <c r="AO641" s="133">
        <f>IFERROR(__xludf.DUMMYFUNCTION("""COMPUTED_VALUE"""),3.0)</f>
        <v>3</v>
      </c>
      <c r="AP641" s="155" t="s">
        <v>3780</v>
      </c>
    </row>
    <row r="642">
      <c r="A642" s="155">
        <f>IFERROR(__xludf.DUMMYFUNCTION("""COMPUTED_VALUE"""),121.0)</f>
        <v>121</v>
      </c>
      <c r="B642" s="155" t="str">
        <f>IFERROR(__xludf.DUMMYFUNCTION("""COMPUTED_VALUE"""),"thr23aiml@cmrit.ac.in")</f>
        <v>thr23aiml@cmrit.ac.in</v>
      </c>
      <c r="C642" s="174" t="str">
        <f>IFERROR(__xludf.DUMMYFUNCTION("""COMPUTED_VALUE"""),"THEJASHWINI R")</f>
        <v>THEJASHWINI R</v>
      </c>
      <c r="D642" s="155" t="str">
        <f>IFERROR(__xludf.DUMMYFUNCTION("""COMPUTED_VALUE"""),"1CR23AI127")</f>
        <v>1CR23AI127</v>
      </c>
      <c r="E642" s="563">
        <f>IFERROR(__xludf.DUMMYFUNCTION("""COMPUTED_VALUE"""),9.148803233E9)</f>
        <v>9148803233</v>
      </c>
      <c r="F642" s="155" t="str">
        <f>IFERROR(__xludf.DUMMYFUNCTION("""COMPUTED_VALUE"""),"AIML")</f>
        <v>AIML</v>
      </c>
      <c r="G642" s="158"/>
      <c r="H642" s="559">
        <f>IFERROR(__xludf.DUMMYFUNCTION("""COMPUTED_VALUE"""),79.0)</f>
        <v>79</v>
      </c>
      <c r="I642" s="559">
        <f>IFERROR(__xludf.DUMMYFUNCTION("""COMPUTED_VALUE"""),85.0)</f>
        <v>85</v>
      </c>
      <c r="J642" s="559">
        <f>IFERROR(__xludf.DUMMYFUNCTION("""COMPUTED_VALUE"""),70.0)</f>
        <v>70</v>
      </c>
      <c r="K642" s="559">
        <f>IFERROR(__xludf.DUMMYFUNCTION("""COMPUTED_VALUE"""),70.0)</f>
        <v>70</v>
      </c>
      <c r="L642" s="560">
        <f>IFERROR(__xludf.DUMMYFUNCTION("""COMPUTED_VALUE"""),60.0)</f>
        <v>60</v>
      </c>
      <c r="M642" s="561">
        <f>IFERROR(__xludf.DUMMYFUNCTION("""COMPUTED_VALUE"""),28.0)</f>
        <v>28</v>
      </c>
      <c r="N642" s="561">
        <f>IFERROR(__xludf.DUMMYFUNCTION("""COMPUTED_VALUE"""),50.0)</f>
        <v>50</v>
      </c>
      <c r="O642" s="560"/>
      <c r="P642" s="562">
        <f>IFERROR(__xludf.DUMMYFUNCTION("""COMPUTED_VALUE"""),84.0)</f>
        <v>84</v>
      </c>
      <c r="Q642" s="562">
        <f>IFERROR(__xludf.DUMMYFUNCTION("""COMPUTED_VALUE"""),71.0)</f>
        <v>71</v>
      </c>
      <c r="R642" s="562">
        <f>IFERROR(__xludf.DUMMYFUNCTION("""COMPUTED_VALUE"""),84.0)</f>
        <v>84</v>
      </c>
      <c r="S642" s="562"/>
      <c r="T642" s="217">
        <f>IFERROR(__xludf.DUMMYFUNCTION("""COMPUTED_VALUE"""),20.0)</f>
        <v>20</v>
      </c>
      <c r="U642" s="217">
        <f>IFERROR(__xludf.DUMMYFUNCTION("""COMPUTED_VALUE"""),20.0)</f>
        <v>20</v>
      </c>
      <c r="V642" s="217">
        <f>IFERROR(__xludf.DUMMYFUNCTION("""COMPUTED_VALUE"""),92.0)</f>
        <v>92</v>
      </c>
      <c r="W642" s="217">
        <f>IFERROR(__xludf.DUMMYFUNCTION("""COMPUTED_VALUE"""),86.0)</f>
        <v>86</v>
      </c>
      <c r="X642" s="217">
        <f>IFERROR(__xludf.DUMMYFUNCTION("""COMPUTED_VALUE"""),68.0)</f>
        <v>68</v>
      </c>
      <c r="Y642" s="217"/>
      <c r="Z642" s="217"/>
      <c r="AA642" s="481">
        <f>IFERROR(__xludf.DUMMYFUNCTION("""COMPUTED_VALUE"""),30.0)</f>
        <v>30</v>
      </c>
      <c r="AB642" s="481">
        <f>IFERROR(__xludf.DUMMYFUNCTION("""COMPUTED_VALUE"""),100.0)</f>
        <v>100</v>
      </c>
      <c r="AC642" s="481">
        <f>IFERROR(__xludf.DUMMYFUNCTION("""COMPUTED_VALUE"""),0.0)</f>
        <v>0</v>
      </c>
      <c r="AD642" s="481">
        <f>IFERROR(__xludf.DUMMYFUNCTION("""COMPUTED_VALUE"""),60.0)</f>
        <v>60</v>
      </c>
      <c r="AE642" s="481">
        <f>IFERROR(__xludf.DUMMYFUNCTION("""COMPUTED_VALUE"""),70.0)</f>
        <v>70</v>
      </c>
      <c r="AF642" s="481"/>
      <c r="AG642" s="481">
        <f>IFERROR(__xludf.DUMMYFUNCTION("""COMPUTED_VALUE"""),79.0)</f>
        <v>79</v>
      </c>
      <c r="AH642" s="481"/>
      <c r="AI642" s="158"/>
      <c r="AJ642" s="158"/>
      <c r="AK642" s="133">
        <f>IFERROR(__xludf.DUMMYFUNCTION("""COMPUTED_VALUE"""),4.0)</f>
        <v>4</v>
      </c>
      <c r="AL642" s="133">
        <f>IFERROR(__xludf.DUMMYFUNCTION("""COMPUTED_VALUE"""),1.0)</f>
        <v>1</v>
      </c>
      <c r="AM642" s="133">
        <f>IFERROR(__xludf.DUMMYFUNCTION("""COMPUTED_VALUE"""),3.0)</f>
        <v>3</v>
      </c>
      <c r="AN642" s="133" t="str">
        <f>IFERROR(__xludf.DUMMYFUNCTION("""COMPUTED_VALUE"""),"3.5")</f>
        <v>3.5</v>
      </c>
      <c r="AO642" s="133">
        <f>IFERROR(__xludf.DUMMYFUNCTION("""COMPUTED_VALUE"""),3.0)</f>
        <v>3</v>
      </c>
      <c r="AP642" s="155" t="s">
        <v>3780</v>
      </c>
    </row>
    <row r="643">
      <c r="A643" s="155">
        <f>IFERROR(__xludf.DUMMYFUNCTION("""COMPUTED_VALUE"""),122.0)</f>
        <v>122</v>
      </c>
      <c r="B643" s="155" t="str">
        <f>IFERROR(__xludf.DUMMYFUNCTION("""COMPUTED_VALUE"""),"thb23aiml@cmrit.ac.in")</f>
        <v>thb23aiml@cmrit.ac.in</v>
      </c>
      <c r="C643" s="174" t="str">
        <f>IFERROR(__xludf.DUMMYFUNCTION("""COMPUTED_VALUE"""),"THRISHUL BABU R")</f>
        <v>THRISHUL BABU R</v>
      </c>
      <c r="D643" s="155" t="str">
        <f>IFERROR(__xludf.DUMMYFUNCTION("""COMPUTED_VALUE"""),"1CR23AI128")</f>
        <v>1CR23AI128</v>
      </c>
      <c r="E643" s="563">
        <f>IFERROR(__xludf.DUMMYFUNCTION("""COMPUTED_VALUE"""),8.867004118E9)</f>
        <v>8867004118</v>
      </c>
      <c r="F643" s="155" t="str">
        <f>IFERROR(__xludf.DUMMYFUNCTION("""COMPUTED_VALUE"""),"AIML")</f>
        <v>AIML</v>
      </c>
      <c r="G643" s="158"/>
      <c r="H643" s="559">
        <f>IFERROR(__xludf.DUMMYFUNCTION("""COMPUTED_VALUE"""),75.0)</f>
        <v>75</v>
      </c>
      <c r="I643" s="559">
        <f>IFERROR(__xludf.DUMMYFUNCTION("""COMPUTED_VALUE"""),68.0)</f>
        <v>68</v>
      </c>
      <c r="J643" s="559">
        <f>IFERROR(__xludf.DUMMYFUNCTION("""COMPUTED_VALUE"""),13.0)</f>
        <v>13</v>
      </c>
      <c r="K643" s="559">
        <f>IFERROR(__xludf.DUMMYFUNCTION("""COMPUTED_VALUE"""),6.0)</f>
        <v>6</v>
      </c>
      <c r="L643" s="560">
        <f>IFERROR(__xludf.DUMMYFUNCTION("""COMPUTED_VALUE"""),1.0)</f>
        <v>1</v>
      </c>
      <c r="M643" s="561">
        <f>IFERROR(__xludf.DUMMYFUNCTION("""COMPUTED_VALUE"""),0.0)</f>
        <v>0</v>
      </c>
      <c r="N643" s="561">
        <f>IFERROR(__xludf.DUMMYFUNCTION("""COMPUTED_VALUE"""),0.0)</f>
        <v>0</v>
      </c>
      <c r="O643" s="560"/>
      <c r="P643" s="562">
        <f>IFERROR(__xludf.DUMMYFUNCTION("""COMPUTED_VALUE"""),75.0)</f>
        <v>75</v>
      </c>
      <c r="Q643" s="562">
        <f>IFERROR(__xludf.DUMMYFUNCTION("""COMPUTED_VALUE"""),0.0)</f>
        <v>0</v>
      </c>
      <c r="R643" s="562">
        <f>IFERROR(__xludf.DUMMYFUNCTION("""COMPUTED_VALUE"""),0.0)</f>
        <v>0</v>
      </c>
      <c r="S643" s="562"/>
      <c r="T643" s="217">
        <f>IFERROR(__xludf.DUMMYFUNCTION("""COMPUTED_VALUE"""),23.0)</f>
        <v>23</v>
      </c>
      <c r="U643" s="217">
        <f>IFERROR(__xludf.DUMMYFUNCTION("""COMPUTED_VALUE"""),21.0)</f>
        <v>21</v>
      </c>
      <c r="V643" s="217">
        <f>IFERROR(__xludf.DUMMYFUNCTION("""COMPUTED_VALUE"""),0.0)</f>
        <v>0</v>
      </c>
      <c r="W643" s="217">
        <f>IFERROR(__xludf.DUMMYFUNCTION("""COMPUTED_VALUE"""),92.0)</f>
        <v>92</v>
      </c>
      <c r="X643" s="217"/>
      <c r="Y643" s="217"/>
      <c r="Z643" s="217"/>
      <c r="AA643" s="481">
        <f>IFERROR(__xludf.DUMMYFUNCTION("""COMPUTED_VALUE"""),0.0)</f>
        <v>0</v>
      </c>
      <c r="AB643" s="481">
        <f>IFERROR(__xludf.DUMMYFUNCTION("""COMPUTED_VALUE"""),75.0)</f>
        <v>75</v>
      </c>
      <c r="AC643" s="481">
        <f>IFERROR(__xludf.DUMMYFUNCTION("""COMPUTED_VALUE"""),0.0)</f>
        <v>0</v>
      </c>
      <c r="AD643" s="481">
        <f>IFERROR(__xludf.DUMMYFUNCTION("""COMPUTED_VALUE"""),0.0)</f>
        <v>0</v>
      </c>
      <c r="AE643" s="481">
        <f>IFERROR(__xludf.DUMMYFUNCTION("""COMPUTED_VALUE"""),10.0)</f>
        <v>10</v>
      </c>
      <c r="AF643" s="481"/>
      <c r="AG643" s="481">
        <f>IFERROR(__xludf.DUMMYFUNCTION("""COMPUTED_VALUE"""),0.0)</f>
        <v>0</v>
      </c>
      <c r="AH643" s="481"/>
      <c r="AI643" s="158"/>
      <c r="AJ643" s="158"/>
      <c r="AK643" s="133">
        <f>IFERROR(__xludf.DUMMYFUNCTION("""COMPUTED_VALUE"""),2.0)</f>
        <v>2</v>
      </c>
      <c r="AL643" s="133">
        <f>IFERROR(__xludf.DUMMYFUNCTION("""COMPUTED_VALUE"""),0.0)</f>
        <v>0</v>
      </c>
      <c r="AM643" s="133">
        <f>IFERROR(__xludf.DUMMYFUNCTION("""COMPUTED_VALUE"""),3.0)</f>
        <v>3</v>
      </c>
      <c r="AN643" s="133" t="str">
        <f>IFERROR(__xludf.DUMMYFUNCTION("""COMPUTED_VALUE"""),"2")</f>
        <v>2</v>
      </c>
      <c r="AO643" s="133">
        <f>IFERROR(__xludf.DUMMYFUNCTION("""COMPUTED_VALUE"""),1.0)</f>
        <v>1</v>
      </c>
      <c r="AP643" s="155" t="s">
        <v>3780</v>
      </c>
    </row>
    <row r="644">
      <c r="A644" s="155">
        <f>IFERROR(__xludf.DUMMYFUNCTION("""COMPUTED_VALUE"""),123.0)</f>
        <v>123</v>
      </c>
      <c r="B644" s="155" t="str">
        <f>IFERROR(__xludf.DUMMYFUNCTION("""COMPUTED_VALUE"""),"udra23aiml@cmrit.ac.in")</f>
        <v>udra23aiml@cmrit.ac.in</v>
      </c>
      <c r="C644" s="174" t="str">
        <f>IFERROR(__xludf.DUMMYFUNCTION("""COMPUTED_VALUE"""),"UDIT RAJ")</f>
        <v>UDIT RAJ</v>
      </c>
      <c r="D644" s="155" t="str">
        <f>IFERROR(__xludf.DUMMYFUNCTION("""COMPUTED_VALUE"""),"1CR23AI129")</f>
        <v>1CR23AI129</v>
      </c>
      <c r="E644" s="563">
        <f>IFERROR(__xludf.DUMMYFUNCTION("""COMPUTED_VALUE"""),7.30697139E9)</f>
        <v>7306971390</v>
      </c>
      <c r="F644" s="155" t="str">
        <f>IFERROR(__xludf.DUMMYFUNCTION("""COMPUTED_VALUE"""),"AIML")</f>
        <v>AIML</v>
      </c>
      <c r="G644" s="158"/>
      <c r="H644" s="559">
        <f>IFERROR(__xludf.DUMMYFUNCTION("""COMPUTED_VALUE"""),74.0)</f>
        <v>74</v>
      </c>
      <c r="I644" s="559">
        <f>IFERROR(__xludf.DUMMYFUNCTION("""COMPUTED_VALUE"""),83.0)</f>
        <v>83</v>
      </c>
      <c r="J644" s="559">
        <f>IFERROR(__xludf.DUMMYFUNCTION("""COMPUTED_VALUE"""),88.0)</f>
        <v>88</v>
      </c>
      <c r="K644" s="559">
        <f>IFERROR(__xludf.DUMMYFUNCTION("""COMPUTED_VALUE"""),70.0)</f>
        <v>70</v>
      </c>
      <c r="L644" s="560">
        <f>IFERROR(__xludf.DUMMYFUNCTION("""COMPUTED_VALUE"""),52.0)</f>
        <v>52</v>
      </c>
      <c r="M644" s="561">
        <f>IFERROR(__xludf.DUMMYFUNCTION("""COMPUTED_VALUE"""),50.0)</f>
        <v>50</v>
      </c>
      <c r="N644" s="561">
        <f>IFERROR(__xludf.DUMMYFUNCTION("""COMPUTED_VALUE"""),50.0)</f>
        <v>50</v>
      </c>
      <c r="O644" s="560"/>
      <c r="P644" s="562">
        <f>IFERROR(__xludf.DUMMYFUNCTION("""COMPUTED_VALUE"""),82.0)</f>
        <v>82</v>
      </c>
      <c r="Q644" s="562">
        <f>IFERROR(__xludf.DUMMYFUNCTION("""COMPUTED_VALUE"""),50.0)</f>
        <v>50</v>
      </c>
      <c r="R644" s="562">
        <f>IFERROR(__xludf.DUMMYFUNCTION("""COMPUTED_VALUE"""),87.0)</f>
        <v>87</v>
      </c>
      <c r="S644" s="562"/>
      <c r="T644" s="217">
        <f>IFERROR(__xludf.DUMMYFUNCTION("""COMPUTED_VALUE"""),17.0)</f>
        <v>17</v>
      </c>
      <c r="U644" s="217">
        <f>IFERROR(__xludf.DUMMYFUNCTION("""COMPUTED_VALUE"""),22.0)</f>
        <v>22</v>
      </c>
      <c r="V644" s="217">
        <f>IFERROR(__xludf.DUMMYFUNCTION("""COMPUTED_VALUE"""),86.0)</f>
        <v>86</v>
      </c>
      <c r="W644" s="217">
        <f>IFERROR(__xludf.DUMMYFUNCTION("""COMPUTED_VALUE"""),0.0)</f>
        <v>0</v>
      </c>
      <c r="X644" s="217">
        <f>IFERROR(__xludf.DUMMYFUNCTION("""COMPUTED_VALUE"""),78.0)</f>
        <v>78</v>
      </c>
      <c r="Y644" s="217"/>
      <c r="Z644" s="217"/>
      <c r="AA644" s="481">
        <f>IFERROR(__xludf.DUMMYFUNCTION("""COMPUTED_VALUE"""),100.0)</f>
        <v>100</v>
      </c>
      <c r="AB644" s="481">
        <f>IFERROR(__xludf.DUMMYFUNCTION("""COMPUTED_VALUE"""),100.0)</f>
        <v>100</v>
      </c>
      <c r="AC644" s="481">
        <f>IFERROR(__xludf.DUMMYFUNCTION("""COMPUTED_VALUE"""),0.0)</f>
        <v>0</v>
      </c>
      <c r="AD644" s="481">
        <f>IFERROR(__xludf.DUMMYFUNCTION("""COMPUTED_VALUE"""),60.0)</f>
        <v>60</v>
      </c>
      <c r="AE644" s="481">
        <f>IFERROR(__xludf.DUMMYFUNCTION("""COMPUTED_VALUE"""),70.0)</f>
        <v>70</v>
      </c>
      <c r="AF644" s="481"/>
      <c r="AG644" s="481">
        <f>IFERROR(__xludf.DUMMYFUNCTION("""COMPUTED_VALUE"""),85.0)</f>
        <v>85</v>
      </c>
      <c r="AH644" s="481"/>
      <c r="AI644" s="158"/>
      <c r="AJ644" s="158"/>
      <c r="AK644" s="133">
        <f>IFERROR(__xludf.DUMMYFUNCTION("""COMPUTED_VALUE"""),4.0)</f>
        <v>4</v>
      </c>
      <c r="AL644" s="133">
        <f>IFERROR(__xludf.DUMMYFUNCTION("""COMPUTED_VALUE"""),3.0)</f>
        <v>3</v>
      </c>
      <c r="AM644" s="133">
        <f>IFERROR(__xludf.DUMMYFUNCTION("""COMPUTED_VALUE"""),2.0)</f>
        <v>2</v>
      </c>
      <c r="AN644" s="133" t="str">
        <f>IFERROR(__xludf.DUMMYFUNCTION("""COMPUTED_VALUE"""),"3.5")</f>
        <v>3.5</v>
      </c>
      <c r="AO644" s="133">
        <f>IFERROR(__xludf.DUMMYFUNCTION("""COMPUTED_VALUE"""),3.0)</f>
        <v>3</v>
      </c>
      <c r="AP644" s="155" t="s">
        <v>3780</v>
      </c>
    </row>
    <row r="645">
      <c r="A645" s="155">
        <f>IFERROR(__xludf.DUMMYFUNCTION("""COMPUTED_VALUE"""),124.0)</f>
        <v>124</v>
      </c>
      <c r="B645" s="155" t="str">
        <f>IFERROR(__xludf.DUMMYFUNCTION("""COMPUTED_VALUE"""),"vav23aiml@cmrit.ac.in")</f>
        <v>vav23aiml@cmrit.ac.in</v>
      </c>
      <c r="C645" s="174" t="str">
        <f>IFERROR(__xludf.DUMMYFUNCTION("""COMPUTED_VALUE"""),"Vaishnavi")</f>
        <v>Vaishnavi</v>
      </c>
      <c r="D645" s="155" t="str">
        <f>IFERROR(__xludf.DUMMYFUNCTION("""COMPUTED_VALUE"""),"1CR23AI130")</f>
        <v>1CR23AI130</v>
      </c>
      <c r="E645" s="563">
        <f>IFERROR(__xludf.DUMMYFUNCTION("""COMPUTED_VALUE"""),7.7606475E9)</f>
        <v>7760647500</v>
      </c>
      <c r="F645" s="155" t="str">
        <f>IFERROR(__xludf.DUMMYFUNCTION("""COMPUTED_VALUE"""),"AIML")</f>
        <v>AIML</v>
      </c>
      <c r="G645" s="158"/>
      <c r="H645" s="559">
        <f>IFERROR(__xludf.DUMMYFUNCTION("""COMPUTED_VALUE"""),70.0)</f>
        <v>70</v>
      </c>
      <c r="I645" s="559">
        <f>IFERROR(__xludf.DUMMYFUNCTION("""COMPUTED_VALUE"""),73.0)</f>
        <v>73</v>
      </c>
      <c r="J645" s="559">
        <f>IFERROR(__xludf.DUMMYFUNCTION("""COMPUTED_VALUE"""),70.0)</f>
        <v>70</v>
      </c>
      <c r="K645" s="559">
        <f>IFERROR(__xludf.DUMMYFUNCTION("""COMPUTED_VALUE"""),70.0)</f>
        <v>70</v>
      </c>
      <c r="L645" s="560">
        <f>IFERROR(__xludf.DUMMYFUNCTION("""COMPUTED_VALUE"""),50.0)</f>
        <v>50</v>
      </c>
      <c r="M645" s="561">
        <f>IFERROR(__xludf.DUMMYFUNCTION("""COMPUTED_VALUE"""),50.0)</f>
        <v>50</v>
      </c>
      <c r="N645" s="561">
        <f>IFERROR(__xludf.DUMMYFUNCTION("""COMPUTED_VALUE"""),46.0)</f>
        <v>46</v>
      </c>
      <c r="O645" s="560"/>
      <c r="P645" s="562">
        <f>IFERROR(__xludf.DUMMYFUNCTION("""COMPUTED_VALUE"""),82.0)</f>
        <v>82</v>
      </c>
      <c r="Q645" s="562">
        <f>IFERROR(__xludf.DUMMYFUNCTION("""COMPUTED_VALUE"""),67.0)</f>
        <v>67</v>
      </c>
      <c r="R645" s="562">
        <f>IFERROR(__xludf.DUMMYFUNCTION("""COMPUTED_VALUE"""),72.0)</f>
        <v>72</v>
      </c>
      <c r="S645" s="562"/>
      <c r="T645" s="217">
        <f>IFERROR(__xludf.DUMMYFUNCTION("""COMPUTED_VALUE"""),22.0)</f>
        <v>22</v>
      </c>
      <c r="U645" s="217">
        <f>IFERROR(__xludf.DUMMYFUNCTION("""COMPUTED_VALUE"""),24.0)</f>
        <v>24</v>
      </c>
      <c r="V645" s="217">
        <f>IFERROR(__xludf.DUMMYFUNCTION("""COMPUTED_VALUE"""),94.0)</f>
        <v>94</v>
      </c>
      <c r="W645" s="217">
        <f>IFERROR(__xludf.DUMMYFUNCTION("""COMPUTED_VALUE"""),86.0)</f>
        <v>86</v>
      </c>
      <c r="X645" s="217">
        <f>IFERROR(__xludf.DUMMYFUNCTION("""COMPUTED_VALUE"""),84.0)</f>
        <v>84</v>
      </c>
      <c r="Y645" s="217"/>
      <c r="Z645" s="217"/>
      <c r="AA645" s="481">
        <f>IFERROR(__xludf.DUMMYFUNCTION("""COMPUTED_VALUE"""),36.0)</f>
        <v>36</v>
      </c>
      <c r="AB645" s="481">
        <f>IFERROR(__xludf.DUMMYFUNCTION("""COMPUTED_VALUE"""),90.0)</f>
        <v>90</v>
      </c>
      <c r="AC645" s="481">
        <f>IFERROR(__xludf.DUMMYFUNCTION("""COMPUTED_VALUE"""),100.0)</f>
        <v>100</v>
      </c>
      <c r="AD645" s="481">
        <f>IFERROR(__xludf.DUMMYFUNCTION("""COMPUTED_VALUE"""),100.0)</f>
        <v>100</v>
      </c>
      <c r="AE645" s="481">
        <f>IFERROR(__xludf.DUMMYFUNCTION("""COMPUTED_VALUE"""),70.0)</f>
        <v>70</v>
      </c>
      <c r="AF645" s="481"/>
      <c r="AG645" s="481">
        <f>IFERROR(__xludf.DUMMYFUNCTION("""COMPUTED_VALUE"""),78.0)</f>
        <v>78</v>
      </c>
      <c r="AH645" s="481"/>
      <c r="AI645" s="158"/>
      <c r="AJ645" s="158"/>
      <c r="AK645" s="133">
        <f>IFERROR(__xludf.DUMMYFUNCTION("""COMPUTED_VALUE"""),4.0)</f>
        <v>4</v>
      </c>
      <c r="AL645" s="133">
        <f>IFERROR(__xludf.DUMMYFUNCTION("""COMPUTED_VALUE"""),2.0)</f>
        <v>2</v>
      </c>
      <c r="AM645" s="133">
        <f>IFERROR(__xludf.DUMMYFUNCTION("""COMPUTED_VALUE"""),3.0)</f>
        <v>3</v>
      </c>
      <c r="AN645" s="133" t="str">
        <f>IFERROR(__xludf.DUMMYFUNCTION("""COMPUTED_VALUE"""),"3.5")</f>
        <v>3.5</v>
      </c>
      <c r="AO645" s="133">
        <f>IFERROR(__xludf.DUMMYFUNCTION("""COMPUTED_VALUE"""),3.0)</f>
        <v>3</v>
      </c>
      <c r="AP645" s="155" t="s">
        <v>3780</v>
      </c>
    </row>
    <row r="646">
      <c r="A646" s="155">
        <f>IFERROR(__xludf.DUMMYFUNCTION("""COMPUTED_VALUE"""),125.0)</f>
        <v>125</v>
      </c>
      <c r="B646" s="155" t="str">
        <f>IFERROR(__xludf.DUMMYFUNCTION("""COMPUTED_VALUE"""),"vagr23aiml@cmrit.ac.in")</f>
        <v>vagr23aiml@cmrit.ac.in</v>
      </c>
      <c r="C646" s="174" t="str">
        <f>IFERROR(__xludf.DUMMYFUNCTION("""COMPUTED_VALUE"""),"Vamshi yadav G R")</f>
        <v>Vamshi yadav G R</v>
      </c>
      <c r="D646" s="155" t="str">
        <f>IFERROR(__xludf.DUMMYFUNCTION("""COMPUTED_VALUE"""),"1CR23AI131")</f>
        <v>1CR23AI131</v>
      </c>
      <c r="E646" s="563">
        <f>IFERROR(__xludf.DUMMYFUNCTION("""COMPUTED_VALUE"""),8.861822292E9)</f>
        <v>8861822292</v>
      </c>
      <c r="F646" s="155" t="str">
        <f>IFERROR(__xludf.DUMMYFUNCTION("""COMPUTED_VALUE"""),"AIML")</f>
        <v>AIML</v>
      </c>
      <c r="G646" s="158"/>
      <c r="H646" s="559">
        <f>IFERROR(__xludf.DUMMYFUNCTION("""COMPUTED_VALUE"""),80.0)</f>
        <v>80</v>
      </c>
      <c r="I646" s="559">
        <f>IFERROR(__xludf.DUMMYFUNCTION("""COMPUTED_VALUE"""),86.0)</f>
        <v>86</v>
      </c>
      <c r="J646" s="559">
        <f>IFERROR(__xludf.DUMMYFUNCTION("""COMPUTED_VALUE"""),77.0)</f>
        <v>77</v>
      </c>
      <c r="K646" s="559">
        <f>IFERROR(__xludf.DUMMYFUNCTION("""COMPUTED_VALUE"""),70.0)</f>
        <v>70</v>
      </c>
      <c r="L646" s="560">
        <f>IFERROR(__xludf.DUMMYFUNCTION("""COMPUTED_VALUE"""),50.0)</f>
        <v>50</v>
      </c>
      <c r="M646" s="561">
        <f>IFERROR(__xludf.DUMMYFUNCTION("""COMPUTED_VALUE"""),51.0)</f>
        <v>51</v>
      </c>
      <c r="N646" s="561">
        <f>IFERROR(__xludf.DUMMYFUNCTION("""COMPUTED_VALUE"""),50.0)</f>
        <v>50</v>
      </c>
      <c r="O646" s="560"/>
      <c r="P646" s="562">
        <f>IFERROR(__xludf.DUMMYFUNCTION("""COMPUTED_VALUE"""),77.0)</f>
        <v>77</v>
      </c>
      <c r="Q646" s="562">
        <f>IFERROR(__xludf.DUMMYFUNCTION("""COMPUTED_VALUE"""),72.0)</f>
        <v>72</v>
      </c>
      <c r="R646" s="562">
        <f>IFERROR(__xludf.DUMMYFUNCTION("""COMPUTED_VALUE"""),84.0)</f>
        <v>84</v>
      </c>
      <c r="S646" s="562"/>
      <c r="T646" s="217">
        <f>IFERROR(__xludf.DUMMYFUNCTION("""COMPUTED_VALUE"""),17.0)</f>
        <v>17</v>
      </c>
      <c r="U646" s="217">
        <f>IFERROR(__xludf.DUMMYFUNCTION("""COMPUTED_VALUE"""),24.0)</f>
        <v>24</v>
      </c>
      <c r="V646" s="217">
        <f>IFERROR(__xludf.DUMMYFUNCTION("""COMPUTED_VALUE"""),90.0)</f>
        <v>90</v>
      </c>
      <c r="W646" s="217">
        <f>IFERROR(__xludf.DUMMYFUNCTION("""COMPUTED_VALUE"""),90.0)</f>
        <v>90</v>
      </c>
      <c r="X646" s="217">
        <f>IFERROR(__xludf.DUMMYFUNCTION("""COMPUTED_VALUE"""),84.0)</f>
        <v>84</v>
      </c>
      <c r="Y646" s="217"/>
      <c r="Z646" s="217"/>
      <c r="AA646" s="481">
        <f>IFERROR(__xludf.DUMMYFUNCTION("""COMPUTED_VALUE"""),60.2)</f>
        <v>60.2</v>
      </c>
      <c r="AB646" s="481">
        <f>IFERROR(__xludf.DUMMYFUNCTION("""COMPUTED_VALUE"""),100.0)</f>
        <v>100</v>
      </c>
      <c r="AC646" s="481">
        <f>IFERROR(__xludf.DUMMYFUNCTION("""COMPUTED_VALUE"""),36.0)</f>
        <v>36</v>
      </c>
      <c r="AD646" s="481">
        <f>IFERROR(__xludf.DUMMYFUNCTION("""COMPUTED_VALUE"""),90.0)</f>
        <v>90</v>
      </c>
      <c r="AE646" s="481">
        <f>IFERROR(__xludf.DUMMYFUNCTION("""COMPUTED_VALUE"""),70.0)</f>
        <v>70</v>
      </c>
      <c r="AF646" s="481"/>
      <c r="AG646" s="481">
        <f>IFERROR(__xludf.DUMMYFUNCTION("""COMPUTED_VALUE"""),88.0)</f>
        <v>88</v>
      </c>
      <c r="AH646" s="481"/>
      <c r="AI646" s="158"/>
      <c r="AJ646" s="158"/>
      <c r="AK646" s="133">
        <f>IFERROR(__xludf.DUMMYFUNCTION("""COMPUTED_VALUE"""),4.0)</f>
        <v>4</v>
      </c>
      <c r="AL646" s="133">
        <f>IFERROR(__xludf.DUMMYFUNCTION("""COMPUTED_VALUE"""),3.0)</f>
        <v>3</v>
      </c>
      <c r="AM646" s="133">
        <f>IFERROR(__xludf.DUMMYFUNCTION("""COMPUTED_VALUE"""),3.0)</f>
        <v>3</v>
      </c>
      <c r="AN646" s="133" t="str">
        <f>IFERROR(__xludf.DUMMYFUNCTION("""COMPUTED_VALUE"""),"3.5")</f>
        <v>3.5</v>
      </c>
      <c r="AO646" s="133">
        <f>IFERROR(__xludf.DUMMYFUNCTION("""COMPUTED_VALUE"""),3.0)</f>
        <v>3</v>
      </c>
      <c r="AP646" s="155" t="s">
        <v>3780</v>
      </c>
    </row>
    <row r="647">
      <c r="A647" s="155">
        <f>IFERROR(__xludf.DUMMYFUNCTION("""COMPUTED_VALUE"""),126.0)</f>
        <v>126</v>
      </c>
      <c r="B647" s="155" t="str">
        <f>IFERROR(__xludf.DUMMYFUNCTION("""COMPUTED_VALUE"""),"vava23aiml@cmrit.ac.in")</f>
        <v>vava23aiml@cmrit.ac.in</v>
      </c>
      <c r="C647" s="174" t="str">
        <f>IFERROR(__xludf.DUMMYFUNCTION("""COMPUTED_VALUE"""),"VARNIT PATEL")</f>
        <v>VARNIT PATEL</v>
      </c>
      <c r="D647" s="155" t="str">
        <f>IFERROR(__xludf.DUMMYFUNCTION("""COMPUTED_VALUE"""),"1CR23AI132")</f>
        <v>1CR23AI132</v>
      </c>
      <c r="E647" s="563">
        <f>IFERROR(__xludf.DUMMYFUNCTION("""COMPUTED_VALUE"""),6.291912949E9)</f>
        <v>6291912949</v>
      </c>
      <c r="F647" s="155" t="str">
        <f>IFERROR(__xludf.DUMMYFUNCTION("""COMPUTED_VALUE"""),"AIML")</f>
        <v>AIML</v>
      </c>
      <c r="G647" s="158"/>
      <c r="H647" s="559">
        <f>IFERROR(__xludf.DUMMYFUNCTION("""COMPUTED_VALUE"""),85.0)</f>
        <v>85</v>
      </c>
      <c r="I647" s="559">
        <f>IFERROR(__xludf.DUMMYFUNCTION("""COMPUTED_VALUE"""),89.0)</f>
        <v>89</v>
      </c>
      <c r="J647" s="559">
        <f>IFERROR(__xludf.DUMMYFUNCTION("""COMPUTED_VALUE"""),70.0)</f>
        <v>70</v>
      </c>
      <c r="K647" s="559">
        <f>IFERROR(__xludf.DUMMYFUNCTION("""COMPUTED_VALUE"""),70.0)</f>
        <v>70</v>
      </c>
      <c r="L647" s="560">
        <f>IFERROR(__xludf.DUMMYFUNCTION("""COMPUTED_VALUE"""),50.0)</f>
        <v>50</v>
      </c>
      <c r="M647" s="561">
        <f>IFERROR(__xludf.DUMMYFUNCTION("""COMPUTED_VALUE"""),50.0)</f>
        <v>50</v>
      </c>
      <c r="N647" s="561">
        <f>IFERROR(__xludf.DUMMYFUNCTION("""COMPUTED_VALUE"""),50.0)</f>
        <v>50</v>
      </c>
      <c r="O647" s="560"/>
      <c r="P647" s="562">
        <f>IFERROR(__xludf.DUMMYFUNCTION("""COMPUTED_VALUE"""),85.0)</f>
        <v>85</v>
      </c>
      <c r="Q647" s="562">
        <f>IFERROR(__xludf.DUMMYFUNCTION("""COMPUTED_VALUE"""),71.0)</f>
        <v>71</v>
      </c>
      <c r="R647" s="562">
        <f>IFERROR(__xludf.DUMMYFUNCTION("""COMPUTED_VALUE"""),50.0)</f>
        <v>50</v>
      </c>
      <c r="S647" s="562"/>
      <c r="T647" s="217">
        <f>IFERROR(__xludf.DUMMYFUNCTION("""COMPUTED_VALUE"""),16.0)</f>
        <v>16</v>
      </c>
      <c r="U647" s="217">
        <f>IFERROR(__xludf.DUMMYFUNCTION("""COMPUTED_VALUE"""),23.0)</f>
        <v>23</v>
      </c>
      <c r="V647" s="217">
        <f>IFERROR(__xludf.DUMMYFUNCTION("""COMPUTED_VALUE"""),92.0)</f>
        <v>92</v>
      </c>
      <c r="W647" s="217">
        <f>IFERROR(__xludf.DUMMYFUNCTION("""COMPUTED_VALUE"""),0.0)</f>
        <v>0</v>
      </c>
      <c r="X647" s="217">
        <f>IFERROR(__xludf.DUMMYFUNCTION("""COMPUTED_VALUE"""),78.0)</f>
        <v>78</v>
      </c>
      <c r="Y647" s="217"/>
      <c r="Z647" s="217"/>
      <c r="AA647" s="481">
        <f>IFERROR(__xludf.DUMMYFUNCTION("""COMPUTED_VALUE"""),80.0)</f>
        <v>80</v>
      </c>
      <c r="AB647" s="481">
        <f>IFERROR(__xludf.DUMMYFUNCTION("""COMPUTED_VALUE"""),100.0)</f>
        <v>100</v>
      </c>
      <c r="AC647" s="481">
        <f>IFERROR(__xludf.DUMMYFUNCTION("""COMPUTED_VALUE"""),87.0)</f>
        <v>87</v>
      </c>
      <c r="AD647" s="481">
        <f>IFERROR(__xludf.DUMMYFUNCTION("""COMPUTED_VALUE"""),71.0)</f>
        <v>71</v>
      </c>
      <c r="AE647" s="481">
        <f>IFERROR(__xludf.DUMMYFUNCTION("""COMPUTED_VALUE"""),60.0)</f>
        <v>60</v>
      </c>
      <c r="AF647" s="481"/>
      <c r="AG647" s="481">
        <f>IFERROR(__xludf.DUMMYFUNCTION("""COMPUTED_VALUE"""),84.0)</f>
        <v>84</v>
      </c>
      <c r="AH647" s="481"/>
      <c r="AI647" s="158"/>
      <c r="AJ647" s="158"/>
      <c r="AK647" s="133">
        <f>IFERROR(__xludf.DUMMYFUNCTION("""COMPUTED_VALUE"""),4.0)</f>
        <v>4</v>
      </c>
      <c r="AL647" s="133">
        <f>IFERROR(__xludf.DUMMYFUNCTION("""COMPUTED_VALUE"""),3.0)</f>
        <v>3</v>
      </c>
      <c r="AM647" s="133">
        <f>IFERROR(__xludf.DUMMYFUNCTION("""COMPUTED_VALUE"""),2.0)</f>
        <v>2</v>
      </c>
      <c r="AN647" s="133" t="str">
        <f>IFERROR(__xludf.DUMMYFUNCTION("""COMPUTED_VALUE"""),"3")</f>
        <v>3</v>
      </c>
      <c r="AO647" s="133">
        <f>IFERROR(__xludf.DUMMYFUNCTION("""COMPUTED_VALUE"""),3.0)</f>
        <v>3</v>
      </c>
      <c r="AP647" s="155" t="s">
        <v>3780</v>
      </c>
    </row>
    <row r="648">
      <c r="A648" s="155">
        <f>IFERROR(__xludf.DUMMYFUNCTION("""COMPUTED_VALUE"""),127.0)</f>
        <v>127</v>
      </c>
      <c r="B648" s="155" t="str">
        <f>IFERROR(__xludf.DUMMYFUNCTION("""COMPUTED_VALUE"""),"vapa23aiml@cmrit.ac.in")</f>
        <v>vapa23aiml@cmrit.ac.in</v>
      </c>
      <c r="C648" s="174" t="str">
        <f>IFERROR(__xludf.DUMMYFUNCTION("""COMPUTED_VALUE"""),"Varshini Papa Reddy")</f>
        <v>Varshini Papa Reddy</v>
      </c>
      <c r="D648" s="155" t="str">
        <f>IFERROR(__xludf.DUMMYFUNCTION("""COMPUTED_VALUE"""),"1CR23AI133")</f>
        <v>1CR23AI133</v>
      </c>
      <c r="E648" s="563">
        <f>IFERROR(__xludf.DUMMYFUNCTION("""COMPUTED_VALUE"""),7.624996998E9)</f>
        <v>7624996998</v>
      </c>
      <c r="F648" s="155" t="str">
        <f>IFERROR(__xludf.DUMMYFUNCTION("""COMPUTED_VALUE"""),"AIML")</f>
        <v>AIML</v>
      </c>
      <c r="G648" s="158"/>
      <c r="H648" s="559">
        <f>IFERROR(__xludf.DUMMYFUNCTION("""COMPUTED_VALUE"""),79.0)</f>
        <v>79</v>
      </c>
      <c r="I648" s="559">
        <f>IFERROR(__xludf.DUMMYFUNCTION("""COMPUTED_VALUE"""),88.0)</f>
        <v>88</v>
      </c>
      <c r="J648" s="559">
        <f>IFERROR(__xludf.DUMMYFUNCTION("""COMPUTED_VALUE"""),86.0)</f>
        <v>86</v>
      </c>
      <c r="K648" s="559">
        <f>IFERROR(__xludf.DUMMYFUNCTION("""COMPUTED_VALUE"""),79.0)</f>
        <v>79</v>
      </c>
      <c r="L648" s="560">
        <f>IFERROR(__xludf.DUMMYFUNCTION("""COMPUTED_VALUE"""),50.0)</f>
        <v>50</v>
      </c>
      <c r="M648" s="561">
        <f>IFERROR(__xludf.DUMMYFUNCTION("""COMPUTED_VALUE"""),50.0)</f>
        <v>50</v>
      </c>
      <c r="N648" s="561">
        <f>IFERROR(__xludf.DUMMYFUNCTION("""COMPUTED_VALUE"""),50.0)</f>
        <v>50</v>
      </c>
      <c r="O648" s="560"/>
      <c r="P648" s="562">
        <f>IFERROR(__xludf.DUMMYFUNCTION("""COMPUTED_VALUE"""),84.0)</f>
        <v>84</v>
      </c>
      <c r="Q648" s="562">
        <f>IFERROR(__xludf.DUMMYFUNCTION("""COMPUTED_VALUE"""),67.0)</f>
        <v>67</v>
      </c>
      <c r="R648" s="562">
        <f>IFERROR(__xludf.DUMMYFUNCTION("""COMPUTED_VALUE"""),50.0)</f>
        <v>50</v>
      </c>
      <c r="S648" s="562"/>
      <c r="T648" s="217">
        <f>IFERROR(__xludf.DUMMYFUNCTION("""COMPUTED_VALUE"""),14.0)</f>
        <v>14</v>
      </c>
      <c r="U648" s="217">
        <f>IFERROR(__xludf.DUMMYFUNCTION("""COMPUTED_VALUE"""),23.0)</f>
        <v>23</v>
      </c>
      <c r="V648" s="217">
        <f>IFERROR(__xludf.DUMMYFUNCTION("""COMPUTED_VALUE"""),84.0)</f>
        <v>84</v>
      </c>
      <c r="W648" s="217">
        <f>IFERROR(__xludf.DUMMYFUNCTION("""COMPUTED_VALUE"""),88.0)</f>
        <v>88</v>
      </c>
      <c r="X648" s="217">
        <f>IFERROR(__xludf.DUMMYFUNCTION("""COMPUTED_VALUE"""),74.0)</f>
        <v>74</v>
      </c>
      <c r="Y648" s="217"/>
      <c r="Z648" s="217"/>
      <c r="AA648" s="481">
        <f>IFERROR(__xludf.DUMMYFUNCTION("""COMPUTED_VALUE"""),45.0)</f>
        <v>45</v>
      </c>
      <c r="AB648" s="481">
        <f>IFERROR(__xludf.DUMMYFUNCTION("""COMPUTED_VALUE"""),66.0)</f>
        <v>66</v>
      </c>
      <c r="AC648" s="481">
        <f>IFERROR(__xludf.DUMMYFUNCTION("""COMPUTED_VALUE"""),70.0)</f>
        <v>70</v>
      </c>
      <c r="AD648" s="481">
        <f>IFERROR(__xludf.DUMMYFUNCTION("""COMPUTED_VALUE"""),2.0)</f>
        <v>2</v>
      </c>
      <c r="AE648" s="481">
        <f>IFERROR(__xludf.DUMMYFUNCTION("""COMPUTED_VALUE"""),22.0)</f>
        <v>22</v>
      </c>
      <c r="AF648" s="481"/>
      <c r="AG648" s="481">
        <f>IFERROR(__xludf.DUMMYFUNCTION("""COMPUTED_VALUE"""),96.0)</f>
        <v>96</v>
      </c>
      <c r="AH648" s="481"/>
      <c r="AI648" s="158"/>
      <c r="AJ648" s="158"/>
      <c r="AK648" s="133">
        <f>IFERROR(__xludf.DUMMYFUNCTION("""COMPUTED_VALUE"""),4.0)</f>
        <v>4</v>
      </c>
      <c r="AL648" s="133">
        <f>IFERROR(__xludf.DUMMYFUNCTION("""COMPUTED_VALUE"""),3.0)</f>
        <v>3</v>
      </c>
      <c r="AM648" s="133">
        <f>IFERROR(__xludf.DUMMYFUNCTION("""COMPUTED_VALUE"""),3.0)</f>
        <v>3</v>
      </c>
      <c r="AN648" s="133" t="str">
        <f>IFERROR(__xludf.DUMMYFUNCTION("""COMPUTED_VALUE"""),"3")</f>
        <v>3</v>
      </c>
      <c r="AO648" s="133">
        <f>IFERROR(__xludf.DUMMYFUNCTION("""COMPUTED_VALUE"""),3.0)</f>
        <v>3</v>
      </c>
      <c r="AP648" s="155" t="s">
        <v>3780</v>
      </c>
    </row>
    <row r="649">
      <c r="A649" s="155">
        <f>IFERROR(__xludf.DUMMYFUNCTION("""COMPUTED_VALUE"""),128.0)</f>
        <v>128</v>
      </c>
      <c r="B649" s="155" t="str">
        <f>IFERROR(__xludf.DUMMYFUNCTION("""COMPUTED_VALUE"""),"vedu23aiml@cmrit.ac.in")</f>
        <v>vedu23aiml@cmrit.ac.in</v>
      </c>
      <c r="C649" s="174" t="str">
        <f>IFERROR(__xludf.DUMMYFUNCTION("""COMPUTED_VALUE"""),"VEDANT DUBEY")</f>
        <v>VEDANT DUBEY</v>
      </c>
      <c r="D649" s="155" t="str">
        <f>IFERROR(__xludf.DUMMYFUNCTION("""COMPUTED_VALUE"""),"1CR23AI135")</f>
        <v>1CR23AI135</v>
      </c>
      <c r="E649" s="563">
        <f>IFERROR(__xludf.DUMMYFUNCTION("""COMPUTED_VALUE"""),7.489135134E9)</f>
        <v>7489135134</v>
      </c>
      <c r="F649" s="155" t="str">
        <f>IFERROR(__xludf.DUMMYFUNCTION("""COMPUTED_VALUE"""),"AIML")</f>
        <v>AIML</v>
      </c>
      <c r="G649" s="158"/>
      <c r="H649" s="559">
        <f>IFERROR(__xludf.DUMMYFUNCTION("""COMPUTED_VALUE"""),72.0)</f>
        <v>72</v>
      </c>
      <c r="I649" s="559">
        <f>IFERROR(__xludf.DUMMYFUNCTION("""COMPUTED_VALUE"""),82.0)</f>
        <v>82</v>
      </c>
      <c r="J649" s="559">
        <f>IFERROR(__xludf.DUMMYFUNCTION("""COMPUTED_VALUE"""),70.0)</f>
        <v>70</v>
      </c>
      <c r="K649" s="559">
        <f>IFERROR(__xludf.DUMMYFUNCTION("""COMPUTED_VALUE"""),70.0)</f>
        <v>70</v>
      </c>
      <c r="L649" s="560">
        <f>IFERROR(__xludf.DUMMYFUNCTION("""COMPUTED_VALUE"""),50.0)</f>
        <v>50</v>
      </c>
      <c r="M649" s="561">
        <f>IFERROR(__xludf.DUMMYFUNCTION("""COMPUTED_VALUE"""),50.0)</f>
        <v>50</v>
      </c>
      <c r="N649" s="561">
        <f>IFERROR(__xludf.DUMMYFUNCTION("""COMPUTED_VALUE"""),53.0)</f>
        <v>53</v>
      </c>
      <c r="O649" s="560"/>
      <c r="P649" s="562">
        <f>IFERROR(__xludf.DUMMYFUNCTION("""COMPUTED_VALUE"""),77.0)</f>
        <v>77</v>
      </c>
      <c r="Q649" s="562">
        <f>IFERROR(__xludf.DUMMYFUNCTION("""COMPUTED_VALUE"""),50.0)</f>
        <v>50</v>
      </c>
      <c r="R649" s="562">
        <f>IFERROR(__xludf.DUMMYFUNCTION("""COMPUTED_VALUE"""),50.0)</f>
        <v>50</v>
      </c>
      <c r="S649" s="562"/>
      <c r="T649" s="217">
        <f>IFERROR(__xludf.DUMMYFUNCTION("""COMPUTED_VALUE"""),12.0)</f>
        <v>12</v>
      </c>
      <c r="U649" s="217">
        <f>IFERROR(__xludf.DUMMYFUNCTION("""COMPUTED_VALUE"""),21.0)</f>
        <v>21</v>
      </c>
      <c r="V649" s="217">
        <f>IFERROR(__xludf.DUMMYFUNCTION("""COMPUTED_VALUE"""),92.0)</f>
        <v>92</v>
      </c>
      <c r="W649" s="217">
        <f>IFERROR(__xludf.DUMMYFUNCTION("""COMPUTED_VALUE"""),84.0)</f>
        <v>84</v>
      </c>
      <c r="X649" s="217">
        <f>IFERROR(__xludf.DUMMYFUNCTION("""COMPUTED_VALUE"""),72.0)</f>
        <v>72</v>
      </c>
      <c r="Y649" s="217"/>
      <c r="Z649" s="217"/>
      <c r="AA649" s="481">
        <f>IFERROR(__xludf.DUMMYFUNCTION("""COMPUTED_VALUE"""),48.0)</f>
        <v>48</v>
      </c>
      <c r="AB649" s="481">
        <f>IFERROR(__xludf.DUMMYFUNCTION("""COMPUTED_VALUE"""),92.0)</f>
        <v>92</v>
      </c>
      <c r="AC649" s="481">
        <f>IFERROR(__xludf.DUMMYFUNCTION("""COMPUTED_VALUE"""),0.0)</f>
        <v>0</v>
      </c>
      <c r="AD649" s="481">
        <f>IFERROR(__xludf.DUMMYFUNCTION("""COMPUTED_VALUE"""),80.0)</f>
        <v>80</v>
      </c>
      <c r="AE649" s="481">
        <f>IFERROR(__xludf.DUMMYFUNCTION("""COMPUTED_VALUE"""),70.0)</f>
        <v>70</v>
      </c>
      <c r="AF649" s="481"/>
      <c r="AG649" s="481">
        <f>IFERROR(__xludf.DUMMYFUNCTION("""COMPUTED_VALUE"""),91.0)</f>
        <v>91</v>
      </c>
      <c r="AH649" s="481"/>
      <c r="AI649" s="158"/>
      <c r="AJ649" s="158"/>
      <c r="AK649" s="133">
        <f>IFERROR(__xludf.DUMMYFUNCTION("""COMPUTED_VALUE"""),4.0)</f>
        <v>4</v>
      </c>
      <c r="AL649" s="133">
        <f>IFERROR(__xludf.DUMMYFUNCTION("""COMPUTED_VALUE"""),3.0)</f>
        <v>3</v>
      </c>
      <c r="AM649" s="133">
        <f>IFERROR(__xludf.DUMMYFUNCTION("""COMPUTED_VALUE"""),3.0)</f>
        <v>3</v>
      </c>
      <c r="AN649" s="133" t="str">
        <f>IFERROR(__xludf.DUMMYFUNCTION("""COMPUTED_VALUE"""),"3.5")</f>
        <v>3.5</v>
      </c>
      <c r="AO649" s="133">
        <f>IFERROR(__xludf.DUMMYFUNCTION("""COMPUTED_VALUE"""),3.0)</f>
        <v>3</v>
      </c>
      <c r="AP649" s="155" t="s">
        <v>3780</v>
      </c>
    </row>
    <row r="650">
      <c r="A650" s="155">
        <f>IFERROR(__xludf.DUMMYFUNCTION("""COMPUTED_VALUE"""),129.0)</f>
        <v>129</v>
      </c>
      <c r="B650" s="155" t="str">
        <f>IFERROR(__xludf.DUMMYFUNCTION("""COMPUTED_VALUE"""),"veve23aiml@cmrit.ac.in")</f>
        <v>veve23aiml@cmrit.ac.in</v>
      </c>
      <c r="C650" s="174" t="str">
        <f>IFERROR(__xludf.DUMMYFUNCTION("""COMPUTED_VALUE"""),"VEDANTA VERMA")</f>
        <v>VEDANTA VERMA</v>
      </c>
      <c r="D650" s="155" t="str">
        <f>IFERROR(__xludf.DUMMYFUNCTION("""COMPUTED_VALUE"""),"1CR23AI136")</f>
        <v>1CR23AI136</v>
      </c>
      <c r="E650" s="563">
        <f>IFERROR(__xludf.DUMMYFUNCTION("""COMPUTED_VALUE"""),9.993301137E9)</f>
        <v>9993301137</v>
      </c>
      <c r="F650" s="155" t="str">
        <f>IFERROR(__xludf.DUMMYFUNCTION("""COMPUTED_VALUE"""),"AIML")</f>
        <v>AIML</v>
      </c>
      <c r="G650" s="158"/>
      <c r="H650" s="559">
        <f>IFERROR(__xludf.DUMMYFUNCTION("""COMPUTED_VALUE"""),79.0)</f>
        <v>79</v>
      </c>
      <c r="I650" s="559">
        <f>IFERROR(__xludf.DUMMYFUNCTION("""COMPUTED_VALUE"""),81.0)</f>
        <v>81</v>
      </c>
      <c r="J650" s="559">
        <f>IFERROR(__xludf.DUMMYFUNCTION("""COMPUTED_VALUE"""),72.0)</f>
        <v>72</v>
      </c>
      <c r="K650" s="559">
        <f>IFERROR(__xludf.DUMMYFUNCTION("""COMPUTED_VALUE"""),71.0)</f>
        <v>71</v>
      </c>
      <c r="L650" s="560">
        <f>IFERROR(__xludf.DUMMYFUNCTION("""COMPUTED_VALUE"""),50.0)</f>
        <v>50</v>
      </c>
      <c r="M650" s="561">
        <f>IFERROR(__xludf.DUMMYFUNCTION("""COMPUTED_VALUE"""),50.0)</f>
        <v>50</v>
      </c>
      <c r="N650" s="561">
        <f>IFERROR(__xludf.DUMMYFUNCTION("""COMPUTED_VALUE"""),50.0)</f>
        <v>50</v>
      </c>
      <c r="O650" s="560"/>
      <c r="P650" s="562">
        <f>IFERROR(__xludf.DUMMYFUNCTION("""COMPUTED_VALUE"""),85.0)</f>
        <v>85</v>
      </c>
      <c r="Q650" s="562">
        <f>IFERROR(__xludf.DUMMYFUNCTION("""COMPUTED_VALUE"""),71.0)</f>
        <v>71</v>
      </c>
      <c r="R650" s="562">
        <f>IFERROR(__xludf.DUMMYFUNCTION("""COMPUTED_VALUE"""),87.0)</f>
        <v>87</v>
      </c>
      <c r="S650" s="562"/>
      <c r="T650" s="217">
        <f>IFERROR(__xludf.DUMMYFUNCTION("""COMPUTED_VALUE"""),21.0)</f>
        <v>21</v>
      </c>
      <c r="U650" s="217">
        <f>IFERROR(__xludf.DUMMYFUNCTION("""COMPUTED_VALUE"""),23.0)</f>
        <v>23</v>
      </c>
      <c r="V650" s="217">
        <f>IFERROR(__xludf.DUMMYFUNCTION("""COMPUTED_VALUE"""),92.0)</f>
        <v>92</v>
      </c>
      <c r="W650" s="217">
        <f>IFERROR(__xludf.DUMMYFUNCTION("""COMPUTED_VALUE"""),84.0)</f>
        <v>84</v>
      </c>
      <c r="X650" s="217">
        <f>IFERROR(__xludf.DUMMYFUNCTION("""COMPUTED_VALUE"""),74.0)</f>
        <v>74</v>
      </c>
      <c r="Y650" s="217"/>
      <c r="Z650" s="217"/>
      <c r="AA650" s="481">
        <f>IFERROR(__xludf.DUMMYFUNCTION("""COMPUTED_VALUE"""),62.4)</f>
        <v>62.4</v>
      </c>
      <c r="AB650" s="481">
        <f>IFERROR(__xludf.DUMMYFUNCTION("""COMPUTED_VALUE"""),100.0)</f>
        <v>100</v>
      </c>
      <c r="AC650" s="481">
        <f>IFERROR(__xludf.DUMMYFUNCTION("""COMPUTED_VALUE"""),72.0)</f>
        <v>72</v>
      </c>
      <c r="AD650" s="481">
        <f>IFERROR(__xludf.DUMMYFUNCTION("""COMPUTED_VALUE"""),65.0)</f>
        <v>65</v>
      </c>
      <c r="AE650" s="481">
        <f>IFERROR(__xludf.DUMMYFUNCTION("""COMPUTED_VALUE"""),70.0)</f>
        <v>70</v>
      </c>
      <c r="AF650" s="481"/>
      <c r="AG650" s="481">
        <f>IFERROR(__xludf.DUMMYFUNCTION("""COMPUTED_VALUE"""),79.0)</f>
        <v>79</v>
      </c>
      <c r="AH650" s="481"/>
      <c r="AI650" s="158"/>
      <c r="AJ650" s="158"/>
      <c r="AK650" s="133">
        <f>IFERROR(__xludf.DUMMYFUNCTION("""COMPUTED_VALUE"""),4.0)</f>
        <v>4</v>
      </c>
      <c r="AL650" s="133">
        <f>IFERROR(__xludf.DUMMYFUNCTION("""COMPUTED_VALUE"""),3.0)</f>
        <v>3</v>
      </c>
      <c r="AM650" s="133">
        <f>IFERROR(__xludf.DUMMYFUNCTION("""COMPUTED_VALUE"""),3.0)</f>
        <v>3</v>
      </c>
      <c r="AN650" s="133" t="str">
        <f>IFERROR(__xludf.DUMMYFUNCTION("""COMPUTED_VALUE"""),"3.5")</f>
        <v>3.5</v>
      </c>
      <c r="AO650" s="133">
        <f>IFERROR(__xludf.DUMMYFUNCTION("""COMPUTED_VALUE"""),3.0)</f>
        <v>3</v>
      </c>
      <c r="AP650" s="155" t="s">
        <v>3780</v>
      </c>
    </row>
    <row r="651">
      <c r="A651" s="155">
        <f>IFERROR(__xludf.DUMMYFUNCTION("""COMPUTED_VALUE"""),130.0)</f>
        <v>130</v>
      </c>
      <c r="B651" s="155" t="str">
        <f>IFERROR(__xludf.DUMMYFUNCTION("""COMPUTED_VALUE"""),"vesh23aiml@cmrit.ac.in")</f>
        <v>vesh23aiml@cmrit.ac.in</v>
      </c>
      <c r="C651" s="174" t="str">
        <f>IFERROR(__xludf.DUMMYFUNCTION("""COMPUTED_VALUE"""),"VEDIKA SHARMA")</f>
        <v>VEDIKA SHARMA</v>
      </c>
      <c r="D651" s="155" t="str">
        <f>IFERROR(__xludf.DUMMYFUNCTION("""COMPUTED_VALUE"""),"1CR23AI137")</f>
        <v>1CR23AI137</v>
      </c>
      <c r="E651" s="563"/>
      <c r="F651" s="155" t="str">
        <f>IFERROR(__xludf.DUMMYFUNCTION("""COMPUTED_VALUE"""),"AIML")</f>
        <v>AIML</v>
      </c>
      <c r="G651" s="158"/>
      <c r="H651" s="559">
        <f>IFERROR(__xludf.DUMMYFUNCTION("""COMPUTED_VALUE"""),72.0)</f>
        <v>72</v>
      </c>
      <c r="I651" s="559">
        <f>IFERROR(__xludf.DUMMYFUNCTION("""COMPUTED_VALUE"""),74.0)</f>
        <v>74</v>
      </c>
      <c r="J651" s="559">
        <f>IFERROR(__xludf.DUMMYFUNCTION("""COMPUTED_VALUE"""),70.0)</f>
        <v>70</v>
      </c>
      <c r="K651" s="559">
        <f>IFERROR(__xludf.DUMMYFUNCTION("""COMPUTED_VALUE"""),70.0)</f>
        <v>70</v>
      </c>
      <c r="L651" s="560">
        <f>IFERROR(__xludf.DUMMYFUNCTION("""COMPUTED_VALUE"""),50.0)</f>
        <v>50</v>
      </c>
      <c r="M651" s="561">
        <f>IFERROR(__xludf.DUMMYFUNCTION("""COMPUTED_VALUE"""),50.0)</f>
        <v>50</v>
      </c>
      <c r="N651" s="561">
        <f>IFERROR(__xludf.DUMMYFUNCTION("""COMPUTED_VALUE"""),51.0)</f>
        <v>51</v>
      </c>
      <c r="O651" s="560"/>
      <c r="P651" s="562">
        <f>IFERROR(__xludf.DUMMYFUNCTION("""COMPUTED_VALUE"""),50.0)</f>
        <v>50</v>
      </c>
      <c r="Q651" s="562">
        <f>IFERROR(__xludf.DUMMYFUNCTION("""COMPUTED_VALUE"""),50.0)</f>
        <v>50</v>
      </c>
      <c r="R651" s="562">
        <f>IFERROR(__xludf.DUMMYFUNCTION("""COMPUTED_VALUE"""),50.0)</f>
        <v>50</v>
      </c>
      <c r="S651" s="562"/>
      <c r="T651" s="217">
        <f>IFERROR(__xludf.DUMMYFUNCTION("""COMPUTED_VALUE"""),18.0)</f>
        <v>18</v>
      </c>
      <c r="U651" s="217">
        <f>IFERROR(__xludf.DUMMYFUNCTION("""COMPUTED_VALUE"""),21.0)</f>
        <v>21</v>
      </c>
      <c r="V651" s="217">
        <f>IFERROR(__xludf.DUMMYFUNCTION("""COMPUTED_VALUE"""),92.0)</f>
        <v>92</v>
      </c>
      <c r="W651" s="217">
        <f>IFERROR(__xludf.DUMMYFUNCTION("""COMPUTED_VALUE"""),90.0)</f>
        <v>90</v>
      </c>
      <c r="X651" s="217">
        <f>IFERROR(__xludf.DUMMYFUNCTION("""COMPUTED_VALUE"""),78.0)</f>
        <v>78</v>
      </c>
      <c r="Y651" s="217"/>
      <c r="Z651" s="217"/>
      <c r="AA651" s="481">
        <f>IFERROR(__xludf.DUMMYFUNCTION("""COMPUTED_VALUE"""),0.0)</f>
        <v>0</v>
      </c>
      <c r="AB651" s="481">
        <f>IFERROR(__xludf.DUMMYFUNCTION("""COMPUTED_VALUE"""),50.0)</f>
        <v>50</v>
      </c>
      <c r="AC651" s="481">
        <f>IFERROR(__xludf.DUMMYFUNCTION("""COMPUTED_VALUE"""),0.0)</f>
        <v>0</v>
      </c>
      <c r="AD651" s="481">
        <f>IFERROR(__xludf.DUMMYFUNCTION("""COMPUTED_VALUE"""),70.0)</f>
        <v>70</v>
      </c>
      <c r="AE651" s="481">
        <f>IFERROR(__xludf.DUMMYFUNCTION("""COMPUTED_VALUE"""),75.0)</f>
        <v>75</v>
      </c>
      <c r="AF651" s="481"/>
      <c r="AG651" s="481">
        <f>IFERROR(__xludf.DUMMYFUNCTION("""COMPUTED_VALUE"""),89.0)</f>
        <v>89</v>
      </c>
      <c r="AH651" s="481"/>
      <c r="AI651" s="158"/>
      <c r="AJ651" s="158"/>
      <c r="AK651" s="133">
        <f>IFERROR(__xludf.DUMMYFUNCTION("""COMPUTED_VALUE"""),4.0)</f>
        <v>4</v>
      </c>
      <c r="AL651" s="133">
        <f>IFERROR(__xludf.DUMMYFUNCTION("""COMPUTED_VALUE"""),3.0)</f>
        <v>3</v>
      </c>
      <c r="AM651" s="133">
        <f>IFERROR(__xludf.DUMMYFUNCTION("""COMPUTED_VALUE"""),3.0)</f>
        <v>3</v>
      </c>
      <c r="AN651" s="133" t="str">
        <f>IFERROR(__xludf.DUMMYFUNCTION("""COMPUTED_VALUE"""),"3.5")</f>
        <v>3.5</v>
      </c>
      <c r="AO651" s="133">
        <f>IFERROR(__xludf.DUMMYFUNCTION("""COMPUTED_VALUE"""),3.0)</f>
        <v>3</v>
      </c>
      <c r="AP651" s="155" t="s">
        <v>3780</v>
      </c>
    </row>
    <row r="652">
      <c r="A652" s="155">
        <f>IFERROR(__xludf.DUMMYFUNCTION("""COMPUTED_VALUE"""),131.0)</f>
        <v>131</v>
      </c>
      <c r="B652" s="155" t="str">
        <f>IFERROR(__xludf.DUMMYFUNCTION("""COMPUTED_VALUE"""),"vish23aiml@cmrit.ac.in")</f>
        <v>vish23aiml@cmrit.ac.in</v>
      </c>
      <c r="C652" s="174" t="str">
        <f>IFERROR(__xludf.DUMMYFUNCTION("""COMPUTED_VALUE"""),"VIDHYA SHREE.R")</f>
        <v>VIDHYA SHREE.R</v>
      </c>
      <c r="D652" s="155" t="str">
        <f>IFERROR(__xludf.DUMMYFUNCTION("""COMPUTED_VALUE"""),"1CR23AI138")</f>
        <v>1CR23AI138</v>
      </c>
      <c r="E652" s="563">
        <f>IFERROR(__xludf.DUMMYFUNCTION("""COMPUTED_VALUE"""),7.89275622E9)</f>
        <v>7892756220</v>
      </c>
      <c r="F652" s="155" t="str">
        <f>IFERROR(__xludf.DUMMYFUNCTION("""COMPUTED_VALUE"""),"AIML")</f>
        <v>AIML</v>
      </c>
      <c r="G652" s="158"/>
      <c r="H652" s="559">
        <f>IFERROR(__xludf.DUMMYFUNCTION("""COMPUTED_VALUE"""),70.0)</f>
        <v>70</v>
      </c>
      <c r="I652" s="559">
        <f>IFERROR(__xludf.DUMMYFUNCTION("""COMPUTED_VALUE"""),71.0)</f>
        <v>71</v>
      </c>
      <c r="J652" s="559">
        <f>IFERROR(__xludf.DUMMYFUNCTION("""COMPUTED_VALUE"""),86.0)</f>
        <v>86</v>
      </c>
      <c r="K652" s="559">
        <f>IFERROR(__xludf.DUMMYFUNCTION("""COMPUTED_VALUE"""),70.0)</f>
        <v>70</v>
      </c>
      <c r="L652" s="560">
        <f>IFERROR(__xludf.DUMMYFUNCTION("""COMPUTED_VALUE"""),25.0)</f>
        <v>25</v>
      </c>
      <c r="M652" s="561">
        <f>IFERROR(__xludf.DUMMYFUNCTION("""COMPUTED_VALUE"""),16.0)</f>
        <v>16</v>
      </c>
      <c r="N652" s="561">
        <f>IFERROR(__xludf.DUMMYFUNCTION("""COMPUTED_VALUE"""),50.0)</f>
        <v>50</v>
      </c>
      <c r="O652" s="560"/>
      <c r="P652" s="562">
        <f>IFERROR(__xludf.DUMMYFUNCTION("""COMPUTED_VALUE"""),50.0)</f>
        <v>50</v>
      </c>
      <c r="Q652" s="562">
        <f>IFERROR(__xludf.DUMMYFUNCTION("""COMPUTED_VALUE"""),67.0)</f>
        <v>67</v>
      </c>
      <c r="R652" s="562">
        <f>IFERROR(__xludf.DUMMYFUNCTION("""COMPUTED_VALUE"""),75.0)</f>
        <v>75</v>
      </c>
      <c r="S652" s="562"/>
      <c r="T652" s="217">
        <f>IFERROR(__xludf.DUMMYFUNCTION("""COMPUTED_VALUE"""),14.0)</f>
        <v>14</v>
      </c>
      <c r="U652" s="217">
        <f>IFERROR(__xludf.DUMMYFUNCTION("""COMPUTED_VALUE"""),23.0)</f>
        <v>23</v>
      </c>
      <c r="V652" s="217">
        <f>IFERROR(__xludf.DUMMYFUNCTION("""COMPUTED_VALUE"""),84.0)</f>
        <v>84</v>
      </c>
      <c r="W652" s="217">
        <f>IFERROR(__xludf.DUMMYFUNCTION("""COMPUTED_VALUE"""),88.0)</f>
        <v>88</v>
      </c>
      <c r="X652" s="217">
        <f>IFERROR(__xludf.DUMMYFUNCTION("""COMPUTED_VALUE"""),70.0)</f>
        <v>70</v>
      </c>
      <c r="Y652" s="217"/>
      <c r="Z652" s="217"/>
      <c r="AA652" s="481">
        <f>IFERROR(__xludf.DUMMYFUNCTION("""COMPUTED_VALUE"""),24.0)</f>
        <v>24</v>
      </c>
      <c r="AB652" s="481">
        <f>IFERROR(__xludf.DUMMYFUNCTION("""COMPUTED_VALUE"""),92.0)</f>
        <v>92</v>
      </c>
      <c r="AC652" s="481">
        <f>IFERROR(__xludf.DUMMYFUNCTION("""COMPUTED_VALUE"""),70.0)</f>
        <v>70</v>
      </c>
      <c r="AD652" s="481">
        <f>IFERROR(__xludf.DUMMYFUNCTION("""COMPUTED_VALUE"""),2.0)</f>
        <v>2</v>
      </c>
      <c r="AE652" s="481">
        <f>IFERROR(__xludf.DUMMYFUNCTION("""COMPUTED_VALUE"""),20.0)</f>
        <v>20</v>
      </c>
      <c r="AF652" s="481"/>
      <c r="AG652" s="481">
        <f>IFERROR(__xludf.DUMMYFUNCTION("""COMPUTED_VALUE"""),83.0)</f>
        <v>83</v>
      </c>
      <c r="AH652" s="481"/>
      <c r="AI652" s="158"/>
      <c r="AJ652" s="158"/>
      <c r="AK652" s="133">
        <f>IFERROR(__xludf.DUMMYFUNCTION("""COMPUTED_VALUE"""),4.0)</f>
        <v>4</v>
      </c>
      <c r="AL652" s="133">
        <f>IFERROR(__xludf.DUMMYFUNCTION("""COMPUTED_VALUE"""),0.0)</f>
        <v>0</v>
      </c>
      <c r="AM652" s="133">
        <f>IFERROR(__xludf.DUMMYFUNCTION("""COMPUTED_VALUE"""),3.0)</f>
        <v>3</v>
      </c>
      <c r="AN652" s="133" t="str">
        <f>IFERROR(__xludf.DUMMYFUNCTION("""COMPUTED_VALUE"""),"3")</f>
        <v>3</v>
      </c>
      <c r="AO652" s="133">
        <f>IFERROR(__xludf.DUMMYFUNCTION("""COMPUTED_VALUE"""),3.0)</f>
        <v>3</v>
      </c>
      <c r="AP652" s="155" t="s">
        <v>3780</v>
      </c>
    </row>
    <row r="653">
      <c r="A653" s="155">
        <f>IFERROR(__xludf.DUMMYFUNCTION("""COMPUTED_VALUE"""),132.0)</f>
        <v>132</v>
      </c>
      <c r="B653" s="155" t="str">
        <f>IFERROR(__xludf.DUMMYFUNCTION("""COMPUTED_VALUE"""),"vihr23aiml@cmrit.ac.in")</f>
        <v>vihr23aiml@cmrit.ac.in</v>
      </c>
      <c r="C653" s="174" t="str">
        <f>IFERROR(__xludf.DUMMYFUNCTION("""COMPUTED_VALUE"""),"Vinay Kumar H R")</f>
        <v>Vinay Kumar H R</v>
      </c>
      <c r="D653" s="155" t="str">
        <f>IFERROR(__xludf.DUMMYFUNCTION("""COMPUTED_VALUE"""),"1CR23AI139")</f>
        <v>1CR23AI139</v>
      </c>
      <c r="E653" s="563">
        <f>IFERROR(__xludf.DUMMYFUNCTION("""COMPUTED_VALUE"""),9.353130984E9)</f>
        <v>9353130984</v>
      </c>
      <c r="F653" s="155" t="str">
        <f>IFERROR(__xludf.DUMMYFUNCTION("""COMPUTED_VALUE"""),"AIML")</f>
        <v>AIML</v>
      </c>
      <c r="G653" s="158"/>
      <c r="H653" s="559">
        <f>IFERROR(__xludf.DUMMYFUNCTION("""COMPUTED_VALUE"""),71.0)</f>
        <v>71</v>
      </c>
      <c r="I653" s="559">
        <f>IFERROR(__xludf.DUMMYFUNCTION("""COMPUTED_VALUE"""),73.0)</f>
        <v>73</v>
      </c>
      <c r="J653" s="559">
        <f>IFERROR(__xludf.DUMMYFUNCTION("""COMPUTED_VALUE"""),70.0)</f>
        <v>70</v>
      </c>
      <c r="K653" s="559">
        <f>IFERROR(__xludf.DUMMYFUNCTION("""COMPUTED_VALUE"""),70.0)</f>
        <v>70</v>
      </c>
      <c r="L653" s="560">
        <f>IFERROR(__xludf.DUMMYFUNCTION("""COMPUTED_VALUE"""),50.0)</f>
        <v>50</v>
      </c>
      <c r="M653" s="561">
        <f>IFERROR(__xludf.DUMMYFUNCTION("""COMPUTED_VALUE"""),12.0)</f>
        <v>12</v>
      </c>
      <c r="N653" s="561">
        <f>IFERROR(__xludf.DUMMYFUNCTION("""COMPUTED_VALUE"""),50.0)</f>
        <v>50</v>
      </c>
      <c r="O653" s="560"/>
      <c r="P653" s="562">
        <f>IFERROR(__xludf.DUMMYFUNCTION("""COMPUTED_VALUE"""),75.0)</f>
        <v>75</v>
      </c>
      <c r="Q653" s="562">
        <f>IFERROR(__xludf.DUMMYFUNCTION("""COMPUTED_VALUE"""),87.0)</f>
        <v>87</v>
      </c>
      <c r="R653" s="562">
        <f>IFERROR(__xludf.DUMMYFUNCTION("""COMPUTED_VALUE"""),93.0)</f>
        <v>93</v>
      </c>
      <c r="S653" s="562"/>
      <c r="T653" s="217">
        <f>IFERROR(__xludf.DUMMYFUNCTION("""COMPUTED_VALUE"""),12.0)</f>
        <v>12</v>
      </c>
      <c r="U653" s="217">
        <f>IFERROR(__xludf.DUMMYFUNCTION("""COMPUTED_VALUE"""),16.0)</f>
        <v>16</v>
      </c>
      <c r="V653" s="217">
        <f>IFERROR(__xludf.DUMMYFUNCTION("""COMPUTED_VALUE"""),82.0)</f>
        <v>82</v>
      </c>
      <c r="W653" s="217">
        <f>IFERROR(__xludf.DUMMYFUNCTION("""COMPUTED_VALUE"""),76.0)</f>
        <v>76</v>
      </c>
      <c r="X653" s="217">
        <f>IFERROR(__xludf.DUMMYFUNCTION("""COMPUTED_VALUE"""),72.0)</f>
        <v>72</v>
      </c>
      <c r="Y653" s="217"/>
      <c r="Z653" s="217"/>
      <c r="AA653" s="481">
        <f>IFERROR(__xludf.DUMMYFUNCTION("""COMPUTED_VALUE"""),66.0)</f>
        <v>66</v>
      </c>
      <c r="AB653" s="481">
        <f>IFERROR(__xludf.DUMMYFUNCTION("""COMPUTED_VALUE"""),88.0)</f>
        <v>88</v>
      </c>
      <c r="AC653" s="481">
        <f>IFERROR(__xludf.DUMMYFUNCTION("""COMPUTED_VALUE"""),80.0)</f>
        <v>80</v>
      </c>
      <c r="AD653" s="481">
        <f>IFERROR(__xludf.DUMMYFUNCTION("""COMPUTED_VALUE"""),2.0)</f>
        <v>2</v>
      </c>
      <c r="AE653" s="481">
        <f>IFERROR(__xludf.DUMMYFUNCTION("""COMPUTED_VALUE"""),70.0)</f>
        <v>70</v>
      </c>
      <c r="AF653" s="481"/>
      <c r="AG653" s="481">
        <f>IFERROR(__xludf.DUMMYFUNCTION("""COMPUTED_VALUE"""),77.0)</f>
        <v>77</v>
      </c>
      <c r="AH653" s="481"/>
      <c r="AI653" s="158"/>
      <c r="AJ653" s="158"/>
      <c r="AK653" s="133">
        <f>IFERROR(__xludf.DUMMYFUNCTION("""COMPUTED_VALUE"""),4.0)</f>
        <v>4</v>
      </c>
      <c r="AL653" s="133">
        <f>IFERROR(__xludf.DUMMYFUNCTION("""COMPUTED_VALUE"""),1.0)</f>
        <v>1</v>
      </c>
      <c r="AM653" s="133">
        <f>IFERROR(__xludf.DUMMYFUNCTION("""COMPUTED_VALUE"""),3.0)</f>
        <v>3</v>
      </c>
      <c r="AN653" s="133" t="str">
        <f>IFERROR(__xludf.DUMMYFUNCTION("""COMPUTED_VALUE"""),"3.5")</f>
        <v>3.5</v>
      </c>
      <c r="AO653" s="133">
        <f>IFERROR(__xludf.DUMMYFUNCTION("""COMPUTED_VALUE"""),3.0)</f>
        <v>3</v>
      </c>
      <c r="AP653" s="155" t="s">
        <v>3780</v>
      </c>
    </row>
    <row r="654">
      <c r="A654" s="155">
        <f>IFERROR(__xludf.DUMMYFUNCTION("""COMPUTED_VALUE"""),133.0)</f>
        <v>133</v>
      </c>
      <c r="B654" s="155" t="str">
        <f>IFERROR(__xludf.DUMMYFUNCTION("""COMPUTED_VALUE"""),"vis23aiml@cmrit.ac.in")</f>
        <v>vis23aiml@cmrit.ac.in</v>
      </c>
      <c r="C654" s="174" t="str">
        <f>IFERROR(__xludf.DUMMYFUNCTION("""COMPUTED_VALUE"""),"VINAY S")</f>
        <v>VINAY S</v>
      </c>
      <c r="D654" s="155" t="str">
        <f>IFERROR(__xludf.DUMMYFUNCTION("""COMPUTED_VALUE"""),"1CR23AI140")</f>
        <v>1CR23AI140</v>
      </c>
      <c r="E654" s="563">
        <f>IFERROR(__xludf.DUMMYFUNCTION("""COMPUTED_VALUE"""),8.660265612E9)</f>
        <v>8660265612</v>
      </c>
      <c r="F654" s="155" t="str">
        <f>IFERROR(__xludf.DUMMYFUNCTION("""COMPUTED_VALUE"""),"AIML")</f>
        <v>AIML</v>
      </c>
      <c r="G654" s="158"/>
      <c r="H654" s="559">
        <f>IFERROR(__xludf.DUMMYFUNCTION("""COMPUTED_VALUE"""),70.0)</f>
        <v>70</v>
      </c>
      <c r="I654" s="559">
        <f>IFERROR(__xludf.DUMMYFUNCTION("""COMPUTED_VALUE"""),70.0)</f>
        <v>70</v>
      </c>
      <c r="J654" s="559">
        <f>IFERROR(__xludf.DUMMYFUNCTION("""COMPUTED_VALUE"""),70.0)</f>
        <v>70</v>
      </c>
      <c r="K654" s="559">
        <f>IFERROR(__xludf.DUMMYFUNCTION("""COMPUTED_VALUE"""),70.0)</f>
        <v>70</v>
      </c>
      <c r="L654" s="560">
        <f>IFERROR(__xludf.DUMMYFUNCTION("""COMPUTED_VALUE"""),50.0)</f>
        <v>50</v>
      </c>
      <c r="M654" s="561">
        <f>IFERROR(__xludf.DUMMYFUNCTION("""COMPUTED_VALUE"""),50.0)</f>
        <v>50</v>
      </c>
      <c r="N654" s="561">
        <f>IFERROR(__xludf.DUMMYFUNCTION("""COMPUTED_VALUE"""),50.0)</f>
        <v>50</v>
      </c>
      <c r="O654" s="560"/>
      <c r="P654" s="562">
        <f>IFERROR(__xludf.DUMMYFUNCTION("""COMPUTED_VALUE"""),50.0)</f>
        <v>50</v>
      </c>
      <c r="Q654" s="562">
        <f>IFERROR(__xludf.DUMMYFUNCTION("""COMPUTED_VALUE"""),50.0)</f>
        <v>50</v>
      </c>
      <c r="R654" s="562">
        <f>IFERROR(__xludf.DUMMYFUNCTION("""COMPUTED_VALUE"""),50.0)</f>
        <v>50</v>
      </c>
      <c r="S654" s="562"/>
      <c r="T654" s="217">
        <f>IFERROR(__xludf.DUMMYFUNCTION("""COMPUTED_VALUE"""),21.0)</f>
        <v>21</v>
      </c>
      <c r="U654" s="217">
        <f>IFERROR(__xludf.DUMMYFUNCTION("""COMPUTED_VALUE"""),21.0)</f>
        <v>21</v>
      </c>
      <c r="V654" s="217">
        <f>IFERROR(__xludf.DUMMYFUNCTION("""COMPUTED_VALUE"""),94.0)</f>
        <v>94</v>
      </c>
      <c r="W654" s="217">
        <f>IFERROR(__xludf.DUMMYFUNCTION("""COMPUTED_VALUE"""),86.0)</f>
        <v>86</v>
      </c>
      <c r="X654" s="217">
        <f>IFERROR(__xludf.DUMMYFUNCTION("""COMPUTED_VALUE"""),84.0)</f>
        <v>84</v>
      </c>
      <c r="Y654" s="217"/>
      <c r="Z654" s="217"/>
      <c r="AA654" s="481">
        <f>IFERROR(__xludf.DUMMYFUNCTION("""COMPUTED_VALUE"""),46.0)</f>
        <v>46</v>
      </c>
      <c r="AB654" s="481">
        <f>IFERROR(__xludf.DUMMYFUNCTION("""COMPUTED_VALUE"""),95.0)</f>
        <v>95</v>
      </c>
      <c r="AC654" s="481">
        <f>IFERROR(__xludf.DUMMYFUNCTION("""COMPUTED_VALUE"""),15.0)</f>
        <v>15</v>
      </c>
      <c r="AD654" s="481">
        <f>IFERROR(__xludf.DUMMYFUNCTION("""COMPUTED_VALUE"""),80.0)</f>
        <v>80</v>
      </c>
      <c r="AE654" s="481">
        <f>IFERROR(__xludf.DUMMYFUNCTION("""COMPUTED_VALUE"""),60.0)</f>
        <v>60</v>
      </c>
      <c r="AF654" s="481"/>
      <c r="AG654" s="481">
        <f>IFERROR(__xludf.DUMMYFUNCTION("""COMPUTED_VALUE"""),65.0)</f>
        <v>65</v>
      </c>
      <c r="AH654" s="481"/>
      <c r="AI654" s="158"/>
      <c r="AJ654" s="158"/>
      <c r="AK654" s="133">
        <f>IFERROR(__xludf.DUMMYFUNCTION("""COMPUTED_VALUE"""),4.0)</f>
        <v>4</v>
      </c>
      <c r="AL654" s="133">
        <f>IFERROR(__xludf.DUMMYFUNCTION("""COMPUTED_VALUE"""),3.0)</f>
        <v>3</v>
      </c>
      <c r="AM654" s="133">
        <f>IFERROR(__xludf.DUMMYFUNCTION("""COMPUTED_VALUE"""),3.0)</f>
        <v>3</v>
      </c>
      <c r="AN654" s="133" t="str">
        <f>IFERROR(__xludf.DUMMYFUNCTION("""COMPUTED_VALUE"""),"3")</f>
        <v>3</v>
      </c>
      <c r="AO654" s="133">
        <f>IFERROR(__xludf.DUMMYFUNCTION("""COMPUTED_VALUE"""),3.0)</f>
        <v>3</v>
      </c>
      <c r="AP654" s="155" t="s">
        <v>3780</v>
      </c>
    </row>
    <row r="655">
      <c r="A655" s="155">
        <f>IFERROR(__xludf.DUMMYFUNCTION("""COMPUTED_VALUE"""),134.0)</f>
        <v>134</v>
      </c>
      <c r="B655" s="155" t="str">
        <f>IFERROR(__xludf.DUMMYFUNCTION("""COMPUTED_VALUE"""),"yaja23aiml@cmrit.ac.in")</f>
        <v>yaja23aiml@cmrit.ac.in</v>
      </c>
      <c r="C655" s="174" t="str">
        <f>IFERROR(__xludf.DUMMYFUNCTION("""COMPUTED_VALUE"""),"Yash Jaiswal")</f>
        <v>Yash Jaiswal</v>
      </c>
      <c r="D655" s="155" t="str">
        <f>IFERROR(__xludf.DUMMYFUNCTION("""COMPUTED_VALUE"""),"1CR23AI141")</f>
        <v>1CR23AI141</v>
      </c>
      <c r="E655" s="563">
        <f>IFERROR(__xludf.DUMMYFUNCTION("""COMPUTED_VALUE"""),9.34193707E9)</f>
        <v>9341937070</v>
      </c>
      <c r="F655" s="155" t="str">
        <f>IFERROR(__xludf.DUMMYFUNCTION("""COMPUTED_VALUE"""),"AIML")</f>
        <v>AIML</v>
      </c>
      <c r="G655" s="158"/>
      <c r="H655" s="559">
        <f>IFERROR(__xludf.DUMMYFUNCTION("""COMPUTED_VALUE"""),71.0)</f>
        <v>71</v>
      </c>
      <c r="I655" s="559">
        <f>IFERROR(__xludf.DUMMYFUNCTION("""COMPUTED_VALUE"""),76.0)</f>
        <v>76</v>
      </c>
      <c r="J655" s="559">
        <f>IFERROR(__xludf.DUMMYFUNCTION("""COMPUTED_VALUE"""),70.0)</f>
        <v>70</v>
      </c>
      <c r="K655" s="559">
        <f>IFERROR(__xludf.DUMMYFUNCTION("""COMPUTED_VALUE"""),70.0)</f>
        <v>70</v>
      </c>
      <c r="L655" s="560">
        <f>IFERROR(__xludf.DUMMYFUNCTION("""COMPUTED_VALUE"""),50.0)</f>
        <v>50</v>
      </c>
      <c r="M655" s="561">
        <f>IFERROR(__xludf.DUMMYFUNCTION("""COMPUTED_VALUE"""),50.0)</f>
        <v>50</v>
      </c>
      <c r="N655" s="561">
        <f>IFERROR(__xludf.DUMMYFUNCTION("""COMPUTED_VALUE"""),19.0)</f>
        <v>19</v>
      </c>
      <c r="O655" s="560"/>
      <c r="P655" s="562">
        <f>IFERROR(__xludf.DUMMYFUNCTION("""COMPUTED_VALUE"""),50.0)</f>
        <v>50</v>
      </c>
      <c r="Q655" s="562">
        <f>IFERROR(__xludf.DUMMYFUNCTION("""COMPUTED_VALUE"""),73.0)</f>
        <v>73</v>
      </c>
      <c r="R655" s="562">
        <f>IFERROR(__xludf.DUMMYFUNCTION("""COMPUTED_VALUE"""),78.0)</f>
        <v>78</v>
      </c>
      <c r="S655" s="562"/>
      <c r="T655" s="217">
        <f>IFERROR(__xludf.DUMMYFUNCTION("""COMPUTED_VALUE"""),7.0)</f>
        <v>7</v>
      </c>
      <c r="U655" s="217">
        <f>IFERROR(__xludf.DUMMYFUNCTION("""COMPUTED_VALUE"""),20.0)</f>
        <v>20</v>
      </c>
      <c r="V655" s="217">
        <f>IFERROR(__xludf.DUMMYFUNCTION("""COMPUTED_VALUE"""),88.0)</f>
        <v>88</v>
      </c>
      <c r="W655" s="217">
        <f>IFERROR(__xludf.DUMMYFUNCTION("""COMPUTED_VALUE"""),82.0)</f>
        <v>82</v>
      </c>
      <c r="X655" s="217">
        <f>IFERROR(__xludf.DUMMYFUNCTION("""COMPUTED_VALUE"""),68.0)</f>
        <v>68</v>
      </c>
      <c r="Y655" s="217"/>
      <c r="Z655" s="217"/>
      <c r="AA655" s="481">
        <f>IFERROR(__xludf.DUMMYFUNCTION("""COMPUTED_VALUE"""),42.0)</f>
        <v>42</v>
      </c>
      <c r="AB655" s="481">
        <f>IFERROR(__xludf.DUMMYFUNCTION("""COMPUTED_VALUE"""),90.0)</f>
        <v>90</v>
      </c>
      <c r="AC655" s="481">
        <f>IFERROR(__xludf.DUMMYFUNCTION("""COMPUTED_VALUE"""),66.0)</f>
        <v>66</v>
      </c>
      <c r="AD655" s="481">
        <f>IFERROR(__xludf.DUMMYFUNCTION("""COMPUTED_VALUE"""),100.0)</f>
        <v>100</v>
      </c>
      <c r="AE655" s="481">
        <f>IFERROR(__xludf.DUMMYFUNCTION("""COMPUTED_VALUE"""),10.0)</f>
        <v>10</v>
      </c>
      <c r="AF655" s="481"/>
      <c r="AG655" s="481">
        <f>IFERROR(__xludf.DUMMYFUNCTION("""COMPUTED_VALUE"""),0.0)</f>
        <v>0</v>
      </c>
      <c r="AH655" s="481"/>
      <c r="AI655" s="158"/>
      <c r="AJ655" s="158"/>
      <c r="AK655" s="133">
        <f>IFERROR(__xludf.DUMMYFUNCTION("""COMPUTED_VALUE"""),4.0)</f>
        <v>4</v>
      </c>
      <c r="AL655" s="133">
        <f>IFERROR(__xludf.DUMMYFUNCTION("""COMPUTED_VALUE"""),2.0)</f>
        <v>2</v>
      </c>
      <c r="AM655" s="133">
        <f>IFERROR(__xludf.DUMMYFUNCTION("""COMPUTED_VALUE"""),3.0)</f>
        <v>3</v>
      </c>
      <c r="AN655" s="133" t="str">
        <f>IFERROR(__xludf.DUMMYFUNCTION("""COMPUTED_VALUE"""),"3")</f>
        <v>3</v>
      </c>
      <c r="AO655" s="133">
        <f>IFERROR(__xludf.DUMMYFUNCTION("""COMPUTED_VALUE"""),3.0)</f>
        <v>3</v>
      </c>
      <c r="AP655" s="155" t="s">
        <v>3780</v>
      </c>
    </row>
    <row r="656">
      <c r="A656" s="155">
        <f>IFERROR(__xludf.DUMMYFUNCTION("""COMPUTED_VALUE"""),135.0)</f>
        <v>135</v>
      </c>
      <c r="B656" s="155" t="str">
        <f>IFERROR(__xludf.DUMMYFUNCTION("""COMPUTED_VALUE"""),"yan23aiml@cmrit.ac.in")</f>
        <v>yan23aiml@cmrit.ac.in</v>
      </c>
      <c r="C656" s="174" t="str">
        <f>IFERROR(__xludf.DUMMYFUNCTION("""COMPUTED_VALUE"""),"Yashaswini N")</f>
        <v>Yashaswini N</v>
      </c>
      <c r="D656" s="155" t="str">
        <f>IFERROR(__xludf.DUMMYFUNCTION("""COMPUTED_VALUE"""),"1CR23AI142")</f>
        <v>1CR23AI142</v>
      </c>
      <c r="E656" s="563">
        <f>IFERROR(__xludf.DUMMYFUNCTION("""COMPUTED_VALUE"""),9.113582304E9)</f>
        <v>9113582304</v>
      </c>
      <c r="F656" s="155" t="str">
        <f>IFERROR(__xludf.DUMMYFUNCTION("""COMPUTED_VALUE"""),"AIML")</f>
        <v>AIML</v>
      </c>
      <c r="G656" s="158"/>
      <c r="H656" s="559">
        <f>IFERROR(__xludf.DUMMYFUNCTION("""COMPUTED_VALUE"""),74.0)</f>
        <v>74</v>
      </c>
      <c r="I656" s="559">
        <f>IFERROR(__xludf.DUMMYFUNCTION("""COMPUTED_VALUE"""),79.0)</f>
        <v>79</v>
      </c>
      <c r="J656" s="559">
        <f>IFERROR(__xludf.DUMMYFUNCTION("""COMPUTED_VALUE"""),70.0)</f>
        <v>70</v>
      </c>
      <c r="K656" s="559">
        <f>IFERROR(__xludf.DUMMYFUNCTION("""COMPUTED_VALUE"""),70.0)</f>
        <v>70</v>
      </c>
      <c r="L656" s="560">
        <f>IFERROR(__xludf.DUMMYFUNCTION("""COMPUTED_VALUE"""),50.0)</f>
        <v>50</v>
      </c>
      <c r="M656" s="561">
        <f>IFERROR(__xludf.DUMMYFUNCTION("""COMPUTED_VALUE"""),6.0)</f>
        <v>6</v>
      </c>
      <c r="N656" s="561">
        <f>IFERROR(__xludf.DUMMYFUNCTION("""COMPUTED_VALUE"""),50.0)</f>
        <v>50</v>
      </c>
      <c r="O656" s="560"/>
      <c r="P656" s="562">
        <f>IFERROR(__xludf.DUMMYFUNCTION("""COMPUTED_VALUE"""),85.0)</f>
        <v>85</v>
      </c>
      <c r="Q656" s="562">
        <f>IFERROR(__xludf.DUMMYFUNCTION("""COMPUTED_VALUE"""),71.0)</f>
        <v>71</v>
      </c>
      <c r="R656" s="562">
        <f>IFERROR(__xludf.DUMMYFUNCTION("""COMPUTED_VALUE"""),38.0)</f>
        <v>38</v>
      </c>
      <c r="S656" s="562"/>
      <c r="T656" s="217">
        <f>IFERROR(__xludf.DUMMYFUNCTION("""COMPUTED_VALUE"""),19.0)</f>
        <v>19</v>
      </c>
      <c r="U656" s="217">
        <f>IFERROR(__xludf.DUMMYFUNCTION("""COMPUTED_VALUE"""),24.0)</f>
        <v>24</v>
      </c>
      <c r="V656" s="217">
        <f>IFERROR(__xludf.DUMMYFUNCTION("""COMPUTED_VALUE"""),94.0)</f>
        <v>94</v>
      </c>
      <c r="W656" s="217">
        <f>IFERROR(__xludf.DUMMYFUNCTION("""COMPUTED_VALUE"""),84.0)</f>
        <v>84</v>
      </c>
      <c r="X656" s="217">
        <f>IFERROR(__xludf.DUMMYFUNCTION("""COMPUTED_VALUE"""),68.0)</f>
        <v>68</v>
      </c>
      <c r="Y656" s="217"/>
      <c r="Z656" s="217"/>
      <c r="AA656" s="481">
        <f>IFERROR(__xludf.DUMMYFUNCTION("""COMPUTED_VALUE"""),36.0)</f>
        <v>36</v>
      </c>
      <c r="AB656" s="481">
        <f>IFERROR(__xludf.DUMMYFUNCTION("""COMPUTED_VALUE"""),100.0)</f>
        <v>100</v>
      </c>
      <c r="AC656" s="481">
        <f>IFERROR(__xludf.DUMMYFUNCTION("""COMPUTED_VALUE"""),13.0)</f>
        <v>13</v>
      </c>
      <c r="AD656" s="481">
        <f>IFERROR(__xludf.DUMMYFUNCTION("""COMPUTED_VALUE"""),60.0)</f>
        <v>60</v>
      </c>
      <c r="AE656" s="481">
        <f>IFERROR(__xludf.DUMMYFUNCTION("""COMPUTED_VALUE"""),55.0)</f>
        <v>55</v>
      </c>
      <c r="AF656" s="481"/>
      <c r="AG656" s="481">
        <f>IFERROR(__xludf.DUMMYFUNCTION("""COMPUTED_VALUE"""),90.0)</f>
        <v>90</v>
      </c>
      <c r="AH656" s="481"/>
      <c r="AI656" s="158"/>
      <c r="AJ656" s="158"/>
      <c r="AK656" s="133">
        <f>IFERROR(__xludf.DUMMYFUNCTION("""COMPUTED_VALUE"""),4.0)</f>
        <v>4</v>
      </c>
      <c r="AL656" s="133">
        <f>IFERROR(__xludf.DUMMYFUNCTION("""COMPUTED_VALUE"""),1.0)</f>
        <v>1</v>
      </c>
      <c r="AM656" s="133">
        <f>IFERROR(__xludf.DUMMYFUNCTION("""COMPUTED_VALUE"""),3.0)</f>
        <v>3</v>
      </c>
      <c r="AN656" s="133" t="str">
        <f>IFERROR(__xludf.DUMMYFUNCTION("""COMPUTED_VALUE"""),"3")</f>
        <v>3</v>
      </c>
      <c r="AO656" s="133">
        <f>IFERROR(__xludf.DUMMYFUNCTION("""COMPUTED_VALUE"""),2.0)</f>
        <v>2</v>
      </c>
      <c r="AP656" s="155" t="s">
        <v>3780</v>
      </c>
    </row>
    <row r="657">
      <c r="A657" s="155">
        <f>IFERROR(__xludf.DUMMYFUNCTION("""COMPUTED_VALUE"""),136.0)</f>
        <v>136</v>
      </c>
      <c r="B657" s="155" t="str">
        <f>IFERROR(__xludf.DUMMYFUNCTION("""COMPUTED_VALUE"""),"yag23aiml@cmrit.ac.in")</f>
        <v>yag23aiml@cmrit.ac.in</v>
      </c>
      <c r="C657" s="174" t="str">
        <f>IFERROR(__xludf.DUMMYFUNCTION("""COMPUTED_VALUE"""),"Yashica G")</f>
        <v>Yashica G</v>
      </c>
      <c r="D657" s="155" t="str">
        <f>IFERROR(__xludf.DUMMYFUNCTION("""COMPUTED_VALUE"""),"1CR23AI143")</f>
        <v>1CR23AI143</v>
      </c>
      <c r="E657" s="563">
        <f>IFERROR(__xludf.DUMMYFUNCTION("""COMPUTED_VALUE"""),8.867157957E9)</f>
        <v>8867157957</v>
      </c>
      <c r="F657" s="155" t="str">
        <f>IFERROR(__xludf.DUMMYFUNCTION("""COMPUTED_VALUE"""),"AIML")</f>
        <v>AIML</v>
      </c>
      <c r="G657" s="158"/>
      <c r="H657" s="559">
        <f>IFERROR(__xludf.DUMMYFUNCTION("""COMPUTED_VALUE"""),89.0)</f>
        <v>89</v>
      </c>
      <c r="I657" s="559">
        <f>IFERROR(__xludf.DUMMYFUNCTION("""COMPUTED_VALUE"""),97.0)</f>
        <v>97</v>
      </c>
      <c r="J657" s="559">
        <f>IFERROR(__xludf.DUMMYFUNCTION("""COMPUTED_VALUE"""),83.0)</f>
        <v>83</v>
      </c>
      <c r="K657" s="559">
        <f>IFERROR(__xludf.DUMMYFUNCTION("""COMPUTED_VALUE"""),70.0)</f>
        <v>70</v>
      </c>
      <c r="L657" s="560">
        <f>IFERROR(__xludf.DUMMYFUNCTION("""COMPUTED_VALUE"""),50.0)</f>
        <v>50</v>
      </c>
      <c r="M657" s="561">
        <f>IFERROR(__xludf.DUMMYFUNCTION("""COMPUTED_VALUE"""),39.0)</f>
        <v>39</v>
      </c>
      <c r="N657" s="561">
        <f>IFERROR(__xludf.DUMMYFUNCTION("""COMPUTED_VALUE"""),50.0)</f>
        <v>50</v>
      </c>
      <c r="O657" s="560"/>
      <c r="P657" s="562">
        <f>IFERROR(__xludf.DUMMYFUNCTION("""COMPUTED_VALUE"""),82.0)</f>
        <v>82</v>
      </c>
      <c r="Q657" s="562">
        <f>IFERROR(__xludf.DUMMYFUNCTION("""COMPUTED_VALUE"""),54.0)</f>
        <v>54</v>
      </c>
      <c r="R657" s="562">
        <f>IFERROR(__xludf.DUMMYFUNCTION("""COMPUTED_VALUE"""),88.0)</f>
        <v>88</v>
      </c>
      <c r="S657" s="562"/>
      <c r="T657" s="217">
        <f>IFERROR(__xludf.DUMMYFUNCTION("""COMPUTED_VALUE"""),12.0)</f>
        <v>12</v>
      </c>
      <c r="U657" s="217">
        <f>IFERROR(__xludf.DUMMYFUNCTION("""COMPUTED_VALUE"""),18.0)</f>
        <v>18</v>
      </c>
      <c r="V657" s="217">
        <f>IFERROR(__xludf.DUMMYFUNCTION("""COMPUTED_VALUE"""),74.0)</f>
        <v>74</v>
      </c>
      <c r="W657" s="217">
        <f>IFERROR(__xludf.DUMMYFUNCTION("""COMPUTED_VALUE"""),90.0)</f>
        <v>90</v>
      </c>
      <c r="X657" s="217">
        <f>IFERROR(__xludf.DUMMYFUNCTION("""COMPUTED_VALUE"""),74.0)</f>
        <v>74</v>
      </c>
      <c r="Y657" s="217"/>
      <c r="Z657" s="217"/>
      <c r="AA657" s="481">
        <f>IFERROR(__xludf.DUMMYFUNCTION("""COMPUTED_VALUE"""),44.0)</f>
        <v>44</v>
      </c>
      <c r="AB657" s="481">
        <f>IFERROR(__xludf.DUMMYFUNCTION("""COMPUTED_VALUE"""),75.0)</f>
        <v>75</v>
      </c>
      <c r="AC657" s="481">
        <f>IFERROR(__xludf.DUMMYFUNCTION("""COMPUTED_VALUE"""),60.0)</f>
        <v>60</v>
      </c>
      <c r="AD657" s="481">
        <f>IFERROR(__xludf.DUMMYFUNCTION("""COMPUTED_VALUE"""),62.0)</f>
        <v>62</v>
      </c>
      <c r="AE657" s="481">
        <f>IFERROR(__xludf.DUMMYFUNCTION("""COMPUTED_VALUE"""),70.0)</f>
        <v>70</v>
      </c>
      <c r="AF657" s="481"/>
      <c r="AG657" s="481">
        <f>IFERROR(__xludf.DUMMYFUNCTION("""COMPUTED_VALUE"""),84.0)</f>
        <v>84</v>
      </c>
      <c r="AH657" s="481"/>
      <c r="AI657" s="158"/>
      <c r="AJ657" s="158"/>
      <c r="AK657" s="133">
        <f>IFERROR(__xludf.DUMMYFUNCTION("""COMPUTED_VALUE"""),4.0)</f>
        <v>4</v>
      </c>
      <c r="AL657" s="133">
        <f>IFERROR(__xludf.DUMMYFUNCTION("""COMPUTED_VALUE"""),1.0)</f>
        <v>1</v>
      </c>
      <c r="AM657" s="133">
        <f>IFERROR(__xludf.DUMMYFUNCTION("""COMPUTED_VALUE"""),3.0)</f>
        <v>3</v>
      </c>
      <c r="AN657" s="133" t="str">
        <f>IFERROR(__xludf.DUMMYFUNCTION("""COMPUTED_VALUE"""),"3.5")</f>
        <v>3.5</v>
      </c>
      <c r="AO657" s="133">
        <f>IFERROR(__xludf.DUMMYFUNCTION("""COMPUTED_VALUE"""),3.0)</f>
        <v>3</v>
      </c>
      <c r="AP657" s="155" t="s">
        <v>3780</v>
      </c>
    </row>
    <row r="658">
      <c r="A658" s="155">
        <f>IFERROR(__xludf.DUMMYFUNCTION("""COMPUTED_VALUE"""),137.0)</f>
        <v>137</v>
      </c>
      <c r="B658" s="155" t="str">
        <f>IFERROR(__xludf.DUMMYFUNCTION("""COMPUTED_VALUE"""),"dharshan.aiml24le@cmrit.ac.in")</f>
        <v>dharshan.aiml24le@cmrit.ac.in</v>
      </c>
      <c r="C658" s="174" t="str">
        <f>IFERROR(__xludf.DUMMYFUNCTION("""COMPUTED_VALUE"""),"Dharshan P")</f>
        <v>Dharshan P</v>
      </c>
      <c r="D658" s="155" t="str">
        <f>IFERROR(__xludf.DUMMYFUNCTION("""COMPUTED_VALUE"""),"1CR24AI400")</f>
        <v>1CR24AI400</v>
      </c>
      <c r="E658" s="563">
        <f>IFERROR(__xludf.DUMMYFUNCTION("""COMPUTED_VALUE"""),7.795189781E9)</f>
        <v>7795189781</v>
      </c>
      <c r="F658" s="155" t="str">
        <f>IFERROR(__xludf.DUMMYFUNCTION("""COMPUTED_VALUE"""),"AIML")</f>
        <v>AIML</v>
      </c>
      <c r="G658" s="158"/>
      <c r="H658" s="559">
        <f>IFERROR(__xludf.DUMMYFUNCTION("""COMPUTED_VALUE"""),70.0)</f>
        <v>70</v>
      </c>
      <c r="I658" s="559">
        <f>IFERROR(__xludf.DUMMYFUNCTION("""COMPUTED_VALUE"""),70.0)</f>
        <v>70</v>
      </c>
      <c r="J658" s="559">
        <f>IFERROR(__xludf.DUMMYFUNCTION("""COMPUTED_VALUE"""),70.0)</f>
        <v>70</v>
      </c>
      <c r="K658" s="559">
        <f>IFERROR(__xludf.DUMMYFUNCTION("""COMPUTED_VALUE"""),70.0)</f>
        <v>70</v>
      </c>
      <c r="L658" s="560">
        <f>IFERROR(__xludf.DUMMYFUNCTION("""COMPUTED_VALUE"""),21.0)</f>
        <v>21</v>
      </c>
      <c r="M658" s="561">
        <f>IFERROR(__xludf.DUMMYFUNCTION("""COMPUTED_VALUE"""),36.0)</f>
        <v>36</v>
      </c>
      <c r="N658" s="561">
        <f>IFERROR(__xludf.DUMMYFUNCTION("""COMPUTED_VALUE"""),50.0)</f>
        <v>50</v>
      </c>
      <c r="O658" s="560"/>
      <c r="P658" s="562">
        <f>IFERROR(__xludf.DUMMYFUNCTION("""COMPUTED_VALUE"""),50.0)</f>
        <v>50</v>
      </c>
      <c r="Q658" s="562">
        <f>IFERROR(__xludf.DUMMYFUNCTION("""COMPUTED_VALUE"""),73.0)</f>
        <v>73</v>
      </c>
      <c r="R658" s="562">
        <f>IFERROR(__xludf.DUMMYFUNCTION("""COMPUTED_VALUE"""),81.0)</f>
        <v>81</v>
      </c>
      <c r="S658" s="562"/>
      <c r="T658" s="217"/>
      <c r="U658" s="217"/>
      <c r="V658" s="217">
        <f>IFERROR(__xludf.DUMMYFUNCTION("""COMPUTED_VALUE"""),92.0)</f>
        <v>92</v>
      </c>
      <c r="W658" s="217">
        <f>IFERROR(__xludf.DUMMYFUNCTION("""COMPUTED_VALUE"""),82.0)</f>
        <v>82</v>
      </c>
      <c r="X658" s="217">
        <f>IFERROR(__xludf.DUMMYFUNCTION("""COMPUTED_VALUE"""),72.0)</f>
        <v>72</v>
      </c>
      <c r="Y658" s="217"/>
      <c r="Z658" s="217"/>
      <c r="AA658" s="481"/>
      <c r="AB658" s="481">
        <f>IFERROR(__xludf.DUMMYFUNCTION("""COMPUTED_VALUE"""),100.0)</f>
        <v>100</v>
      </c>
      <c r="AC658" s="481">
        <f>IFERROR(__xludf.DUMMYFUNCTION("""COMPUTED_VALUE"""),100.0)</f>
        <v>100</v>
      </c>
      <c r="AD658" s="481">
        <f>IFERROR(__xludf.DUMMYFUNCTION("""COMPUTED_VALUE"""),60.0)</f>
        <v>60</v>
      </c>
      <c r="AE658" s="481">
        <f>IFERROR(__xludf.DUMMYFUNCTION("""COMPUTED_VALUE"""),31.0)</f>
        <v>31</v>
      </c>
      <c r="AF658" s="481"/>
      <c r="AG658" s="481">
        <f>IFERROR(__xludf.DUMMYFUNCTION("""COMPUTED_VALUE"""),70.0)</f>
        <v>70</v>
      </c>
      <c r="AH658" s="481"/>
      <c r="AI658" s="158"/>
      <c r="AJ658" s="158"/>
      <c r="AK658" s="133">
        <f>IFERROR(__xludf.DUMMYFUNCTION("""COMPUTED_VALUE"""),4.0)</f>
        <v>4</v>
      </c>
      <c r="AL658" s="133">
        <f>IFERROR(__xludf.DUMMYFUNCTION("""COMPUTED_VALUE"""),0.0)</f>
        <v>0</v>
      </c>
      <c r="AM658" s="133">
        <f>IFERROR(__xludf.DUMMYFUNCTION("""COMPUTED_VALUE"""),0.0)</f>
        <v>0</v>
      </c>
      <c r="AN658" s="133" t="str">
        <f>IFERROR(__xludf.DUMMYFUNCTION("""COMPUTED_VALUE"""),"3")</f>
        <v>3</v>
      </c>
      <c r="AO658" s="133">
        <f>IFERROR(__xludf.DUMMYFUNCTION("""COMPUTED_VALUE"""),3.0)</f>
        <v>3</v>
      </c>
      <c r="AP658" s="155" t="s">
        <v>3780</v>
      </c>
    </row>
    <row r="659">
      <c r="A659" s="155">
        <f>IFERROR(__xludf.DUMMYFUNCTION("""COMPUTED_VALUE"""),138.0)</f>
        <v>138</v>
      </c>
      <c r="B659" s="155" t="str">
        <f>IFERROR(__xludf.DUMMYFUNCTION("""COMPUTED_VALUE"""),"gowtham.aiml24le@cmrit.ac.in")</f>
        <v>gowtham.aiml24le@cmrit.ac.in</v>
      </c>
      <c r="C659" s="174" t="str">
        <f>IFERROR(__xludf.DUMMYFUNCTION("""COMPUTED_VALUE"""),"Gowtham M")</f>
        <v>Gowtham M</v>
      </c>
      <c r="D659" s="155" t="str">
        <f>IFERROR(__xludf.DUMMYFUNCTION("""COMPUTED_VALUE"""),"1CR24AI401")</f>
        <v>1CR24AI401</v>
      </c>
      <c r="E659" s="563">
        <f>IFERROR(__xludf.DUMMYFUNCTION("""COMPUTED_VALUE"""),7.01986259E9)</f>
        <v>7019862590</v>
      </c>
      <c r="F659" s="155" t="str">
        <f>IFERROR(__xludf.DUMMYFUNCTION("""COMPUTED_VALUE"""),"AIML")</f>
        <v>AIML</v>
      </c>
      <c r="G659" s="158"/>
      <c r="H659" s="559">
        <f>IFERROR(__xludf.DUMMYFUNCTION("""COMPUTED_VALUE"""),72.0)</f>
        <v>72</v>
      </c>
      <c r="I659" s="559">
        <f>IFERROR(__xludf.DUMMYFUNCTION("""COMPUTED_VALUE"""),70.0)</f>
        <v>70</v>
      </c>
      <c r="J659" s="559">
        <f>IFERROR(__xludf.DUMMYFUNCTION("""COMPUTED_VALUE"""),70.0)</f>
        <v>70</v>
      </c>
      <c r="K659" s="559">
        <f>IFERROR(__xludf.DUMMYFUNCTION("""COMPUTED_VALUE"""),70.0)</f>
        <v>70</v>
      </c>
      <c r="L659" s="560">
        <f>IFERROR(__xludf.DUMMYFUNCTION("""COMPUTED_VALUE"""),0.0)</f>
        <v>0</v>
      </c>
      <c r="M659" s="561">
        <f>IFERROR(__xludf.DUMMYFUNCTION("""COMPUTED_VALUE"""),5.0)</f>
        <v>5</v>
      </c>
      <c r="N659" s="561">
        <f>IFERROR(__xludf.DUMMYFUNCTION("""COMPUTED_VALUE"""),50.0)</f>
        <v>50</v>
      </c>
      <c r="O659" s="560"/>
      <c r="P659" s="562">
        <f>IFERROR(__xludf.DUMMYFUNCTION("""COMPUTED_VALUE"""),50.0)</f>
        <v>50</v>
      </c>
      <c r="Q659" s="562">
        <f>IFERROR(__xludf.DUMMYFUNCTION("""COMPUTED_VALUE"""),50.0)</f>
        <v>50</v>
      </c>
      <c r="R659" s="562">
        <f>IFERROR(__xludf.DUMMYFUNCTION("""COMPUTED_VALUE"""),87.0)</f>
        <v>87</v>
      </c>
      <c r="S659" s="562"/>
      <c r="T659" s="217"/>
      <c r="U659" s="217"/>
      <c r="V659" s="217">
        <f>IFERROR(__xludf.DUMMYFUNCTION("""COMPUTED_VALUE"""),94.0)</f>
        <v>94</v>
      </c>
      <c r="W659" s="217">
        <f>IFERROR(__xludf.DUMMYFUNCTION("""COMPUTED_VALUE"""),90.0)</f>
        <v>90</v>
      </c>
      <c r="X659" s="217">
        <f>IFERROR(__xludf.DUMMYFUNCTION("""COMPUTED_VALUE"""),68.0)</f>
        <v>68</v>
      </c>
      <c r="Y659" s="217"/>
      <c r="Z659" s="217"/>
      <c r="AA659" s="481"/>
      <c r="AB659" s="481">
        <f>IFERROR(__xludf.DUMMYFUNCTION("""COMPUTED_VALUE"""),0.0)</f>
        <v>0</v>
      </c>
      <c r="AC659" s="481">
        <f>IFERROR(__xludf.DUMMYFUNCTION("""COMPUTED_VALUE"""),0.0)</f>
        <v>0</v>
      </c>
      <c r="AD659" s="481">
        <f>IFERROR(__xludf.DUMMYFUNCTION("""COMPUTED_VALUE"""),60.0)</f>
        <v>60</v>
      </c>
      <c r="AE659" s="481">
        <f>IFERROR(__xludf.DUMMYFUNCTION("""COMPUTED_VALUE"""),35.0)</f>
        <v>35</v>
      </c>
      <c r="AF659" s="481"/>
      <c r="AG659" s="481">
        <f>IFERROR(__xludf.DUMMYFUNCTION("""COMPUTED_VALUE"""),70.0)</f>
        <v>70</v>
      </c>
      <c r="AH659" s="481"/>
      <c r="AI659" s="158"/>
      <c r="AJ659" s="158"/>
      <c r="AK659" s="133">
        <f>IFERROR(__xludf.DUMMYFUNCTION("""COMPUTED_VALUE"""),4.0)</f>
        <v>4</v>
      </c>
      <c r="AL659" s="133">
        <f>IFERROR(__xludf.DUMMYFUNCTION("""COMPUTED_VALUE"""),0.0)</f>
        <v>0</v>
      </c>
      <c r="AM659" s="133">
        <f>IFERROR(__xludf.DUMMYFUNCTION("""COMPUTED_VALUE"""),0.0)</f>
        <v>0</v>
      </c>
      <c r="AN659" s="133" t="str">
        <f>IFERROR(__xludf.DUMMYFUNCTION("""COMPUTED_VALUE"""),"0")</f>
        <v>0</v>
      </c>
      <c r="AO659" s="133">
        <f>IFERROR(__xludf.DUMMYFUNCTION("""COMPUTED_VALUE"""),3.0)</f>
        <v>3</v>
      </c>
      <c r="AP659" s="155" t="s">
        <v>3780</v>
      </c>
    </row>
    <row r="660">
      <c r="A660" s="155">
        <f>IFERROR(__xludf.DUMMYFUNCTION("""COMPUTED_VALUE"""),139.0)</f>
        <v>139</v>
      </c>
      <c r="B660" s="155" t="str">
        <f>IFERROR(__xludf.DUMMYFUNCTION("""COMPUTED_VALUE"""),"isaiah.aiml24le@cmrit.ac.in")</f>
        <v>isaiah.aiml24le@cmrit.ac.in</v>
      </c>
      <c r="C660" s="174" t="str">
        <f>IFERROR(__xludf.DUMMYFUNCTION("""COMPUTED_VALUE"""),"Isaiah Melvin Issac")</f>
        <v>Isaiah Melvin Issac</v>
      </c>
      <c r="D660" s="155" t="str">
        <f>IFERROR(__xludf.DUMMYFUNCTION("""COMPUTED_VALUE"""),"1CR24AI402")</f>
        <v>1CR24AI402</v>
      </c>
      <c r="E660" s="563">
        <f>IFERROR(__xludf.DUMMYFUNCTION("""COMPUTED_VALUE"""),8.105808706E9)</f>
        <v>8105808706</v>
      </c>
      <c r="F660" s="155" t="str">
        <f>IFERROR(__xludf.DUMMYFUNCTION("""COMPUTED_VALUE"""),"AIML")</f>
        <v>AIML</v>
      </c>
      <c r="G660" s="158"/>
      <c r="H660" s="559">
        <f>IFERROR(__xludf.DUMMYFUNCTION("""COMPUTED_VALUE"""),70.0)</f>
        <v>70</v>
      </c>
      <c r="I660" s="559">
        <f>IFERROR(__xludf.DUMMYFUNCTION("""COMPUTED_VALUE"""),70.0)</f>
        <v>70</v>
      </c>
      <c r="J660" s="559">
        <f>IFERROR(__xludf.DUMMYFUNCTION("""COMPUTED_VALUE"""),73.0)</f>
        <v>73</v>
      </c>
      <c r="K660" s="559">
        <f>IFERROR(__xludf.DUMMYFUNCTION("""COMPUTED_VALUE"""),70.0)</f>
        <v>70</v>
      </c>
      <c r="L660" s="560">
        <f>IFERROR(__xludf.DUMMYFUNCTION("""COMPUTED_VALUE"""),26.0)</f>
        <v>26</v>
      </c>
      <c r="M660" s="561">
        <f>IFERROR(__xludf.DUMMYFUNCTION("""COMPUTED_VALUE"""),18.0)</f>
        <v>18</v>
      </c>
      <c r="N660" s="561">
        <f>IFERROR(__xludf.DUMMYFUNCTION("""COMPUTED_VALUE"""),0.0)</f>
        <v>0</v>
      </c>
      <c r="O660" s="560"/>
      <c r="P660" s="562">
        <f>IFERROR(__xludf.DUMMYFUNCTION("""COMPUTED_VALUE"""),50.0)</f>
        <v>50</v>
      </c>
      <c r="Q660" s="562">
        <f>IFERROR(__xludf.DUMMYFUNCTION("""COMPUTED_VALUE"""),50.0)</f>
        <v>50</v>
      </c>
      <c r="R660" s="562">
        <f>IFERROR(__xludf.DUMMYFUNCTION("""COMPUTED_VALUE"""),90.0)</f>
        <v>90</v>
      </c>
      <c r="S660" s="562"/>
      <c r="T660" s="217"/>
      <c r="U660" s="217"/>
      <c r="V660" s="217">
        <f>IFERROR(__xludf.DUMMYFUNCTION("""COMPUTED_VALUE"""),94.0)</f>
        <v>94</v>
      </c>
      <c r="W660" s="217">
        <f>IFERROR(__xludf.DUMMYFUNCTION("""COMPUTED_VALUE"""),82.0)</f>
        <v>82</v>
      </c>
      <c r="X660" s="217">
        <f>IFERROR(__xludf.DUMMYFUNCTION("""COMPUTED_VALUE"""),68.0)</f>
        <v>68</v>
      </c>
      <c r="Y660" s="217"/>
      <c r="Z660" s="217"/>
      <c r="AA660" s="481"/>
      <c r="AB660" s="481">
        <f>IFERROR(__xludf.DUMMYFUNCTION("""COMPUTED_VALUE"""),63.0)</f>
        <v>63</v>
      </c>
      <c r="AC660" s="481">
        <f>IFERROR(__xludf.DUMMYFUNCTION("""COMPUTED_VALUE"""),63.0)</f>
        <v>63</v>
      </c>
      <c r="AD660" s="481">
        <f>IFERROR(__xludf.DUMMYFUNCTION("""COMPUTED_VALUE"""),0.0)</f>
        <v>0</v>
      </c>
      <c r="AE660" s="481">
        <f>IFERROR(__xludf.DUMMYFUNCTION("""COMPUTED_VALUE"""),10.0)</f>
        <v>10</v>
      </c>
      <c r="AF660" s="481"/>
      <c r="AG660" s="481">
        <f>IFERROR(__xludf.DUMMYFUNCTION("""COMPUTED_VALUE"""),70.0)</f>
        <v>70</v>
      </c>
      <c r="AH660" s="481"/>
      <c r="AI660" s="158"/>
      <c r="AJ660" s="158"/>
      <c r="AK660" s="133">
        <f>IFERROR(__xludf.DUMMYFUNCTION("""COMPUTED_VALUE"""),4.0)</f>
        <v>4</v>
      </c>
      <c r="AL660" s="133">
        <f>IFERROR(__xludf.DUMMYFUNCTION("""COMPUTED_VALUE"""),0.0)</f>
        <v>0</v>
      </c>
      <c r="AM660" s="133">
        <f>IFERROR(__xludf.DUMMYFUNCTION("""COMPUTED_VALUE"""),0.0)</f>
        <v>0</v>
      </c>
      <c r="AN660" s="133" t="str">
        <f>IFERROR(__xludf.DUMMYFUNCTION("""COMPUTED_VALUE"""),"3")</f>
        <v>3</v>
      </c>
      <c r="AO660" s="133">
        <f>IFERROR(__xludf.DUMMYFUNCTION("""COMPUTED_VALUE"""),3.0)</f>
        <v>3</v>
      </c>
      <c r="AP660" s="155" t="s">
        <v>3780</v>
      </c>
    </row>
    <row r="661">
      <c r="A661" s="155">
        <f>IFERROR(__xludf.DUMMYFUNCTION("""COMPUTED_VALUE"""),140.0)</f>
        <v>140</v>
      </c>
      <c r="B661" s="155" t="str">
        <f>IFERROR(__xludf.DUMMYFUNCTION("""COMPUTED_VALUE"""),"kprasad.aiml24le@cmrit.ac.in")</f>
        <v>kprasad.aiml24le@cmrit.ac.in</v>
      </c>
      <c r="C661" s="174" t="str">
        <f>IFERROR(__xludf.DUMMYFUNCTION("""COMPUTED_VALUE"""),"K Prasad")</f>
        <v>K Prasad</v>
      </c>
      <c r="D661" s="155" t="str">
        <f>IFERROR(__xludf.DUMMYFUNCTION("""COMPUTED_VALUE"""),"1CR24AI403")</f>
        <v>1CR24AI403</v>
      </c>
      <c r="E661" s="563">
        <f>IFERROR(__xludf.DUMMYFUNCTION("""COMPUTED_VALUE"""),9.482570891E9)</f>
        <v>9482570891</v>
      </c>
      <c r="F661" s="155" t="str">
        <f>IFERROR(__xludf.DUMMYFUNCTION("""COMPUTED_VALUE"""),"AIML")</f>
        <v>AIML</v>
      </c>
      <c r="G661" s="158"/>
      <c r="H661" s="559">
        <f>IFERROR(__xludf.DUMMYFUNCTION("""COMPUTED_VALUE"""),0.0)</f>
        <v>0</v>
      </c>
      <c r="I661" s="559">
        <f>IFERROR(__xludf.DUMMYFUNCTION("""COMPUTED_VALUE"""),0.0)</f>
        <v>0</v>
      </c>
      <c r="J661" s="559">
        <f>IFERROR(__xludf.DUMMYFUNCTION("""COMPUTED_VALUE"""),71.0)</f>
        <v>71</v>
      </c>
      <c r="K661" s="559">
        <f>IFERROR(__xludf.DUMMYFUNCTION("""COMPUTED_VALUE"""),43.0)</f>
        <v>43</v>
      </c>
      <c r="L661" s="560">
        <f>IFERROR(__xludf.DUMMYFUNCTION("""COMPUTED_VALUE"""),0.0)</f>
        <v>0</v>
      </c>
      <c r="M661" s="561">
        <f>IFERROR(__xludf.DUMMYFUNCTION("""COMPUTED_VALUE"""),-3.0)</f>
        <v>-3</v>
      </c>
      <c r="N661" s="561">
        <f>IFERROR(__xludf.DUMMYFUNCTION("""COMPUTED_VALUE"""),0.0)</f>
        <v>0</v>
      </c>
      <c r="O661" s="560"/>
      <c r="P661" s="562">
        <f>IFERROR(__xludf.DUMMYFUNCTION("""COMPUTED_VALUE"""),0.0)</f>
        <v>0</v>
      </c>
      <c r="Q661" s="562">
        <f>IFERROR(__xludf.DUMMYFUNCTION("""COMPUTED_VALUE"""),88.0)</f>
        <v>88</v>
      </c>
      <c r="R661" s="562">
        <f>IFERROR(__xludf.DUMMYFUNCTION("""COMPUTED_VALUE"""),0.0)</f>
        <v>0</v>
      </c>
      <c r="S661" s="562"/>
      <c r="T661" s="217"/>
      <c r="U661" s="217"/>
      <c r="V661" s="217">
        <f>IFERROR(__xludf.DUMMYFUNCTION("""COMPUTED_VALUE"""),84.0)</f>
        <v>84</v>
      </c>
      <c r="W661" s="217">
        <f>IFERROR(__xludf.DUMMYFUNCTION("""COMPUTED_VALUE"""),86.0)</f>
        <v>86</v>
      </c>
      <c r="X661" s="217">
        <f>IFERROR(__xludf.DUMMYFUNCTION("""COMPUTED_VALUE"""),0.0)</f>
        <v>0</v>
      </c>
      <c r="Y661" s="217"/>
      <c r="Z661" s="217"/>
      <c r="AA661" s="481"/>
      <c r="AB661" s="481">
        <f>IFERROR(__xludf.DUMMYFUNCTION("""COMPUTED_VALUE"""),0.0)</f>
        <v>0</v>
      </c>
      <c r="AC661" s="481">
        <f>IFERROR(__xludf.DUMMYFUNCTION("""COMPUTED_VALUE"""),0.0)</f>
        <v>0</v>
      </c>
      <c r="AD661" s="481">
        <f>IFERROR(__xludf.DUMMYFUNCTION("""COMPUTED_VALUE"""),1.0)</f>
        <v>1</v>
      </c>
      <c r="AE661" s="481">
        <f>IFERROR(__xludf.DUMMYFUNCTION("""COMPUTED_VALUE"""),10.0)</f>
        <v>10</v>
      </c>
      <c r="AF661" s="481"/>
      <c r="AG661" s="481">
        <f>IFERROR(__xludf.DUMMYFUNCTION("""COMPUTED_VALUE"""),39.0)</f>
        <v>39</v>
      </c>
      <c r="AH661" s="481"/>
      <c r="AI661" s="158"/>
      <c r="AJ661" s="158"/>
      <c r="AK661" s="133">
        <f>IFERROR(__xludf.DUMMYFUNCTION("""COMPUTED_VALUE"""),0.0)</f>
        <v>0</v>
      </c>
      <c r="AL661" s="133">
        <f>IFERROR(__xludf.DUMMYFUNCTION("""COMPUTED_VALUE"""),0.0)</f>
        <v>0</v>
      </c>
      <c r="AM661" s="133">
        <f>IFERROR(__xludf.DUMMYFUNCTION("""COMPUTED_VALUE"""),0.0)</f>
        <v>0</v>
      </c>
      <c r="AN661" s="133" t="str">
        <f>IFERROR(__xludf.DUMMYFUNCTION("""COMPUTED_VALUE"""),"0")</f>
        <v>0</v>
      </c>
      <c r="AO661" s="133">
        <f>IFERROR(__xludf.DUMMYFUNCTION("""COMPUTED_VALUE"""),0.0)</f>
        <v>0</v>
      </c>
      <c r="AP661" s="155" t="s">
        <v>3780</v>
      </c>
    </row>
    <row r="662">
      <c r="A662" s="155">
        <f>IFERROR(__xludf.DUMMYFUNCTION("""COMPUTED_VALUE"""),141.0)</f>
        <v>141</v>
      </c>
      <c r="B662" s="155" t="str">
        <f>IFERROR(__xludf.DUMMYFUNCTION("""COMPUTED_VALUE"""),"monisha.aiml24le@cmrit.ac.in")</f>
        <v>monisha.aiml24le@cmrit.ac.in</v>
      </c>
      <c r="C662" s="174" t="str">
        <f>IFERROR(__xludf.DUMMYFUNCTION("""COMPUTED_VALUE"""),"Monisha L M")</f>
        <v>Monisha L M</v>
      </c>
      <c r="D662" s="155" t="str">
        <f>IFERROR(__xludf.DUMMYFUNCTION("""COMPUTED_VALUE"""),"1CR24AI404")</f>
        <v>1CR24AI404</v>
      </c>
      <c r="E662" s="563">
        <f>IFERROR(__xludf.DUMMYFUNCTION("""COMPUTED_VALUE"""),7.975924322E9)</f>
        <v>7975924322</v>
      </c>
      <c r="F662" s="155" t="str">
        <f>IFERROR(__xludf.DUMMYFUNCTION("""COMPUTED_VALUE"""),"AIML")</f>
        <v>AIML</v>
      </c>
      <c r="G662" s="158"/>
      <c r="H662" s="559">
        <f>IFERROR(__xludf.DUMMYFUNCTION("""COMPUTED_VALUE"""),65.0)</f>
        <v>65</v>
      </c>
      <c r="I662" s="559">
        <f>IFERROR(__xludf.DUMMYFUNCTION("""COMPUTED_VALUE"""),68.0)</f>
        <v>68</v>
      </c>
      <c r="J662" s="559">
        <f>IFERROR(__xludf.DUMMYFUNCTION("""COMPUTED_VALUE"""),70.0)</f>
        <v>70</v>
      </c>
      <c r="K662" s="559">
        <f>IFERROR(__xludf.DUMMYFUNCTION("""COMPUTED_VALUE"""),52.0)</f>
        <v>52</v>
      </c>
      <c r="L662" s="560">
        <f>IFERROR(__xludf.DUMMYFUNCTION("""COMPUTED_VALUE"""),50.0)</f>
        <v>50</v>
      </c>
      <c r="M662" s="561">
        <f>IFERROR(__xludf.DUMMYFUNCTION("""COMPUTED_VALUE"""),14.0)</f>
        <v>14</v>
      </c>
      <c r="N662" s="561">
        <f>IFERROR(__xludf.DUMMYFUNCTION("""COMPUTED_VALUE"""),9.0)</f>
        <v>9</v>
      </c>
      <c r="O662" s="560"/>
      <c r="P662" s="562">
        <f>IFERROR(__xludf.DUMMYFUNCTION("""COMPUTED_VALUE"""),50.0)</f>
        <v>50</v>
      </c>
      <c r="Q662" s="562">
        <f>IFERROR(__xludf.DUMMYFUNCTION("""COMPUTED_VALUE"""),73.0)</f>
        <v>73</v>
      </c>
      <c r="R662" s="562">
        <f>IFERROR(__xludf.DUMMYFUNCTION("""COMPUTED_VALUE"""),84.0)</f>
        <v>84</v>
      </c>
      <c r="S662" s="562"/>
      <c r="T662" s="217"/>
      <c r="U662" s="217"/>
      <c r="V662" s="217">
        <f>IFERROR(__xludf.DUMMYFUNCTION("""COMPUTED_VALUE"""),92.0)</f>
        <v>92</v>
      </c>
      <c r="W662" s="217">
        <f>IFERROR(__xludf.DUMMYFUNCTION("""COMPUTED_VALUE"""),88.0)</f>
        <v>88</v>
      </c>
      <c r="X662" s="217">
        <f>IFERROR(__xludf.DUMMYFUNCTION("""COMPUTED_VALUE"""),76.0)</f>
        <v>76</v>
      </c>
      <c r="Y662" s="217"/>
      <c r="Z662" s="217"/>
      <c r="AA662" s="481"/>
      <c r="AB662" s="481">
        <f>IFERROR(__xludf.DUMMYFUNCTION("""COMPUTED_VALUE"""),70.0)</f>
        <v>70</v>
      </c>
      <c r="AC662" s="481">
        <f>IFERROR(__xludf.DUMMYFUNCTION("""COMPUTED_VALUE"""),70.0)</f>
        <v>70</v>
      </c>
      <c r="AD662" s="481">
        <f>IFERROR(__xludf.DUMMYFUNCTION("""COMPUTED_VALUE"""),90.0)</f>
        <v>90</v>
      </c>
      <c r="AE662" s="481">
        <f>IFERROR(__xludf.DUMMYFUNCTION("""COMPUTED_VALUE"""),20.0)</f>
        <v>20</v>
      </c>
      <c r="AF662" s="481"/>
      <c r="AG662" s="481">
        <f>IFERROR(__xludf.DUMMYFUNCTION("""COMPUTED_VALUE"""),50.0)</f>
        <v>50</v>
      </c>
      <c r="AH662" s="481"/>
      <c r="AI662" s="158"/>
      <c r="AJ662" s="158"/>
      <c r="AK662" s="133">
        <f>IFERROR(__xludf.DUMMYFUNCTION("""COMPUTED_VALUE"""),3.0)</f>
        <v>3</v>
      </c>
      <c r="AL662" s="133">
        <f>IFERROR(__xludf.DUMMYFUNCTION("""COMPUTED_VALUE"""),1.0)</f>
        <v>1</v>
      </c>
      <c r="AM662" s="133">
        <f>IFERROR(__xludf.DUMMYFUNCTION("""COMPUTED_VALUE"""),0.0)</f>
        <v>0</v>
      </c>
      <c r="AN662" s="133" t="str">
        <f>IFERROR(__xludf.DUMMYFUNCTION("""COMPUTED_VALUE"""),"3")</f>
        <v>3</v>
      </c>
      <c r="AO662" s="133">
        <f>IFERROR(__xludf.DUMMYFUNCTION("""COMPUTED_VALUE"""),3.0)</f>
        <v>3</v>
      </c>
      <c r="AP662" s="155" t="s">
        <v>3780</v>
      </c>
    </row>
    <row r="663">
      <c r="A663" s="155">
        <f>IFERROR(__xludf.DUMMYFUNCTION("""COMPUTED_VALUE"""),142.0)</f>
        <v>142</v>
      </c>
      <c r="B663" s="155" t="str">
        <f>IFERROR(__xludf.DUMMYFUNCTION("""COMPUTED_VALUE"""),"muhammad.aiml24le@cmrit.ac.in")</f>
        <v>muhammad.aiml24le@cmrit.ac.in</v>
      </c>
      <c r="C663" s="174" t="str">
        <f>IFERROR(__xludf.DUMMYFUNCTION("""COMPUTED_VALUE"""),"Muhammad Ahmad")</f>
        <v>Muhammad Ahmad</v>
      </c>
      <c r="D663" s="155" t="str">
        <f>IFERROR(__xludf.DUMMYFUNCTION("""COMPUTED_VALUE"""),"1CR24AI405")</f>
        <v>1CR24AI405</v>
      </c>
      <c r="E663" s="563">
        <f>IFERROR(__xludf.DUMMYFUNCTION("""COMPUTED_VALUE"""),9.019953896E9)</f>
        <v>9019953896</v>
      </c>
      <c r="F663" s="155" t="str">
        <f>IFERROR(__xludf.DUMMYFUNCTION("""COMPUTED_VALUE"""),"AIML")</f>
        <v>AIML</v>
      </c>
      <c r="G663" s="158"/>
      <c r="H663" s="559">
        <f>IFERROR(__xludf.DUMMYFUNCTION("""COMPUTED_VALUE"""),72.0)</f>
        <v>72</v>
      </c>
      <c r="I663" s="559">
        <f>IFERROR(__xludf.DUMMYFUNCTION("""COMPUTED_VALUE"""),70.0)</f>
        <v>70</v>
      </c>
      <c r="J663" s="559">
        <f>IFERROR(__xludf.DUMMYFUNCTION("""COMPUTED_VALUE"""),74.0)</f>
        <v>74</v>
      </c>
      <c r="K663" s="559">
        <f>IFERROR(__xludf.DUMMYFUNCTION("""COMPUTED_VALUE"""),70.0)</f>
        <v>70</v>
      </c>
      <c r="L663" s="560">
        <f>IFERROR(__xludf.DUMMYFUNCTION("""COMPUTED_VALUE"""),17.0)</f>
        <v>17</v>
      </c>
      <c r="M663" s="561">
        <f>IFERROR(__xludf.DUMMYFUNCTION("""COMPUTED_VALUE"""),10.0)</f>
        <v>10</v>
      </c>
      <c r="N663" s="561">
        <f>IFERROR(__xludf.DUMMYFUNCTION("""COMPUTED_VALUE"""),0.0)</f>
        <v>0</v>
      </c>
      <c r="O663" s="560"/>
      <c r="P663" s="562">
        <f>IFERROR(__xludf.DUMMYFUNCTION("""COMPUTED_VALUE"""),50.0)</f>
        <v>50</v>
      </c>
      <c r="Q663" s="562">
        <f>IFERROR(__xludf.DUMMYFUNCTION("""COMPUTED_VALUE"""),50.0)</f>
        <v>50</v>
      </c>
      <c r="R663" s="562">
        <f>IFERROR(__xludf.DUMMYFUNCTION("""COMPUTED_VALUE"""),0.0)</f>
        <v>0</v>
      </c>
      <c r="S663" s="562"/>
      <c r="T663" s="217"/>
      <c r="U663" s="217"/>
      <c r="V663" s="217">
        <f>IFERROR(__xludf.DUMMYFUNCTION("""COMPUTED_VALUE"""),94.0)</f>
        <v>94</v>
      </c>
      <c r="W663" s="217">
        <f>IFERROR(__xludf.DUMMYFUNCTION("""COMPUTED_VALUE"""),86.0)</f>
        <v>86</v>
      </c>
      <c r="X663" s="217">
        <f>IFERROR(__xludf.DUMMYFUNCTION("""COMPUTED_VALUE"""),82.0)</f>
        <v>82</v>
      </c>
      <c r="Y663" s="217"/>
      <c r="Z663" s="217"/>
      <c r="AA663" s="481"/>
      <c r="AB663" s="481">
        <f>IFERROR(__xludf.DUMMYFUNCTION("""COMPUTED_VALUE"""),100.0)</f>
        <v>100</v>
      </c>
      <c r="AC663" s="481">
        <f>IFERROR(__xludf.DUMMYFUNCTION("""COMPUTED_VALUE"""),100.0)</f>
        <v>100</v>
      </c>
      <c r="AD663" s="481">
        <f>IFERROR(__xludf.DUMMYFUNCTION("""COMPUTED_VALUE"""),42.0)</f>
        <v>42</v>
      </c>
      <c r="AE663" s="481">
        <f>IFERROR(__xludf.DUMMYFUNCTION("""COMPUTED_VALUE"""),10.0)</f>
        <v>10</v>
      </c>
      <c r="AF663" s="481"/>
      <c r="AG663" s="481">
        <f>IFERROR(__xludf.DUMMYFUNCTION("""COMPUTED_VALUE"""),0.0)</f>
        <v>0</v>
      </c>
      <c r="AH663" s="481"/>
      <c r="AI663" s="158"/>
      <c r="AJ663" s="158"/>
      <c r="AK663" s="133">
        <f>IFERROR(__xludf.DUMMYFUNCTION("""COMPUTED_VALUE"""),4.0)</f>
        <v>4</v>
      </c>
      <c r="AL663" s="133">
        <f>IFERROR(__xludf.DUMMYFUNCTION("""COMPUTED_VALUE"""),0.0)</f>
        <v>0</v>
      </c>
      <c r="AM663" s="133">
        <f>IFERROR(__xludf.DUMMYFUNCTION("""COMPUTED_VALUE"""),0.0)</f>
        <v>0</v>
      </c>
      <c r="AN663" s="133" t="str">
        <f>IFERROR(__xludf.DUMMYFUNCTION("""COMPUTED_VALUE"""),"3")</f>
        <v>3</v>
      </c>
      <c r="AO663" s="133">
        <f>IFERROR(__xludf.DUMMYFUNCTION("""COMPUTED_VALUE"""),2.0)</f>
        <v>2</v>
      </c>
      <c r="AP663" s="155" t="s">
        <v>3780</v>
      </c>
    </row>
    <row r="664">
      <c r="A664" s="155">
        <f>IFERROR(__xludf.DUMMYFUNCTION("""COMPUTED_VALUE"""),143.0)</f>
        <v>143</v>
      </c>
      <c r="B664" s="155" t="str">
        <f>IFERROR(__xludf.DUMMYFUNCTION("""COMPUTED_VALUE"""),"nikhil.aiml24le@cmrit.ac.in")</f>
        <v>nikhil.aiml24le@cmrit.ac.in</v>
      </c>
      <c r="C664" s="174" t="str">
        <f>IFERROR(__xludf.DUMMYFUNCTION("""COMPUTED_VALUE"""),"NIKHIL KUMAR SINGH ")</f>
        <v>NIKHIL KUMAR SINGH </v>
      </c>
      <c r="D664" s="155" t="str">
        <f>IFERROR(__xludf.DUMMYFUNCTION("""COMPUTED_VALUE"""),"1CR24AI406")</f>
        <v>1CR24AI406</v>
      </c>
      <c r="E664" s="563">
        <f>IFERROR(__xludf.DUMMYFUNCTION("""COMPUTED_VALUE"""),8.019820608E9)</f>
        <v>8019820608</v>
      </c>
      <c r="F664" s="155" t="str">
        <f>IFERROR(__xludf.DUMMYFUNCTION("""COMPUTED_VALUE"""),"AIML")</f>
        <v>AIML</v>
      </c>
      <c r="G664" s="158"/>
      <c r="H664" s="559">
        <f>IFERROR(__xludf.DUMMYFUNCTION("""COMPUTED_VALUE"""),72.0)</f>
        <v>72</v>
      </c>
      <c r="I664" s="559">
        <f>IFERROR(__xludf.DUMMYFUNCTION("""COMPUTED_VALUE"""),70.0)</f>
        <v>70</v>
      </c>
      <c r="J664" s="559">
        <f>IFERROR(__xludf.DUMMYFUNCTION("""COMPUTED_VALUE"""),80.0)</f>
        <v>80</v>
      </c>
      <c r="K664" s="559">
        <f>IFERROR(__xludf.DUMMYFUNCTION("""COMPUTED_VALUE"""),74.0)</f>
        <v>74</v>
      </c>
      <c r="L664" s="560">
        <f>IFERROR(__xludf.DUMMYFUNCTION("""COMPUTED_VALUE"""),4.0)</f>
        <v>4</v>
      </c>
      <c r="M664" s="561">
        <f>IFERROR(__xludf.DUMMYFUNCTION("""COMPUTED_VALUE"""),21.0)</f>
        <v>21</v>
      </c>
      <c r="N664" s="561">
        <f>IFERROR(__xludf.DUMMYFUNCTION("""COMPUTED_VALUE"""),50.0)</f>
        <v>50</v>
      </c>
      <c r="O664" s="560"/>
      <c r="P664" s="562">
        <f>IFERROR(__xludf.DUMMYFUNCTION("""COMPUTED_VALUE"""),50.0)</f>
        <v>50</v>
      </c>
      <c r="Q664" s="562">
        <f>IFERROR(__xludf.DUMMYFUNCTION("""COMPUTED_VALUE"""),52.0)</f>
        <v>52</v>
      </c>
      <c r="R664" s="562">
        <f>IFERROR(__xludf.DUMMYFUNCTION("""COMPUTED_VALUE"""),84.0)</f>
        <v>84</v>
      </c>
      <c r="S664" s="562"/>
      <c r="T664" s="217"/>
      <c r="U664" s="217"/>
      <c r="V664" s="217">
        <f>IFERROR(__xludf.DUMMYFUNCTION("""COMPUTED_VALUE"""),86.0)</f>
        <v>86</v>
      </c>
      <c r="W664" s="217">
        <f>IFERROR(__xludf.DUMMYFUNCTION("""COMPUTED_VALUE"""),88.0)</f>
        <v>88</v>
      </c>
      <c r="X664" s="217">
        <f>IFERROR(__xludf.DUMMYFUNCTION("""COMPUTED_VALUE"""),62.0)</f>
        <v>62</v>
      </c>
      <c r="Y664" s="217"/>
      <c r="Z664" s="217"/>
      <c r="AA664" s="481"/>
      <c r="AB664" s="481">
        <f>IFERROR(__xludf.DUMMYFUNCTION("""COMPUTED_VALUE"""),100.0)</f>
        <v>100</v>
      </c>
      <c r="AC664" s="481">
        <f>IFERROR(__xludf.DUMMYFUNCTION("""COMPUTED_VALUE"""),100.0)</f>
        <v>100</v>
      </c>
      <c r="AD664" s="481">
        <f>IFERROR(__xludf.DUMMYFUNCTION("""COMPUTED_VALUE"""),100.0)</f>
        <v>100</v>
      </c>
      <c r="AE664" s="481">
        <f>IFERROR(__xludf.DUMMYFUNCTION("""COMPUTED_VALUE"""),25.0)</f>
        <v>25</v>
      </c>
      <c r="AF664" s="481"/>
      <c r="AG664" s="481">
        <f>IFERROR(__xludf.DUMMYFUNCTION("""COMPUTED_VALUE"""),46.0)</f>
        <v>46</v>
      </c>
      <c r="AH664" s="481"/>
      <c r="AI664" s="158"/>
      <c r="AJ664" s="158"/>
      <c r="AK664" s="133">
        <f>IFERROR(__xludf.DUMMYFUNCTION("""COMPUTED_VALUE"""),4.0)</f>
        <v>4</v>
      </c>
      <c r="AL664" s="133">
        <f>IFERROR(__xludf.DUMMYFUNCTION("""COMPUTED_VALUE"""),0.0)</f>
        <v>0</v>
      </c>
      <c r="AM664" s="133">
        <f>IFERROR(__xludf.DUMMYFUNCTION("""COMPUTED_VALUE"""),0.0)</f>
        <v>0</v>
      </c>
      <c r="AN664" s="133" t="str">
        <f>IFERROR(__xludf.DUMMYFUNCTION("""COMPUTED_VALUE"""),"3")</f>
        <v>3</v>
      </c>
      <c r="AO664" s="133">
        <f>IFERROR(__xludf.DUMMYFUNCTION("""COMPUTED_VALUE"""),3.0)</f>
        <v>3</v>
      </c>
      <c r="AP664" s="155" t="s">
        <v>3780</v>
      </c>
    </row>
    <row r="665">
      <c r="A665" s="155">
        <f>IFERROR(__xludf.DUMMYFUNCTION("""COMPUTED_VALUE"""),144.0)</f>
        <v>144</v>
      </c>
      <c r="B665" s="155" t="str">
        <f>IFERROR(__xludf.DUMMYFUNCTION("""COMPUTED_VALUE"""),"sachinkumar.aiml24le@cmrit.ac.in")</f>
        <v>sachinkumar.aiml24le@cmrit.ac.in</v>
      </c>
      <c r="C665" s="174" t="str">
        <f>IFERROR(__xludf.DUMMYFUNCTION("""COMPUTED_VALUE"""),"Sachinkumar Narayan Naik")</f>
        <v>Sachinkumar Narayan Naik</v>
      </c>
      <c r="D665" s="155" t="str">
        <f>IFERROR(__xludf.DUMMYFUNCTION("""COMPUTED_VALUE"""),"1CR24AI407")</f>
        <v>1CR24AI407</v>
      </c>
      <c r="E665" s="563">
        <f>IFERROR(__xludf.DUMMYFUNCTION("""COMPUTED_VALUE"""),7.483672781E9)</f>
        <v>7483672781</v>
      </c>
      <c r="F665" s="155" t="str">
        <f>IFERROR(__xludf.DUMMYFUNCTION("""COMPUTED_VALUE"""),"AIML")</f>
        <v>AIML</v>
      </c>
      <c r="G665" s="158"/>
      <c r="H665" s="559">
        <f>IFERROR(__xludf.DUMMYFUNCTION("""COMPUTED_VALUE"""),70.0)</f>
        <v>70</v>
      </c>
      <c r="I665" s="559">
        <f>IFERROR(__xludf.DUMMYFUNCTION("""COMPUTED_VALUE"""),70.0)</f>
        <v>70</v>
      </c>
      <c r="J665" s="559">
        <f>IFERROR(__xludf.DUMMYFUNCTION("""COMPUTED_VALUE"""),70.0)</f>
        <v>70</v>
      </c>
      <c r="K665" s="559">
        <f>IFERROR(__xludf.DUMMYFUNCTION("""COMPUTED_VALUE"""),70.0)</f>
        <v>70</v>
      </c>
      <c r="L665" s="560">
        <f>IFERROR(__xludf.DUMMYFUNCTION("""COMPUTED_VALUE"""),11.0)</f>
        <v>11</v>
      </c>
      <c r="M665" s="561">
        <f>IFERROR(__xludf.DUMMYFUNCTION("""COMPUTED_VALUE"""),50.0)</f>
        <v>50</v>
      </c>
      <c r="N665" s="561">
        <f>IFERROR(__xludf.DUMMYFUNCTION("""COMPUTED_VALUE"""),50.0)</f>
        <v>50</v>
      </c>
      <c r="O665" s="560"/>
      <c r="P665" s="562">
        <f>IFERROR(__xludf.DUMMYFUNCTION("""COMPUTED_VALUE"""),50.0)</f>
        <v>50</v>
      </c>
      <c r="Q665" s="562">
        <f>IFERROR(__xludf.DUMMYFUNCTION("""COMPUTED_VALUE"""),52.0)</f>
        <v>52</v>
      </c>
      <c r="R665" s="562">
        <f>IFERROR(__xludf.DUMMYFUNCTION("""COMPUTED_VALUE"""),76.0)</f>
        <v>76</v>
      </c>
      <c r="S665" s="562"/>
      <c r="T665" s="217"/>
      <c r="U665" s="217"/>
      <c r="V665" s="217">
        <f>IFERROR(__xludf.DUMMYFUNCTION("""COMPUTED_VALUE"""),90.0)</f>
        <v>90</v>
      </c>
      <c r="W665" s="217">
        <f>IFERROR(__xludf.DUMMYFUNCTION("""COMPUTED_VALUE"""),88.0)</f>
        <v>88</v>
      </c>
      <c r="X665" s="217">
        <f>IFERROR(__xludf.DUMMYFUNCTION("""COMPUTED_VALUE"""),82.0)</f>
        <v>82</v>
      </c>
      <c r="Y665" s="217"/>
      <c r="Z665" s="217"/>
      <c r="AA665" s="481"/>
      <c r="AB665" s="481">
        <f>IFERROR(__xludf.DUMMYFUNCTION("""COMPUTED_VALUE"""),70.0)</f>
        <v>70</v>
      </c>
      <c r="AC665" s="481">
        <f>IFERROR(__xludf.DUMMYFUNCTION("""COMPUTED_VALUE"""),70.0)</f>
        <v>70</v>
      </c>
      <c r="AD665" s="481">
        <f>IFERROR(__xludf.DUMMYFUNCTION("""COMPUTED_VALUE"""),60.0)</f>
        <v>60</v>
      </c>
      <c r="AE665" s="481">
        <f>IFERROR(__xludf.DUMMYFUNCTION("""COMPUTED_VALUE"""),19.0)</f>
        <v>19</v>
      </c>
      <c r="AF665" s="481"/>
      <c r="AG665" s="481">
        <f>IFERROR(__xludf.DUMMYFUNCTION("""COMPUTED_VALUE"""),59.0)</f>
        <v>59</v>
      </c>
      <c r="AH665" s="481"/>
      <c r="AI665" s="158"/>
      <c r="AJ665" s="158"/>
      <c r="AK665" s="133">
        <f>IFERROR(__xludf.DUMMYFUNCTION("""COMPUTED_VALUE"""),4.0)</f>
        <v>4</v>
      </c>
      <c r="AL665" s="133">
        <f>IFERROR(__xludf.DUMMYFUNCTION("""COMPUTED_VALUE"""),0.0)</f>
        <v>0</v>
      </c>
      <c r="AM665" s="133">
        <f>IFERROR(__xludf.DUMMYFUNCTION("""COMPUTED_VALUE"""),0.0)</f>
        <v>0</v>
      </c>
      <c r="AN665" s="133" t="str">
        <f>IFERROR(__xludf.DUMMYFUNCTION("""COMPUTED_VALUE"""),"3")</f>
        <v>3</v>
      </c>
      <c r="AO665" s="133">
        <f>IFERROR(__xludf.DUMMYFUNCTION("""COMPUTED_VALUE"""),3.0)</f>
        <v>3</v>
      </c>
      <c r="AP665" s="155" t="s">
        <v>3780</v>
      </c>
    </row>
    <row r="666">
      <c r="A666" s="155">
        <f>IFERROR(__xludf.DUMMYFUNCTION("""COMPUTED_VALUE"""),145.0)</f>
        <v>145</v>
      </c>
      <c r="B666" s="155" t="str">
        <f>IFERROR(__xludf.DUMMYFUNCTION("""COMPUTED_VALUE"""),"Syed.aiml24le@cmrit.ac.in")</f>
        <v>Syed.aiml24le@cmrit.ac.in</v>
      </c>
      <c r="C666" s="174" t="str">
        <f>IFERROR(__xludf.DUMMYFUNCTION("""COMPUTED_VALUE"""),"SYED ANSHU ")</f>
        <v>SYED ANSHU </v>
      </c>
      <c r="D666" s="155" t="str">
        <f>IFERROR(__xludf.DUMMYFUNCTION("""COMPUTED_VALUE"""),"1CR24AI408")</f>
        <v>1CR24AI408</v>
      </c>
      <c r="E666" s="563">
        <f>IFERROR(__xludf.DUMMYFUNCTION("""COMPUTED_VALUE"""),8.722328813E9)</f>
        <v>8722328813</v>
      </c>
      <c r="F666" s="155" t="str">
        <f>IFERROR(__xludf.DUMMYFUNCTION("""COMPUTED_VALUE"""),"AIML")</f>
        <v>AIML</v>
      </c>
      <c r="G666" s="158"/>
      <c r="H666" s="559">
        <f>IFERROR(__xludf.DUMMYFUNCTION("""COMPUTED_VALUE"""),70.0)</f>
        <v>70</v>
      </c>
      <c r="I666" s="559">
        <f>IFERROR(__xludf.DUMMYFUNCTION("""COMPUTED_VALUE"""),70.0)</f>
        <v>70</v>
      </c>
      <c r="J666" s="559">
        <f>IFERROR(__xludf.DUMMYFUNCTION("""COMPUTED_VALUE"""),70.0)</f>
        <v>70</v>
      </c>
      <c r="K666" s="559">
        <f>IFERROR(__xludf.DUMMYFUNCTION("""COMPUTED_VALUE"""),76.0)</f>
        <v>76</v>
      </c>
      <c r="L666" s="560">
        <f>IFERROR(__xludf.DUMMYFUNCTION("""COMPUTED_VALUE"""),50.0)</f>
        <v>50</v>
      </c>
      <c r="M666" s="561">
        <f>IFERROR(__xludf.DUMMYFUNCTION("""COMPUTED_VALUE"""),21.0)</f>
        <v>21</v>
      </c>
      <c r="N666" s="561">
        <f>IFERROR(__xludf.DUMMYFUNCTION("""COMPUTED_VALUE"""),50.0)</f>
        <v>50</v>
      </c>
      <c r="O666" s="560"/>
      <c r="P666" s="562">
        <f>IFERROR(__xludf.DUMMYFUNCTION("""COMPUTED_VALUE"""),50.0)</f>
        <v>50</v>
      </c>
      <c r="Q666" s="562">
        <f>IFERROR(__xludf.DUMMYFUNCTION("""COMPUTED_VALUE"""),67.0)</f>
        <v>67</v>
      </c>
      <c r="R666" s="562">
        <f>IFERROR(__xludf.DUMMYFUNCTION("""COMPUTED_VALUE"""),80.0)</f>
        <v>80</v>
      </c>
      <c r="S666" s="562"/>
      <c r="T666" s="217"/>
      <c r="U666" s="217"/>
      <c r="V666" s="217">
        <f>IFERROR(__xludf.DUMMYFUNCTION("""COMPUTED_VALUE"""),82.0)</f>
        <v>82</v>
      </c>
      <c r="W666" s="217">
        <f>IFERROR(__xludf.DUMMYFUNCTION("""COMPUTED_VALUE"""),86.0)</f>
        <v>86</v>
      </c>
      <c r="X666" s="217">
        <f>IFERROR(__xludf.DUMMYFUNCTION("""COMPUTED_VALUE"""),74.0)</f>
        <v>74</v>
      </c>
      <c r="Y666" s="217"/>
      <c r="Z666" s="217"/>
      <c r="AA666" s="481"/>
      <c r="AB666" s="481">
        <f>IFERROR(__xludf.DUMMYFUNCTION("""COMPUTED_VALUE"""),100.0)</f>
        <v>100</v>
      </c>
      <c r="AC666" s="481">
        <f>IFERROR(__xludf.DUMMYFUNCTION("""COMPUTED_VALUE"""),100.0)</f>
        <v>100</v>
      </c>
      <c r="AD666" s="481">
        <f>IFERROR(__xludf.DUMMYFUNCTION("""COMPUTED_VALUE"""),0.0)</f>
        <v>0</v>
      </c>
      <c r="AE666" s="481">
        <f>IFERROR(__xludf.DUMMYFUNCTION("""COMPUTED_VALUE"""),33.0)</f>
        <v>33</v>
      </c>
      <c r="AF666" s="481"/>
      <c r="AG666" s="481">
        <f>IFERROR(__xludf.DUMMYFUNCTION("""COMPUTED_VALUE"""),74.0)</f>
        <v>74</v>
      </c>
      <c r="AH666" s="481"/>
      <c r="AI666" s="158"/>
      <c r="AJ666" s="158"/>
      <c r="AK666" s="133">
        <f>IFERROR(__xludf.DUMMYFUNCTION("""COMPUTED_VALUE"""),4.0)</f>
        <v>4</v>
      </c>
      <c r="AL666" s="133">
        <f>IFERROR(__xludf.DUMMYFUNCTION("""COMPUTED_VALUE"""),1.0)</f>
        <v>1</v>
      </c>
      <c r="AM666" s="133">
        <f>IFERROR(__xludf.DUMMYFUNCTION("""COMPUTED_VALUE"""),0.0)</f>
        <v>0</v>
      </c>
      <c r="AN666" s="133" t="str">
        <f>IFERROR(__xludf.DUMMYFUNCTION("""COMPUTED_VALUE"""),"3")</f>
        <v>3</v>
      </c>
      <c r="AO666" s="133">
        <f>IFERROR(__xludf.DUMMYFUNCTION("""COMPUTED_VALUE"""),3.0)</f>
        <v>3</v>
      </c>
      <c r="AP666" s="155" t="s">
        <v>3780</v>
      </c>
    </row>
    <row r="667">
      <c r="A667" s="155">
        <f>IFERROR(__xludf.DUMMYFUNCTION("""COMPUTED_VALUE"""),146.0)</f>
        <v>146</v>
      </c>
      <c r="B667" s="155" t="str">
        <f>IFERROR(__xludf.DUMMYFUNCTION("""COMPUTED_VALUE"""),"vijay.aiml24le@cmrit.ac.in")</f>
        <v>vijay.aiml24le@cmrit.ac.in</v>
      </c>
      <c r="C667" s="174" t="str">
        <f>IFERROR(__xludf.DUMMYFUNCTION("""COMPUTED_VALUE"""),"Vijay Kumar B A")</f>
        <v>Vijay Kumar B A</v>
      </c>
      <c r="D667" s="155" t="str">
        <f>IFERROR(__xludf.DUMMYFUNCTION("""COMPUTED_VALUE"""),"1CR24AI409")</f>
        <v>1CR24AI409</v>
      </c>
      <c r="E667" s="563">
        <f>IFERROR(__xludf.DUMMYFUNCTION("""COMPUTED_VALUE"""),9.986750267E9)</f>
        <v>9986750267</v>
      </c>
      <c r="F667" s="155" t="str">
        <f>IFERROR(__xludf.DUMMYFUNCTION("""COMPUTED_VALUE"""),"AIML")</f>
        <v>AIML</v>
      </c>
      <c r="G667" s="158"/>
      <c r="H667" s="559">
        <f>IFERROR(__xludf.DUMMYFUNCTION("""COMPUTED_VALUE"""),70.0)</f>
        <v>70</v>
      </c>
      <c r="I667" s="559">
        <f>IFERROR(__xludf.DUMMYFUNCTION("""COMPUTED_VALUE"""),70.0)</f>
        <v>70</v>
      </c>
      <c r="J667" s="559">
        <f>IFERROR(__xludf.DUMMYFUNCTION("""COMPUTED_VALUE"""),70.0)</f>
        <v>70</v>
      </c>
      <c r="K667" s="559">
        <f>IFERROR(__xludf.DUMMYFUNCTION("""COMPUTED_VALUE"""),70.0)</f>
        <v>70</v>
      </c>
      <c r="L667" s="560">
        <f>IFERROR(__xludf.DUMMYFUNCTION("""COMPUTED_VALUE"""),9.0)</f>
        <v>9</v>
      </c>
      <c r="M667" s="561">
        <f>IFERROR(__xludf.DUMMYFUNCTION("""COMPUTED_VALUE"""),35.0)</f>
        <v>35</v>
      </c>
      <c r="N667" s="561">
        <f>IFERROR(__xludf.DUMMYFUNCTION("""COMPUTED_VALUE"""),23.0)</f>
        <v>23</v>
      </c>
      <c r="O667" s="560"/>
      <c r="P667" s="562">
        <f>IFERROR(__xludf.DUMMYFUNCTION("""COMPUTED_VALUE"""),50.0)</f>
        <v>50</v>
      </c>
      <c r="Q667" s="562">
        <f>IFERROR(__xludf.DUMMYFUNCTION("""COMPUTED_VALUE"""),52.0)</f>
        <v>52</v>
      </c>
      <c r="R667" s="562">
        <f>IFERROR(__xludf.DUMMYFUNCTION("""COMPUTED_VALUE"""),79.0)</f>
        <v>79</v>
      </c>
      <c r="S667" s="562"/>
      <c r="T667" s="217"/>
      <c r="U667" s="217"/>
      <c r="V667" s="217">
        <f>IFERROR(__xludf.DUMMYFUNCTION("""COMPUTED_VALUE"""),92.0)</f>
        <v>92</v>
      </c>
      <c r="W667" s="217">
        <f>IFERROR(__xludf.DUMMYFUNCTION("""COMPUTED_VALUE"""),84.0)</f>
        <v>84</v>
      </c>
      <c r="X667" s="217">
        <f>IFERROR(__xludf.DUMMYFUNCTION("""COMPUTED_VALUE"""),72.0)</f>
        <v>72</v>
      </c>
      <c r="Y667" s="217"/>
      <c r="Z667" s="217"/>
      <c r="AA667" s="481"/>
      <c r="AB667" s="481">
        <f>IFERROR(__xludf.DUMMYFUNCTION("""COMPUTED_VALUE"""),13.0)</f>
        <v>13</v>
      </c>
      <c r="AC667" s="481">
        <f>IFERROR(__xludf.DUMMYFUNCTION("""COMPUTED_VALUE"""),13.0)</f>
        <v>13</v>
      </c>
      <c r="AD667" s="481">
        <f>IFERROR(__xludf.DUMMYFUNCTION("""COMPUTED_VALUE"""),90.0)</f>
        <v>90</v>
      </c>
      <c r="AE667" s="481">
        <f>IFERROR(__xludf.DUMMYFUNCTION("""COMPUTED_VALUE"""),30.0)</f>
        <v>30</v>
      </c>
      <c r="AF667" s="481"/>
      <c r="AG667" s="481">
        <f>IFERROR(__xludf.DUMMYFUNCTION("""COMPUTED_VALUE"""),56.0)</f>
        <v>56</v>
      </c>
      <c r="AH667" s="481"/>
      <c r="AI667" s="158"/>
      <c r="AJ667" s="158"/>
      <c r="AK667" s="133">
        <f>IFERROR(__xludf.DUMMYFUNCTION("""COMPUTED_VALUE"""),4.0)</f>
        <v>4</v>
      </c>
      <c r="AL667" s="133">
        <f>IFERROR(__xludf.DUMMYFUNCTION("""COMPUTED_VALUE"""),0.0)</f>
        <v>0</v>
      </c>
      <c r="AM667" s="133">
        <f>IFERROR(__xludf.DUMMYFUNCTION("""COMPUTED_VALUE"""),0.0)</f>
        <v>0</v>
      </c>
      <c r="AN667" s="133" t="str">
        <f>IFERROR(__xludf.DUMMYFUNCTION("""COMPUTED_VALUE"""),"0")</f>
        <v>0</v>
      </c>
      <c r="AO667" s="133">
        <f>IFERROR(__xludf.DUMMYFUNCTION("""COMPUTED_VALUE"""),3.0)</f>
        <v>3</v>
      </c>
      <c r="AP667" s="155" t="s">
        <v>3780</v>
      </c>
    </row>
    <row r="668">
      <c r="A668" s="155">
        <f>IFERROR(__xludf.DUMMYFUNCTION("""COMPUTED_VALUE"""),147.0)</f>
        <v>147</v>
      </c>
      <c r="B668" s="155" t="str">
        <f>IFERROR(__xludf.DUMMYFUNCTION("""COMPUTED_VALUE"""),"vikas.aiml24le@cmrit.ac.in")</f>
        <v>vikas.aiml24le@cmrit.ac.in</v>
      </c>
      <c r="C668" s="174" t="str">
        <f>IFERROR(__xludf.DUMMYFUNCTION("""COMPUTED_VALUE"""),"VIKAS G L")</f>
        <v>VIKAS G L</v>
      </c>
      <c r="D668" s="155" t="str">
        <f>IFERROR(__xludf.DUMMYFUNCTION("""COMPUTED_VALUE"""),"1CR24AI410")</f>
        <v>1CR24AI410</v>
      </c>
      <c r="E668" s="563">
        <f>IFERROR(__xludf.DUMMYFUNCTION("""COMPUTED_VALUE"""),8.050419383E9)</f>
        <v>8050419383</v>
      </c>
      <c r="F668" s="155" t="str">
        <f>IFERROR(__xludf.DUMMYFUNCTION("""COMPUTED_VALUE"""),"AIML")</f>
        <v>AIML</v>
      </c>
      <c r="G668" s="158"/>
      <c r="H668" s="559">
        <f>IFERROR(__xludf.DUMMYFUNCTION("""COMPUTED_VALUE"""),70.0)</f>
        <v>70</v>
      </c>
      <c r="I668" s="559">
        <f>IFERROR(__xludf.DUMMYFUNCTION("""COMPUTED_VALUE"""),70.0)</f>
        <v>70</v>
      </c>
      <c r="J668" s="559">
        <f>IFERROR(__xludf.DUMMYFUNCTION("""COMPUTED_VALUE"""),83.0)</f>
        <v>83</v>
      </c>
      <c r="K668" s="559">
        <f>IFERROR(__xludf.DUMMYFUNCTION("""COMPUTED_VALUE"""),70.0)</f>
        <v>70</v>
      </c>
      <c r="L668" s="560">
        <f>IFERROR(__xludf.DUMMYFUNCTION("""COMPUTED_VALUE"""),13.0)</f>
        <v>13</v>
      </c>
      <c r="M668" s="561">
        <f>IFERROR(__xludf.DUMMYFUNCTION("""COMPUTED_VALUE"""),16.0)</f>
        <v>16</v>
      </c>
      <c r="N668" s="561"/>
      <c r="O668" s="560"/>
      <c r="P668" s="562">
        <f>IFERROR(__xludf.DUMMYFUNCTION("""COMPUTED_VALUE"""),50.0)</f>
        <v>50</v>
      </c>
      <c r="Q668" s="562">
        <f>IFERROR(__xludf.DUMMYFUNCTION("""COMPUTED_VALUE"""),52.0)</f>
        <v>52</v>
      </c>
      <c r="R668" s="562">
        <f>IFERROR(__xludf.DUMMYFUNCTION("""COMPUTED_VALUE"""),81.0)</f>
        <v>81</v>
      </c>
      <c r="S668" s="562"/>
      <c r="T668" s="217"/>
      <c r="U668" s="217"/>
      <c r="V668" s="217">
        <f>IFERROR(__xludf.DUMMYFUNCTION("""COMPUTED_VALUE"""),92.0)</f>
        <v>92</v>
      </c>
      <c r="W668" s="217">
        <f>IFERROR(__xludf.DUMMYFUNCTION("""COMPUTED_VALUE"""),86.0)</f>
        <v>86</v>
      </c>
      <c r="X668" s="217">
        <f>IFERROR(__xludf.DUMMYFUNCTION("""COMPUTED_VALUE"""),66.0)</f>
        <v>66</v>
      </c>
      <c r="Y668" s="217"/>
      <c r="Z668" s="217"/>
      <c r="AA668" s="481"/>
      <c r="AB668" s="481">
        <f>IFERROR(__xludf.DUMMYFUNCTION("""COMPUTED_VALUE"""),22.0)</f>
        <v>22</v>
      </c>
      <c r="AC668" s="481">
        <f>IFERROR(__xludf.DUMMYFUNCTION("""COMPUTED_VALUE"""),22.0)</f>
        <v>22</v>
      </c>
      <c r="AD668" s="481">
        <f>IFERROR(__xludf.DUMMYFUNCTION("""COMPUTED_VALUE"""),60.0)</f>
        <v>60</v>
      </c>
      <c r="AE668" s="481">
        <f>IFERROR(__xludf.DUMMYFUNCTION("""COMPUTED_VALUE"""),90.0)</f>
        <v>90</v>
      </c>
      <c r="AF668" s="481"/>
      <c r="AG668" s="481">
        <f>IFERROR(__xludf.DUMMYFUNCTION("""COMPUTED_VALUE"""),43.0)</f>
        <v>43</v>
      </c>
      <c r="AH668" s="481"/>
      <c r="AI668" s="158"/>
      <c r="AJ668" s="158"/>
      <c r="AK668" s="133">
        <f>IFERROR(__xludf.DUMMYFUNCTION("""COMPUTED_VALUE"""),4.0)</f>
        <v>4</v>
      </c>
      <c r="AL668" s="133">
        <f>IFERROR(__xludf.DUMMYFUNCTION("""COMPUTED_VALUE"""),0.0)</f>
        <v>0</v>
      </c>
      <c r="AM668" s="133">
        <f>IFERROR(__xludf.DUMMYFUNCTION("""COMPUTED_VALUE"""),0.0)</f>
        <v>0</v>
      </c>
      <c r="AN668" s="133" t="str">
        <f>IFERROR(__xludf.DUMMYFUNCTION("""COMPUTED_VALUE"""),"0")</f>
        <v>0</v>
      </c>
      <c r="AO668" s="133">
        <f>IFERROR(__xludf.DUMMYFUNCTION("""COMPUTED_VALUE"""),3.0)</f>
        <v>3</v>
      </c>
      <c r="AP668" s="155" t="s">
        <v>3780</v>
      </c>
    </row>
    <row r="669">
      <c r="A669" s="155">
        <f>IFERROR(__xludf.DUMMYFUNCTION("""COMPUTED_VALUE"""),148.0)</f>
        <v>148</v>
      </c>
      <c r="B669" s="155" t="str">
        <f>IFERROR(__xludf.DUMMYFUNCTION("""COMPUTED_VALUE"""),"vikram.aiml24le@cmrit.ac.in")</f>
        <v>vikram.aiml24le@cmrit.ac.in</v>
      </c>
      <c r="C669" s="174" t="str">
        <f>IFERROR(__xludf.DUMMYFUNCTION("""COMPUTED_VALUE"""),"Vikram S")</f>
        <v>Vikram S</v>
      </c>
      <c r="D669" s="155" t="str">
        <f>IFERROR(__xludf.DUMMYFUNCTION("""COMPUTED_VALUE"""),"1CR24AI411")</f>
        <v>1CR24AI411</v>
      </c>
      <c r="E669" s="563">
        <f>IFERROR(__xludf.DUMMYFUNCTION("""COMPUTED_VALUE"""),6.362240223E9)</f>
        <v>6362240223</v>
      </c>
      <c r="F669" s="155" t="str">
        <f>IFERROR(__xludf.DUMMYFUNCTION("""COMPUTED_VALUE"""),"AIML")</f>
        <v>AIML</v>
      </c>
      <c r="G669" s="158"/>
      <c r="H669" s="559">
        <f>IFERROR(__xludf.DUMMYFUNCTION("""COMPUTED_VALUE"""),70.0)</f>
        <v>70</v>
      </c>
      <c r="I669" s="559">
        <f>IFERROR(__xludf.DUMMYFUNCTION("""COMPUTED_VALUE"""),70.0)</f>
        <v>70</v>
      </c>
      <c r="J669" s="559">
        <f>IFERROR(__xludf.DUMMYFUNCTION("""COMPUTED_VALUE"""),72.0)</f>
        <v>72</v>
      </c>
      <c r="K669" s="559">
        <f>IFERROR(__xludf.DUMMYFUNCTION("""COMPUTED_VALUE"""),70.0)</f>
        <v>70</v>
      </c>
      <c r="L669" s="560">
        <f>IFERROR(__xludf.DUMMYFUNCTION("""COMPUTED_VALUE"""),17.0)</f>
        <v>17</v>
      </c>
      <c r="M669" s="561">
        <f>IFERROR(__xludf.DUMMYFUNCTION("""COMPUTED_VALUE"""),18.0)</f>
        <v>18</v>
      </c>
      <c r="N669" s="561">
        <f>IFERROR(__xludf.DUMMYFUNCTION("""COMPUTED_VALUE"""),50.0)</f>
        <v>50</v>
      </c>
      <c r="O669" s="560"/>
      <c r="P669" s="562">
        <f>IFERROR(__xludf.DUMMYFUNCTION("""COMPUTED_VALUE"""),0.0)</f>
        <v>0</v>
      </c>
      <c r="Q669" s="562">
        <f>IFERROR(__xludf.DUMMYFUNCTION("""COMPUTED_VALUE"""),50.0)</f>
        <v>50</v>
      </c>
      <c r="R669" s="562">
        <f>IFERROR(__xludf.DUMMYFUNCTION("""COMPUTED_VALUE"""),86.0)</f>
        <v>86</v>
      </c>
      <c r="S669" s="562"/>
      <c r="T669" s="217"/>
      <c r="U669" s="217"/>
      <c r="V669" s="217">
        <f>IFERROR(__xludf.DUMMYFUNCTION("""COMPUTED_VALUE"""),94.0)</f>
        <v>94</v>
      </c>
      <c r="W669" s="217">
        <f>IFERROR(__xludf.DUMMYFUNCTION("""COMPUTED_VALUE"""),88.0)</f>
        <v>88</v>
      </c>
      <c r="X669" s="217">
        <f>IFERROR(__xludf.DUMMYFUNCTION("""COMPUTED_VALUE"""),68.0)</f>
        <v>68</v>
      </c>
      <c r="Y669" s="217"/>
      <c r="Z669" s="217"/>
      <c r="AA669" s="481"/>
      <c r="AB669" s="481">
        <f>IFERROR(__xludf.DUMMYFUNCTION("""COMPUTED_VALUE"""),70.0)</f>
        <v>70</v>
      </c>
      <c r="AC669" s="481">
        <f>IFERROR(__xludf.DUMMYFUNCTION("""COMPUTED_VALUE"""),70.0)</f>
        <v>70</v>
      </c>
      <c r="AD669" s="481">
        <f>IFERROR(__xludf.DUMMYFUNCTION("""COMPUTED_VALUE"""),60.0)</f>
        <v>60</v>
      </c>
      <c r="AE669" s="481">
        <f>IFERROR(__xludf.DUMMYFUNCTION("""COMPUTED_VALUE"""),45.0)</f>
        <v>45</v>
      </c>
      <c r="AF669" s="481"/>
      <c r="AG669" s="481">
        <f>IFERROR(__xludf.DUMMYFUNCTION("""COMPUTED_VALUE"""),77.0)</f>
        <v>77</v>
      </c>
      <c r="AH669" s="481"/>
      <c r="AI669" s="158"/>
      <c r="AJ669" s="158"/>
      <c r="AK669" s="133">
        <f>IFERROR(__xludf.DUMMYFUNCTION("""COMPUTED_VALUE"""),4.0)</f>
        <v>4</v>
      </c>
      <c r="AL669" s="133">
        <f>IFERROR(__xludf.DUMMYFUNCTION("""COMPUTED_VALUE"""),0.0)</f>
        <v>0</v>
      </c>
      <c r="AM669" s="133">
        <f>IFERROR(__xludf.DUMMYFUNCTION("""COMPUTED_VALUE"""),0.0)</f>
        <v>0</v>
      </c>
      <c r="AN669" s="133" t="str">
        <f>IFERROR(__xludf.DUMMYFUNCTION("""COMPUTED_VALUE"""),"3")</f>
        <v>3</v>
      </c>
      <c r="AO669" s="133">
        <f>IFERROR(__xludf.DUMMYFUNCTION("""COMPUTED_VALUE"""),0.0)</f>
        <v>0</v>
      </c>
      <c r="AP669" s="155" t="s">
        <v>3780</v>
      </c>
    </row>
    <row r="670">
      <c r="A670" s="155">
        <f>IFERROR(__xludf.DUMMYFUNCTION("""COMPUTED_VALUE"""),149.0)</f>
        <v>149</v>
      </c>
      <c r="B670" s="155" t="str">
        <f>IFERROR(__xludf.DUMMYFUNCTION("""COMPUTED_VALUE"""),"vinod.aiml24le@cmrit.ac.in")</f>
        <v>vinod.aiml24le@cmrit.ac.in</v>
      </c>
      <c r="C670" s="174" t="str">
        <f>IFERROR(__xludf.DUMMYFUNCTION("""COMPUTED_VALUE"""),"VINOD MAHANTESH METI")</f>
        <v>VINOD MAHANTESH METI</v>
      </c>
      <c r="D670" s="155" t="str">
        <f>IFERROR(__xludf.DUMMYFUNCTION("""COMPUTED_VALUE"""),"1CR24AI412")</f>
        <v>1CR24AI412</v>
      </c>
      <c r="E670" s="563">
        <f>IFERROR(__xludf.DUMMYFUNCTION("""COMPUTED_VALUE"""),9.541618792E9)</f>
        <v>9541618792</v>
      </c>
      <c r="F670" s="155" t="str">
        <f>IFERROR(__xludf.DUMMYFUNCTION("""COMPUTED_VALUE"""),"AIML")</f>
        <v>AIML</v>
      </c>
      <c r="G670" s="158"/>
      <c r="H670" s="559">
        <f>IFERROR(__xludf.DUMMYFUNCTION("""COMPUTED_VALUE"""),70.0)</f>
        <v>70</v>
      </c>
      <c r="I670" s="559">
        <f>IFERROR(__xludf.DUMMYFUNCTION("""COMPUTED_VALUE"""),70.0)</f>
        <v>70</v>
      </c>
      <c r="J670" s="559">
        <f>IFERROR(__xludf.DUMMYFUNCTION("""COMPUTED_VALUE"""),70.0)</f>
        <v>70</v>
      </c>
      <c r="K670" s="559">
        <f>IFERROR(__xludf.DUMMYFUNCTION("""COMPUTED_VALUE"""),70.0)</f>
        <v>70</v>
      </c>
      <c r="L670" s="560">
        <f>IFERROR(__xludf.DUMMYFUNCTION("""COMPUTED_VALUE"""),25.0)</f>
        <v>25</v>
      </c>
      <c r="M670" s="561">
        <f>IFERROR(__xludf.DUMMYFUNCTION("""COMPUTED_VALUE"""),18.0)</f>
        <v>18</v>
      </c>
      <c r="N670" s="561">
        <f>IFERROR(__xludf.DUMMYFUNCTION("""COMPUTED_VALUE"""),50.0)</f>
        <v>50</v>
      </c>
      <c r="O670" s="560"/>
      <c r="P670" s="562">
        <f>IFERROR(__xludf.DUMMYFUNCTION("""COMPUTED_VALUE"""),50.0)</f>
        <v>50</v>
      </c>
      <c r="Q670" s="562">
        <f>IFERROR(__xludf.DUMMYFUNCTION("""COMPUTED_VALUE"""),73.0)</f>
        <v>73</v>
      </c>
      <c r="R670" s="562">
        <f>IFERROR(__xludf.DUMMYFUNCTION("""COMPUTED_VALUE"""),85.0)</f>
        <v>85</v>
      </c>
      <c r="S670" s="562"/>
      <c r="T670" s="217"/>
      <c r="U670" s="217"/>
      <c r="V670" s="217">
        <f>IFERROR(__xludf.DUMMYFUNCTION("""COMPUTED_VALUE"""),92.0)</f>
        <v>92</v>
      </c>
      <c r="W670" s="217">
        <f>IFERROR(__xludf.DUMMYFUNCTION("""COMPUTED_VALUE"""),86.0)</f>
        <v>86</v>
      </c>
      <c r="X670" s="217">
        <f>IFERROR(__xludf.DUMMYFUNCTION("""COMPUTED_VALUE"""),68.0)</f>
        <v>68</v>
      </c>
      <c r="Y670" s="217"/>
      <c r="Z670" s="217"/>
      <c r="AA670" s="481"/>
      <c r="AB670" s="481">
        <f>IFERROR(__xludf.DUMMYFUNCTION("""COMPUTED_VALUE"""),14.0)</f>
        <v>14</v>
      </c>
      <c r="AC670" s="481">
        <f>IFERROR(__xludf.DUMMYFUNCTION("""COMPUTED_VALUE"""),14.0)</f>
        <v>14</v>
      </c>
      <c r="AD670" s="481">
        <f>IFERROR(__xludf.DUMMYFUNCTION("""COMPUTED_VALUE"""),85.0)</f>
        <v>85</v>
      </c>
      <c r="AE670" s="481">
        <f>IFERROR(__xludf.DUMMYFUNCTION("""COMPUTED_VALUE"""),39.0)</f>
        <v>39</v>
      </c>
      <c r="AF670" s="481"/>
      <c r="AG670" s="481">
        <f>IFERROR(__xludf.DUMMYFUNCTION("""COMPUTED_VALUE"""),46.0)</f>
        <v>46</v>
      </c>
      <c r="AH670" s="481"/>
      <c r="AI670" s="158"/>
      <c r="AJ670" s="158"/>
      <c r="AK670" s="133">
        <f>IFERROR(__xludf.DUMMYFUNCTION("""COMPUTED_VALUE"""),4.0)</f>
        <v>4</v>
      </c>
      <c r="AL670" s="133">
        <f>IFERROR(__xludf.DUMMYFUNCTION("""COMPUTED_VALUE"""),0.0)</f>
        <v>0</v>
      </c>
      <c r="AM670" s="133">
        <f>IFERROR(__xludf.DUMMYFUNCTION("""COMPUTED_VALUE"""),0.0)</f>
        <v>0</v>
      </c>
      <c r="AN670" s="133" t="str">
        <f>IFERROR(__xludf.DUMMYFUNCTION("""COMPUTED_VALUE"""),"0")</f>
        <v>0</v>
      </c>
      <c r="AO670" s="133">
        <f>IFERROR(__xludf.DUMMYFUNCTION("""COMPUTED_VALUE"""),3.0)</f>
        <v>3</v>
      </c>
      <c r="AP670" s="155" t="s">
        <v>3780</v>
      </c>
    </row>
    <row r="671">
      <c r="A671" s="155">
        <f>IFERROR(__xludf.DUMMYFUNCTION("""COMPUTED_VALUE"""),150.0)</f>
        <v>150</v>
      </c>
      <c r="B671" s="155" t="str">
        <f>IFERROR(__xludf.DUMMYFUNCTION("""COMPUTED_VALUE"""),"dmar22aiml@cmrit.ac.in")</f>
        <v>dmar22aiml@cmrit.ac.in</v>
      </c>
      <c r="C671" s="174" t="str">
        <f>IFERROR(__xludf.DUMMYFUNCTION("""COMPUTED_VALUE"""),"D Sahil Mario(RE ADMITTED)")</f>
        <v>D Sahil Mario(RE ADMITTED)</v>
      </c>
      <c r="D671" s="155" t="str">
        <f>IFERROR(__xludf.DUMMYFUNCTION("""COMPUTED_VALUE"""),"1CR22AI034")</f>
        <v>1CR22AI034</v>
      </c>
      <c r="E671" s="563"/>
      <c r="F671" s="155" t="str">
        <f>IFERROR(__xludf.DUMMYFUNCTION("""COMPUTED_VALUE"""),"AIML")</f>
        <v>AIML</v>
      </c>
      <c r="G671" s="158" t="str">
        <f>IFERROR(__xludf.DUMMYFUNCTION("""COMPUTED_VALUE"""),"RE ADMITTED")</f>
        <v>RE ADMITTED</v>
      </c>
      <c r="H671" s="559">
        <f>IFERROR(__xludf.DUMMYFUNCTION("""COMPUTED_VALUE"""),70.0)</f>
        <v>70</v>
      </c>
      <c r="I671" s="559">
        <f>IFERROR(__xludf.DUMMYFUNCTION("""COMPUTED_VALUE"""),70.0)</f>
        <v>70</v>
      </c>
      <c r="J671" s="559">
        <f>IFERROR(__xludf.DUMMYFUNCTION("""COMPUTED_VALUE"""),26.0)</f>
        <v>26</v>
      </c>
      <c r="K671" s="559">
        <f>IFERROR(__xludf.DUMMYFUNCTION("""COMPUTED_VALUE"""),70.0)</f>
        <v>70</v>
      </c>
      <c r="L671" s="560">
        <f>IFERROR(__xludf.DUMMYFUNCTION("""COMPUTED_VALUE"""),0.0)</f>
        <v>0</v>
      </c>
      <c r="M671" s="561">
        <f>IFERROR(__xludf.DUMMYFUNCTION("""COMPUTED_VALUE"""),7.0)</f>
        <v>7</v>
      </c>
      <c r="N671" s="561"/>
      <c r="O671" s="560"/>
      <c r="P671" s="562">
        <f>IFERROR(__xludf.DUMMYFUNCTION("""COMPUTED_VALUE"""),0.0)</f>
        <v>0</v>
      </c>
      <c r="Q671" s="562">
        <f>IFERROR(__xludf.DUMMYFUNCTION("""COMPUTED_VALUE"""),72.0)</f>
        <v>72</v>
      </c>
      <c r="R671" s="562">
        <f>IFERROR(__xludf.DUMMYFUNCTION("""COMPUTED_VALUE"""),0.0)</f>
        <v>0</v>
      </c>
      <c r="S671" s="562"/>
      <c r="T671" s="217">
        <f>IFERROR(__xludf.DUMMYFUNCTION("""COMPUTED_VALUE"""),15.0)</f>
        <v>15</v>
      </c>
      <c r="U671" s="217">
        <f>IFERROR(__xludf.DUMMYFUNCTION("""COMPUTED_VALUE"""),15.0)</f>
        <v>15</v>
      </c>
      <c r="V671" s="217">
        <f>IFERROR(__xludf.DUMMYFUNCTION("""COMPUTED_VALUE"""),0.0)</f>
        <v>0</v>
      </c>
      <c r="W671" s="217">
        <f>IFERROR(__xludf.DUMMYFUNCTION("""COMPUTED_VALUE"""),88.0)</f>
        <v>88</v>
      </c>
      <c r="X671" s="217">
        <f>IFERROR(__xludf.DUMMYFUNCTION("""COMPUTED_VALUE"""),80.0)</f>
        <v>80</v>
      </c>
      <c r="Y671" s="217"/>
      <c r="Z671" s="217"/>
      <c r="AA671" s="481"/>
      <c r="AB671" s="481">
        <f>IFERROR(__xludf.DUMMYFUNCTION("""COMPUTED_VALUE"""),0.0)</f>
        <v>0</v>
      </c>
      <c r="AC671" s="481">
        <f>IFERROR(__xludf.DUMMYFUNCTION("""COMPUTED_VALUE"""),0.0)</f>
        <v>0</v>
      </c>
      <c r="AD671" s="481">
        <f>IFERROR(__xludf.DUMMYFUNCTION("""COMPUTED_VALUE"""),0.0)</f>
        <v>0</v>
      </c>
      <c r="AE671" s="481">
        <f>IFERROR(__xludf.DUMMYFUNCTION("""COMPUTED_VALUE"""),10.0)</f>
        <v>10</v>
      </c>
      <c r="AF671" s="481"/>
      <c r="AG671" s="481">
        <f>IFERROR(__xludf.DUMMYFUNCTION("""COMPUTED_VALUE"""),38.0)</f>
        <v>38</v>
      </c>
      <c r="AH671" s="481"/>
      <c r="AI671" s="158"/>
      <c r="AJ671" s="158"/>
      <c r="AK671" s="133">
        <f>IFERROR(__xludf.DUMMYFUNCTION("""COMPUTED_VALUE"""),2.0)</f>
        <v>2</v>
      </c>
      <c r="AL671" s="133">
        <f>IFERROR(__xludf.DUMMYFUNCTION("""COMPUTED_VALUE"""),0.0)</f>
        <v>0</v>
      </c>
      <c r="AM671" s="133">
        <f>IFERROR(__xludf.DUMMYFUNCTION("""COMPUTED_VALUE"""),3.0)</f>
        <v>3</v>
      </c>
      <c r="AN671" s="133" t="str">
        <f>IFERROR(__xludf.DUMMYFUNCTION("""COMPUTED_VALUE"""),"0")</f>
        <v>0</v>
      </c>
      <c r="AO671" s="133">
        <f>IFERROR(__xludf.DUMMYFUNCTION("""COMPUTED_VALUE"""),0.0)</f>
        <v>0</v>
      </c>
      <c r="AP671" s="155" t="s">
        <v>3780</v>
      </c>
    </row>
    <row r="672">
      <c r="A672" s="155">
        <f>IFERROR(__xludf.DUMMYFUNCTION("""COMPUTED_VALUE"""),1.0)</f>
        <v>1</v>
      </c>
      <c r="B672" s="155" t="str">
        <f>IFERROR(__xludf.DUMMYFUNCTION("""COMPUTED_VALUE"""),"abmo23csaiml@cmrit.ac.in")</f>
        <v>abmo23csaiml@cmrit.ac.in</v>
      </c>
      <c r="C672" s="174" t="str">
        <f>IFERROR(__xludf.DUMMYFUNCTION("""COMPUTED_VALUE"""),"ABDULREHAN MOHAMMEDISMAIL KONANKERI")</f>
        <v>ABDULREHAN MOHAMMEDISMAIL KONANKERI</v>
      </c>
      <c r="D672" s="155" t="str">
        <f>IFERROR(__xludf.DUMMYFUNCTION("""COMPUTED_VALUE"""),"1CR23CI001")</f>
        <v>1CR23CI001</v>
      </c>
      <c r="E672" s="563">
        <f>IFERROR(__xludf.DUMMYFUNCTION("""COMPUTED_VALUE"""),7.89981899E9)</f>
        <v>7899818990</v>
      </c>
      <c r="F672" s="155" t="str">
        <f>IFERROR(__xludf.DUMMYFUNCTION("""COMPUTED_VALUE"""),"CSE(AIML)")</f>
        <v>CSE(AIML)</v>
      </c>
      <c r="G672" s="158"/>
      <c r="H672" s="559">
        <f>IFERROR(__xludf.DUMMYFUNCTION("""COMPUTED_VALUE"""),78.0)</f>
        <v>78</v>
      </c>
      <c r="I672" s="559">
        <f>IFERROR(__xludf.DUMMYFUNCTION("""COMPUTED_VALUE"""),80.0)</f>
        <v>80</v>
      </c>
      <c r="J672" s="559">
        <f>IFERROR(__xludf.DUMMYFUNCTION("""COMPUTED_VALUE"""),72.0)</f>
        <v>72</v>
      </c>
      <c r="K672" s="559">
        <f>IFERROR(__xludf.DUMMYFUNCTION("""COMPUTED_VALUE"""),70.0)</f>
        <v>70</v>
      </c>
      <c r="L672" s="560">
        <f>IFERROR(__xludf.DUMMYFUNCTION("""COMPUTED_VALUE"""),61.0)</f>
        <v>61</v>
      </c>
      <c r="M672" s="561">
        <f>IFERROR(__xludf.DUMMYFUNCTION("""COMPUTED_VALUE"""),50.0)</f>
        <v>50</v>
      </c>
      <c r="N672" s="561">
        <f>IFERROR(__xludf.DUMMYFUNCTION("""COMPUTED_VALUE"""),50.0)</f>
        <v>50</v>
      </c>
      <c r="O672" s="560"/>
      <c r="P672" s="562">
        <f>IFERROR(__xludf.DUMMYFUNCTION("""COMPUTED_VALUE"""),81.0)</f>
        <v>81</v>
      </c>
      <c r="Q672" s="562">
        <f>IFERROR(__xludf.DUMMYFUNCTION("""COMPUTED_VALUE"""),50.0)</f>
        <v>50</v>
      </c>
      <c r="R672" s="562">
        <f>IFERROR(__xludf.DUMMYFUNCTION("""COMPUTED_VALUE"""),91.0)</f>
        <v>91</v>
      </c>
      <c r="S672" s="562"/>
      <c r="T672" s="217">
        <f>IFERROR(__xludf.DUMMYFUNCTION("""COMPUTED_VALUE"""),14.0)</f>
        <v>14</v>
      </c>
      <c r="U672" s="217">
        <f>IFERROR(__xludf.DUMMYFUNCTION("""COMPUTED_VALUE"""),25.0)</f>
        <v>25</v>
      </c>
      <c r="V672" s="217">
        <f>IFERROR(__xludf.DUMMYFUNCTION("""COMPUTED_VALUE"""),92.0)</f>
        <v>92</v>
      </c>
      <c r="W672" s="217">
        <f>IFERROR(__xludf.DUMMYFUNCTION("""COMPUTED_VALUE"""),90.0)</f>
        <v>90</v>
      </c>
      <c r="X672" s="217">
        <f>IFERROR(__xludf.DUMMYFUNCTION("""COMPUTED_VALUE"""),84.0)</f>
        <v>84</v>
      </c>
      <c r="Y672" s="217"/>
      <c r="Z672" s="217"/>
      <c r="AA672" s="481">
        <f>IFERROR(__xludf.DUMMYFUNCTION("""COMPUTED_VALUE"""),86.0)</f>
        <v>86</v>
      </c>
      <c r="AB672" s="481">
        <f>IFERROR(__xludf.DUMMYFUNCTION("""COMPUTED_VALUE"""),100.0)</f>
        <v>100</v>
      </c>
      <c r="AC672" s="481">
        <f>IFERROR(__xludf.DUMMYFUNCTION("""COMPUTED_VALUE"""),76.0)</f>
        <v>76</v>
      </c>
      <c r="AD672" s="481">
        <f>IFERROR(__xludf.DUMMYFUNCTION("""COMPUTED_VALUE"""),75.0)</f>
        <v>75</v>
      </c>
      <c r="AE672" s="481">
        <f>IFERROR(__xludf.DUMMYFUNCTION("""COMPUTED_VALUE"""),75.0)</f>
        <v>75</v>
      </c>
      <c r="AF672" s="481"/>
      <c r="AG672" s="481">
        <f>IFERROR(__xludf.DUMMYFUNCTION("""COMPUTED_VALUE"""),96.0)</f>
        <v>96</v>
      </c>
      <c r="AH672" s="481"/>
      <c r="AI672" s="158"/>
      <c r="AJ672" s="158"/>
      <c r="AK672" s="133">
        <f>IFERROR(__xludf.DUMMYFUNCTION("""COMPUTED_VALUE"""),4.0)</f>
        <v>4</v>
      </c>
      <c r="AL672" s="133">
        <f>IFERROR(__xludf.DUMMYFUNCTION("""COMPUTED_VALUE"""),3.0)</f>
        <v>3</v>
      </c>
      <c r="AM672" s="133">
        <f>IFERROR(__xludf.DUMMYFUNCTION("""COMPUTED_VALUE"""),3.0)</f>
        <v>3</v>
      </c>
      <c r="AN672" s="133" t="str">
        <f>IFERROR(__xludf.DUMMYFUNCTION("""COMPUTED_VALUE"""),"3.5")</f>
        <v>3.5</v>
      </c>
      <c r="AO672" s="133">
        <f>IFERROR(__xludf.DUMMYFUNCTION("""COMPUTED_VALUE"""),3.0)</f>
        <v>3</v>
      </c>
      <c r="AP672" s="155" t="s">
        <v>3780</v>
      </c>
    </row>
    <row r="673">
      <c r="A673" s="155">
        <f>IFERROR(__xludf.DUMMYFUNCTION("""COMPUTED_VALUE"""),2.0)</f>
        <v>2</v>
      </c>
      <c r="B673" s="155" t="str">
        <f>IFERROR(__xludf.DUMMYFUNCTION("""COMPUTED_VALUE"""),"adha23csaiml@cmrit.ac.in")</f>
        <v>adha23csaiml@cmrit.ac.in</v>
      </c>
      <c r="C673" s="174" t="str">
        <f>IFERROR(__xludf.DUMMYFUNCTION("""COMPUTED_VALUE"""),"ADITYA HARIKUMAR")</f>
        <v>ADITYA HARIKUMAR</v>
      </c>
      <c r="D673" s="155" t="str">
        <f>IFERROR(__xludf.DUMMYFUNCTION("""COMPUTED_VALUE"""),"1CR23CI002")</f>
        <v>1CR23CI002</v>
      </c>
      <c r="E673" s="563">
        <f>IFERROR(__xludf.DUMMYFUNCTION("""COMPUTED_VALUE"""),7.619417118E9)</f>
        <v>7619417118</v>
      </c>
      <c r="F673" s="155" t="str">
        <f>IFERROR(__xludf.DUMMYFUNCTION("""COMPUTED_VALUE"""),"CSE(AIML)")</f>
        <v>CSE(AIML)</v>
      </c>
      <c r="G673" s="158"/>
      <c r="H673" s="559">
        <f>IFERROR(__xludf.DUMMYFUNCTION("""COMPUTED_VALUE"""),76.0)</f>
        <v>76</v>
      </c>
      <c r="I673" s="559">
        <f>IFERROR(__xludf.DUMMYFUNCTION("""COMPUTED_VALUE"""),82.0)</f>
        <v>82</v>
      </c>
      <c r="J673" s="559">
        <f>IFERROR(__xludf.DUMMYFUNCTION("""COMPUTED_VALUE"""),64.0)</f>
        <v>64</v>
      </c>
      <c r="K673" s="559">
        <f>IFERROR(__xludf.DUMMYFUNCTION("""COMPUTED_VALUE"""),70.0)</f>
        <v>70</v>
      </c>
      <c r="L673" s="560">
        <f>IFERROR(__xludf.DUMMYFUNCTION("""COMPUTED_VALUE"""),46.0)</f>
        <v>46</v>
      </c>
      <c r="M673" s="561">
        <f>IFERROR(__xludf.DUMMYFUNCTION("""COMPUTED_VALUE"""),44.0)</f>
        <v>44</v>
      </c>
      <c r="N673" s="561">
        <f>IFERROR(__xludf.DUMMYFUNCTION("""COMPUTED_VALUE"""),50.0)</f>
        <v>50</v>
      </c>
      <c r="O673" s="560"/>
      <c r="P673" s="562">
        <f>IFERROR(__xludf.DUMMYFUNCTION("""COMPUTED_VALUE"""),50.0)</f>
        <v>50</v>
      </c>
      <c r="Q673" s="562">
        <f>IFERROR(__xludf.DUMMYFUNCTION("""COMPUTED_VALUE"""),67.0)</f>
        <v>67</v>
      </c>
      <c r="R673" s="562">
        <f>IFERROR(__xludf.DUMMYFUNCTION("""COMPUTED_VALUE"""),85.0)</f>
        <v>85</v>
      </c>
      <c r="S673" s="562"/>
      <c r="T673" s="217">
        <f>IFERROR(__xludf.DUMMYFUNCTION("""COMPUTED_VALUE"""),14.0)</f>
        <v>14</v>
      </c>
      <c r="U673" s="217">
        <f>IFERROR(__xludf.DUMMYFUNCTION("""COMPUTED_VALUE"""),22.0)</f>
        <v>22</v>
      </c>
      <c r="V673" s="217">
        <f>IFERROR(__xludf.DUMMYFUNCTION("""COMPUTED_VALUE"""),88.0)</f>
        <v>88</v>
      </c>
      <c r="W673" s="217">
        <f>IFERROR(__xludf.DUMMYFUNCTION("""COMPUTED_VALUE"""),82.0)</f>
        <v>82</v>
      </c>
      <c r="X673" s="217">
        <f>IFERROR(__xludf.DUMMYFUNCTION("""COMPUTED_VALUE"""),68.0)</f>
        <v>68</v>
      </c>
      <c r="Y673" s="217"/>
      <c r="Z673" s="217"/>
      <c r="AA673" s="481">
        <f>IFERROR(__xludf.DUMMYFUNCTION("""COMPUTED_VALUE"""),0.0)</f>
        <v>0</v>
      </c>
      <c r="AB673" s="481">
        <f>IFERROR(__xludf.DUMMYFUNCTION("""COMPUTED_VALUE"""),88.0)</f>
        <v>88</v>
      </c>
      <c r="AC673" s="481">
        <f>IFERROR(__xludf.DUMMYFUNCTION("""COMPUTED_VALUE"""),82.0)</f>
        <v>82</v>
      </c>
      <c r="AD673" s="481">
        <f>IFERROR(__xludf.DUMMYFUNCTION("""COMPUTED_VALUE"""),60.0)</f>
        <v>60</v>
      </c>
      <c r="AE673" s="481"/>
      <c r="AF673" s="481"/>
      <c r="AG673" s="481">
        <f>IFERROR(__xludf.DUMMYFUNCTION("""COMPUTED_VALUE"""),43.0)</f>
        <v>43</v>
      </c>
      <c r="AH673" s="481"/>
      <c r="AI673" s="158"/>
      <c r="AJ673" s="158"/>
      <c r="AK673" s="133">
        <f>IFERROR(__xludf.DUMMYFUNCTION("""COMPUTED_VALUE"""),2.0)</f>
        <v>2</v>
      </c>
      <c r="AL673" s="133">
        <f>IFERROR(__xludf.DUMMYFUNCTION("""COMPUTED_VALUE"""),0.0)</f>
        <v>0</v>
      </c>
      <c r="AM673" s="133">
        <f>IFERROR(__xludf.DUMMYFUNCTION("""COMPUTED_VALUE"""),3.0)</f>
        <v>3</v>
      </c>
      <c r="AN673" s="133" t="str">
        <f>IFERROR(__xludf.DUMMYFUNCTION("""COMPUTED_VALUE"""),"3")</f>
        <v>3</v>
      </c>
      <c r="AO673" s="133">
        <f>IFERROR(__xludf.DUMMYFUNCTION("""COMPUTED_VALUE"""),3.0)</f>
        <v>3</v>
      </c>
      <c r="AP673" s="155" t="s">
        <v>3780</v>
      </c>
    </row>
    <row r="674">
      <c r="A674" s="155">
        <f>IFERROR(__xludf.DUMMYFUNCTION("""COMPUTED_VALUE"""),3.0)</f>
        <v>3</v>
      </c>
      <c r="B674" s="155" t="str">
        <f>IFERROR(__xludf.DUMMYFUNCTION("""COMPUTED_VALUE"""),"akma23csaiml@cmrit.ac.in")</f>
        <v>akma23csaiml@cmrit.ac.in</v>
      </c>
      <c r="C674" s="174" t="str">
        <f>IFERROR(__xludf.DUMMYFUNCTION("""COMPUTED_VALUE"""),"AKSHITHA MARURU")</f>
        <v>AKSHITHA MARURU</v>
      </c>
      <c r="D674" s="155" t="str">
        <f>IFERROR(__xludf.DUMMYFUNCTION("""COMPUTED_VALUE"""),"1CR23CI003")</f>
        <v>1CR23CI003</v>
      </c>
      <c r="E674" s="563"/>
      <c r="F674" s="155" t="str">
        <f>IFERROR(__xludf.DUMMYFUNCTION("""COMPUTED_VALUE"""),"CSE(AIML)")</f>
        <v>CSE(AIML)</v>
      </c>
      <c r="G674" s="158"/>
      <c r="H674" s="559">
        <f>IFERROR(__xludf.DUMMYFUNCTION("""COMPUTED_VALUE"""),86.0)</f>
        <v>86</v>
      </c>
      <c r="I674" s="559">
        <f>IFERROR(__xludf.DUMMYFUNCTION("""COMPUTED_VALUE"""),87.0)</f>
        <v>87</v>
      </c>
      <c r="J674" s="559">
        <f>IFERROR(__xludf.DUMMYFUNCTION("""COMPUTED_VALUE"""),70.0)</f>
        <v>70</v>
      </c>
      <c r="K674" s="559">
        <f>IFERROR(__xludf.DUMMYFUNCTION("""COMPUTED_VALUE"""),71.0)</f>
        <v>71</v>
      </c>
      <c r="L674" s="560">
        <f>IFERROR(__xludf.DUMMYFUNCTION("""COMPUTED_VALUE"""),50.0)</f>
        <v>50</v>
      </c>
      <c r="M674" s="561">
        <f>IFERROR(__xludf.DUMMYFUNCTION("""COMPUTED_VALUE"""),52.0)</f>
        <v>52</v>
      </c>
      <c r="N674" s="561">
        <f>IFERROR(__xludf.DUMMYFUNCTION("""COMPUTED_VALUE"""),50.0)</f>
        <v>50</v>
      </c>
      <c r="O674" s="560"/>
      <c r="P674" s="562">
        <f>IFERROR(__xludf.DUMMYFUNCTION("""COMPUTED_VALUE"""),83.0)</f>
        <v>83</v>
      </c>
      <c r="Q674" s="562">
        <f>IFERROR(__xludf.DUMMYFUNCTION("""COMPUTED_VALUE"""),75.0)</f>
        <v>75</v>
      </c>
      <c r="R674" s="562">
        <f>IFERROR(__xludf.DUMMYFUNCTION("""COMPUTED_VALUE"""),50.0)</f>
        <v>50</v>
      </c>
      <c r="S674" s="562"/>
      <c r="T674" s="217">
        <f>IFERROR(__xludf.DUMMYFUNCTION("""COMPUTED_VALUE"""),11.0)</f>
        <v>11</v>
      </c>
      <c r="U674" s="217">
        <f>IFERROR(__xludf.DUMMYFUNCTION("""COMPUTED_VALUE"""),20.0)</f>
        <v>20</v>
      </c>
      <c r="V674" s="217">
        <f>IFERROR(__xludf.DUMMYFUNCTION("""COMPUTED_VALUE"""),92.0)</f>
        <v>92</v>
      </c>
      <c r="W674" s="217">
        <f>IFERROR(__xludf.DUMMYFUNCTION("""COMPUTED_VALUE"""),90.0)</f>
        <v>90</v>
      </c>
      <c r="X674" s="217">
        <f>IFERROR(__xludf.DUMMYFUNCTION("""COMPUTED_VALUE"""),66.0)</f>
        <v>66</v>
      </c>
      <c r="Y674" s="217"/>
      <c r="Z674" s="217"/>
      <c r="AA674" s="481">
        <f>IFERROR(__xludf.DUMMYFUNCTION("""COMPUTED_VALUE"""),86.0)</f>
        <v>86</v>
      </c>
      <c r="AB674" s="481">
        <f>IFERROR(__xludf.DUMMYFUNCTION("""COMPUTED_VALUE"""),88.0)</f>
        <v>88</v>
      </c>
      <c r="AC674" s="481">
        <f>IFERROR(__xludf.DUMMYFUNCTION("""COMPUTED_VALUE"""),80.0)</f>
        <v>80</v>
      </c>
      <c r="AD674" s="481">
        <f>IFERROR(__xludf.DUMMYFUNCTION("""COMPUTED_VALUE"""),90.0)</f>
        <v>90</v>
      </c>
      <c r="AE674" s="481"/>
      <c r="AF674" s="481"/>
      <c r="AG674" s="481">
        <f>IFERROR(__xludf.DUMMYFUNCTION("""COMPUTED_VALUE"""),88.0)</f>
        <v>88</v>
      </c>
      <c r="AH674" s="481"/>
      <c r="AI674" s="158"/>
      <c r="AJ674" s="158"/>
      <c r="AK674" s="133">
        <f>IFERROR(__xludf.DUMMYFUNCTION("""COMPUTED_VALUE"""),4.0)</f>
        <v>4</v>
      </c>
      <c r="AL674" s="133">
        <f>IFERROR(__xludf.DUMMYFUNCTION("""COMPUTED_VALUE"""),3.0)</f>
        <v>3</v>
      </c>
      <c r="AM674" s="133">
        <f>IFERROR(__xludf.DUMMYFUNCTION("""COMPUTED_VALUE"""),3.0)</f>
        <v>3</v>
      </c>
      <c r="AN674" s="133" t="str">
        <f>IFERROR(__xludf.DUMMYFUNCTION("""COMPUTED_VALUE"""),"3")</f>
        <v>3</v>
      </c>
      <c r="AO674" s="133">
        <f>IFERROR(__xludf.DUMMYFUNCTION("""COMPUTED_VALUE"""),3.0)</f>
        <v>3</v>
      </c>
      <c r="AP674" s="155" t="s">
        <v>3780</v>
      </c>
    </row>
    <row r="675">
      <c r="A675" s="155">
        <f>IFERROR(__xludf.DUMMYFUNCTION("""COMPUTED_VALUE"""),4.0)</f>
        <v>4</v>
      </c>
      <c r="B675" s="155" t="str">
        <f>IFERROR(__xludf.DUMMYFUNCTION("""COMPUTED_VALUE"""),"alsr23csaiml@cmrit.ac.in")</f>
        <v>alsr23csaiml@cmrit.ac.in</v>
      </c>
      <c r="C675" s="174" t="str">
        <f>IFERROR(__xludf.DUMMYFUNCTION("""COMPUTED_VALUE"""),"ALAPATI BHAGYA SRI")</f>
        <v>ALAPATI BHAGYA SRI</v>
      </c>
      <c r="D675" s="155" t="str">
        <f>IFERROR(__xludf.DUMMYFUNCTION("""COMPUTED_VALUE"""),"1CR23CI004")</f>
        <v>1CR23CI004</v>
      </c>
      <c r="E675" s="563">
        <f>IFERROR(__xludf.DUMMYFUNCTION("""COMPUTED_VALUE"""),9.353850499E9)</f>
        <v>9353850499</v>
      </c>
      <c r="F675" s="155" t="str">
        <f>IFERROR(__xludf.DUMMYFUNCTION("""COMPUTED_VALUE"""),"CSE(AIML)")</f>
        <v>CSE(AIML)</v>
      </c>
      <c r="G675" s="158"/>
      <c r="H675" s="559">
        <f>IFERROR(__xludf.DUMMYFUNCTION("""COMPUTED_VALUE"""),70.0)</f>
        <v>70</v>
      </c>
      <c r="I675" s="559">
        <f>IFERROR(__xludf.DUMMYFUNCTION("""COMPUTED_VALUE"""),80.0)</f>
        <v>80</v>
      </c>
      <c r="J675" s="559">
        <f>IFERROR(__xludf.DUMMYFUNCTION("""COMPUTED_VALUE"""),70.0)</f>
        <v>70</v>
      </c>
      <c r="K675" s="559">
        <f>IFERROR(__xludf.DUMMYFUNCTION("""COMPUTED_VALUE"""),70.0)</f>
        <v>70</v>
      </c>
      <c r="L675" s="560">
        <f>IFERROR(__xludf.DUMMYFUNCTION("""COMPUTED_VALUE"""),50.0)</f>
        <v>50</v>
      </c>
      <c r="M675" s="561">
        <f>IFERROR(__xludf.DUMMYFUNCTION("""COMPUTED_VALUE"""),54.0)</f>
        <v>54</v>
      </c>
      <c r="N675" s="561">
        <f>IFERROR(__xludf.DUMMYFUNCTION("""COMPUTED_VALUE"""),50.0)</f>
        <v>50</v>
      </c>
      <c r="O675" s="560"/>
      <c r="P675" s="562">
        <f>IFERROR(__xludf.DUMMYFUNCTION("""COMPUTED_VALUE"""),77.0)</f>
        <v>77</v>
      </c>
      <c r="Q675" s="562">
        <f>IFERROR(__xludf.DUMMYFUNCTION("""COMPUTED_VALUE"""),50.0)</f>
        <v>50</v>
      </c>
      <c r="R675" s="562">
        <f>IFERROR(__xludf.DUMMYFUNCTION("""COMPUTED_VALUE"""),92.0)</f>
        <v>92</v>
      </c>
      <c r="S675" s="562"/>
      <c r="T675" s="217">
        <f>IFERROR(__xludf.DUMMYFUNCTION("""COMPUTED_VALUE"""),18.0)</f>
        <v>18</v>
      </c>
      <c r="U675" s="217">
        <f>IFERROR(__xludf.DUMMYFUNCTION("""COMPUTED_VALUE"""),21.0)</f>
        <v>21</v>
      </c>
      <c r="V675" s="217">
        <f>IFERROR(__xludf.DUMMYFUNCTION("""COMPUTED_VALUE"""),88.0)</f>
        <v>88</v>
      </c>
      <c r="W675" s="217">
        <f>IFERROR(__xludf.DUMMYFUNCTION("""COMPUTED_VALUE"""),86.0)</f>
        <v>86</v>
      </c>
      <c r="X675" s="217">
        <f>IFERROR(__xludf.DUMMYFUNCTION("""COMPUTED_VALUE"""),70.0)</f>
        <v>70</v>
      </c>
      <c r="Y675" s="217"/>
      <c r="Z675" s="217"/>
      <c r="AA675" s="481">
        <f>IFERROR(__xludf.DUMMYFUNCTION("""COMPUTED_VALUE"""),12.0)</f>
        <v>12</v>
      </c>
      <c r="AB675" s="481">
        <f>IFERROR(__xludf.DUMMYFUNCTION("""COMPUTED_VALUE"""),100.0)</f>
        <v>100</v>
      </c>
      <c r="AC675" s="481">
        <f>IFERROR(__xludf.DUMMYFUNCTION("""COMPUTED_VALUE"""),33.0)</f>
        <v>33</v>
      </c>
      <c r="AD675" s="481">
        <f>IFERROR(__xludf.DUMMYFUNCTION("""COMPUTED_VALUE"""),86.0)</f>
        <v>86</v>
      </c>
      <c r="AE675" s="481">
        <f>IFERROR(__xludf.DUMMYFUNCTION("""COMPUTED_VALUE"""),70.0)</f>
        <v>70</v>
      </c>
      <c r="AF675" s="481"/>
      <c r="AG675" s="481">
        <f>IFERROR(__xludf.DUMMYFUNCTION("""COMPUTED_VALUE"""),80.0)</f>
        <v>80</v>
      </c>
      <c r="AH675" s="481"/>
      <c r="AI675" s="158"/>
      <c r="AJ675" s="158"/>
      <c r="AK675" s="133">
        <f>IFERROR(__xludf.DUMMYFUNCTION("""COMPUTED_VALUE"""),4.0)</f>
        <v>4</v>
      </c>
      <c r="AL675" s="133">
        <f>IFERROR(__xludf.DUMMYFUNCTION("""COMPUTED_VALUE"""),3.0)</f>
        <v>3</v>
      </c>
      <c r="AM675" s="133">
        <f>IFERROR(__xludf.DUMMYFUNCTION("""COMPUTED_VALUE"""),3.0)</f>
        <v>3</v>
      </c>
      <c r="AN675" s="133" t="str">
        <f>IFERROR(__xludf.DUMMYFUNCTION("""COMPUTED_VALUE"""),"3.5")</f>
        <v>3.5</v>
      </c>
      <c r="AO675" s="133">
        <f>IFERROR(__xludf.DUMMYFUNCTION("""COMPUTED_VALUE"""),3.0)</f>
        <v>3</v>
      </c>
      <c r="AP675" s="155" t="s">
        <v>3780</v>
      </c>
    </row>
    <row r="676">
      <c r="A676" s="155">
        <f>IFERROR(__xludf.DUMMYFUNCTION("""COMPUTED_VALUE"""),5.0)</f>
        <v>5</v>
      </c>
      <c r="B676" s="155" t="str">
        <f>IFERROR(__xludf.DUMMYFUNCTION("""COMPUTED_VALUE"""),"ambh23csaiml@cmrit.ac.in")</f>
        <v>ambh23csaiml@cmrit.ac.in</v>
      </c>
      <c r="C676" s="174" t="str">
        <f>IFERROR(__xludf.DUMMYFUNCTION("""COMPUTED_VALUE"""),"AMARTYA BHARDWAJ")</f>
        <v>AMARTYA BHARDWAJ</v>
      </c>
      <c r="D676" s="155" t="str">
        <f>IFERROR(__xludf.DUMMYFUNCTION("""COMPUTED_VALUE"""),"1CR23CI005")</f>
        <v>1CR23CI005</v>
      </c>
      <c r="E676" s="563">
        <f>IFERROR(__xludf.DUMMYFUNCTION("""COMPUTED_VALUE"""),9.142542435E9)</f>
        <v>9142542435</v>
      </c>
      <c r="F676" s="155" t="str">
        <f>IFERROR(__xludf.DUMMYFUNCTION("""COMPUTED_VALUE"""),"CSE(AIML)")</f>
        <v>CSE(AIML)</v>
      </c>
      <c r="G676" s="158"/>
      <c r="H676" s="559">
        <f>IFERROR(__xludf.DUMMYFUNCTION("""COMPUTED_VALUE"""),79.0)</f>
        <v>79</v>
      </c>
      <c r="I676" s="559">
        <f>IFERROR(__xludf.DUMMYFUNCTION("""COMPUTED_VALUE"""),84.0)</f>
        <v>84</v>
      </c>
      <c r="J676" s="559">
        <f>IFERROR(__xludf.DUMMYFUNCTION("""COMPUTED_VALUE"""),36.0)</f>
        <v>36</v>
      </c>
      <c r="K676" s="559">
        <f>IFERROR(__xludf.DUMMYFUNCTION("""COMPUTED_VALUE"""),6.0)</f>
        <v>6</v>
      </c>
      <c r="L676" s="560">
        <f>IFERROR(__xludf.DUMMYFUNCTION("""COMPUTED_VALUE"""),8.0)</f>
        <v>8</v>
      </c>
      <c r="M676" s="561">
        <f>IFERROR(__xludf.DUMMYFUNCTION("""COMPUTED_VALUE"""),0.0)</f>
        <v>0</v>
      </c>
      <c r="N676" s="561">
        <f>IFERROR(__xludf.DUMMYFUNCTION("""COMPUTED_VALUE"""),0.0)</f>
        <v>0</v>
      </c>
      <c r="O676" s="560"/>
      <c r="P676" s="562">
        <f>IFERROR(__xludf.DUMMYFUNCTION("""COMPUTED_VALUE"""),80.0)</f>
        <v>80</v>
      </c>
      <c r="Q676" s="562">
        <f>IFERROR(__xludf.DUMMYFUNCTION("""COMPUTED_VALUE"""),0.0)</f>
        <v>0</v>
      </c>
      <c r="R676" s="562">
        <f>IFERROR(__xludf.DUMMYFUNCTION("""COMPUTED_VALUE"""),0.0)</f>
        <v>0</v>
      </c>
      <c r="S676" s="562"/>
      <c r="T676" s="217">
        <f>IFERROR(__xludf.DUMMYFUNCTION("""COMPUTED_VALUE"""),10.0)</f>
        <v>10</v>
      </c>
      <c r="U676" s="217">
        <f>IFERROR(__xludf.DUMMYFUNCTION("""COMPUTED_VALUE"""),25.0)</f>
        <v>25</v>
      </c>
      <c r="V676" s="217">
        <f>IFERROR(__xludf.DUMMYFUNCTION("""COMPUTED_VALUE"""),0.0)</f>
        <v>0</v>
      </c>
      <c r="W676" s="217">
        <f>IFERROR(__xludf.DUMMYFUNCTION("""COMPUTED_VALUE"""),0.0)</f>
        <v>0</v>
      </c>
      <c r="X676" s="217"/>
      <c r="Y676" s="217"/>
      <c r="Z676" s="217"/>
      <c r="AA676" s="481">
        <f>IFERROR(__xludf.DUMMYFUNCTION("""COMPUTED_VALUE"""),28.0)</f>
        <v>28</v>
      </c>
      <c r="AB676" s="481">
        <f>IFERROR(__xludf.DUMMYFUNCTION("""COMPUTED_VALUE"""),57.0)</f>
        <v>57</v>
      </c>
      <c r="AC676" s="481">
        <f>IFERROR(__xludf.DUMMYFUNCTION("""COMPUTED_VALUE"""),0.0)</f>
        <v>0</v>
      </c>
      <c r="AD676" s="481">
        <f>IFERROR(__xludf.DUMMYFUNCTION("""COMPUTED_VALUE"""),33.0)</f>
        <v>33</v>
      </c>
      <c r="AE676" s="481">
        <f>IFERROR(__xludf.DUMMYFUNCTION("""COMPUTED_VALUE"""),10.0)</f>
        <v>10</v>
      </c>
      <c r="AF676" s="481"/>
      <c r="AG676" s="481">
        <f>IFERROR(__xludf.DUMMYFUNCTION("""COMPUTED_VALUE"""),62.0)</f>
        <v>62</v>
      </c>
      <c r="AH676" s="481"/>
      <c r="AI676" s="158"/>
      <c r="AJ676" s="158"/>
      <c r="AK676" s="133">
        <f>IFERROR(__xludf.DUMMYFUNCTION("""COMPUTED_VALUE"""),2.0)</f>
        <v>2</v>
      </c>
      <c r="AL676" s="133">
        <f>IFERROR(__xludf.DUMMYFUNCTION("""COMPUTED_VALUE"""),0.0)</f>
        <v>0</v>
      </c>
      <c r="AM676" s="133">
        <f>IFERROR(__xludf.DUMMYFUNCTION("""COMPUTED_VALUE"""),2.0)</f>
        <v>2</v>
      </c>
      <c r="AN676" s="133" t="str">
        <f>IFERROR(__xludf.DUMMYFUNCTION("""COMPUTED_VALUE"""),"2")</f>
        <v>2</v>
      </c>
      <c r="AO676" s="133">
        <f>IFERROR(__xludf.DUMMYFUNCTION("""COMPUTED_VALUE"""),1.0)</f>
        <v>1</v>
      </c>
      <c r="AP676" s="155" t="s">
        <v>3780</v>
      </c>
    </row>
    <row r="677">
      <c r="A677" s="155">
        <f>IFERROR(__xludf.DUMMYFUNCTION("""COMPUTED_VALUE"""),6.0)</f>
        <v>6</v>
      </c>
      <c r="B677" s="155" t="str">
        <f>IFERROR(__xludf.DUMMYFUNCTION("""COMPUTED_VALUE"""),"ansr23csaiml@cmrit.ac.in")</f>
        <v>ansr23csaiml@cmrit.ac.in</v>
      </c>
      <c r="C677" s="174" t="str">
        <f>IFERROR(__xludf.DUMMYFUNCTION("""COMPUTED_VALUE"""),"ANJALI SREEJA MUNAGALA")</f>
        <v>ANJALI SREEJA MUNAGALA</v>
      </c>
      <c r="D677" s="155" t="str">
        <f>IFERROR(__xludf.DUMMYFUNCTION("""COMPUTED_VALUE"""),"1CR23CI006")</f>
        <v>1CR23CI006</v>
      </c>
      <c r="E677" s="563">
        <f>IFERROR(__xludf.DUMMYFUNCTION("""COMPUTED_VALUE"""),6.364053408E9)</f>
        <v>6364053408</v>
      </c>
      <c r="F677" s="155" t="str">
        <f>IFERROR(__xludf.DUMMYFUNCTION("""COMPUTED_VALUE"""),"CSE(AIML)")</f>
        <v>CSE(AIML)</v>
      </c>
      <c r="G677" s="158"/>
      <c r="H677" s="559">
        <f>IFERROR(__xludf.DUMMYFUNCTION("""COMPUTED_VALUE"""),82.0)</f>
        <v>82</v>
      </c>
      <c r="I677" s="559">
        <f>IFERROR(__xludf.DUMMYFUNCTION("""COMPUTED_VALUE"""),85.0)</f>
        <v>85</v>
      </c>
      <c r="J677" s="559">
        <f>IFERROR(__xludf.DUMMYFUNCTION("""COMPUTED_VALUE"""),72.0)</f>
        <v>72</v>
      </c>
      <c r="K677" s="559">
        <f>IFERROR(__xludf.DUMMYFUNCTION("""COMPUTED_VALUE"""),70.0)</f>
        <v>70</v>
      </c>
      <c r="L677" s="560">
        <f>IFERROR(__xludf.DUMMYFUNCTION("""COMPUTED_VALUE"""),50.0)</f>
        <v>50</v>
      </c>
      <c r="M677" s="561">
        <f>IFERROR(__xludf.DUMMYFUNCTION("""COMPUTED_VALUE"""),51.0)</f>
        <v>51</v>
      </c>
      <c r="N677" s="561">
        <f>IFERROR(__xludf.DUMMYFUNCTION("""COMPUTED_VALUE"""),58.25)</f>
        <v>58.25</v>
      </c>
      <c r="O677" s="560"/>
      <c r="P677" s="562">
        <f>IFERROR(__xludf.DUMMYFUNCTION("""COMPUTED_VALUE"""),81.0)</f>
        <v>81</v>
      </c>
      <c r="Q677" s="562">
        <f>IFERROR(__xludf.DUMMYFUNCTION("""COMPUTED_VALUE"""),67.0)</f>
        <v>67</v>
      </c>
      <c r="R677" s="562">
        <f>IFERROR(__xludf.DUMMYFUNCTION("""COMPUTED_VALUE"""),88.0)</f>
        <v>88</v>
      </c>
      <c r="S677" s="562"/>
      <c r="T677" s="217">
        <f>IFERROR(__xludf.DUMMYFUNCTION("""COMPUTED_VALUE"""),15.0)</f>
        <v>15</v>
      </c>
      <c r="U677" s="217">
        <f>IFERROR(__xludf.DUMMYFUNCTION("""COMPUTED_VALUE"""),24.0)</f>
        <v>24</v>
      </c>
      <c r="V677" s="217">
        <f>IFERROR(__xludf.DUMMYFUNCTION("""COMPUTED_VALUE"""),90.0)</f>
        <v>90</v>
      </c>
      <c r="W677" s="217">
        <f>IFERROR(__xludf.DUMMYFUNCTION("""COMPUTED_VALUE"""),90.0)</f>
        <v>90</v>
      </c>
      <c r="X677" s="217">
        <f>IFERROR(__xludf.DUMMYFUNCTION("""COMPUTED_VALUE"""),74.0)</f>
        <v>74</v>
      </c>
      <c r="Y677" s="217"/>
      <c r="Z677" s="217"/>
      <c r="AA677" s="481">
        <f>IFERROR(__xludf.DUMMYFUNCTION("""COMPUTED_VALUE"""),79.0)</f>
        <v>79</v>
      </c>
      <c r="AB677" s="481">
        <f>IFERROR(__xludf.DUMMYFUNCTION("""COMPUTED_VALUE"""),100.0)</f>
        <v>100</v>
      </c>
      <c r="AC677" s="481">
        <f>IFERROR(__xludf.DUMMYFUNCTION("""COMPUTED_VALUE"""),81.0)</f>
        <v>81</v>
      </c>
      <c r="AD677" s="481">
        <f>IFERROR(__xludf.DUMMYFUNCTION("""COMPUTED_VALUE"""),65.0)</f>
        <v>65</v>
      </c>
      <c r="AE677" s="481">
        <f>IFERROR(__xludf.DUMMYFUNCTION("""COMPUTED_VALUE"""),70.0)</f>
        <v>70</v>
      </c>
      <c r="AF677" s="481"/>
      <c r="AG677" s="481">
        <f>IFERROR(__xludf.DUMMYFUNCTION("""COMPUTED_VALUE"""),33.0)</f>
        <v>33</v>
      </c>
      <c r="AH677" s="481"/>
      <c r="AI677" s="158"/>
      <c r="AJ677" s="158"/>
      <c r="AK677" s="133">
        <f>IFERROR(__xludf.DUMMYFUNCTION("""COMPUTED_VALUE"""),4.0)</f>
        <v>4</v>
      </c>
      <c r="AL677" s="133">
        <f>IFERROR(__xludf.DUMMYFUNCTION("""COMPUTED_VALUE"""),3.0)</f>
        <v>3</v>
      </c>
      <c r="AM677" s="133">
        <f>IFERROR(__xludf.DUMMYFUNCTION("""COMPUTED_VALUE"""),3.0)</f>
        <v>3</v>
      </c>
      <c r="AN677" s="133" t="str">
        <f>IFERROR(__xludf.DUMMYFUNCTION("""COMPUTED_VALUE"""),"3.5")</f>
        <v>3.5</v>
      </c>
      <c r="AO677" s="133">
        <f>IFERROR(__xludf.DUMMYFUNCTION("""COMPUTED_VALUE"""),3.0)</f>
        <v>3</v>
      </c>
      <c r="AP677" s="155" t="s">
        <v>3780</v>
      </c>
    </row>
    <row r="678">
      <c r="A678" s="155">
        <f>IFERROR(__xludf.DUMMYFUNCTION("""COMPUTED_VALUE"""),7.0)</f>
        <v>7</v>
      </c>
      <c r="B678" s="155" t="str">
        <f>IFERROR(__xludf.DUMMYFUNCTION("""COMPUTED_VALUE"""),"anba23csaiml@cmrit.ac.in")</f>
        <v>anba23csaiml@cmrit.ac.in</v>
      </c>
      <c r="C678" s="174" t="str">
        <f>IFERROR(__xludf.DUMMYFUNCTION("""COMPUTED_VALUE"""),"ANKIT DINBANDHU SINGH")</f>
        <v>ANKIT DINBANDHU SINGH</v>
      </c>
      <c r="D678" s="155" t="str">
        <f>IFERROR(__xludf.DUMMYFUNCTION("""COMPUTED_VALUE"""),"1CR23CI007")</f>
        <v>1CR23CI007</v>
      </c>
      <c r="E678" s="563">
        <f>IFERROR(__xludf.DUMMYFUNCTION("""COMPUTED_VALUE"""),7.21941661E9)</f>
        <v>7219416610</v>
      </c>
      <c r="F678" s="155" t="str">
        <f>IFERROR(__xludf.DUMMYFUNCTION("""COMPUTED_VALUE"""),"CSE(AIML)")</f>
        <v>CSE(AIML)</v>
      </c>
      <c r="G678" s="158"/>
      <c r="H678" s="559">
        <f>IFERROR(__xludf.DUMMYFUNCTION("""COMPUTED_VALUE"""),80.0)</f>
        <v>80</v>
      </c>
      <c r="I678" s="559">
        <f>IFERROR(__xludf.DUMMYFUNCTION("""COMPUTED_VALUE"""),82.0)</f>
        <v>82</v>
      </c>
      <c r="J678" s="559">
        <f>IFERROR(__xludf.DUMMYFUNCTION("""COMPUTED_VALUE"""),79.0)</f>
        <v>79</v>
      </c>
      <c r="K678" s="559">
        <f>IFERROR(__xludf.DUMMYFUNCTION("""COMPUTED_VALUE"""),77.0)</f>
        <v>77</v>
      </c>
      <c r="L678" s="560">
        <f>IFERROR(__xludf.DUMMYFUNCTION("""COMPUTED_VALUE"""),59.0)</f>
        <v>59</v>
      </c>
      <c r="M678" s="561">
        <f>IFERROR(__xludf.DUMMYFUNCTION("""COMPUTED_VALUE"""),55.0)</f>
        <v>55</v>
      </c>
      <c r="N678" s="561">
        <f>IFERROR(__xludf.DUMMYFUNCTION("""COMPUTED_VALUE"""),60.25)</f>
        <v>60.25</v>
      </c>
      <c r="O678" s="560"/>
      <c r="P678" s="562">
        <f>IFERROR(__xludf.DUMMYFUNCTION("""COMPUTED_VALUE"""),82.0)</f>
        <v>82</v>
      </c>
      <c r="Q678" s="562">
        <f>IFERROR(__xludf.DUMMYFUNCTION("""COMPUTED_VALUE"""),72.0)</f>
        <v>72</v>
      </c>
      <c r="R678" s="562">
        <f>IFERROR(__xludf.DUMMYFUNCTION("""COMPUTED_VALUE"""),88.0)</f>
        <v>88</v>
      </c>
      <c r="S678" s="562"/>
      <c r="T678" s="217">
        <f>IFERROR(__xludf.DUMMYFUNCTION("""COMPUTED_VALUE"""),13.0)</f>
        <v>13</v>
      </c>
      <c r="U678" s="217">
        <f>IFERROR(__xludf.DUMMYFUNCTION("""COMPUTED_VALUE"""),21.0)</f>
        <v>21</v>
      </c>
      <c r="V678" s="217">
        <f>IFERROR(__xludf.DUMMYFUNCTION("""COMPUTED_VALUE"""),86.0)</f>
        <v>86</v>
      </c>
      <c r="W678" s="217">
        <f>IFERROR(__xludf.DUMMYFUNCTION("""COMPUTED_VALUE"""),90.0)</f>
        <v>90</v>
      </c>
      <c r="X678" s="217">
        <f>IFERROR(__xludf.DUMMYFUNCTION("""COMPUTED_VALUE"""),78.0)</f>
        <v>78</v>
      </c>
      <c r="Y678" s="217"/>
      <c r="Z678" s="217"/>
      <c r="AA678" s="481">
        <f>IFERROR(__xludf.DUMMYFUNCTION("""COMPUTED_VALUE"""),90.0)</f>
        <v>90</v>
      </c>
      <c r="AB678" s="481">
        <f>IFERROR(__xludf.DUMMYFUNCTION("""COMPUTED_VALUE"""),100.0)</f>
        <v>100</v>
      </c>
      <c r="AC678" s="481">
        <f>IFERROR(__xludf.DUMMYFUNCTION("""COMPUTED_VALUE"""),77.0)</f>
        <v>77</v>
      </c>
      <c r="AD678" s="481">
        <f>IFERROR(__xludf.DUMMYFUNCTION("""COMPUTED_VALUE"""),60.0)</f>
        <v>60</v>
      </c>
      <c r="AE678" s="481">
        <f>IFERROR(__xludf.DUMMYFUNCTION("""COMPUTED_VALUE"""),84.0)</f>
        <v>84</v>
      </c>
      <c r="AF678" s="481"/>
      <c r="AG678" s="481">
        <f>IFERROR(__xludf.DUMMYFUNCTION("""COMPUTED_VALUE"""),85.0)</f>
        <v>85</v>
      </c>
      <c r="AH678" s="481"/>
      <c r="AI678" s="158"/>
      <c r="AJ678" s="158"/>
      <c r="AK678" s="133">
        <f>IFERROR(__xludf.DUMMYFUNCTION("""COMPUTED_VALUE"""),4.0)</f>
        <v>4</v>
      </c>
      <c r="AL678" s="133">
        <f>IFERROR(__xludf.DUMMYFUNCTION("""COMPUTED_VALUE"""),3.0)</f>
        <v>3</v>
      </c>
      <c r="AM678" s="133">
        <f>IFERROR(__xludf.DUMMYFUNCTION("""COMPUTED_VALUE"""),3.0)</f>
        <v>3</v>
      </c>
      <c r="AN678" s="133" t="str">
        <f>IFERROR(__xludf.DUMMYFUNCTION("""COMPUTED_VALUE"""),"3.5")</f>
        <v>3.5</v>
      </c>
      <c r="AO678" s="133">
        <f>IFERROR(__xludf.DUMMYFUNCTION("""COMPUTED_VALUE"""),3.0)</f>
        <v>3</v>
      </c>
      <c r="AP678" s="155" t="s">
        <v>3780</v>
      </c>
    </row>
    <row r="679">
      <c r="A679" s="155">
        <f>IFERROR(__xludf.DUMMYFUNCTION("""COMPUTED_VALUE"""),8.0)</f>
        <v>8</v>
      </c>
      <c r="B679" s="155" t="str">
        <f>IFERROR(__xludf.DUMMYFUNCTION("""COMPUTED_VALUE"""),"arar23csaiml@cmrit.ac.in")</f>
        <v>arar23csaiml@cmrit.ac.in</v>
      </c>
      <c r="C679" s="174" t="str">
        <f>IFERROR(__xludf.DUMMYFUNCTION("""COMPUTED_VALUE"""),"ARPITA ARYAN")</f>
        <v>ARPITA ARYAN</v>
      </c>
      <c r="D679" s="155" t="str">
        <f>IFERROR(__xludf.DUMMYFUNCTION("""COMPUTED_VALUE"""),"1CR23CI008")</f>
        <v>1CR23CI008</v>
      </c>
      <c r="E679" s="563">
        <f>IFERROR(__xludf.DUMMYFUNCTION("""COMPUTED_VALUE"""),8.789323278E9)</f>
        <v>8789323278</v>
      </c>
      <c r="F679" s="155" t="str">
        <f>IFERROR(__xludf.DUMMYFUNCTION("""COMPUTED_VALUE"""),"CSE(AIML)")</f>
        <v>CSE(AIML)</v>
      </c>
      <c r="G679" s="158"/>
      <c r="H679" s="559">
        <f>IFERROR(__xludf.DUMMYFUNCTION("""COMPUTED_VALUE"""),66.0)</f>
        <v>66</v>
      </c>
      <c r="I679" s="559">
        <f>IFERROR(__xludf.DUMMYFUNCTION("""COMPUTED_VALUE"""),72.0)</f>
        <v>72</v>
      </c>
      <c r="J679" s="559">
        <f>IFERROR(__xludf.DUMMYFUNCTION("""COMPUTED_VALUE"""),13.0)</f>
        <v>13</v>
      </c>
      <c r="K679" s="559">
        <f>IFERROR(__xludf.DUMMYFUNCTION("""COMPUTED_VALUE"""),13.0)</f>
        <v>13</v>
      </c>
      <c r="L679" s="560">
        <f>IFERROR(__xludf.DUMMYFUNCTION("""COMPUTED_VALUE"""),24.0)</f>
        <v>24</v>
      </c>
      <c r="M679" s="561">
        <f>IFERROR(__xludf.DUMMYFUNCTION("""COMPUTED_VALUE"""),50.0)</f>
        <v>50</v>
      </c>
      <c r="N679" s="561">
        <f>IFERROR(__xludf.DUMMYFUNCTION("""COMPUTED_VALUE"""),12.5)</f>
        <v>12.5</v>
      </c>
      <c r="O679" s="560"/>
      <c r="P679" s="562">
        <f>IFERROR(__xludf.DUMMYFUNCTION("""COMPUTED_VALUE"""),80.0)</f>
        <v>80</v>
      </c>
      <c r="Q679" s="562">
        <f>IFERROR(__xludf.DUMMYFUNCTION("""COMPUTED_VALUE"""),62.0)</f>
        <v>62</v>
      </c>
      <c r="R679" s="562">
        <f>IFERROR(__xludf.DUMMYFUNCTION("""COMPUTED_VALUE"""),0.0)</f>
        <v>0</v>
      </c>
      <c r="S679" s="562"/>
      <c r="T679" s="217">
        <f>IFERROR(__xludf.DUMMYFUNCTION("""COMPUTED_VALUE"""),11.0)</f>
        <v>11</v>
      </c>
      <c r="U679" s="217">
        <f>IFERROR(__xludf.DUMMYFUNCTION("""COMPUTED_VALUE"""),22.0)</f>
        <v>22</v>
      </c>
      <c r="V679" s="217">
        <f>IFERROR(__xludf.DUMMYFUNCTION("""COMPUTED_VALUE"""),92.0)</f>
        <v>92</v>
      </c>
      <c r="W679" s="217">
        <f>IFERROR(__xludf.DUMMYFUNCTION("""COMPUTED_VALUE"""),86.0)</f>
        <v>86</v>
      </c>
      <c r="X679" s="217">
        <f>IFERROR(__xludf.DUMMYFUNCTION("""COMPUTED_VALUE"""),78.0)</f>
        <v>78</v>
      </c>
      <c r="Y679" s="217"/>
      <c r="Z679" s="217"/>
      <c r="AA679" s="481">
        <f>IFERROR(__xludf.DUMMYFUNCTION("""COMPUTED_VALUE"""),58.0)</f>
        <v>58</v>
      </c>
      <c r="AB679" s="481">
        <f>IFERROR(__xludf.DUMMYFUNCTION("""COMPUTED_VALUE"""),47.0)</f>
        <v>47</v>
      </c>
      <c r="AC679" s="481">
        <f>IFERROR(__xludf.DUMMYFUNCTION("""COMPUTED_VALUE"""),0.0)</f>
        <v>0</v>
      </c>
      <c r="AD679" s="481">
        <f>IFERROR(__xludf.DUMMYFUNCTION("""COMPUTED_VALUE"""),0.0)</f>
        <v>0</v>
      </c>
      <c r="AE679" s="481">
        <f>IFERROR(__xludf.DUMMYFUNCTION("""COMPUTED_VALUE"""),10.0)</f>
        <v>10</v>
      </c>
      <c r="AF679" s="481"/>
      <c r="AG679" s="481">
        <f>IFERROR(__xludf.DUMMYFUNCTION("""COMPUTED_VALUE"""),56.0)</f>
        <v>56</v>
      </c>
      <c r="AH679" s="481"/>
      <c r="AI679" s="158"/>
      <c r="AJ679" s="158"/>
      <c r="AK679" s="133">
        <f>IFERROR(__xludf.DUMMYFUNCTION("""COMPUTED_VALUE"""),2.0)</f>
        <v>2</v>
      </c>
      <c r="AL679" s="133">
        <f>IFERROR(__xludf.DUMMYFUNCTION("""COMPUTED_VALUE"""),0.0)</f>
        <v>0</v>
      </c>
      <c r="AM679" s="133">
        <f>IFERROR(__xludf.DUMMYFUNCTION("""COMPUTED_VALUE"""),3.0)</f>
        <v>3</v>
      </c>
      <c r="AN679" s="133" t="str">
        <f>IFERROR(__xludf.DUMMYFUNCTION("""COMPUTED_VALUE"""),"0")</f>
        <v>0</v>
      </c>
      <c r="AO679" s="133">
        <f>IFERROR(__xludf.DUMMYFUNCTION("""COMPUTED_VALUE"""),2.0)</f>
        <v>2</v>
      </c>
      <c r="AP679" s="155" t="s">
        <v>3780</v>
      </c>
    </row>
    <row r="680">
      <c r="A680" s="155">
        <f>IFERROR(__xludf.DUMMYFUNCTION("""COMPUTED_VALUE"""),9.0)</f>
        <v>9</v>
      </c>
      <c r="B680" s="155" t="str">
        <f>IFERROR(__xludf.DUMMYFUNCTION("""COMPUTED_VALUE"""),"arab23csaiml@cmrit.ac.in")</f>
        <v>arab23csaiml@cmrit.ac.in</v>
      </c>
      <c r="C680" s="174" t="str">
        <f>IFERROR(__xludf.DUMMYFUNCTION("""COMPUTED_VALUE"""),"ARYA ABHAS")</f>
        <v>ARYA ABHAS</v>
      </c>
      <c r="D680" s="155" t="str">
        <f>IFERROR(__xludf.DUMMYFUNCTION("""COMPUTED_VALUE"""),"1CR23CI009")</f>
        <v>1CR23CI009</v>
      </c>
      <c r="E680" s="563">
        <f>IFERROR(__xludf.DUMMYFUNCTION("""COMPUTED_VALUE"""),9.341804303E9)</f>
        <v>9341804303</v>
      </c>
      <c r="F680" s="155" t="str">
        <f>IFERROR(__xludf.DUMMYFUNCTION("""COMPUTED_VALUE"""),"CSE(AIML)")</f>
        <v>CSE(AIML)</v>
      </c>
      <c r="G680" s="158"/>
      <c r="H680" s="559">
        <f>IFERROR(__xludf.DUMMYFUNCTION("""COMPUTED_VALUE"""),71.0)</f>
        <v>71</v>
      </c>
      <c r="I680" s="559">
        <f>IFERROR(__xludf.DUMMYFUNCTION("""COMPUTED_VALUE"""),80.0)</f>
        <v>80</v>
      </c>
      <c r="J680" s="559">
        <f>IFERROR(__xludf.DUMMYFUNCTION("""COMPUTED_VALUE"""),61.0)</f>
        <v>61</v>
      </c>
      <c r="K680" s="559">
        <f>IFERROR(__xludf.DUMMYFUNCTION("""COMPUTED_VALUE"""),70.0)</f>
        <v>70</v>
      </c>
      <c r="L680" s="560">
        <f>IFERROR(__xludf.DUMMYFUNCTION("""COMPUTED_VALUE"""),50.0)</f>
        <v>50</v>
      </c>
      <c r="M680" s="561">
        <f>IFERROR(__xludf.DUMMYFUNCTION("""COMPUTED_VALUE"""),50.0)</f>
        <v>50</v>
      </c>
      <c r="N680" s="561">
        <f>IFERROR(__xludf.DUMMYFUNCTION("""COMPUTED_VALUE"""),15.0)</f>
        <v>15</v>
      </c>
      <c r="O680" s="560"/>
      <c r="P680" s="562">
        <f>IFERROR(__xludf.DUMMYFUNCTION("""COMPUTED_VALUE"""),80.0)</f>
        <v>80</v>
      </c>
      <c r="Q680" s="562">
        <f>IFERROR(__xludf.DUMMYFUNCTION("""COMPUTED_VALUE"""),50.0)</f>
        <v>50</v>
      </c>
      <c r="R680" s="562">
        <f>IFERROR(__xludf.DUMMYFUNCTION("""COMPUTED_VALUE"""),50.0)</f>
        <v>50</v>
      </c>
      <c r="S680" s="562"/>
      <c r="T680" s="217">
        <f>IFERROR(__xludf.DUMMYFUNCTION("""COMPUTED_VALUE"""),16.0)</f>
        <v>16</v>
      </c>
      <c r="U680" s="217">
        <f>IFERROR(__xludf.DUMMYFUNCTION("""COMPUTED_VALUE"""),19.0)</f>
        <v>19</v>
      </c>
      <c r="V680" s="217">
        <f>IFERROR(__xludf.DUMMYFUNCTION("""COMPUTED_VALUE"""),88.0)</f>
        <v>88</v>
      </c>
      <c r="W680" s="217">
        <f>IFERROR(__xludf.DUMMYFUNCTION("""COMPUTED_VALUE"""),90.0)</f>
        <v>90</v>
      </c>
      <c r="X680" s="217">
        <f>IFERROR(__xludf.DUMMYFUNCTION("""COMPUTED_VALUE"""),78.0)</f>
        <v>78</v>
      </c>
      <c r="Y680" s="217"/>
      <c r="Z680" s="217"/>
      <c r="AA680" s="481">
        <f>IFERROR(__xludf.DUMMYFUNCTION("""COMPUTED_VALUE"""),92.0)</f>
        <v>92</v>
      </c>
      <c r="AB680" s="481">
        <f>IFERROR(__xludf.DUMMYFUNCTION("""COMPUTED_VALUE"""),79.0)</f>
        <v>79</v>
      </c>
      <c r="AC680" s="481">
        <f>IFERROR(__xludf.DUMMYFUNCTION("""COMPUTED_VALUE"""),57.0)</f>
        <v>57</v>
      </c>
      <c r="AD680" s="481">
        <f>IFERROR(__xludf.DUMMYFUNCTION("""COMPUTED_VALUE"""),60.0)</f>
        <v>60</v>
      </c>
      <c r="AE680" s="481">
        <f>IFERROR(__xludf.DUMMYFUNCTION("""COMPUTED_VALUE"""),14.0)</f>
        <v>14</v>
      </c>
      <c r="AF680" s="481"/>
      <c r="AG680" s="481">
        <f>IFERROR(__xludf.DUMMYFUNCTION("""COMPUTED_VALUE"""),30.0)</f>
        <v>30</v>
      </c>
      <c r="AH680" s="481"/>
      <c r="AI680" s="158"/>
      <c r="AJ680" s="158"/>
      <c r="AK680" s="133">
        <f>IFERROR(__xludf.DUMMYFUNCTION("""COMPUTED_VALUE"""),2.0)</f>
        <v>2</v>
      </c>
      <c r="AL680" s="133">
        <f>IFERROR(__xludf.DUMMYFUNCTION("""COMPUTED_VALUE"""),2.0)</f>
        <v>2</v>
      </c>
      <c r="AM680" s="133">
        <f>IFERROR(__xludf.DUMMYFUNCTION("""COMPUTED_VALUE"""),3.0)</f>
        <v>3</v>
      </c>
      <c r="AN680" s="133" t="str">
        <f>IFERROR(__xludf.DUMMYFUNCTION("""COMPUTED_VALUE"""),"3")</f>
        <v>3</v>
      </c>
      <c r="AO680" s="133">
        <f>IFERROR(__xludf.DUMMYFUNCTION("""COMPUTED_VALUE"""),3.0)</f>
        <v>3</v>
      </c>
      <c r="AP680" s="155" t="s">
        <v>3780</v>
      </c>
    </row>
    <row r="681">
      <c r="A681" s="155">
        <f>IFERROR(__xludf.DUMMYFUNCTION("""COMPUTED_VALUE"""),10.0)</f>
        <v>10</v>
      </c>
      <c r="B681" s="155" t="str">
        <f>IFERROR(__xludf.DUMMYFUNCTION("""COMPUTED_VALUE"""),"arsr23csaiml@cmrit.ac.in")</f>
        <v>arsr23csaiml@cmrit.ac.in</v>
      </c>
      <c r="C681" s="174" t="str">
        <f>IFERROR(__xludf.DUMMYFUNCTION("""COMPUTED_VALUE"""),"Aryan Srivastava")</f>
        <v>Aryan Srivastava</v>
      </c>
      <c r="D681" s="155" t="str">
        <f>IFERROR(__xludf.DUMMYFUNCTION("""COMPUTED_VALUE"""),"1CR23CI010")</f>
        <v>1CR23CI010</v>
      </c>
      <c r="E681" s="563">
        <f>IFERROR(__xludf.DUMMYFUNCTION("""COMPUTED_VALUE"""),9.742672605E9)</f>
        <v>9742672605</v>
      </c>
      <c r="F681" s="155" t="str">
        <f>IFERROR(__xludf.DUMMYFUNCTION("""COMPUTED_VALUE"""),"CSE(AIML)")</f>
        <v>CSE(AIML)</v>
      </c>
      <c r="G681" s="158"/>
      <c r="H681" s="559">
        <f>IFERROR(__xludf.DUMMYFUNCTION("""COMPUTED_VALUE"""),80.0)</f>
        <v>80</v>
      </c>
      <c r="I681" s="559">
        <f>IFERROR(__xludf.DUMMYFUNCTION("""COMPUTED_VALUE"""),92.0)</f>
        <v>92</v>
      </c>
      <c r="J681" s="559">
        <f>IFERROR(__xludf.DUMMYFUNCTION("""COMPUTED_VALUE"""),71.0)</f>
        <v>71</v>
      </c>
      <c r="K681" s="559">
        <f>IFERROR(__xludf.DUMMYFUNCTION("""COMPUTED_VALUE"""),76.0)</f>
        <v>76</v>
      </c>
      <c r="L681" s="560">
        <f>IFERROR(__xludf.DUMMYFUNCTION("""COMPUTED_VALUE"""),50.0)</f>
        <v>50</v>
      </c>
      <c r="M681" s="561">
        <f>IFERROR(__xludf.DUMMYFUNCTION("""COMPUTED_VALUE"""),50.0)</f>
        <v>50</v>
      </c>
      <c r="N681" s="561">
        <f>IFERROR(__xludf.DUMMYFUNCTION("""COMPUTED_VALUE"""),50.0)</f>
        <v>50</v>
      </c>
      <c r="O681" s="560"/>
      <c r="P681" s="562">
        <f>IFERROR(__xludf.DUMMYFUNCTION("""COMPUTED_VALUE"""),80.0)</f>
        <v>80</v>
      </c>
      <c r="Q681" s="562">
        <f>IFERROR(__xludf.DUMMYFUNCTION("""COMPUTED_VALUE"""),62.0)</f>
        <v>62</v>
      </c>
      <c r="R681" s="562">
        <f>IFERROR(__xludf.DUMMYFUNCTION("""COMPUTED_VALUE"""),94.0)</f>
        <v>94</v>
      </c>
      <c r="S681" s="562"/>
      <c r="T681" s="217">
        <f>IFERROR(__xludf.DUMMYFUNCTION("""COMPUTED_VALUE"""),11.0)</f>
        <v>11</v>
      </c>
      <c r="U681" s="217">
        <f>IFERROR(__xludf.DUMMYFUNCTION("""COMPUTED_VALUE"""),20.0)</f>
        <v>20</v>
      </c>
      <c r="V681" s="217">
        <f>IFERROR(__xludf.DUMMYFUNCTION("""COMPUTED_VALUE"""),90.0)</f>
        <v>90</v>
      </c>
      <c r="W681" s="217">
        <f>IFERROR(__xludf.DUMMYFUNCTION("""COMPUTED_VALUE"""),90.0)</f>
        <v>90</v>
      </c>
      <c r="X681" s="217">
        <f>IFERROR(__xludf.DUMMYFUNCTION("""COMPUTED_VALUE"""),76.0)</f>
        <v>76</v>
      </c>
      <c r="Y681" s="217"/>
      <c r="Z681" s="217"/>
      <c r="AA681" s="481">
        <f>IFERROR(__xludf.DUMMYFUNCTION("""COMPUTED_VALUE"""),58.0)</f>
        <v>58</v>
      </c>
      <c r="AB681" s="481">
        <f>IFERROR(__xludf.DUMMYFUNCTION("""COMPUTED_VALUE"""),100.0)</f>
        <v>100</v>
      </c>
      <c r="AC681" s="481">
        <f>IFERROR(__xludf.DUMMYFUNCTION("""COMPUTED_VALUE"""),70.0)</f>
        <v>70</v>
      </c>
      <c r="AD681" s="481">
        <f>IFERROR(__xludf.DUMMYFUNCTION("""COMPUTED_VALUE"""),86.0)</f>
        <v>86</v>
      </c>
      <c r="AE681" s="481">
        <f>IFERROR(__xludf.DUMMYFUNCTION("""COMPUTED_VALUE"""),70.0)</f>
        <v>70</v>
      </c>
      <c r="AF681" s="481"/>
      <c r="AG681" s="481">
        <f>IFERROR(__xludf.DUMMYFUNCTION("""COMPUTED_VALUE"""),83.0)</f>
        <v>83</v>
      </c>
      <c r="AH681" s="481"/>
      <c r="AI681" s="158"/>
      <c r="AJ681" s="158"/>
      <c r="AK681" s="133">
        <f>IFERROR(__xludf.DUMMYFUNCTION("""COMPUTED_VALUE"""),4.0)</f>
        <v>4</v>
      </c>
      <c r="AL681" s="133">
        <f>IFERROR(__xludf.DUMMYFUNCTION("""COMPUTED_VALUE"""),3.0)</f>
        <v>3</v>
      </c>
      <c r="AM681" s="133">
        <f>IFERROR(__xludf.DUMMYFUNCTION("""COMPUTED_VALUE"""),3.0)</f>
        <v>3</v>
      </c>
      <c r="AN681" s="133" t="str">
        <f>IFERROR(__xludf.DUMMYFUNCTION("""COMPUTED_VALUE"""),"3.5")</f>
        <v>3.5</v>
      </c>
      <c r="AO681" s="133">
        <f>IFERROR(__xludf.DUMMYFUNCTION("""COMPUTED_VALUE"""),3.0)</f>
        <v>3</v>
      </c>
      <c r="AP681" s="155" t="s">
        <v>3780</v>
      </c>
    </row>
    <row r="682">
      <c r="A682" s="155">
        <f>IFERROR(__xludf.DUMMYFUNCTION("""COMPUTED_VALUE"""),11.0)</f>
        <v>11</v>
      </c>
      <c r="B682" s="155" t="str">
        <f>IFERROR(__xludf.DUMMYFUNCTION("""COMPUTED_VALUE"""),"bhpa23csaiml@cmrit.ac.in")</f>
        <v>bhpa23csaiml@cmrit.ac.in</v>
      </c>
      <c r="C682" s="174" t="str">
        <f>IFERROR(__xludf.DUMMYFUNCTION("""COMPUTED_VALUE"""),"BHAVANAM PAVAN KUMAR REDDY")</f>
        <v>BHAVANAM PAVAN KUMAR REDDY</v>
      </c>
      <c r="D682" s="155" t="str">
        <f>IFERROR(__xludf.DUMMYFUNCTION("""COMPUTED_VALUE"""),"1CR23CI011")</f>
        <v>1CR23CI011</v>
      </c>
      <c r="E682" s="563">
        <f>IFERROR(__xludf.DUMMYFUNCTION("""COMPUTED_VALUE"""),6.303655059E9)</f>
        <v>6303655059</v>
      </c>
      <c r="F682" s="155" t="str">
        <f>IFERROR(__xludf.DUMMYFUNCTION("""COMPUTED_VALUE"""),"CSE(AIML)")</f>
        <v>CSE(AIML)</v>
      </c>
      <c r="G682" s="158"/>
      <c r="H682" s="559">
        <f>IFERROR(__xludf.DUMMYFUNCTION("""COMPUTED_VALUE"""),76.0)</f>
        <v>76</v>
      </c>
      <c r="I682" s="559">
        <f>IFERROR(__xludf.DUMMYFUNCTION("""COMPUTED_VALUE"""),75.0)</f>
        <v>75</v>
      </c>
      <c r="J682" s="559">
        <f>IFERROR(__xludf.DUMMYFUNCTION("""COMPUTED_VALUE"""),68.0)</f>
        <v>68</v>
      </c>
      <c r="K682" s="559">
        <f>IFERROR(__xludf.DUMMYFUNCTION("""COMPUTED_VALUE"""),70.0)</f>
        <v>70</v>
      </c>
      <c r="L682" s="560">
        <f>IFERROR(__xludf.DUMMYFUNCTION("""COMPUTED_VALUE"""),50.0)</f>
        <v>50</v>
      </c>
      <c r="M682" s="561">
        <f>IFERROR(__xludf.DUMMYFUNCTION("""COMPUTED_VALUE"""),50.0)</f>
        <v>50</v>
      </c>
      <c r="N682" s="561">
        <f>IFERROR(__xludf.DUMMYFUNCTION("""COMPUTED_VALUE"""),16.5)</f>
        <v>16.5</v>
      </c>
      <c r="O682" s="560"/>
      <c r="P682" s="562">
        <f>IFERROR(__xludf.DUMMYFUNCTION("""COMPUTED_VALUE"""),50.0)</f>
        <v>50</v>
      </c>
      <c r="Q682" s="562">
        <f>IFERROR(__xludf.DUMMYFUNCTION("""COMPUTED_VALUE"""),50.0)</f>
        <v>50</v>
      </c>
      <c r="R682" s="562">
        <f>IFERROR(__xludf.DUMMYFUNCTION("""COMPUTED_VALUE"""),50.0)</f>
        <v>50</v>
      </c>
      <c r="S682" s="562"/>
      <c r="T682" s="217">
        <f>IFERROR(__xludf.DUMMYFUNCTION("""COMPUTED_VALUE"""),17.0)</f>
        <v>17</v>
      </c>
      <c r="U682" s="217">
        <f>IFERROR(__xludf.DUMMYFUNCTION("""COMPUTED_VALUE"""),20.0)</f>
        <v>20</v>
      </c>
      <c r="V682" s="217">
        <f>IFERROR(__xludf.DUMMYFUNCTION("""COMPUTED_VALUE"""),86.0)</f>
        <v>86</v>
      </c>
      <c r="W682" s="217">
        <f>IFERROR(__xludf.DUMMYFUNCTION("""COMPUTED_VALUE"""),90.0)</f>
        <v>90</v>
      </c>
      <c r="X682" s="217">
        <f>IFERROR(__xludf.DUMMYFUNCTION("""COMPUTED_VALUE"""),68.0)</f>
        <v>68</v>
      </c>
      <c r="Y682" s="217"/>
      <c r="Z682" s="217"/>
      <c r="AA682" s="481">
        <f>IFERROR(__xludf.DUMMYFUNCTION("""COMPUTED_VALUE"""),23.0)</f>
        <v>23</v>
      </c>
      <c r="AB682" s="481">
        <f>IFERROR(__xludf.DUMMYFUNCTION("""COMPUTED_VALUE"""),20.0)</f>
        <v>20</v>
      </c>
      <c r="AC682" s="481">
        <f>IFERROR(__xludf.DUMMYFUNCTION("""COMPUTED_VALUE"""),44.0)</f>
        <v>44</v>
      </c>
      <c r="AD682" s="481">
        <f>IFERROR(__xludf.DUMMYFUNCTION("""COMPUTED_VALUE"""),1.0)</f>
        <v>1</v>
      </c>
      <c r="AE682" s="481">
        <f>IFERROR(__xludf.DUMMYFUNCTION("""COMPUTED_VALUE"""),70.0)</f>
        <v>70</v>
      </c>
      <c r="AF682" s="481"/>
      <c r="AG682" s="481">
        <f>IFERROR(__xludf.DUMMYFUNCTION("""COMPUTED_VALUE"""),33.0)</f>
        <v>33</v>
      </c>
      <c r="AH682" s="481"/>
      <c r="AI682" s="158"/>
      <c r="AJ682" s="158"/>
      <c r="AK682" s="133">
        <f>IFERROR(__xludf.DUMMYFUNCTION("""COMPUTED_VALUE"""),2.0)</f>
        <v>2</v>
      </c>
      <c r="AL682" s="133">
        <f>IFERROR(__xludf.DUMMYFUNCTION("""COMPUTED_VALUE"""),2.0)</f>
        <v>2</v>
      </c>
      <c r="AM682" s="133">
        <f>IFERROR(__xludf.DUMMYFUNCTION("""COMPUTED_VALUE"""),3.0)</f>
        <v>3</v>
      </c>
      <c r="AN682" s="133" t="str">
        <f>IFERROR(__xludf.DUMMYFUNCTION("""COMPUTED_VALUE"""),"0")</f>
        <v>0</v>
      </c>
      <c r="AO682" s="133">
        <f>IFERROR(__xludf.DUMMYFUNCTION("""COMPUTED_VALUE"""),3.0)</f>
        <v>3</v>
      </c>
      <c r="AP682" s="155" t="s">
        <v>3801</v>
      </c>
    </row>
    <row r="683">
      <c r="A683" s="155">
        <f>IFERROR(__xludf.DUMMYFUNCTION("""COMPUTED_VALUE"""),12.0)</f>
        <v>12</v>
      </c>
      <c r="B683" s="155" t="str">
        <f>IFERROR(__xludf.DUMMYFUNCTION("""COMPUTED_VALUE"""),"bhsh23csaiml@cmrit.ac.in")</f>
        <v>bhsh23csaiml@cmrit.ac.in</v>
      </c>
      <c r="C683" s="174" t="str">
        <f>IFERROR(__xludf.DUMMYFUNCTION("""COMPUTED_VALUE"""),"Bhavani Sharma")</f>
        <v>Bhavani Sharma</v>
      </c>
      <c r="D683" s="155" t="str">
        <f>IFERROR(__xludf.DUMMYFUNCTION("""COMPUTED_VALUE"""),"1CR23CI012")</f>
        <v>1CR23CI012</v>
      </c>
      <c r="E683" s="563">
        <f>IFERROR(__xludf.DUMMYFUNCTION("""COMPUTED_VALUE"""),9.606259608E9)</f>
        <v>9606259608</v>
      </c>
      <c r="F683" s="155" t="str">
        <f>IFERROR(__xludf.DUMMYFUNCTION("""COMPUTED_VALUE"""),"CSE(AIML)")</f>
        <v>CSE(AIML)</v>
      </c>
      <c r="G683" s="158"/>
      <c r="H683" s="559">
        <f>IFERROR(__xludf.DUMMYFUNCTION("""COMPUTED_VALUE"""),87.0)</f>
        <v>87</v>
      </c>
      <c r="I683" s="559">
        <f>IFERROR(__xludf.DUMMYFUNCTION("""COMPUTED_VALUE"""),98.0)</f>
        <v>98</v>
      </c>
      <c r="J683" s="559">
        <f>IFERROR(__xludf.DUMMYFUNCTION("""COMPUTED_VALUE"""),81.0)</f>
        <v>81</v>
      </c>
      <c r="K683" s="559">
        <f>IFERROR(__xludf.DUMMYFUNCTION("""COMPUTED_VALUE"""),83.0)</f>
        <v>83</v>
      </c>
      <c r="L683" s="560">
        <f>IFERROR(__xludf.DUMMYFUNCTION("""COMPUTED_VALUE"""),73.0)</f>
        <v>73</v>
      </c>
      <c r="M683" s="561">
        <f>IFERROR(__xludf.DUMMYFUNCTION("""COMPUTED_VALUE"""),56.0)</f>
        <v>56</v>
      </c>
      <c r="N683" s="561">
        <f>IFERROR(__xludf.DUMMYFUNCTION("""COMPUTED_VALUE"""),58.5)</f>
        <v>58.5</v>
      </c>
      <c r="O683" s="560"/>
      <c r="P683" s="562">
        <f>IFERROR(__xludf.DUMMYFUNCTION("""COMPUTED_VALUE"""),82.0)</f>
        <v>82</v>
      </c>
      <c r="Q683" s="562">
        <f>IFERROR(__xludf.DUMMYFUNCTION("""COMPUTED_VALUE"""),73.0)</f>
        <v>73</v>
      </c>
      <c r="R683" s="562">
        <f>IFERROR(__xludf.DUMMYFUNCTION("""COMPUTED_VALUE"""),94.0)</f>
        <v>94</v>
      </c>
      <c r="S683" s="562"/>
      <c r="T683" s="217">
        <f>IFERROR(__xludf.DUMMYFUNCTION("""COMPUTED_VALUE"""),19.0)</f>
        <v>19</v>
      </c>
      <c r="U683" s="217">
        <f>IFERROR(__xludf.DUMMYFUNCTION("""COMPUTED_VALUE"""),21.0)</f>
        <v>21</v>
      </c>
      <c r="V683" s="217">
        <f>IFERROR(__xludf.DUMMYFUNCTION("""COMPUTED_VALUE"""),90.0)</f>
        <v>90</v>
      </c>
      <c r="W683" s="217">
        <f>IFERROR(__xludf.DUMMYFUNCTION("""COMPUTED_VALUE"""),90.0)</f>
        <v>90</v>
      </c>
      <c r="X683" s="217">
        <f>IFERROR(__xludf.DUMMYFUNCTION("""COMPUTED_VALUE"""),78.0)</f>
        <v>78</v>
      </c>
      <c r="Y683" s="217"/>
      <c r="Z683" s="217"/>
      <c r="AA683" s="481">
        <f>IFERROR(__xludf.DUMMYFUNCTION("""COMPUTED_VALUE"""),74.0)</f>
        <v>74</v>
      </c>
      <c r="AB683" s="481">
        <f>IFERROR(__xludf.DUMMYFUNCTION("""COMPUTED_VALUE"""),100.0)</f>
        <v>100</v>
      </c>
      <c r="AC683" s="481">
        <f>IFERROR(__xludf.DUMMYFUNCTION("""COMPUTED_VALUE"""),98.0)</f>
        <v>98</v>
      </c>
      <c r="AD683" s="481">
        <f>IFERROR(__xludf.DUMMYFUNCTION("""COMPUTED_VALUE"""),65.0)</f>
        <v>65</v>
      </c>
      <c r="AE683" s="481">
        <f>IFERROR(__xludf.DUMMYFUNCTION("""COMPUTED_VALUE"""),95.0)</f>
        <v>95</v>
      </c>
      <c r="AF683" s="481"/>
      <c r="AG683" s="481">
        <f>IFERROR(__xludf.DUMMYFUNCTION("""COMPUTED_VALUE"""),99.0)</f>
        <v>99</v>
      </c>
      <c r="AH683" s="481"/>
      <c r="AI683" s="158"/>
      <c r="AJ683" s="158"/>
      <c r="AK683" s="133">
        <f>IFERROR(__xludf.DUMMYFUNCTION("""COMPUTED_VALUE"""),4.0)</f>
        <v>4</v>
      </c>
      <c r="AL683" s="133">
        <f>IFERROR(__xludf.DUMMYFUNCTION("""COMPUTED_VALUE"""),3.0)</f>
        <v>3</v>
      </c>
      <c r="AM683" s="133">
        <f>IFERROR(__xludf.DUMMYFUNCTION("""COMPUTED_VALUE"""),3.0)</f>
        <v>3</v>
      </c>
      <c r="AN683" s="133" t="str">
        <f>IFERROR(__xludf.DUMMYFUNCTION("""COMPUTED_VALUE"""),"3.5")</f>
        <v>3.5</v>
      </c>
      <c r="AO683" s="133">
        <f>IFERROR(__xludf.DUMMYFUNCTION("""COMPUTED_VALUE"""),3.0)</f>
        <v>3</v>
      </c>
      <c r="AP683" s="155" t="s">
        <v>3801</v>
      </c>
    </row>
    <row r="684">
      <c r="A684" s="155">
        <f>IFERROR(__xludf.DUMMYFUNCTION("""COMPUTED_VALUE"""),13.0)</f>
        <v>13</v>
      </c>
      <c r="B684" s="155" t="str">
        <f>IFERROR(__xludf.DUMMYFUNCTION("""COMPUTED_VALUE"""),"dhmc23csaiml@cmrit.ac.in")</f>
        <v>dhmc23csaiml@cmrit.ac.in</v>
      </c>
      <c r="C684" s="174" t="str">
        <f>IFERROR(__xludf.DUMMYFUNCTION("""COMPUTED_VALUE"""),"Dhanush Gowda M C")</f>
        <v>Dhanush Gowda M C</v>
      </c>
      <c r="D684" s="155" t="str">
        <f>IFERROR(__xludf.DUMMYFUNCTION("""COMPUTED_VALUE"""),"1CR23CI013")</f>
        <v>1CR23CI013</v>
      </c>
      <c r="E684" s="563">
        <f>IFERROR(__xludf.DUMMYFUNCTION("""COMPUTED_VALUE"""),7.411078252E9)</f>
        <v>7411078252</v>
      </c>
      <c r="F684" s="155" t="str">
        <f>IFERROR(__xludf.DUMMYFUNCTION("""COMPUTED_VALUE"""),"CSE(AIML)")</f>
        <v>CSE(AIML)</v>
      </c>
      <c r="G684" s="158"/>
      <c r="H684" s="559">
        <f>IFERROR(__xludf.DUMMYFUNCTION("""COMPUTED_VALUE"""),70.0)</f>
        <v>70</v>
      </c>
      <c r="I684" s="559">
        <f>IFERROR(__xludf.DUMMYFUNCTION("""COMPUTED_VALUE"""),86.0)</f>
        <v>86</v>
      </c>
      <c r="J684" s="559">
        <f>IFERROR(__xludf.DUMMYFUNCTION("""COMPUTED_VALUE"""),76.0)</f>
        <v>76</v>
      </c>
      <c r="K684" s="559">
        <f>IFERROR(__xludf.DUMMYFUNCTION("""COMPUTED_VALUE"""),70.0)</f>
        <v>70</v>
      </c>
      <c r="L684" s="560">
        <f>IFERROR(__xludf.DUMMYFUNCTION("""COMPUTED_VALUE"""),50.0)</f>
        <v>50</v>
      </c>
      <c r="M684" s="561">
        <f>IFERROR(__xludf.DUMMYFUNCTION("""COMPUTED_VALUE"""),54.0)</f>
        <v>54</v>
      </c>
      <c r="N684" s="561">
        <f>IFERROR(__xludf.DUMMYFUNCTION("""COMPUTED_VALUE"""),51.75)</f>
        <v>51.75</v>
      </c>
      <c r="O684" s="560"/>
      <c r="P684" s="562">
        <f>IFERROR(__xludf.DUMMYFUNCTION("""COMPUTED_VALUE"""),50.0)</f>
        <v>50</v>
      </c>
      <c r="Q684" s="562">
        <f>IFERROR(__xludf.DUMMYFUNCTION("""COMPUTED_VALUE"""),67.0)</f>
        <v>67</v>
      </c>
      <c r="R684" s="562">
        <f>IFERROR(__xludf.DUMMYFUNCTION("""COMPUTED_VALUE"""),94.0)</f>
        <v>94</v>
      </c>
      <c r="S684" s="562"/>
      <c r="T684" s="217">
        <f>IFERROR(__xludf.DUMMYFUNCTION("""COMPUTED_VALUE"""),13.0)</f>
        <v>13</v>
      </c>
      <c r="U684" s="217">
        <f>IFERROR(__xludf.DUMMYFUNCTION("""COMPUTED_VALUE"""),24.0)</f>
        <v>24</v>
      </c>
      <c r="V684" s="217">
        <f>IFERROR(__xludf.DUMMYFUNCTION("""COMPUTED_VALUE"""),90.0)</f>
        <v>90</v>
      </c>
      <c r="W684" s="217">
        <f>IFERROR(__xludf.DUMMYFUNCTION("""COMPUTED_VALUE"""),90.0)</f>
        <v>90</v>
      </c>
      <c r="X684" s="217">
        <f>IFERROR(__xludf.DUMMYFUNCTION("""COMPUTED_VALUE"""),72.0)</f>
        <v>72</v>
      </c>
      <c r="Y684" s="217"/>
      <c r="Z684" s="217"/>
      <c r="AA684" s="481">
        <f>IFERROR(__xludf.DUMMYFUNCTION("""COMPUTED_VALUE"""),84.0)</f>
        <v>84</v>
      </c>
      <c r="AB684" s="481">
        <f>IFERROR(__xludf.DUMMYFUNCTION("""COMPUTED_VALUE"""),100.0)</f>
        <v>100</v>
      </c>
      <c r="AC684" s="481">
        <f>IFERROR(__xludf.DUMMYFUNCTION("""COMPUTED_VALUE"""),97.0)</f>
        <v>97</v>
      </c>
      <c r="AD684" s="481">
        <f>IFERROR(__xludf.DUMMYFUNCTION("""COMPUTED_VALUE"""),42.0)</f>
        <v>42</v>
      </c>
      <c r="AE684" s="481">
        <f>IFERROR(__xludf.DUMMYFUNCTION("""COMPUTED_VALUE"""),75.0)</f>
        <v>75</v>
      </c>
      <c r="AF684" s="481"/>
      <c r="AG684" s="481">
        <f>IFERROR(__xludf.DUMMYFUNCTION("""COMPUTED_VALUE"""),50.0)</f>
        <v>50</v>
      </c>
      <c r="AH684" s="481"/>
      <c r="AI684" s="158"/>
      <c r="AJ684" s="158"/>
      <c r="AK684" s="133">
        <f>IFERROR(__xludf.DUMMYFUNCTION("""COMPUTED_VALUE"""),4.0)</f>
        <v>4</v>
      </c>
      <c r="AL684" s="133">
        <f>IFERROR(__xludf.DUMMYFUNCTION("""COMPUTED_VALUE"""),3.0)</f>
        <v>3</v>
      </c>
      <c r="AM684" s="133">
        <f>IFERROR(__xludf.DUMMYFUNCTION("""COMPUTED_VALUE"""),3.0)</f>
        <v>3</v>
      </c>
      <c r="AN684" s="133" t="str">
        <f>IFERROR(__xludf.DUMMYFUNCTION("""COMPUTED_VALUE"""),"3.5")</f>
        <v>3.5</v>
      </c>
      <c r="AO684" s="133">
        <f>IFERROR(__xludf.DUMMYFUNCTION("""COMPUTED_VALUE"""),3.0)</f>
        <v>3</v>
      </c>
      <c r="AP684" s="155" t="s">
        <v>3801</v>
      </c>
    </row>
    <row r="685">
      <c r="A685" s="155">
        <f>IFERROR(__xludf.DUMMYFUNCTION("""COMPUTED_VALUE"""),14.0)</f>
        <v>14</v>
      </c>
      <c r="B685" s="155" t="str">
        <f>IFERROR(__xludf.DUMMYFUNCTION("""COMPUTED_VALUE"""),"fara23csaiml@cmrit.ac.in")</f>
        <v>fara23csaiml@cmrit.ac.in</v>
      </c>
      <c r="C685" s="174" t="str">
        <f>IFERROR(__xludf.DUMMYFUNCTION("""COMPUTED_VALUE"""),"FAIZAN RAZA")</f>
        <v>FAIZAN RAZA</v>
      </c>
      <c r="D685" s="155" t="str">
        <f>IFERROR(__xludf.DUMMYFUNCTION("""COMPUTED_VALUE"""),"1CR23CI014")</f>
        <v>1CR23CI014</v>
      </c>
      <c r="E685" s="563">
        <f>IFERROR(__xludf.DUMMYFUNCTION("""COMPUTED_VALUE"""),7.975397792E9)</f>
        <v>7975397792</v>
      </c>
      <c r="F685" s="155" t="str">
        <f>IFERROR(__xludf.DUMMYFUNCTION("""COMPUTED_VALUE"""),"CSE(AIML)")</f>
        <v>CSE(AIML)</v>
      </c>
      <c r="G685" s="158"/>
      <c r="H685" s="559">
        <f>IFERROR(__xludf.DUMMYFUNCTION("""COMPUTED_VALUE"""),70.0)</f>
        <v>70</v>
      </c>
      <c r="I685" s="559">
        <f>IFERROR(__xludf.DUMMYFUNCTION("""COMPUTED_VALUE"""),76.0)</f>
        <v>76</v>
      </c>
      <c r="J685" s="559">
        <f>IFERROR(__xludf.DUMMYFUNCTION("""COMPUTED_VALUE"""),70.0)</f>
        <v>70</v>
      </c>
      <c r="K685" s="559">
        <f>IFERROR(__xludf.DUMMYFUNCTION("""COMPUTED_VALUE"""),70.0)</f>
        <v>70</v>
      </c>
      <c r="L685" s="560">
        <f>IFERROR(__xludf.DUMMYFUNCTION("""COMPUTED_VALUE"""),50.0)</f>
        <v>50</v>
      </c>
      <c r="M685" s="561">
        <f>IFERROR(__xludf.DUMMYFUNCTION("""COMPUTED_VALUE"""),50.0)</f>
        <v>50</v>
      </c>
      <c r="N685" s="561">
        <f>IFERROR(__xludf.DUMMYFUNCTION("""COMPUTED_VALUE"""),8.25)</f>
        <v>8.25</v>
      </c>
      <c r="O685" s="560"/>
      <c r="P685" s="562">
        <f>IFERROR(__xludf.DUMMYFUNCTION("""COMPUTED_VALUE"""),83.0)</f>
        <v>83</v>
      </c>
      <c r="Q685" s="562">
        <f>IFERROR(__xludf.DUMMYFUNCTION("""COMPUTED_VALUE"""),90.0)</f>
        <v>90</v>
      </c>
      <c r="R685" s="562">
        <f>IFERROR(__xludf.DUMMYFUNCTION("""COMPUTED_VALUE"""),80.0)</f>
        <v>80</v>
      </c>
      <c r="S685" s="562"/>
      <c r="T685" s="217">
        <f>IFERROR(__xludf.DUMMYFUNCTION("""COMPUTED_VALUE"""),21.0)</f>
        <v>21</v>
      </c>
      <c r="U685" s="217">
        <f>IFERROR(__xludf.DUMMYFUNCTION("""COMPUTED_VALUE"""),25.0)</f>
        <v>25</v>
      </c>
      <c r="V685" s="217">
        <f>IFERROR(__xludf.DUMMYFUNCTION("""COMPUTED_VALUE"""),92.0)</f>
        <v>92</v>
      </c>
      <c r="W685" s="217">
        <f>IFERROR(__xludf.DUMMYFUNCTION("""COMPUTED_VALUE"""),90.0)</f>
        <v>90</v>
      </c>
      <c r="X685" s="217">
        <f>IFERROR(__xludf.DUMMYFUNCTION("""COMPUTED_VALUE"""),68.0)</f>
        <v>68</v>
      </c>
      <c r="Y685" s="217"/>
      <c r="Z685" s="217"/>
      <c r="AA685" s="481">
        <f>IFERROR(__xludf.DUMMYFUNCTION("""COMPUTED_VALUE"""),8.0)</f>
        <v>8</v>
      </c>
      <c r="AB685" s="481">
        <f>IFERROR(__xludf.DUMMYFUNCTION("""COMPUTED_VALUE"""),57.0)</f>
        <v>57</v>
      </c>
      <c r="AC685" s="481">
        <f>IFERROR(__xludf.DUMMYFUNCTION("""COMPUTED_VALUE"""),84.0)</f>
        <v>84</v>
      </c>
      <c r="AD685" s="481">
        <f>IFERROR(__xludf.DUMMYFUNCTION("""COMPUTED_VALUE"""),60.0)</f>
        <v>60</v>
      </c>
      <c r="AE685" s="481">
        <f>IFERROR(__xludf.DUMMYFUNCTION("""COMPUTED_VALUE"""),10.0)</f>
        <v>10</v>
      </c>
      <c r="AF685" s="481"/>
      <c r="AG685" s="481">
        <f>IFERROR(__xludf.DUMMYFUNCTION("""COMPUTED_VALUE"""),60.0)</f>
        <v>60</v>
      </c>
      <c r="AH685" s="481"/>
      <c r="AI685" s="158"/>
      <c r="AJ685" s="158"/>
      <c r="AK685" s="133">
        <f>IFERROR(__xludf.DUMMYFUNCTION("""COMPUTED_VALUE"""),4.0)</f>
        <v>4</v>
      </c>
      <c r="AL685" s="133">
        <f>IFERROR(__xludf.DUMMYFUNCTION("""COMPUTED_VALUE"""),2.0)</f>
        <v>2</v>
      </c>
      <c r="AM685" s="133">
        <f>IFERROR(__xludf.DUMMYFUNCTION("""COMPUTED_VALUE"""),3.0)</f>
        <v>3</v>
      </c>
      <c r="AN685" s="133" t="str">
        <f>IFERROR(__xludf.DUMMYFUNCTION("""COMPUTED_VALUE"""),"3")</f>
        <v>3</v>
      </c>
      <c r="AO685" s="133">
        <f>IFERROR(__xludf.DUMMYFUNCTION("""COMPUTED_VALUE"""),3.0)</f>
        <v>3</v>
      </c>
      <c r="AP685" s="155" t="s">
        <v>3801</v>
      </c>
    </row>
    <row r="686">
      <c r="A686" s="155">
        <f>IFERROR(__xludf.DUMMYFUNCTION("""COMPUTED_VALUE"""),15.0)</f>
        <v>15</v>
      </c>
      <c r="B686" s="155" t="str">
        <f>IFERROR(__xludf.DUMMYFUNCTION("""COMPUTED_VALUE"""),"gayo23csaiml@cmrit.ac.in")</f>
        <v>gayo23csaiml@cmrit.ac.in</v>
      </c>
      <c r="C686" s="174" t="str">
        <f>IFERROR(__xludf.DUMMYFUNCTION("""COMPUTED_VALUE"""),"GAJJALA YOGAKIRAN")</f>
        <v>GAJJALA YOGAKIRAN</v>
      </c>
      <c r="D686" s="155" t="str">
        <f>IFERROR(__xludf.DUMMYFUNCTION("""COMPUTED_VALUE"""),"1CR23CI015")</f>
        <v>1CR23CI015</v>
      </c>
      <c r="E686" s="563">
        <f>IFERROR(__xludf.DUMMYFUNCTION("""COMPUTED_VALUE"""),6.304364053E9)</f>
        <v>6304364053</v>
      </c>
      <c r="F686" s="155" t="str">
        <f>IFERROR(__xludf.DUMMYFUNCTION("""COMPUTED_VALUE"""),"CSE(AIML)")</f>
        <v>CSE(AIML)</v>
      </c>
      <c r="G686" s="158"/>
      <c r="H686" s="559">
        <f>IFERROR(__xludf.DUMMYFUNCTION("""COMPUTED_VALUE"""),70.0)</f>
        <v>70</v>
      </c>
      <c r="I686" s="559">
        <f>IFERROR(__xludf.DUMMYFUNCTION("""COMPUTED_VALUE"""),78.0)</f>
        <v>78</v>
      </c>
      <c r="J686" s="559">
        <f>IFERROR(__xludf.DUMMYFUNCTION("""COMPUTED_VALUE"""),70.0)</f>
        <v>70</v>
      </c>
      <c r="K686" s="559">
        <f>IFERROR(__xludf.DUMMYFUNCTION("""COMPUTED_VALUE"""),70.0)</f>
        <v>70</v>
      </c>
      <c r="L686" s="560">
        <f>IFERROR(__xludf.DUMMYFUNCTION("""COMPUTED_VALUE"""),50.0)</f>
        <v>50</v>
      </c>
      <c r="M686" s="561">
        <f>IFERROR(__xludf.DUMMYFUNCTION("""COMPUTED_VALUE"""),50.0)</f>
        <v>50</v>
      </c>
      <c r="N686" s="561">
        <f>IFERROR(__xludf.DUMMYFUNCTION("""COMPUTED_VALUE"""),50.0)</f>
        <v>50</v>
      </c>
      <c r="O686" s="560"/>
      <c r="P686" s="562">
        <f>IFERROR(__xludf.DUMMYFUNCTION("""COMPUTED_VALUE"""),73.0)</f>
        <v>73</v>
      </c>
      <c r="Q686" s="562">
        <f>IFERROR(__xludf.DUMMYFUNCTION("""COMPUTED_VALUE"""),50.0)</f>
        <v>50</v>
      </c>
      <c r="R686" s="562">
        <f>IFERROR(__xludf.DUMMYFUNCTION("""COMPUTED_VALUE"""),91.0)</f>
        <v>91</v>
      </c>
      <c r="S686" s="562"/>
      <c r="T686" s="217">
        <f>IFERROR(__xludf.DUMMYFUNCTION("""COMPUTED_VALUE"""),12.0)</f>
        <v>12</v>
      </c>
      <c r="U686" s="217">
        <f>IFERROR(__xludf.DUMMYFUNCTION("""COMPUTED_VALUE"""),24.0)</f>
        <v>24</v>
      </c>
      <c r="V686" s="217">
        <f>IFERROR(__xludf.DUMMYFUNCTION("""COMPUTED_VALUE"""),92.0)</f>
        <v>92</v>
      </c>
      <c r="W686" s="217">
        <f>IFERROR(__xludf.DUMMYFUNCTION("""COMPUTED_VALUE"""),90.0)</f>
        <v>90</v>
      </c>
      <c r="X686" s="217">
        <f>IFERROR(__xludf.DUMMYFUNCTION("""COMPUTED_VALUE"""),70.0)</f>
        <v>70</v>
      </c>
      <c r="Y686" s="217"/>
      <c r="Z686" s="217"/>
      <c r="AA686" s="481">
        <f>IFERROR(__xludf.DUMMYFUNCTION("""COMPUTED_VALUE"""),54.0)</f>
        <v>54</v>
      </c>
      <c r="AB686" s="481">
        <f>IFERROR(__xludf.DUMMYFUNCTION("""COMPUTED_VALUE"""),71.0)</f>
        <v>71</v>
      </c>
      <c r="AC686" s="481">
        <f>IFERROR(__xludf.DUMMYFUNCTION("""COMPUTED_VALUE"""),62.0)</f>
        <v>62</v>
      </c>
      <c r="AD686" s="481">
        <f>IFERROR(__xludf.DUMMYFUNCTION("""COMPUTED_VALUE"""),60.0)</f>
        <v>60</v>
      </c>
      <c r="AE686" s="481">
        <f>IFERROR(__xludf.DUMMYFUNCTION("""COMPUTED_VALUE"""),31.0)</f>
        <v>31</v>
      </c>
      <c r="AF686" s="481"/>
      <c r="AG686" s="481">
        <f>IFERROR(__xludf.DUMMYFUNCTION("""COMPUTED_VALUE"""),70.0)</f>
        <v>70</v>
      </c>
      <c r="AH686" s="481"/>
      <c r="AI686" s="158"/>
      <c r="AJ686" s="158"/>
      <c r="AK686" s="133">
        <f>IFERROR(__xludf.DUMMYFUNCTION("""COMPUTED_VALUE"""),4.0)</f>
        <v>4</v>
      </c>
      <c r="AL686" s="133">
        <f>IFERROR(__xludf.DUMMYFUNCTION("""COMPUTED_VALUE"""),3.0)</f>
        <v>3</v>
      </c>
      <c r="AM686" s="133">
        <f>IFERROR(__xludf.DUMMYFUNCTION("""COMPUTED_VALUE"""),3.0)</f>
        <v>3</v>
      </c>
      <c r="AN686" s="133" t="str">
        <f>IFERROR(__xludf.DUMMYFUNCTION("""COMPUTED_VALUE"""),"3")</f>
        <v>3</v>
      </c>
      <c r="AO686" s="133">
        <f>IFERROR(__xludf.DUMMYFUNCTION("""COMPUTED_VALUE"""),3.0)</f>
        <v>3</v>
      </c>
      <c r="AP686" s="155" t="s">
        <v>3801</v>
      </c>
    </row>
    <row r="687">
      <c r="A687" s="155">
        <f>IFERROR(__xludf.DUMMYFUNCTION("""COMPUTED_VALUE"""),16.0)</f>
        <v>16</v>
      </c>
      <c r="B687" s="155" t="str">
        <f>IFERROR(__xludf.DUMMYFUNCTION("""COMPUTED_VALUE"""),"gabr23csaiml@cmrit.ac.in")</f>
        <v>gabr23csaiml@cmrit.ac.in</v>
      </c>
      <c r="C687" s="174" t="str">
        <f>IFERROR(__xludf.DUMMYFUNCTION("""COMPUTED_VALUE"""),"GAYATHRI BR")</f>
        <v>GAYATHRI BR</v>
      </c>
      <c r="D687" s="155" t="str">
        <f>IFERROR(__xludf.DUMMYFUNCTION("""COMPUTED_VALUE"""),"1CR23CI016")</f>
        <v>1CR23CI016</v>
      </c>
      <c r="E687" s="563">
        <f>IFERROR(__xludf.DUMMYFUNCTION("""COMPUTED_VALUE"""),6.362055403E9)</f>
        <v>6362055403</v>
      </c>
      <c r="F687" s="155" t="str">
        <f>IFERROR(__xludf.DUMMYFUNCTION("""COMPUTED_VALUE"""),"CSE(AIML)")</f>
        <v>CSE(AIML)</v>
      </c>
      <c r="G687" s="158"/>
      <c r="H687" s="559">
        <f>IFERROR(__xludf.DUMMYFUNCTION("""COMPUTED_VALUE"""),71.0)</f>
        <v>71</v>
      </c>
      <c r="I687" s="559">
        <f>IFERROR(__xludf.DUMMYFUNCTION("""COMPUTED_VALUE"""),92.0)</f>
        <v>92</v>
      </c>
      <c r="J687" s="559">
        <f>IFERROR(__xludf.DUMMYFUNCTION("""COMPUTED_VALUE"""),86.0)</f>
        <v>86</v>
      </c>
      <c r="K687" s="559">
        <f>IFERROR(__xludf.DUMMYFUNCTION("""COMPUTED_VALUE"""),75.0)</f>
        <v>75</v>
      </c>
      <c r="L687" s="560">
        <f>IFERROR(__xludf.DUMMYFUNCTION("""COMPUTED_VALUE"""),50.0)</f>
        <v>50</v>
      </c>
      <c r="M687" s="561">
        <f>IFERROR(__xludf.DUMMYFUNCTION("""COMPUTED_VALUE"""),52.0)</f>
        <v>52</v>
      </c>
      <c r="N687" s="561">
        <f>IFERROR(__xludf.DUMMYFUNCTION("""COMPUTED_VALUE"""),50.0)</f>
        <v>50</v>
      </c>
      <c r="O687" s="560"/>
      <c r="P687" s="562">
        <f>IFERROR(__xludf.DUMMYFUNCTION("""COMPUTED_VALUE"""),80.0)</f>
        <v>80</v>
      </c>
      <c r="Q687" s="562">
        <f>IFERROR(__xludf.DUMMYFUNCTION("""COMPUTED_VALUE"""),70.0)</f>
        <v>70</v>
      </c>
      <c r="R687" s="562">
        <f>IFERROR(__xludf.DUMMYFUNCTION("""COMPUTED_VALUE"""),91.0)</f>
        <v>91</v>
      </c>
      <c r="S687" s="562"/>
      <c r="T687" s="217">
        <f>IFERROR(__xludf.DUMMYFUNCTION("""COMPUTED_VALUE"""),16.0)</f>
        <v>16</v>
      </c>
      <c r="U687" s="217">
        <f>IFERROR(__xludf.DUMMYFUNCTION("""COMPUTED_VALUE"""),22.0)</f>
        <v>22</v>
      </c>
      <c r="V687" s="217">
        <f>IFERROR(__xludf.DUMMYFUNCTION("""COMPUTED_VALUE"""),92.0)</f>
        <v>92</v>
      </c>
      <c r="W687" s="217">
        <f>IFERROR(__xludf.DUMMYFUNCTION("""COMPUTED_VALUE"""),90.0)</f>
        <v>90</v>
      </c>
      <c r="X687" s="217">
        <f>IFERROR(__xludf.DUMMYFUNCTION("""COMPUTED_VALUE"""),80.0)</f>
        <v>80</v>
      </c>
      <c r="Y687" s="217"/>
      <c r="Z687" s="217"/>
      <c r="AA687" s="481">
        <f>IFERROR(__xludf.DUMMYFUNCTION("""COMPUTED_VALUE"""),62.0)</f>
        <v>62</v>
      </c>
      <c r="AB687" s="481">
        <f>IFERROR(__xludf.DUMMYFUNCTION("""COMPUTED_VALUE"""),93.0)</f>
        <v>93</v>
      </c>
      <c r="AC687" s="481">
        <f>IFERROR(__xludf.DUMMYFUNCTION("""COMPUTED_VALUE"""),63.0)</f>
        <v>63</v>
      </c>
      <c r="AD687" s="481">
        <f>IFERROR(__xludf.DUMMYFUNCTION("""COMPUTED_VALUE"""),85.0)</f>
        <v>85</v>
      </c>
      <c r="AE687" s="481">
        <f>IFERROR(__xludf.DUMMYFUNCTION("""COMPUTED_VALUE"""),77.0)</f>
        <v>77</v>
      </c>
      <c r="AF687" s="481"/>
      <c r="AG687" s="481">
        <f>IFERROR(__xludf.DUMMYFUNCTION("""COMPUTED_VALUE"""),76.0)</f>
        <v>76</v>
      </c>
      <c r="AH687" s="481"/>
      <c r="AI687" s="158"/>
      <c r="AJ687" s="158"/>
      <c r="AK687" s="133">
        <f>IFERROR(__xludf.DUMMYFUNCTION("""COMPUTED_VALUE"""),4.0)</f>
        <v>4</v>
      </c>
      <c r="AL687" s="133">
        <f>IFERROR(__xludf.DUMMYFUNCTION("""COMPUTED_VALUE"""),3.0)</f>
        <v>3</v>
      </c>
      <c r="AM687" s="133">
        <f>IFERROR(__xludf.DUMMYFUNCTION("""COMPUTED_VALUE"""),3.0)</f>
        <v>3</v>
      </c>
      <c r="AN687" s="133" t="str">
        <f>IFERROR(__xludf.DUMMYFUNCTION("""COMPUTED_VALUE"""),"3.5")</f>
        <v>3.5</v>
      </c>
      <c r="AO687" s="133">
        <f>IFERROR(__xludf.DUMMYFUNCTION("""COMPUTED_VALUE"""),3.0)</f>
        <v>3</v>
      </c>
      <c r="AP687" s="155" t="s">
        <v>3801</v>
      </c>
    </row>
    <row r="688">
      <c r="A688" s="155">
        <f>IFERROR(__xludf.DUMMYFUNCTION("""COMPUTED_VALUE"""),17.0)</f>
        <v>17</v>
      </c>
      <c r="B688" s="155" t="str">
        <f>IFERROR(__xludf.DUMMYFUNCTION("""COMPUTED_VALUE"""),"hech23csaiml@cmrit.ac.in")</f>
        <v>hech23csaiml@cmrit.ac.in</v>
      </c>
      <c r="C688" s="174" t="str">
        <f>IFERROR(__xludf.DUMMYFUNCTION("""COMPUTED_VALUE"""),"HEMASRI CHALLA")</f>
        <v>HEMASRI CHALLA</v>
      </c>
      <c r="D688" s="155" t="str">
        <f>IFERROR(__xludf.DUMMYFUNCTION("""COMPUTED_VALUE"""),"1CR23CI017")</f>
        <v>1CR23CI017</v>
      </c>
      <c r="E688" s="563">
        <f>IFERROR(__xludf.DUMMYFUNCTION("""COMPUTED_VALUE"""),8.317455379E9)</f>
        <v>8317455379</v>
      </c>
      <c r="F688" s="155" t="str">
        <f>IFERROR(__xludf.DUMMYFUNCTION("""COMPUTED_VALUE"""),"CSE(AIML)")</f>
        <v>CSE(AIML)</v>
      </c>
      <c r="G688" s="158"/>
      <c r="H688" s="559">
        <f>IFERROR(__xludf.DUMMYFUNCTION("""COMPUTED_VALUE"""),83.0)</f>
        <v>83</v>
      </c>
      <c r="I688" s="559">
        <f>IFERROR(__xludf.DUMMYFUNCTION("""COMPUTED_VALUE"""),89.0)</f>
        <v>89</v>
      </c>
      <c r="J688" s="559">
        <f>IFERROR(__xludf.DUMMYFUNCTION("""COMPUTED_VALUE"""),70.0)</f>
        <v>70</v>
      </c>
      <c r="K688" s="559">
        <f>IFERROR(__xludf.DUMMYFUNCTION("""COMPUTED_VALUE"""),71.0)</f>
        <v>71</v>
      </c>
      <c r="L688" s="560">
        <f>IFERROR(__xludf.DUMMYFUNCTION("""COMPUTED_VALUE"""),50.0)</f>
        <v>50</v>
      </c>
      <c r="M688" s="561">
        <f>IFERROR(__xludf.DUMMYFUNCTION("""COMPUTED_VALUE"""),55.0)</f>
        <v>55</v>
      </c>
      <c r="N688" s="561">
        <f>IFERROR(__xludf.DUMMYFUNCTION("""COMPUTED_VALUE"""),61.25)</f>
        <v>61.25</v>
      </c>
      <c r="O688" s="560"/>
      <c r="P688" s="562">
        <f>IFERROR(__xludf.DUMMYFUNCTION("""COMPUTED_VALUE"""),80.0)</f>
        <v>80</v>
      </c>
      <c r="Q688" s="562">
        <f>IFERROR(__xludf.DUMMYFUNCTION("""COMPUTED_VALUE"""),75.0)</f>
        <v>75</v>
      </c>
      <c r="R688" s="562">
        <f>IFERROR(__xludf.DUMMYFUNCTION("""COMPUTED_VALUE"""),93.0)</f>
        <v>93</v>
      </c>
      <c r="S688" s="562"/>
      <c r="T688" s="217">
        <f>IFERROR(__xludf.DUMMYFUNCTION("""COMPUTED_VALUE"""),14.0)</f>
        <v>14</v>
      </c>
      <c r="U688" s="217">
        <f>IFERROR(__xludf.DUMMYFUNCTION("""COMPUTED_VALUE"""),24.0)</f>
        <v>24</v>
      </c>
      <c r="V688" s="217">
        <f>IFERROR(__xludf.DUMMYFUNCTION("""COMPUTED_VALUE"""),92.0)</f>
        <v>92</v>
      </c>
      <c r="W688" s="217">
        <f>IFERROR(__xludf.DUMMYFUNCTION("""COMPUTED_VALUE"""),90.0)</f>
        <v>90</v>
      </c>
      <c r="X688" s="217">
        <f>IFERROR(__xludf.DUMMYFUNCTION("""COMPUTED_VALUE"""),64.0)</f>
        <v>64</v>
      </c>
      <c r="Y688" s="217"/>
      <c r="Z688" s="217"/>
      <c r="AA688" s="481">
        <f>IFERROR(__xludf.DUMMYFUNCTION("""COMPUTED_VALUE"""),79.0)</f>
        <v>79</v>
      </c>
      <c r="AB688" s="481">
        <f>IFERROR(__xludf.DUMMYFUNCTION("""COMPUTED_VALUE"""),97.0)</f>
        <v>97</v>
      </c>
      <c r="AC688" s="481">
        <f>IFERROR(__xludf.DUMMYFUNCTION("""COMPUTED_VALUE"""),62.0)</f>
        <v>62</v>
      </c>
      <c r="AD688" s="481">
        <f>IFERROR(__xludf.DUMMYFUNCTION("""COMPUTED_VALUE"""),60.0)</f>
        <v>60</v>
      </c>
      <c r="AE688" s="481">
        <f>IFERROR(__xludf.DUMMYFUNCTION("""COMPUTED_VALUE"""),75.0)</f>
        <v>75</v>
      </c>
      <c r="AF688" s="481"/>
      <c r="AG688" s="481">
        <f>IFERROR(__xludf.DUMMYFUNCTION("""COMPUTED_VALUE"""),78.0)</f>
        <v>78</v>
      </c>
      <c r="AH688" s="481"/>
      <c r="AI688" s="158"/>
      <c r="AJ688" s="158"/>
      <c r="AK688" s="133">
        <f>IFERROR(__xludf.DUMMYFUNCTION("""COMPUTED_VALUE"""),4.0)</f>
        <v>4</v>
      </c>
      <c r="AL688" s="133">
        <f>IFERROR(__xludf.DUMMYFUNCTION("""COMPUTED_VALUE"""),3.0)</f>
        <v>3</v>
      </c>
      <c r="AM688" s="133">
        <f>IFERROR(__xludf.DUMMYFUNCTION("""COMPUTED_VALUE"""),3.0)</f>
        <v>3</v>
      </c>
      <c r="AN688" s="133" t="str">
        <f>IFERROR(__xludf.DUMMYFUNCTION("""COMPUTED_VALUE"""),"3.5")</f>
        <v>3.5</v>
      </c>
      <c r="AO688" s="133">
        <f>IFERROR(__xludf.DUMMYFUNCTION("""COMPUTED_VALUE"""),3.0)</f>
        <v>3</v>
      </c>
      <c r="AP688" s="155" t="s">
        <v>3801</v>
      </c>
    </row>
    <row r="689">
      <c r="A689" s="155">
        <f>IFERROR(__xludf.DUMMYFUNCTION("""COMPUTED_VALUE"""),18.0)</f>
        <v>18</v>
      </c>
      <c r="B689" s="155" t="str">
        <f>IFERROR(__xludf.DUMMYFUNCTION("""COMPUTED_VALUE"""),"itch23csaiml@cmrit.ac.in")</f>
        <v>itch23csaiml@cmrit.ac.in</v>
      </c>
      <c r="C689" s="174" t="str">
        <f>IFERROR(__xludf.DUMMYFUNCTION("""COMPUTED_VALUE"""),"ITHA NITEESH CHANDRA")</f>
        <v>ITHA NITEESH CHANDRA</v>
      </c>
      <c r="D689" s="155" t="str">
        <f>IFERROR(__xludf.DUMMYFUNCTION("""COMPUTED_VALUE"""),"1CR23CI018")</f>
        <v>1CR23CI018</v>
      </c>
      <c r="E689" s="563">
        <f>IFERROR(__xludf.DUMMYFUNCTION("""COMPUTED_VALUE"""),8.309123535E9)</f>
        <v>8309123535</v>
      </c>
      <c r="F689" s="155" t="str">
        <f>IFERROR(__xludf.DUMMYFUNCTION("""COMPUTED_VALUE"""),"CSE(AIML)")</f>
        <v>CSE(AIML)</v>
      </c>
      <c r="G689" s="158"/>
      <c r="H689" s="559">
        <f>IFERROR(__xludf.DUMMYFUNCTION("""COMPUTED_VALUE"""),89.0)</f>
        <v>89</v>
      </c>
      <c r="I689" s="559">
        <f>IFERROR(__xludf.DUMMYFUNCTION("""COMPUTED_VALUE"""),86.0)</f>
        <v>86</v>
      </c>
      <c r="J689" s="559">
        <f>IFERROR(__xludf.DUMMYFUNCTION("""COMPUTED_VALUE"""),70.0)</f>
        <v>70</v>
      </c>
      <c r="K689" s="559">
        <f>IFERROR(__xludf.DUMMYFUNCTION("""COMPUTED_VALUE"""),82.0)</f>
        <v>82</v>
      </c>
      <c r="L689" s="560">
        <f>IFERROR(__xludf.DUMMYFUNCTION("""COMPUTED_VALUE"""),50.0)</f>
        <v>50</v>
      </c>
      <c r="M689" s="561">
        <f>IFERROR(__xludf.DUMMYFUNCTION("""COMPUTED_VALUE"""),50.0)</f>
        <v>50</v>
      </c>
      <c r="N689" s="561">
        <f>IFERROR(__xludf.DUMMYFUNCTION("""COMPUTED_VALUE"""),50.0)</f>
        <v>50</v>
      </c>
      <c r="O689" s="560"/>
      <c r="P689" s="562">
        <f>IFERROR(__xludf.DUMMYFUNCTION("""COMPUTED_VALUE"""),76.0)</f>
        <v>76</v>
      </c>
      <c r="Q689" s="562">
        <f>IFERROR(__xludf.DUMMYFUNCTION("""COMPUTED_VALUE"""),53.0)</f>
        <v>53</v>
      </c>
      <c r="R689" s="562">
        <f>IFERROR(__xludf.DUMMYFUNCTION("""COMPUTED_VALUE"""),94.0)</f>
        <v>94</v>
      </c>
      <c r="S689" s="562"/>
      <c r="T689" s="217">
        <f>IFERROR(__xludf.DUMMYFUNCTION("""COMPUTED_VALUE"""),14.0)</f>
        <v>14</v>
      </c>
      <c r="U689" s="217">
        <f>IFERROR(__xludf.DUMMYFUNCTION("""COMPUTED_VALUE"""),24.0)</f>
        <v>24</v>
      </c>
      <c r="V689" s="217">
        <f>IFERROR(__xludf.DUMMYFUNCTION("""COMPUTED_VALUE"""),90.0)</f>
        <v>90</v>
      </c>
      <c r="W689" s="217">
        <f>IFERROR(__xludf.DUMMYFUNCTION("""COMPUTED_VALUE"""),88.0)</f>
        <v>88</v>
      </c>
      <c r="X689" s="217">
        <f>IFERROR(__xludf.DUMMYFUNCTION("""COMPUTED_VALUE"""),76.0)</f>
        <v>76</v>
      </c>
      <c r="Y689" s="217"/>
      <c r="Z689" s="217"/>
      <c r="AA689" s="481">
        <f>IFERROR(__xludf.DUMMYFUNCTION("""COMPUTED_VALUE"""),50.0)</f>
        <v>50</v>
      </c>
      <c r="AB689" s="481">
        <f>IFERROR(__xludf.DUMMYFUNCTION("""COMPUTED_VALUE"""),100.0)</f>
        <v>100</v>
      </c>
      <c r="AC689" s="481">
        <f>IFERROR(__xludf.DUMMYFUNCTION("""COMPUTED_VALUE"""),78.0)</f>
        <v>78</v>
      </c>
      <c r="AD689" s="481">
        <f>IFERROR(__xludf.DUMMYFUNCTION("""COMPUTED_VALUE"""),90.0)</f>
        <v>90</v>
      </c>
      <c r="AE689" s="481">
        <f>IFERROR(__xludf.DUMMYFUNCTION("""COMPUTED_VALUE"""),75.0)</f>
        <v>75</v>
      </c>
      <c r="AF689" s="481"/>
      <c r="AG689" s="481">
        <f>IFERROR(__xludf.DUMMYFUNCTION("""COMPUTED_VALUE"""),82.0)</f>
        <v>82</v>
      </c>
      <c r="AH689" s="481"/>
      <c r="AI689" s="158"/>
      <c r="AJ689" s="158"/>
      <c r="AK689" s="133">
        <f>IFERROR(__xludf.DUMMYFUNCTION("""COMPUTED_VALUE"""),4.0)</f>
        <v>4</v>
      </c>
      <c r="AL689" s="133">
        <f>IFERROR(__xludf.DUMMYFUNCTION("""COMPUTED_VALUE"""),3.0)</f>
        <v>3</v>
      </c>
      <c r="AM689" s="133">
        <f>IFERROR(__xludf.DUMMYFUNCTION("""COMPUTED_VALUE"""),3.0)</f>
        <v>3</v>
      </c>
      <c r="AN689" s="133" t="str">
        <f>IFERROR(__xludf.DUMMYFUNCTION("""COMPUTED_VALUE"""),"3.5")</f>
        <v>3.5</v>
      </c>
      <c r="AO689" s="133">
        <f>IFERROR(__xludf.DUMMYFUNCTION("""COMPUTED_VALUE"""),3.0)</f>
        <v>3</v>
      </c>
      <c r="AP689" s="155" t="s">
        <v>3801</v>
      </c>
    </row>
    <row r="690">
      <c r="A690" s="155">
        <f>IFERROR(__xludf.DUMMYFUNCTION("""COMPUTED_VALUE"""),19.0)</f>
        <v>19</v>
      </c>
      <c r="B690" s="155" t="str">
        <f>IFERROR(__xludf.DUMMYFUNCTION("""COMPUTED_VALUE"""),"kya23csaiml@cmrit.ac.in")</f>
        <v>kya23csaiml@cmrit.ac.in</v>
      </c>
      <c r="C690" s="174" t="str">
        <f>IFERROR(__xludf.DUMMYFUNCTION("""COMPUTED_VALUE"""),"K Yashwanth Kumar ")</f>
        <v>K Yashwanth Kumar </v>
      </c>
      <c r="D690" s="155" t="str">
        <f>IFERROR(__xludf.DUMMYFUNCTION("""COMPUTED_VALUE"""),"1CR23CI019")</f>
        <v>1CR23CI019</v>
      </c>
      <c r="E690" s="563">
        <f>IFERROR(__xludf.DUMMYFUNCTION("""COMPUTED_VALUE"""),8.217339178E9)</f>
        <v>8217339178</v>
      </c>
      <c r="F690" s="155" t="str">
        <f>IFERROR(__xludf.DUMMYFUNCTION("""COMPUTED_VALUE"""),"CSE(AIML)")</f>
        <v>CSE(AIML)</v>
      </c>
      <c r="G690" s="158"/>
      <c r="H690" s="559">
        <f>IFERROR(__xludf.DUMMYFUNCTION("""COMPUTED_VALUE"""),76.0)</f>
        <v>76</v>
      </c>
      <c r="I690" s="559">
        <f>IFERROR(__xludf.DUMMYFUNCTION("""COMPUTED_VALUE"""),83.0)</f>
        <v>83</v>
      </c>
      <c r="J690" s="559">
        <f>IFERROR(__xludf.DUMMYFUNCTION("""COMPUTED_VALUE"""),78.0)</f>
        <v>78</v>
      </c>
      <c r="K690" s="559">
        <f>IFERROR(__xludf.DUMMYFUNCTION("""COMPUTED_VALUE"""),70.0)</f>
        <v>70</v>
      </c>
      <c r="L690" s="560">
        <f>IFERROR(__xludf.DUMMYFUNCTION("""COMPUTED_VALUE"""),43.0)</f>
        <v>43</v>
      </c>
      <c r="M690" s="561">
        <f>IFERROR(__xludf.DUMMYFUNCTION("""COMPUTED_VALUE"""),50.0)</f>
        <v>50</v>
      </c>
      <c r="N690" s="561">
        <f>IFERROR(__xludf.DUMMYFUNCTION("""COMPUTED_VALUE"""),50.0)</f>
        <v>50</v>
      </c>
      <c r="O690" s="560"/>
      <c r="P690" s="562">
        <f>IFERROR(__xludf.DUMMYFUNCTION("""COMPUTED_VALUE"""),83.0)</f>
        <v>83</v>
      </c>
      <c r="Q690" s="562">
        <f>IFERROR(__xludf.DUMMYFUNCTION("""COMPUTED_VALUE"""),90.0)</f>
        <v>90</v>
      </c>
      <c r="R690" s="562">
        <f>IFERROR(__xludf.DUMMYFUNCTION("""COMPUTED_VALUE"""),93.0)</f>
        <v>93</v>
      </c>
      <c r="S690" s="562"/>
      <c r="T690" s="217">
        <f>IFERROR(__xludf.DUMMYFUNCTION("""COMPUTED_VALUE"""),13.0)</f>
        <v>13</v>
      </c>
      <c r="U690" s="217">
        <f>IFERROR(__xludf.DUMMYFUNCTION("""COMPUTED_VALUE"""),24.0)</f>
        <v>24</v>
      </c>
      <c r="V690" s="217">
        <f>IFERROR(__xludf.DUMMYFUNCTION("""COMPUTED_VALUE"""),88.0)</f>
        <v>88</v>
      </c>
      <c r="W690" s="217">
        <f>IFERROR(__xludf.DUMMYFUNCTION("""COMPUTED_VALUE"""),90.0)</f>
        <v>90</v>
      </c>
      <c r="X690" s="217">
        <f>IFERROR(__xludf.DUMMYFUNCTION("""COMPUTED_VALUE"""),80.0)</f>
        <v>80</v>
      </c>
      <c r="Y690" s="217"/>
      <c r="Z690" s="217"/>
      <c r="AA690" s="481">
        <f>IFERROR(__xludf.DUMMYFUNCTION("""COMPUTED_VALUE"""),92.0)</f>
        <v>92</v>
      </c>
      <c r="AB690" s="481">
        <f>IFERROR(__xludf.DUMMYFUNCTION("""COMPUTED_VALUE"""),91.0)</f>
        <v>91</v>
      </c>
      <c r="AC690" s="481">
        <f>IFERROR(__xludf.DUMMYFUNCTION("""COMPUTED_VALUE"""),82.0)</f>
        <v>82</v>
      </c>
      <c r="AD690" s="481">
        <f>IFERROR(__xludf.DUMMYFUNCTION("""COMPUTED_VALUE"""),60.0)</f>
        <v>60</v>
      </c>
      <c r="AE690" s="481">
        <f>IFERROR(__xludf.DUMMYFUNCTION("""COMPUTED_VALUE"""),55.0)</f>
        <v>55</v>
      </c>
      <c r="AF690" s="481"/>
      <c r="AG690" s="481">
        <f>IFERROR(__xludf.DUMMYFUNCTION("""COMPUTED_VALUE"""),82.0)</f>
        <v>82</v>
      </c>
      <c r="AH690" s="481"/>
      <c r="AI690" s="158"/>
      <c r="AJ690" s="158"/>
      <c r="AK690" s="133">
        <f>IFERROR(__xludf.DUMMYFUNCTION("""COMPUTED_VALUE"""),4.0)</f>
        <v>4</v>
      </c>
      <c r="AL690" s="133">
        <f>IFERROR(__xludf.DUMMYFUNCTION("""COMPUTED_VALUE"""),0.0)</f>
        <v>0</v>
      </c>
      <c r="AM690" s="133">
        <f>IFERROR(__xludf.DUMMYFUNCTION("""COMPUTED_VALUE"""),3.0)</f>
        <v>3</v>
      </c>
      <c r="AN690" s="133" t="str">
        <f>IFERROR(__xludf.DUMMYFUNCTION("""COMPUTED_VALUE"""),"3")</f>
        <v>3</v>
      </c>
      <c r="AO690" s="133">
        <f>IFERROR(__xludf.DUMMYFUNCTION("""COMPUTED_VALUE"""),3.0)</f>
        <v>3</v>
      </c>
      <c r="AP690" s="155" t="s">
        <v>3801</v>
      </c>
    </row>
    <row r="691">
      <c r="A691" s="155">
        <f>IFERROR(__xludf.DUMMYFUNCTION("""COMPUTED_VALUE"""),20.0)</f>
        <v>20</v>
      </c>
      <c r="B691" s="155" t="str">
        <f>IFERROR(__xludf.DUMMYFUNCTION("""COMPUTED_VALUE"""),"kasr23csaiml@cmrit.ac.in")</f>
        <v>kasr23csaiml@cmrit.ac.in</v>
      </c>
      <c r="C691" s="174" t="str">
        <f>IFERROR(__xludf.DUMMYFUNCTION("""COMPUTED_VALUE"""),"KAMBHAMPATI BHUVAN SRIRAM")</f>
        <v>KAMBHAMPATI BHUVAN SRIRAM</v>
      </c>
      <c r="D691" s="155" t="str">
        <f>IFERROR(__xludf.DUMMYFUNCTION("""COMPUTED_VALUE"""),"1CR23CI020")</f>
        <v>1CR23CI020</v>
      </c>
      <c r="E691" s="563">
        <f>IFERROR(__xludf.DUMMYFUNCTION("""COMPUTED_VALUE"""),8.688424305E9)</f>
        <v>8688424305</v>
      </c>
      <c r="F691" s="155" t="str">
        <f>IFERROR(__xludf.DUMMYFUNCTION("""COMPUTED_VALUE"""),"CSE(AIML)")</f>
        <v>CSE(AIML)</v>
      </c>
      <c r="G691" s="158"/>
      <c r="H691" s="559">
        <f>IFERROR(__xludf.DUMMYFUNCTION("""COMPUTED_VALUE"""),72.0)</f>
        <v>72</v>
      </c>
      <c r="I691" s="559">
        <f>IFERROR(__xludf.DUMMYFUNCTION("""COMPUTED_VALUE"""),86.0)</f>
        <v>86</v>
      </c>
      <c r="J691" s="559">
        <f>IFERROR(__xludf.DUMMYFUNCTION("""COMPUTED_VALUE"""),68.0)</f>
        <v>68</v>
      </c>
      <c r="K691" s="559">
        <f>IFERROR(__xludf.DUMMYFUNCTION("""COMPUTED_VALUE"""),70.0)</f>
        <v>70</v>
      </c>
      <c r="L691" s="560">
        <f>IFERROR(__xludf.DUMMYFUNCTION("""COMPUTED_VALUE"""),50.0)</f>
        <v>50</v>
      </c>
      <c r="M691" s="561">
        <f>IFERROR(__xludf.DUMMYFUNCTION("""COMPUTED_VALUE"""),51.0)</f>
        <v>51</v>
      </c>
      <c r="N691" s="561">
        <f>IFERROR(__xludf.DUMMYFUNCTION("""COMPUTED_VALUE"""),38.25)</f>
        <v>38.25</v>
      </c>
      <c r="O691" s="560"/>
      <c r="P691" s="562">
        <f>IFERROR(__xludf.DUMMYFUNCTION("""COMPUTED_VALUE"""),73.0)</f>
        <v>73</v>
      </c>
      <c r="Q691" s="562">
        <f>IFERROR(__xludf.DUMMYFUNCTION("""COMPUTED_VALUE"""),50.0)</f>
        <v>50</v>
      </c>
      <c r="R691" s="562">
        <f>IFERROR(__xludf.DUMMYFUNCTION("""COMPUTED_VALUE"""),90.0)</f>
        <v>90</v>
      </c>
      <c r="S691" s="562"/>
      <c r="T691" s="217">
        <f>IFERROR(__xludf.DUMMYFUNCTION("""COMPUTED_VALUE"""),13.0)</f>
        <v>13</v>
      </c>
      <c r="U691" s="217">
        <f>IFERROR(__xludf.DUMMYFUNCTION("""COMPUTED_VALUE"""),22.0)</f>
        <v>22</v>
      </c>
      <c r="V691" s="217">
        <f>IFERROR(__xludf.DUMMYFUNCTION("""COMPUTED_VALUE"""),92.0)</f>
        <v>92</v>
      </c>
      <c r="W691" s="217">
        <f>IFERROR(__xludf.DUMMYFUNCTION("""COMPUTED_VALUE"""),90.0)</f>
        <v>90</v>
      </c>
      <c r="X691" s="217">
        <f>IFERROR(__xludf.DUMMYFUNCTION("""COMPUTED_VALUE"""),76.0)</f>
        <v>76</v>
      </c>
      <c r="Y691" s="217"/>
      <c r="Z691" s="217"/>
      <c r="AA691" s="481">
        <f>IFERROR(__xludf.DUMMYFUNCTION("""COMPUTED_VALUE"""),34.0)</f>
        <v>34</v>
      </c>
      <c r="AB691" s="481">
        <f>IFERROR(__xludf.DUMMYFUNCTION("""COMPUTED_VALUE"""),70.0)</f>
        <v>70</v>
      </c>
      <c r="AC691" s="481">
        <f>IFERROR(__xludf.DUMMYFUNCTION("""COMPUTED_VALUE"""),100.0)</f>
        <v>100</v>
      </c>
      <c r="AD691" s="481">
        <f>IFERROR(__xludf.DUMMYFUNCTION("""COMPUTED_VALUE"""),80.0)</f>
        <v>80</v>
      </c>
      <c r="AE691" s="481">
        <f>IFERROR(__xludf.DUMMYFUNCTION("""COMPUTED_VALUE"""),60.0)</f>
        <v>60</v>
      </c>
      <c r="AF691" s="481"/>
      <c r="AG691" s="481">
        <f>IFERROR(__xludf.DUMMYFUNCTION("""COMPUTED_VALUE"""),38.0)</f>
        <v>38</v>
      </c>
      <c r="AH691" s="481"/>
      <c r="AI691" s="158"/>
      <c r="AJ691" s="158"/>
      <c r="AK691" s="133">
        <f>IFERROR(__xludf.DUMMYFUNCTION("""COMPUTED_VALUE"""),2.0)</f>
        <v>2</v>
      </c>
      <c r="AL691" s="133">
        <f>IFERROR(__xludf.DUMMYFUNCTION("""COMPUTED_VALUE"""),2.0)</f>
        <v>2</v>
      </c>
      <c r="AM691" s="133">
        <f>IFERROR(__xludf.DUMMYFUNCTION("""COMPUTED_VALUE"""),3.0)</f>
        <v>3</v>
      </c>
      <c r="AN691" s="133" t="str">
        <f>IFERROR(__xludf.DUMMYFUNCTION("""COMPUTED_VALUE"""),"3")</f>
        <v>3</v>
      </c>
      <c r="AO691" s="133">
        <f>IFERROR(__xludf.DUMMYFUNCTION("""COMPUTED_VALUE"""),3.0)</f>
        <v>3</v>
      </c>
      <c r="AP691" s="155" t="s">
        <v>3801</v>
      </c>
    </row>
    <row r="692">
      <c r="A692" s="155">
        <f>IFERROR(__xludf.DUMMYFUNCTION("""COMPUTED_VALUE"""),21.0)</f>
        <v>21</v>
      </c>
      <c r="B692" s="155" t="str">
        <f>IFERROR(__xludf.DUMMYFUNCTION("""COMPUTED_VALUE"""),"kana23csaiml@cmrit.ac.in")</f>
        <v>kana23csaiml@cmrit.ac.in</v>
      </c>
      <c r="C692" s="174" t="str">
        <f>IFERROR(__xludf.DUMMYFUNCTION("""COMPUTED_VALUE"""),"KARTHIK S NAIR")</f>
        <v>KARTHIK S NAIR</v>
      </c>
      <c r="D692" s="155" t="str">
        <f>IFERROR(__xludf.DUMMYFUNCTION("""COMPUTED_VALUE"""),"1CR23CI021")</f>
        <v>1CR23CI021</v>
      </c>
      <c r="E692" s="563">
        <f>IFERROR(__xludf.DUMMYFUNCTION("""COMPUTED_VALUE"""),8.130337161E9)</f>
        <v>8130337161</v>
      </c>
      <c r="F692" s="155" t="str">
        <f>IFERROR(__xludf.DUMMYFUNCTION("""COMPUTED_VALUE"""),"CSE(AIML)")</f>
        <v>CSE(AIML)</v>
      </c>
      <c r="G692" s="158"/>
      <c r="H692" s="559">
        <f>IFERROR(__xludf.DUMMYFUNCTION("""COMPUTED_VALUE"""),73.0)</f>
        <v>73</v>
      </c>
      <c r="I692" s="559">
        <f>IFERROR(__xludf.DUMMYFUNCTION("""COMPUTED_VALUE"""),86.0)</f>
        <v>86</v>
      </c>
      <c r="J692" s="559">
        <f>IFERROR(__xludf.DUMMYFUNCTION("""COMPUTED_VALUE"""),80.0)</f>
        <v>80</v>
      </c>
      <c r="K692" s="559">
        <f>IFERROR(__xludf.DUMMYFUNCTION("""COMPUTED_VALUE"""),70.0)</f>
        <v>70</v>
      </c>
      <c r="L692" s="560">
        <f>IFERROR(__xludf.DUMMYFUNCTION("""COMPUTED_VALUE"""),62.0)</f>
        <v>62</v>
      </c>
      <c r="M692" s="561">
        <f>IFERROR(__xludf.DUMMYFUNCTION("""COMPUTED_VALUE"""),55.0)</f>
        <v>55</v>
      </c>
      <c r="N692" s="561">
        <f>IFERROR(__xludf.DUMMYFUNCTION("""COMPUTED_VALUE"""),50.0)</f>
        <v>50</v>
      </c>
      <c r="O692" s="560"/>
      <c r="P692" s="562">
        <f>IFERROR(__xludf.DUMMYFUNCTION("""COMPUTED_VALUE"""),50.0)</f>
        <v>50</v>
      </c>
      <c r="Q692" s="562">
        <f>IFERROR(__xludf.DUMMYFUNCTION("""COMPUTED_VALUE"""),67.0)</f>
        <v>67</v>
      </c>
      <c r="R692" s="562">
        <f>IFERROR(__xludf.DUMMYFUNCTION("""COMPUTED_VALUE"""),91.0)</f>
        <v>91</v>
      </c>
      <c r="S692" s="562"/>
      <c r="T692" s="217">
        <f>IFERROR(__xludf.DUMMYFUNCTION("""COMPUTED_VALUE"""),15.0)</f>
        <v>15</v>
      </c>
      <c r="U692" s="217">
        <f>IFERROR(__xludf.DUMMYFUNCTION("""COMPUTED_VALUE"""),22.0)</f>
        <v>22</v>
      </c>
      <c r="V692" s="217">
        <f>IFERROR(__xludf.DUMMYFUNCTION("""COMPUTED_VALUE"""),92.0)</f>
        <v>92</v>
      </c>
      <c r="W692" s="217">
        <f>IFERROR(__xludf.DUMMYFUNCTION("""COMPUTED_VALUE"""),90.0)</f>
        <v>90</v>
      </c>
      <c r="X692" s="217">
        <f>IFERROR(__xludf.DUMMYFUNCTION("""COMPUTED_VALUE"""),84.0)</f>
        <v>84</v>
      </c>
      <c r="Y692" s="217"/>
      <c r="Z692" s="217"/>
      <c r="AA692" s="481">
        <f>IFERROR(__xludf.DUMMYFUNCTION("""COMPUTED_VALUE"""),80.0)</f>
        <v>80</v>
      </c>
      <c r="AB692" s="481">
        <f>IFERROR(__xludf.DUMMYFUNCTION("""COMPUTED_VALUE"""),100.0)</f>
        <v>100</v>
      </c>
      <c r="AC692" s="481">
        <f>IFERROR(__xludf.DUMMYFUNCTION("""COMPUTED_VALUE"""),99.0)</f>
        <v>99</v>
      </c>
      <c r="AD692" s="481">
        <f>IFERROR(__xludf.DUMMYFUNCTION("""COMPUTED_VALUE"""),62.0)</f>
        <v>62</v>
      </c>
      <c r="AE692" s="481">
        <f>IFERROR(__xludf.DUMMYFUNCTION("""COMPUTED_VALUE"""),76.0)</f>
        <v>76</v>
      </c>
      <c r="AF692" s="481"/>
      <c r="AG692" s="481">
        <f>IFERROR(__xludf.DUMMYFUNCTION("""COMPUTED_VALUE"""),0.0)</f>
        <v>0</v>
      </c>
      <c r="AH692" s="481"/>
      <c r="AI692" s="158"/>
      <c r="AJ692" s="158"/>
      <c r="AK692" s="133">
        <f>IFERROR(__xludf.DUMMYFUNCTION("""COMPUTED_VALUE"""),4.0)</f>
        <v>4</v>
      </c>
      <c r="AL692" s="133">
        <f>IFERROR(__xludf.DUMMYFUNCTION("""COMPUTED_VALUE"""),3.0)</f>
        <v>3</v>
      </c>
      <c r="AM692" s="133">
        <f>IFERROR(__xludf.DUMMYFUNCTION("""COMPUTED_VALUE"""),3.0)</f>
        <v>3</v>
      </c>
      <c r="AN692" s="133" t="str">
        <f>IFERROR(__xludf.DUMMYFUNCTION("""COMPUTED_VALUE"""),"3.5")</f>
        <v>3.5</v>
      </c>
      <c r="AO692" s="133">
        <f>IFERROR(__xludf.DUMMYFUNCTION("""COMPUTED_VALUE"""),3.0)</f>
        <v>3</v>
      </c>
      <c r="AP692" s="155" t="s">
        <v>3801</v>
      </c>
    </row>
    <row r="693">
      <c r="A693" s="155">
        <f>IFERROR(__xludf.DUMMYFUNCTION("""COMPUTED_VALUE"""),22.0)</f>
        <v>22</v>
      </c>
      <c r="B693" s="155" t="str">
        <f>IFERROR(__xludf.DUMMYFUNCTION("""COMPUTED_VALUE"""),"koda23csaiml@cmrit.ac.in")</f>
        <v>koda23csaiml@cmrit.ac.in</v>
      </c>
      <c r="C693" s="174" t="str">
        <f>IFERROR(__xludf.DUMMYFUNCTION("""COMPUTED_VALUE"""),"KOTAPATI VENKATA DANUSH ")</f>
        <v>KOTAPATI VENKATA DANUSH </v>
      </c>
      <c r="D693" s="155" t="str">
        <f>IFERROR(__xludf.DUMMYFUNCTION("""COMPUTED_VALUE"""),"1CR23CI022")</f>
        <v>1CR23CI022</v>
      </c>
      <c r="E693" s="563">
        <f>IFERROR(__xludf.DUMMYFUNCTION("""COMPUTED_VALUE"""),8.431751929E9)</f>
        <v>8431751929</v>
      </c>
      <c r="F693" s="155" t="str">
        <f>IFERROR(__xludf.DUMMYFUNCTION("""COMPUTED_VALUE"""),"CSE(AIML)")</f>
        <v>CSE(AIML)</v>
      </c>
      <c r="G693" s="158"/>
      <c r="H693" s="559">
        <f>IFERROR(__xludf.DUMMYFUNCTION("""COMPUTED_VALUE"""),79.0)</f>
        <v>79</v>
      </c>
      <c r="I693" s="559">
        <f>IFERROR(__xludf.DUMMYFUNCTION("""COMPUTED_VALUE"""),86.0)</f>
        <v>86</v>
      </c>
      <c r="J693" s="559">
        <f>IFERROR(__xludf.DUMMYFUNCTION("""COMPUTED_VALUE"""),87.0)</f>
        <v>87</v>
      </c>
      <c r="K693" s="559">
        <f>IFERROR(__xludf.DUMMYFUNCTION("""COMPUTED_VALUE"""),78.0)</f>
        <v>78</v>
      </c>
      <c r="L693" s="560">
        <f>IFERROR(__xludf.DUMMYFUNCTION("""COMPUTED_VALUE"""),74.0)</f>
        <v>74</v>
      </c>
      <c r="M693" s="561">
        <f>IFERROR(__xludf.DUMMYFUNCTION("""COMPUTED_VALUE"""),61.0)</f>
        <v>61</v>
      </c>
      <c r="N693" s="561">
        <f>IFERROR(__xludf.DUMMYFUNCTION("""COMPUTED_VALUE"""),52.25)</f>
        <v>52.25</v>
      </c>
      <c r="O693" s="560"/>
      <c r="P693" s="562">
        <f>IFERROR(__xludf.DUMMYFUNCTION("""COMPUTED_VALUE"""),76.0)</f>
        <v>76</v>
      </c>
      <c r="Q693" s="562">
        <f>IFERROR(__xludf.DUMMYFUNCTION("""COMPUTED_VALUE"""),71.0)</f>
        <v>71</v>
      </c>
      <c r="R693" s="562">
        <f>IFERROR(__xludf.DUMMYFUNCTION("""COMPUTED_VALUE"""),91.0)</f>
        <v>91</v>
      </c>
      <c r="S693" s="562"/>
      <c r="T693" s="217">
        <f>IFERROR(__xludf.DUMMYFUNCTION("""COMPUTED_VALUE"""),12.0)</f>
        <v>12</v>
      </c>
      <c r="U693" s="217">
        <f>IFERROR(__xludf.DUMMYFUNCTION("""COMPUTED_VALUE"""),25.0)</f>
        <v>25</v>
      </c>
      <c r="V693" s="217">
        <f>IFERROR(__xludf.DUMMYFUNCTION("""COMPUTED_VALUE"""),92.0)</f>
        <v>92</v>
      </c>
      <c r="W693" s="217">
        <f>IFERROR(__xludf.DUMMYFUNCTION("""COMPUTED_VALUE"""),86.0)</f>
        <v>86</v>
      </c>
      <c r="X693" s="217">
        <f>IFERROR(__xludf.DUMMYFUNCTION("""COMPUTED_VALUE"""),70.0)</f>
        <v>70</v>
      </c>
      <c r="Y693" s="217"/>
      <c r="Z693" s="217"/>
      <c r="AA693" s="481">
        <f>IFERROR(__xludf.DUMMYFUNCTION("""COMPUTED_VALUE"""),96.0)</f>
        <v>96</v>
      </c>
      <c r="AB693" s="481">
        <f>IFERROR(__xludf.DUMMYFUNCTION("""COMPUTED_VALUE"""),100.0)</f>
        <v>100</v>
      </c>
      <c r="AC693" s="481">
        <f>IFERROR(__xludf.DUMMYFUNCTION("""COMPUTED_VALUE"""),89.0)</f>
        <v>89</v>
      </c>
      <c r="AD693" s="481">
        <f>IFERROR(__xludf.DUMMYFUNCTION("""COMPUTED_VALUE"""),80.0)</f>
        <v>80</v>
      </c>
      <c r="AE693" s="481">
        <f>IFERROR(__xludf.DUMMYFUNCTION("""COMPUTED_VALUE"""),75.0)</f>
        <v>75</v>
      </c>
      <c r="AF693" s="481"/>
      <c r="AG693" s="481">
        <f>IFERROR(__xludf.DUMMYFUNCTION("""COMPUTED_VALUE"""),98.0)</f>
        <v>98</v>
      </c>
      <c r="AH693" s="481"/>
      <c r="AI693" s="158"/>
      <c r="AJ693" s="158"/>
      <c r="AK693" s="133">
        <f>IFERROR(__xludf.DUMMYFUNCTION("""COMPUTED_VALUE"""),4.0)</f>
        <v>4</v>
      </c>
      <c r="AL693" s="133">
        <f>IFERROR(__xludf.DUMMYFUNCTION("""COMPUTED_VALUE"""),3.0)</f>
        <v>3</v>
      </c>
      <c r="AM693" s="133">
        <f>IFERROR(__xludf.DUMMYFUNCTION("""COMPUTED_VALUE"""),3.0)</f>
        <v>3</v>
      </c>
      <c r="AN693" s="133" t="str">
        <f>IFERROR(__xludf.DUMMYFUNCTION("""COMPUTED_VALUE"""),"3.5")</f>
        <v>3.5</v>
      </c>
      <c r="AO693" s="133">
        <f>IFERROR(__xludf.DUMMYFUNCTION("""COMPUTED_VALUE"""),3.0)</f>
        <v>3</v>
      </c>
      <c r="AP693" s="155" t="s">
        <v>3801</v>
      </c>
    </row>
    <row r="694">
      <c r="A694" s="155">
        <f>IFERROR(__xludf.DUMMYFUNCTION("""COMPUTED_VALUE"""),23.0)</f>
        <v>23</v>
      </c>
      <c r="B694" s="155" t="str">
        <f>IFERROR(__xludf.DUMMYFUNCTION("""COMPUTED_VALUE"""),"lnga23csaiml@cmrit.ac.in")</f>
        <v>lnga23csaiml@cmrit.ac.in</v>
      </c>
      <c r="C694" s="174" t="str">
        <f>IFERROR(__xludf.DUMMYFUNCTION("""COMPUTED_VALUE"""),"L NEHA GAIKWAD")</f>
        <v>L NEHA GAIKWAD</v>
      </c>
      <c r="D694" s="155" t="str">
        <f>IFERROR(__xludf.DUMMYFUNCTION("""COMPUTED_VALUE"""),"1CR23CI023")</f>
        <v>1CR23CI023</v>
      </c>
      <c r="E694" s="563">
        <f>IFERROR(__xludf.DUMMYFUNCTION("""COMPUTED_VALUE"""),6.360432358E9)</f>
        <v>6360432358</v>
      </c>
      <c r="F694" s="155" t="str">
        <f>IFERROR(__xludf.DUMMYFUNCTION("""COMPUTED_VALUE"""),"CSE(AIML)")</f>
        <v>CSE(AIML)</v>
      </c>
      <c r="G694" s="158"/>
      <c r="H694" s="559">
        <f>IFERROR(__xludf.DUMMYFUNCTION("""COMPUTED_VALUE"""),68.0)</f>
        <v>68</v>
      </c>
      <c r="I694" s="559">
        <f>IFERROR(__xludf.DUMMYFUNCTION("""COMPUTED_VALUE"""),83.0)</f>
        <v>83</v>
      </c>
      <c r="J694" s="559">
        <f>IFERROR(__xludf.DUMMYFUNCTION("""COMPUTED_VALUE"""),69.0)</f>
        <v>69</v>
      </c>
      <c r="K694" s="559">
        <f>IFERROR(__xludf.DUMMYFUNCTION("""COMPUTED_VALUE"""),12.0)</f>
        <v>12</v>
      </c>
      <c r="L694" s="560">
        <f>IFERROR(__xludf.DUMMYFUNCTION("""COMPUTED_VALUE"""),50.0)</f>
        <v>50</v>
      </c>
      <c r="M694" s="561">
        <f>IFERROR(__xludf.DUMMYFUNCTION("""COMPUTED_VALUE"""),17.0)</f>
        <v>17</v>
      </c>
      <c r="N694" s="561">
        <f>IFERROR(__xludf.DUMMYFUNCTION("""COMPUTED_VALUE"""),5.25)</f>
        <v>5.25</v>
      </c>
      <c r="O694" s="560"/>
      <c r="P694" s="562">
        <f>IFERROR(__xludf.DUMMYFUNCTION("""COMPUTED_VALUE"""),81.0)</f>
        <v>81</v>
      </c>
      <c r="Q694" s="562">
        <f>IFERROR(__xludf.DUMMYFUNCTION("""COMPUTED_VALUE"""),0.0)</f>
        <v>0</v>
      </c>
      <c r="R694" s="562">
        <f>IFERROR(__xludf.DUMMYFUNCTION("""COMPUTED_VALUE"""),34.0)</f>
        <v>34</v>
      </c>
      <c r="S694" s="562"/>
      <c r="T694" s="217">
        <f>IFERROR(__xludf.DUMMYFUNCTION("""COMPUTED_VALUE"""),15.0)</f>
        <v>15</v>
      </c>
      <c r="U694" s="217">
        <f>IFERROR(__xludf.DUMMYFUNCTION("""COMPUTED_VALUE"""),25.0)</f>
        <v>25</v>
      </c>
      <c r="V694" s="217">
        <f>IFERROR(__xludf.DUMMYFUNCTION("""COMPUTED_VALUE"""),92.0)</f>
        <v>92</v>
      </c>
      <c r="W694" s="217">
        <f>IFERROR(__xludf.DUMMYFUNCTION("""COMPUTED_VALUE"""),90.0)</f>
        <v>90</v>
      </c>
      <c r="X694" s="217"/>
      <c r="Y694" s="217"/>
      <c r="Z694" s="217"/>
      <c r="AA694" s="481">
        <f>IFERROR(__xludf.DUMMYFUNCTION("""COMPUTED_VALUE"""),74.0)</f>
        <v>74</v>
      </c>
      <c r="AB694" s="481">
        <f>IFERROR(__xludf.DUMMYFUNCTION("""COMPUTED_VALUE"""),92.0)</f>
        <v>92</v>
      </c>
      <c r="AC694" s="481">
        <f>IFERROR(__xludf.DUMMYFUNCTION("""COMPUTED_VALUE"""),81.0)</f>
        <v>81</v>
      </c>
      <c r="AD694" s="481">
        <f>IFERROR(__xludf.DUMMYFUNCTION("""COMPUTED_VALUE"""),0.0)</f>
        <v>0</v>
      </c>
      <c r="AE694" s="481">
        <f>IFERROR(__xludf.DUMMYFUNCTION("""COMPUTED_VALUE"""),25.0)</f>
        <v>25</v>
      </c>
      <c r="AF694" s="481"/>
      <c r="AG694" s="481">
        <f>IFERROR(__xludf.DUMMYFUNCTION("""COMPUTED_VALUE"""),0.0)</f>
        <v>0</v>
      </c>
      <c r="AH694" s="481"/>
      <c r="AI694" s="158"/>
      <c r="AJ694" s="158"/>
      <c r="AK694" s="133">
        <f>IFERROR(__xludf.DUMMYFUNCTION("""COMPUTED_VALUE"""),2.0)</f>
        <v>2</v>
      </c>
      <c r="AL694" s="133">
        <f>IFERROR(__xludf.DUMMYFUNCTION("""COMPUTED_VALUE"""),1.0)</f>
        <v>1</v>
      </c>
      <c r="AM694" s="133">
        <f>IFERROR(__xludf.DUMMYFUNCTION("""COMPUTED_VALUE"""),3.0)</f>
        <v>3</v>
      </c>
      <c r="AN694" s="133" t="str">
        <f>IFERROR(__xludf.DUMMYFUNCTION("""COMPUTED_VALUE"""),"3")</f>
        <v>3</v>
      </c>
      <c r="AO694" s="133">
        <f>IFERROR(__xludf.DUMMYFUNCTION("""COMPUTED_VALUE"""),1.0)</f>
        <v>1</v>
      </c>
      <c r="AP694" s="155" t="s">
        <v>3801</v>
      </c>
    </row>
    <row r="695">
      <c r="A695" s="155">
        <f>IFERROR(__xludf.DUMMYFUNCTION("""COMPUTED_VALUE"""),24.0)</f>
        <v>24</v>
      </c>
      <c r="B695" s="155" t="str">
        <f>IFERROR(__xludf.DUMMYFUNCTION("""COMPUTED_VALUE"""),"lere23csaiml@cmrit.ac.in")</f>
        <v>lere23csaiml@cmrit.ac.in</v>
      </c>
      <c r="C695" s="174" t="str">
        <f>IFERROR(__xludf.DUMMYFUNCTION("""COMPUTED_VALUE"""),"LEKIREDDY DEEPIKA REDDY")</f>
        <v>LEKIREDDY DEEPIKA REDDY</v>
      </c>
      <c r="D695" s="155" t="str">
        <f>IFERROR(__xludf.DUMMYFUNCTION("""COMPUTED_VALUE"""),"1CR23CI024")</f>
        <v>1CR23CI024</v>
      </c>
      <c r="E695" s="563">
        <f>IFERROR(__xludf.DUMMYFUNCTION("""COMPUTED_VALUE"""),9.901358742E9)</f>
        <v>9901358742</v>
      </c>
      <c r="F695" s="155" t="str">
        <f>IFERROR(__xludf.DUMMYFUNCTION("""COMPUTED_VALUE"""),"CSE(AIML)")</f>
        <v>CSE(AIML)</v>
      </c>
      <c r="G695" s="158"/>
      <c r="H695" s="559">
        <f>IFERROR(__xludf.DUMMYFUNCTION("""COMPUTED_VALUE"""),85.0)</f>
        <v>85</v>
      </c>
      <c r="I695" s="559">
        <f>IFERROR(__xludf.DUMMYFUNCTION("""COMPUTED_VALUE"""),96.0)</f>
        <v>96</v>
      </c>
      <c r="J695" s="559">
        <f>IFERROR(__xludf.DUMMYFUNCTION("""COMPUTED_VALUE"""),87.0)</f>
        <v>87</v>
      </c>
      <c r="K695" s="559">
        <f>IFERROR(__xludf.DUMMYFUNCTION("""COMPUTED_VALUE"""),87.0)</f>
        <v>87</v>
      </c>
      <c r="L695" s="560">
        <f>IFERROR(__xludf.DUMMYFUNCTION("""COMPUTED_VALUE"""),50.0)</f>
        <v>50</v>
      </c>
      <c r="M695" s="561">
        <f>IFERROR(__xludf.DUMMYFUNCTION("""COMPUTED_VALUE"""),65.0)</f>
        <v>65</v>
      </c>
      <c r="N695" s="561">
        <f>IFERROR(__xludf.DUMMYFUNCTION("""COMPUTED_VALUE"""),71.75)</f>
        <v>71.75</v>
      </c>
      <c r="O695" s="560"/>
      <c r="P695" s="562">
        <f>IFERROR(__xludf.DUMMYFUNCTION("""COMPUTED_VALUE"""),83.0)</f>
        <v>83</v>
      </c>
      <c r="Q695" s="562">
        <f>IFERROR(__xludf.DUMMYFUNCTION("""COMPUTED_VALUE"""),70.0)</f>
        <v>70</v>
      </c>
      <c r="R695" s="562">
        <f>IFERROR(__xludf.DUMMYFUNCTION("""COMPUTED_VALUE"""),92.0)</f>
        <v>92</v>
      </c>
      <c r="S695" s="562"/>
      <c r="T695" s="217">
        <f>IFERROR(__xludf.DUMMYFUNCTION("""COMPUTED_VALUE"""),15.0)</f>
        <v>15</v>
      </c>
      <c r="U695" s="217">
        <f>IFERROR(__xludf.DUMMYFUNCTION("""COMPUTED_VALUE"""),21.0)</f>
        <v>21</v>
      </c>
      <c r="V695" s="217">
        <f>IFERROR(__xludf.DUMMYFUNCTION("""COMPUTED_VALUE"""),88.0)</f>
        <v>88</v>
      </c>
      <c r="W695" s="217">
        <f>IFERROR(__xludf.DUMMYFUNCTION("""COMPUTED_VALUE"""),90.0)</f>
        <v>90</v>
      </c>
      <c r="X695" s="217">
        <f>IFERROR(__xludf.DUMMYFUNCTION("""COMPUTED_VALUE"""),76.0)</f>
        <v>76</v>
      </c>
      <c r="Y695" s="217"/>
      <c r="Z695" s="217"/>
      <c r="AA695" s="481">
        <f>IFERROR(__xludf.DUMMYFUNCTION("""COMPUTED_VALUE"""),82.0)</f>
        <v>82</v>
      </c>
      <c r="AB695" s="481">
        <f>IFERROR(__xludf.DUMMYFUNCTION("""COMPUTED_VALUE"""),100.0)</f>
        <v>100</v>
      </c>
      <c r="AC695" s="481">
        <f>IFERROR(__xludf.DUMMYFUNCTION("""COMPUTED_VALUE"""),94.0)</f>
        <v>94</v>
      </c>
      <c r="AD695" s="481">
        <f>IFERROR(__xludf.DUMMYFUNCTION("""COMPUTED_VALUE"""),100.0)</f>
        <v>100</v>
      </c>
      <c r="AE695" s="481">
        <f>IFERROR(__xludf.DUMMYFUNCTION("""COMPUTED_VALUE"""),70.0)</f>
        <v>70</v>
      </c>
      <c r="AF695" s="481"/>
      <c r="AG695" s="481">
        <f>IFERROR(__xludf.DUMMYFUNCTION("""COMPUTED_VALUE"""),83.0)</f>
        <v>83</v>
      </c>
      <c r="AH695" s="481"/>
      <c r="AI695" s="158"/>
      <c r="AJ695" s="158"/>
      <c r="AK695" s="133">
        <f>IFERROR(__xludf.DUMMYFUNCTION("""COMPUTED_VALUE"""),4.0)</f>
        <v>4</v>
      </c>
      <c r="AL695" s="133">
        <f>IFERROR(__xludf.DUMMYFUNCTION("""COMPUTED_VALUE"""),3.0)</f>
        <v>3</v>
      </c>
      <c r="AM695" s="133">
        <f>IFERROR(__xludf.DUMMYFUNCTION("""COMPUTED_VALUE"""),3.0)</f>
        <v>3</v>
      </c>
      <c r="AN695" s="133" t="str">
        <f>IFERROR(__xludf.DUMMYFUNCTION("""COMPUTED_VALUE"""),"3.5")</f>
        <v>3.5</v>
      </c>
      <c r="AO695" s="133">
        <f>IFERROR(__xludf.DUMMYFUNCTION("""COMPUTED_VALUE"""),3.0)</f>
        <v>3</v>
      </c>
      <c r="AP695" s="155" t="s">
        <v>3801</v>
      </c>
    </row>
    <row r="696">
      <c r="A696" s="155">
        <f>IFERROR(__xludf.DUMMYFUNCTION("""COMPUTED_VALUE"""),25.0)</f>
        <v>25</v>
      </c>
      <c r="B696" s="155" t="str">
        <f>IFERROR(__xludf.DUMMYFUNCTION("""COMPUTED_VALUE"""),"mcre23csaiml@cmrit.ac.in")</f>
        <v>mcre23csaiml@cmrit.ac.in</v>
      </c>
      <c r="C696" s="174" t="str">
        <f>IFERROR(__xludf.DUMMYFUNCTION("""COMPUTED_VALUE"""),"M CHAKRADHARA REDDY")</f>
        <v>M CHAKRADHARA REDDY</v>
      </c>
      <c r="D696" s="155" t="str">
        <f>IFERROR(__xludf.DUMMYFUNCTION("""COMPUTED_VALUE"""),"1CR23CI025")</f>
        <v>1CR23CI025</v>
      </c>
      <c r="E696" s="563">
        <f>IFERROR(__xludf.DUMMYFUNCTION("""COMPUTED_VALUE"""),9.108540605E9)</f>
        <v>9108540605</v>
      </c>
      <c r="F696" s="155" t="str">
        <f>IFERROR(__xludf.DUMMYFUNCTION("""COMPUTED_VALUE"""),"CSE(AIML)")</f>
        <v>CSE(AIML)</v>
      </c>
      <c r="G696" s="158"/>
      <c r="H696" s="559">
        <f>IFERROR(__xludf.DUMMYFUNCTION("""COMPUTED_VALUE"""),86.0)</f>
        <v>86</v>
      </c>
      <c r="I696" s="559">
        <f>IFERROR(__xludf.DUMMYFUNCTION("""COMPUTED_VALUE"""),92.0)</f>
        <v>92</v>
      </c>
      <c r="J696" s="559">
        <f>IFERROR(__xludf.DUMMYFUNCTION("""COMPUTED_VALUE"""),70.0)</f>
        <v>70</v>
      </c>
      <c r="K696" s="559">
        <f>IFERROR(__xludf.DUMMYFUNCTION("""COMPUTED_VALUE"""),73.0)</f>
        <v>73</v>
      </c>
      <c r="L696" s="560">
        <f>IFERROR(__xludf.DUMMYFUNCTION("""COMPUTED_VALUE"""),50.0)</f>
        <v>50</v>
      </c>
      <c r="M696" s="561">
        <f>IFERROR(__xludf.DUMMYFUNCTION("""COMPUTED_VALUE"""),50.0)</f>
        <v>50</v>
      </c>
      <c r="N696" s="561">
        <f>IFERROR(__xludf.DUMMYFUNCTION("""COMPUTED_VALUE"""),50.0)</f>
        <v>50</v>
      </c>
      <c r="O696" s="560"/>
      <c r="P696" s="562">
        <f>IFERROR(__xludf.DUMMYFUNCTION("""COMPUTED_VALUE"""),83.0)</f>
        <v>83</v>
      </c>
      <c r="Q696" s="562">
        <f>IFERROR(__xludf.DUMMYFUNCTION("""COMPUTED_VALUE"""),50.0)</f>
        <v>50</v>
      </c>
      <c r="R696" s="562">
        <f>IFERROR(__xludf.DUMMYFUNCTION("""COMPUTED_VALUE"""),50.0)</f>
        <v>50</v>
      </c>
      <c r="S696" s="562"/>
      <c r="T696" s="217">
        <f>IFERROR(__xludf.DUMMYFUNCTION("""COMPUTED_VALUE"""),13.0)</f>
        <v>13</v>
      </c>
      <c r="U696" s="217">
        <f>IFERROR(__xludf.DUMMYFUNCTION("""COMPUTED_VALUE"""),25.0)</f>
        <v>25</v>
      </c>
      <c r="V696" s="217">
        <f>IFERROR(__xludf.DUMMYFUNCTION("""COMPUTED_VALUE"""),92.0)</f>
        <v>92</v>
      </c>
      <c r="W696" s="217">
        <f>IFERROR(__xludf.DUMMYFUNCTION("""COMPUTED_VALUE"""),88.0)</f>
        <v>88</v>
      </c>
      <c r="X696" s="217">
        <f>IFERROR(__xludf.DUMMYFUNCTION("""COMPUTED_VALUE"""),70.0)</f>
        <v>70</v>
      </c>
      <c r="Y696" s="217"/>
      <c r="Z696" s="217"/>
      <c r="AA696" s="481">
        <f>IFERROR(__xludf.DUMMYFUNCTION("""COMPUTED_VALUE"""),92.0)</f>
        <v>92</v>
      </c>
      <c r="AB696" s="481">
        <f>IFERROR(__xludf.DUMMYFUNCTION("""COMPUTED_VALUE"""),97.0)</f>
        <v>97</v>
      </c>
      <c r="AC696" s="481">
        <f>IFERROR(__xludf.DUMMYFUNCTION("""COMPUTED_VALUE"""),100.0)</f>
        <v>100</v>
      </c>
      <c r="AD696" s="481">
        <f>IFERROR(__xludf.DUMMYFUNCTION("""COMPUTED_VALUE"""),13.0)</f>
        <v>13</v>
      </c>
      <c r="AE696" s="481">
        <f>IFERROR(__xludf.DUMMYFUNCTION("""COMPUTED_VALUE"""),76.0)</f>
        <v>76</v>
      </c>
      <c r="AF696" s="481"/>
      <c r="AG696" s="481">
        <f>IFERROR(__xludf.DUMMYFUNCTION("""COMPUTED_VALUE"""),89.0)</f>
        <v>89</v>
      </c>
      <c r="AH696" s="481"/>
      <c r="AI696" s="158"/>
      <c r="AJ696" s="158"/>
      <c r="AK696" s="133">
        <f>IFERROR(__xludf.DUMMYFUNCTION("""COMPUTED_VALUE"""),4.0)</f>
        <v>4</v>
      </c>
      <c r="AL696" s="133">
        <f>IFERROR(__xludf.DUMMYFUNCTION("""COMPUTED_VALUE"""),3.0)</f>
        <v>3</v>
      </c>
      <c r="AM696" s="133">
        <f>IFERROR(__xludf.DUMMYFUNCTION("""COMPUTED_VALUE"""),3.0)</f>
        <v>3</v>
      </c>
      <c r="AN696" s="133" t="str">
        <f>IFERROR(__xludf.DUMMYFUNCTION("""COMPUTED_VALUE"""),"3.5")</f>
        <v>3.5</v>
      </c>
      <c r="AO696" s="133">
        <f>IFERROR(__xludf.DUMMYFUNCTION("""COMPUTED_VALUE"""),3.0)</f>
        <v>3</v>
      </c>
      <c r="AP696" s="155" t="s">
        <v>3801</v>
      </c>
    </row>
    <row r="697">
      <c r="A697" s="155">
        <f>IFERROR(__xludf.DUMMYFUNCTION("""COMPUTED_VALUE"""),26.0)</f>
        <v>26</v>
      </c>
      <c r="B697" s="155" t="str">
        <f>IFERROR(__xludf.DUMMYFUNCTION("""COMPUTED_VALUE"""),"mami23csaiml@cmrit.ac.in")</f>
        <v>mami23csaiml@cmrit.ac.in</v>
      </c>
      <c r="C697" s="174" t="str">
        <f>IFERROR(__xludf.DUMMYFUNCTION("""COMPUTED_VALUE"""),"MANYA MICHELLE")</f>
        <v>MANYA MICHELLE</v>
      </c>
      <c r="D697" s="155" t="str">
        <f>IFERROR(__xludf.DUMMYFUNCTION("""COMPUTED_VALUE"""),"1CR23CI026")</f>
        <v>1CR23CI026</v>
      </c>
      <c r="E697" s="563">
        <f>IFERROR(__xludf.DUMMYFUNCTION("""COMPUTED_VALUE"""),7.48358838E9)</f>
        <v>7483588380</v>
      </c>
      <c r="F697" s="155" t="str">
        <f>IFERROR(__xludf.DUMMYFUNCTION("""COMPUTED_VALUE"""),"CSE(AIML)")</f>
        <v>CSE(AIML)</v>
      </c>
      <c r="G697" s="158"/>
      <c r="H697" s="559">
        <f>IFERROR(__xludf.DUMMYFUNCTION("""COMPUTED_VALUE"""),73.0)</f>
        <v>73</v>
      </c>
      <c r="I697" s="559">
        <f>IFERROR(__xludf.DUMMYFUNCTION("""COMPUTED_VALUE"""),77.0)</f>
        <v>77</v>
      </c>
      <c r="J697" s="559">
        <f>IFERROR(__xludf.DUMMYFUNCTION("""COMPUTED_VALUE"""),79.0)</f>
        <v>79</v>
      </c>
      <c r="K697" s="559">
        <f>IFERROR(__xludf.DUMMYFUNCTION("""COMPUTED_VALUE"""),71.0)</f>
        <v>71</v>
      </c>
      <c r="L697" s="560">
        <f>IFERROR(__xludf.DUMMYFUNCTION("""COMPUTED_VALUE"""),50.0)</f>
        <v>50</v>
      </c>
      <c r="M697" s="561">
        <f>IFERROR(__xludf.DUMMYFUNCTION("""COMPUTED_VALUE"""),50.0)</f>
        <v>50</v>
      </c>
      <c r="N697" s="561">
        <f>IFERROR(__xludf.DUMMYFUNCTION("""COMPUTED_VALUE"""),50.0)</f>
        <v>50</v>
      </c>
      <c r="O697" s="560"/>
      <c r="P697" s="562">
        <f>IFERROR(__xludf.DUMMYFUNCTION("""COMPUTED_VALUE"""),82.0)</f>
        <v>82</v>
      </c>
      <c r="Q697" s="562">
        <f>IFERROR(__xludf.DUMMYFUNCTION("""COMPUTED_VALUE"""),72.0)</f>
        <v>72</v>
      </c>
      <c r="R697" s="562">
        <f>IFERROR(__xludf.DUMMYFUNCTION("""COMPUTED_VALUE"""),87.0)</f>
        <v>87</v>
      </c>
      <c r="S697" s="562"/>
      <c r="T697" s="217">
        <f>IFERROR(__xludf.DUMMYFUNCTION("""COMPUTED_VALUE"""),10.0)</f>
        <v>10</v>
      </c>
      <c r="U697" s="217">
        <f>IFERROR(__xludf.DUMMYFUNCTION("""COMPUTED_VALUE"""),22.0)</f>
        <v>22</v>
      </c>
      <c r="V697" s="217">
        <f>IFERROR(__xludf.DUMMYFUNCTION("""COMPUTED_VALUE"""),88.0)</f>
        <v>88</v>
      </c>
      <c r="W697" s="217">
        <f>IFERROR(__xludf.DUMMYFUNCTION("""COMPUTED_VALUE"""),90.0)</f>
        <v>90</v>
      </c>
      <c r="X697" s="217">
        <f>IFERROR(__xludf.DUMMYFUNCTION("""COMPUTED_VALUE"""),80.0)</f>
        <v>80</v>
      </c>
      <c r="Y697" s="217"/>
      <c r="Z697" s="217"/>
      <c r="AA697" s="481">
        <f>IFERROR(__xludf.DUMMYFUNCTION("""COMPUTED_VALUE"""),100.0)</f>
        <v>100</v>
      </c>
      <c r="AB697" s="481">
        <f>IFERROR(__xludf.DUMMYFUNCTION("""COMPUTED_VALUE"""),100.0)</f>
        <v>100</v>
      </c>
      <c r="AC697" s="481">
        <f>IFERROR(__xludf.DUMMYFUNCTION("""COMPUTED_VALUE"""),96.0)</f>
        <v>96</v>
      </c>
      <c r="AD697" s="481">
        <f>IFERROR(__xludf.DUMMYFUNCTION("""COMPUTED_VALUE"""),75.0)</f>
        <v>75</v>
      </c>
      <c r="AE697" s="481">
        <f>IFERROR(__xludf.DUMMYFUNCTION("""COMPUTED_VALUE"""),100.0)</f>
        <v>100</v>
      </c>
      <c r="AF697" s="481"/>
      <c r="AG697" s="481">
        <f>IFERROR(__xludf.DUMMYFUNCTION("""COMPUTED_VALUE"""),85.0)</f>
        <v>85</v>
      </c>
      <c r="AH697" s="481"/>
      <c r="AI697" s="158"/>
      <c r="AJ697" s="158"/>
      <c r="AK697" s="133">
        <f>IFERROR(__xludf.DUMMYFUNCTION("""COMPUTED_VALUE"""),4.0)</f>
        <v>4</v>
      </c>
      <c r="AL697" s="133">
        <f>IFERROR(__xludf.DUMMYFUNCTION("""COMPUTED_VALUE"""),3.0)</f>
        <v>3</v>
      </c>
      <c r="AM697" s="133">
        <f>IFERROR(__xludf.DUMMYFUNCTION("""COMPUTED_VALUE"""),3.0)</f>
        <v>3</v>
      </c>
      <c r="AN697" s="133" t="str">
        <f>IFERROR(__xludf.DUMMYFUNCTION("""COMPUTED_VALUE"""),"3.5")</f>
        <v>3.5</v>
      </c>
      <c r="AO697" s="133">
        <f>IFERROR(__xludf.DUMMYFUNCTION("""COMPUTED_VALUE"""),3.0)</f>
        <v>3</v>
      </c>
      <c r="AP697" s="155" t="s">
        <v>3801</v>
      </c>
    </row>
    <row r="698">
      <c r="A698" s="155">
        <f>IFERROR(__xludf.DUMMYFUNCTION("""COMPUTED_VALUE"""),27.0)</f>
        <v>27</v>
      </c>
      <c r="B698" s="155" t="str">
        <f>IFERROR(__xludf.DUMMYFUNCTION("""COMPUTED_VALUE"""),"mdza23csaiml@cmrit.ac.in")</f>
        <v>mdza23csaiml@cmrit.ac.in</v>
      </c>
      <c r="C698" s="174" t="str">
        <f>IFERROR(__xludf.DUMMYFUNCTION("""COMPUTED_VALUE"""),"Md Zaid Ibrahim")</f>
        <v>Md Zaid Ibrahim</v>
      </c>
      <c r="D698" s="155" t="str">
        <f>IFERROR(__xludf.DUMMYFUNCTION("""COMPUTED_VALUE"""),"1CR23CI027")</f>
        <v>1CR23CI027</v>
      </c>
      <c r="E698" s="563">
        <f>IFERROR(__xludf.DUMMYFUNCTION("""COMPUTED_VALUE"""),9.880333538E9)</f>
        <v>9880333538</v>
      </c>
      <c r="F698" s="155" t="str">
        <f>IFERROR(__xludf.DUMMYFUNCTION("""COMPUTED_VALUE"""),"CSE(AIML)")</f>
        <v>CSE(AIML)</v>
      </c>
      <c r="G698" s="158"/>
      <c r="H698" s="559">
        <f>IFERROR(__xludf.DUMMYFUNCTION("""COMPUTED_VALUE"""),79.0)</f>
        <v>79</v>
      </c>
      <c r="I698" s="559">
        <f>IFERROR(__xludf.DUMMYFUNCTION("""COMPUTED_VALUE"""),88.0)</f>
        <v>88</v>
      </c>
      <c r="J698" s="559">
        <f>IFERROR(__xludf.DUMMYFUNCTION("""COMPUTED_VALUE"""),70.0)</f>
        <v>70</v>
      </c>
      <c r="K698" s="559">
        <f>IFERROR(__xludf.DUMMYFUNCTION("""COMPUTED_VALUE"""),70.0)</f>
        <v>70</v>
      </c>
      <c r="L698" s="560">
        <f>IFERROR(__xludf.DUMMYFUNCTION("""COMPUTED_VALUE"""),50.0)</f>
        <v>50</v>
      </c>
      <c r="M698" s="561">
        <f>IFERROR(__xludf.DUMMYFUNCTION("""COMPUTED_VALUE"""),18.0)</f>
        <v>18</v>
      </c>
      <c r="N698" s="561">
        <f>IFERROR(__xludf.DUMMYFUNCTION("""COMPUTED_VALUE"""),21.5)</f>
        <v>21.5</v>
      </c>
      <c r="O698" s="560"/>
      <c r="P698" s="562">
        <f>IFERROR(__xludf.DUMMYFUNCTION("""COMPUTED_VALUE"""),50.0)</f>
        <v>50</v>
      </c>
      <c r="Q698" s="562">
        <f>IFERROR(__xludf.DUMMYFUNCTION("""COMPUTED_VALUE"""),90.0)</f>
        <v>90</v>
      </c>
      <c r="R698" s="562">
        <f>IFERROR(__xludf.DUMMYFUNCTION("""COMPUTED_VALUE"""),81.0)</f>
        <v>81</v>
      </c>
      <c r="S698" s="562"/>
      <c r="T698" s="217">
        <f>IFERROR(__xludf.DUMMYFUNCTION("""COMPUTED_VALUE"""),10.0)</f>
        <v>10</v>
      </c>
      <c r="U698" s="217">
        <f>IFERROR(__xludf.DUMMYFUNCTION("""COMPUTED_VALUE"""),25.0)</f>
        <v>25</v>
      </c>
      <c r="V698" s="217">
        <f>IFERROR(__xludf.DUMMYFUNCTION("""COMPUTED_VALUE"""),88.0)</f>
        <v>88</v>
      </c>
      <c r="W698" s="217">
        <f>IFERROR(__xludf.DUMMYFUNCTION("""COMPUTED_VALUE"""),90.0)</f>
        <v>90</v>
      </c>
      <c r="X698" s="217">
        <f>IFERROR(__xludf.DUMMYFUNCTION("""COMPUTED_VALUE"""),84.0)</f>
        <v>84</v>
      </c>
      <c r="Y698" s="217"/>
      <c r="Z698" s="217"/>
      <c r="AA698" s="481">
        <f>IFERROR(__xludf.DUMMYFUNCTION("""COMPUTED_VALUE"""),30.0)</f>
        <v>30</v>
      </c>
      <c r="AB698" s="481">
        <f>IFERROR(__xludf.DUMMYFUNCTION("""COMPUTED_VALUE"""),43.0)</f>
        <v>43</v>
      </c>
      <c r="AC698" s="481">
        <f>IFERROR(__xludf.DUMMYFUNCTION("""COMPUTED_VALUE"""),70.0)</f>
        <v>70</v>
      </c>
      <c r="AD698" s="481">
        <f>IFERROR(__xludf.DUMMYFUNCTION("""COMPUTED_VALUE"""),60.0)</f>
        <v>60</v>
      </c>
      <c r="AE698" s="481">
        <f>IFERROR(__xludf.DUMMYFUNCTION("""COMPUTED_VALUE"""),71.0)</f>
        <v>71</v>
      </c>
      <c r="AF698" s="481"/>
      <c r="AG698" s="481">
        <f>IFERROR(__xludf.DUMMYFUNCTION("""COMPUTED_VALUE"""),57.0)</f>
        <v>57</v>
      </c>
      <c r="AH698" s="481"/>
      <c r="AI698" s="158"/>
      <c r="AJ698" s="158"/>
      <c r="AK698" s="133">
        <f>IFERROR(__xludf.DUMMYFUNCTION("""COMPUTED_VALUE"""),4.0)</f>
        <v>4</v>
      </c>
      <c r="AL698" s="133">
        <f>IFERROR(__xludf.DUMMYFUNCTION("""COMPUTED_VALUE"""),1.0)</f>
        <v>1</v>
      </c>
      <c r="AM698" s="133">
        <f>IFERROR(__xludf.DUMMYFUNCTION("""COMPUTED_VALUE"""),3.0)</f>
        <v>3</v>
      </c>
      <c r="AN698" s="133" t="str">
        <f>IFERROR(__xludf.DUMMYFUNCTION("""COMPUTED_VALUE"""),"0")</f>
        <v>0</v>
      </c>
      <c r="AO698" s="133">
        <f>IFERROR(__xludf.DUMMYFUNCTION("""COMPUTED_VALUE"""),3.0)</f>
        <v>3</v>
      </c>
      <c r="AP698" s="155" t="s">
        <v>3801</v>
      </c>
    </row>
    <row r="699">
      <c r="A699" s="155">
        <f>IFERROR(__xludf.DUMMYFUNCTION("""COMPUTED_VALUE"""),28.0)</f>
        <v>28</v>
      </c>
      <c r="B699" s="155" t="str">
        <f>IFERROR(__xludf.DUMMYFUNCTION("""COMPUTED_VALUE"""),"mere23csaiml@cmrit.ac.in")</f>
        <v>mere23csaiml@cmrit.ac.in</v>
      </c>
      <c r="C699" s="174" t="str">
        <f>IFERROR(__xludf.DUMMYFUNCTION("""COMPUTED_VALUE"""),"MEGHANA GANTA")</f>
        <v>MEGHANA GANTA</v>
      </c>
      <c r="D699" s="155" t="str">
        <f>IFERROR(__xludf.DUMMYFUNCTION("""COMPUTED_VALUE"""),"1CR23CI028")</f>
        <v>1CR23CI028</v>
      </c>
      <c r="E699" s="563"/>
      <c r="F699" s="155" t="str">
        <f>IFERROR(__xludf.DUMMYFUNCTION("""COMPUTED_VALUE"""),"CSE(AIML)")</f>
        <v>CSE(AIML)</v>
      </c>
      <c r="G699" s="158"/>
      <c r="H699" s="559">
        <f>IFERROR(__xludf.DUMMYFUNCTION("""COMPUTED_VALUE"""),80.0)</f>
        <v>80</v>
      </c>
      <c r="I699" s="559">
        <f>IFERROR(__xludf.DUMMYFUNCTION("""COMPUTED_VALUE"""),90.0)</f>
        <v>90</v>
      </c>
      <c r="J699" s="559">
        <f>IFERROR(__xludf.DUMMYFUNCTION("""COMPUTED_VALUE"""),70.0)</f>
        <v>70</v>
      </c>
      <c r="K699" s="559">
        <f>IFERROR(__xludf.DUMMYFUNCTION("""COMPUTED_VALUE"""),70.0)</f>
        <v>70</v>
      </c>
      <c r="L699" s="560">
        <f>IFERROR(__xludf.DUMMYFUNCTION("""COMPUTED_VALUE"""),50.0)</f>
        <v>50</v>
      </c>
      <c r="M699" s="561">
        <f>IFERROR(__xludf.DUMMYFUNCTION("""COMPUTED_VALUE"""),50.0)</f>
        <v>50</v>
      </c>
      <c r="N699" s="561">
        <f>IFERROR(__xludf.DUMMYFUNCTION("""COMPUTED_VALUE"""),59.5)</f>
        <v>59.5</v>
      </c>
      <c r="O699" s="560"/>
      <c r="P699" s="562">
        <f>IFERROR(__xludf.DUMMYFUNCTION("""COMPUTED_VALUE"""),77.0)</f>
        <v>77</v>
      </c>
      <c r="Q699" s="562">
        <f>IFERROR(__xludf.DUMMYFUNCTION("""COMPUTED_VALUE"""),50.0)</f>
        <v>50</v>
      </c>
      <c r="R699" s="562">
        <f>IFERROR(__xludf.DUMMYFUNCTION("""COMPUTED_VALUE"""),83.0)</f>
        <v>83</v>
      </c>
      <c r="S699" s="562"/>
      <c r="T699" s="217">
        <f>IFERROR(__xludf.DUMMYFUNCTION("""COMPUTED_VALUE"""),10.0)</f>
        <v>10</v>
      </c>
      <c r="U699" s="217">
        <f>IFERROR(__xludf.DUMMYFUNCTION("""COMPUTED_VALUE"""),20.0)</f>
        <v>20</v>
      </c>
      <c r="V699" s="217">
        <f>IFERROR(__xludf.DUMMYFUNCTION("""COMPUTED_VALUE"""),94.0)</f>
        <v>94</v>
      </c>
      <c r="W699" s="217">
        <f>IFERROR(__xludf.DUMMYFUNCTION("""COMPUTED_VALUE"""),90.0)</f>
        <v>90</v>
      </c>
      <c r="X699" s="217">
        <f>IFERROR(__xludf.DUMMYFUNCTION("""COMPUTED_VALUE"""),66.0)</f>
        <v>66</v>
      </c>
      <c r="Y699" s="217"/>
      <c r="Z699" s="217"/>
      <c r="AA699" s="481">
        <f>IFERROR(__xludf.DUMMYFUNCTION("""COMPUTED_VALUE"""),58.0)</f>
        <v>58</v>
      </c>
      <c r="AB699" s="481">
        <f>IFERROR(__xludf.DUMMYFUNCTION("""COMPUTED_VALUE"""),94.0)</f>
        <v>94</v>
      </c>
      <c r="AC699" s="481">
        <f>IFERROR(__xludf.DUMMYFUNCTION("""COMPUTED_VALUE"""),62.0)</f>
        <v>62</v>
      </c>
      <c r="AD699" s="481">
        <f>IFERROR(__xludf.DUMMYFUNCTION("""COMPUTED_VALUE"""),80.0)</f>
        <v>80</v>
      </c>
      <c r="AE699" s="481">
        <f>IFERROR(__xludf.DUMMYFUNCTION("""COMPUTED_VALUE"""),71.0)</f>
        <v>71</v>
      </c>
      <c r="AF699" s="481"/>
      <c r="AG699" s="481">
        <f>IFERROR(__xludf.DUMMYFUNCTION("""COMPUTED_VALUE"""),73.0)</f>
        <v>73</v>
      </c>
      <c r="AH699" s="481"/>
      <c r="AI699" s="158"/>
      <c r="AJ699" s="158"/>
      <c r="AK699" s="133">
        <f>IFERROR(__xludf.DUMMYFUNCTION("""COMPUTED_VALUE"""),4.0)</f>
        <v>4</v>
      </c>
      <c r="AL699" s="133">
        <f>IFERROR(__xludf.DUMMYFUNCTION("""COMPUTED_VALUE"""),3.0)</f>
        <v>3</v>
      </c>
      <c r="AM699" s="133">
        <f>IFERROR(__xludf.DUMMYFUNCTION("""COMPUTED_VALUE"""),3.0)</f>
        <v>3</v>
      </c>
      <c r="AN699" s="133" t="str">
        <f>IFERROR(__xludf.DUMMYFUNCTION("""COMPUTED_VALUE"""),"3.5")</f>
        <v>3.5</v>
      </c>
      <c r="AO699" s="133">
        <f>IFERROR(__xludf.DUMMYFUNCTION("""COMPUTED_VALUE"""),3.0)</f>
        <v>3</v>
      </c>
      <c r="AP699" s="155" t="s">
        <v>3801</v>
      </c>
    </row>
    <row r="700">
      <c r="A700" s="155">
        <f>IFERROR(__xludf.DUMMYFUNCTION("""COMPUTED_VALUE"""),29.0)</f>
        <v>29</v>
      </c>
      <c r="B700" s="155" t="str">
        <f>IFERROR(__xludf.DUMMYFUNCTION("""COMPUTED_VALUE"""),"muna23csaiml@cmrit.ac.in")</f>
        <v>muna23csaiml@cmrit.ac.in</v>
      </c>
      <c r="C700" s="174" t="str">
        <f>IFERROR(__xludf.DUMMYFUNCTION("""COMPUTED_VALUE"""),"Muhammad Navas")</f>
        <v>Muhammad Navas</v>
      </c>
      <c r="D700" s="155" t="str">
        <f>IFERROR(__xludf.DUMMYFUNCTION("""COMPUTED_VALUE"""),"1CR23CI029")</f>
        <v>1CR23CI029</v>
      </c>
      <c r="E700" s="563">
        <f>IFERROR(__xludf.DUMMYFUNCTION("""COMPUTED_VALUE"""),8.088232824E9)</f>
        <v>8088232824</v>
      </c>
      <c r="F700" s="155" t="str">
        <f>IFERROR(__xludf.DUMMYFUNCTION("""COMPUTED_VALUE"""),"CSE(AIML)")</f>
        <v>CSE(AIML)</v>
      </c>
      <c r="G700" s="158"/>
      <c r="H700" s="559">
        <f>IFERROR(__xludf.DUMMYFUNCTION("""COMPUTED_VALUE"""),81.0)</f>
        <v>81</v>
      </c>
      <c r="I700" s="559">
        <f>IFERROR(__xludf.DUMMYFUNCTION("""COMPUTED_VALUE"""),83.0)</f>
        <v>83</v>
      </c>
      <c r="J700" s="559">
        <f>IFERROR(__xludf.DUMMYFUNCTION("""COMPUTED_VALUE"""),76.0)</f>
        <v>76</v>
      </c>
      <c r="K700" s="559">
        <f>IFERROR(__xludf.DUMMYFUNCTION("""COMPUTED_VALUE"""),70.0)</f>
        <v>70</v>
      </c>
      <c r="L700" s="560">
        <f>IFERROR(__xludf.DUMMYFUNCTION("""COMPUTED_VALUE"""),50.0)</f>
        <v>50</v>
      </c>
      <c r="M700" s="561">
        <f>IFERROR(__xludf.DUMMYFUNCTION("""COMPUTED_VALUE"""),50.0)</f>
        <v>50</v>
      </c>
      <c r="N700" s="561">
        <f>IFERROR(__xludf.DUMMYFUNCTION("""COMPUTED_VALUE"""),50.0)</f>
        <v>50</v>
      </c>
      <c r="O700" s="560"/>
      <c r="P700" s="562">
        <f>IFERROR(__xludf.DUMMYFUNCTION("""COMPUTED_VALUE"""),73.0)</f>
        <v>73</v>
      </c>
      <c r="Q700" s="562">
        <f>IFERROR(__xludf.DUMMYFUNCTION("""COMPUTED_VALUE"""),71.0)</f>
        <v>71</v>
      </c>
      <c r="R700" s="562">
        <f>IFERROR(__xludf.DUMMYFUNCTION("""COMPUTED_VALUE"""),94.0)</f>
        <v>94</v>
      </c>
      <c r="S700" s="562"/>
      <c r="T700" s="217">
        <f>IFERROR(__xludf.DUMMYFUNCTION("""COMPUTED_VALUE"""),14.0)</f>
        <v>14</v>
      </c>
      <c r="U700" s="217">
        <f>IFERROR(__xludf.DUMMYFUNCTION("""COMPUTED_VALUE"""),25.0)</f>
        <v>25</v>
      </c>
      <c r="V700" s="217">
        <f>IFERROR(__xludf.DUMMYFUNCTION("""COMPUTED_VALUE"""),92.0)</f>
        <v>92</v>
      </c>
      <c r="W700" s="217">
        <f>IFERROR(__xludf.DUMMYFUNCTION("""COMPUTED_VALUE"""),84.0)</f>
        <v>84</v>
      </c>
      <c r="X700" s="217">
        <f>IFERROR(__xludf.DUMMYFUNCTION("""COMPUTED_VALUE"""),86.0)</f>
        <v>86</v>
      </c>
      <c r="Y700" s="217"/>
      <c r="Z700" s="217"/>
      <c r="AA700" s="481">
        <f>IFERROR(__xludf.DUMMYFUNCTION("""COMPUTED_VALUE"""),100.0)</f>
        <v>100</v>
      </c>
      <c r="AB700" s="481">
        <f>IFERROR(__xludf.DUMMYFUNCTION("""COMPUTED_VALUE"""),100.0)</f>
        <v>100</v>
      </c>
      <c r="AC700" s="481">
        <f>IFERROR(__xludf.DUMMYFUNCTION("""COMPUTED_VALUE"""),84.0)</f>
        <v>84</v>
      </c>
      <c r="AD700" s="481">
        <f>IFERROR(__xludf.DUMMYFUNCTION("""COMPUTED_VALUE"""),60.0)</f>
        <v>60</v>
      </c>
      <c r="AE700" s="481">
        <f>IFERROR(__xludf.DUMMYFUNCTION("""COMPUTED_VALUE"""),77.0)</f>
        <v>77</v>
      </c>
      <c r="AF700" s="481"/>
      <c r="AG700" s="481">
        <f>IFERROR(__xludf.DUMMYFUNCTION("""COMPUTED_VALUE"""),94.0)</f>
        <v>94</v>
      </c>
      <c r="AH700" s="481"/>
      <c r="AI700" s="158"/>
      <c r="AJ700" s="158"/>
      <c r="AK700" s="133">
        <f>IFERROR(__xludf.DUMMYFUNCTION("""COMPUTED_VALUE"""),4.0)</f>
        <v>4</v>
      </c>
      <c r="AL700" s="133">
        <f>IFERROR(__xludf.DUMMYFUNCTION("""COMPUTED_VALUE"""),3.0)</f>
        <v>3</v>
      </c>
      <c r="AM700" s="133">
        <f>IFERROR(__xludf.DUMMYFUNCTION("""COMPUTED_VALUE"""),3.0)</f>
        <v>3</v>
      </c>
      <c r="AN700" s="133" t="str">
        <f>IFERROR(__xludf.DUMMYFUNCTION("""COMPUTED_VALUE"""),"3.5")</f>
        <v>3.5</v>
      </c>
      <c r="AO700" s="133">
        <f>IFERROR(__xludf.DUMMYFUNCTION("""COMPUTED_VALUE"""),3.0)</f>
        <v>3</v>
      </c>
      <c r="AP700" s="155" t="s">
        <v>3801</v>
      </c>
    </row>
    <row r="701">
      <c r="A701" s="155">
        <f>IFERROR(__xludf.DUMMYFUNCTION("""COMPUTED_VALUE"""),30.0)</f>
        <v>30</v>
      </c>
      <c r="B701" s="155" t="str">
        <f>IFERROR(__xludf.DUMMYFUNCTION("""COMPUTED_VALUE"""),"naja23csaiml@cmrit.ac.in")</f>
        <v>naja23csaiml@cmrit.ac.in</v>
      </c>
      <c r="C701" s="174" t="str">
        <f>IFERROR(__xludf.DUMMYFUNCTION("""COMPUTED_VALUE"""),"Naman Jain")</f>
        <v>Naman Jain</v>
      </c>
      <c r="D701" s="155" t="str">
        <f>IFERROR(__xludf.DUMMYFUNCTION("""COMPUTED_VALUE"""),"1CR23CI030")</f>
        <v>1CR23CI030</v>
      </c>
      <c r="E701" s="563">
        <f>IFERROR(__xludf.DUMMYFUNCTION("""COMPUTED_VALUE"""),9.365619877E9)</f>
        <v>9365619877</v>
      </c>
      <c r="F701" s="155" t="str">
        <f>IFERROR(__xludf.DUMMYFUNCTION("""COMPUTED_VALUE"""),"CSE(AIML)")</f>
        <v>CSE(AIML)</v>
      </c>
      <c r="G701" s="158"/>
      <c r="H701" s="559">
        <f>IFERROR(__xludf.DUMMYFUNCTION("""COMPUTED_VALUE"""),74.0)</f>
        <v>74</v>
      </c>
      <c r="I701" s="559">
        <f>IFERROR(__xludf.DUMMYFUNCTION("""COMPUTED_VALUE"""),90.0)</f>
        <v>90</v>
      </c>
      <c r="J701" s="559">
        <f>IFERROR(__xludf.DUMMYFUNCTION("""COMPUTED_VALUE"""),70.0)</f>
        <v>70</v>
      </c>
      <c r="K701" s="559">
        <f>IFERROR(__xludf.DUMMYFUNCTION("""COMPUTED_VALUE"""),70.0)</f>
        <v>70</v>
      </c>
      <c r="L701" s="560">
        <f>IFERROR(__xludf.DUMMYFUNCTION("""COMPUTED_VALUE"""),0.0)</f>
        <v>0</v>
      </c>
      <c r="M701" s="561">
        <f>IFERROR(__xludf.DUMMYFUNCTION("""COMPUTED_VALUE"""),0.0)</f>
        <v>0</v>
      </c>
      <c r="N701" s="561">
        <f>IFERROR(__xludf.DUMMYFUNCTION("""COMPUTED_VALUE"""),0.0)</f>
        <v>0</v>
      </c>
      <c r="O701" s="560"/>
      <c r="P701" s="562">
        <f>IFERROR(__xludf.DUMMYFUNCTION("""COMPUTED_VALUE"""),0.0)</f>
        <v>0</v>
      </c>
      <c r="Q701" s="562">
        <f>IFERROR(__xludf.DUMMYFUNCTION("""COMPUTED_VALUE"""),0.0)</f>
        <v>0</v>
      </c>
      <c r="R701" s="562">
        <f>IFERROR(__xludf.DUMMYFUNCTION("""COMPUTED_VALUE"""),0.0)</f>
        <v>0</v>
      </c>
      <c r="S701" s="562"/>
      <c r="T701" s="217">
        <f>IFERROR(__xludf.DUMMYFUNCTION("""COMPUTED_VALUE"""),12.0)</f>
        <v>12</v>
      </c>
      <c r="U701" s="217">
        <f>IFERROR(__xludf.DUMMYFUNCTION("""COMPUTED_VALUE"""),25.0)</f>
        <v>25</v>
      </c>
      <c r="V701" s="217">
        <f>IFERROR(__xludf.DUMMYFUNCTION("""COMPUTED_VALUE"""),90.0)</f>
        <v>90</v>
      </c>
      <c r="W701" s="217">
        <f>IFERROR(__xludf.DUMMYFUNCTION("""COMPUTED_VALUE"""),90.0)</f>
        <v>90</v>
      </c>
      <c r="X701" s="217"/>
      <c r="Y701" s="217"/>
      <c r="Z701" s="217"/>
      <c r="AA701" s="481">
        <f>IFERROR(__xludf.DUMMYFUNCTION("""COMPUTED_VALUE"""),60.0)</f>
        <v>60</v>
      </c>
      <c r="AB701" s="481">
        <f>IFERROR(__xludf.DUMMYFUNCTION("""COMPUTED_VALUE"""),95.0)</f>
        <v>95</v>
      </c>
      <c r="AC701" s="481">
        <f>IFERROR(__xludf.DUMMYFUNCTION("""COMPUTED_VALUE"""),0.0)</f>
        <v>0</v>
      </c>
      <c r="AD701" s="481">
        <f>IFERROR(__xludf.DUMMYFUNCTION("""COMPUTED_VALUE"""),2.0)</f>
        <v>2</v>
      </c>
      <c r="AE701" s="481">
        <f>IFERROR(__xludf.DUMMYFUNCTION("""COMPUTED_VALUE"""),10.0)</f>
        <v>10</v>
      </c>
      <c r="AF701" s="481"/>
      <c r="AG701" s="481">
        <f>IFERROR(__xludf.DUMMYFUNCTION("""COMPUTED_VALUE"""),0.0)</f>
        <v>0</v>
      </c>
      <c r="AH701" s="481"/>
      <c r="AI701" s="158"/>
      <c r="AJ701" s="158"/>
      <c r="AK701" s="133">
        <f>IFERROR(__xludf.DUMMYFUNCTION("""COMPUTED_VALUE"""),4.0)</f>
        <v>4</v>
      </c>
      <c r="AL701" s="133">
        <f>IFERROR(__xludf.DUMMYFUNCTION("""COMPUTED_VALUE"""),0.0)</f>
        <v>0</v>
      </c>
      <c r="AM701" s="133">
        <f>IFERROR(__xludf.DUMMYFUNCTION("""COMPUTED_VALUE"""),3.0)</f>
        <v>3</v>
      </c>
      <c r="AN701" s="133" t="str">
        <f>IFERROR(__xludf.DUMMYFUNCTION("""COMPUTED_VALUE"""),"2")</f>
        <v>2</v>
      </c>
      <c r="AO701" s="133">
        <f>IFERROR(__xludf.DUMMYFUNCTION("""COMPUTED_VALUE"""),0.0)</f>
        <v>0</v>
      </c>
      <c r="AP701" s="155" t="s">
        <v>3801</v>
      </c>
    </row>
    <row r="702">
      <c r="A702" s="155">
        <f>IFERROR(__xludf.DUMMYFUNCTION("""COMPUTED_VALUE"""),31.0)</f>
        <v>31</v>
      </c>
      <c r="B702" s="155" t="str">
        <f>IFERROR(__xludf.DUMMYFUNCTION("""COMPUTED_VALUE"""),"nar23csaiml@cmrit.ac.in")</f>
        <v>nar23csaiml@cmrit.ac.in</v>
      </c>
      <c r="C702" s="174" t="str">
        <f>IFERROR(__xludf.DUMMYFUNCTION("""COMPUTED_VALUE"""),"Nayana R")</f>
        <v>Nayana R</v>
      </c>
      <c r="D702" s="155" t="str">
        <f>IFERROR(__xludf.DUMMYFUNCTION("""COMPUTED_VALUE"""),"1CR23CI031")</f>
        <v>1CR23CI031</v>
      </c>
      <c r="E702" s="563">
        <f>IFERROR(__xludf.DUMMYFUNCTION("""COMPUTED_VALUE"""),7.338388986E9)</f>
        <v>7338388986</v>
      </c>
      <c r="F702" s="155" t="str">
        <f>IFERROR(__xludf.DUMMYFUNCTION("""COMPUTED_VALUE"""),"CSE(AIML)")</f>
        <v>CSE(AIML)</v>
      </c>
      <c r="G702" s="158"/>
      <c r="H702" s="559">
        <f>IFERROR(__xludf.DUMMYFUNCTION("""COMPUTED_VALUE"""),74.0)</f>
        <v>74</v>
      </c>
      <c r="I702" s="559">
        <f>IFERROR(__xludf.DUMMYFUNCTION("""COMPUTED_VALUE"""),85.0)</f>
        <v>85</v>
      </c>
      <c r="J702" s="559">
        <f>IFERROR(__xludf.DUMMYFUNCTION("""COMPUTED_VALUE"""),84.0)</f>
        <v>84</v>
      </c>
      <c r="K702" s="559">
        <f>IFERROR(__xludf.DUMMYFUNCTION("""COMPUTED_VALUE"""),81.0)</f>
        <v>81</v>
      </c>
      <c r="L702" s="560">
        <f>IFERROR(__xludf.DUMMYFUNCTION("""COMPUTED_VALUE"""),50.0)</f>
        <v>50</v>
      </c>
      <c r="M702" s="561">
        <f>IFERROR(__xludf.DUMMYFUNCTION("""COMPUTED_VALUE"""),64.0)</f>
        <v>64</v>
      </c>
      <c r="N702" s="561">
        <f>IFERROR(__xludf.DUMMYFUNCTION("""COMPUTED_VALUE"""),51.5)</f>
        <v>51.5</v>
      </c>
      <c r="O702" s="560"/>
      <c r="P702" s="562">
        <f>IFERROR(__xludf.DUMMYFUNCTION("""COMPUTED_VALUE"""),77.0)</f>
        <v>77</v>
      </c>
      <c r="Q702" s="562">
        <f>IFERROR(__xludf.DUMMYFUNCTION("""COMPUTED_VALUE"""),62.0)</f>
        <v>62</v>
      </c>
      <c r="R702" s="562">
        <f>IFERROR(__xludf.DUMMYFUNCTION("""COMPUTED_VALUE"""),90.0)</f>
        <v>90</v>
      </c>
      <c r="S702" s="562"/>
      <c r="T702" s="217">
        <f>IFERROR(__xludf.DUMMYFUNCTION("""COMPUTED_VALUE"""),20.0)</f>
        <v>20</v>
      </c>
      <c r="U702" s="217">
        <f>IFERROR(__xludf.DUMMYFUNCTION("""COMPUTED_VALUE"""),22.0)</f>
        <v>22</v>
      </c>
      <c r="V702" s="217">
        <f>IFERROR(__xludf.DUMMYFUNCTION("""COMPUTED_VALUE"""),92.0)</f>
        <v>92</v>
      </c>
      <c r="W702" s="217">
        <f>IFERROR(__xludf.DUMMYFUNCTION("""COMPUTED_VALUE"""),88.0)</f>
        <v>88</v>
      </c>
      <c r="X702" s="217">
        <f>IFERROR(__xludf.DUMMYFUNCTION("""COMPUTED_VALUE"""),72.0)</f>
        <v>72</v>
      </c>
      <c r="Y702" s="217"/>
      <c r="Z702" s="217"/>
      <c r="AA702" s="481">
        <f>IFERROR(__xludf.DUMMYFUNCTION("""COMPUTED_VALUE"""),92.0)</f>
        <v>92</v>
      </c>
      <c r="AB702" s="481">
        <f>IFERROR(__xludf.DUMMYFUNCTION("""COMPUTED_VALUE"""),90.0)</f>
        <v>90</v>
      </c>
      <c r="AC702" s="481">
        <f>IFERROR(__xludf.DUMMYFUNCTION("""COMPUTED_VALUE"""),99.0)</f>
        <v>99</v>
      </c>
      <c r="AD702" s="481">
        <f>IFERROR(__xludf.DUMMYFUNCTION("""COMPUTED_VALUE"""),60.0)</f>
        <v>60</v>
      </c>
      <c r="AE702" s="481">
        <f>IFERROR(__xludf.DUMMYFUNCTION("""COMPUTED_VALUE"""),76.0)</f>
        <v>76</v>
      </c>
      <c r="AF702" s="481"/>
      <c r="AG702" s="481">
        <f>IFERROR(__xludf.DUMMYFUNCTION("""COMPUTED_VALUE"""),97.0)</f>
        <v>97</v>
      </c>
      <c r="AH702" s="481"/>
      <c r="AI702" s="158"/>
      <c r="AJ702" s="158"/>
      <c r="AK702" s="133">
        <f>IFERROR(__xludf.DUMMYFUNCTION("""COMPUTED_VALUE"""),4.0)</f>
        <v>4</v>
      </c>
      <c r="AL702" s="133">
        <f>IFERROR(__xludf.DUMMYFUNCTION("""COMPUTED_VALUE"""),3.0)</f>
        <v>3</v>
      </c>
      <c r="AM702" s="133">
        <f>IFERROR(__xludf.DUMMYFUNCTION("""COMPUTED_VALUE"""),3.0)</f>
        <v>3</v>
      </c>
      <c r="AN702" s="133" t="str">
        <f>IFERROR(__xludf.DUMMYFUNCTION("""COMPUTED_VALUE"""),"3.5")</f>
        <v>3.5</v>
      </c>
      <c r="AO702" s="133">
        <f>IFERROR(__xludf.DUMMYFUNCTION("""COMPUTED_VALUE"""),3.0)</f>
        <v>3</v>
      </c>
      <c r="AP702" s="155" t="s">
        <v>3801</v>
      </c>
    </row>
    <row r="703">
      <c r="A703" s="155">
        <f>IFERROR(__xludf.DUMMYFUNCTION("""COMPUTED_VALUE"""),32.0)</f>
        <v>32</v>
      </c>
      <c r="B703" s="155" t="str">
        <f>IFERROR(__xludf.DUMMYFUNCTION("""COMPUTED_VALUE"""),"nisa23csaiml@cmrit.ac.in")</f>
        <v>nisa23csaiml@cmrit.ac.in</v>
      </c>
      <c r="C703" s="174" t="str">
        <f>IFERROR(__xludf.DUMMYFUNCTION("""COMPUTED_VALUE"""),"NIKITA SAMEER PRABHUDESAI")</f>
        <v>NIKITA SAMEER PRABHUDESAI</v>
      </c>
      <c r="D703" s="155" t="str">
        <f>IFERROR(__xludf.DUMMYFUNCTION("""COMPUTED_VALUE"""),"1CR23CI032")</f>
        <v>1CR23CI032</v>
      </c>
      <c r="E703" s="563">
        <f>IFERROR(__xludf.DUMMYFUNCTION("""COMPUTED_VALUE"""),6.364047878E9)</f>
        <v>6364047878</v>
      </c>
      <c r="F703" s="155" t="str">
        <f>IFERROR(__xludf.DUMMYFUNCTION("""COMPUTED_VALUE"""),"CSE(AIML)")</f>
        <v>CSE(AIML)</v>
      </c>
      <c r="G703" s="158"/>
      <c r="H703" s="559">
        <f>IFERROR(__xludf.DUMMYFUNCTION("""COMPUTED_VALUE"""),89.0)</f>
        <v>89</v>
      </c>
      <c r="I703" s="559">
        <f>IFERROR(__xludf.DUMMYFUNCTION("""COMPUTED_VALUE"""),89.0)</f>
        <v>89</v>
      </c>
      <c r="J703" s="559">
        <f>IFERROR(__xludf.DUMMYFUNCTION("""COMPUTED_VALUE"""),70.0)</f>
        <v>70</v>
      </c>
      <c r="K703" s="559">
        <f>IFERROR(__xludf.DUMMYFUNCTION("""COMPUTED_VALUE"""),81.0)</f>
        <v>81</v>
      </c>
      <c r="L703" s="560">
        <f>IFERROR(__xludf.DUMMYFUNCTION("""COMPUTED_VALUE"""),54.0)</f>
        <v>54</v>
      </c>
      <c r="M703" s="561">
        <f>IFERROR(__xludf.DUMMYFUNCTION("""COMPUTED_VALUE"""),54.0)</f>
        <v>54</v>
      </c>
      <c r="N703" s="561">
        <f>IFERROR(__xludf.DUMMYFUNCTION("""COMPUTED_VALUE"""),50.0)</f>
        <v>50</v>
      </c>
      <c r="O703" s="560"/>
      <c r="P703" s="562">
        <f>IFERROR(__xludf.DUMMYFUNCTION("""COMPUTED_VALUE"""),79.0)</f>
        <v>79</v>
      </c>
      <c r="Q703" s="562">
        <f>IFERROR(__xludf.DUMMYFUNCTION("""COMPUTED_VALUE"""),67.0)</f>
        <v>67</v>
      </c>
      <c r="R703" s="562">
        <f>IFERROR(__xludf.DUMMYFUNCTION("""COMPUTED_VALUE"""),82.0)</f>
        <v>82</v>
      </c>
      <c r="S703" s="562"/>
      <c r="T703" s="217">
        <f>IFERROR(__xludf.DUMMYFUNCTION("""COMPUTED_VALUE"""),15.0)</f>
        <v>15</v>
      </c>
      <c r="U703" s="217">
        <f>IFERROR(__xludf.DUMMYFUNCTION("""COMPUTED_VALUE"""),17.0)</f>
        <v>17</v>
      </c>
      <c r="V703" s="217">
        <f>IFERROR(__xludf.DUMMYFUNCTION("""COMPUTED_VALUE"""),78.0)</f>
        <v>78</v>
      </c>
      <c r="W703" s="217">
        <f>IFERROR(__xludf.DUMMYFUNCTION("""COMPUTED_VALUE"""),90.0)</f>
        <v>90</v>
      </c>
      <c r="X703" s="217">
        <f>IFERROR(__xludf.DUMMYFUNCTION("""COMPUTED_VALUE"""),72.0)</f>
        <v>72</v>
      </c>
      <c r="Y703" s="217"/>
      <c r="Z703" s="217"/>
      <c r="AA703" s="481">
        <f>IFERROR(__xludf.DUMMYFUNCTION("""COMPUTED_VALUE"""),100.0)</f>
        <v>100</v>
      </c>
      <c r="AB703" s="481">
        <f>IFERROR(__xludf.DUMMYFUNCTION("""COMPUTED_VALUE"""),91.0)</f>
        <v>91</v>
      </c>
      <c r="AC703" s="481">
        <f>IFERROR(__xludf.DUMMYFUNCTION("""COMPUTED_VALUE"""),73.0)</f>
        <v>73</v>
      </c>
      <c r="AD703" s="481">
        <f>IFERROR(__xludf.DUMMYFUNCTION("""COMPUTED_VALUE"""),80.0)</f>
        <v>80</v>
      </c>
      <c r="AE703" s="481">
        <f>IFERROR(__xludf.DUMMYFUNCTION("""COMPUTED_VALUE"""),75.0)</f>
        <v>75</v>
      </c>
      <c r="AF703" s="481"/>
      <c r="AG703" s="481">
        <f>IFERROR(__xludf.DUMMYFUNCTION("""COMPUTED_VALUE"""),85.0)</f>
        <v>85</v>
      </c>
      <c r="AH703" s="481"/>
      <c r="AI703" s="158"/>
      <c r="AJ703" s="158"/>
      <c r="AK703" s="133">
        <f>IFERROR(__xludf.DUMMYFUNCTION("""COMPUTED_VALUE"""),4.0)</f>
        <v>4</v>
      </c>
      <c r="AL703" s="133">
        <f>IFERROR(__xludf.DUMMYFUNCTION("""COMPUTED_VALUE"""),3.0)</f>
        <v>3</v>
      </c>
      <c r="AM703" s="133">
        <f>IFERROR(__xludf.DUMMYFUNCTION("""COMPUTED_VALUE"""),3.0)</f>
        <v>3</v>
      </c>
      <c r="AN703" s="133" t="str">
        <f>IFERROR(__xludf.DUMMYFUNCTION("""COMPUTED_VALUE"""),"3.5")</f>
        <v>3.5</v>
      </c>
      <c r="AO703" s="133">
        <f>IFERROR(__xludf.DUMMYFUNCTION("""COMPUTED_VALUE"""),3.0)</f>
        <v>3</v>
      </c>
      <c r="AP703" s="155" t="s">
        <v>3801</v>
      </c>
    </row>
    <row r="704">
      <c r="A704" s="155">
        <f>IFERROR(__xludf.DUMMYFUNCTION("""COMPUTED_VALUE"""),33.0)</f>
        <v>33</v>
      </c>
      <c r="B704" s="155" t="str">
        <f>IFERROR(__xludf.DUMMYFUNCTION("""COMPUTED_VALUE"""),"pare23csaiml@cmrit.ac.in")</f>
        <v>pare23csaiml@cmrit.ac.in</v>
      </c>
      <c r="C704" s="174" t="str">
        <f>IFERROR(__xludf.DUMMYFUNCTION("""COMPUTED_VALUE"""),"PALAVALI AMARNATH REDDY")</f>
        <v>PALAVALI AMARNATH REDDY</v>
      </c>
      <c r="D704" s="155" t="str">
        <f>IFERROR(__xludf.DUMMYFUNCTION("""COMPUTED_VALUE"""),"1CR23CI034")</f>
        <v>1CR23CI034</v>
      </c>
      <c r="E704" s="563">
        <f>IFERROR(__xludf.DUMMYFUNCTION("""COMPUTED_VALUE"""),9.491428699E9)</f>
        <v>9491428699</v>
      </c>
      <c r="F704" s="155" t="str">
        <f>IFERROR(__xludf.DUMMYFUNCTION("""COMPUTED_VALUE"""),"CSE(AIML)")</f>
        <v>CSE(AIML)</v>
      </c>
      <c r="G704" s="158"/>
      <c r="H704" s="559">
        <f>IFERROR(__xludf.DUMMYFUNCTION("""COMPUTED_VALUE"""),70.0)</f>
        <v>70</v>
      </c>
      <c r="I704" s="559">
        <f>IFERROR(__xludf.DUMMYFUNCTION("""COMPUTED_VALUE"""),75.0)</f>
        <v>75</v>
      </c>
      <c r="J704" s="559">
        <f>IFERROR(__xludf.DUMMYFUNCTION("""COMPUTED_VALUE"""),37.0)</f>
        <v>37</v>
      </c>
      <c r="K704" s="559">
        <f>IFERROR(__xludf.DUMMYFUNCTION("""COMPUTED_VALUE"""),70.0)</f>
        <v>70</v>
      </c>
      <c r="L704" s="560">
        <f>IFERROR(__xludf.DUMMYFUNCTION("""COMPUTED_VALUE"""),50.0)</f>
        <v>50</v>
      </c>
      <c r="M704" s="561">
        <f>IFERROR(__xludf.DUMMYFUNCTION("""COMPUTED_VALUE"""),50.0)</f>
        <v>50</v>
      </c>
      <c r="N704" s="561">
        <f>IFERROR(__xludf.DUMMYFUNCTION("""COMPUTED_VALUE"""),50.0)</f>
        <v>50</v>
      </c>
      <c r="O704" s="560"/>
      <c r="P704" s="562">
        <f>IFERROR(__xludf.DUMMYFUNCTION("""COMPUTED_VALUE"""),84.0)</f>
        <v>84</v>
      </c>
      <c r="Q704" s="562">
        <f>IFERROR(__xludf.DUMMYFUNCTION("""COMPUTED_VALUE"""),50.0)</f>
        <v>50</v>
      </c>
      <c r="R704" s="562">
        <f>IFERROR(__xludf.DUMMYFUNCTION("""COMPUTED_VALUE"""),50.0)</f>
        <v>50</v>
      </c>
      <c r="S704" s="562"/>
      <c r="T704" s="217">
        <f>IFERROR(__xludf.DUMMYFUNCTION("""COMPUTED_VALUE"""),22.0)</f>
        <v>22</v>
      </c>
      <c r="U704" s="217">
        <f>IFERROR(__xludf.DUMMYFUNCTION("""COMPUTED_VALUE"""),25.0)</f>
        <v>25</v>
      </c>
      <c r="V704" s="217">
        <f>IFERROR(__xludf.DUMMYFUNCTION("""COMPUTED_VALUE"""),86.0)</f>
        <v>86</v>
      </c>
      <c r="W704" s="217">
        <f>IFERROR(__xludf.DUMMYFUNCTION("""COMPUTED_VALUE"""),90.0)</f>
        <v>90</v>
      </c>
      <c r="X704" s="217">
        <f>IFERROR(__xludf.DUMMYFUNCTION("""COMPUTED_VALUE"""),80.0)</f>
        <v>80</v>
      </c>
      <c r="Y704" s="217"/>
      <c r="Z704" s="217"/>
      <c r="AA704" s="481">
        <f>IFERROR(__xludf.DUMMYFUNCTION("""COMPUTED_VALUE"""),34.0)</f>
        <v>34</v>
      </c>
      <c r="AB704" s="481">
        <f>IFERROR(__xludf.DUMMYFUNCTION("""COMPUTED_VALUE"""),95.0)</f>
        <v>95</v>
      </c>
      <c r="AC704" s="481">
        <f>IFERROR(__xludf.DUMMYFUNCTION("""COMPUTED_VALUE"""),43.0)</f>
        <v>43</v>
      </c>
      <c r="AD704" s="481">
        <f>IFERROR(__xludf.DUMMYFUNCTION("""COMPUTED_VALUE"""),90.0)</f>
        <v>90</v>
      </c>
      <c r="AE704" s="481">
        <f>IFERROR(__xludf.DUMMYFUNCTION("""COMPUTED_VALUE"""),10.0)</f>
        <v>10</v>
      </c>
      <c r="AF704" s="481"/>
      <c r="AG704" s="481">
        <f>IFERROR(__xludf.DUMMYFUNCTION("""COMPUTED_VALUE"""),0.0)</f>
        <v>0</v>
      </c>
      <c r="AH704" s="481"/>
      <c r="AI704" s="158"/>
      <c r="AJ704" s="158"/>
      <c r="AK704" s="133">
        <f>IFERROR(__xludf.DUMMYFUNCTION("""COMPUTED_VALUE"""),2.0)</f>
        <v>2</v>
      </c>
      <c r="AL704" s="133">
        <f>IFERROR(__xludf.DUMMYFUNCTION("""COMPUTED_VALUE"""),3.0)</f>
        <v>3</v>
      </c>
      <c r="AM704" s="133">
        <f>IFERROR(__xludf.DUMMYFUNCTION("""COMPUTED_VALUE"""),3.0)</f>
        <v>3</v>
      </c>
      <c r="AN704" s="133" t="str">
        <f>IFERROR(__xludf.DUMMYFUNCTION("""COMPUTED_VALUE"""),"3")</f>
        <v>3</v>
      </c>
      <c r="AO704" s="133">
        <f>IFERROR(__xludf.DUMMYFUNCTION("""COMPUTED_VALUE"""),3.0)</f>
        <v>3</v>
      </c>
      <c r="AP704" s="155" t="s">
        <v>3801</v>
      </c>
    </row>
    <row r="705">
      <c r="A705" s="155">
        <f>IFERROR(__xludf.DUMMYFUNCTION("""COMPUTED_VALUE"""),34.0)</f>
        <v>34</v>
      </c>
      <c r="B705" s="155" t="str">
        <f>IFERROR(__xludf.DUMMYFUNCTION("""COMPUTED_VALUE"""),"paku23csaiml@cmrit.ac.in")</f>
        <v>paku23csaiml@cmrit.ac.in</v>
      </c>
      <c r="C705" s="174" t="str">
        <f>IFERROR(__xludf.DUMMYFUNCTION("""COMPUTED_VALUE"""),"PALLAVI A KUMBAR")</f>
        <v>PALLAVI A KUMBAR</v>
      </c>
      <c r="D705" s="155" t="str">
        <f>IFERROR(__xludf.DUMMYFUNCTION("""COMPUTED_VALUE"""),"1CR23CI035")</f>
        <v>1CR23CI035</v>
      </c>
      <c r="E705" s="563">
        <f>IFERROR(__xludf.DUMMYFUNCTION("""COMPUTED_VALUE"""),8.867274256E9)</f>
        <v>8867274256</v>
      </c>
      <c r="F705" s="155" t="str">
        <f>IFERROR(__xludf.DUMMYFUNCTION("""COMPUTED_VALUE"""),"CSE(AIML)")</f>
        <v>CSE(AIML)</v>
      </c>
      <c r="G705" s="158"/>
      <c r="H705" s="559">
        <f>IFERROR(__xludf.DUMMYFUNCTION("""COMPUTED_VALUE"""),82.0)</f>
        <v>82</v>
      </c>
      <c r="I705" s="559">
        <f>IFERROR(__xludf.DUMMYFUNCTION("""COMPUTED_VALUE"""),90.0)</f>
        <v>90</v>
      </c>
      <c r="J705" s="559">
        <f>IFERROR(__xludf.DUMMYFUNCTION("""COMPUTED_VALUE"""),71.0)</f>
        <v>71</v>
      </c>
      <c r="K705" s="559">
        <f>IFERROR(__xludf.DUMMYFUNCTION("""COMPUTED_VALUE"""),70.0)</f>
        <v>70</v>
      </c>
      <c r="L705" s="560">
        <f>IFERROR(__xludf.DUMMYFUNCTION("""COMPUTED_VALUE"""),78.0)</f>
        <v>78</v>
      </c>
      <c r="M705" s="561">
        <f>IFERROR(__xludf.DUMMYFUNCTION("""COMPUTED_VALUE"""),53.0)</f>
        <v>53</v>
      </c>
      <c r="N705" s="561">
        <f>IFERROR(__xludf.DUMMYFUNCTION("""COMPUTED_VALUE"""),50.0)</f>
        <v>50</v>
      </c>
      <c r="O705" s="560"/>
      <c r="P705" s="562">
        <f>IFERROR(__xludf.DUMMYFUNCTION("""COMPUTED_VALUE"""),81.0)</f>
        <v>81</v>
      </c>
      <c r="Q705" s="562">
        <f>IFERROR(__xludf.DUMMYFUNCTION("""COMPUTED_VALUE"""),72.0)</f>
        <v>72</v>
      </c>
      <c r="R705" s="562">
        <f>IFERROR(__xludf.DUMMYFUNCTION("""COMPUTED_VALUE"""),87.0)</f>
        <v>87</v>
      </c>
      <c r="S705" s="562"/>
      <c r="T705" s="217">
        <f>IFERROR(__xludf.DUMMYFUNCTION("""COMPUTED_VALUE"""),17.0)</f>
        <v>17</v>
      </c>
      <c r="U705" s="217">
        <f>IFERROR(__xludf.DUMMYFUNCTION("""COMPUTED_VALUE"""),22.0)</f>
        <v>22</v>
      </c>
      <c r="V705" s="217">
        <f>IFERROR(__xludf.DUMMYFUNCTION("""COMPUTED_VALUE"""),92.0)</f>
        <v>92</v>
      </c>
      <c r="W705" s="217">
        <f>IFERROR(__xludf.DUMMYFUNCTION("""COMPUTED_VALUE"""),90.0)</f>
        <v>90</v>
      </c>
      <c r="X705" s="217">
        <f>IFERROR(__xludf.DUMMYFUNCTION("""COMPUTED_VALUE"""),76.0)</f>
        <v>76</v>
      </c>
      <c r="Y705" s="217"/>
      <c r="Z705" s="217"/>
      <c r="AA705" s="481">
        <f>IFERROR(__xludf.DUMMYFUNCTION("""COMPUTED_VALUE"""),94.0)</f>
        <v>94</v>
      </c>
      <c r="AB705" s="481">
        <f>IFERROR(__xludf.DUMMYFUNCTION("""COMPUTED_VALUE"""),100.0)</f>
        <v>100</v>
      </c>
      <c r="AC705" s="481">
        <f>IFERROR(__xludf.DUMMYFUNCTION("""COMPUTED_VALUE"""),75.0)</f>
        <v>75</v>
      </c>
      <c r="AD705" s="481">
        <f>IFERROR(__xludf.DUMMYFUNCTION("""COMPUTED_VALUE"""),65.0)</f>
        <v>65</v>
      </c>
      <c r="AE705" s="481">
        <f>IFERROR(__xludf.DUMMYFUNCTION("""COMPUTED_VALUE"""),75.0)</f>
        <v>75</v>
      </c>
      <c r="AF705" s="481"/>
      <c r="AG705" s="481">
        <f>IFERROR(__xludf.DUMMYFUNCTION("""COMPUTED_VALUE"""),65.0)</f>
        <v>65</v>
      </c>
      <c r="AH705" s="481"/>
      <c r="AI705" s="158"/>
      <c r="AJ705" s="158"/>
      <c r="AK705" s="133">
        <f>IFERROR(__xludf.DUMMYFUNCTION("""COMPUTED_VALUE"""),4.0)</f>
        <v>4</v>
      </c>
      <c r="AL705" s="133">
        <f>IFERROR(__xludf.DUMMYFUNCTION("""COMPUTED_VALUE"""),3.0)</f>
        <v>3</v>
      </c>
      <c r="AM705" s="133">
        <f>IFERROR(__xludf.DUMMYFUNCTION("""COMPUTED_VALUE"""),3.0)</f>
        <v>3</v>
      </c>
      <c r="AN705" s="133" t="str">
        <f>IFERROR(__xludf.DUMMYFUNCTION("""COMPUTED_VALUE"""),"3.5")</f>
        <v>3.5</v>
      </c>
      <c r="AO705" s="133">
        <f>IFERROR(__xludf.DUMMYFUNCTION("""COMPUTED_VALUE"""),3.0)</f>
        <v>3</v>
      </c>
      <c r="AP705" s="155" t="s">
        <v>3801</v>
      </c>
    </row>
    <row r="706">
      <c r="A706" s="155">
        <f>IFERROR(__xludf.DUMMYFUNCTION("""COMPUTED_VALUE"""),35.0)</f>
        <v>35</v>
      </c>
      <c r="B706" s="155" t="str">
        <f>IFERROR(__xludf.DUMMYFUNCTION("""COMPUTED_VALUE"""),"pap23csaiml@cmrit.ac.in ")</f>
        <v>pap23csaiml@cmrit.ac.in </v>
      </c>
      <c r="C706" s="174" t="str">
        <f>IFERROR(__xludf.DUMMYFUNCTION("""COMPUTED_VALUE"""),"PATEEL MEGHANA REDDY")</f>
        <v>PATEEL MEGHANA REDDY</v>
      </c>
      <c r="D706" s="155" t="str">
        <f>IFERROR(__xludf.DUMMYFUNCTION("""COMPUTED_VALUE"""),"1CR23CI036")</f>
        <v>1CR23CI036</v>
      </c>
      <c r="E706" s="563">
        <f>IFERROR(__xludf.DUMMYFUNCTION("""COMPUTED_VALUE"""),8.919501726E9)</f>
        <v>8919501726</v>
      </c>
      <c r="F706" s="155" t="str">
        <f>IFERROR(__xludf.DUMMYFUNCTION("""COMPUTED_VALUE"""),"CSE(AIML)")</f>
        <v>CSE(AIML)</v>
      </c>
      <c r="G706" s="158"/>
      <c r="H706" s="559">
        <f>IFERROR(__xludf.DUMMYFUNCTION("""COMPUTED_VALUE"""),80.0)</f>
        <v>80</v>
      </c>
      <c r="I706" s="559">
        <f>IFERROR(__xludf.DUMMYFUNCTION("""COMPUTED_VALUE"""),86.0)</f>
        <v>86</v>
      </c>
      <c r="J706" s="559">
        <f>IFERROR(__xludf.DUMMYFUNCTION("""COMPUTED_VALUE"""),70.0)</f>
        <v>70</v>
      </c>
      <c r="K706" s="559">
        <f>IFERROR(__xludf.DUMMYFUNCTION("""COMPUTED_VALUE"""),70.0)</f>
        <v>70</v>
      </c>
      <c r="L706" s="560">
        <f>IFERROR(__xludf.DUMMYFUNCTION("""COMPUTED_VALUE"""),62.0)</f>
        <v>62</v>
      </c>
      <c r="M706" s="561">
        <f>IFERROR(__xludf.DUMMYFUNCTION("""COMPUTED_VALUE"""),50.0)</f>
        <v>50</v>
      </c>
      <c r="N706" s="561">
        <f>IFERROR(__xludf.DUMMYFUNCTION("""COMPUTED_VALUE"""),50.0)</f>
        <v>50</v>
      </c>
      <c r="O706" s="560"/>
      <c r="P706" s="562">
        <f>IFERROR(__xludf.DUMMYFUNCTION("""COMPUTED_VALUE"""),73.0)</f>
        <v>73</v>
      </c>
      <c r="Q706" s="562">
        <f>IFERROR(__xludf.DUMMYFUNCTION("""COMPUTED_VALUE"""),90.0)</f>
        <v>90</v>
      </c>
      <c r="R706" s="562">
        <f>IFERROR(__xludf.DUMMYFUNCTION("""COMPUTED_VALUE"""),89.0)</f>
        <v>89</v>
      </c>
      <c r="S706" s="562"/>
      <c r="T706" s="217">
        <f>IFERROR(__xludf.DUMMYFUNCTION("""COMPUTED_VALUE"""),12.0)</f>
        <v>12</v>
      </c>
      <c r="U706" s="217">
        <f>IFERROR(__xludf.DUMMYFUNCTION("""COMPUTED_VALUE"""),24.0)</f>
        <v>24</v>
      </c>
      <c r="V706" s="217">
        <f>IFERROR(__xludf.DUMMYFUNCTION("""COMPUTED_VALUE"""),92.0)</f>
        <v>92</v>
      </c>
      <c r="W706" s="217">
        <f>IFERROR(__xludf.DUMMYFUNCTION("""COMPUTED_VALUE"""),88.0)</f>
        <v>88</v>
      </c>
      <c r="X706" s="217">
        <f>IFERROR(__xludf.DUMMYFUNCTION("""COMPUTED_VALUE"""),64.0)</f>
        <v>64</v>
      </c>
      <c r="Y706" s="217"/>
      <c r="Z706" s="217"/>
      <c r="AA706" s="481">
        <f>IFERROR(__xludf.DUMMYFUNCTION("""COMPUTED_VALUE"""),77.6)</f>
        <v>77.6</v>
      </c>
      <c r="AB706" s="481">
        <f>IFERROR(__xludf.DUMMYFUNCTION("""COMPUTED_VALUE"""),88.0)</f>
        <v>88</v>
      </c>
      <c r="AC706" s="481">
        <f>IFERROR(__xludf.DUMMYFUNCTION("""COMPUTED_VALUE"""),28.0)</f>
        <v>28</v>
      </c>
      <c r="AD706" s="481">
        <f>IFERROR(__xludf.DUMMYFUNCTION("""COMPUTED_VALUE"""),86.0)</f>
        <v>86</v>
      </c>
      <c r="AE706" s="481">
        <f>IFERROR(__xludf.DUMMYFUNCTION("""COMPUTED_VALUE"""),17.0)</f>
        <v>17</v>
      </c>
      <c r="AF706" s="481"/>
      <c r="AG706" s="481">
        <f>IFERROR(__xludf.DUMMYFUNCTION("""COMPUTED_VALUE"""),88.0)</f>
        <v>88</v>
      </c>
      <c r="AH706" s="481"/>
      <c r="AI706" s="158"/>
      <c r="AJ706" s="158"/>
      <c r="AK706" s="133">
        <f>IFERROR(__xludf.DUMMYFUNCTION("""COMPUTED_VALUE"""),4.0)</f>
        <v>4</v>
      </c>
      <c r="AL706" s="133">
        <f>IFERROR(__xludf.DUMMYFUNCTION("""COMPUTED_VALUE"""),3.0)</f>
        <v>3</v>
      </c>
      <c r="AM706" s="133">
        <f>IFERROR(__xludf.DUMMYFUNCTION("""COMPUTED_VALUE"""),3.0)</f>
        <v>3</v>
      </c>
      <c r="AN706" s="133" t="str">
        <f>IFERROR(__xludf.DUMMYFUNCTION("""COMPUTED_VALUE"""),"3")</f>
        <v>3</v>
      </c>
      <c r="AO706" s="133">
        <f>IFERROR(__xludf.DUMMYFUNCTION("""COMPUTED_VALUE"""),3.0)</f>
        <v>3</v>
      </c>
      <c r="AP706" s="155" t="s">
        <v>3801</v>
      </c>
    </row>
    <row r="707">
      <c r="A707" s="155">
        <f>IFERROR(__xludf.DUMMYFUNCTION("""COMPUTED_VALUE"""),36.0)</f>
        <v>36</v>
      </c>
      <c r="B707" s="155" t="str">
        <f>IFERROR(__xludf.DUMMYFUNCTION("""COMPUTED_VALUE"""),"pima23csaiml@cmrit.ac.in")</f>
        <v>pima23csaiml@cmrit.ac.in</v>
      </c>
      <c r="C707" s="174" t="str">
        <f>IFERROR(__xludf.DUMMYFUNCTION("""COMPUTED_VALUE"""),"Pippala manikanta")</f>
        <v>Pippala manikanta</v>
      </c>
      <c r="D707" s="155" t="str">
        <f>IFERROR(__xludf.DUMMYFUNCTION("""COMPUTED_VALUE"""),"1CR23CI037")</f>
        <v>1CR23CI037</v>
      </c>
      <c r="E707" s="563">
        <f>IFERROR(__xludf.DUMMYFUNCTION("""COMPUTED_VALUE"""),9.666585878E9)</f>
        <v>9666585878</v>
      </c>
      <c r="F707" s="155" t="str">
        <f>IFERROR(__xludf.DUMMYFUNCTION("""COMPUTED_VALUE"""),"CSE(AIML)")</f>
        <v>CSE(AIML)</v>
      </c>
      <c r="G707" s="158"/>
      <c r="H707" s="559">
        <f>IFERROR(__xludf.DUMMYFUNCTION("""COMPUTED_VALUE"""),70.0)</f>
        <v>70</v>
      </c>
      <c r="I707" s="559">
        <f>IFERROR(__xludf.DUMMYFUNCTION("""COMPUTED_VALUE"""),77.0)</f>
        <v>77</v>
      </c>
      <c r="J707" s="559">
        <f>IFERROR(__xludf.DUMMYFUNCTION("""COMPUTED_VALUE"""),49.0)</f>
        <v>49</v>
      </c>
      <c r="K707" s="559">
        <f>IFERROR(__xludf.DUMMYFUNCTION("""COMPUTED_VALUE"""),70.0)</f>
        <v>70</v>
      </c>
      <c r="L707" s="560">
        <f>IFERROR(__xludf.DUMMYFUNCTION("""COMPUTED_VALUE"""),50.0)</f>
        <v>50</v>
      </c>
      <c r="M707" s="561">
        <f>IFERROR(__xludf.DUMMYFUNCTION("""COMPUTED_VALUE"""),50.0)</f>
        <v>50</v>
      </c>
      <c r="N707" s="561">
        <f>IFERROR(__xludf.DUMMYFUNCTION("""COMPUTED_VALUE"""),50.0)</f>
        <v>50</v>
      </c>
      <c r="O707" s="560"/>
      <c r="P707" s="562">
        <f>IFERROR(__xludf.DUMMYFUNCTION("""COMPUTED_VALUE"""),50.0)</f>
        <v>50</v>
      </c>
      <c r="Q707" s="562">
        <f>IFERROR(__xludf.DUMMYFUNCTION("""COMPUTED_VALUE"""),50.0)</f>
        <v>50</v>
      </c>
      <c r="R707" s="562">
        <f>IFERROR(__xludf.DUMMYFUNCTION("""COMPUTED_VALUE"""),94.0)</f>
        <v>94</v>
      </c>
      <c r="S707" s="562"/>
      <c r="T707" s="217">
        <f>IFERROR(__xludf.DUMMYFUNCTION("""COMPUTED_VALUE"""),15.0)</f>
        <v>15</v>
      </c>
      <c r="U707" s="217">
        <f>IFERROR(__xludf.DUMMYFUNCTION("""COMPUTED_VALUE"""),22.0)</f>
        <v>22</v>
      </c>
      <c r="V707" s="217">
        <f>IFERROR(__xludf.DUMMYFUNCTION("""COMPUTED_VALUE"""),92.0)</f>
        <v>92</v>
      </c>
      <c r="W707" s="217">
        <f>IFERROR(__xludf.DUMMYFUNCTION("""COMPUTED_VALUE"""),86.0)</f>
        <v>86</v>
      </c>
      <c r="X707" s="217">
        <f>IFERROR(__xludf.DUMMYFUNCTION("""COMPUTED_VALUE"""),82.0)</f>
        <v>82</v>
      </c>
      <c r="Y707" s="217"/>
      <c r="Z707" s="217"/>
      <c r="AA707" s="481">
        <f>IFERROR(__xludf.DUMMYFUNCTION("""COMPUTED_VALUE"""),20.0)</f>
        <v>20</v>
      </c>
      <c r="AB707" s="481">
        <f>IFERROR(__xludf.DUMMYFUNCTION("""COMPUTED_VALUE"""),50.0)</f>
        <v>50</v>
      </c>
      <c r="AC707" s="481">
        <f>IFERROR(__xludf.DUMMYFUNCTION("""COMPUTED_VALUE"""),80.0)</f>
        <v>80</v>
      </c>
      <c r="AD707" s="481">
        <f>IFERROR(__xludf.DUMMYFUNCTION("""COMPUTED_VALUE"""),90.0)</f>
        <v>90</v>
      </c>
      <c r="AE707" s="481">
        <f>IFERROR(__xludf.DUMMYFUNCTION("""COMPUTED_VALUE"""),82.0)</f>
        <v>82</v>
      </c>
      <c r="AF707" s="481"/>
      <c r="AG707" s="481">
        <f>IFERROR(__xludf.DUMMYFUNCTION("""COMPUTED_VALUE"""),32.0)</f>
        <v>32</v>
      </c>
      <c r="AH707" s="481"/>
      <c r="AI707" s="158"/>
      <c r="AJ707" s="158"/>
      <c r="AK707" s="133">
        <f>IFERROR(__xludf.DUMMYFUNCTION("""COMPUTED_VALUE"""),2.0)</f>
        <v>2</v>
      </c>
      <c r="AL707" s="133">
        <f>IFERROR(__xludf.DUMMYFUNCTION("""COMPUTED_VALUE"""),3.0)</f>
        <v>3</v>
      </c>
      <c r="AM707" s="133">
        <f>IFERROR(__xludf.DUMMYFUNCTION("""COMPUTED_VALUE"""),3.0)</f>
        <v>3</v>
      </c>
      <c r="AN707" s="133" t="str">
        <f>IFERROR(__xludf.DUMMYFUNCTION("""COMPUTED_VALUE"""),"3.5")</f>
        <v>3.5</v>
      </c>
      <c r="AO707" s="133">
        <f>IFERROR(__xludf.DUMMYFUNCTION("""COMPUTED_VALUE"""),3.0)</f>
        <v>3</v>
      </c>
      <c r="AP707" s="155" t="s">
        <v>3801</v>
      </c>
    </row>
    <row r="708">
      <c r="A708" s="155">
        <f>IFERROR(__xludf.DUMMYFUNCTION("""COMPUTED_VALUE"""),37.0)</f>
        <v>37</v>
      </c>
      <c r="B708" s="155" t="str">
        <f>IFERROR(__xludf.DUMMYFUNCTION("""COMPUTED_VALUE"""),"prn23csaiml@cmrit.ac.in")</f>
        <v>prn23csaiml@cmrit.ac.in</v>
      </c>
      <c r="C708" s="174" t="str">
        <f>IFERROR(__xludf.DUMMYFUNCTION("""COMPUTED_VALUE"""),"PREETHI N")</f>
        <v>PREETHI N</v>
      </c>
      <c r="D708" s="155" t="str">
        <f>IFERROR(__xludf.DUMMYFUNCTION("""COMPUTED_VALUE"""),"1CR23CI038")</f>
        <v>1CR23CI038</v>
      </c>
      <c r="E708" s="563">
        <f>IFERROR(__xludf.DUMMYFUNCTION("""COMPUTED_VALUE"""),9.986814052E9)</f>
        <v>9986814052</v>
      </c>
      <c r="F708" s="155" t="str">
        <f>IFERROR(__xludf.DUMMYFUNCTION("""COMPUTED_VALUE"""),"CSE(AIML)")</f>
        <v>CSE(AIML)</v>
      </c>
      <c r="G708" s="158"/>
      <c r="H708" s="559">
        <f>IFERROR(__xludf.DUMMYFUNCTION("""COMPUTED_VALUE"""),82.0)</f>
        <v>82</v>
      </c>
      <c r="I708" s="559">
        <f>IFERROR(__xludf.DUMMYFUNCTION("""COMPUTED_VALUE"""),88.0)</f>
        <v>88</v>
      </c>
      <c r="J708" s="559">
        <f>IFERROR(__xludf.DUMMYFUNCTION("""COMPUTED_VALUE"""),80.0)</f>
        <v>80</v>
      </c>
      <c r="K708" s="559">
        <f>IFERROR(__xludf.DUMMYFUNCTION("""COMPUTED_VALUE"""),70.0)</f>
        <v>70</v>
      </c>
      <c r="L708" s="560">
        <f>IFERROR(__xludf.DUMMYFUNCTION("""COMPUTED_VALUE"""),52.0)</f>
        <v>52</v>
      </c>
      <c r="M708" s="561">
        <f>IFERROR(__xludf.DUMMYFUNCTION("""COMPUTED_VALUE"""),50.0)</f>
        <v>50</v>
      </c>
      <c r="N708" s="561">
        <f>IFERROR(__xludf.DUMMYFUNCTION("""COMPUTED_VALUE"""),50.0)</f>
        <v>50</v>
      </c>
      <c r="O708" s="560"/>
      <c r="P708" s="562">
        <f>IFERROR(__xludf.DUMMYFUNCTION("""COMPUTED_VALUE"""),82.0)</f>
        <v>82</v>
      </c>
      <c r="Q708" s="562">
        <f>IFERROR(__xludf.DUMMYFUNCTION("""COMPUTED_VALUE"""),75.0)</f>
        <v>75</v>
      </c>
      <c r="R708" s="562">
        <f>IFERROR(__xludf.DUMMYFUNCTION("""COMPUTED_VALUE"""),67.0)</f>
        <v>67</v>
      </c>
      <c r="S708" s="562"/>
      <c r="T708" s="217">
        <f>IFERROR(__xludf.DUMMYFUNCTION("""COMPUTED_VALUE"""),14.0)</f>
        <v>14</v>
      </c>
      <c r="U708" s="217">
        <f>IFERROR(__xludf.DUMMYFUNCTION("""COMPUTED_VALUE"""),25.0)</f>
        <v>25</v>
      </c>
      <c r="V708" s="217">
        <f>IFERROR(__xludf.DUMMYFUNCTION("""COMPUTED_VALUE"""),92.0)</f>
        <v>92</v>
      </c>
      <c r="W708" s="217">
        <f>IFERROR(__xludf.DUMMYFUNCTION("""COMPUTED_VALUE"""),90.0)</f>
        <v>90</v>
      </c>
      <c r="X708" s="217">
        <f>IFERROR(__xludf.DUMMYFUNCTION("""COMPUTED_VALUE"""),84.0)</f>
        <v>84</v>
      </c>
      <c r="Y708" s="217"/>
      <c r="Z708" s="217"/>
      <c r="AA708" s="481">
        <f>IFERROR(__xludf.DUMMYFUNCTION("""COMPUTED_VALUE"""),74.0)</f>
        <v>74</v>
      </c>
      <c r="AB708" s="481">
        <f>IFERROR(__xludf.DUMMYFUNCTION("""COMPUTED_VALUE"""),92.0)</f>
        <v>92</v>
      </c>
      <c r="AC708" s="481">
        <f>IFERROR(__xludf.DUMMYFUNCTION("""COMPUTED_VALUE"""),26.0)</f>
        <v>26</v>
      </c>
      <c r="AD708" s="481">
        <f>IFERROR(__xludf.DUMMYFUNCTION("""COMPUTED_VALUE"""),80.0)</f>
        <v>80</v>
      </c>
      <c r="AE708" s="481">
        <f>IFERROR(__xludf.DUMMYFUNCTION("""COMPUTED_VALUE"""),75.0)</f>
        <v>75</v>
      </c>
      <c r="AF708" s="481"/>
      <c r="AG708" s="481">
        <f>IFERROR(__xludf.DUMMYFUNCTION("""COMPUTED_VALUE"""),98.0)</f>
        <v>98</v>
      </c>
      <c r="AH708" s="481"/>
      <c r="AI708" s="158"/>
      <c r="AJ708" s="158"/>
      <c r="AK708" s="133">
        <f>IFERROR(__xludf.DUMMYFUNCTION("""COMPUTED_VALUE"""),4.0)</f>
        <v>4</v>
      </c>
      <c r="AL708" s="133">
        <f>IFERROR(__xludf.DUMMYFUNCTION("""COMPUTED_VALUE"""),3.0)</f>
        <v>3</v>
      </c>
      <c r="AM708" s="133">
        <f>IFERROR(__xludf.DUMMYFUNCTION("""COMPUTED_VALUE"""),3.0)</f>
        <v>3</v>
      </c>
      <c r="AN708" s="133" t="str">
        <f>IFERROR(__xludf.DUMMYFUNCTION("""COMPUTED_VALUE"""),"3.5")</f>
        <v>3.5</v>
      </c>
      <c r="AO708" s="133">
        <f>IFERROR(__xludf.DUMMYFUNCTION("""COMPUTED_VALUE"""),3.0)</f>
        <v>3</v>
      </c>
      <c r="AP708" s="155" t="s">
        <v>3801</v>
      </c>
    </row>
    <row r="709">
      <c r="A709" s="155">
        <f>IFERROR(__xludf.DUMMYFUNCTION("""COMPUTED_VALUE"""),38.0)</f>
        <v>38</v>
      </c>
      <c r="B709" s="155" t="str">
        <f>IFERROR(__xludf.DUMMYFUNCTION("""COMPUTED_VALUE"""),"prma23csaiml@cmrit.ac.in")</f>
        <v>prma23csaiml@cmrit.ac.in</v>
      </c>
      <c r="C709" s="174" t="str">
        <f>IFERROR(__xludf.DUMMYFUNCTION("""COMPUTED_VALUE"""),"PRIYANSHU MADHUP")</f>
        <v>PRIYANSHU MADHUP</v>
      </c>
      <c r="D709" s="155" t="str">
        <f>IFERROR(__xludf.DUMMYFUNCTION("""COMPUTED_VALUE"""),"1CR23CI039")</f>
        <v>1CR23CI039</v>
      </c>
      <c r="E709" s="563">
        <f>IFERROR(__xludf.DUMMYFUNCTION("""COMPUTED_VALUE"""),8.10552404E9)</f>
        <v>8105524040</v>
      </c>
      <c r="F709" s="155" t="str">
        <f>IFERROR(__xludf.DUMMYFUNCTION("""COMPUTED_VALUE"""),"CSE(AIML)")</f>
        <v>CSE(AIML)</v>
      </c>
      <c r="G709" s="158"/>
      <c r="H709" s="559">
        <f>IFERROR(__xludf.DUMMYFUNCTION("""COMPUTED_VALUE"""),83.0)</f>
        <v>83</v>
      </c>
      <c r="I709" s="559">
        <f>IFERROR(__xludf.DUMMYFUNCTION("""COMPUTED_VALUE"""),90.0)</f>
        <v>90</v>
      </c>
      <c r="J709" s="559">
        <f>IFERROR(__xludf.DUMMYFUNCTION("""COMPUTED_VALUE"""),71.0)</f>
        <v>71</v>
      </c>
      <c r="K709" s="559">
        <f>IFERROR(__xludf.DUMMYFUNCTION("""COMPUTED_VALUE"""),70.0)</f>
        <v>70</v>
      </c>
      <c r="L709" s="560">
        <f>IFERROR(__xludf.DUMMYFUNCTION("""COMPUTED_VALUE"""),59.0)</f>
        <v>59</v>
      </c>
      <c r="M709" s="561">
        <f>IFERROR(__xludf.DUMMYFUNCTION("""COMPUTED_VALUE"""),54.0)</f>
        <v>54</v>
      </c>
      <c r="N709" s="561">
        <f>IFERROR(__xludf.DUMMYFUNCTION("""COMPUTED_VALUE"""),50.25)</f>
        <v>50.25</v>
      </c>
      <c r="O709" s="560"/>
      <c r="P709" s="562">
        <f>IFERROR(__xludf.DUMMYFUNCTION("""COMPUTED_VALUE"""),82.0)</f>
        <v>82</v>
      </c>
      <c r="Q709" s="562">
        <f>IFERROR(__xludf.DUMMYFUNCTION("""COMPUTED_VALUE"""),59.0)</f>
        <v>59</v>
      </c>
      <c r="R709" s="562">
        <f>IFERROR(__xludf.DUMMYFUNCTION("""COMPUTED_VALUE"""),87.0)</f>
        <v>87</v>
      </c>
      <c r="S709" s="562"/>
      <c r="T709" s="217">
        <f>IFERROR(__xludf.DUMMYFUNCTION("""COMPUTED_VALUE"""),18.0)</f>
        <v>18</v>
      </c>
      <c r="U709" s="217">
        <f>IFERROR(__xludf.DUMMYFUNCTION("""COMPUTED_VALUE"""),25.0)</f>
        <v>25</v>
      </c>
      <c r="V709" s="217">
        <f>IFERROR(__xludf.DUMMYFUNCTION("""COMPUTED_VALUE"""),92.0)</f>
        <v>92</v>
      </c>
      <c r="W709" s="217">
        <f>IFERROR(__xludf.DUMMYFUNCTION("""COMPUTED_VALUE"""),90.0)</f>
        <v>90</v>
      </c>
      <c r="X709" s="217">
        <f>IFERROR(__xludf.DUMMYFUNCTION("""COMPUTED_VALUE"""),82.0)</f>
        <v>82</v>
      </c>
      <c r="Y709" s="217"/>
      <c r="Z709" s="217"/>
      <c r="AA709" s="481">
        <f>IFERROR(__xludf.DUMMYFUNCTION("""COMPUTED_VALUE"""),100.0)</f>
        <v>100</v>
      </c>
      <c r="AB709" s="481">
        <f>IFERROR(__xludf.DUMMYFUNCTION("""COMPUTED_VALUE"""),75.0)</f>
        <v>75</v>
      </c>
      <c r="AC709" s="481">
        <f>IFERROR(__xludf.DUMMYFUNCTION("""COMPUTED_VALUE"""),86.0)</f>
        <v>86</v>
      </c>
      <c r="AD709" s="481">
        <f>IFERROR(__xludf.DUMMYFUNCTION("""COMPUTED_VALUE"""),60.0)</f>
        <v>60</v>
      </c>
      <c r="AE709" s="481">
        <f>IFERROR(__xludf.DUMMYFUNCTION("""COMPUTED_VALUE"""),76.0)</f>
        <v>76</v>
      </c>
      <c r="AF709" s="481"/>
      <c r="AG709" s="481">
        <f>IFERROR(__xludf.DUMMYFUNCTION("""COMPUTED_VALUE"""),98.0)</f>
        <v>98</v>
      </c>
      <c r="AH709" s="481"/>
      <c r="AI709" s="158"/>
      <c r="AJ709" s="158"/>
      <c r="AK709" s="133">
        <f>IFERROR(__xludf.DUMMYFUNCTION("""COMPUTED_VALUE"""),4.0)</f>
        <v>4</v>
      </c>
      <c r="AL709" s="133">
        <f>IFERROR(__xludf.DUMMYFUNCTION("""COMPUTED_VALUE"""),3.0)</f>
        <v>3</v>
      </c>
      <c r="AM709" s="133">
        <f>IFERROR(__xludf.DUMMYFUNCTION("""COMPUTED_VALUE"""),3.0)</f>
        <v>3</v>
      </c>
      <c r="AN709" s="133" t="str">
        <f>IFERROR(__xludf.DUMMYFUNCTION("""COMPUTED_VALUE"""),"3.5")</f>
        <v>3.5</v>
      </c>
      <c r="AO709" s="133">
        <f>IFERROR(__xludf.DUMMYFUNCTION("""COMPUTED_VALUE"""),3.0)</f>
        <v>3</v>
      </c>
      <c r="AP709" s="155" t="s">
        <v>3801</v>
      </c>
    </row>
    <row r="710">
      <c r="A710" s="155">
        <f>IFERROR(__xludf.DUMMYFUNCTION("""COMPUTED_VALUE"""),39.0)</f>
        <v>39</v>
      </c>
      <c r="B710" s="155" t="str">
        <f>IFERROR(__xludf.DUMMYFUNCTION("""COMPUTED_VALUE"""),"pupu23csaiml@cmrit.ac.in")</f>
        <v>pupu23csaiml@cmrit.ac.in</v>
      </c>
      <c r="C710" s="174" t="str">
        <f>IFERROR(__xludf.DUMMYFUNCTION("""COMPUTED_VALUE"""),"Purvi Ashok Kalliganur")</f>
        <v>Purvi Ashok Kalliganur</v>
      </c>
      <c r="D710" s="155" t="str">
        <f>IFERROR(__xludf.DUMMYFUNCTION("""COMPUTED_VALUE"""),"1CR23CI040")</f>
        <v>1CR23CI040</v>
      </c>
      <c r="E710" s="563">
        <f>IFERROR(__xludf.DUMMYFUNCTION("""COMPUTED_VALUE"""),9.845932652E9)</f>
        <v>9845932652</v>
      </c>
      <c r="F710" s="155" t="str">
        <f>IFERROR(__xludf.DUMMYFUNCTION("""COMPUTED_VALUE"""),"CSE(AIML)")</f>
        <v>CSE(AIML)</v>
      </c>
      <c r="G710" s="158"/>
      <c r="H710" s="559">
        <f>IFERROR(__xludf.DUMMYFUNCTION("""COMPUTED_VALUE"""),87.0)</f>
        <v>87</v>
      </c>
      <c r="I710" s="559">
        <f>IFERROR(__xludf.DUMMYFUNCTION("""COMPUTED_VALUE"""),89.0)</f>
        <v>89</v>
      </c>
      <c r="J710" s="559">
        <f>IFERROR(__xludf.DUMMYFUNCTION("""COMPUTED_VALUE"""),75.0)</f>
        <v>75</v>
      </c>
      <c r="K710" s="559">
        <f>IFERROR(__xludf.DUMMYFUNCTION("""COMPUTED_VALUE"""),70.0)</f>
        <v>70</v>
      </c>
      <c r="L710" s="560">
        <f>IFERROR(__xludf.DUMMYFUNCTION("""COMPUTED_VALUE"""),58.0)</f>
        <v>58</v>
      </c>
      <c r="M710" s="561">
        <f>IFERROR(__xludf.DUMMYFUNCTION("""COMPUTED_VALUE"""),50.0)</f>
        <v>50</v>
      </c>
      <c r="N710" s="561">
        <f>IFERROR(__xludf.DUMMYFUNCTION("""COMPUTED_VALUE"""),52.0)</f>
        <v>52</v>
      </c>
      <c r="O710" s="560"/>
      <c r="P710" s="562">
        <f>IFERROR(__xludf.DUMMYFUNCTION("""COMPUTED_VALUE"""),80.0)</f>
        <v>80</v>
      </c>
      <c r="Q710" s="562">
        <f>IFERROR(__xludf.DUMMYFUNCTION("""COMPUTED_VALUE"""),62.0)</f>
        <v>62</v>
      </c>
      <c r="R710" s="562">
        <f>IFERROR(__xludf.DUMMYFUNCTION("""COMPUTED_VALUE"""),94.0)</f>
        <v>94</v>
      </c>
      <c r="S710" s="562"/>
      <c r="T710" s="217">
        <f>IFERROR(__xludf.DUMMYFUNCTION("""COMPUTED_VALUE"""),14.0)</f>
        <v>14</v>
      </c>
      <c r="U710" s="217">
        <f>IFERROR(__xludf.DUMMYFUNCTION("""COMPUTED_VALUE"""),24.0)</f>
        <v>24</v>
      </c>
      <c r="V710" s="217">
        <f>IFERROR(__xludf.DUMMYFUNCTION("""COMPUTED_VALUE"""),90.0)</f>
        <v>90</v>
      </c>
      <c r="W710" s="217">
        <f>IFERROR(__xludf.DUMMYFUNCTION("""COMPUTED_VALUE"""),92.0)</f>
        <v>92</v>
      </c>
      <c r="X710" s="217">
        <f>IFERROR(__xludf.DUMMYFUNCTION("""COMPUTED_VALUE"""),66.0)</f>
        <v>66</v>
      </c>
      <c r="Y710" s="217"/>
      <c r="Z710" s="217"/>
      <c r="AA710" s="481">
        <f>IFERROR(__xludf.DUMMYFUNCTION("""COMPUTED_VALUE"""),84.0)</f>
        <v>84</v>
      </c>
      <c r="AB710" s="481">
        <f>IFERROR(__xludf.DUMMYFUNCTION("""COMPUTED_VALUE"""),92.0)</f>
        <v>92</v>
      </c>
      <c r="AC710" s="481">
        <f>IFERROR(__xludf.DUMMYFUNCTION("""COMPUTED_VALUE"""),69.0)</f>
        <v>69</v>
      </c>
      <c r="AD710" s="481">
        <f>IFERROR(__xludf.DUMMYFUNCTION("""COMPUTED_VALUE"""),60.0)</f>
        <v>60</v>
      </c>
      <c r="AE710" s="481">
        <f>IFERROR(__xludf.DUMMYFUNCTION("""COMPUTED_VALUE"""),70.0)</f>
        <v>70</v>
      </c>
      <c r="AF710" s="481"/>
      <c r="AG710" s="481">
        <f>IFERROR(__xludf.DUMMYFUNCTION("""COMPUTED_VALUE"""),98.0)</f>
        <v>98</v>
      </c>
      <c r="AH710" s="481"/>
      <c r="AI710" s="158"/>
      <c r="AJ710" s="158"/>
      <c r="AK710" s="133">
        <f>IFERROR(__xludf.DUMMYFUNCTION("""COMPUTED_VALUE"""),4.0)</f>
        <v>4</v>
      </c>
      <c r="AL710" s="133">
        <f>IFERROR(__xludf.DUMMYFUNCTION("""COMPUTED_VALUE"""),3.0)</f>
        <v>3</v>
      </c>
      <c r="AM710" s="133">
        <f>IFERROR(__xludf.DUMMYFUNCTION("""COMPUTED_VALUE"""),3.0)</f>
        <v>3</v>
      </c>
      <c r="AN710" s="133" t="str">
        <f>IFERROR(__xludf.DUMMYFUNCTION("""COMPUTED_VALUE"""),"3.5")</f>
        <v>3.5</v>
      </c>
      <c r="AO710" s="133">
        <f>IFERROR(__xludf.DUMMYFUNCTION("""COMPUTED_VALUE"""),3.0)</f>
        <v>3</v>
      </c>
      <c r="AP710" s="155" t="s">
        <v>3801</v>
      </c>
    </row>
    <row r="711">
      <c r="A711" s="155">
        <f>IFERROR(__xludf.DUMMYFUNCTION("""COMPUTED_VALUE"""),40.0)</f>
        <v>40</v>
      </c>
      <c r="B711" s="155" t="str">
        <f>IFERROR(__xludf.DUMMYFUNCTION("""COMPUTED_VALUE"""),"rajo23csaiml@cmrit.ac.in")</f>
        <v>rajo23csaiml@cmrit.ac.in</v>
      </c>
      <c r="C711" s="174" t="str">
        <f>IFERROR(__xludf.DUMMYFUNCTION("""COMPUTED_VALUE"""),"RACHIT JOSEPH")</f>
        <v>RACHIT JOSEPH</v>
      </c>
      <c r="D711" s="155" t="str">
        <f>IFERROR(__xludf.DUMMYFUNCTION("""COMPUTED_VALUE"""),"1CR23CI041")</f>
        <v>1CR23CI041</v>
      </c>
      <c r="E711" s="563">
        <f>IFERROR(__xludf.DUMMYFUNCTION("""COMPUTED_VALUE"""),7.204289321E9)</f>
        <v>7204289321</v>
      </c>
      <c r="F711" s="155" t="str">
        <f>IFERROR(__xludf.DUMMYFUNCTION("""COMPUTED_VALUE"""),"CSE(AIML)")</f>
        <v>CSE(AIML)</v>
      </c>
      <c r="G711" s="158"/>
      <c r="H711" s="559">
        <f>IFERROR(__xludf.DUMMYFUNCTION("""COMPUTED_VALUE"""),87.0)</f>
        <v>87</v>
      </c>
      <c r="I711" s="559">
        <f>IFERROR(__xludf.DUMMYFUNCTION("""COMPUTED_VALUE"""),96.0)</f>
        <v>96</v>
      </c>
      <c r="J711" s="559">
        <f>IFERROR(__xludf.DUMMYFUNCTION("""COMPUTED_VALUE"""),86.0)</f>
        <v>86</v>
      </c>
      <c r="K711" s="559">
        <f>IFERROR(__xludf.DUMMYFUNCTION("""COMPUTED_VALUE"""),60.0)</f>
        <v>60</v>
      </c>
      <c r="L711" s="560">
        <f>IFERROR(__xludf.DUMMYFUNCTION("""COMPUTED_VALUE"""),41.0)</f>
        <v>41</v>
      </c>
      <c r="M711" s="561">
        <f>IFERROR(__xludf.DUMMYFUNCTION("""COMPUTED_VALUE"""),12.0)</f>
        <v>12</v>
      </c>
      <c r="N711" s="561">
        <f>IFERROR(__xludf.DUMMYFUNCTION("""COMPUTED_VALUE"""),6.0)</f>
        <v>6</v>
      </c>
      <c r="O711" s="560"/>
      <c r="P711" s="562">
        <f>IFERROR(__xludf.DUMMYFUNCTION("""COMPUTED_VALUE"""),84.0)</f>
        <v>84</v>
      </c>
      <c r="Q711" s="562">
        <f>IFERROR(__xludf.DUMMYFUNCTION("""COMPUTED_VALUE"""),71.0)</f>
        <v>71</v>
      </c>
      <c r="R711" s="562">
        <f>IFERROR(__xludf.DUMMYFUNCTION("""COMPUTED_VALUE"""),0.0)</f>
        <v>0</v>
      </c>
      <c r="S711" s="562"/>
      <c r="T711" s="217">
        <f>IFERROR(__xludf.DUMMYFUNCTION("""COMPUTED_VALUE"""),18.0)</f>
        <v>18</v>
      </c>
      <c r="U711" s="217">
        <f>IFERROR(__xludf.DUMMYFUNCTION("""COMPUTED_VALUE"""),24.0)</f>
        <v>24</v>
      </c>
      <c r="V711" s="217">
        <f>IFERROR(__xludf.DUMMYFUNCTION("""COMPUTED_VALUE"""),90.0)</f>
        <v>90</v>
      </c>
      <c r="W711" s="217">
        <f>IFERROR(__xludf.DUMMYFUNCTION("""COMPUTED_VALUE"""),90.0)</f>
        <v>90</v>
      </c>
      <c r="X711" s="217">
        <f>IFERROR(__xludf.DUMMYFUNCTION("""COMPUTED_VALUE"""),82.0)</f>
        <v>82</v>
      </c>
      <c r="Y711" s="217"/>
      <c r="Z711" s="217"/>
      <c r="AA711" s="481">
        <f>IFERROR(__xludf.DUMMYFUNCTION("""COMPUTED_VALUE"""),96.0)</f>
        <v>96</v>
      </c>
      <c r="AB711" s="481">
        <f>IFERROR(__xludf.DUMMYFUNCTION("""COMPUTED_VALUE"""),100.0)</f>
        <v>100</v>
      </c>
      <c r="AC711" s="481">
        <f>IFERROR(__xludf.DUMMYFUNCTION("""COMPUTED_VALUE"""),50.0)</f>
        <v>50</v>
      </c>
      <c r="AD711" s="481">
        <f>IFERROR(__xludf.DUMMYFUNCTION("""COMPUTED_VALUE"""),48.0)</f>
        <v>48</v>
      </c>
      <c r="AE711" s="481">
        <f>IFERROR(__xludf.DUMMYFUNCTION("""COMPUTED_VALUE"""),10.0)</f>
        <v>10</v>
      </c>
      <c r="AF711" s="481"/>
      <c r="AG711" s="481">
        <f>IFERROR(__xludf.DUMMYFUNCTION("""COMPUTED_VALUE"""),25.0)</f>
        <v>25</v>
      </c>
      <c r="AH711" s="481"/>
      <c r="AI711" s="158"/>
      <c r="AJ711" s="158"/>
      <c r="AK711" s="133">
        <f>IFERROR(__xludf.DUMMYFUNCTION("""COMPUTED_VALUE"""),3.0)</f>
        <v>3</v>
      </c>
      <c r="AL711" s="133">
        <f>IFERROR(__xludf.DUMMYFUNCTION("""COMPUTED_VALUE"""),0.0)</f>
        <v>0</v>
      </c>
      <c r="AM711" s="133">
        <f>IFERROR(__xludf.DUMMYFUNCTION("""COMPUTED_VALUE"""),3.0)</f>
        <v>3</v>
      </c>
      <c r="AN711" s="133" t="str">
        <f>IFERROR(__xludf.DUMMYFUNCTION("""COMPUTED_VALUE"""),"2")</f>
        <v>2</v>
      </c>
      <c r="AO711" s="133">
        <f>IFERROR(__xludf.DUMMYFUNCTION("""COMPUTED_VALUE"""),2.0)</f>
        <v>2</v>
      </c>
      <c r="AP711" s="155" t="s">
        <v>3801</v>
      </c>
    </row>
    <row r="712">
      <c r="A712" s="155">
        <f>IFERROR(__xludf.DUMMYFUNCTION("""COMPUTED_VALUE"""),41.0)</f>
        <v>41</v>
      </c>
      <c r="B712" s="155" t="str">
        <f>IFERROR(__xludf.DUMMYFUNCTION("""COMPUTED_VALUE"""),"rasg23csaiml@cmrit.ac.in")</f>
        <v>rasg23csaiml@cmrit.ac.in</v>
      </c>
      <c r="C712" s="174" t="str">
        <f>IFERROR(__xludf.DUMMYFUNCTION("""COMPUTED_VALUE"""),"Ramya S G")</f>
        <v>Ramya S G</v>
      </c>
      <c r="D712" s="155" t="str">
        <f>IFERROR(__xludf.DUMMYFUNCTION("""COMPUTED_VALUE"""),"1CR23CI042")</f>
        <v>1CR23CI042</v>
      </c>
      <c r="E712" s="563">
        <f>IFERROR(__xludf.DUMMYFUNCTION("""COMPUTED_VALUE"""),8.431865074E9)</f>
        <v>8431865074</v>
      </c>
      <c r="F712" s="155" t="str">
        <f>IFERROR(__xludf.DUMMYFUNCTION("""COMPUTED_VALUE"""),"CSE(AIML)")</f>
        <v>CSE(AIML)</v>
      </c>
      <c r="G712" s="158"/>
      <c r="H712" s="559">
        <f>IFERROR(__xludf.DUMMYFUNCTION("""COMPUTED_VALUE"""),74.0)</f>
        <v>74</v>
      </c>
      <c r="I712" s="559">
        <f>IFERROR(__xludf.DUMMYFUNCTION("""COMPUTED_VALUE"""),83.0)</f>
        <v>83</v>
      </c>
      <c r="J712" s="559">
        <f>IFERROR(__xludf.DUMMYFUNCTION("""COMPUTED_VALUE"""),70.0)</f>
        <v>70</v>
      </c>
      <c r="K712" s="559">
        <f>IFERROR(__xludf.DUMMYFUNCTION("""COMPUTED_VALUE"""),70.0)</f>
        <v>70</v>
      </c>
      <c r="L712" s="560">
        <f>IFERROR(__xludf.DUMMYFUNCTION("""COMPUTED_VALUE"""),50.0)</f>
        <v>50</v>
      </c>
      <c r="M712" s="561">
        <f>IFERROR(__xludf.DUMMYFUNCTION("""COMPUTED_VALUE"""),50.0)</f>
        <v>50</v>
      </c>
      <c r="N712" s="561">
        <f>IFERROR(__xludf.DUMMYFUNCTION("""COMPUTED_VALUE"""),52.75)</f>
        <v>52.75</v>
      </c>
      <c r="O712" s="560"/>
      <c r="P712" s="562">
        <f>IFERROR(__xludf.DUMMYFUNCTION("""COMPUTED_VALUE"""),78.0)</f>
        <v>78</v>
      </c>
      <c r="Q712" s="562">
        <f>IFERROR(__xludf.DUMMYFUNCTION("""COMPUTED_VALUE"""),62.0)</f>
        <v>62</v>
      </c>
      <c r="R712" s="562">
        <f>IFERROR(__xludf.DUMMYFUNCTION("""COMPUTED_VALUE"""),93.0)</f>
        <v>93</v>
      </c>
      <c r="S712" s="562"/>
      <c r="T712" s="217">
        <f>IFERROR(__xludf.DUMMYFUNCTION("""COMPUTED_VALUE"""),19.0)</f>
        <v>19</v>
      </c>
      <c r="U712" s="217">
        <f>IFERROR(__xludf.DUMMYFUNCTION("""COMPUTED_VALUE"""),24.0)</f>
        <v>24</v>
      </c>
      <c r="V712" s="217">
        <f>IFERROR(__xludf.DUMMYFUNCTION("""COMPUTED_VALUE"""),88.0)</f>
        <v>88</v>
      </c>
      <c r="W712" s="217">
        <f>IFERROR(__xludf.DUMMYFUNCTION("""COMPUTED_VALUE"""),90.0)</f>
        <v>90</v>
      </c>
      <c r="X712" s="217">
        <f>IFERROR(__xludf.DUMMYFUNCTION("""COMPUTED_VALUE"""),72.0)</f>
        <v>72</v>
      </c>
      <c r="Y712" s="217"/>
      <c r="Z712" s="217"/>
      <c r="AA712" s="481">
        <f>IFERROR(__xludf.DUMMYFUNCTION("""COMPUTED_VALUE"""),60.0)</f>
        <v>60</v>
      </c>
      <c r="AB712" s="481">
        <f>IFERROR(__xludf.DUMMYFUNCTION("""COMPUTED_VALUE"""),96.0)</f>
        <v>96</v>
      </c>
      <c r="AC712" s="481">
        <f>IFERROR(__xludf.DUMMYFUNCTION("""COMPUTED_VALUE"""),65.0)</f>
        <v>65</v>
      </c>
      <c r="AD712" s="481">
        <f>IFERROR(__xludf.DUMMYFUNCTION("""COMPUTED_VALUE"""),60.0)</f>
        <v>60</v>
      </c>
      <c r="AE712" s="481">
        <f>IFERROR(__xludf.DUMMYFUNCTION("""COMPUTED_VALUE"""),70.0)</f>
        <v>70</v>
      </c>
      <c r="AF712" s="481"/>
      <c r="AG712" s="481">
        <f>IFERROR(__xludf.DUMMYFUNCTION("""COMPUTED_VALUE"""),98.0)</f>
        <v>98</v>
      </c>
      <c r="AH712" s="481"/>
      <c r="AI712" s="158"/>
      <c r="AJ712" s="158"/>
      <c r="AK712" s="133">
        <f>IFERROR(__xludf.DUMMYFUNCTION("""COMPUTED_VALUE"""),4.0)</f>
        <v>4</v>
      </c>
      <c r="AL712" s="133">
        <f>IFERROR(__xludf.DUMMYFUNCTION("""COMPUTED_VALUE"""),3.0)</f>
        <v>3</v>
      </c>
      <c r="AM712" s="133">
        <f>IFERROR(__xludf.DUMMYFUNCTION("""COMPUTED_VALUE"""),3.0)</f>
        <v>3</v>
      </c>
      <c r="AN712" s="133" t="str">
        <f>IFERROR(__xludf.DUMMYFUNCTION("""COMPUTED_VALUE"""),"3.5")</f>
        <v>3.5</v>
      </c>
      <c r="AO712" s="133">
        <f>IFERROR(__xludf.DUMMYFUNCTION("""COMPUTED_VALUE"""),3.0)</f>
        <v>3</v>
      </c>
      <c r="AP712" s="155" t="s">
        <v>3801</v>
      </c>
    </row>
    <row r="713">
      <c r="A713" s="155">
        <f>IFERROR(__xludf.DUMMYFUNCTION("""COMPUTED_VALUE"""),42.0)</f>
        <v>42</v>
      </c>
      <c r="B713" s="155" t="str">
        <f>IFERROR(__xludf.DUMMYFUNCTION("""COMPUTED_VALUE"""),"rapa23csaiml@cmrit.ac.in")</f>
        <v>rapa23csaiml@cmrit.ac.in</v>
      </c>
      <c r="C713" s="174" t="str">
        <f>IFERROR(__xludf.DUMMYFUNCTION("""COMPUTED_VALUE"""),"RAVAL PARAM VIPULBHAI")</f>
        <v>RAVAL PARAM VIPULBHAI</v>
      </c>
      <c r="D713" s="155" t="str">
        <f>IFERROR(__xludf.DUMMYFUNCTION("""COMPUTED_VALUE"""),"1CR23CI043")</f>
        <v>1CR23CI043</v>
      </c>
      <c r="E713" s="563">
        <f>IFERROR(__xludf.DUMMYFUNCTION("""COMPUTED_VALUE"""),7.77889794E9)</f>
        <v>7778897940</v>
      </c>
      <c r="F713" s="155" t="str">
        <f>IFERROR(__xludf.DUMMYFUNCTION("""COMPUTED_VALUE"""),"CSE(AIML)")</f>
        <v>CSE(AIML)</v>
      </c>
      <c r="G713" s="158"/>
      <c r="H713" s="559">
        <f>IFERROR(__xludf.DUMMYFUNCTION("""COMPUTED_VALUE"""),70.0)</f>
        <v>70</v>
      </c>
      <c r="I713" s="559">
        <f>IFERROR(__xludf.DUMMYFUNCTION("""COMPUTED_VALUE"""),70.0)</f>
        <v>70</v>
      </c>
      <c r="J713" s="559">
        <f>IFERROR(__xludf.DUMMYFUNCTION("""COMPUTED_VALUE"""),70.0)</f>
        <v>70</v>
      </c>
      <c r="K713" s="559">
        <f>IFERROR(__xludf.DUMMYFUNCTION("""COMPUTED_VALUE"""),70.0)</f>
        <v>70</v>
      </c>
      <c r="L713" s="560">
        <f>IFERROR(__xludf.DUMMYFUNCTION("""COMPUTED_VALUE"""),50.0)</f>
        <v>50</v>
      </c>
      <c r="M713" s="561">
        <f>IFERROR(__xludf.DUMMYFUNCTION("""COMPUTED_VALUE"""),50.0)</f>
        <v>50</v>
      </c>
      <c r="N713" s="561">
        <f>IFERROR(__xludf.DUMMYFUNCTION("""COMPUTED_VALUE"""),56.5)</f>
        <v>56.5</v>
      </c>
      <c r="O713" s="560"/>
      <c r="P713" s="562">
        <f>IFERROR(__xludf.DUMMYFUNCTION("""COMPUTED_VALUE"""),83.0)</f>
        <v>83</v>
      </c>
      <c r="Q713" s="562">
        <f>IFERROR(__xludf.DUMMYFUNCTION("""COMPUTED_VALUE"""),50.0)</f>
        <v>50</v>
      </c>
      <c r="R713" s="562">
        <f>IFERROR(__xludf.DUMMYFUNCTION("""COMPUTED_VALUE"""),93.0)</f>
        <v>93</v>
      </c>
      <c r="S713" s="562"/>
      <c r="T713" s="217">
        <f>IFERROR(__xludf.DUMMYFUNCTION("""COMPUTED_VALUE"""),13.0)</f>
        <v>13</v>
      </c>
      <c r="U713" s="217">
        <f>IFERROR(__xludf.DUMMYFUNCTION("""COMPUTED_VALUE"""),25.0)</f>
        <v>25</v>
      </c>
      <c r="V713" s="217">
        <f>IFERROR(__xludf.DUMMYFUNCTION("""COMPUTED_VALUE"""),92.0)</f>
        <v>92</v>
      </c>
      <c r="W713" s="217">
        <f>IFERROR(__xludf.DUMMYFUNCTION("""COMPUTED_VALUE"""),90.0)</f>
        <v>90</v>
      </c>
      <c r="X713" s="217">
        <f>IFERROR(__xludf.DUMMYFUNCTION("""COMPUTED_VALUE"""),76.0)</f>
        <v>76</v>
      </c>
      <c r="Y713" s="217"/>
      <c r="Z713" s="217"/>
      <c r="AA713" s="481">
        <f>IFERROR(__xludf.DUMMYFUNCTION("""COMPUTED_VALUE"""),76.0)</f>
        <v>76</v>
      </c>
      <c r="AB713" s="481">
        <f>IFERROR(__xludf.DUMMYFUNCTION("""COMPUTED_VALUE"""),88.0)</f>
        <v>88</v>
      </c>
      <c r="AC713" s="481">
        <f>IFERROR(__xludf.DUMMYFUNCTION("""COMPUTED_VALUE"""),68.0)</f>
        <v>68</v>
      </c>
      <c r="AD713" s="481">
        <f>IFERROR(__xludf.DUMMYFUNCTION("""COMPUTED_VALUE"""),46.0)</f>
        <v>46</v>
      </c>
      <c r="AE713" s="481">
        <f>IFERROR(__xludf.DUMMYFUNCTION("""COMPUTED_VALUE"""),73.0)</f>
        <v>73</v>
      </c>
      <c r="AF713" s="481"/>
      <c r="AG713" s="481">
        <f>IFERROR(__xludf.DUMMYFUNCTION("""COMPUTED_VALUE"""),86.0)</f>
        <v>86</v>
      </c>
      <c r="AH713" s="481"/>
      <c r="AI713" s="158"/>
      <c r="AJ713" s="158"/>
      <c r="AK713" s="133">
        <f>IFERROR(__xludf.DUMMYFUNCTION("""COMPUTED_VALUE"""),4.0)</f>
        <v>4</v>
      </c>
      <c r="AL713" s="133">
        <f>IFERROR(__xludf.DUMMYFUNCTION("""COMPUTED_VALUE"""),3.0)</f>
        <v>3</v>
      </c>
      <c r="AM713" s="133">
        <f>IFERROR(__xludf.DUMMYFUNCTION("""COMPUTED_VALUE"""),3.0)</f>
        <v>3</v>
      </c>
      <c r="AN713" s="133" t="str">
        <f>IFERROR(__xludf.DUMMYFUNCTION("""COMPUTED_VALUE"""),"3.5")</f>
        <v>3.5</v>
      </c>
      <c r="AO713" s="133">
        <f>IFERROR(__xludf.DUMMYFUNCTION("""COMPUTED_VALUE"""),3.0)</f>
        <v>3</v>
      </c>
      <c r="AP713" s="155" t="s">
        <v>3801</v>
      </c>
    </row>
    <row r="714">
      <c r="A714" s="155">
        <f>IFERROR(__xludf.DUMMYFUNCTION("""COMPUTED_VALUE"""),43.0)</f>
        <v>43</v>
      </c>
      <c r="B714" s="155" t="str">
        <f>IFERROR(__xludf.DUMMYFUNCTION("""COMPUTED_VALUE"""),"rivo23csaiml@cmrit.ac.in")</f>
        <v>rivo23csaiml@cmrit.ac.in</v>
      </c>
      <c r="C714" s="174" t="str">
        <f>IFERROR(__xludf.DUMMYFUNCTION("""COMPUTED_VALUE"""),"RITHIKA VOONA")</f>
        <v>RITHIKA VOONA</v>
      </c>
      <c r="D714" s="155" t="str">
        <f>IFERROR(__xludf.DUMMYFUNCTION("""COMPUTED_VALUE"""),"1CR23CI044")</f>
        <v>1CR23CI044</v>
      </c>
      <c r="E714" s="563">
        <f>IFERROR(__xludf.DUMMYFUNCTION("""COMPUTED_VALUE"""),8.123775315E9)</f>
        <v>8123775315</v>
      </c>
      <c r="F714" s="155" t="str">
        <f>IFERROR(__xludf.DUMMYFUNCTION("""COMPUTED_VALUE"""),"CSE(AIML)")</f>
        <v>CSE(AIML)</v>
      </c>
      <c r="G714" s="158"/>
      <c r="H714" s="559">
        <f>IFERROR(__xludf.DUMMYFUNCTION("""COMPUTED_VALUE"""),88.0)</f>
        <v>88</v>
      </c>
      <c r="I714" s="559">
        <f>IFERROR(__xludf.DUMMYFUNCTION("""COMPUTED_VALUE"""),94.0)</f>
        <v>94</v>
      </c>
      <c r="J714" s="559">
        <f>IFERROR(__xludf.DUMMYFUNCTION("""COMPUTED_VALUE"""),77.0)</f>
        <v>77</v>
      </c>
      <c r="K714" s="559">
        <f>IFERROR(__xludf.DUMMYFUNCTION("""COMPUTED_VALUE"""),70.0)</f>
        <v>70</v>
      </c>
      <c r="L714" s="560">
        <f>IFERROR(__xludf.DUMMYFUNCTION("""COMPUTED_VALUE"""),65.0)</f>
        <v>65</v>
      </c>
      <c r="M714" s="561">
        <f>IFERROR(__xludf.DUMMYFUNCTION("""COMPUTED_VALUE"""),59.0)</f>
        <v>59</v>
      </c>
      <c r="N714" s="561">
        <f>IFERROR(__xludf.DUMMYFUNCTION("""COMPUTED_VALUE"""),56.0)</f>
        <v>56</v>
      </c>
      <c r="O714" s="560"/>
      <c r="P714" s="562">
        <f>IFERROR(__xludf.DUMMYFUNCTION("""COMPUTED_VALUE"""),80.0)</f>
        <v>80</v>
      </c>
      <c r="Q714" s="562">
        <f>IFERROR(__xludf.DUMMYFUNCTION("""COMPUTED_VALUE"""),70.0)</f>
        <v>70</v>
      </c>
      <c r="R714" s="562">
        <f>IFERROR(__xludf.DUMMYFUNCTION("""COMPUTED_VALUE"""),88.0)</f>
        <v>88</v>
      </c>
      <c r="S714" s="562"/>
      <c r="T714" s="217">
        <f>IFERROR(__xludf.DUMMYFUNCTION("""COMPUTED_VALUE"""),16.0)</f>
        <v>16</v>
      </c>
      <c r="U714" s="217">
        <f>IFERROR(__xludf.DUMMYFUNCTION("""COMPUTED_VALUE"""),21.0)</f>
        <v>21</v>
      </c>
      <c r="V714" s="217">
        <f>IFERROR(__xludf.DUMMYFUNCTION("""COMPUTED_VALUE"""),92.0)</f>
        <v>92</v>
      </c>
      <c r="W714" s="217">
        <f>IFERROR(__xludf.DUMMYFUNCTION("""COMPUTED_VALUE"""),90.0)</f>
        <v>90</v>
      </c>
      <c r="X714" s="217">
        <f>IFERROR(__xludf.DUMMYFUNCTION("""COMPUTED_VALUE"""),78.0)</f>
        <v>78</v>
      </c>
      <c r="Y714" s="217"/>
      <c r="Z714" s="217"/>
      <c r="AA714" s="481">
        <f>IFERROR(__xludf.DUMMYFUNCTION("""COMPUTED_VALUE"""),88.0)</f>
        <v>88</v>
      </c>
      <c r="AB714" s="481">
        <f>IFERROR(__xludf.DUMMYFUNCTION("""COMPUTED_VALUE"""),100.0)</f>
        <v>100</v>
      </c>
      <c r="AC714" s="481">
        <f>IFERROR(__xludf.DUMMYFUNCTION("""COMPUTED_VALUE"""),79.0)</f>
        <v>79</v>
      </c>
      <c r="AD714" s="481">
        <f>IFERROR(__xludf.DUMMYFUNCTION("""COMPUTED_VALUE"""),100.0)</f>
        <v>100</v>
      </c>
      <c r="AE714" s="481">
        <f>IFERROR(__xludf.DUMMYFUNCTION("""COMPUTED_VALUE"""),74.0)</f>
        <v>74</v>
      </c>
      <c r="AF714" s="481"/>
      <c r="AG714" s="481">
        <f>IFERROR(__xludf.DUMMYFUNCTION("""COMPUTED_VALUE"""),88.0)</f>
        <v>88</v>
      </c>
      <c r="AH714" s="481"/>
      <c r="AI714" s="158"/>
      <c r="AJ714" s="158"/>
      <c r="AK714" s="133">
        <f>IFERROR(__xludf.DUMMYFUNCTION("""COMPUTED_VALUE"""),4.0)</f>
        <v>4</v>
      </c>
      <c r="AL714" s="133">
        <f>IFERROR(__xludf.DUMMYFUNCTION("""COMPUTED_VALUE"""),3.0)</f>
        <v>3</v>
      </c>
      <c r="AM714" s="133">
        <f>IFERROR(__xludf.DUMMYFUNCTION("""COMPUTED_VALUE"""),3.0)</f>
        <v>3</v>
      </c>
      <c r="AN714" s="133" t="str">
        <f>IFERROR(__xludf.DUMMYFUNCTION("""COMPUTED_VALUE"""),"3.5")</f>
        <v>3.5</v>
      </c>
      <c r="AO714" s="133">
        <f>IFERROR(__xludf.DUMMYFUNCTION("""COMPUTED_VALUE"""),3.0)</f>
        <v>3</v>
      </c>
      <c r="AP714" s="155" t="s">
        <v>3801</v>
      </c>
    </row>
    <row r="715">
      <c r="A715" s="155">
        <f>IFERROR(__xludf.DUMMYFUNCTION("""COMPUTED_VALUE"""),44.0)</f>
        <v>44</v>
      </c>
      <c r="B715" s="155" t="str">
        <f>IFERROR(__xludf.DUMMYFUNCTION("""COMPUTED_VALUE"""),"roae23csaiml@cmrit.ac.in")</f>
        <v>roae23csaiml@cmrit.ac.in</v>
      </c>
      <c r="C715" s="174" t="str">
        <f>IFERROR(__xludf.DUMMYFUNCTION("""COMPUTED_VALUE"""),"ROHAN AEDULA")</f>
        <v>ROHAN AEDULA</v>
      </c>
      <c r="D715" s="155" t="str">
        <f>IFERROR(__xludf.DUMMYFUNCTION("""COMPUTED_VALUE"""),"1CR23CI045")</f>
        <v>1CR23CI045</v>
      </c>
      <c r="E715" s="563">
        <f>IFERROR(__xludf.DUMMYFUNCTION("""COMPUTED_VALUE"""),7.975190797E9)</f>
        <v>7975190797</v>
      </c>
      <c r="F715" s="155" t="str">
        <f>IFERROR(__xludf.DUMMYFUNCTION("""COMPUTED_VALUE"""),"CSE(AIML)")</f>
        <v>CSE(AIML)</v>
      </c>
      <c r="G715" s="158"/>
      <c r="H715" s="559">
        <f>IFERROR(__xludf.DUMMYFUNCTION("""COMPUTED_VALUE"""),67.0)</f>
        <v>67</v>
      </c>
      <c r="I715" s="559">
        <f>IFERROR(__xludf.DUMMYFUNCTION("""COMPUTED_VALUE"""),83.0)</f>
        <v>83</v>
      </c>
      <c r="J715" s="559">
        <f>IFERROR(__xludf.DUMMYFUNCTION("""COMPUTED_VALUE"""),65.0)</f>
        <v>65</v>
      </c>
      <c r="K715" s="559">
        <f>IFERROR(__xludf.DUMMYFUNCTION("""COMPUTED_VALUE"""),4.0)</f>
        <v>4</v>
      </c>
      <c r="L715" s="560">
        <f>IFERROR(__xludf.DUMMYFUNCTION("""COMPUTED_VALUE"""),11.0)</f>
        <v>11</v>
      </c>
      <c r="M715" s="561">
        <f>IFERROR(__xludf.DUMMYFUNCTION("""COMPUTED_VALUE"""),0.0)</f>
        <v>0</v>
      </c>
      <c r="N715" s="561">
        <f>IFERROR(__xludf.DUMMYFUNCTION("""COMPUTED_VALUE"""),0.0)</f>
        <v>0</v>
      </c>
      <c r="O715" s="560"/>
      <c r="P715" s="562">
        <f>IFERROR(__xludf.DUMMYFUNCTION("""COMPUTED_VALUE"""),0.0)</f>
        <v>0</v>
      </c>
      <c r="Q715" s="562">
        <f>IFERROR(__xludf.DUMMYFUNCTION("""COMPUTED_VALUE"""),0.0)</f>
        <v>0</v>
      </c>
      <c r="R715" s="562">
        <f>IFERROR(__xludf.DUMMYFUNCTION("""COMPUTED_VALUE"""),0.0)</f>
        <v>0</v>
      </c>
      <c r="S715" s="562"/>
      <c r="T715" s="217">
        <f>IFERROR(__xludf.DUMMYFUNCTION("""COMPUTED_VALUE"""),14.0)</f>
        <v>14</v>
      </c>
      <c r="U715" s="217">
        <f>IFERROR(__xludf.DUMMYFUNCTION("""COMPUTED_VALUE"""),15.0)</f>
        <v>15</v>
      </c>
      <c r="V715" s="217">
        <f>IFERROR(__xludf.DUMMYFUNCTION("""COMPUTED_VALUE"""),66.0)</f>
        <v>66</v>
      </c>
      <c r="W715" s="217">
        <f>IFERROR(__xludf.DUMMYFUNCTION("""COMPUTED_VALUE"""),84.0)</f>
        <v>84</v>
      </c>
      <c r="X715" s="217"/>
      <c r="Y715" s="217"/>
      <c r="Z715" s="217"/>
      <c r="AA715" s="481">
        <f>IFERROR(__xludf.DUMMYFUNCTION("""COMPUTED_VALUE"""),94.0)</f>
        <v>94</v>
      </c>
      <c r="AB715" s="481">
        <f>IFERROR(__xludf.DUMMYFUNCTION("""COMPUTED_VALUE"""),0.0)</f>
        <v>0</v>
      </c>
      <c r="AC715" s="481">
        <f>IFERROR(__xludf.DUMMYFUNCTION("""COMPUTED_VALUE"""),0.0)</f>
        <v>0</v>
      </c>
      <c r="AD715" s="481">
        <f>IFERROR(__xludf.DUMMYFUNCTION("""COMPUTED_VALUE"""),53.0)</f>
        <v>53</v>
      </c>
      <c r="AE715" s="481">
        <f>IFERROR(__xludf.DUMMYFUNCTION("""COMPUTED_VALUE"""),10.0)</f>
        <v>10</v>
      </c>
      <c r="AF715" s="481"/>
      <c r="AG715" s="481">
        <f>IFERROR(__xludf.DUMMYFUNCTION("""COMPUTED_VALUE"""),0.0)</f>
        <v>0</v>
      </c>
      <c r="AH715" s="481"/>
      <c r="AI715" s="158"/>
      <c r="AJ715" s="158"/>
      <c r="AK715" s="133">
        <f>IFERROR(__xludf.DUMMYFUNCTION("""COMPUTED_VALUE"""),2.0)</f>
        <v>2</v>
      </c>
      <c r="AL715" s="133">
        <f>IFERROR(__xludf.DUMMYFUNCTION("""COMPUTED_VALUE"""),0.0)</f>
        <v>0</v>
      </c>
      <c r="AM715" s="133">
        <f>IFERROR(__xludf.DUMMYFUNCTION("""COMPUTED_VALUE"""),3.0)</f>
        <v>3</v>
      </c>
      <c r="AN715" s="133" t="str">
        <f>IFERROR(__xludf.DUMMYFUNCTION("""COMPUTED_VALUE"""),"0")</f>
        <v>0</v>
      </c>
      <c r="AO715" s="133">
        <f>IFERROR(__xludf.DUMMYFUNCTION("""COMPUTED_VALUE"""),0.0)</f>
        <v>0</v>
      </c>
      <c r="AP715" s="155" t="s">
        <v>3801</v>
      </c>
    </row>
    <row r="716">
      <c r="A716" s="155">
        <f>IFERROR(__xludf.DUMMYFUNCTION("""COMPUTED_VALUE"""),45.0)</f>
        <v>45</v>
      </c>
      <c r="B716" s="155" t="str">
        <f>IFERROR(__xludf.DUMMYFUNCTION("""COMPUTED_VALUE"""),"sara23csaiml@cmrit.ac.in")</f>
        <v>sara23csaiml@cmrit.ac.in</v>
      </c>
      <c r="C716" s="174" t="str">
        <f>IFERROR(__xludf.DUMMYFUNCTION("""COMPUTED_VALUE"""),"Samarth Rajendra Hegde")</f>
        <v>Samarth Rajendra Hegde</v>
      </c>
      <c r="D716" s="155" t="str">
        <f>IFERROR(__xludf.DUMMYFUNCTION("""COMPUTED_VALUE"""),"1CR23CI046")</f>
        <v>1CR23CI046</v>
      </c>
      <c r="E716" s="563">
        <f>IFERROR(__xludf.DUMMYFUNCTION("""COMPUTED_VALUE"""),8.660761403E9)</f>
        <v>8660761403</v>
      </c>
      <c r="F716" s="155" t="str">
        <f>IFERROR(__xludf.DUMMYFUNCTION("""COMPUTED_VALUE"""),"CSE(AIML)")</f>
        <v>CSE(AIML)</v>
      </c>
      <c r="G716" s="158"/>
      <c r="H716" s="559">
        <f>IFERROR(__xludf.DUMMYFUNCTION("""COMPUTED_VALUE"""),72.0)</f>
        <v>72</v>
      </c>
      <c r="I716" s="559">
        <f>IFERROR(__xludf.DUMMYFUNCTION("""COMPUTED_VALUE"""),70.0)</f>
        <v>70</v>
      </c>
      <c r="J716" s="559">
        <f>IFERROR(__xludf.DUMMYFUNCTION("""COMPUTED_VALUE"""),70.0)</f>
        <v>70</v>
      </c>
      <c r="K716" s="559">
        <f>IFERROR(__xludf.DUMMYFUNCTION("""COMPUTED_VALUE"""),70.0)</f>
        <v>70</v>
      </c>
      <c r="L716" s="560">
        <f>IFERROR(__xludf.DUMMYFUNCTION("""COMPUTED_VALUE"""),65.0)</f>
        <v>65</v>
      </c>
      <c r="M716" s="561">
        <f>IFERROR(__xludf.DUMMYFUNCTION("""COMPUTED_VALUE"""),67.0)</f>
        <v>67</v>
      </c>
      <c r="N716" s="561">
        <f>IFERROR(__xludf.DUMMYFUNCTION("""COMPUTED_VALUE"""),50.0)</f>
        <v>50</v>
      </c>
      <c r="O716" s="560"/>
      <c r="P716" s="562">
        <f>IFERROR(__xludf.DUMMYFUNCTION("""COMPUTED_VALUE"""),50.0)</f>
        <v>50</v>
      </c>
      <c r="Q716" s="562">
        <f>IFERROR(__xludf.DUMMYFUNCTION("""COMPUTED_VALUE"""),50.0)</f>
        <v>50</v>
      </c>
      <c r="R716" s="562">
        <f>IFERROR(__xludf.DUMMYFUNCTION("""COMPUTED_VALUE"""),87.0)</f>
        <v>87</v>
      </c>
      <c r="S716" s="562"/>
      <c r="T716" s="217">
        <f>IFERROR(__xludf.DUMMYFUNCTION("""COMPUTED_VALUE"""),12.0)</f>
        <v>12</v>
      </c>
      <c r="U716" s="217">
        <f>IFERROR(__xludf.DUMMYFUNCTION("""COMPUTED_VALUE"""),23.0)</f>
        <v>23</v>
      </c>
      <c r="V716" s="217">
        <f>IFERROR(__xludf.DUMMYFUNCTION("""COMPUTED_VALUE"""),88.0)</f>
        <v>88</v>
      </c>
      <c r="W716" s="217">
        <f>IFERROR(__xludf.DUMMYFUNCTION("""COMPUTED_VALUE"""),86.0)</f>
        <v>86</v>
      </c>
      <c r="X716" s="217">
        <f>IFERROR(__xludf.DUMMYFUNCTION("""COMPUTED_VALUE"""),72.0)</f>
        <v>72</v>
      </c>
      <c r="Y716" s="217"/>
      <c r="Z716" s="217"/>
      <c r="AA716" s="481">
        <f>IFERROR(__xludf.DUMMYFUNCTION("""COMPUTED_VALUE"""),62.0)</f>
        <v>62</v>
      </c>
      <c r="AB716" s="481">
        <f>IFERROR(__xludf.DUMMYFUNCTION("""COMPUTED_VALUE"""),100.0)</f>
        <v>100</v>
      </c>
      <c r="AC716" s="481">
        <f>IFERROR(__xludf.DUMMYFUNCTION("""COMPUTED_VALUE"""),100.0)</f>
        <v>100</v>
      </c>
      <c r="AD716" s="481">
        <f>IFERROR(__xludf.DUMMYFUNCTION("""COMPUTED_VALUE"""),60.0)</f>
        <v>60</v>
      </c>
      <c r="AE716" s="481">
        <f>IFERROR(__xludf.DUMMYFUNCTION("""COMPUTED_VALUE"""),75.0)</f>
        <v>75</v>
      </c>
      <c r="AF716" s="481"/>
      <c r="AG716" s="481">
        <f>IFERROR(__xludf.DUMMYFUNCTION("""COMPUTED_VALUE"""),92.0)</f>
        <v>92</v>
      </c>
      <c r="AH716" s="481"/>
      <c r="AI716" s="158"/>
      <c r="AJ716" s="158"/>
      <c r="AK716" s="133">
        <f>IFERROR(__xludf.DUMMYFUNCTION("""COMPUTED_VALUE"""),4.0)</f>
        <v>4</v>
      </c>
      <c r="AL716" s="133">
        <f>IFERROR(__xludf.DUMMYFUNCTION("""COMPUTED_VALUE"""),3.0)</f>
        <v>3</v>
      </c>
      <c r="AM716" s="133">
        <f>IFERROR(__xludf.DUMMYFUNCTION("""COMPUTED_VALUE"""),3.0)</f>
        <v>3</v>
      </c>
      <c r="AN716" s="133" t="str">
        <f>IFERROR(__xludf.DUMMYFUNCTION("""COMPUTED_VALUE"""),"3.5")</f>
        <v>3.5</v>
      </c>
      <c r="AO716" s="133">
        <f>IFERROR(__xludf.DUMMYFUNCTION("""COMPUTED_VALUE"""),3.0)</f>
        <v>3</v>
      </c>
      <c r="AP716" s="155" t="s">
        <v>3801</v>
      </c>
    </row>
    <row r="717">
      <c r="A717" s="155">
        <f>IFERROR(__xludf.DUMMYFUNCTION("""COMPUTED_VALUE"""),46.0)</f>
        <v>46</v>
      </c>
      <c r="B717" s="155" t="str">
        <f>IFERROR(__xludf.DUMMYFUNCTION("""COMPUTED_VALUE"""),"sahr23csaiml@cmrit.ac.in")</f>
        <v>sahr23csaiml@cmrit.ac.in</v>
      </c>
      <c r="C717" s="174" t="str">
        <f>IFERROR(__xludf.DUMMYFUNCTION("""COMPUTED_VALUE"""),"SANKETHA H. R")</f>
        <v>SANKETHA H. R</v>
      </c>
      <c r="D717" s="155" t="str">
        <f>IFERROR(__xludf.DUMMYFUNCTION("""COMPUTED_VALUE"""),"1CR23CI047")</f>
        <v>1CR23CI047</v>
      </c>
      <c r="E717" s="563">
        <f>IFERROR(__xludf.DUMMYFUNCTION("""COMPUTED_VALUE"""),7.975593936E9)</f>
        <v>7975593936</v>
      </c>
      <c r="F717" s="155" t="str">
        <f>IFERROR(__xludf.DUMMYFUNCTION("""COMPUTED_VALUE"""),"CSE(AIML)")</f>
        <v>CSE(AIML)</v>
      </c>
      <c r="G717" s="158"/>
      <c r="H717" s="559">
        <f>IFERROR(__xludf.DUMMYFUNCTION("""COMPUTED_VALUE"""),70.0)</f>
        <v>70</v>
      </c>
      <c r="I717" s="559">
        <f>IFERROR(__xludf.DUMMYFUNCTION("""COMPUTED_VALUE"""),74.0)</f>
        <v>74</v>
      </c>
      <c r="J717" s="559">
        <f>IFERROR(__xludf.DUMMYFUNCTION("""COMPUTED_VALUE"""),70.0)</f>
        <v>70</v>
      </c>
      <c r="K717" s="559">
        <f>IFERROR(__xludf.DUMMYFUNCTION("""COMPUTED_VALUE"""),70.0)</f>
        <v>70</v>
      </c>
      <c r="L717" s="560">
        <f>IFERROR(__xludf.DUMMYFUNCTION("""COMPUTED_VALUE"""),50.0)</f>
        <v>50</v>
      </c>
      <c r="M717" s="561">
        <f>IFERROR(__xludf.DUMMYFUNCTION("""COMPUTED_VALUE"""),59.0)</f>
        <v>59</v>
      </c>
      <c r="N717" s="561">
        <f>IFERROR(__xludf.DUMMYFUNCTION("""COMPUTED_VALUE"""),50.0)</f>
        <v>50</v>
      </c>
      <c r="O717" s="560"/>
      <c r="P717" s="562">
        <f>IFERROR(__xludf.DUMMYFUNCTION("""COMPUTED_VALUE"""),78.0)</f>
        <v>78</v>
      </c>
      <c r="Q717" s="562">
        <f>IFERROR(__xludf.DUMMYFUNCTION("""COMPUTED_VALUE"""),71.0)</f>
        <v>71</v>
      </c>
      <c r="R717" s="562">
        <f>IFERROR(__xludf.DUMMYFUNCTION("""COMPUTED_VALUE"""),87.0)</f>
        <v>87</v>
      </c>
      <c r="S717" s="562"/>
      <c r="T717" s="217">
        <f>IFERROR(__xludf.DUMMYFUNCTION("""COMPUTED_VALUE"""),11.0)</f>
        <v>11</v>
      </c>
      <c r="U717" s="217">
        <f>IFERROR(__xludf.DUMMYFUNCTION("""COMPUTED_VALUE"""),25.0)</f>
        <v>25</v>
      </c>
      <c r="V717" s="217">
        <f>IFERROR(__xludf.DUMMYFUNCTION("""COMPUTED_VALUE"""),92.0)</f>
        <v>92</v>
      </c>
      <c r="W717" s="217">
        <f>IFERROR(__xludf.DUMMYFUNCTION("""COMPUTED_VALUE"""),86.0)</f>
        <v>86</v>
      </c>
      <c r="X717" s="217">
        <f>IFERROR(__xludf.DUMMYFUNCTION("""COMPUTED_VALUE"""),74.0)</f>
        <v>74</v>
      </c>
      <c r="Y717" s="217"/>
      <c r="Z717" s="217"/>
      <c r="AA717" s="481">
        <f>IFERROR(__xludf.DUMMYFUNCTION("""COMPUTED_VALUE"""),60.0)</f>
        <v>60</v>
      </c>
      <c r="AB717" s="481">
        <f>IFERROR(__xludf.DUMMYFUNCTION("""COMPUTED_VALUE"""),100.0)</f>
        <v>100</v>
      </c>
      <c r="AC717" s="481">
        <f>IFERROR(__xludf.DUMMYFUNCTION("""COMPUTED_VALUE"""),100.0)</f>
        <v>100</v>
      </c>
      <c r="AD717" s="481">
        <f>IFERROR(__xludf.DUMMYFUNCTION("""COMPUTED_VALUE"""),60.0)</f>
        <v>60</v>
      </c>
      <c r="AE717" s="481">
        <f>IFERROR(__xludf.DUMMYFUNCTION("""COMPUTED_VALUE"""),75.0)</f>
        <v>75</v>
      </c>
      <c r="AF717" s="481"/>
      <c r="AG717" s="481">
        <f>IFERROR(__xludf.DUMMYFUNCTION("""COMPUTED_VALUE"""),94.0)</f>
        <v>94</v>
      </c>
      <c r="AH717" s="481"/>
      <c r="AI717" s="158"/>
      <c r="AJ717" s="158"/>
      <c r="AK717" s="133">
        <f>IFERROR(__xludf.DUMMYFUNCTION("""COMPUTED_VALUE"""),4.0)</f>
        <v>4</v>
      </c>
      <c r="AL717" s="133">
        <f>IFERROR(__xludf.DUMMYFUNCTION("""COMPUTED_VALUE"""),3.0)</f>
        <v>3</v>
      </c>
      <c r="AM717" s="133">
        <f>IFERROR(__xludf.DUMMYFUNCTION("""COMPUTED_VALUE"""),3.0)</f>
        <v>3</v>
      </c>
      <c r="AN717" s="133" t="str">
        <f>IFERROR(__xludf.DUMMYFUNCTION("""COMPUTED_VALUE"""),"3.5")</f>
        <v>3.5</v>
      </c>
      <c r="AO717" s="133">
        <f>IFERROR(__xludf.DUMMYFUNCTION("""COMPUTED_VALUE"""),3.0)</f>
        <v>3</v>
      </c>
      <c r="AP717" s="155" t="s">
        <v>3801</v>
      </c>
    </row>
    <row r="718">
      <c r="A718" s="155">
        <f>IFERROR(__xludf.DUMMYFUNCTION("""COMPUTED_VALUE"""),47.0)</f>
        <v>47</v>
      </c>
      <c r="B718" s="155" t="str">
        <f>IFERROR(__xludf.DUMMYFUNCTION("""COMPUTED_VALUE"""),"sech23csaiml@cmrit.ac.in")</f>
        <v>sech23csaiml@cmrit.ac.in</v>
      </c>
      <c r="C718" s="174" t="str">
        <f>IFERROR(__xludf.DUMMYFUNCTION("""COMPUTED_VALUE"""),"SEEKE CHANUKYA NARAYANA")</f>
        <v>SEEKE CHANUKYA NARAYANA</v>
      </c>
      <c r="D718" s="155" t="str">
        <f>IFERROR(__xludf.DUMMYFUNCTION("""COMPUTED_VALUE"""),"1CR23CI049")</f>
        <v>1CR23CI049</v>
      </c>
      <c r="E718" s="563">
        <f>IFERROR(__xludf.DUMMYFUNCTION("""COMPUTED_VALUE"""),7.780554112E9)</f>
        <v>7780554112</v>
      </c>
      <c r="F718" s="155" t="str">
        <f>IFERROR(__xludf.DUMMYFUNCTION("""COMPUTED_VALUE"""),"CSE(AIML)")</f>
        <v>CSE(AIML)</v>
      </c>
      <c r="G718" s="158"/>
      <c r="H718" s="559">
        <f>IFERROR(__xludf.DUMMYFUNCTION("""COMPUTED_VALUE"""),70.0)</f>
        <v>70</v>
      </c>
      <c r="I718" s="559">
        <f>IFERROR(__xludf.DUMMYFUNCTION("""COMPUTED_VALUE"""),79.0)</f>
        <v>79</v>
      </c>
      <c r="J718" s="559">
        <f>IFERROR(__xludf.DUMMYFUNCTION("""COMPUTED_VALUE"""),58.0)</f>
        <v>58</v>
      </c>
      <c r="K718" s="559">
        <f>IFERROR(__xludf.DUMMYFUNCTION("""COMPUTED_VALUE"""),70.0)</f>
        <v>70</v>
      </c>
      <c r="L718" s="560">
        <f>IFERROR(__xludf.DUMMYFUNCTION("""COMPUTED_VALUE"""),50.0)</f>
        <v>50</v>
      </c>
      <c r="M718" s="561">
        <f>IFERROR(__xludf.DUMMYFUNCTION("""COMPUTED_VALUE"""),50.0)</f>
        <v>50</v>
      </c>
      <c r="N718" s="561">
        <f>IFERROR(__xludf.DUMMYFUNCTION("""COMPUTED_VALUE"""),50.0)</f>
        <v>50</v>
      </c>
      <c r="O718" s="560"/>
      <c r="P718" s="562">
        <f>IFERROR(__xludf.DUMMYFUNCTION("""COMPUTED_VALUE"""),83.0)</f>
        <v>83</v>
      </c>
      <c r="Q718" s="562">
        <f>IFERROR(__xludf.DUMMYFUNCTION("""COMPUTED_VALUE"""),50.0)</f>
        <v>50</v>
      </c>
      <c r="R718" s="562">
        <f>IFERROR(__xludf.DUMMYFUNCTION("""COMPUTED_VALUE"""),81.0)</f>
        <v>81</v>
      </c>
      <c r="S718" s="562"/>
      <c r="T718" s="217">
        <f>IFERROR(__xludf.DUMMYFUNCTION("""COMPUTED_VALUE"""),14.0)</f>
        <v>14</v>
      </c>
      <c r="U718" s="217">
        <f>IFERROR(__xludf.DUMMYFUNCTION("""COMPUTED_VALUE"""),24.0)</f>
        <v>24</v>
      </c>
      <c r="V718" s="217">
        <f>IFERROR(__xludf.DUMMYFUNCTION("""COMPUTED_VALUE"""),90.0)</f>
        <v>90</v>
      </c>
      <c r="W718" s="217">
        <f>IFERROR(__xludf.DUMMYFUNCTION("""COMPUTED_VALUE"""),86.0)</f>
        <v>86</v>
      </c>
      <c r="X718" s="217">
        <f>IFERROR(__xludf.DUMMYFUNCTION("""COMPUTED_VALUE"""),70.0)</f>
        <v>70</v>
      </c>
      <c r="Y718" s="217"/>
      <c r="Z718" s="217"/>
      <c r="AA718" s="481">
        <f>IFERROR(__xludf.DUMMYFUNCTION("""COMPUTED_VALUE"""),68.0)</f>
        <v>68</v>
      </c>
      <c r="AB718" s="481">
        <f>IFERROR(__xludf.DUMMYFUNCTION("""COMPUTED_VALUE"""),81.0)</f>
        <v>81</v>
      </c>
      <c r="AC718" s="481">
        <f>IFERROR(__xludf.DUMMYFUNCTION("""COMPUTED_VALUE"""),30.0)</f>
        <v>30</v>
      </c>
      <c r="AD718" s="481">
        <f>IFERROR(__xludf.DUMMYFUNCTION("""COMPUTED_VALUE"""),60.0)</f>
        <v>60</v>
      </c>
      <c r="AE718" s="481">
        <f>IFERROR(__xludf.DUMMYFUNCTION("""COMPUTED_VALUE"""),17.0)</f>
        <v>17</v>
      </c>
      <c r="AF718" s="481"/>
      <c r="AG718" s="481">
        <f>IFERROR(__xludf.DUMMYFUNCTION("""COMPUTED_VALUE"""),32.0)</f>
        <v>32</v>
      </c>
      <c r="AH718" s="481"/>
      <c r="AI718" s="158"/>
      <c r="AJ718" s="158"/>
      <c r="AK718" s="133">
        <f>IFERROR(__xludf.DUMMYFUNCTION("""COMPUTED_VALUE"""),2.0)</f>
        <v>2</v>
      </c>
      <c r="AL718" s="133">
        <f>IFERROR(__xludf.DUMMYFUNCTION("""COMPUTED_VALUE"""),3.0)</f>
        <v>3</v>
      </c>
      <c r="AM718" s="133">
        <f>IFERROR(__xludf.DUMMYFUNCTION("""COMPUTED_VALUE"""),3.0)</f>
        <v>3</v>
      </c>
      <c r="AN718" s="133" t="str">
        <f>IFERROR(__xludf.DUMMYFUNCTION("""COMPUTED_VALUE"""),"3")</f>
        <v>3</v>
      </c>
      <c r="AO718" s="133">
        <f>IFERROR(__xludf.DUMMYFUNCTION("""COMPUTED_VALUE"""),3.0)</f>
        <v>3</v>
      </c>
      <c r="AP718" s="155" t="s">
        <v>3801</v>
      </c>
    </row>
    <row r="719">
      <c r="A719" s="155">
        <f>IFERROR(__xludf.DUMMYFUNCTION("""COMPUTED_VALUE"""),48.0)</f>
        <v>48</v>
      </c>
      <c r="B719" s="155" t="str">
        <f>IFERROR(__xludf.DUMMYFUNCTION("""COMPUTED_VALUE"""),"shpo23csaiml@cmrit.ac.in")</f>
        <v>shpo23csaiml@cmrit.ac.in</v>
      </c>
      <c r="C719" s="174" t="str">
        <f>IFERROR(__xludf.DUMMYFUNCTION("""COMPUTED_VALUE"""),"Shaan Poonacha N S")</f>
        <v>Shaan Poonacha N S</v>
      </c>
      <c r="D719" s="155" t="str">
        <f>IFERROR(__xludf.DUMMYFUNCTION("""COMPUTED_VALUE"""),"1CR23CI050")</f>
        <v>1CR23CI050</v>
      </c>
      <c r="E719" s="563">
        <f>IFERROR(__xludf.DUMMYFUNCTION("""COMPUTED_VALUE"""),9.008864195E9)</f>
        <v>9008864195</v>
      </c>
      <c r="F719" s="155" t="str">
        <f>IFERROR(__xludf.DUMMYFUNCTION("""COMPUTED_VALUE"""),"CSE(AIML)")</f>
        <v>CSE(AIML)</v>
      </c>
      <c r="G719" s="158"/>
      <c r="H719" s="559">
        <f>IFERROR(__xludf.DUMMYFUNCTION("""COMPUTED_VALUE"""),71.0)</f>
        <v>71</v>
      </c>
      <c r="I719" s="559">
        <f>IFERROR(__xludf.DUMMYFUNCTION("""COMPUTED_VALUE"""),84.0)</f>
        <v>84</v>
      </c>
      <c r="J719" s="559">
        <f>IFERROR(__xludf.DUMMYFUNCTION("""COMPUTED_VALUE"""),30.0)</f>
        <v>30</v>
      </c>
      <c r="K719" s="559">
        <f>IFERROR(__xludf.DUMMYFUNCTION("""COMPUTED_VALUE"""),4.0)</f>
        <v>4</v>
      </c>
      <c r="L719" s="560">
        <f>IFERROR(__xludf.DUMMYFUNCTION("""COMPUTED_VALUE"""),0.0)</f>
        <v>0</v>
      </c>
      <c r="M719" s="561">
        <f>IFERROR(__xludf.DUMMYFUNCTION("""COMPUTED_VALUE"""),0.0)</f>
        <v>0</v>
      </c>
      <c r="N719" s="561">
        <f>IFERROR(__xludf.DUMMYFUNCTION("""COMPUTED_VALUE"""),0.0)</f>
        <v>0</v>
      </c>
      <c r="O719" s="560"/>
      <c r="P719" s="562">
        <f>IFERROR(__xludf.DUMMYFUNCTION("""COMPUTED_VALUE"""),0.0)</f>
        <v>0</v>
      </c>
      <c r="Q719" s="562">
        <f>IFERROR(__xludf.DUMMYFUNCTION("""COMPUTED_VALUE"""),0.0)</f>
        <v>0</v>
      </c>
      <c r="R719" s="562">
        <f>IFERROR(__xludf.DUMMYFUNCTION("""COMPUTED_VALUE"""),0.0)</f>
        <v>0</v>
      </c>
      <c r="S719" s="562"/>
      <c r="T719" s="217">
        <f>IFERROR(__xludf.DUMMYFUNCTION("""COMPUTED_VALUE"""),13.0)</f>
        <v>13</v>
      </c>
      <c r="U719" s="217">
        <f>IFERROR(__xludf.DUMMYFUNCTION("""COMPUTED_VALUE"""),12.0)</f>
        <v>12</v>
      </c>
      <c r="V719" s="217">
        <f>IFERROR(__xludf.DUMMYFUNCTION("""COMPUTED_VALUE"""),90.0)</f>
        <v>90</v>
      </c>
      <c r="W719" s="217">
        <f>IFERROR(__xludf.DUMMYFUNCTION("""COMPUTED_VALUE"""),90.0)</f>
        <v>90</v>
      </c>
      <c r="X719" s="217">
        <f>IFERROR(__xludf.DUMMYFUNCTION("""COMPUTED_VALUE"""),70.0)</f>
        <v>70</v>
      </c>
      <c r="Y719" s="217"/>
      <c r="Z719" s="217"/>
      <c r="AA719" s="481">
        <f>IFERROR(__xludf.DUMMYFUNCTION("""COMPUTED_VALUE"""),24.0)</f>
        <v>24</v>
      </c>
      <c r="AB719" s="481">
        <f>IFERROR(__xludf.DUMMYFUNCTION("""COMPUTED_VALUE"""),0.0)</f>
        <v>0</v>
      </c>
      <c r="AC719" s="481">
        <f>IFERROR(__xludf.DUMMYFUNCTION("""COMPUTED_VALUE"""),0.0)</f>
        <v>0</v>
      </c>
      <c r="AD719" s="481">
        <f>IFERROR(__xludf.DUMMYFUNCTION("""COMPUTED_VALUE"""),1.0)</f>
        <v>1</v>
      </c>
      <c r="AE719" s="481">
        <f>IFERROR(__xludf.DUMMYFUNCTION("""COMPUTED_VALUE"""),10.0)</f>
        <v>10</v>
      </c>
      <c r="AF719" s="481"/>
      <c r="AG719" s="481">
        <f>IFERROR(__xludf.DUMMYFUNCTION("""COMPUTED_VALUE"""),0.0)</f>
        <v>0</v>
      </c>
      <c r="AH719" s="481"/>
      <c r="AI719" s="158"/>
      <c r="AJ719" s="158"/>
      <c r="AK719" s="133">
        <f>IFERROR(__xludf.DUMMYFUNCTION("""COMPUTED_VALUE"""),2.0)</f>
        <v>2</v>
      </c>
      <c r="AL719" s="133">
        <f>IFERROR(__xludf.DUMMYFUNCTION("""COMPUTED_VALUE"""),0.0)</f>
        <v>0</v>
      </c>
      <c r="AM719" s="133">
        <f>IFERROR(__xludf.DUMMYFUNCTION("""COMPUTED_VALUE"""),3.0)</f>
        <v>3</v>
      </c>
      <c r="AN719" s="133" t="str">
        <f>IFERROR(__xludf.DUMMYFUNCTION("""COMPUTED_VALUE"""),"0")</f>
        <v>0</v>
      </c>
      <c r="AO719" s="133">
        <f>IFERROR(__xludf.DUMMYFUNCTION("""COMPUTED_VALUE"""),0.0)</f>
        <v>0</v>
      </c>
      <c r="AP719" s="155" t="s">
        <v>3801</v>
      </c>
    </row>
    <row r="720">
      <c r="A720" s="155">
        <f>IFERROR(__xludf.DUMMYFUNCTION("""COMPUTED_VALUE"""),49.0)</f>
        <v>49</v>
      </c>
      <c r="B720" s="155" t="str">
        <f>IFERROR(__xludf.DUMMYFUNCTION("""COMPUTED_VALUE"""),"shsa23csaiml@cmrit.ac.in")</f>
        <v>shsa23csaiml@cmrit.ac.in</v>
      </c>
      <c r="C720" s="174" t="str">
        <f>IFERROR(__xludf.DUMMYFUNCTION("""COMPUTED_VALUE"""),"Shaiza Samreen")</f>
        <v>Shaiza Samreen</v>
      </c>
      <c r="D720" s="155" t="str">
        <f>IFERROR(__xludf.DUMMYFUNCTION("""COMPUTED_VALUE"""),"1CR23CI051")</f>
        <v>1CR23CI051</v>
      </c>
      <c r="E720" s="563">
        <f>IFERROR(__xludf.DUMMYFUNCTION("""COMPUTED_VALUE"""),9.019798225E9)</f>
        <v>9019798225</v>
      </c>
      <c r="F720" s="155" t="str">
        <f>IFERROR(__xludf.DUMMYFUNCTION("""COMPUTED_VALUE"""),"CSE(AIML)")</f>
        <v>CSE(AIML)</v>
      </c>
      <c r="G720" s="158"/>
      <c r="H720" s="559">
        <f>IFERROR(__xludf.DUMMYFUNCTION("""COMPUTED_VALUE"""),84.0)</f>
        <v>84</v>
      </c>
      <c r="I720" s="559">
        <f>IFERROR(__xludf.DUMMYFUNCTION("""COMPUTED_VALUE"""),93.0)</f>
        <v>93</v>
      </c>
      <c r="J720" s="559">
        <f>IFERROR(__xludf.DUMMYFUNCTION("""COMPUTED_VALUE"""),91.0)</f>
        <v>91</v>
      </c>
      <c r="K720" s="559">
        <f>IFERROR(__xludf.DUMMYFUNCTION("""COMPUTED_VALUE"""),84.0)</f>
        <v>84</v>
      </c>
      <c r="L720" s="560">
        <f>IFERROR(__xludf.DUMMYFUNCTION("""COMPUTED_VALUE"""),50.0)</f>
        <v>50</v>
      </c>
      <c r="M720" s="561">
        <f>IFERROR(__xludf.DUMMYFUNCTION("""COMPUTED_VALUE"""),40.0)</f>
        <v>40</v>
      </c>
      <c r="N720" s="561">
        <f>IFERROR(__xludf.DUMMYFUNCTION("""COMPUTED_VALUE"""),52.5)</f>
        <v>52.5</v>
      </c>
      <c r="O720" s="560"/>
      <c r="P720" s="562">
        <f>IFERROR(__xludf.DUMMYFUNCTION("""COMPUTED_VALUE"""),78.0)</f>
        <v>78</v>
      </c>
      <c r="Q720" s="562">
        <f>IFERROR(__xludf.DUMMYFUNCTION("""COMPUTED_VALUE"""),75.0)</f>
        <v>75</v>
      </c>
      <c r="R720" s="562">
        <f>IFERROR(__xludf.DUMMYFUNCTION("""COMPUTED_VALUE"""),69.0)</f>
        <v>69</v>
      </c>
      <c r="S720" s="562"/>
      <c r="T720" s="217">
        <f>IFERROR(__xludf.DUMMYFUNCTION("""COMPUTED_VALUE"""),13.0)</f>
        <v>13</v>
      </c>
      <c r="U720" s="217">
        <f>IFERROR(__xludf.DUMMYFUNCTION("""COMPUTED_VALUE"""),25.0)</f>
        <v>25</v>
      </c>
      <c r="V720" s="217">
        <f>IFERROR(__xludf.DUMMYFUNCTION("""COMPUTED_VALUE"""),92.0)</f>
        <v>92</v>
      </c>
      <c r="W720" s="217">
        <f>IFERROR(__xludf.DUMMYFUNCTION("""COMPUTED_VALUE"""),88.0)</f>
        <v>88</v>
      </c>
      <c r="X720" s="217">
        <f>IFERROR(__xludf.DUMMYFUNCTION("""COMPUTED_VALUE"""),70.0)</f>
        <v>70</v>
      </c>
      <c r="Y720" s="217"/>
      <c r="Z720" s="217"/>
      <c r="AA720" s="481">
        <f>IFERROR(__xludf.DUMMYFUNCTION("""COMPUTED_VALUE"""),60.8)</f>
        <v>60.8</v>
      </c>
      <c r="AB720" s="481">
        <f>IFERROR(__xludf.DUMMYFUNCTION("""COMPUTED_VALUE"""),96.0)</f>
        <v>96</v>
      </c>
      <c r="AC720" s="481">
        <f>IFERROR(__xludf.DUMMYFUNCTION("""COMPUTED_VALUE"""),34.0)</f>
        <v>34</v>
      </c>
      <c r="AD720" s="481">
        <f>IFERROR(__xludf.DUMMYFUNCTION("""COMPUTED_VALUE"""),60.0)</f>
        <v>60</v>
      </c>
      <c r="AE720" s="481">
        <f>IFERROR(__xludf.DUMMYFUNCTION("""COMPUTED_VALUE"""),70.0)</f>
        <v>70</v>
      </c>
      <c r="AF720" s="481"/>
      <c r="AG720" s="481">
        <f>IFERROR(__xludf.DUMMYFUNCTION("""COMPUTED_VALUE"""),98.0)</f>
        <v>98</v>
      </c>
      <c r="AH720" s="481"/>
      <c r="AI720" s="158"/>
      <c r="AJ720" s="158"/>
      <c r="AK720" s="133">
        <f>IFERROR(__xludf.DUMMYFUNCTION("""COMPUTED_VALUE"""),4.0)</f>
        <v>4</v>
      </c>
      <c r="AL720" s="133">
        <f>IFERROR(__xludf.DUMMYFUNCTION("""COMPUTED_VALUE"""),1.0)</f>
        <v>1</v>
      </c>
      <c r="AM720" s="133">
        <f>IFERROR(__xludf.DUMMYFUNCTION("""COMPUTED_VALUE"""),3.0)</f>
        <v>3</v>
      </c>
      <c r="AN720" s="133" t="str">
        <f>IFERROR(__xludf.DUMMYFUNCTION("""COMPUTED_VALUE"""),"3.5")</f>
        <v>3.5</v>
      </c>
      <c r="AO720" s="133">
        <f>IFERROR(__xludf.DUMMYFUNCTION("""COMPUTED_VALUE"""),3.0)</f>
        <v>3</v>
      </c>
      <c r="AP720" s="155" t="s">
        <v>3801</v>
      </c>
    </row>
    <row r="721">
      <c r="A721" s="155">
        <f>IFERROR(__xludf.DUMMYFUNCTION("""COMPUTED_VALUE"""),50.0)</f>
        <v>50</v>
      </c>
      <c r="B721" s="155" t="str">
        <f>IFERROR(__xludf.DUMMYFUNCTION("""COMPUTED_VALUE"""),"shpa23csaiml@cmrit.ac.in")</f>
        <v>shpa23csaiml@cmrit.ac.in</v>
      </c>
      <c r="C721" s="174" t="str">
        <f>IFERROR(__xludf.DUMMYFUNCTION("""COMPUTED_VALUE"""),"Sharat Patil")</f>
        <v>Sharat Patil</v>
      </c>
      <c r="D721" s="155" t="str">
        <f>IFERROR(__xludf.DUMMYFUNCTION("""COMPUTED_VALUE"""),"1CR23CI052")</f>
        <v>1CR23CI052</v>
      </c>
      <c r="E721" s="563">
        <f>IFERROR(__xludf.DUMMYFUNCTION("""COMPUTED_VALUE"""),8.618243016E9)</f>
        <v>8618243016</v>
      </c>
      <c r="F721" s="155" t="str">
        <f>IFERROR(__xludf.DUMMYFUNCTION("""COMPUTED_VALUE"""),"CSE(AIML)")</f>
        <v>CSE(AIML)</v>
      </c>
      <c r="G721" s="158"/>
      <c r="H721" s="559">
        <f>IFERROR(__xludf.DUMMYFUNCTION("""COMPUTED_VALUE"""),77.0)</f>
        <v>77</v>
      </c>
      <c r="I721" s="559">
        <f>IFERROR(__xludf.DUMMYFUNCTION("""COMPUTED_VALUE"""),74.0)</f>
        <v>74</v>
      </c>
      <c r="J721" s="559">
        <f>IFERROR(__xludf.DUMMYFUNCTION("""COMPUTED_VALUE"""),73.0)</f>
        <v>73</v>
      </c>
      <c r="K721" s="559">
        <f>IFERROR(__xludf.DUMMYFUNCTION("""COMPUTED_VALUE"""),70.0)</f>
        <v>70</v>
      </c>
      <c r="L721" s="560">
        <f>IFERROR(__xludf.DUMMYFUNCTION("""COMPUTED_VALUE"""),50.0)</f>
        <v>50</v>
      </c>
      <c r="M721" s="561">
        <f>IFERROR(__xludf.DUMMYFUNCTION("""COMPUTED_VALUE"""),50.0)</f>
        <v>50</v>
      </c>
      <c r="N721" s="561">
        <f>IFERROR(__xludf.DUMMYFUNCTION("""COMPUTED_VALUE"""),50.0)</f>
        <v>50</v>
      </c>
      <c r="O721" s="560"/>
      <c r="P721" s="562">
        <f>IFERROR(__xludf.DUMMYFUNCTION("""COMPUTED_VALUE"""),50.0)</f>
        <v>50</v>
      </c>
      <c r="Q721" s="562">
        <f>IFERROR(__xludf.DUMMYFUNCTION("""COMPUTED_VALUE"""),71.0)</f>
        <v>71</v>
      </c>
      <c r="R721" s="562">
        <f>IFERROR(__xludf.DUMMYFUNCTION("""COMPUTED_VALUE"""),81.0)</f>
        <v>81</v>
      </c>
      <c r="S721" s="562"/>
      <c r="T721" s="217">
        <f>IFERROR(__xludf.DUMMYFUNCTION("""COMPUTED_VALUE"""),15.0)</f>
        <v>15</v>
      </c>
      <c r="U721" s="217">
        <f>IFERROR(__xludf.DUMMYFUNCTION("""COMPUTED_VALUE"""),25.0)</f>
        <v>25</v>
      </c>
      <c r="V721" s="217">
        <f>IFERROR(__xludf.DUMMYFUNCTION("""COMPUTED_VALUE"""),90.0)</f>
        <v>90</v>
      </c>
      <c r="W721" s="217">
        <f>IFERROR(__xludf.DUMMYFUNCTION("""COMPUTED_VALUE"""),90.0)</f>
        <v>90</v>
      </c>
      <c r="X721" s="217">
        <f>IFERROR(__xludf.DUMMYFUNCTION("""COMPUTED_VALUE"""),68.0)</f>
        <v>68</v>
      </c>
      <c r="Y721" s="217"/>
      <c r="Z721" s="217"/>
      <c r="AA721" s="481">
        <f>IFERROR(__xludf.DUMMYFUNCTION("""COMPUTED_VALUE"""),84.0)</f>
        <v>84</v>
      </c>
      <c r="AB721" s="481">
        <f>IFERROR(__xludf.DUMMYFUNCTION("""COMPUTED_VALUE"""),95.0)</f>
        <v>95</v>
      </c>
      <c r="AC721" s="481">
        <f>IFERROR(__xludf.DUMMYFUNCTION("""COMPUTED_VALUE"""),79.0)</f>
        <v>79</v>
      </c>
      <c r="AD721" s="481">
        <f>IFERROR(__xludf.DUMMYFUNCTION("""COMPUTED_VALUE"""),75.0)</f>
        <v>75</v>
      </c>
      <c r="AE721" s="481">
        <f>IFERROR(__xludf.DUMMYFUNCTION("""COMPUTED_VALUE"""),80.0)</f>
        <v>80</v>
      </c>
      <c r="AF721" s="481"/>
      <c r="AG721" s="481">
        <f>IFERROR(__xludf.DUMMYFUNCTION("""COMPUTED_VALUE"""),75.0)</f>
        <v>75</v>
      </c>
      <c r="AH721" s="481"/>
      <c r="AI721" s="158"/>
      <c r="AJ721" s="158"/>
      <c r="AK721" s="133">
        <f>IFERROR(__xludf.DUMMYFUNCTION("""COMPUTED_VALUE"""),4.0)</f>
        <v>4</v>
      </c>
      <c r="AL721" s="133">
        <f>IFERROR(__xludf.DUMMYFUNCTION("""COMPUTED_VALUE"""),3.0)</f>
        <v>3</v>
      </c>
      <c r="AM721" s="133">
        <f>IFERROR(__xludf.DUMMYFUNCTION("""COMPUTED_VALUE"""),3.0)</f>
        <v>3</v>
      </c>
      <c r="AN721" s="133" t="str">
        <f>IFERROR(__xludf.DUMMYFUNCTION("""COMPUTED_VALUE"""),"3.5")</f>
        <v>3.5</v>
      </c>
      <c r="AO721" s="133">
        <f>IFERROR(__xludf.DUMMYFUNCTION("""COMPUTED_VALUE"""),3.0)</f>
        <v>3</v>
      </c>
      <c r="AP721" s="155" t="s">
        <v>3801</v>
      </c>
    </row>
    <row r="722">
      <c r="A722" s="155">
        <f>IFERROR(__xludf.DUMMYFUNCTION("""COMPUTED_VALUE"""),51.0)</f>
        <v>51</v>
      </c>
      <c r="B722" s="155" t="str">
        <f>IFERROR(__xludf.DUMMYFUNCTION("""COMPUTED_VALUE"""),"shdh23csaiml@cmrit.ac.in")</f>
        <v>shdh23csaiml@cmrit.ac.in</v>
      </c>
      <c r="C722" s="174" t="str">
        <f>IFERROR(__xludf.DUMMYFUNCTION("""COMPUTED_VALUE"""),"SHREYA DHANGE")</f>
        <v>SHREYA DHANGE</v>
      </c>
      <c r="D722" s="155" t="str">
        <f>IFERROR(__xludf.DUMMYFUNCTION("""COMPUTED_VALUE"""),"1CR23CI053")</f>
        <v>1CR23CI053</v>
      </c>
      <c r="E722" s="563">
        <f>IFERROR(__xludf.DUMMYFUNCTION("""COMPUTED_VALUE"""),9.019114812E9)</f>
        <v>9019114812</v>
      </c>
      <c r="F722" s="155" t="str">
        <f>IFERROR(__xludf.DUMMYFUNCTION("""COMPUTED_VALUE"""),"CSE(AIML)")</f>
        <v>CSE(AIML)</v>
      </c>
      <c r="G722" s="158"/>
      <c r="H722" s="559">
        <f>IFERROR(__xludf.DUMMYFUNCTION("""COMPUTED_VALUE"""),81.0)</f>
        <v>81</v>
      </c>
      <c r="I722" s="559">
        <f>IFERROR(__xludf.DUMMYFUNCTION("""COMPUTED_VALUE"""),93.0)</f>
        <v>93</v>
      </c>
      <c r="J722" s="559">
        <f>IFERROR(__xludf.DUMMYFUNCTION("""COMPUTED_VALUE"""),73.0)</f>
        <v>73</v>
      </c>
      <c r="K722" s="559">
        <f>IFERROR(__xludf.DUMMYFUNCTION("""COMPUTED_VALUE"""),70.0)</f>
        <v>70</v>
      </c>
      <c r="L722" s="560">
        <f>IFERROR(__xludf.DUMMYFUNCTION("""COMPUTED_VALUE"""),61.0)</f>
        <v>61</v>
      </c>
      <c r="M722" s="561">
        <f>IFERROR(__xludf.DUMMYFUNCTION("""COMPUTED_VALUE"""),50.0)</f>
        <v>50</v>
      </c>
      <c r="N722" s="561">
        <f>IFERROR(__xludf.DUMMYFUNCTION("""COMPUTED_VALUE"""),52.75)</f>
        <v>52.75</v>
      </c>
      <c r="O722" s="560"/>
      <c r="P722" s="562">
        <f>IFERROR(__xludf.DUMMYFUNCTION("""COMPUTED_VALUE"""),81.0)</f>
        <v>81</v>
      </c>
      <c r="Q722" s="562">
        <f>IFERROR(__xludf.DUMMYFUNCTION("""COMPUTED_VALUE"""),72.0)</f>
        <v>72</v>
      </c>
      <c r="R722" s="562">
        <f>IFERROR(__xludf.DUMMYFUNCTION("""COMPUTED_VALUE"""),86.0)</f>
        <v>86</v>
      </c>
      <c r="S722" s="562"/>
      <c r="T722" s="217">
        <f>IFERROR(__xludf.DUMMYFUNCTION("""COMPUTED_VALUE"""),14.0)</f>
        <v>14</v>
      </c>
      <c r="U722" s="217">
        <f>IFERROR(__xludf.DUMMYFUNCTION("""COMPUTED_VALUE"""),24.0)</f>
        <v>24</v>
      </c>
      <c r="V722" s="217">
        <f>IFERROR(__xludf.DUMMYFUNCTION("""COMPUTED_VALUE"""),94.0)</f>
        <v>94</v>
      </c>
      <c r="W722" s="217">
        <f>IFERROR(__xludf.DUMMYFUNCTION("""COMPUTED_VALUE"""),90.0)</f>
        <v>90</v>
      </c>
      <c r="X722" s="217">
        <f>IFERROR(__xludf.DUMMYFUNCTION("""COMPUTED_VALUE"""),84.0)</f>
        <v>84</v>
      </c>
      <c r="Y722" s="217"/>
      <c r="Z722" s="217"/>
      <c r="AA722" s="481">
        <f>IFERROR(__xludf.DUMMYFUNCTION("""COMPUTED_VALUE"""),84.0)</f>
        <v>84</v>
      </c>
      <c r="AB722" s="481">
        <f>IFERROR(__xludf.DUMMYFUNCTION("""COMPUTED_VALUE"""),88.0)</f>
        <v>88</v>
      </c>
      <c r="AC722" s="481">
        <f>IFERROR(__xludf.DUMMYFUNCTION("""COMPUTED_VALUE"""),100.0)</f>
        <v>100</v>
      </c>
      <c r="AD722" s="481">
        <f>IFERROR(__xludf.DUMMYFUNCTION("""COMPUTED_VALUE"""),85.0)</f>
        <v>85</v>
      </c>
      <c r="AE722" s="481">
        <f>IFERROR(__xludf.DUMMYFUNCTION("""COMPUTED_VALUE"""),70.0)</f>
        <v>70</v>
      </c>
      <c r="AF722" s="481"/>
      <c r="AG722" s="481">
        <f>IFERROR(__xludf.DUMMYFUNCTION("""COMPUTED_VALUE"""),70.0)</f>
        <v>70</v>
      </c>
      <c r="AH722" s="481"/>
      <c r="AI722" s="158"/>
      <c r="AJ722" s="158"/>
      <c r="AK722" s="133">
        <f>IFERROR(__xludf.DUMMYFUNCTION("""COMPUTED_VALUE"""),4.0)</f>
        <v>4</v>
      </c>
      <c r="AL722" s="133">
        <f>IFERROR(__xludf.DUMMYFUNCTION("""COMPUTED_VALUE"""),3.0)</f>
        <v>3</v>
      </c>
      <c r="AM722" s="133">
        <f>IFERROR(__xludf.DUMMYFUNCTION("""COMPUTED_VALUE"""),3.0)</f>
        <v>3</v>
      </c>
      <c r="AN722" s="133" t="str">
        <f>IFERROR(__xludf.DUMMYFUNCTION("""COMPUTED_VALUE"""),"3.5")</f>
        <v>3.5</v>
      </c>
      <c r="AO722" s="133">
        <f>IFERROR(__xludf.DUMMYFUNCTION("""COMPUTED_VALUE"""),3.0)</f>
        <v>3</v>
      </c>
      <c r="AP722" s="155" t="s">
        <v>3801</v>
      </c>
    </row>
    <row r="723">
      <c r="A723" s="155">
        <f>IFERROR(__xludf.DUMMYFUNCTION("""COMPUTED_VALUE"""),52.0)</f>
        <v>52</v>
      </c>
      <c r="B723" s="155" t="str">
        <f>IFERROR(__xludf.DUMMYFUNCTION("""COMPUTED_VALUE"""),"shpn23csaiml@cmrit.ac.in")</f>
        <v>shpn23csaiml@cmrit.ac.in</v>
      </c>
      <c r="C723" s="174" t="str">
        <f>IFERROR(__xludf.DUMMYFUNCTION("""COMPUTED_VALUE"""),"Shriya P Nair")</f>
        <v>Shriya P Nair</v>
      </c>
      <c r="D723" s="155" t="str">
        <f>IFERROR(__xludf.DUMMYFUNCTION("""COMPUTED_VALUE"""),"1CR23CI054")</f>
        <v>1CR23CI054</v>
      </c>
      <c r="E723" s="563">
        <f>IFERROR(__xludf.DUMMYFUNCTION("""COMPUTED_VALUE"""),6.3630561E9)</f>
        <v>6363056100</v>
      </c>
      <c r="F723" s="155" t="str">
        <f>IFERROR(__xludf.DUMMYFUNCTION("""COMPUTED_VALUE"""),"CSE(AIML)")</f>
        <v>CSE(AIML)</v>
      </c>
      <c r="G723" s="158"/>
      <c r="H723" s="559">
        <f>IFERROR(__xludf.DUMMYFUNCTION("""COMPUTED_VALUE"""),83.0)</f>
        <v>83</v>
      </c>
      <c r="I723" s="559">
        <f>IFERROR(__xludf.DUMMYFUNCTION("""COMPUTED_VALUE"""),83.0)</f>
        <v>83</v>
      </c>
      <c r="J723" s="559">
        <f>IFERROR(__xludf.DUMMYFUNCTION("""COMPUTED_VALUE"""),60.0)</f>
        <v>60</v>
      </c>
      <c r="K723" s="559">
        <f>IFERROR(__xludf.DUMMYFUNCTION("""COMPUTED_VALUE"""),10.0)</f>
        <v>10</v>
      </c>
      <c r="L723" s="560">
        <f>IFERROR(__xludf.DUMMYFUNCTION("""COMPUTED_VALUE"""),39.0)</f>
        <v>39</v>
      </c>
      <c r="M723" s="561">
        <f>IFERROR(__xludf.DUMMYFUNCTION("""COMPUTED_VALUE"""),0.0)</f>
        <v>0</v>
      </c>
      <c r="N723" s="561">
        <f>IFERROR(__xludf.DUMMYFUNCTION("""COMPUTED_VALUE"""),11.75)</f>
        <v>11.75</v>
      </c>
      <c r="O723" s="560"/>
      <c r="P723" s="562">
        <f>IFERROR(__xludf.DUMMYFUNCTION("""COMPUTED_VALUE"""),81.0)</f>
        <v>81</v>
      </c>
      <c r="Q723" s="562">
        <f>IFERROR(__xludf.DUMMYFUNCTION("""COMPUTED_VALUE"""),0.0)</f>
        <v>0</v>
      </c>
      <c r="R723" s="562">
        <f>IFERROR(__xludf.DUMMYFUNCTION("""COMPUTED_VALUE"""),0.0)</f>
        <v>0</v>
      </c>
      <c r="S723" s="562"/>
      <c r="T723" s="217">
        <f>IFERROR(__xludf.DUMMYFUNCTION("""COMPUTED_VALUE"""),21.0)</f>
        <v>21</v>
      </c>
      <c r="U723" s="217">
        <f>IFERROR(__xludf.DUMMYFUNCTION("""COMPUTED_VALUE"""),25.0)</f>
        <v>25</v>
      </c>
      <c r="V723" s="217">
        <f>IFERROR(__xludf.DUMMYFUNCTION("""COMPUTED_VALUE"""),92.0)</f>
        <v>92</v>
      </c>
      <c r="W723" s="217">
        <f>IFERROR(__xludf.DUMMYFUNCTION("""COMPUTED_VALUE"""),90.0)</f>
        <v>90</v>
      </c>
      <c r="X723" s="217"/>
      <c r="Y723" s="217"/>
      <c r="Z723" s="217"/>
      <c r="AA723" s="481">
        <f>IFERROR(__xludf.DUMMYFUNCTION("""COMPUTED_VALUE"""),34.0)</f>
        <v>34</v>
      </c>
      <c r="AB723" s="481">
        <f>IFERROR(__xludf.DUMMYFUNCTION("""COMPUTED_VALUE"""),73.0)</f>
        <v>73</v>
      </c>
      <c r="AC723" s="481">
        <f>IFERROR(__xludf.DUMMYFUNCTION("""COMPUTED_VALUE"""),0.0)</f>
        <v>0</v>
      </c>
      <c r="AD723" s="481">
        <f>IFERROR(__xludf.DUMMYFUNCTION("""COMPUTED_VALUE"""),1.0)</f>
        <v>1</v>
      </c>
      <c r="AE723" s="481">
        <f>IFERROR(__xludf.DUMMYFUNCTION("""COMPUTED_VALUE"""),15.0)</f>
        <v>15</v>
      </c>
      <c r="AF723" s="481"/>
      <c r="AG723" s="481">
        <f>IFERROR(__xludf.DUMMYFUNCTION("""COMPUTED_VALUE"""),66.0)</f>
        <v>66</v>
      </c>
      <c r="AH723" s="481"/>
      <c r="AI723" s="158"/>
      <c r="AJ723" s="158"/>
      <c r="AK723" s="133">
        <f>IFERROR(__xludf.DUMMYFUNCTION("""COMPUTED_VALUE"""),2.0)</f>
        <v>2</v>
      </c>
      <c r="AL723" s="133">
        <f>IFERROR(__xludf.DUMMYFUNCTION("""COMPUTED_VALUE"""),0.0)</f>
        <v>0</v>
      </c>
      <c r="AM723" s="133">
        <f>IFERROR(__xludf.DUMMYFUNCTION("""COMPUTED_VALUE"""),3.0)</f>
        <v>3</v>
      </c>
      <c r="AN723" s="133" t="str">
        <f>IFERROR(__xludf.DUMMYFUNCTION("""COMPUTED_VALUE"""),"2")</f>
        <v>2</v>
      </c>
      <c r="AO723" s="133">
        <f>IFERROR(__xludf.DUMMYFUNCTION("""COMPUTED_VALUE"""),1.0)</f>
        <v>1</v>
      </c>
      <c r="AP723" s="155" t="s">
        <v>3801</v>
      </c>
    </row>
    <row r="724">
      <c r="A724" s="155">
        <f>IFERROR(__xludf.DUMMYFUNCTION("""COMPUTED_VALUE"""),53.0)</f>
        <v>53</v>
      </c>
      <c r="B724" s="155" t="str">
        <f>IFERROR(__xludf.DUMMYFUNCTION("""COMPUTED_VALUE"""),"smr23csaiml@cmrit.ac.in")</f>
        <v>smr23csaiml@cmrit.ac.in</v>
      </c>
      <c r="C724" s="174" t="str">
        <f>IFERROR(__xludf.DUMMYFUNCTION("""COMPUTED_VALUE"""),"SMRUTI R")</f>
        <v>SMRUTI R</v>
      </c>
      <c r="D724" s="155" t="str">
        <f>IFERROR(__xludf.DUMMYFUNCTION("""COMPUTED_VALUE"""),"1CR23CI055")</f>
        <v>1CR23CI055</v>
      </c>
      <c r="E724" s="563">
        <f>IFERROR(__xludf.DUMMYFUNCTION("""COMPUTED_VALUE"""),9.380598934E9)</f>
        <v>9380598934</v>
      </c>
      <c r="F724" s="155" t="str">
        <f>IFERROR(__xludf.DUMMYFUNCTION("""COMPUTED_VALUE"""),"CSE(AIML)")</f>
        <v>CSE(AIML)</v>
      </c>
      <c r="G724" s="158"/>
      <c r="H724" s="559">
        <f>IFERROR(__xludf.DUMMYFUNCTION("""COMPUTED_VALUE"""),91.0)</f>
        <v>91</v>
      </c>
      <c r="I724" s="559">
        <f>IFERROR(__xludf.DUMMYFUNCTION("""COMPUTED_VALUE"""),98.0)</f>
        <v>98</v>
      </c>
      <c r="J724" s="559">
        <f>IFERROR(__xludf.DUMMYFUNCTION("""COMPUTED_VALUE"""),80.0)</f>
        <v>80</v>
      </c>
      <c r="K724" s="559">
        <f>IFERROR(__xludf.DUMMYFUNCTION("""COMPUTED_VALUE"""),79.0)</f>
        <v>79</v>
      </c>
      <c r="L724" s="560">
        <f>IFERROR(__xludf.DUMMYFUNCTION("""COMPUTED_VALUE"""),56.0)</f>
        <v>56</v>
      </c>
      <c r="M724" s="561">
        <f>IFERROR(__xludf.DUMMYFUNCTION("""COMPUTED_VALUE"""),50.0)</f>
        <v>50</v>
      </c>
      <c r="N724" s="561">
        <f>IFERROR(__xludf.DUMMYFUNCTION("""COMPUTED_VALUE"""),50.0)</f>
        <v>50</v>
      </c>
      <c r="O724" s="560"/>
      <c r="P724" s="562">
        <f>IFERROR(__xludf.DUMMYFUNCTION("""COMPUTED_VALUE"""),78.0)</f>
        <v>78</v>
      </c>
      <c r="Q724" s="562">
        <f>IFERROR(__xludf.DUMMYFUNCTION("""COMPUTED_VALUE"""),62.0)</f>
        <v>62</v>
      </c>
      <c r="R724" s="562">
        <f>IFERROR(__xludf.DUMMYFUNCTION("""COMPUTED_VALUE"""),92.0)</f>
        <v>92</v>
      </c>
      <c r="S724" s="562"/>
      <c r="T724" s="217">
        <f>IFERROR(__xludf.DUMMYFUNCTION("""COMPUTED_VALUE"""),14.0)</f>
        <v>14</v>
      </c>
      <c r="U724" s="217">
        <f>IFERROR(__xludf.DUMMYFUNCTION("""COMPUTED_VALUE"""),24.0)</f>
        <v>24</v>
      </c>
      <c r="V724" s="217">
        <f>IFERROR(__xludf.DUMMYFUNCTION("""COMPUTED_VALUE"""),92.0)</f>
        <v>92</v>
      </c>
      <c r="W724" s="217">
        <f>IFERROR(__xludf.DUMMYFUNCTION("""COMPUTED_VALUE"""),90.0)</f>
        <v>90</v>
      </c>
      <c r="X724" s="217">
        <f>IFERROR(__xludf.DUMMYFUNCTION("""COMPUTED_VALUE"""),78.0)</f>
        <v>78</v>
      </c>
      <c r="Y724" s="217"/>
      <c r="Z724" s="217"/>
      <c r="AA724" s="481">
        <f>IFERROR(__xludf.DUMMYFUNCTION("""COMPUTED_VALUE"""),92.0)</f>
        <v>92</v>
      </c>
      <c r="AB724" s="481">
        <f>IFERROR(__xludf.DUMMYFUNCTION("""COMPUTED_VALUE"""),100.0)</f>
        <v>100</v>
      </c>
      <c r="AC724" s="481">
        <f>IFERROR(__xludf.DUMMYFUNCTION("""COMPUTED_VALUE"""),83.0)</f>
        <v>83</v>
      </c>
      <c r="AD724" s="481">
        <f>IFERROR(__xludf.DUMMYFUNCTION("""COMPUTED_VALUE"""),60.0)</f>
        <v>60</v>
      </c>
      <c r="AE724" s="481">
        <f>IFERROR(__xludf.DUMMYFUNCTION("""COMPUTED_VALUE"""),72.0)</f>
        <v>72</v>
      </c>
      <c r="AF724" s="481"/>
      <c r="AG724" s="481">
        <f>IFERROR(__xludf.DUMMYFUNCTION("""COMPUTED_VALUE"""),100.0)</f>
        <v>100</v>
      </c>
      <c r="AH724" s="481"/>
      <c r="AI724" s="158"/>
      <c r="AJ724" s="158"/>
      <c r="AK724" s="133">
        <f>IFERROR(__xludf.DUMMYFUNCTION("""COMPUTED_VALUE"""),4.0)</f>
        <v>4</v>
      </c>
      <c r="AL724" s="133">
        <f>IFERROR(__xludf.DUMMYFUNCTION("""COMPUTED_VALUE"""),3.0)</f>
        <v>3</v>
      </c>
      <c r="AM724" s="133">
        <f>IFERROR(__xludf.DUMMYFUNCTION("""COMPUTED_VALUE"""),3.0)</f>
        <v>3</v>
      </c>
      <c r="AN724" s="133" t="str">
        <f>IFERROR(__xludf.DUMMYFUNCTION("""COMPUTED_VALUE"""),"3.5")</f>
        <v>3.5</v>
      </c>
      <c r="AO724" s="133">
        <f>IFERROR(__xludf.DUMMYFUNCTION("""COMPUTED_VALUE"""),3.0)</f>
        <v>3</v>
      </c>
      <c r="AP724" s="155" t="s">
        <v>3801</v>
      </c>
    </row>
    <row r="725">
      <c r="A725" s="155">
        <f>IFERROR(__xludf.DUMMYFUNCTION("""COMPUTED_VALUE"""),54.0)</f>
        <v>54</v>
      </c>
      <c r="B725" s="155" t="str">
        <f>IFERROR(__xludf.DUMMYFUNCTION("""COMPUTED_VALUE"""),"srs23csaiml@cmrit.ac.in")</f>
        <v>srs23csaiml@cmrit.ac.in</v>
      </c>
      <c r="C725" s="174" t="str">
        <f>IFERROR(__xludf.DUMMYFUNCTION("""COMPUTED_VALUE"""),"SREETHU S")</f>
        <v>SREETHU S</v>
      </c>
      <c r="D725" s="155" t="str">
        <f>IFERROR(__xludf.DUMMYFUNCTION("""COMPUTED_VALUE"""),"1CR23CI056")</f>
        <v>1CR23CI056</v>
      </c>
      <c r="E725" s="563">
        <f>IFERROR(__xludf.DUMMYFUNCTION("""COMPUTED_VALUE"""),8.431031924E9)</f>
        <v>8431031924</v>
      </c>
      <c r="F725" s="155" t="str">
        <f>IFERROR(__xludf.DUMMYFUNCTION("""COMPUTED_VALUE"""),"CSE(AIML)")</f>
        <v>CSE(AIML)</v>
      </c>
      <c r="G725" s="158"/>
      <c r="H725" s="559">
        <f>IFERROR(__xludf.DUMMYFUNCTION("""COMPUTED_VALUE"""),85.0)</f>
        <v>85</v>
      </c>
      <c r="I725" s="559">
        <f>IFERROR(__xludf.DUMMYFUNCTION("""COMPUTED_VALUE"""),94.0)</f>
        <v>94</v>
      </c>
      <c r="J725" s="559">
        <f>IFERROR(__xludf.DUMMYFUNCTION("""COMPUTED_VALUE"""),85.0)</f>
        <v>85</v>
      </c>
      <c r="K725" s="559">
        <f>IFERROR(__xludf.DUMMYFUNCTION("""COMPUTED_VALUE"""),73.0)</f>
        <v>73</v>
      </c>
      <c r="L725" s="560">
        <f>IFERROR(__xludf.DUMMYFUNCTION("""COMPUTED_VALUE"""),54.0)</f>
        <v>54</v>
      </c>
      <c r="M725" s="561">
        <f>IFERROR(__xludf.DUMMYFUNCTION("""COMPUTED_VALUE"""),50.0)</f>
        <v>50</v>
      </c>
      <c r="N725" s="561">
        <f>IFERROR(__xludf.DUMMYFUNCTION("""COMPUTED_VALUE"""),50.0)</f>
        <v>50</v>
      </c>
      <c r="O725" s="560"/>
      <c r="P725" s="562">
        <f>IFERROR(__xludf.DUMMYFUNCTION("""COMPUTED_VALUE"""),81.0)</f>
        <v>81</v>
      </c>
      <c r="Q725" s="562">
        <f>IFERROR(__xludf.DUMMYFUNCTION("""COMPUTED_VALUE"""),75.0)</f>
        <v>75</v>
      </c>
      <c r="R725" s="562">
        <f>IFERROR(__xludf.DUMMYFUNCTION("""COMPUTED_VALUE"""),90.0)</f>
        <v>90</v>
      </c>
      <c r="S725" s="562"/>
      <c r="T725" s="217">
        <f>IFERROR(__xludf.DUMMYFUNCTION("""COMPUTED_VALUE"""),20.0)</f>
        <v>20</v>
      </c>
      <c r="U725" s="217">
        <f>IFERROR(__xludf.DUMMYFUNCTION("""COMPUTED_VALUE"""),24.0)</f>
        <v>24</v>
      </c>
      <c r="V725" s="217">
        <f>IFERROR(__xludf.DUMMYFUNCTION("""COMPUTED_VALUE"""),86.0)</f>
        <v>86</v>
      </c>
      <c r="W725" s="217">
        <f>IFERROR(__xludf.DUMMYFUNCTION("""COMPUTED_VALUE"""),90.0)</f>
        <v>90</v>
      </c>
      <c r="X725" s="217">
        <f>IFERROR(__xludf.DUMMYFUNCTION("""COMPUTED_VALUE"""),86.0)</f>
        <v>86</v>
      </c>
      <c r="Y725" s="217"/>
      <c r="Z725" s="217"/>
      <c r="AA725" s="481">
        <f>IFERROR(__xludf.DUMMYFUNCTION("""COMPUTED_VALUE"""),100.0)</f>
        <v>100</v>
      </c>
      <c r="AB725" s="481">
        <f>IFERROR(__xludf.DUMMYFUNCTION("""COMPUTED_VALUE"""),100.0)</f>
        <v>100</v>
      </c>
      <c r="AC725" s="481">
        <f>IFERROR(__xludf.DUMMYFUNCTION("""COMPUTED_VALUE"""),32.0)</f>
        <v>32</v>
      </c>
      <c r="AD725" s="481">
        <f>IFERROR(__xludf.DUMMYFUNCTION("""COMPUTED_VALUE"""),60.0)</f>
        <v>60</v>
      </c>
      <c r="AE725" s="481">
        <f>IFERROR(__xludf.DUMMYFUNCTION("""COMPUTED_VALUE"""),70.0)</f>
        <v>70</v>
      </c>
      <c r="AF725" s="481"/>
      <c r="AG725" s="481">
        <f>IFERROR(__xludf.DUMMYFUNCTION("""COMPUTED_VALUE"""),100.0)</f>
        <v>100</v>
      </c>
      <c r="AH725" s="481"/>
      <c r="AI725" s="158"/>
      <c r="AJ725" s="158"/>
      <c r="AK725" s="133">
        <f>IFERROR(__xludf.DUMMYFUNCTION("""COMPUTED_VALUE"""),4.0)</f>
        <v>4</v>
      </c>
      <c r="AL725" s="133">
        <f>IFERROR(__xludf.DUMMYFUNCTION("""COMPUTED_VALUE"""),3.0)</f>
        <v>3</v>
      </c>
      <c r="AM725" s="133">
        <f>IFERROR(__xludf.DUMMYFUNCTION("""COMPUTED_VALUE"""),3.0)</f>
        <v>3</v>
      </c>
      <c r="AN725" s="133" t="str">
        <f>IFERROR(__xludf.DUMMYFUNCTION("""COMPUTED_VALUE"""),"3.5")</f>
        <v>3.5</v>
      </c>
      <c r="AO725" s="133">
        <f>IFERROR(__xludf.DUMMYFUNCTION("""COMPUTED_VALUE"""),3.0)</f>
        <v>3</v>
      </c>
      <c r="AP725" s="155" t="s">
        <v>3801</v>
      </c>
    </row>
    <row r="726">
      <c r="A726" s="155">
        <f>IFERROR(__xludf.DUMMYFUNCTION("""COMPUTED_VALUE"""),55.0)</f>
        <v>55</v>
      </c>
      <c r="B726" s="155" t="str">
        <f>IFERROR(__xludf.DUMMYFUNCTION("""COMPUTED_VALUE"""),"shsu23csaiml@cmrit.ac.in")</f>
        <v>shsu23csaiml@cmrit.ac.in</v>
      </c>
      <c r="C726" s="174" t="str">
        <f>IFERROR(__xludf.DUMMYFUNCTION("""COMPUTED_VALUE"""),"Shetty Sudhanshu Shankar ")</f>
        <v>Shetty Sudhanshu Shankar </v>
      </c>
      <c r="D726" s="155" t="str">
        <f>IFERROR(__xludf.DUMMYFUNCTION("""COMPUTED_VALUE"""),"1CR23CI057")</f>
        <v>1CR23CI057</v>
      </c>
      <c r="E726" s="563">
        <f>IFERROR(__xludf.DUMMYFUNCTION("""COMPUTED_VALUE"""),9.920432393E9)</f>
        <v>9920432393</v>
      </c>
      <c r="F726" s="155" t="str">
        <f>IFERROR(__xludf.DUMMYFUNCTION("""COMPUTED_VALUE"""),"CSE(AIML)")</f>
        <v>CSE(AIML)</v>
      </c>
      <c r="G726" s="158"/>
      <c r="H726" s="559">
        <f>IFERROR(__xludf.DUMMYFUNCTION("""COMPUTED_VALUE"""),79.0)</f>
        <v>79</v>
      </c>
      <c r="I726" s="559">
        <f>IFERROR(__xludf.DUMMYFUNCTION("""COMPUTED_VALUE"""),70.0)</f>
        <v>70</v>
      </c>
      <c r="J726" s="559">
        <f>IFERROR(__xludf.DUMMYFUNCTION("""COMPUTED_VALUE"""),70.0)</f>
        <v>70</v>
      </c>
      <c r="K726" s="559">
        <f>IFERROR(__xludf.DUMMYFUNCTION("""COMPUTED_VALUE"""),70.0)</f>
        <v>70</v>
      </c>
      <c r="L726" s="560">
        <f>IFERROR(__xludf.DUMMYFUNCTION("""COMPUTED_VALUE"""),50.0)</f>
        <v>50</v>
      </c>
      <c r="M726" s="561">
        <f>IFERROR(__xludf.DUMMYFUNCTION("""COMPUTED_VALUE"""),4.0)</f>
        <v>4</v>
      </c>
      <c r="N726" s="561">
        <f>IFERROR(__xludf.DUMMYFUNCTION("""COMPUTED_VALUE"""),15.0)</f>
        <v>15</v>
      </c>
      <c r="O726" s="560"/>
      <c r="P726" s="562">
        <f>IFERROR(__xludf.DUMMYFUNCTION("""COMPUTED_VALUE"""),77.0)</f>
        <v>77</v>
      </c>
      <c r="Q726" s="562">
        <f>IFERROR(__xludf.DUMMYFUNCTION("""COMPUTED_VALUE"""),67.0)</f>
        <v>67</v>
      </c>
      <c r="R726" s="562">
        <f>IFERROR(__xludf.DUMMYFUNCTION("""COMPUTED_VALUE"""),50.0)</f>
        <v>50</v>
      </c>
      <c r="S726" s="562"/>
      <c r="T726" s="217">
        <f>IFERROR(__xludf.DUMMYFUNCTION("""COMPUTED_VALUE"""),21.0)</f>
        <v>21</v>
      </c>
      <c r="U726" s="217">
        <f>IFERROR(__xludf.DUMMYFUNCTION("""COMPUTED_VALUE"""),22.0)</f>
        <v>22</v>
      </c>
      <c r="V726" s="217">
        <f>IFERROR(__xludf.DUMMYFUNCTION("""COMPUTED_VALUE"""),82.0)</f>
        <v>82</v>
      </c>
      <c r="W726" s="217">
        <f>IFERROR(__xludf.DUMMYFUNCTION("""COMPUTED_VALUE"""),90.0)</f>
        <v>90</v>
      </c>
      <c r="X726" s="217">
        <f>IFERROR(__xludf.DUMMYFUNCTION("""COMPUTED_VALUE"""),78.0)</f>
        <v>78</v>
      </c>
      <c r="Y726" s="217"/>
      <c r="Z726" s="217"/>
      <c r="AA726" s="481">
        <f>IFERROR(__xludf.DUMMYFUNCTION("""COMPUTED_VALUE"""),62.0)</f>
        <v>62</v>
      </c>
      <c r="AB726" s="481">
        <f>IFERROR(__xludf.DUMMYFUNCTION("""COMPUTED_VALUE"""),50.0)</f>
        <v>50</v>
      </c>
      <c r="AC726" s="481">
        <f>IFERROR(__xludf.DUMMYFUNCTION("""COMPUTED_VALUE"""),13.0)</f>
        <v>13</v>
      </c>
      <c r="AD726" s="481">
        <f>IFERROR(__xludf.DUMMYFUNCTION("""COMPUTED_VALUE"""),60.0)</f>
        <v>60</v>
      </c>
      <c r="AE726" s="481">
        <f>IFERROR(__xludf.DUMMYFUNCTION("""COMPUTED_VALUE"""),72.0)</f>
        <v>72</v>
      </c>
      <c r="AF726" s="481"/>
      <c r="AG726" s="481">
        <f>IFERROR(__xludf.DUMMYFUNCTION("""COMPUTED_VALUE"""),27.0)</f>
        <v>27</v>
      </c>
      <c r="AH726" s="481"/>
      <c r="AI726" s="158"/>
      <c r="AJ726" s="158"/>
      <c r="AK726" s="133">
        <f>IFERROR(__xludf.DUMMYFUNCTION("""COMPUTED_VALUE"""),4.0)</f>
        <v>4</v>
      </c>
      <c r="AL726" s="133">
        <f>IFERROR(__xludf.DUMMYFUNCTION("""COMPUTED_VALUE"""),1.0)</f>
        <v>1</v>
      </c>
      <c r="AM726" s="133">
        <f>IFERROR(__xludf.DUMMYFUNCTION("""COMPUTED_VALUE"""),3.0)</f>
        <v>3</v>
      </c>
      <c r="AN726" s="133" t="str">
        <f>IFERROR(__xludf.DUMMYFUNCTION("""COMPUTED_VALUE"""),"3.5")</f>
        <v>3.5</v>
      </c>
      <c r="AO726" s="133">
        <f>IFERROR(__xludf.DUMMYFUNCTION("""COMPUTED_VALUE"""),3.0)</f>
        <v>3</v>
      </c>
      <c r="AP726" s="155" t="s">
        <v>3801</v>
      </c>
    </row>
    <row r="727">
      <c r="A727" s="155">
        <f>IFERROR(__xludf.DUMMYFUNCTION("""COMPUTED_VALUE"""),56.0)</f>
        <v>56</v>
      </c>
      <c r="B727" s="155" t="str">
        <f>IFERROR(__xludf.DUMMYFUNCTION("""COMPUTED_VALUE"""),"taa23csaiml@cmrit.ac.in")</f>
        <v>taa23csaiml@cmrit.ac.in</v>
      </c>
      <c r="C727" s="174" t="str">
        <f>IFERROR(__xludf.DUMMYFUNCTION("""COMPUTED_VALUE"""),"TANUSHREE A")</f>
        <v>TANUSHREE A</v>
      </c>
      <c r="D727" s="155" t="str">
        <f>IFERROR(__xludf.DUMMYFUNCTION("""COMPUTED_VALUE"""),"1CR23CI058")</f>
        <v>1CR23CI058</v>
      </c>
      <c r="E727" s="563">
        <f>IFERROR(__xludf.DUMMYFUNCTION("""COMPUTED_VALUE"""),9.986650193E9)</f>
        <v>9986650193</v>
      </c>
      <c r="F727" s="155" t="str">
        <f>IFERROR(__xludf.DUMMYFUNCTION("""COMPUTED_VALUE"""),"CSE(AIML)")</f>
        <v>CSE(AIML)</v>
      </c>
      <c r="G727" s="158"/>
      <c r="H727" s="559">
        <f>IFERROR(__xludf.DUMMYFUNCTION("""COMPUTED_VALUE"""),90.0)</f>
        <v>90</v>
      </c>
      <c r="I727" s="559">
        <f>IFERROR(__xludf.DUMMYFUNCTION("""COMPUTED_VALUE"""),92.0)</f>
        <v>92</v>
      </c>
      <c r="J727" s="559">
        <f>IFERROR(__xludf.DUMMYFUNCTION("""COMPUTED_VALUE"""),81.0)</f>
        <v>81</v>
      </c>
      <c r="K727" s="559">
        <f>IFERROR(__xludf.DUMMYFUNCTION("""COMPUTED_VALUE"""),74.0)</f>
        <v>74</v>
      </c>
      <c r="L727" s="560">
        <f>IFERROR(__xludf.DUMMYFUNCTION("""COMPUTED_VALUE"""),54.0)</f>
        <v>54</v>
      </c>
      <c r="M727" s="561">
        <f>IFERROR(__xludf.DUMMYFUNCTION("""COMPUTED_VALUE"""),50.0)</f>
        <v>50</v>
      </c>
      <c r="N727" s="561">
        <f>IFERROR(__xludf.DUMMYFUNCTION("""COMPUTED_VALUE"""),55.0)</f>
        <v>55</v>
      </c>
      <c r="O727" s="560"/>
      <c r="P727" s="562">
        <f>IFERROR(__xludf.DUMMYFUNCTION("""COMPUTED_VALUE"""),80.0)</f>
        <v>80</v>
      </c>
      <c r="Q727" s="562">
        <f>IFERROR(__xludf.DUMMYFUNCTION("""COMPUTED_VALUE"""),75.0)</f>
        <v>75</v>
      </c>
      <c r="R727" s="562">
        <f>IFERROR(__xludf.DUMMYFUNCTION("""COMPUTED_VALUE"""),95.0)</f>
        <v>95</v>
      </c>
      <c r="S727" s="562"/>
      <c r="T727" s="217">
        <f>IFERROR(__xludf.DUMMYFUNCTION("""COMPUTED_VALUE"""),21.0)</f>
        <v>21</v>
      </c>
      <c r="U727" s="217">
        <f>IFERROR(__xludf.DUMMYFUNCTION("""COMPUTED_VALUE"""),25.0)</f>
        <v>25</v>
      </c>
      <c r="V727" s="217">
        <f>IFERROR(__xludf.DUMMYFUNCTION("""COMPUTED_VALUE"""),90.0)</f>
        <v>90</v>
      </c>
      <c r="W727" s="217">
        <f>IFERROR(__xludf.DUMMYFUNCTION("""COMPUTED_VALUE"""),90.0)</f>
        <v>90</v>
      </c>
      <c r="X727" s="217">
        <f>IFERROR(__xludf.DUMMYFUNCTION("""COMPUTED_VALUE"""),84.0)</f>
        <v>84</v>
      </c>
      <c r="Y727" s="217"/>
      <c r="Z727" s="217"/>
      <c r="AA727" s="481">
        <f>IFERROR(__xludf.DUMMYFUNCTION("""COMPUTED_VALUE"""),60.8)</f>
        <v>60.8</v>
      </c>
      <c r="AB727" s="481">
        <f>IFERROR(__xludf.DUMMYFUNCTION("""COMPUTED_VALUE"""),100.0)</f>
        <v>100</v>
      </c>
      <c r="AC727" s="481">
        <f>IFERROR(__xludf.DUMMYFUNCTION("""COMPUTED_VALUE"""),70.0)</f>
        <v>70</v>
      </c>
      <c r="AD727" s="481">
        <f>IFERROR(__xludf.DUMMYFUNCTION("""COMPUTED_VALUE"""),60.0)</f>
        <v>60</v>
      </c>
      <c r="AE727" s="481">
        <f>IFERROR(__xludf.DUMMYFUNCTION("""COMPUTED_VALUE"""),70.0)</f>
        <v>70</v>
      </c>
      <c r="AF727" s="481"/>
      <c r="AG727" s="481">
        <f>IFERROR(__xludf.DUMMYFUNCTION("""COMPUTED_VALUE"""),98.0)</f>
        <v>98</v>
      </c>
      <c r="AH727" s="481"/>
      <c r="AI727" s="158"/>
      <c r="AJ727" s="158"/>
      <c r="AK727" s="133">
        <f>IFERROR(__xludf.DUMMYFUNCTION("""COMPUTED_VALUE"""),4.0)</f>
        <v>4</v>
      </c>
      <c r="AL727" s="133">
        <f>IFERROR(__xludf.DUMMYFUNCTION("""COMPUTED_VALUE"""),3.0)</f>
        <v>3</v>
      </c>
      <c r="AM727" s="133">
        <f>IFERROR(__xludf.DUMMYFUNCTION("""COMPUTED_VALUE"""),3.0)</f>
        <v>3</v>
      </c>
      <c r="AN727" s="133" t="str">
        <f>IFERROR(__xludf.DUMMYFUNCTION("""COMPUTED_VALUE"""),"3.5")</f>
        <v>3.5</v>
      </c>
      <c r="AO727" s="133">
        <f>IFERROR(__xludf.DUMMYFUNCTION("""COMPUTED_VALUE"""),3.0)</f>
        <v>3</v>
      </c>
      <c r="AP727" s="155" t="s">
        <v>3801</v>
      </c>
    </row>
    <row r="728">
      <c r="A728" s="155">
        <f>IFERROR(__xludf.DUMMYFUNCTION("""COMPUTED_VALUE"""),57.0)</f>
        <v>57</v>
      </c>
      <c r="B728" s="155" t="str">
        <f>IFERROR(__xludf.DUMMYFUNCTION("""COMPUTED_VALUE"""),"vke23csaiml@cmrit.ac.in")</f>
        <v>vke23csaiml@cmrit.ac.in</v>
      </c>
      <c r="C728" s="174" t="str">
        <f>IFERROR(__xludf.DUMMYFUNCTION("""COMPUTED_VALUE"""),"V.KEERTHANA")</f>
        <v>V.KEERTHANA</v>
      </c>
      <c r="D728" s="155" t="str">
        <f>IFERROR(__xludf.DUMMYFUNCTION("""COMPUTED_VALUE"""),"1CR23CI059")</f>
        <v>1CR23CI059</v>
      </c>
      <c r="E728" s="563">
        <f>IFERROR(__xludf.DUMMYFUNCTION("""COMPUTED_VALUE"""),6.361732524E9)</f>
        <v>6361732524</v>
      </c>
      <c r="F728" s="155" t="str">
        <f>IFERROR(__xludf.DUMMYFUNCTION("""COMPUTED_VALUE"""),"CSE(AIML)")</f>
        <v>CSE(AIML)</v>
      </c>
      <c r="G728" s="158"/>
      <c r="H728" s="559">
        <f>IFERROR(__xludf.DUMMYFUNCTION("""COMPUTED_VALUE"""),78.0)</f>
        <v>78</v>
      </c>
      <c r="I728" s="559">
        <f>IFERROR(__xludf.DUMMYFUNCTION("""COMPUTED_VALUE"""),87.0)</f>
        <v>87</v>
      </c>
      <c r="J728" s="559">
        <f>IFERROR(__xludf.DUMMYFUNCTION("""COMPUTED_VALUE"""),70.0)</f>
        <v>70</v>
      </c>
      <c r="K728" s="559">
        <f>IFERROR(__xludf.DUMMYFUNCTION("""COMPUTED_VALUE"""),70.0)</f>
        <v>70</v>
      </c>
      <c r="L728" s="560">
        <f>IFERROR(__xludf.DUMMYFUNCTION("""COMPUTED_VALUE"""),50.0)</f>
        <v>50</v>
      </c>
      <c r="M728" s="561">
        <f>IFERROR(__xludf.DUMMYFUNCTION("""COMPUTED_VALUE"""),50.0)</f>
        <v>50</v>
      </c>
      <c r="N728" s="561">
        <f>IFERROR(__xludf.DUMMYFUNCTION("""COMPUTED_VALUE"""),50.0)</f>
        <v>50</v>
      </c>
      <c r="O728" s="560"/>
      <c r="P728" s="562">
        <f>IFERROR(__xludf.DUMMYFUNCTION("""COMPUTED_VALUE"""),83.0)</f>
        <v>83</v>
      </c>
      <c r="Q728" s="562">
        <f>IFERROR(__xludf.DUMMYFUNCTION("""COMPUTED_VALUE"""),90.0)</f>
        <v>90</v>
      </c>
      <c r="R728" s="562">
        <f>IFERROR(__xludf.DUMMYFUNCTION("""COMPUTED_VALUE"""),50.0)</f>
        <v>50</v>
      </c>
      <c r="S728" s="562"/>
      <c r="T728" s="217">
        <f>IFERROR(__xludf.DUMMYFUNCTION("""COMPUTED_VALUE"""),19.0)</f>
        <v>19</v>
      </c>
      <c r="U728" s="217">
        <f>IFERROR(__xludf.DUMMYFUNCTION("""COMPUTED_VALUE"""),25.0)</f>
        <v>25</v>
      </c>
      <c r="V728" s="217">
        <f>IFERROR(__xludf.DUMMYFUNCTION("""COMPUTED_VALUE"""),92.0)</f>
        <v>92</v>
      </c>
      <c r="W728" s="217">
        <f>IFERROR(__xludf.DUMMYFUNCTION("""COMPUTED_VALUE"""),88.0)</f>
        <v>88</v>
      </c>
      <c r="X728" s="217">
        <f>IFERROR(__xludf.DUMMYFUNCTION("""COMPUTED_VALUE"""),84.0)</f>
        <v>84</v>
      </c>
      <c r="Y728" s="217"/>
      <c r="Z728" s="217"/>
      <c r="AA728" s="481">
        <f>IFERROR(__xludf.DUMMYFUNCTION("""COMPUTED_VALUE"""),18.0)</f>
        <v>18</v>
      </c>
      <c r="AB728" s="481">
        <f>IFERROR(__xludf.DUMMYFUNCTION("""COMPUTED_VALUE"""),77.0)</f>
        <v>77</v>
      </c>
      <c r="AC728" s="481">
        <f>IFERROR(__xludf.DUMMYFUNCTION("""COMPUTED_VALUE"""),4.0)</f>
        <v>4</v>
      </c>
      <c r="AD728" s="481">
        <f>IFERROR(__xludf.DUMMYFUNCTION("""COMPUTED_VALUE"""),86.0)</f>
        <v>86</v>
      </c>
      <c r="AE728" s="481">
        <f>IFERROR(__xludf.DUMMYFUNCTION("""COMPUTED_VALUE"""),70.0)</f>
        <v>70</v>
      </c>
      <c r="AF728" s="481"/>
      <c r="AG728" s="481">
        <f>IFERROR(__xludf.DUMMYFUNCTION("""COMPUTED_VALUE"""),82.0)</f>
        <v>82</v>
      </c>
      <c r="AH728" s="481"/>
      <c r="AI728" s="158"/>
      <c r="AJ728" s="158"/>
      <c r="AK728" s="133">
        <f>IFERROR(__xludf.DUMMYFUNCTION("""COMPUTED_VALUE"""),4.0)</f>
        <v>4</v>
      </c>
      <c r="AL728" s="133">
        <f>IFERROR(__xludf.DUMMYFUNCTION("""COMPUTED_VALUE"""),3.0)</f>
        <v>3</v>
      </c>
      <c r="AM728" s="133">
        <f>IFERROR(__xludf.DUMMYFUNCTION("""COMPUTED_VALUE"""),3.0)</f>
        <v>3</v>
      </c>
      <c r="AN728" s="133" t="str">
        <f>IFERROR(__xludf.DUMMYFUNCTION("""COMPUTED_VALUE"""),"3.5")</f>
        <v>3.5</v>
      </c>
      <c r="AO728" s="133">
        <f>IFERROR(__xludf.DUMMYFUNCTION("""COMPUTED_VALUE"""),3.0)</f>
        <v>3</v>
      </c>
      <c r="AP728" s="155" t="s">
        <v>3801</v>
      </c>
    </row>
    <row r="729">
      <c r="A729" s="155">
        <f>IFERROR(__xludf.DUMMYFUNCTION("""COMPUTED_VALUE"""),58.0)</f>
        <v>58</v>
      </c>
      <c r="B729" s="155" t="str">
        <f>IFERROR(__xludf.DUMMYFUNCTION("""COMPUTED_VALUE"""),"vas23csaiml@cmrit.ac.in")</f>
        <v>vas23csaiml@cmrit.ac.in</v>
      </c>
      <c r="C729" s="174" t="str">
        <f>IFERROR(__xludf.DUMMYFUNCTION("""COMPUTED_VALUE"""),"VAISHNAV S")</f>
        <v>VAISHNAV S</v>
      </c>
      <c r="D729" s="155" t="str">
        <f>IFERROR(__xludf.DUMMYFUNCTION("""COMPUTED_VALUE"""),"1CR23CI060")</f>
        <v>1CR23CI060</v>
      </c>
      <c r="E729" s="563">
        <f>IFERROR(__xludf.DUMMYFUNCTION("""COMPUTED_VALUE"""),7.338026008E9)</f>
        <v>7338026008</v>
      </c>
      <c r="F729" s="155" t="str">
        <f>IFERROR(__xludf.DUMMYFUNCTION("""COMPUTED_VALUE"""),"CSE(AIML)")</f>
        <v>CSE(AIML)</v>
      </c>
      <c r="G729" s="158"/>
      <c r="H729" s="559">
        <f>IFERROR(__xludf.DUMMYFUNCTION("""COMPUTED_VALUE"""),68.0)</f>
        <v>68</v>
      </c>
      <c r="I729" s="559">
        <f>IFERROR(__xludf.DUMMYFUNCTION("""COMPUTED_VALUE"""),77.0)</f>
        <v>77</v>
      </c>
      <c r="J729" s="559">
        <f>IFERROR(__xludf.DUMMYFUNCTION("""COMPUTED_VALUE"""),50.0)</f>
        <v>50</v>
      </c>
      <c r="K729" s="559">
        <f>IFERROR(__xludf.DUMMYFUNCTION("""COMPUTED_VALUE"""),4.0)</f>
        <v>4</v>
      </c>
      <c r="L729" s="560">
        <f>IFERROR(__xludf.DUMMYFUNCTION("""COMPUTED_VALUE"""),8.0)</f>
        <v>8</v>
      </c>
      <c r="M729" s="561">
        <f>IFERROR(__xludf.DUMMYFUNCTION("""COMPUTED_VALUE"""),15.0)</f>
        <v>15</v>
      </c>
      <c r="N729" s="561">
        <f>IFERROR(__xludf.DUMMYFUNCTION("""COMPUTED_VALUE"""),19.75)</f>
        <v>19.75</v>
      </c>
      <c r="O729" s="560"/>
      <c r="P729" s="562">
        <f>IFERROR(__xludf.DUMMYFUNCTION("""COMPUTED_VALUE"""),50.0)</f>
        <v>50</v>
      </c>
      <c r="Q729" s="562">
        <f>IFERROR(__xludf.DUMMYFUNCTION("""COMPUTED_VALUE"""),0.0)</f>
        <v>0</v>
      </c>
      <c r="R729" s="562">
        <f>IFERROR(__xludf.DUMMYFUNCTION("""COMPUTED_VALUE"""),0.0)</f>
        <v>0</v>
      </c>
      <c r="S729" s="562"/>
      <c r="T729" s="217">
        <f>IFERROR(__xludf.DUMMYFUNCTION("""COMPUTED_VALUE"""),16.0)</f>
        <v>16</v>
      </c>
      <c r="U729" s="217">
        <f>IFERROR(__xludf.DUMMYFUNCTION("""COMPUTED_VALUE"""),20.0)</f>
        <v>20</v>
      </c>
      <c r="V729" s="217">
        <f>IFERROR(__xludf.DUMMYFUNCTION("""COMPUTED_VALUE"""),82.0)</f>
        <v>82</v>
      </c>
      <c r="W729" s="217">
        <f>IFERROR(__xludf.DUMMYFUNCTION("""COMPUTED_VALUE"""),0.0)</f>
        <v>0</v>
      </c>
      <c r="X729" s="217">
        <f>IFERROR(__xludf.DUMMYFUNCTION("""COMPUTED_VALUE"""),76.0)</f>
        <v>76</v>
      </c>
      <c r="Y729" s="217"/>
      <c r="Z729" s="217"/>
      <c r="AA729" s="481">
        <f>IFERROR(__xludf.DUMMYFUNCTION("""COMPUTED_VALUE"""),16.0)</f>
        <v>16</v>
      </c>
      <c r="AB729" s="481">
        <f>IFERROR(__xludf.DUMMYFUNCTION("""COMPUTED_VALUE"""),21.0)</f>
        <v>21</v>
      </c>
      <c r="AC729" s="481">
        <f>IFERROR(__xludf.DUMMYFUNCTION("""COMPUTED_VALUE"""),0.0)</f>
        <v>0</v>
      </c>
      <c r="AD729" s="481">
        <f>IFERROR(__xludf.DUMMYFUNCTION("""COMPUTED_VALUE"""),0.0)</f>
        <v>0</v>
      </c>
      <c r="AE729" s="481">
        <f>IFERROR(__xludf.DUMMYFUNCTION("""COMPUTED_VALUE"""),10.0)</f>
        <v>10</v>
      </c>
      <c r="AF729" s="481"/>
      <c r="AG729" s="481">
        <f>IFERROR(__xludf.DUMMYFUNCTION("""COMPUTED_VALUE"""),53.0)</f>
        <v>53</v>
      </c>
      <c r="AH729" s="481"/>
      <c r="AI729" s="158"/>
      <c r="AJ729" s="158"/>
      <c r="AK729" s="133">
        <f>IFERROR(__xludf.DUMMYFUNCTION("""COMPUTED_VALUE"""),2.0)</f>
        <v>2</v>
      </c>
      <c r="AL729" s="133">
        <f>IFERROR(__xludf.DUMMYFUNCTION("""COMPUTED_VALUE"""),0.0)</f>
        <v>0</v>
      </c>
      <c r="AM729" s="133">
        <f>IFERROR(__xludf.DUMMYFUNCTION("""COMPUTED_VALUE"""),2.0)</f>
        <v>2</v>
      </c>
      <c r="AN729" s="133" t="str">
        <f>IFERROR(__xludf.DUMMYFUNCTION("""COMPUTED_VALUE"""),"0")</f>
        <v>0</v>
      </c>
      <c r="AO729" s="133">
        <f>IFERROR(__xludf.DUMMYFUNCTION("""COMPUTED_VALUE"""),1.0)</f>
        <v>1</v>
      </c>
      <c r="AP729" s="155" t="s">
        <v>3801</v>
      </c>
    </row>
    <row r="730">
      <c r="A730" s="155">
        <f>IFERROR(__xludf.DUMMYFUNCTION("""COMPUTED_VALUE"""),59.0)</f>
        <v>59</v>
      </c>
      <c r="B730" s="155" t="str">
        <f>IFERROR(__xludf.DUMMYFUNCTION("""COMPUTED_VALUE"""),"vasa23csaiml@cmrit.ac.in")</f>
        <v>vasa23csaiml@cmrit.ac.in</v>
      </c>
      <c r="C730" s="174" t="str">
        <f>IFERROR(__xludf.DUMMYFUNCTION("""COMPUTED_VALUE"""),"VARSSHINI SARAVANAN")</f>
        <v>VARSSHINI SARAVANAN</v>
      </c>
      <c r="D730" s="155" t="str">
        <f>IFERROR(__xludf.DUMMYFUNCTION("""COMPUTED_VALUE"""),"1CR23CI061")</f>
        <v>1CR23CI061</v>
      </c>
      <c r="E730" s="563">
        <f>IFERROR(__xludf.DUMMYFUNCTION("""COMPUTED_VALUE"""),9.148129004E9)</f>
        <v>9148129004</v>
      </c>
      <c r="F730" s="155" t="str">
        <f>IFERROR(__xludf.DUMMYFUNCTION("""COMPUTED_VALUE"""),"CSE(AIML)")</f>
        <v>CSE(AIML)</v>
      </c>
      <c r="G730" s="158"/>
      <c r="H730" s="559">
        <f>IFERROR(__xludf.DUMMYFUNCTION("""COMPUTED_VALUE"""),80.0)</f>
        <v>80</v>
      </c>
      <c r="I730" s="559">
        <f>IFERROR(__xludf.DUMMYFUNCTION("""COMPUTED_VALUE"""),87.0)</f>
        <v>87</v>
      </c>
      <c r="J730" s="559">
        <f>IFERROR(__xludf.DUMMYFUNCTION("""COMPUTED_VALUE"""),70.0)</f>
        <v>70</v>
      </c>
      <c r="K730" s="559">
        <f>IFERROR(__xludf.DUMMYFUNCTION("""COMPUTED_VALUE"""),70.0)</f>
        <v>70</v>
      </c>
      <c r="L730" s="560">
        <f>IFERROR(__xludf.DUMMYFUNCTION("""COMPUTED_VALUE"""),50.0)</f>
        <v>50</v>
      </c>
      <c r="M730" s="561">
        <f>IFERROR(__xludf.DUMMYFUNCTION("""COMPUTED_VALUE"""),50.0)</f>
        <v>50</v>
      </c>
      <c r="N730" s="561">
        <f>IFERROR(__xludf.DUMMYFUNCTION("""COMPUTED_VALUE"""),50.0)</f>
        <v>50</v>
      </c>
      <c r="O730" s="560"/>
      <c r="P730" s="562">
        <f>IFERROR(__xludf.DUMMYFUNCTION("""COMPUTED_VALUE"""),79.0)</f>
        <v>79</v>
      </c>
      <c r="Q730" s="562">
        <f>IFERROR(__xludf.DUMMYFUNCTION("""COMPUTED_VALUE"""),70.0)</f>
        <v>70</v>
      </c>
      <c r="R730" s="562">
        <f>IFERROR(__xludf.DUMMYFUNCTION("""COMPUTED_VALUE"""),52.0)</f>
        <v>52</v>
      </c>
      <c r="S730" s="562"/>
      <c r="T730" s="217">
        <f>IFERROR(__xludf.DUMMYFUNCTION("""COMPUTED_VALUE"""),11.0)</f>
        <v>11</v>
      </c>
      <c r="U730" s="217">
        <f>IFERROR(__xludf.DUMMYFUNCTION("""COMPUTED_VALUE"""),21.0)</f>
        <v>21</v>
      </c>
      <c r="V730" s="217">
        <f>IFERROR(__xludf.DUMMYFUNCTION("""COMPUTED_VALUE"""),92.0)</f>
        <v>92</v>
      </c>
      <c r="W730" s="217">
        <f>IFERROR(__xludf.DUMMYFUNCTION("""COMPUTED_VALUE"""),80.0)</f>
        <v>80</v>
      </c>
      <c r="X730" s="217">
        <f>IFERROR(__xludf.DUMMYFUNCTION("""COMPUTED_VALUE"""),78.0)</f>
        <v>78</v>
      </c>
      <c r="Y730" s="217"/>
      <c r="Z730" s="217"/>
      <c r="AA730" s="481">
        <f>IFERROR(__xludf.DUMMYFUNCTION("""COMPUTED_VALUE"""),74.0)</f>
        <v>74</v>
      </c>
      <c r="AB730" s="481">
        <f>IFERROR(__xludf.DUMMYFUNCTION("""COMPUTED_VALUE"""),100.0)</f>
        <v>100</v>
      </c>
      <c r="AC730" s="481">
        <f>IFERROR(__xludf.DUMMYFUNCTION("""COMPUTED_VALUE"""),90.0)</f>
        <v>90</v>
      </c>
      <c r="AD730" s="481">
        <f>IFERROR(__xludf.DUMMYFUNCTION("""COMPUTED_VALUE"""),37.0)</f>
        <v>37</v>
      </c>
      <c r="AE730" s="481">
        <f>IFERROR(__xludf.DUMMYFUNCTION("""COMPUTED_VALUE"""),19.0)</f>
        <v>19</v>
      </c>
      <c r="AF730" s="481"/>
      <c r="AG730" s="481">
        <f>IFERROR(__xludf.DUMMYFUNCTION("""COMPUTED_VALUE"""),80.0)</f>
        <v>80</v>
      </c>
      <c r="AH730" s="481"/>
      <c r="AI730" s="158"/>
      <c r="AJ730" s="158"/>
      <c r="AK730" s="133">
        <f>IFERROR(__xludf.DUMMYFUNCTION("""COMPUTED_VALUE"""),4.0)</f>
        <v>4</v>
      </c>
      <c r="AL730" s="133">
        <f>IFERROR(__xludf.DUMMYFUNCTION("""COMPUTED_VALUE"""),3.0)</f>
        <v>3</v>
      </c>
      <c r="AM730" s="133">
        <f>IFERROR(__xludf.DUMMYFUNCTION("""COMPUTED_VALUE"""),3.0)</f>
        <v>3</v>
      </c>
      <c r="AN730" s="133" t="str">
        <f>IFERROR(__xludf.DUMMYFUNCTION("""COMPUTED_VALUE"""),"3")</f>
        <v>3</v>
      </c>
      <c r="AO730" s="133">
        <f>IFERROR(__xludf.DUMMYFUNCTION("""COMPUTED_VALUE"""),3.0)</f>
        <v>3</v>
      </c>
      <c r="AP730" s="155" t="s">
        <v>3801</v>
      </c>
    </row>
    <row r="731">
      <c r="A731" s="155">
        <f>IFERROR(__xludf.DUMMYFUNCTION("""COMPUTED_VALUE"""),60.0)</f>
        <v>60</v>
      </c>
      <c r="B731" s="155" t="str">
        <f>IFERROR(__xludf.DUMMYFUNCTION("""COMPUTED_VALUE"""),"vim23csaiml@cmrit.ac.in")</f>
        <v>vim23csaiml@cmrit.ac.in</v>
      </c>
      <c r="C731" s="174" t="str">
        <f>IFERROR(__xludf.DUMMYFUNCTION("""COMPUTED_VALUE"""),"VISHNU M")</f>
        <v>VISHNU M</v>
      </c>
      <c r="D731" s="155" t="str">
        <f>IFERROR(__xludf.DUMMYFUNCTION("""COMPUTED_VALUE"""),"1CR23CI062")</f>
        <v>1CR23CI062</v>
      </c>
      <c r="E731" s="563">
        <f>IFERROR(__xludf.DUMMYFUNCTION("""COMPUTED_VALUE"""),8.105885031E9)</f>
        <v>8105885031</v>
      </c>
      <c r="F731" s="155" t="str">
        <f>IFERROR(__xludf.DUMMYFUNCTION("""COMPUTED_VALUE"""),"CSE(AIML)")</f>
        <v>CSE(AIML)</v>
      </c>
      <c r="G731" s="158"/>
      <c r="H731" s="559">
        <f>IFERROR(__xludf.DUMMYFUNCTION("""COMPUTED_VALUE"""),86.0)</f>
        <v>86</v>
      </c>
      <c r="I731" s="559">
        <f>IFERROR(__xludf.DUMMYFUNCTION("""COMPUTED_VALUE"""),89.0)</f>
        <v>89</v>
      </c>
      <c r="J731" s="559">
        <f>IFERROR(__xludf.DUMMYFUNCTION("""COMPUTED_VALUE"""),84.0)</f>
        <v>84</v>
      </c>
      <c r="K731" s="559">
        <f>IFERROR(__xludf.DUMMYFUNCTION("""COMPUTED_VALUE"""),75.0)</f>
        <v>75</v>
      </c>
      <c r="L731" s="560">
        <f>IFERROR(__xludf.DUMMYFUNCTION("""COMPUTED_VALUE"""),59.0)</f>
        <v>59</v>
      </c>
      <c r="M731" s="561">
        <f>IFERROR(__xludf.DUMMYFUNCTION("""COMPUTED_VALUE"""),50.0)</f>
        <v>50</v>
      </c>
      <c r="N731" s="561">
        <f>IFERROR(__xludf.DUMMYFUNCTION("""COMPUTED_VALUE"""),50.0)</f>
        <v>50</v>
      </c>
      <c r="O731" s="560"/>
      <c r="P731" s="562">
        <f>IFERROR(__xludf.DUMMYFUNCTION("""COMPUTED_VALUE"""),80.0)</f>
        <v>80</v>
      </c>
      <c r="Q731" s="562">
        <f>IFERROR(__xludf.DUMMYFUNCTION("""COMPUTED_VALUE"""),71.0)</f>
        <v>71</v>
      </c>
      <c r="R731" s="562">
        <f>IFERROR(__xludf.DUMMYFUNCTION("""COMPUTED_VALUE"""),86.0)</f>
        <v>86</v>
      </c>
      <c r="S731" s="562"/>
      <c r="T731" s="217">
        <f>IFERROR(__xludf.DUMMYFUNCTION("""COMPUTED_VALUE"""),14.0)</f>
        <v>14</v>
      </c>
      <c r="U731" s="217">
        <f>IFERROR(__xludf.DUMMYFUNCTION("""COMPUTED_VALUE"""),25.0)</f>
        <v>25</v>
      </c>
      <c r="V731" s="217">
        <f>IFERROR(__xludf.DUMMYFUNCTION("""COMPUTED_VALUE"""),92.0)</f>
        <v>92</v>
      </c>
      <c r="W731" s="217">
        <f>IFERROR(__xludf.DUMMYFUNCTION("""COMPUTED_VALUE"""),86.0)</f>
        <v>86</v>
      </c>
      <c r="X731" s="217">
        <f>IFERROR(__xludf.DUMMYFUNCTION("""COMPUTED_VALUE"""),86.0)</f>
        <v>86</v>
      </c>
      <c r="Y731" s="217"/>
      <c r="Z731" s="217"/>
      <c r="AA731" s="481">
        <f>IFERROR(__xludf.DUMMYFUNCTION("""COMPUTED_VALUE"""),100.0)</f>
        <v>100</v>
      </c>
      <c r="AB731" s="481">
        <f>IFERROR(__xludf.DUMMYFUNCTION("""COMPUTED_VALUE"""),75.0)</f>
        <v>75</v>
      </c>
      <c r="AC731" s="481">
        <f>IFERROR(__xludf.DUMMYFUNCTION("""COMPUTED_VALUE"""),99.0)</f>
        <v>99</v>
      </c>
      <c r="AD731" s="481">
        <f>IFERROR(__xludf.DUMMYFUNCTION("""COMPUTED_VALUE"""),60.0)</f>
        <v>60</v>
      </c>
      <c r="AE731" s="481">
        <f>IFERROR(__xludf.DUMMYFUNCTION("""COMPUTED_VALUE"""),70.0)</f>
        <v>70</v>
      </c>
      <c r="AF731" s="481"/>
      <c r="AG731" s="481">
        <f>IFERROR(__xludf.DUMMYFUNCTION("""COMPUTED_VALUE"""),89.0)</f>
        <v>89</v>
      </c>
      <c r="AH731" s="481"/>
      <c r="AI731" s="158"/>
      <c r="AJ731" s="158"/>
      <c r="AK731" s="133">
        <f>IFERROR(__xludf.DUMMYFUNCTION("""COMPUTED_VALUE"""),4.0)</f>
        <v>4</v>
      </c>
      <c r="AL731" s="133">
        <f>IFERROR(__xludf.DUMMYFUNCTION("""COMPUTED_VALUE"""),3.0)</f>
        <v>3</v>
      </c>
      <c r="AM731" s="133">
        <f>IFERROR(__xludf.DUMMYFUNCTION("""COMPUTED_VALUE"""),3.0)</f>
        <v>3</v>
      </c>
      <c r="AN731" s="133" t="str">
        <f>IFERROR(__xludf.DUMMYFUNCTION("""COMPUTED_VALUE"""),"3.5")</f>
        <v>3.5</v>
      </c>
      <c r="AO731" s="133">
        <f>IFERROR(__xludf.DUMMYFUNCTION("""COMPUTED_VALUE"""),3.0)</f>
        <v>3</v>
      </c>
      <c r="AP731" s="155" t="s">
        <v>3801</v>
      </c>
    </row>
    <row r="732">
      <c r="A732" s="155">
        <f>IFERROR(__xludf.DUMMYFUNCTION("""COMPUTED_VALUE"""),61.0)</f>
        <v>61</v>
      </c>
      <c r="B732" s="155" t="str">
        <f>IFERROR(__xludf.DUMMYFUNCTION("""COMPUTED_VALUE"""),"yara23csaiml@cmrit.ac.in")</f>
        <v>yara23csaiml@cmrit.ac.in</v>
      </c>
      <c r="C732" s="174" t="str">
        <f>IFERROR(__xludf.DUMMYFUNCTION("""COMPUTED_VALUE"""),"Yash Kumar Rajput")</f>
        <v>Yash Kumar Rajput</v>
      </c>
      <c r="D732" s="155" t="str">
        <f>IFERROR(__xludf.DUMMYFUNCTION("""COMPUTED_VALUE"""),"1CR23CI063")</f>
        <v>1CR23CI063</v>
      </c>
      <c r="E732" s="563">
        <f>IFERROR(__xludf.DUMMYFUNCTION("""COMPUTED_VALUE"""),8.618079805E9)</f>
        <v>8618079805</v>
      </c>
      <c r="F732" s="155" t="str">
        <f>IFERROR(__xludf.DUMMYFUNCTION("""COMPUTED_VALUE"""),"CSE(AIML)")</f>
        <v>CSE(AIML)</v>
      </c>
      <c r="G732" s="158"/>
      <c r="H732" s="559">
        <f>IFERROR(__xludf.DUMMYFUNCTION("""COMPUTED_VALUE"""),80.0)</f>
        <v>80</v>
      </c>
      <c r="I732" s="559">
        <f>IFERROR(__xludf.DUMMYFUNCTION("""COMPUTED_VALUE"""),88.0)</f>
        <v>88</v>
      </c>
      <c r="J732" s="559">
        <f>IFERROR(__xludf.DUMMYFUNCTION("""COMPUTED_VALUE"""),79.0)</f>
        <v>79</v>
      </c>
      <c r="K732" s="559">
        <f>IFERROR(__xludf.DUMMYFUNCTION("""COMPUTED_VALUE"""),70.0)</f>
        <v>70</v>
      </c>
      <c r="L732" s="560">
        <f>IFERROR(__xludf.DUMMYFUNCTION("""COMPUTED_VALUE"""),54.0)</f>
        <v>54</v>
      </c>
      <c r="M732" s="561">
        <f>IFERROR(__xludf.DUMMYFUNCTION("""COMPUTED_VALUE"""),50.0)</f>
        <v>50</v>
      </c>
      <c r="N732" s="561">
        <f>IFERROR(__xludf.DUMMYFUNCTION("""COMPUTED_VALUE"""),50.0)</f>
        <v>50</v>
      </c>
      <c r="O732" s="560"/>
      <c r="P732" s="562">
        <f>IFERROR(__xludf.DUMMYFUNCTION("""COMPUTED_VALUE"""),50.0)</f>
        <v>50</v>
      </c>
      <c r="Q732" s="562">
        <f>IFERROR(__xludf.DUMMYFUNCTION("""COMPUTED_VALUE"""),67.0)</f>
        <v>67</v>
      </c>
      <c r="R732" s="562">
        <f>IFERROR(__xludf.DUMMYFUNCTION("""COMPUTED_VALUE"""),89.0)</f>
        <v>89</v>
      </c>
      <c r="S732" s="562"/>
      <c r="T732" s="217">
        <f>IFERROR(__xludf.DUMMYFUNCTION("""COMPUTED_VALUE"""),13.0)</f>
        <v>13</v>
      </c>
      <c r="U732" s="217">
        <f>IFERROR(__xludf.DUMMYFUNCTION("""COMPUTED_VALUE"""),23.0)</f>
        <v>23</v>
      </c>
      <c r="V732" s="217">
        <f>IFERROR(__xludf.DUMMYFUNCTION("""COMPUTED_VALUE"""),92.0)</f>
        <v>92</v>
      </c>
      <c r="W732" s="217">
        <f>IFERROR(__xludf.DUMMYFUNCTION("""COMPUTED_VALUE"""),88.0)</f>
        <v>88</v>
      </c>
      <c r="X732" s="217">
        <f>IFERROR(__xludf.DUMMYFUNCTION("""COMPUTED_VALUE"""),68.0)</f>
        <v>68</v>
      </c>
      <c r="Y732" s="217"/>
      <c r="Z732" s="217"/>
      <c r="AA732" s="481">
        <f>IFERROR(__xludf.DUMMYFUNCTION("""COMPUTED_VALUE"""),74.0)</f>
        <v>74</v>
      </c>
      <c r="AB732" s="481">
        <f>IFERROR(__xludf.DUMMYFUNCTION("""COMPUTED_VALUE"""),97.0)</f>
        <v>97</v>
      </c>
      <c r="AC732" s="481">
        <f>IFERROR(__xludf.DUMMYFUNCTION("""COMPUTED_VALUE"""),22.0)</f>
        <v>22</v>
      </c>
      <c r="AD732" s="481">
        <f>IFERROR(__xludf.DUMMYFUNCTION("""COMPUTED_VALUE"""),60.0)</f>
        <v>60</v>
      </c>
      <c r="AE732" s="481">
        <f>IFERROR(__xludf.DUMMYFUNCTION("""COMPUTED_VALUE"""),17.0)</f>
        <v>17</v>
      </c>
      <c r="AF732" s="481"/>
      <c r="AG732" s="481">
        <f>IFERROR(__xludf.DUMMYFUNCTION("""COMPUTED_VALUE"""),86.0)</f>
        <v>86</v>
      </c>
      <c r="AH732" s="481"/>
      <c r="AI732" s="158"/>
      <c r="AJ732" s="158"/>
      <c r="AK732" s="133">
        <f>IFERROR(__xludf.DUMMYFUNCTION("""COMPUTED_VALUE"""),4.0)</f>
        <v>4</v>
      </c>
      <c r="AL732" s="133">
        <f>IFERROR(__xludf.DUMMYFUNCTION("""COMPUTED_VALUE"""),3.0)</f>
        <v>3</v>
      </c>
      <c r="AM732" s="133">
        <f>IFERROR(__xludf.DUMMYFUNCTION("""COMPUTED_VALUE"""),3.0)</f>
        <v>3</v>
      </c>
      <c r="AN732" s="133" t="str">
        <f>IFERROR(__xludf.DUMMYFUNCTION("""COMPUTED_VALUE"""),"3")</f>
        <v>3</v>
      </c>
      <c r="AO732" s="133">
        <f>IFERROR(__xludf.DUMMYFUNCTION("""COMPUTED_VALUE"""),3.0)</f>
        <v>3</v>
      </c>
      <c r="AP732" s="155" t="s">
        <v>3801</v>
      </c>
    </row>
    <row r="733">
      <c r="A733" s="155">
        <f>IFERROR(__xludf.DUMMYFUNCTION("""COMPUTED_VALUE"""),62.0)</f>
        <v>62</v>
      </c>
      <c r="B733" s="155" t="str">
        <f>IFERROR(__xludf.DUMMYFUNCTION("""COMPUTED_VALUE"""),"aishwarya.cseaiml24le@cmrit.ac.in")</f>
        <v>aishwarya.cseaiml24le@cmrit.ac.in</v>
      </c>
      <c r="C733" s="174" t="str">
        <f>IFERROR(__xludf.DUMMYFUNCTION("""COMPUTED_VALUE"""),"AISHWARYA J")</f>
        <v>AISHWARYA J</v>
      </c>
      <c r="D733" s="155" t="str">
        <f>IFERROR(__xludf.DUMMYFUNCTION("""COMPUTED_VALUE"""),"1CR24CI400")</f>
        <v>1CR24CI400</v>
      </c>
      <c r="E733" s="563">
        <f>IFERROR(__xludf.DUMMYFUNCTION("""COMPUTED_VALUE"""),9.353812845E9)</f>
        <v>9353812845</v>
      </c>
      <c r="F733" s="155" t="str">
        <f>IFERROR(__xludf.DUMMYFUNCTION("""COMPUTED_VALUE"""),"CSE(AIML)")</f>
        <v>CSE(AIML)</v>
      </c>
      <c r="G733" s="158"/>
      <c r="H733" s="559">
        <f>IFERROR(__xludf.DUMMYFUNCTION("""COMPUTED_VALUE"""),16.0)</f>
        <v>16</v>
      </c>
      <c r="I733" s="559">
        <f>IFERROR(__xludf.DUMMYFUNCTION("""COMPUTED_VALUE"""),24.0)</f>
        <v>24</v>
      </c>
      <c r="J733" s="559">
        <f>IFERROR(__xludf.DUMMYFUNCTION("""COMPUTED_VALUE"""),36.0)</f>
        <v>36</v>
      </c>
      <c r="K733" s="559">
        <f>IFERROR(__xludf.DUMMYFUNCTION("""COMPUTED_VALUE"""),34.0)</f>
        <v>34</v>
      </c>
      <c r="L733" s="560">
        <f>IFERROR(__xludf.DUMMYFUNCTION("""COMPUTED_VALUE"""),9.0)</f>
        <v>9</v>
      </c>
      <c r="M733" s="561">
        <f>IFERROR(__xludf.DUMMYFUNCTION("""COMPUTED_VALUE"""),27.0)</f>
        <v>27</v>
      </c>
      <c r="N733" s="561">
        <f>IFERROR(__xludf.DUMMYFUNCTION("""COMPUTED_VALUE"""),-3.75)</f>
        <v>-3.75</v>
      </c>
      <c r="O733" s="560"/>
      <c r="P733" s="562">
        <f>IFERROR(__xludf.DUMMYFUNCTION("""COMPUTED_VALUE"""),0.0)</f>
        <v>0</v>
      </c>
      <c r="Q733" s="562">
        <f>IFERROR(__xludf.DUMMYFUNCTION("""COMPUTED_VALUE"""),0.0)</f>
        <v>0</v>
      </c>
      <c r="R733" s="562">
        <f>IFERROR(__xludf.DUMMYFUNCTION("""COMPUTED_VALUE"""),0.0)</f>
        <v>0</v>
      </c>
      <c r="S733" s="562"/>
      <c r="T733" s="217"/>
      <c r="U733" s="217"/>
      <c r="V733" s="217">
        <f>IFERROR(__xludf.DUMMYFUNCTION("""COMPUTED_VALUE"""),92.0)</f>
        <v>92</v>
      </c>
      <c r="W733" s="217">
        <f>IFERROR(__xludf.DUMMYFUNCTION("""COMPUTED_VALUE"""),90.0)</f>
        <v>90</v>
      </c>
      <c r="X733" s="217">
        <f>IFERROR(__xludf.DUMMYFUNCTION("""COMPUTED_VALUE"""),68.0)</f>
        <v>68</v>
      </c>
      <c r="Y733" s="217"/>
      <c r="Z733" s="217"/>
      <c r="AA733" s="481"/>
      <c r="AB733" s="481">
        <f>IFERROR(__xludf.DUMMYFUNCTION("""COMPUTED_VALUE"""),41.0)</f>
        <v>41</v>
      </c>
      <c r="AC733" s="481">
        <f>IFERROR(__xludf.DUMMYFUNCTION("""COMPUTED_VALUE"""),41.0)</f>
        <v>41</v>
      </c>
      <c r="AD733" s="481">
        <f>IFERROR(__xludf.DUMMYFUNCTION("""COMPUTED_VALUE"""),42.0)</f>
        <v>42</v>
      </c>
      <c r="AE733" s="481">
        <f>IFERROR(__xludf.DUMMYFUNCTION("""COMPUTED_VALUE"""),10.0)</f>
        <v>10</v>
      </c>
      <c r="AF733" s="481"/>
      <c r="AG733" s="481">
        <f>IFERROR(__xludf.DUMMYFUNCTION("""COMPUTED_VALUE"""),33.0)</f>
        <v>33</v>
      </c>
      <c r="AH733" s="481"/>
      <c r="AI733" s="158"/>
      <c r="AJ733" s="158"/>
      <c r="AK733" s="133">
        <f>IFERROR(__xludf.DUMMYFUNCTION("""COMPUTED_VALUE"""),0.0)</f>
        <v>0</v>
      </c>
      <c r="AL733" s="133">
        <f>IFERROR(__xludf.DUMMYFUNCTION("""COMPUTED_VALUE"""),0.0)</f>
        <v>0</v>
      </c>
      <c r="AM733" s="133">
        <f>IFERROR(__xludf.DUMMYFUNCTION("""COMPUTED_VALUE"""),0.0)</f>
        <v>0</v>
      </c>
      <c r="AN733" s="133" t="str">
        <f>IFERROR(__xludf.DUMMYFUNCTION("""COMPUTED_VALUE"""),"0")</f>
        <v>0</v>
      </c>
      <c r="AO733" s="133">
        <f>IFERROR(__xludf.DUMMYFUNCTION("""COMPUTED_VALUE"""),0.0)</f>
        <v>0</v>
      </c>
      <c r="AP733" s="155" t="s">
        <v>3801</v>
      </c>
    </row>
    <row r="734">
      <c r="A734" s="155">
        <f>IFERROR(__xludf.DUMMYFUNCTION("""COMPUTED_VALUE"""),63.0)</f>
        <v>63</v>
      </c>
      <c r="B734" s="155" t="str">
        <f>IFERROR(__xludf.DUMMYFUNCTION("""COMPUTED_VALUE"""),"harshavardhan.cseaiml24le@cmrit.ac.in")</f>
        <v>harshavardhan.cseaiml24le@cmrit.ac.in</v>
      </c>
      <c r="C734" s="174" t="str">
        <f>IFERROR(__xludf.DUMMYFUNCTION("""COMPUTED_VALUE"""),"Harshavardhan Reddy A")</f>
        <v>Harshavardhan Reddy A</v>
      </c>
      <c r="D734" s="155" t="str">
        <f>IFERROR(__xludf.DUMMYFUNCTION("""COMPUTED_VALUE"""),"1CR24CI401")</f>
        <v>1CR24CI401</v>
      </c>
      <c r="E734" s="563">
        <f>IFERROR(__xludf.DUMMYFUNCTION("""COMPUTED_VALUE"""),8.904344092E9)</f>
        <v>8904344092</v>
      </c>
      <c r="F734" s="155" t="str">
        <f>IFERROR(__xludf.DUMMYFUNCTION("""COMPUTED_VALUE"""),"CSE(AIML)")</f>
        <v>CSE(AIML)</v>
      </c>
      <c r="G734" s="158"/>
      <c r="H734" s="559">
        <f>IFERROR(__xludf.DUMMYFUNCTION("""COMPUTED_VALUE"""),40.0)</f>
        <v>40</v>
      </c>
      <c r="I734" s="559">
        <f>IFERROR(__xludf.DUMMYFUNCTION("""COMPUTED_VALUE"""),28.0)</f>
        <v>28</v>
      </c>
      <c r="J734" s="559">
        <f>IFERROR(__xludf.DUMMYFUNCTION("""COMPUTED_VALUE"""),39.0)</f>
        <v>39</v>
      </c>
      <c r="K734" s="559">
        <f>IFERROR(__xludf.DUMMYFUNCTION("""COMPUTED_VALUE"""),18.0)</f>
        <v>18</v>
      </c>
      <c r="L734" s="560">
        <f>IFERROR(__xludf.DUMMYFUNCTION("""COMPUTED_VALUE"""),7.0)</f>
        <v>7</v>
      </c>
      <c r="M734" s="561">
        <f>IFERROR(__xludf.DUMMYFUNCTION("""COMPUTED_VALUE"""),12.0)</f>
        <v>12</v>
      </c>
      <c r="N734" s="561">
        <f>IFERROR(__xludf.DUMMYFUNCTION("""COMPUTED_VALUE"""),1.25)</f>
        <v>1.25</v>
      </c>
      <c r="O734" s="560"/>
      <c r="P734" s="562">
        <f>IFERROR(__xludf.DUMMYFUNCTION("""COMPUTED_VALUE"""),50.0)</f>
        <v>50</v>
      </c>
      <c r="Q734" s="562">
        <f>IFERROR(__xludf.DUMMYFUNCTION("""COMPUTED_VALUE"""),50.0)</f>
        <v>50</v>
      </c>
      <c r="R734" s="562">
        <f>IFERROR(__xludf.DUMMYFUNCTION("""COMPUTED_VALUE"""),50.0)</f>
        <v>50</v>
      </c>
      <c r="S734" s="562"/>
      <c r="T734" s="217"/>
      <c r="U734" s="217"/>
      <c r="V734" s="217">
        <f>IFERROR(__xludf.DUMMYFUNCTION("""COMPUTED_VALUE"""),88.0)</f>
        <v>88</v>
      </c>
      <c r="W734" s="217">
        <f>IFERROR(__xludf.DUMMYFUNCTION("""COMPUTED_VALUE"""),88.0)</f>
        <v>88</v>
      </c>
      <c r="X734" s="217">
        <f>IFERROR(__xludf.DUMMYFUNCTION("""COMPUTED_VALUE"""),68.0)</f>
        <v>68</v>
      </c>
      <c r="Y734" s="217"/>
      <c r="Z734" s="217"/>
      <c r="AA734" s="481"/>
      <c r="AB734" s="481">
        <f>IFERROR(__xludf.DUMMYFUNCTION("""COMPUTED_VALUE"""),3.0)</f>
        <v>3</v>
      </c>
      <c r="AC734" s="481">
        <f>IFERROR(__xludf.DUMMYFUNCTION("""COMPUTED_VALUE"""),3.0)</f>
        <v>3</v>
      </c>
      <c r="AD734" s="481">
        <f>IFERROR(__xludf.DUMMYFUNCTION("""COMPUTED_VALUE"""),42.0)</f>
        <v>42</v>
      </c>
      <c r="AE734" s="481">
        <f>IFERROR(__xludf.DUMMYFUNCTION("""COMPUTED_VALUE"""),10.0)</f>
        <v>10</v>
      </c>
      <c r="AF734" s="481"/>
      <c r="AG734" s="481">
        <f>IFERROR(__xludf.DUMMYFUNCTION("""COMPUTED_VALUE"""),31.0)</f>
        <v>31</v>
      </c>
      <c r="AH734" s="481"/>
      <c r="AI734" s="158"/>
      <c r="AJ734" s="158"/>
      <c r="AK734" s="133">
        <f>IFERROR(__xludf.DUMMYFUNCTION("""COMPUTED_VALUE"""),0.0)</f>
        <v>0</v>
      </c>
      <c r="AL734" s="133">
        <f>IFERROR(__xludf.DUMMYFUNCTION("""COMPUTED_VALUE"""),0.0)</f>
        <v>0</v>
      </c>
      <c r="AM734" s="133">
        <f>IFERROR(__xludf.DUMMYFUNCTION("""COMPUTED_VALUE"""),0.0)</f>
        <v>0</v>
      </c>
      <c r="AN734" s="133" t="str">
        <f>IFERROR(__xludf.DUMMYFUNCTION("""COMPUTED_VALUE"""),"0")</f>
        <v>0</v>
      </c>
      <c r="AO734" s="133">
        <f>IFERROR(__xludf.DUMMYFUNCTION("""COMPUTED_VALUE"""),3.0)</f>
        <v>3</v>
      </c>
      <c r="AP734" s="155" t="s">
        <v>3801</v>
      </c>
    </row>
    <row r="735">
      <c r="A735" s="155">
        <f>IFERROR(__xludf.DUMMYFUNCTION("""COMPUTED_VALUE"""),64.0)</f>
        <v>64</v>
      </c>
      <c r="B735" s="155" t="str">
        <f>IFERROR(__xludf.DUMMYFUNCTION("""COMPUTED_VALUE"""),"nagaraja.cseaiml24le@cmrit.ac.in")</f>
        <v>nagaraja.cseaiml24le@cmrit.ac.in</v>
      </c>
      <c r="C735" s="174" t="str">
        <f>IFERROR(__xludf.DUMMYFUNCTION("""COMPUTED_VALUE"""),"NAGARAJA H ")</f>
        <v>NAGARAJA H </v>
      </c>
      <c r="D735" s="155" t="str">
        <f>IFERROR(__xludf.DUMMYFUNCTION("""COMPUTED_VALUE"""),"1CR24CI402")</f>
        <v>1CR24CI402</v>
      </c>
      <c r="E735" s="563">
        <f>IFERROR(__xludf.DUMMYFUNCTION("""COMPUTED_VALUE"""),8.496846086E9)</f>
        <v>8496846086</v>
      </c>
      <c r="F735" s="155" t="str">
        <f>IFERROR(__xludf.DUMMYFUNCTION("""COMPUTED_VALUE"""),"CSE(AIML)")</f>
        <v>CSE(AIML)</v>
      </c>
      <c r="G735" s="158"/>
      <c r="H735" s="559">
        <f>IFERROR(__xludf.DUMMYFUNCTION("""COMPUTED_VALUE"""),44.0)</f>
        <v>44</v>
      </c>
      <c r="I735" s="559">
        <f>IFERROR(__xludf.DUMMYFUNCTION("""COMPUTED_VALUE"""),32.0)</f>
        <v>32</v>
      </c>
      <c r="J735" s="559">
        <f>IFERROR(__xludf.DUMMYFUNCTION("""COMPUTED_VALUE"""),48.0)</f>
        <v>48</v>
      </c>
      <c r="K735" s="559">
        <f>IFERROR(__xludf.DUMMYFUNCTION("""COMPUTED_VALUE"""),23.0)</f>
        <v>23</v>
      </c>
      <c r="L735" s="560">
        <f>IFERROR(__xludf.DUMMYFUNCTION("""COMPUTED_VALUE"""),0.0)</f>
        <v>0</v>
      </c>
      <c r="M735" s="561">
        <f>IFERROR(__xludf.DUMMYFUNCTION("""COMPUTED_VALUE"""),14.0)</f>
        <v>14</v>
      </c>
      <c r="N735" s="561">
        <f>IFERROR(__xludf.DUMMYFUNCTION("""COMPUTED_VALUE"""),2.5)</f>
        <v>2.5</v>
      </c>
      <c r="O735" s="560"/>
      <c r="P735" s="562">
        <f>IFERROR(__xludf.DUMMYFUNCTION("""COMPUTED_VALUE"""),50.0)</f>
        <v>50</v>
      </c>
      <c r="Q735" s="562">
        <f>IFERROR(__xludf.DUMMYFUNCTION("""COMPUTED_VALUE"""),0.0)</f>
        <v>0</v>
      </c>
      <c r="R735" s="562">
        <f>IFERROR(__xludf.DUMMYFUNCTION("""COMPUTED_VALUE"""),50.0)</f>
        <v>50</v>
      </c>
      <c r="S735" s="562"/>
      <c r="T735" s="217"/>
      <c r="U735" s="217"/>
      <c r="V735" s="217">
        <f>IFERROR(__xludf.DUMMYFUNCTION("""COMPUTED_VALUE"""),92.0)</f>
        <v>92</v>
      </c>
      <c r="W735" s="217">
        <f>IFERROR(__xludf.DUMMYFUNCTION("""COMPUTED_VALUE"""),86.0)</f>
        <v>86</v>
      </c>
      <c r="X735" s="217">
        <f>IFERROR(__xludf.DUMMYFUNCTION("""COMPUTED_VALUE"""),74.0)</f>
        <v>74</v>
      </c>
      <c r="Y735" s="217"/>
      <c r="Z735" s="217"/>
      <c r="AA735" s="481"/>
      <c r="AB735" s="481">
        <f>IFERROR(__xludf.DUMMYFUNCTION("""COMPUTED_VALUE"""),1.0)</f>
        <v>1</v>
      </c>
      <c r="AC735" s="481">
        <f>IFERROR(__xludf.DUMMYFUNCTION("""COMPUTED_VALUE"""),1.0)</f>
        <v>1</v>
      </c>
      <c r="AD735" s="481">
        <f>IFERROR(__xludf.DUMMYFUNCTION("""COMPUTED_VALUE"""),0.0)</f>
        <v>0</v>
      </c>
      <c r="AE735" s="481">
        <f>IFERROR(__xludf.DUMMYFUNCTION("""COMPUTED_VALUE"""),10.0)</f>
        <v>10</v>
      </c>
      <c r="AF735" s="481"/>
      <c r="AG735" s="481">
        <f>IFERROR(__xludf.DUMMYFUNCTION("""COMPUTED_VALUE"""),38.0)</f>
        <v>38</v>
      </c>
      <c r="AH735" s="481"/>
      <c r="AI735" s="158"/>
      <c r="AJ735" s="158"/>
      <c r="AK735" s="133">
        <f>IFERROR(__xludf.DUMMYFUNCTION("""COMPUTED_VALUE"""),0.0)</f>
        <v>0</v>
      </c>
      <c r="AL735" s="133">
        <f>IFERROR(__xludf.DUMMYFUNCTION("""COMPUTED_VALUE"""),0.0)</f>
        <v>0</v>
      </c>
      <c r="AM735" s="133">
        <f>IFERROR(__xludf.DUMMYFUNCTION("""COMPUTED_VALUE"""),0.0)</f>
        <v>0</v>
      </c>
      <c r="AN735" s="133" t="str">
        <f>IFERROR(__xludf.DUMMYFUNCTION("""COMPUTED_VALUE"""),"0")</f>
        <v>0</v>
      </c>
      <c r="AO735" s="133">
        <f>IFERROR(__xludf.DUMMYFUNCTION("""COMPUTED_VALUE"""),1.0)</f>
        <v>1</v>
      </c>
      <c r="AP735" s="155" t="s">
        <v>3801</v>
      </c>
    </row>
    <row r="736">
      <c r="A736" s="155">
        <f>IFERROR(__xludf.DUMMYFUNCTION("""COMPUTED_VALUE"""),65.0)</f>
        <v>65</v>
      </c>
      <c r="B736" s="155" t="str">
        <f>IFERROR(__xludf.DUMMYFUNCTION("""COMPUTED_VALUE"""),"puneeth.cseaiml24le@cmrit.ac.in")</f>
        <v>puneeth.cseaiml24le@cmrit.ac.in</v>
      </c>
      <c r="C736" s="174" t="str">
        <f>IFERROR(__xludf.DUMMYFUNCTION("""COMPUTED_VALUE"""),"Puneeth D")</f>
        <v>Puneeth D</v>
      </c>
      <c r="D736" s="155" t="str">
        <f>IFERROR(__xludf.DUMMYFUNCTION("""COMPUTED_VALUE"""),"1CR24CI403")</f>
        <v>1CR24CI403</v>
      </c>
      <c r="E736" s="563">
        <f>IFERROR(__xludf.DUMMYFUNCTION("""COMPUTED_VALUE"""),9.731862093E9)</f>
        <v>9731862093</v>
      </c>
      <c r="F736" s="155" t="str">
        <f>IFERROR(__xludf.DUMMYFUNCTION("""COMPUTED_VALUE"""),"CSE(AIML)")</f>
        <v>CSE(AIML)</v>
      </c>
      <c r="G736" s="158"/>
      <c r="H736" s="559">
        <f>IFERROR(__xludf.DUMMYFUNCTION("""COMPUTED_VALUE"""),44.0)</f>
        <v>44</v>
      </c>
      <c r="I736" s="559">
        <f>IFERROR(__xludf.DUMMYFUNCTION("""COMPUTED_VALUE"""),40.0)</f>
        <v>40</v>
      </c>
      <c r="J736" s="559">
        <f>IFERROR(__xludf.DUMMYFUNCTION("""COMPUTED_VALUE"""),70.0)</f>
        <v>70</v>
      </c>
      <c r="K736" s="559">
        <f>IFERROR(__xludf.DUMMYFUNCTION("""COMPUTED_VALUE"""),60.0)</f>
        <v>60</v>
      </c>
      <c r="L736" s="560">
        <f>IFERROR(__xludf.DUMMYFUNCTION("""COMPUTED_VALUE"""),13.0)</f>
        <v>13</v>
      </c>
      <c r="M736" s="561">
        <f>IFERROR(__xludf.DUMMYFUNCTION("""COMPUTED_VALUE"""),50.0)</f>
        <v>50</v>
      </c>
      <c r="N736" s="561">
        <f>IFERROR(__xludf.DUMMYFUNCTION("""COMPUTED_VALUE"""),19.25)</f>
        <v>19.25</v>
      </c>
      <c r="O736" s="560"/>
      <c r="P736" s="562">
        <f>IFERROR(__xludf.DUMMYFUNCTION("""COMPUTED_VALUE"""),50.0)</f>
        <v>50</v>
      </c>
      <c r="Q736" s="562">
        <f>IFERROR(__xludf.DUMMYFUNCTION("""COMPUTED_VALUE"""),71.0)</f>
        <v>71</v>
      </c>
      <c r="R736" s="562">
        <f>IFERROR(__xludf.DUMMYFUNCTION("""COMPUTED_VALUE"""),50.0)</f>
        <v>50</v>
      </c>
      <c r="S736" s="562"/>
      <c r="T736" s="217"/>
      <c r="U736" s="217"/>
      <c r="V736" s="217">
        <f>IFERROR(__xludf.DUMMYFUNCTION("""COMPUTED_VALUE"""),92.0)</f>
        <v>92</v>
      </c>
      <c r="W736" s="217">
        <f>IFERROR(__xludf.DUMMYFUNCTION("""COMPUTED_VALUE"""),86.0)</f>
        <v>86</v>
      </c>
      <c r="X736" s="217">
        <f>IFERROR(__xludf.DUMMYFUNCTION("""COMPUTED_VALUE"""),70.0)</f>
        <v>70</v>
      </c>
      <c r="Y736" s="217"/>
      <c r="Z736" s="217"/>
      <c r="AA736" s="481"/>
      <c r="AB736" s="481">
        <f>IFERROR(__xludf.DUMMYFUNCTION("""COMPUTED_VALUE"""),49.0)</f>
        <v>49</v>
      </c>
      <c r="AC736" s="481">
        <f>IFERROR(__xludf.DUMMYFUNCTION("""COMPUTED_VALUE"""),49.0)</f>
        <v>49</v>
      </c>
      <c r="AD736" s="481">
        <f>IFERROR(__xludf.DUMMYFUNCTION("""COMPUTED_VALUE"""),80.0)</f>
        <v>80</v>
      </c>
      <c r="AE736" s="481">
        <f>IFERROR(__xludf.DUMMYFUNCTION("""COMPUTED_VALUE"""),15.0)</f>
        <v>15</v>
      </c>
      <c r="AF736" s="481"/>
      <c r="AG736" s="481">
        <f>IFERROR(__xludf.DUMMYFUNCTION("""COMPUTED_VALUE"""),4.0)</f>
        <v>4</v>
      </c>
      <c r="AH736" s="481"/>
      <c r="AI736" s="158"/>
      <c r="AJ736" s="158"/>
      <c r="AK736" s="133">
        <f>IFERROR(__xludf.DUMMYFUNCTION("""COMPUTED_VALUE"""),0.0)</f>
        <v>0</v>
      </c>
      <c r="AL736" s="133">
        <f>IFERROR(__xludf.DUMMYFUNCTION("""COMPUTED_VALUE"""),0.0)</f>
        <v>0</v>
      </c>
      <c r="AM736" s="133">
        <f>IFERROR(__xludf.DUMMYFUNCTION("""COMPUTED_VALUE"""),0.0)</f>
        <v>0</v>
      </c>
      <c r="AN736" s="133" t="str">
        <f>IFERROR(__xludf.DUMMYFUNCTION("""COMPUTED_VALUE"""),"0")</f>
        <v>0</v>
      </c>
      <c r="AO736" s="133">
        <f>IFERROR(__xludf.DUMMYFUNCTION("""COMPUTED_VALUE"""),3.0)</f>
        <v>3</v>
      </c>
      <c r="AP736" s="155" t="s">
        <v>3801</v>
      </c>
    </row>
    <row r="737">
      <c r="A737" s="155">
        <f>IFERROR(__xludf.DUMMYFUNCTION("""COMPUTED_VALUE"""),66.0)</f>
        <v>66</v>
      </c>
      <c r="B737" s="155" t="str">
        <f>IFERROR(__xludf.DUMMYFUNCTION("""COMPUTED_VALUE"""),"sandesh.cseaiml24le@cmrit.ac.in")</f>
        <v>sandesh.cseaiml24le@cmrit.ac.in</v>
      </c>
      <c r="C737" s="174" t="str">
        <f>IFERROR(__xludf.DUMMYFUNCTION("""COMPUTED_VALUE"""),"SANDESH SANJEEV NAIK ")</f>
        <v>SANDESH SANJEEV NAIK </v>
      </c>
      <c r="D737" s="155" t="str">
        <f>IFERROR(__xludf.DUMMYFUNCTION("""COMPUTED_VALUE"""),"1cr24ci404")</f>
        <v>1cr24ci404</v>
      </c>
      <c r="E737" s="563">
        <f>IFERROR(__xludf.DUMMYFUNCTION("""COMPUTED_VALUE"""),8.762518264E9)</f>
        <v>8762518264</v>
      </c>
      <c r="F737" s="155" t="str">
        <f>IFERROR(__xludf.DUMMYFUNCTION("""COMPUTED_VALUE"""),"CSE(AIML)")</f>
        <v>CSE(AIML)</v>
      </c>
      <c r="G737" s="158"/>
      <c r="H737" s="559">
        <f>IFERROR(__xludf.DUMMYFUNCTION("""COMPUTED_VALUE"""),60.0)</f>
        <v>60</v>
      </c>
      <c r="I737" s="559">
        <f>IFERROR(__xludf.DUMMYFUNCTION("""COMPUTED_VALUE"""),56.0)</f>
        <v>56</v>
      </c>
      <c r="J737" s="559">
        <f>IFERROR(__xludf.DUMMYFUNCTION("""COMPUTED_VALUE"""),58.0)</f>
        <v>58</v>
      </c>
      <c r="K737" s="559">
        <f>IFERROR(__xludf.DUMMYFUNCTION("""COMPUTED_VALUE"""),62.0)</f>
        <v>62</v>
      </c>
      <c r="L737" s="560">
        <f>IFERROR(__xludf.DUMMYFUNCTION("""COMPUTED_VALUE"""),17.0)</f>
        <v>17</v>
      </c>
      <c r="M737" s="561">
        <f>IFERROR(__xludf.DUMMYFUNCTION("""COMPUTED_VALUE"""),16.0)</f>
        <v>16</v>
      </c>
      <c r="N737" s="561">
        <f>IFERROR(__xludf.DUMMYFUNCTION("""COMPUTED_VALUE"""),50.0)</f>
        <v>50</v>
      </c>
      <c r="O737" s="560"/>
      <c r="P737" s="562">
        <f>IFERROR(__xludf.DUMMYFUNCTION("""COMPUTED_VALUE"""),50.0)</f>
        <v>50</v>
      </c>
      <c r="Q737" s="562">
        <f>IFERROR(__xludf.DUMMYFUNCTION("""COMPUTED_VALUE"""),50.0)</f>
        <v>50</v>
      </c>
      <c r="R737" s="562">
        <f>IFERROR(__xludf.DUMMYFUNCTION("""COMPUTED_VALUE"""),68.0)</f>
        <v>68</v>
      </c>
      <c r="S737" s="562"/>
      <c r="T737" s="217"/>
      <c r="U737" s="217"/>
      <c r="V737" s="217">
        <f>IFERROR(__xludf.DUMMYFUNCTION("""COMPUTED_VALUE"""),92.0)</f>
        <v>92</v>
      </c>
      <c r="W737" s="217">
        <f>IFERROR(__xludf.DUMMYFUNCTION("""COMPUTED_VALUE"""),90.0)</f>
        <v>90</v>
      </c>
      <c r="X737" s="217">
        <f>IFERROR(__xludf.DUMMYFUNCTION("""COMPUTED_VALUE"""),68.0)</f>
        <v>68</v>
      </c>
      <c r="Y737" s="217"/>
      <c r="Z737" s="217"/>
      <c r="AA737" s="481"/>
      <c r="AB737" s="481">
        <f>IFERROR(__xludf.DUMMYFUNCTION("""COMPUTED_VALUE"""),2.0)</f>
        <v>2</v>
      </c>
      <c r="AC737" s="481">
        <f>IFERROR(__xludf.DUMMYFUNCTION("""COMPUTED_VALUE"""),2.0)</f>
        <v>2</v>
      </c>
      <c r="AD737" s="481">
        <f>IFERROR(__xludf.DUMMYFUNCTION("""COMPUTED_VALUE"""),70.0)</f>
        <v>70</v>
      </c>
      <c r="AE737" s="481">
        <f>IFERROR(__xludf.DUMMYFUNCTION("""COMPUTED_VALUE"""),10.0)</f>
        <v>10</v>
      </c>
      <c r="AF737" s="481"/>
      <c r="AG737" s="481">
        <f>IFERROR(__xludf.DUMMYFUNCTION("""COMPUTED_VALUE"""),4.0)</f>
        <v>4</v>
      </c>
      <c r="AH737" s="481"/>
      <c r="AI737" s="158"/>
      <c r="AJ737" s="158"/>
      <c r="AK737" s="133">
        <f>IFERROR(__xludf.DUMMYFUNCTION("""COMPUTED_VALUE"""),0.0)</f>
        <v>0</v>
      </c>
      <c r="AL737" s="133">
        <f>IFERROR(__xludf.DUMMYFUNCTION("""COMPUTED_VALUE"""),0.0)</f>
        <v>0</v>
      </c>
      <c r="AM737" s="133">
        <f>IFERROR(__xludf.DUMMYFUNCTION("""COMPUTED_VALUE"""),0.0)</f>
        <v>0</v>
      </c>
      <c r="AN737" s="133" t="str">
        <f>IFERROR(__xludf.DUMMYFUNCTION("""COMPUTED_VALUE"""),"0")</f>
        <v>0</v>
      </c>
      <c r="AO737" s="133">
        <f>IFERROR(__xludf.DUMMYFUNCTION("""COMPUTED_VALUE"""),3.0)</f>
        <v>3</v>
      </c>
      <c r="AP737" s="155" t="s">
        <v>3801</v>
      </c>
    </row>
    <row r="738">
      <c r="A738" s="155">
        <f>IFERROR(__xludf.DUMMYFUNCTION("""COMPUTED_VALUE"""),67.0)</f>
        <v>67</v>
      </c>
      <c r="B738" s="155" t="str">
        <f>IFERROR(__xludf.DUMMYFUNCTION("""COMPUTED_VALUE"""),"niar23ece@cmrit.ac.in")</f>
        <v>niar23ece@cmrit.ac.in</v>
      </c>
      <c r="C738" s="174" t="str">
        <f>IFERROR(__xludf.DUMMYFUNCTION("""COMPUTED_VALUE"""),"NILOTPAL ARYA(COB FROM ECE)")</f>
        <v>NILOTPAL ARYA(COB FROM ECE)</v>
      </c>
      <c r="D738" s="155" t="str">
        <f>IFERROR(__xludf.DUMMYFUNCTION("""COMPUTED_VALUE"""),"1CR23CI064")</f>
        <v>1CR23CI064</v>
      </c>
      <c r="E738" s="563">
        <f>IFERROR(__xludf.DUMMYFUNCTION("""COMPUTED_VALUE"""),7.739451555E9)</f>
        <v>7739451555</v>
      </c>
      <c r="F738" s="155" t="str">
        <f>IFERROR(__xludf.DUMMYFUNCTION("""COMPUTED_VALUE"""),"CSE(AIML)")</f>
        <v>CSE(AIML)</v>
      </c>
      <c r="G738" s="158"/>
      <c r="H738" s="559">
        <f>IFERROR(__xludf.DUMMYFUNCTION("""COMPUTED_VALUE"""),94.0)</f>
        <v>94</v>
      </c>
      <c r="I738" s="559">
        <f>IFERROR(__xludf.DUMMYFUNCTION("""COMPUTED_VALUE"""),92.0)</f>
        <v>92</v>
      </c>
      <c r="J738" s="559">
        <f>IFERROR(__xludf.DUMMYFUNCTION("""COMPUTED_VALUE"""),82.0)</f>
        <v>82</v>
      </c>
      <c r="K738" s="559">
        <f>IFERROR(__xludf.DUMMYFUNCTION("""COMPUTED_VALUE"""),72.0)</f>
        <v>72</v>
      </c>
      <c r="L738" s="560">
        <f>IFERROR(__xludf.DUMMYFUNCTION("""COMPUTED_VALUE"""),56.0)</f>
        <v>56</v>
      </c>
      <c r="M738" s="561">
        <f>IFERROR(__xludf.DUMMYFUNCTION("""COMPUTED_VALUE"""),56.0)</f>
        <v>56</v>
      </c>
      <c r="N738" s="561">
        <f>IFERROR(__xludf.DUMMYFUNCTION("""COMPUTED_VALUE"""),54.75)</f>
        <v>54.75</v>
      </c>
      <c r="O738" s="560"/>
      <c r="P738" s="562">
        <f>IFERROR(__xludf.DUMMYFUNCTION("""COMPUTED_VALUE"""),78.0)</f>
        <v>78</v>
      </c>
      <c r="Q738" s="562">
        <f>IFERROR(__xludf.DUMMYFUNCTION("""COMPUTED_VALUE"""),72.0)</f>
        <v>72</v>
      </c>
      <c r="R738" s="562">
        <f>IFERROR(__xludf.DUMMYFUNCTION("""COMPUTED_VALUE"""),87.0)</f>
        <v>87</v>
      </c>
      <c r="S738" s="562"/>
      <c r="T738" s="217">
        <f>IFERROR(__xludf.DUMMYFUNCTION("""COMPUTED_VALUE"""),18.0)</f>
        <v>18</v>
      </c>
      <c r="U738" s="217">
        <f>IFERROR(__xludf.DUMMYFUNCTION("""COMPUTED_VALUE"""),17.0)</f>
        <v>17</v>
      </c>
      <c r="V738" s="217">
        <f>IFERROR(__xludf.DUMMYFUNCTION("""COMPUTED_VALUE"""),62.0)</f>
        <v>62</v>
      </c>
      <c r="W738" s="217">
        <f>IFERROR(__xludf.DUMMYFUNCTION("""COMPUTED_VALUE"""),90.0)</f>
        <v>90</v>
      </c>
      <c r="X738" s="217">
        <f>IFERROR(__xludf.DUMMYFUNCTION("""COMPUTED_VALUE"""),74.0)</f>
        <v>74</v>
      </c>
      <c r="Y738" s="217"/>
      <c r="Z738" s="217"/>
      <c r="AA738" s="481"/>
      <c r="AB738" s="481">
        <f>IFERROR(__xludf.DUMMYFUNCTION("""COMPUTED_VALUE"""),100.0)</f>
        <v>100</v>
      </c>
      <c r="AC738" s="481">
        <f>IFERROR(__xludf.DUMMYFUNCTION("""COMPUTED_VALUE"""),65.0)</f>
        <v>65</v>
      </c>
      <c r="AD738" s="481">
        <f>IFERROR(__xludf.DUMMYFUNCTION("""COMPUTED_VALUE"""),70.0)</f>
        <v>70</v>
      </c>
      <c r="AE738" s="481">
        <f>IFERROR(__xludf.DUMMYFUNCTION("""COMPUTED_VALUE"""),70.0)</f>
        <v>70</v>
      </c>
      <c r="AF738" s="481"/>
      <c r="AG738" s="481">
        <f>IFERROR(__xludf.DUMMYFUNCTION("""COMPUTED_VALUE"""),65.0)</f>
        <v>65</v>
      </c>
      <c r="AH738" s="481"/>
      <c r="AI738" s="158"/>
      <c r="AJ738" s="158"/>
      <c r="AK738" s="133">
        <f>IFERROR(__xludf.DUMMYFUNCTION("""COMPUTED_VALUE"""),4.0)</f>
        <v>4</v>
      </c>
      <c r="AL738" s="133">
        <f>IFERROR(__xludf.DUMMYFUNCTION("""COMPUTED_VALUE"""),3.0)</f>
        <v>3</v>
      </c>
      <c r="AM738" s="133">
        <f>IFERROR(__xludf.DUMMYFUNCTION("""COMPUTED_VALUE"""),3.0)</f>
        <v>3</v>
      </c>
      <c r="AN738" s="133" t="str">
        <f>IFERROR(__xludf.DUMMYFUNCTION("""COMPUTED_VALUE"""),"3.5")</f>
        <v>3.5</v>
      </c>
      <c r="AO738" s="133">
        <f>IFERROR(__xludf.DUMMYFUNCTION("""COMPUTED_VALUE"""),3.0)</f>
        <v>3</v>
      </c>
      <c r="AP738" s="155" t="s">
        <v>3801</v>
      </c>
    </row>
    <row r="739">
      <c r="A739" s="155">
        <f>IFERROR(__xludf.DUMMYFUNCTION("""COMPUTED_VALUE"""),1.0)</f>
        <v>1</v>
      </c>
      <c r="B739" s="155" t="str">
        <f>IFERROR(__xludf.DUMMYFUNCTION("""COMPUTED_VALUE"""),"ara23ainds@cmrit.ac.in")</f>
        <v>ara23ainds@cmrit.ac.in</v>
      </c>
      <c r="C739" s="174" t="str">
        <f>IFERROR(__xludf.DUMMYFUNCTION("""COMPUTED_VALUE"""),"A RAHHUL NANDHAN ")</f>
        <v>A RAHHUL NANDHAN </v>
      </c>
      <c r="D739" s="155" t="str">
        <f>IFERROR(__xludf.DUMMYFUNCTION("""COMPUTED_VALUE"""),"1CR23AD001")</f>
        <v>1CR23AD001</v>
      </c>
      <c r="E739" s="563">
        <f>IFERROR(__xludf.DUMMYFUNCTION("""COMPUTED_VALUE"""),9.902211991E9)</f>
        <v>9902211991</v>
      </c>
      <c r="F739" s="155" t="str">
        <f>IFERROR(__xludf.DUMMYFUNCTION("""COMPUTED_VALUE"""),"AIDS")</f>
        <v>AIDS</v>
      </c>
      <c r="G739" s="158"/>
      <c r="H739" s="559">
        <f>IFERROR(__xludf.DUMMYFUNCTION("""COMPUTED_VALUE"""),81.0)</f>
        <v>81</v>
      </c>
      <c r="I739" s="559">
        <f>IFERROR(__xludf.DUMMYFUNCTION("""COMPUTED_VALUE"""),91.0)</f>
        <v>91</v>
      </c>
      <c r="J739" s="559">
        <f>IFERROR(__xludf.DUMMYFUNCTION("""COMPUTED_VALUE"""),70.0)</f>
        <v>70</v>
      </c>
      <c r="K739" s="559">
        <f>IFERROR(__xludf.DUMMYFUNCTION("""COMPUTED_VALUE"""),70.0)</f>
        <v>70</v>
      </c>
      <c r="L739" s="560">
        <f>IFERROR(__xludf.DUMMYFUNCTION("""COMPUTED_VALUE"""),50.0)</f>
        <v>50</v>
      </c>
      <c r="M739" s="561">
        <f>IFERROR(__xludf.DUMMYFUNCTION("""COMPUTED_VALUE"""),50.0)</f>
        <v>50</v>
      </c>
      <c r="N739" s="561">
        <f>IFERROR(__xludf.DUMMYFUNCTION("""COMPUTED_VALUE"""),55.0)</f>
        <v>55</v>
      </c>
      <c r="O739" s="560"/>
      <c r="P739" s="562">
        <f>IFERROR(__xludf.DUMMYFUNCTION("""COMPUTED_VALUE"""),81.0)</f>
        <v>81</v>
      </c>
      <c r="Q739" s="562">
        <f>IFERROR(__xludf.DUMMYFUNCTION("""COMPUTED_VALUE"""),50.0)</f>
        <v>50</v>
      </c>
      <c r="R739" s="562">
        <f>IFERROR(__xludf.DUMMYFUNCTION("""COMPUTED_VALUE"""),80.0)</f>
        <v>80</v>
      </c>
      <c r="S739" s="562"/>
      <c r="T739" s="217">
        <f>IFERROR(__xludf.DUMMYFUNCTION("""COMPUTED_VALUE"""),13.0)</f>
        <v>13</v>
      </c>
      <c r="U739" s="217">
        <f>IFERROR(__xludf.DUMMYFUNCTION("""COMPUTED_VALUE"""),25.0)</f>
        <v>25</v>
      </c>
      <c r="V739" s="217">
        <f>IFERROR(__xludf.DUMMYFUNCTION("""COMPUTED_VALUE"""),92.0)</f>
        <v>92</v>
      </c>
      <c r="W739" s="217">
        <f>IFERROR(__xludf.DUMMYFUNCTION("""COMPUTED_VALUE"""),80.0)</f>
        <v>80</v>
      </c>
      <c r="X739" s="217">
        <f>IFERROR(__xludf.DUMMYFUNCTION("""COMPUTED_VALUE"""),80.0)</f>
        <v>80</v>
      </c>
      <c r="Y739" s="217"/>
      <c r="Z739" s="217"/>
      <c r="AA739" s="481">
        <f>IFERROR(__xludf.DUMMYFUNCTION("""COMPUTED_VALUE"""),8.0)</f>
        <v>8</v>
      </c>
      <c r="AB739" s="481">
        <f>IFERROR(__xludf.DUMMYFUNCTION("""COMPUTED_VALUE"""),69.0)</f>
        <v>69</v>
      </c>
      <c r="AC739" s="481">
        <f>IFERROR(__xludf.DUMMYFUNCTION("""COMPUTED_VALUE"""),80.0)</f>
        <v>80</v>
      </c>
      <c r="AD739" s="481">
        <f>IFERROR(__xludf.DUMMYFUNCTION("""COMPUTED_VALUE"""),0.0)</f>
        <v>0</v>
      </c>
      <c r="AE739" s="481">
        <f>IFERROR(__xludf.DUMMYFUNCTION("""COMPUTED_VALUE"""),79.0)</f>
        <v>79</v>
      </c>
      <c r="AF739" s="481"/>
      <c r="AG739" s="481">
        <f>IFERROR(__xludf.DUMMYFUNCTION("""COMPUTED_VALUE"""),78.0)</f>
        <v>78</v>
      </c>
      <c r="AH739" s="481"/>
      <c r="AI739" s="158"/>
      <c r="AJ739" s="158"/>
      <c r="AK739" s="133">
        <f>IFERROR(__xludf.DUMMYFUNCTION("""COMPUTED_VALUE"""),4.0)</f>
        <v>4</v>
      </c>
      <c r="AL739" s="133">
        <f>IFERROR(__xludf.DUMMYFUNCTION("""COMPUTED_VALUE"""),3.0)</f>
        <v>3</v>
      </c>
      <c r="AM739" s="133">
        <f>IFERROR(__xludf.DUMMYFUNCTION("""COMPUTED_VALUE"""),3.0)</f>
        <v>3</v>
      </c>
      <c r="AN739" s="133" t="str">
        <f>IFERROR(__xludf.DUMMYFUNCTION("""COMPUTED_VALUE"""),"3.5")</f>
        <v>3.5</v>
      </c>
      <c r="AO739" s="133">
        <f>IFERROR(__xludf.DUMMYFUNCTION("""COMPUTED_VALUE"""),3.0)</f>
        <v>3</v>
      </c>
      <c r="AP739" s="155" t="s">
        <v>3801</v>
      </c>
    </row>
    <row r="740">
      <c r="A740" s="155">
        <f>IFERROR(__xludf.DUMMYFUNCTION("""COMPUTED_VALUE"""),2.0)</f>
        <v>2</v>
      </c>
      <c r="B740" s="155" t="str">
        <f>IFERROR(__xludf.DUMMYFUNCTION("""COMPUTED_VALUE"""),"aara23ainds@cmrit.ac.in")</f>
        <v>aara23ainds@cmrit.ac.in</v>
      </c>
      <c r="C740" s="174" t="str">
        <f>IFERROR(__xludf.DUMMYFUNCTION("""COMPUTED_VALUE"""),"Aayush Rasaily")</f>
        <v>Aayush Rasaily</v>
      </c>
      <c r="D740" s="155" t="str">
        <f>IFERROR(__xludf.DUMMYFUNCTION("""COMPUTED_VALUE"""),"1CR23AD002")</f>
        <v>1CR23AD002</v>
      </c>
      <c r="E740" s="563">
        <f>IFERROR(__xludf.DUMMYFUNCTION("""COMPUTED_VALUE"""),9.65191038E9)</f>
        <v>9651910380</v>
      </c>
      <c r="F740" s="155" t="str">
        <f>IFERROR(__xludf.DUMMYFUNCTION("""COMPUTED_VALUE"""),"AIDS")</f>
        <v>AIDS</v>
      </c>
      <c r="G740" s="158"/>
      <c r="H740" s="559">
        <f>IFERROR(__xludf.DUMMYFUNCTION("""COMPUTED_VALUE"""),79.0)</f>
        <v>79</v>
      </c>
      <c r="I740" s="559">
        <f>IFERROR(__xludf.DUMMYFUNCTION("""COMPUTED_VALUE"""),92.0)</f>
        <v>92</v>
      </c>
      <c r="J740" s="559">
        <f>IFERROR(__xludf.DUMMYFUNCTION("""COMPUTED_VALUE"""),81.0)</f>
        <v>81</v>
      </c>
      <c r="K740" s="559">
        <f>IFERROR(__xludf.DUMMYFUNCTION("""COMPUTED_VALUE"""),70.0)</f>
        <v>70</v>
      </c>
      <c r="L740" s="560">
        <f>IFERROR(__xludf.DUMMYFUNCTION("""COMPUTED_VALUE"""),59.0)</f>
        <v>59</v>
      </c>
      <c r="M740" s="561">
        <f>IFERROR(__xludf.DUMMYFUNCTION("""COMPUTED_VALUE"""),45.0)</f>
        <v>45</v>
      </c>
      <c r="N740" s="561">
        <f>IFERROR(__xludf.DUMMYFUNCTION("""COMPUTED_VALUE"""),55.0)</f>
        <v>55</v>
      </c>
      <c r="O740" s="560"/>
      <c r="P740" s="562">
        <f>IFERROR(__xludf.DUMMYFUNCTION("""COMPUTED_VALUE"""),85.0)</f>
        <v>85</v>
      </c>
      <c r="Q740" s="562">
        <f>IFERROR(__xludf.DUMMYFUNCTION("""COMPUTED_VALUE"""),60.0)</f>
        <v>60</v>
      </c>
      <c r="R740" s="562">
        <f>IFERROR(__xludf.DUMMYFUNCTION("""COMPUTED_VALUE"""),93.0)</f>
        <v>93</v>
      </c>
      <c r="S740" s="562"/>
      <c r="T740" s="217">
        <f>IFERROR(__xludf.DUMMYFUNCTION("""COMPUTED_VALUE"""),13.0)</f>
        <v>13</v>
      </c>
      <c r="U740" s="217">
        <f>IFERROR(__xludf.DUMMYFUNCTION("""COMPUTED_VALUE"""),22.0)</f>
        <v>22</v>
      </c>
      <c r="V740" s="217">
        <f>IFERROR(__xludf.DUMMYFUNCTION("""COMPUTED_VALUE"""),92.0)</f>
        <v>92</v>
      </c>
      <c r="W740" s="217">
        <f>IFERROR(__xludf.DUMMYFUNCTION("""COMPUTED_VALUE"""),74.0)</f>
        <v>74</v>
      </c>
      <c r="X740" s="217">
        <f>IFERROR(__xludf.DUMMYFUNCTION("""COMPUTED_VALUE"""),82.0)</f>
        <v>82</v>
      </c>
      <c r="Y740" s="217"/>
      <c r="Z740" s="217"/>
      <c r="AA740" s="481">
        <f>IFERROR(__xludf.DUMMYFUNCTION("""COMPUTED_VALUE"""),80.0)</f>
        <v>80</v>
      </c>
      <c r="AB740" s="481">
        <f>IFERROR(__xludf.DUMMYFUNCTION("""COMPUTED_VALUE"""),75.0)</f>
        <v>75</v>
      </c>
      <c r="AC740" s="481">
        <f>IFERROR(__xludf.DUMMYFUNCTION("""COMPUTED_VALUE"""),69.0)</f>
        <v>69</v>
      </c>
      <c r="AD740" s="481">
        <f>IFERROR(__xludf.DUMMYFUNCTION("""COMPUTED_VALUE"""),26.0)</f>
        <v>26</v>
      </c>
      <c r="AE740" s="481">
        <f>IFERROR(__xludf.DUMMYFUNCTION("""COMPUTED_VALUE"""),80.0)</f>
        <v>80</v>
      </c>
      <c r="AF740" s="481"/>
      <c r="AG740" s="481">
        <f>IFERROR(__xludf.DUMMYFUNCTION("""COMPUTED_VALUE"""),81.0)</f>
        <v>81</v>
      </c>
      <c r="AH740" s="481"/>
      <c r="AI740" s="158"/>
      <c r="AJ740" s="158"/>
      <c r="AK740" s="133">
        <f>IFERROR(__xludf.DUMMYFUNCTION("""COMPUTED_VALUE"""),4.0)</f>
        <v>4</v>
      </c>
      <c r="AL740" s="133">
        <f>IFERROR(__xludf.DUMMYFUNCTION("""COMPUTED_VALUE"""),1.0)</f>
        <v>1</v>
      </c>
      <c r="AM740" s="133">
        <f>IFERROR(__xludf.DUMMYFUNCTION("""COMPUTED_VALUE"""),3.0)</f>
        <v>3</v>
      </c>
      <c r="AN740" s="133" t="str">
        <f>IFERROR(__xludf.DUMMYFUNCTION("""COMPUTED_VALUE"""),"3.5")</f>
        <v>3.5</v>
      </c>
      <c r="AO740" s="133">
        <f>IFERROR(__xludf.DUMMYFUNCTION("""COMPUTED_VALUE"""),3.0)</f>
        <v>3</v>
      </c>
      <c r="AP740" s="155" t="s">
        <v>3801</v>
      </c>
    </row>
    <row r="741">
      <c r="A741" s="155">
        <f>IFERROR(__xludf.DUMMYFUNCTION("""COMPUTED_VALUE"""),3.0)</f>
        <v>3</v>
      </c>
      <c r="B741" s="155" t="str">
        <f>IFERROR(__xludf.DUMMYFUNCTION("""COMPUTED_VALUE"""),"abas23ainds@cmrit.ac.in")</f>
        <v>abas23ainds@cmrit.ac.in</v>
      </c>
      <c r="C741" s="174" t="str">
        <f>IFERROR(__xludf.DUMMYFUNCTION("""COMPUTED_VALUE"""),"ABHAYASURYA A S")</f>
        <v>ABHAYASURYA A S</v>
      </c>
      <c r="D741" s="155" t="str">
        <f>IFERROR(__xludf.DUMMYFUNCTION("""COMPUTED_VALUE"""),"1CR23AD003")</f>
        <v>1CR23AD003</v>
      </c>
      <c r="E741" s="563">
        <f>IFERROR(__xludf.DUMMYFUNCTION("""COMPUTED_VALUE"""),8.310366069E9)</f>
        <v>8310366069</v>
      </c>
      <c r="F741" s="155" t="str">
        <f>IFERROR(__xludf.DUMMYFUNCTION("""COMPUTED_VALUE"""),"AIDS")</f>
        <v>AIDS</v>
      </c>
      <c r="G741" s="158"/>
      <c r="H741" s="559">
        <f>IFERROR(__xludf.DUMMYFUNCTION("""COMPUTED_VALUE"""),72.0)</f>
        <v>72</v>
      </c>
      <c r="I741" s="559">
        <f>IFERROR(__xludf.DUMMYFUNCTION("""COMPUTED_VALUE"""),83.0)</f>
        <v>83</v>
      </c>
      <c r="J741" s="559">
        <f>IFERROR(__xludf.DUMMYFUNCTION("""COMPUTED_VALUE"""),70.0)</f>
        <v>70</v>
      </c>
      <c r="K741" s="559">
        <f>IFERROR(__xludf.DUMMYFUNCTION("""COMPUTED_VALUE"""),70.0)</f>
        <v>70</v>
      </c>
      <c r="L741" s="560">
        <f>IFERROR(__xludf.DUMMYFUNCTION("""COMPUTED_VALUE"""),50.0)</f>
        <v>50</v>
      </c>
      <c r="M741" s="561">
        <f>IFERROR(__xludf.DUMMYFUNCTION("""COMPUTED_VALUE"""),22.0)</f>
        <v>22</v>
      </c>
      <c r="N741" s="561">
        <f>IFERROR(__xludf.DUMMYFUNCTION("""COMPUTED_VALUE"""),54.0)</f>
        <v>54</v>
      </c>
      <c r="O741" s="560"/>
      <c r="P741" s="562">
        <f>IFERROR(__xludf.DUMMYFUNCTION("""COMPUTED_VALUE"""),82.0)</f>
        <v>82</v>
      </c>
      <c r="Q741" s="562">
        <f>IFERROR(__xludf.DUMMYFUNCTION("""COMPUTED_VALUE"""),50.0)</f>
        <v>50</v>
      </c>
      <c r="R741" s="562">
        <f>IFERROR(__xludf.DUMMYFUNCTION("""COMPUTED_VALUE"""),50.0)</f>
        <v>50</v>
      </c>
      <c r="S741" s="562"/>
      <c r="T741" s="217">
        <f>IFERROR(__xludf.DUMMYFUNCTION("""COMPUTED_VALUE"""),11.0)</f>
        <v>11</v>
      </c>
      <c r="U741" s="217">
        <f>IFERROR(__xludf.DUMMYFUNCTION("""COMPUTED_VALUE"""),23.0)</f>
        <v>23</v>
      </c>
      <c r="V741" s="217">
        <f>IFERROR(__xludf.DUMMYFUNCTION("""COMPUTED_VALUE"""),92.0)</f>
        <v>92</v>
      </c>
      <c r="W741" s="217">
        <f>IFERROR(__xludf.DUMMYFUNCTION("""COMPUTED_VALUE"""),86.0)</f>
        <v>86</v>
      </c>
      <c r="X741" s="217">
        <f>IFERROR(__xludf.DUMMYFUNCTION("""COMPUTED_VALUE"""),78.0)</f>
        <v>78</v>
      </c>
      <c r="Y741" s="217"/>
      <c r="Z741" s="217"/>
      <c r="AA741" s="481">
        <f>IFERROR(__xludf.DUMMYFUNCTION("""COMPUTED_VALUE"""),26.0)</f>
        <v>26</v>
      </c>
      <c r="AB741" s="481">
        <f>IFERROR(__xludf.DUMMYFUNCTION("""COMPUTED_VALUE"""),58.0)</f>
        <v>58</v>
      </c>
      <c r="AC741" s="481">
        <f>IFERROR(__xludf.DUMMYFUNCTION("""COMPUTED_VALUE"""),0.0)</f>
        <v>0</v>
      </c>
      <c r="AD741" s="481">
        <f>IFERROR(__xludf.DUMMYFUNCTION("""COMPUTED_VALUE"""),60.0)</f>
        <v>60</v>
      </c>
      <c r="AE741" s="481">
        <f>IFERROR(__xludf.DUMMYFUNCTION("""COMPUTED_VALUE"""),70.0)</f>
        <v>70</v>
      </c>
      <c r="AF741" s="481"/>
      <c r="AG741" s="481">
        <f>IFERROR(__xludf.DUMMYFUNCTION("""COMPUTED_VALUE"""),82.0)</f>
        <v>82</v>
      </c>
      <c r="AH741" s="481"/>
      <c r="AI741" s="158"/>
      <c r="AJ741" s="158"/>
      <c r="AK741" s="133">
        <f>IFERROR(__xludf.DUMMYFUNCTION("""COMPUTED_VALUE"""),4.0)</f>
        <v>4</v>
      </c>
      <c r="AL741" s="133">
        <f>IFERROR(__xludf.DUMMYFUNCTION("""COMPUTED_VALUE"""),1.0)</f>
        <v>1</v>
      </c>
      <c r="AM741" s="133">
        <f>IFERROR(__xludf.DUMMYFUNCTION("""COMPUTED_VALUE"""),3.0)</f>
        <v>3</v>
      </c>
      <c r="AN741" s="133" t="str">
        <f>IFERROR(__xludf.DUMMYFUNCTION("""COMPUTED_VALUE"""),"3.5")</f>
        <v>3.5</v>
      </c>
      <c r="AO741" s="133">
        <f>IFERROR(__xludf.DUMMYFUNCTION("""COMPUTED_VALUE"""),3.0)</f>
        <v>3</v>
      </c>
      <c r="AP741" s="155" t="s">
        <v>3801</v>
      </c>
    </row>
    <row r="742">
      <c r="A742" s="155">
        <f>IFERROR(__xludf.DUMMYFUNCTION("""COMPUTED_VALUE"""),4.0)</f>
        <v>4</v>
      </c>
      <c r="B742" s="155" t="str">
        <f>IFERROR(__xludf.DUMMYFUNCTION("""COMPUTED_VALUE"""),"abku23ainds@cmrit.ac.in")</f>
        <v>abku23ainds@cmrit.ac.in</v>
      </c>
      <c r="C742" s="174" t="str">
        <f>IFERROR(__xludf.DUMMYFUNCTION("""COMPUTED_VALUE"""),"ABHINASH KUMAR")</f>
        <v>ABHINASH KUMAR</v>
      </c>
      <c r="D742" s="155" t="str">
        <f>IFERROR(__xludf.DUMMYFUNCTION("""COMPUTED_VALUE"""),"1CR23AD004")</f>
        <v>1CR23AD004</v>
      </c>
      <c r="E742" s="563">
        <f>IFERROR(__xludf.DUMMYFUNCTION("""COMPUTED_VALUE"""),6.200107266E9)</f>
        <v>6200107266</v>
      </c>
      <c r="F742" s="155" t="str">
        <f>IFERROR(__xludf.DUMMYFUNCTION("""COMPUTED_VALUE"""),"AIDS")</f>
        <v>AIDS</v>
      </c>
      <c r="G742" s="158"/>
      <c r="H742" s="559">
        <f>IFERROR(__xludf.DUMMYFUNCTION("""COMPUTED_VALUE"""),71.0)</f>
        <v>71</v>
      </c>
      <c r="I742" s="559">
        <f>IFERROR(__xludf.DUMMYFUNCTION("""COMPUTED_VALUE"""),80.0)</f>
        <v>80</v>
      </c>
      <c r="J742" s="559">
        <f>IFERROR(__xludf.DUMMYFUNCTION("""COMPUTED_VALUE"""),53.0)</f>
        <v>53</v>
      </c>
      <c r="K742" s="559">
        <f>IFERROR(__xludf.DUMMYFUNCTION("""COMPUTED_VALUE"""),70.0)</f>
        <v>70</v>
      </c>
      <c r="L742" s="560">
        <f>IFERROR(__xludf.DUMMYFUNCTION("""COMPUTED_VALUE"""),50.0)</f>
        <v>50</v>
      </c>
      <c r="M742" s="561">
        <f>IFERROR(__xludf.DUMMYFUNCTION("""COMPUTED_VALUE"""),50.0)</f>
        <v>50</v>
      </c>
      <c r="N742" s="561">
        <f>IFERROR(__xludf.DUMMYFUNCTION("""COMPUTED_VALUE"""),65.0)</f>
        <v>65</v>
      </c>
      <c r="O742" s="560"/>
      <c r="P742" s="562">
        <f>IFERROR(__xludf.DUMMYFUNCTION("""COMPUTED_VALUE"""),83.0)</f>
        <v>83</v>
      </c>
      <c r="Q742" s="562">
        <f>IFERROR(__xludf.DUMMYFUNCTION("""COMPUTED_VALUE"""),50.0)</f>
        <v>50</v>
      </c>
      <c r="R742" s="562">
        <f>IFERROR(__xludf.DUMMYFUNCTION("""COMPUTED_VALUE"""),50.0)</f>
        <v>50</v>
      </c>
      <c r="S742" s="562"/>
      <c r="T742" s="217">
        <f>IFERROR(__xludf.DUMMYFUNCTION("""COMPUTED_VALUE"""),20.0)</f>
        <v>20</v>
      </c>
      <c r="U742" s="217">
        <f>IFERROR(__xludf.DUMMYFUNCTION("""COMPUTED_VALUE"""),19.0)</f>
        <v>19</v>
      </c>
      <c r="V742" s="217"/>
      <c r="W742" s="217">
        <f>IFERROR(__xludf.DUMMYFUNCTION("""COMPUTED_VALUE"""),80.0)</f>
        <v>80</v>
      </c>
      <c r="X742" s="217">
        <f>IFERROR(__xludf.DUMMYFUNCTION("""COMPUTED_VALUE"""),86.0)</f>
        <v>86</v>
      </c>
      <c r="Y742" s="217"/>
      <c r="Z742" s="217"/>
      <c r="AA742" s="481">
        <f>IFERROR(__xludf.DUMMYFUNCTION("""COMPUTED_VALUE"""),72.0)</f>
        <v>72</v>
      </c>
      <c r="AB742" s="481">
        <f>IFERROR(__xludf.DUMMYFUNCTION("""COMPUTED_VALUE"""),60.0)</f>
        <v>60</v>
      </c>
      <c r="AC742" s="481">
        <f>IFERROR(__xludf.DUMMYFUNCTION("""COMPUTED_VALUE"""),66.0)</f>
        <v>66</v>
      </c>
      <c r="AD742" s="481">
        <f>IFERROR(__xludf.DUMMYFUNCTION("""COMPUTED_VALUE"""),90.0)</f>
        <v>90</v>
      </c>
      <c r="AE742" s="481">
        <f>IFERROR(__xludf.DUMMYFUNCTION("""COMPUTED_VALUE"""),94.0)</f>
        <v>94</v>
      </c>
      <c r="AF742" s="481"/>
      <c r="AG742" s="481">
        <f>IFERROR(__xludf.DUMMYFUNCTION("""COMPUTED_VALUE"""),72.0)</f>
        <v>72</v>
      </c>
      <c r="AH742" s="481"/>
      <c r="AI742" s="158"/>
      <c r="AJ742" s="158"/>
      <c r="AK742" s="133">
        <f>IFERROR(__xludf.DUMMYFUNCTION("""COMPUTED_VALUE"""),2.0)</f>
        <v>2</v>
      </c>
      <c r="AL742" s="133">
        <f>IFERROR(__xludf.DUMMYFUNCTION("""COMPUTED_VALUE"""),3.0)</f>
        <v>3</v>
      </c>
      <c r="AM742" s="133">
        <f>IFERROR(__xludf.DUMMYFUNCTION("""COMPUTED_VALUE"""),3.0)</f>
        <v>3</v>
      </c>
      <c r="AN742" s="133" t="str">
        <f>IFERROR(__xludf.DUMMYFUNCTION("""COMPUTED_VALUE"""),"3.5")</f>
        <v>3.5</v>
      </c>
      <c r="AO742" s="133">
        <f>IFERROR(__xludf.DUMMYFUNCTION("""COMPUTED_VALUE"""),3.0)</f>
        <v>3</v>
      </c>
      <c r="AP742" s="155" t="s">
        <v>3801</v>
      </c>
    </row>
    <row r="743">
      <c r="A743" s="155">
        <f>IFERROR(__xludf.DUMMYFUNCTION("""COMPUTED_VALUE"""),5.0)</f>
        <v>5</v>
      </c>
      <c r="B743" s="155" t="str">
        <f>IFERROR(__xludf.DUMMYFUNCTION("""COMPUTED_VALUE"""),"adi23ainds@cmrit.ac.in")</f>
        <v>adi23ainds@cmrit.ac.in</v>
      </c>
      <c r="C743" s="174" t="str">
        <f>IFERROR(__xludf.DUMMYFUNCTION("""COMPUTED_VALUE"""),"ADITY SINHA")</f>
        <v>ADITY SINHA</v>
      </c>
      <c r="D743" s="155" t="str">
        <f>IFERROR(__xludf.DUMMYFUNCTION("""COMPUTED_VALUE"""),"1CR23AD005")</f>
        <v>1CR23AD005</v>
      </c>
      <c r="E743" s="563">
        <f>IFERROR(__xludf.DUMMYFUNCTION("""COMPUTED_VALUE"""),9.868657401E9)</f>
        <v>9868657401</v>
      </c>
      <c r="F743" s="155" t="str">
        <f>IFERROR(__xludf.DUMMYFUNCTION("""COMPUTED_VALUE"""),"AIDS")</f>
        <v>AIDS</v>
      </c>
      <c r="G743" s="158"/>
      <c r="H743" s="559">
        <f>IFERROR(__xludf.DUMMYFUNCTION("""COMPUTED_VALUE"""),79.0)</f>
        <v>79</v>
      </c>
      <c r="I743" s="559">
        <f>IFERROR(__xludf.DUMMYFUNCTION("""COMPUTED_VALUE"""),94.0)</f>
        <v>94</v>
      </c>
      <c r="J743" s="559">
        <f>IFERROR(__xludf.DUMMYFUNCTION("""COMPUTED_VALUE"""),70.0)</f>
        <v>70</v>
      </c>
      <c r="K743" s="559">
        <f>IFERROR(__xludf.DUMMYFUNCTION("""COMPUTED_VALUE"""),70.0)</f>
        <v>70</v>
      </c>
      <c r="L743" s="560">
        <f>IFERROR(__xludf.DUMMYFUNCTION("""COMPUTED_VALUE"""),54.0)</f>
        <v>54</v>
      </c>
      <c r="M743" s="561">
        <f>IFERROR(__xludf.DUMMYFUNCTION("""COMPUTED_VALUE"""),50.0)</f>
        <v>50</v>
      </c>
      <c r="N743" s="561">
        <f>IFERROR(__xludf.DUMMYFUNCTION("""COMPUTED_VALUE"""),53.0)</f>
        <v>53</v>
      </c>
      <c r="O743" s="560"/>
      <c r="P743" s="562">
        <f>IFERROR(__xludf.DUMMYFUNCTION("""COMPUTED_VALUE"""),81.0)</f>
        <v>81</v>
      </c>
      <c r="Q743" s="562">
        <f>IFERROR(__xludf.DUMMYFUNCTION("""COMPUTED_VALUE"""),50.0)</f>
        <v>50</v>
      </c>
      <c r="R743" s="562">
        <f>IFERROR(__xludf.DUMMYFUNCTION("""COMPUTED_VALUE"""),92.0)</f>
        <v>92</v>
      </c>
      <c r="S743" s="562"/>
      <c r="T743" s="217">
        <f>IFERROR(__xludf.DUMMYFUNCTION("""COMPUTED_VALUE"""),12.0)</f>
        <v>12</v>
      </c>
      <c r="U743" s="217">
        <f>IFERROR(__xludf.DUMMYFUNCTION("""COMPUTED_VALUE"""),21.0)</f>
        <v>21</v>
      </c>
      <c r="V743" s="217">
        <f>IFERROR(__xludf.DUMMYFUNCTION("""COMPUTED_VALUE"""),88.0)</f>
        <v>88</v>
      </c>
      <c r="W743" s="217">
        <f>IFERROR(__xludf.DUMMYFUNCTION("""COMPUTED_VALUE"""),64.0)</f>
        <v>64</v>
      </c>
      <c r="X743" s="217">
        <f>IFERROR(__xludf.DUMMYFUNCTION("""COMPUTED_VALUE"""),78.0)</f>
        <v>78</v>
      </c>
      <c r="Y743" s="217"/>
      <c r="Z743" s="217"/>
      <c r="AA743" s="481">
        <f>IFERROR(__xludf.DUMMYFUNCTION("""COMPUTED_VALUE"""),90.0)</f>
        <v>90</v>
      </c>
      <c r="AB743" s="481">
        <f>IFERROR(__xludf.DUMMYFUNCTION("""COMPUTED_VALUE"""),75.0)</f>
        <v>75</v>
      </c>
      <c r="AC743" s="481">
        <f>IFERROR(__xludf.DUMMYFUNCTION("""COMPUTED_VALUE"""),45.0)</f>
        <v>45</v>
      </c>
      <c r="AD743" s="481">
        <f>IFERROR(__xludf.DUMMYFUNCTION("""COMPUTED_VALUE"""),60.0)</f>
        <v>60</v>
      </c>
      <c r="AE743" s="481">
        <f>IFERROR(__xludf.DUMMYFUNCTION("""COMPUTED_VALUE"""),45.0)</f>
        <v>45</v>
      </c>
      <c r="AF743" s="481"/>
      <c r="AG743" s="481">
        <f>IFERROR(__xludf.DUMMYFUNCTION("""COMPUTED_VALUE"""),88.0)</f>
        <v>88</v>
      </c>
      <c r="AH743" s="481"/>
      <c r="AI743" s="158"/>
      <c r="AJ743" s="158"/>
      <c r="AK743" s="133">
        <f>IFERROR(__xludf.DUMMYFUNCTION("""COMPUTED_VALUE"""),4.0)</f>
        <v>4</v>
      </c>
      <c r="AL743" s="133">
        <f>IFERROR(__xludf.DUMMYFUNCTION("""COMPUTED_VALUE"""),3.0)</f>
        <v>3</v>
      </c>
      <c r="AM743" s="133">
        <f>IFERROR(__xludf.DUMMYFUNCTION("""COMPUTED_VALUE"""),3.0)</f>
        <v>3</v>
      </c>
      <c r="AN743" s="133" t="str">
        <f>IFERROR(__xludf.DUMMYFUNCTION("""COMPUTED_VALUE"""),"3")</f>
        <v>3</v>
      </c>
      <c r="AO743" s="133">
        <f>IFERROR(__xludf.DUMMYFUNCTION("""COMPUTED_VALUE"""),3.0)</f>
        <v>3</v>
      </c>
      <c r="AP743" s="155" t="s">
        <v>3801</v>
      </c>
    </row>
    <row r="744">
      <c r="A744" s="155">
        <f>IFERROR(__xludf.DUMMYFUNCTION("""COMPUTED_VALUE"""),6.0)</f>
        <v>6</v>
      </c>
      <c r="B744" s="155" t="str">
        <f>IFERROR(__xludf.DUMMYFUNCTION("""COMPUTED_VALUE"""),"adbh23ainds@cmrit.ac.in")</f>
        <v>adbh23ainds@cmrit.ac.in</v>
      </c>
      <c r="C744" s="174" t="str">
        <f>IFERROR(__xludf.DUMMYFUNCTION("""COMPUTED_VALUE"""),"Aditya Bhattarai")</f>
        <v>Aditya Bhattarai</v>
      </c>
      <c r="D744" s="155" t="str">
        <f>IFERROR(__xludf.DUMMYFUNCTION("""COMPUTED_VALUE"""),"1CR23AD006")</f>
        <v>1CR23AD006</v>
      </c>
      <c r="E744" s="563">
        <f>IFERROR(__xludf.DUMMYFUNCTION("""COMPUTED_VALUE"""),9.840670178E9)</f>
        <v>9840670178</v>
      </c>
      <c r="F744" s="155" t="str">
        <f>IFERROR(__xludf.DUMMYFUNCTION("""COMPUTED_VALUE"""),"AIDS")</f>
        <v>AIDS</v>
      </c>
      <c r="G744" s="158"/>
      <c r="H744" s="559">
        <f>IFERROR(__xludf.DUMMYFUNCTION("""COMPUTED_VALUE"""),84.0)</f>
        <v>84</v>
      </c>
      <c r="I744" s="559">
        <f>IFERROR(__xludf.DUMMYFUNCTION("""COMPUTED_VALUE"""),83.0)</f>
        <v>83</v>
      </c>
      <c r="J744" s="559">
        <f>IFERROR(__xludf.DUMMYFUNCTION("""COMPUTED_VALUE"""),70.0)</f>
        <v>70</v>
      </c>
      <c r="K744" s="559">
        <f>IFERROR(__xludf.DUMMYFUNCTION("""COMPUTED_VALUE"""),70.0)</f>
        <v>70</v>
      </c>
      <c r="L744" s="560">
        <f>IFERROR(__xludf.DUMMYFUNCTION("""COMPUTED_VALUE"""),14.0)</f>
        <v>14</v>
      </c>
      <c r="M744" s="561">
        <f>IFERROR(__xludf.DUMMYFUNCTION("""COMPUTED_VALUE"""),29.0)</f>
        <v>29</v>
      </c>
      <c r="N744" s="561">
        <f>IFERROR(__xludf.DUMMYFUNCTION("""COMPUTED_VALUE"""),23.0)</f>
        <v>23</v>
      </c>
      <c r="O744" s="560"/>
      <c r="P744" s="562">
        <f>IFERROR(__xludf.DUMMYFUNCTION("""COMPUTED_VALUE"""),90.0)</f>
        <v>90</v>
      </c>
      <c r="Q744" s="562">
        <f>IFERROR(__xludf.DUMMYFUNCTION("""COMPUTED_VALUE"""),0.0)</f>
        <v>0</v>
      </c>
      <c r="R744" s="562">
        <f>IFERROR(__xludf.DUMMYFUNCTION("""COMPUTED_VALUE"""),0.0)</f>
        <v>0</v>
      </c>
      <c r="S744" s="562"/>
      <c r="T744" s="217">
        <f>IFERROR(__xludf.DUMMYFUNCTION("""COMPUTED_VALUE"""),13.0)</f>
        <v>13</v>
      </c>
      <c r="U744" s="217">
        <f>IFERROR(__xludf.DUMMYFUNCTION("""COMPUTED_VALUE"""),23.0)</f>
        <v>23</v>
      </c>
      <c r="V744" s="217">
        <f>IFERROR(__xludf.DUMMYFUNCTION("""COMPUTED_VALUE"""),90.0)</f>
        <v>90</v>
      </c>
      <c r="W744" s="217">
        <f>IFERROR(__xludf.DUMMYFUNCTION("""COMPUTED_VALUE"""),74.0)</f>
        <v>74</v>
      </c>
      <c r="X744" s="217">
        <f>IFERROR(__xludf.DUMMYFUNCTION("""COMPUTED_VALUE"""),78.0)</f>
        <v>78</v>
      </c>
      <c r="Y744" s="217"/>
      <c r="Z744" s="217"/>
      <c r="AA744" s="481">
        <f>IFERROR(__xludf.DUMMYFUNCTION("""COMPUTED_VALUE"""),30.0)</f>
        <v>30</v>
      </c>
      <c r="AB744" s="481">
        <f>IFERROR(__xludf.DUMMYFUNCTION("""COMPUTED_VALUE"""),72.0)</f>
        <v>72</v>
      </c>
      <c r="AC744" s="481">
        <f>IFERROR(__xludf.DUMMYFUNCTION("""COMPUTED_VALUE"""),0.0)</f>
        <v>0</v>
      </c>
      <c r="AD744" s="481">
        <f>IFERROR(__xludf.DUMMYFUNCTION("""COMPUTED_VALUE"""),0.0)</f>
        <v>0</v>
      </c>
      <c r="AE744" s="481">
        <f>IFERROR(__xludf.DUMMYFUNCTION("""COMPUTED_VALUE"""),10.0)</f>
        <v>10</v>
      </c>
      <c r="AF744" s="481"/>
      <c r="AG744" s="481">
        <f>IFERROR(__xludf.DUMMYFUNCTION("""COMPUTED_VALUE"""),0.0)</f>
        <v>0</v>
      </c>
      <c r="AH744" s="481"/>
      <c r="AI744" s="158"/>
      <c r="AJ744" s="158"/>
      <c r="AK744" s="133">
        <f>IFERROR(__xludf.DUMMYFUNCTION("""COMPUTED_VALUE"""),4.0)</f>
        <v>4</v>
      </c>
      <c r="AL744" s="133">
        <f>IFERROR(__xludf.DUMMYFUNCTION("""COMPUTED_VALUE"""),0.0)</f>
        <v>0</v>
      </c>
      <c r="AM744" s="133">
        <f>IFERROR(__xludf.DUMMYFUNCTION("""COMPUTED_VALUE"""),3.0)</f>
        <v>3</v>
      </c>
      <c r="AN744" s="133" t="str">
        <f>IFERROR(__xludf.DUMMYFUNCTION("""COMPUTED_VALUE"""),"2")</f>
        <v>2</v>
      </c>
      <c r="AO744" s="133">
        <f>IFERROR(__xludf.DUMMYFUNCTION("""COMPUTED_VALUE"""),1.0)</f>
        <v>1</v>
      </c>
      <c r="AP744" s="155" t="s">
        <v>3801</v>
      </c>
    </row>
    <row r="745">
      <c r="A745" s="155">
        <f>IFERROR(__xludf.DUMMYFUNCTION("""COMPUTED_VALUE"""),7.0)</f>
        <v>7</v>
      </c>
      <c r="B745" s="155" t="str">
        <f>IFERROR(__xludf.DUMMYFUNCTION("""COMPUTED_VALUE"""),"ber23ainds@cmrit.ac.in")</f>
        <v>ber23ainds@cmrit.ac.in</v>
      </c>
      <c r="C745" s="174" t="str">
        <f>IFERROR(__xludf.DUMMYFUNCTION("""COMPUTED_VALUE"""),"ADITYA R BENNUR")</f>
        <v>ADITYA R BENNUR</v>
      </c>
      <c r="D745" s="155" t="str">
        <f>IFERROR(__xludf.DUMMYFUNCTION("""COMPUTED_VALUE"""),"1CR23AD007")</f>
        <v>1CR23AD007</v>
      </c>
      <c r="E745" s="563">
        <f>IFERROR(__xludf.DUMMYFUNCTION("""COMPUTED_VALUE"""),8.217609259E9)</f>
        <v>8217609259</v>
      </c>
      <c r="F745" s="155" t="str">
        <f>IFERROR(__xludf.DUMMYFUNCTION("""COMPUTED_VALUE"""),"AIDS")</f>
        <v>AIDS</v>
      </c>
      <c r="G745" s="158"/>
      <c r="H745" s="559">
        <f>IFERROR(__xludf.DUMMYFUNCTION("""COMPUTED_VALUE"""),65.0)</f>
        <v>65</v>
      </c>
      <c r="I745" s="559">
        <f>IFERROR(__xludf.DUMMYFUNCTION("""COMPUTED_VALUE"""),69.0)</f>
        <v>69</v>
      </c>
      <c r="J745" s="559">
        <f>IFERROR(__xludf.DUMMYFUNCTION("""COMPUTED_VALUE"""),48.0)</f>
        <v>48</v>
      </c>
      <c r="K745" s="559">
        <f>IFERROR(__xludf.DUMMYFUNCTION("""COMPUTED_VALUE"""),34.0)</f>
        <v>34</v>
      </c>
      <c r="L745" s="560">
        <f>IFERROR(__xludf.DUMMYFUNCTION("""COMPUTED_VALUE"""),17.0)</f>
        <v>17</v>
      </c>
      <c r="M745" s="561">
        <f>IFERROR(__xludf.DUMMYFUNCTION("""COMPUTED_VALUE"""),50.0)</f>
        <v>50</v>
      </c>
      <c r="N745" s="561">
        <f>IFERROR(__xludf.DUMMYFUNCTION("""COMPUTED_VALUE"""),0.0)</f>
        <v>0</v>
      </c>
      <c r="O745" s="560"/>
      <c r="P745" s="562">
        <f>IFERROR(__xludf.DUMMYFUNCTION("""COMPUTED_VALUE"""),0.0)</f>
        <v>0</v>
      </c>
      <c r="Q745" s="562">
        <f>IFERROR(__xludf.DUMMYFUNCTION("""COMPUTED_VALUE"""),0.0)</f>
        <v>0</v>
      </c>
      <c r="R745" s="562">
        <f>IFERROR(__xludf.DUMMYFUNCTION("""COMPUTED_VALUE"""),0.0)</f>
        <v>0</v>
      </c>
      <c r="S745" s="562"/>
      <c r="T745" s="217">
        <f>IFERROR(__xludf.DUMMYFUNCTION("""COMPUTED_VALUE"""),21.0)</f>
        <v>21</v>
      </c>
      <c r="U745" s="217">
        <f>IFERROR(__xludf.DUMMYFUNCTION("""COMPUTED_VALUE"""),24.0)</f>
        <v>24</v>
      </c>
      <c r="V745" s="217">
        <f>IFERROR(__xludf.DUMMYFUNCTION("""COMPUTED_VALUE"""),88.0)</f>
        <v>88</v>
      </c>
      <c r="W745" s="217">
        <f>IFERROR(__xludf.DUMMYFUNCTION("""COMPUTED_VALUE"""),70.0)</f>
        <v>70</v>
      </c>
      <c r="X745" s="217"/>
      <c r="Y745" s="217"/>
      <c r="Z745" s="217"/>
      <c r="AA745" s="481">
        <f>IFERROR(__xludf.DUMMYFUNCTION("""COMPUTED_VALUE"""),0.0)</f>
        <v>0</v>
      </c>
      <c r="AB745" s="481">
        <f>IFERROR(__xludf.DUMMYFUNCTION("""COMPUTED_VALUE"""),63.0)</f>
        <v>63</v>
      </c>
      <c r="AC745" s="481">
        <f>IFERROR(__xludf.DUMMYFUNCTION("""COMPUTED_VALUE"""),0.0)</f>
        <v>0</v>
      </c>
      <c r="AD745" s="481">
        <f>IFERROR(__xludf.DUMMYFUNCTION("""COMPUTED_VALUE"""),0.0)</f>
        <v>0</v>
      </c>
      <c r="AE745" s="481">
        <f>IFERROR(__xludf.DUMMYFUNCTION("""COMPUTED_VALUE"""),10.0)</f>
        <v>10</v>
      </c>
      <c r="AF745" s="481"/>
      <c r="AG745" s="481">
        <f>IFERROR(__xludf.DUMMYFUNCTION("""COMPUTED_VALUE"""),0.0)</f>
        <v>0</v>
      </c>
      <c r="AH745" s="481"/>
      <c r="AI745" s="158"/>
      <c r="AJ745" s="158"/>
      <c r="AK745" s="133">
        <f>IFERROR(__xludf.DUMMYFUNCTION("""COMPUTED_VALUE"""),2.0)</f>
        <v>2</v>
      </c>
      <c r="AL745" s="133">
        <f>IFERROR(__xludf.DUMMYFUNCTION("""COMPUTED_VALUE"""),0.0)</f>
        <v>0</v>
      </c>
      <c r="AM745" s="133">
        <f>IFERROR(__xludf.DUMMYFUNCTION("""COMPUTED_VALUE"""),3.0)</f>
        <v>3</v>
      </c>
      <c r="AN745" s="133" t="str">
        <f>IFERROR(__xludf.DUMMYFUNCTION("""COMPUTED_VALUE"""),"2")</f>
        <v>2</v>
      </c>
      <c r="AO745" s="133">
        <f>IFERROR(__xludf.DUMMYFUNCTION("""COMPUTED_VALUE"""),0.0)</f>
        <v>0</v>
      </c>
      <c r="AP745" s="155" t="s">
        <v>3801</v>
      </c>
    </row>
    <row r="746">
      <c r="A746" s="155">
        <f>IFERROR(__xludf.DUMMYFUNCTION("""COMPUTED_VALUE"""),8.0)</f>
        <v>8</v>
      </c>
      <c r="B746" s="155" t="str">
        <f>IFERROR(__xludf.DUMMYFUNCTION("""COMPUTED_VALUE"""),"adsh23ainds@cmrit.ac.in")</f>
        <v>adsh23ainds@cmrit.ac.in</v>
      </c>
      <c r="C746" s="174" t="str">
        <f>IFERROR(__xludf.DUMMYFUNCTION("""COMPUTED_VALUE"""),"Advith Shetty")</f>
        <v>Advith Shetty</v>
      </c>
      <c r="D746" s="155" t="str">
        <f>IFERROR(__xludf.DUMMYFUNCTION("""COMPUTED_VALUE"""),"1CR23AD008")</f>
        <v>1CR23AD008</v>
      </c>
      <c r="E746" s="563">
        <f>IFERROR(__xludf.DUMMYFUNCTION("""COMPUTED_VALUE"""),7.204584223E9)</f>
        <v>7204584223</v>
      </c>
      <c r="F746" s="155" t="str">
        <f>IFERROR(__xludf.DUMMYFUNCTION("""COMPUTED_VALUE"""),"AIDS")</f>
        <v>AIDS</v>
      </c>
      <c r="G746" s="158"/>
      <c r="H746" s="559">
        <f>IFERROR(__xludf.DUMMYFUNCTION("""COMPUTED_VALUE"""),70.0)</f>
        <v>70</v>
      </c>
      <c r="I746" s="559">
        <f>IFERROR(__xludf.DUMMYFUNCTION("""COMPUTED_VALUE"""),78.0)</f>
        <v>78</v>
      </c>
      <c r="J746" s="559">
        <f>IFERROR(__xludf.DUMMYFUNCTION("""COMPUTED_VALUE"""),70.0)</f>
        <v>70</v>
      </c>
      <c r="K746" s="559">
        <f>IFERROR(__xludf.DUMMYFUNCTION("""COMPUTED_VALUE"""),70.0)</f>
        <v>70</v>
      </c>
      <c r="L746" s="560">
        <f>IFERROR(__xludf.DUMMYFUNCTION("""COMPUTED_VALUE"""),36.0)</f>
        <v>36</v>
      </c>
      <c r="M746" s="561">
        <f>IFERROR(__xludf.DUMMYFUNCTION("""COMPUTED_VALUE"""),19.0)</f>
        <v>19</v>
      </c>
      <c r="N746" s="561">
        <f>IFERROR(__xludf.DUMMYFUNCTION("""COMPUTED_VALUE"""),73.0)</f>
        <v>73</v>
      </c>
      <c r="O746" s="560"/>
      <c r="P746" s="562">
        <f>IFERROR(__xludf.DUMMYFUNCTION("""COMPUTED_VALUE"""),90.0)</f>
        <v>90</v>
      </c>
      <c r="Q746" s="562">
        <f>IFERROR(__xludf.DUMMYFUNCTION("""COMPUTED_VALUE"""),65.0)</f>
        <v>65</v>
      </c>
      <c r="R746" s="562">
        <f>IFERROR(__xludf.DUMMYFUNCTION("""COMPUTED_VALUE"""),85.0)</f>
        <v>85</v>
      </c>
      <c r="S746" s="562"/>
      <c r="T746" s="217">
        <f>IFERROR(__xludf.DUMMYFUNCTION("""COMPUTED_VALUE"""),12.0)</f>
        <v>12</v>
      </c>
      <c r="U746" s="217">
        <f>IFERROR(__xludf.DUMMYFUNCTION("""COMPUTED_VALUE"""),24.0)</f>
        <v>24</v>
      </c>
      <c r="V746" s="217">
        <f>IFERROR(__xludf.DUMMYFUNCTION("""COMPUTED_VALUE"""),90.0)</f>
        <v>90</v>
      </c>
      <c r="W746" s="217">
        <f>IFERROR(__xludf.DUMMYFUNCTION("""COMPUTED_VALUE"""),84.0)</f>
        <v>84</v>
      </c>
      <c r="X746" s="217">
        <f>IFERROR(__xludf.DUMMYFUNCTION("""COMPUTED_VALUE"""),80.0)</f>
        <v>80</v>
      </c>
      <c r="Y746" s="217"/>
      <c r="Z746" s="217"/>
      <c r="AA746" s="481">
        <f>IFERROR(__xludf.DUMMYFUNCTION("""COMPUTED_VALUE"""),0.0)</f>
        <v>0</v>
      </c>
      <c r="AB746" s="481">
        <f>IFERROR(__xludf.DUMMYFUNCTION("""COMPUTED_VALUE"""),68.0)</f>
        <v>68</v>
      </c>
      <c r="AC746" s="481">
        <f>IFERROR(__xludf.DUMMYFUNCTION("""COMPUTED_VALUE"""),0.0)</f>
        <v>0</v>
      </c>
      <c r="AD746" s="481">
        <f>IFERROR(__xludf.DUMMYFUNCTION("""COMPUTED_VALUE"""),1.0)</f>
        <v>1</v>
      </c>
      <c r="AE746" s="481">
        <f>IFERROR(__xludf.DUMMYFUNCTION("""COMPUTED_VALUE"""),70.0)</f>
        <v>70</v>
      </c>
      <c r="AF746" s="481"/>
      <c r="AG746" s="481">
        <f>IFERROR(__xludf.DUMMYFUNCTION("""COMPUTED_VALUE"""),82.0)</f>
        <v>82</v>
      </c>
      <c r="AH746" s="481"/>
      <c r="AI746" s="158"/>
      <c r="AJ746" s="158"/>
      <c r="AK746" s="133">
        <f>IFERROR(__xludf.DUMMYFUNCTION("""COMPUTED_VALUE"""),4.0)</f>
        <v>4</v>
      </c>
      <c r="AL746" s="133">
        <f>IFERROR(__xludf.DUMMYFUNCTION("""COMPUTED_VALUE"""),0.0)</f>
        <v>0</v>
      </c>
      <c r="AM746" s="133">
        <f>IFERROR(__xludf.DUMMYFUNCTION("""COMPUTED_VALUE"""),3.0)</f>
        <v>3</v>
      </c>
      <c r="AN746" s="133" t="str">
        <f>IFERROR(__xludf.DUMMYFUNCTION("""COMPUTED_VALUE"""),"2")</f>
        <v>2</v>
      </c>
      <c r="AO746" s="133">
        <f>IFERROR(__xludf.DUMMYFUNCTION("""COMPUTED_VALUE"""),3.0)</f>
        <v>3</v>
      </c>
      <c r="AP746" s="155" t="s">
        <v>3801</v>
      </c>
    </row>
    <row r="747">
      <c r="A747" s="155">
        <f>IFERROR(__xludf.DUMMYFUNCTION("""COMPUTED_VALUE"""),9.0)</f>
        <v>9</v>
      </c>
      <c r="B747" s="155" t="str">
        <f>IFERROR(__xludf.DUMMYFUNCTION("""COMPUTED_VALUE"""),"aiha23ainds@cmrit.ac.in")</f>
        <v>aiha23ainds@cmrit.ac.in</v>
      </c>
      <c r="C747" s="174" t="str">
        <f>IFERROR(__xludf.DUMMYFUNCTION("""COMPUTED_VALUE"""),"Aishwarya Hanamantray Herakal")</f>
        <v>Aishwarya Hanamantray Herakal</v>
      </c>
      <c r="D747" s="155" t="str">
        <f>IFERROR(__xludf.DUMMYFUNCTION("""COMPUTED_VALUE"""),"1CR23AD009")</f>
        <v>1CR23AD009</v>
      </c>
      <c r="E747" s="563">
        <f>IFERROR(__xludf.DUMMYFUNCTION("""COMPUTED_VALUE"""),9.663837544E9)</f>
        <v>9663837544</v>
      </c>
      <c r="F747" s="155" t="str">
        <f>IFERROR(__xludf.DUMMYFUNCTION("""COMPUTED_VALUE"""),"AIDS")</f>
        <v>AIDS</v>
      </c>
      <c r="G747" s="158"/>
      <c r="H747" s="559">
        <f>IFERROR(__xludf.DUMMYFUNCTION("""COMPUTED_VALUE"""),70.0)</f>
        <v>70</v>
      </c>
      <c r="I747" s="559">
        <f>IFERROR(__xludf.DUMMYFUNCTION("""COMPUTED_VALUE"""),87.0)</f>
        <v>87</v>
      </c>
      <c r="J747" s="559">
        <f>IFERROR(__xludf.DUMMYFUNCTION("""COMPUTED_VALUE"""),70.0)</f>
        <v>70</v>
      </c>
      <c r="K747" s="559">
        <f>IFERROR(__xludf.DUMMYFUNCTION("""COMPUTED_VALUE"""),70.0)</f>
        <v>70</v>
      </c>
      <c r="L747" s="560">
        <f>IFERROR(__xludf.DUMMYFUNCTION("""COMPUTED_VALUE"""),50.0)</f>
        <v>50</v>
      </c>
      <c r="M747" s="561">
        <f>IFERROR(__xludf.DUMMYFUNCTION("""COMPUTED_VALUE"""),25.0)</f>
        <v>25</v>
      </c>
      <c r="N747" s="561">
        <f>IFERROR(__xludf.DUMMYFUNCTION("""COMPUTED_VALUE"""),65.0)</f>
        <v>65</v>
      </c>
      <c r="O747" s="560"/>
      <c r="P747" s="562">
        <f>IFERROR(__xludf.DUMMYFUNCTION("""COMPUTED_VALUE"""),80.0)</f>
        <v>80</v>
      </c>
      <c r="Q747" s="562">
        <f>IFERROR(__xludf.DUMMYFUNCTION("""COMPUTED_VALUE"""),81.0)</f>
        <v>81</v>
      </c>
      <c r="R747" s="562">
        <f>IFERROR(__xludf.DUMMYFUNCTION("""COMPUTED_VALUE"""),90.0)</f>
        <v>90</v>
      </c>
      <c r="S747" s="562"/>
      <c r="T747" s="217">
        <f>IFERROR(__xludf.DUMMYFUNCTION("""COMPUTED_VALUE"""),15.0)</f>
        <v>15</v>
      </c>
      <c r="U747" s="217">
        <f>IFERROR(__xludf.DUMMYFUNCTION("""COMPUTED_VALUE"""),11.0)</f>
        <v>11</v>
      </c>
      <c r="V747" s="217">
        <f>IFERROR(__xludf.DUMMYFUNCTION("""COMPUTED_VALUE"""),86.0)</f>
        <v>86</v>
      </c>
      <c r="W747" s="217">
        <f>IFERROR(__xludf.DUMMYFUNCTION("""COMPUTED_VALUE"""),90.0)</f>
        <v>90</v>
      </c>
      <c r="X747" s="217">
        <f>IFERROR(__xludf.DUMMYFUNCTION("""COMPUTED_VALUE"""),90.0)</f>
        <v>90</v>
      </c>
      <c r="Y747" s="217"/>
      <c r="Z747" s="217"/>
      <c r="AA747" s="481">
        <f>IFERROR(__xludf.DUMMYFUNCTION("""COMPUTED_VALUE"""),0.0)</f>
        <v>0</v>
      </c>
      <c r="AB747" s="481">
        <f>IFERROR(__xludf.DUMMYFUNCTION("""COMPUTED_VALUE"""),98.0)</f>
        <v>98</v>
      </c>
      <c r="AC747" s="481">
        <f>IFERROR(__xludf.DUMMYFUNCTION("""COMPUTED_VALUE"""),0.0)</f>
        <v>0</v>
      </c>
      <c r="AD747" s="481">
        <f>IFERROR(__xludf.DUMMYFUNCTION("""COMPUTED_VALUE"""),100.0)</f>
        <v>100</v>
      </c>
      <c r="AE747" s="481">
        <f>IFERROR(__xludf.DUMMYFUNCTION("""COMPUTED_VALUE"""),70.0)</f>
        <v>70</v>
      </c>
      <c r="AF747" s="481"/>
      <c r="AG747" s="481">
        <f>IFERROR(__xludf.DUMMYFUNCTION("""COMPUTED_VALUE"""),77.0)</f>
        <v>77</v>
      </c>
      <c r="AH747" s="481"/>
      <c r="AI747" s="158"/>
      <c r="AJ747" s="158"/>
      <c r="AK747" s="133">
        <f>IFERROR(__xludf.DUMMYFUNCTION("""COMPUTED_VALUE"""),4.0)</f>
        <v>4</v>
      </c>
      <c r="AL747" s="133">
        <f>IFERROR(__xludf.DUMMYFUNCTION("""COMPUTED_VALUE"""),1.0)</f>
        <v>1</v>
      </c>
      <c r="AM747" s="133">
        <f>IFERROR(__xludf.DUMMYFUNCTION("""COMPUTED_VALUE"""),3.0)</f>
        <v>3</v>
      </c>
      <c r="AN747" s="133" t="str">
        <f>IFERROR(__xludf.DUMMYFUNCTION("""COMPUTED_VALUE"""),"3.5")</f>
        <v>3.5</v>
      </c>
      <c r="AO747" s="133">
        <f>IFERROR(__xludf.DUMMYFUNCTION("""COMPUTED_VALUE"""),3.0)</f>
        <v>3</v>
      </c>
      <c r="AP747" s="155" t="s">
        <v>3801</v>
      </c>
    </row>
    <row r="748">
      <c r="A748" s="155">
        <f>IFERROR(__xludf.DUMMYFUNCTION("""COMPUTED_VALUE"""),10.0)</f>
        <v>10</v>
      </c>
      <c r="B748" s="155" t="str">
        <f>IFERROR(__xludf.DUMMYFUNCTION("""COMPUTED_VALUE"""),"aksh23ainds@cmrit.ac.in")</f>
        <v>aksh23ainds@cmrit.ac.in</v>
      </c>
      <c r="C748" s="174" t="str">
        <f>IFERROR(__xludf.DUMMYFUNCTION("""COMPUTED_VALUE"""),"Akash shetty")</f>
        <v>Akash shetty</v>
      </c>
      <c r="D748" s="155" t="str">
        <f>IFERROR(__xludf.DUMMYFUNCTION("""COMPUTED_VALUE"""),"1CR23AD010")</f>
        <v>1CR23AD010</v>
      </c>
      <c r="E748" s="563">
        <f>IFERROR(__xludf.DUMMYFUNCTION("""COMPUTED_VALUE"""),6.364312689E9)</f>
        <v>6364312689</v>
      </c>
      <c r="F748" s="155" t="str">
        <f>IFERROR(__xludf.DUMMYFUNCTION("""COMPUTED_VALUE"""),"AIDS")</f>
        <v>AIDS</v>
      </c>
      <c r="G748" s="158"/>
      <c r="H748" s="559">
        <f>IFERROR(__xludf.DUMMYFUNCTION("""COMPUTED_VALUE"""),65.0)</f>
        <v>65</v>
      </c>
      <c r="I748" s="559">
        <f>IFERROR(__xludf.DUMMYFUNCTION("""COMPUTED_VALUE"""),77.0)</f>
        <v>77</v>
      </c>
      <c r="J748" s="559">
        <f>IFERROR(__xludf.DUMMYFUNCTION("""COMPUTED_VALUE"""),17.0)</f>
        <v>17</v>
      </c>
      <c r="K748" s="559">
        <f>IFERROR(__xludf.DUMMYFUNCTION("""COMPUTED_VALUE"""),14.0)</f>
        <v>14</v>
      </c>
      <c r="L748" s="560">
        <f>IFERROR(__xludf.DUMMYFUNCTION("""COMPUTED_VALUE"""),27.0)</f>
        <v>27</v>
      </c>
      <c r="M748" s="561">
        <f>IFERROR(__xludf.DUMMYFUNCTION("""COMPUTED_VALUE"""),50.0)</f>
        <v>50</v>
      </c>
      <c r="N748" s="561">
        <f>IFERROR(__xludf.DUMMYFUNCTION("""COMPUTED_VALUE"""),0.0)</f>
        <v>0</v>
      </c>
      <c r="O748" s="560"/>
      <c r="P748" s="562">
        <f>IFERROR(__xludf.DUMMYFUNCTION("""COMPUTED_VALUE"""),0.0)</f>
        <v>0</v>
      </c>
      <c r="Q748" s="562">
        <f>IFERROR(__xludf.DUMMYFUNCTION("""COMPUTED_VALUE"""),0.0)</f>
        <v>0</v>
      </c>
      <c r="R748" s="562">
        <f>IFERROR(__xludf.DUMMYFUNCTION("""COMPUTED_VALUE"""),0.0)</f>
        <v>0</v>
      </c>
      <c r="S748" s="562"/>
      <c r="T748" s="217">
        <f>IFERROR(__xludf.DUMMYFUNCTION("""COMPUTED_VALUE"""),12.0)</f>
        <v>12</v>
      </c>
      <c r="U748" s="217">
        <f>IFERROR(__xludf.DUMMYFUNCTION("""COMPUTED_VALUE"""),2.0)</f>
        <v>2</v>
      </c>
      <c r="V748" s="217">
        <f>IFERROR(__xludf.DUMMYFUNCTION("""COMPUTED_VALUE"""),82.0)</f>
        <v>82</v>
      </c>
      <c r="W748" s="217">
        <f>IFERROR(__xludf.DUMMYFUNCTION("""COMPUTED_VALUE"""),84.0)</f>
        <v>84</v>
      </c>
      <c r="X748" s="217"/>
      <c r="Y748" s="217"/>
      <c r="Z748" s="217"/>
      <c r="AA748" s="481">
        <f>IFERROR(__xludf.DUMMYFUNCTION("""COMPUTED_VALUE"""),20.0)</f>
        <v>20</v>
      </c>
      <c r="AB748" s="481">
        <f>IFERROR(__xludf.DUMMYFUNCTION("""COMPUTED_VALUE"""),33.0)</f>
        <v>33</v>
      </c>
      <c r="AC748" s="481">
        <f>IFERROR(__xludf.DUMMYFUNCTION("""COMPUTED_VALUE"""),0.0)</f>
        <v>0</v>
      </c>
      <c r="AD748" s="481">
        <f>IFERROR(__xludf.DUMMYFUNCTION("""COMPUTED_VALUE"""),0.0)</f>
        <v>0</v>
      </c>
      <c r="AE748" s="481">
        <f>IFERROR(__xludf.DUMMYFUNCTION("""COMPUTED_VALUE"""),10.0)</f>
        <v>10</v>
      </c>
      <c r="AF748" s="481"/>
      <c r="AG748" s="481">
        <f>IFERROR(__xludf.DUMMYFUNCTION("""COMPUTED_VALUE"""),0.0)</f>
        <v>0</v>
      </c>
      <c r="AH748" s="481"/>
      <c r="AI748" s="158"/>
      <c r="AJ748" s="158"/>
      <c r="AK748" s="133">
        <f>IFERROR(__xludf.DUMMYFUNCTION("""COMPUTED_VALUE"""),2.0)</f>
        <v>2</v>
      </c>
      <c r="AL748" s="133">
        <f>IFERROR(__xludf.DUMMYFUNCTION("""COMPUTED_VALUE"""),0.0)</f>
        <v>0</v>
      </c>
      <c r="AM748" s="133">
        <f>IFERROR(__xludf.DUMMYFUNCTION("""COMPUTED_VALUE"""),0.0)</f>
        <v>0</v>
      </c>
      <c r="AN748" s="133" t="str">
        <f>IFERROR(__xludf.DUMMYFUNCTION("""COMPUTED_VALUE"""),"0")</f>
        <v>0</v>
      </c>
      <c r="AO748" s="133">
        <f>IFERROR(__xludf.DUMMYFUNCTION("""COMPUTED_VALUE"""),0.0)</f>
        <v>0</v>
      </c>
      <c r="AP748" s="155" t="s">
        <v>3801</v>
      </c>
    </row>
    <row r="749">
      <c r="A749" s="155">
        <f>IFERROR(__xludf.DUMMYFUNCTION("""COMPUTED_VALUE"""),11.0)</f>
        <v>11</v>
      </c>
      <c r="B749" s="155" t="str">
        <f>IFERROR(__xludf.DUMMYFUNCTION("""COMPUTED_VALUE"""),"aksu23ainds@cmrit.ac.in")</f>
        <v>aksu23ainds@cmrit.ac.in</v>
      </c>
      <c r="C749" s="174" t="str">
        <f>IFERROR(__xludf.DUMMYFUNCTION("""COMPUTED_VALUE"""),"AKSHAT PAL SURYAVANSHI ")</f>
        <v>AKSHAT PAL SURYAVANSHI </v>
      </c>
      <c r="D749" s="155" t="str">
        <f>IFERROR(__xludf.DUMMYFUNCTION("""COMPUTED_VALUE"""),"1CR23AD011")</f>
        <v>1CR23AD011</v>
      </c>
      <c r="E749" s="563">
        <f>IFERROR(__xludf.DUMMYFUNCTION("""COMPUTED_VALUE"""),8.874555035E9)</f>
        <v>8874555035</v>
      </c>
      <c r="F749" s="155" t="str">
        <f>IFERROR(__xludf.DUMMYFUNCTION("""COMPUTED_VALUE"""),"AIDS")</f>
        <v>AIDS</v>
      </c>
      <c r="G749" s="158"/>
      <c r="H749" s="559">
        <f>IFERROR(__xludf.DUMMYFUNCTION("""COMPUTED_VALUE"""),75.0)</f>
        <v>75</v>
      </c>
      <c r="I749" s="559">
        <f>IFERROR(__xludf.DUMMYFUNCTION("""COMPUTED_VALUE"""),81.0)</f>
        <v>81</v>
      </c>
      <c r="J749" s="559">
        <f>IFERROR(__xludf.DUMMYFUNCTION("""COMPUTED_VALUE"""),54.0)</f>
        <v>54</v>
      </c>
      <c r="K749" s="559">
        <f>IFERROR(__xludf.DUMMYFUNCTION("""COMPUTED_VALUE"""),70.0)</f>
        <v>70</v>
      </c>
      <c r="L749" s="560">
        <f>IFERROR(__xludf.DUMMYFUNCTION("""COMPUTED_VALUE"""),50.0)</f>
        <v>50</v>
      </c>
      <c r="M749" s="561">
        <f>IFERROR(__xludf.DUMMYFUNCTION("""COMPUTED_VALUE"""),50.0)</f>
        <v>50</v>
      </c>
      <c r="N749" s="561">
        <f>IFERROR(__xludf.DUMMYFUNCTION("""COMPUTED_VALUE"""),50.0)</f>
        <v>50</v>
      </c>
      <c r="O749" s="560"/>
      <c r="P749" s="562">
        <f>IFERROR(__xludf.DUMMYFUNCTION("""COMPUTED_VALUE"""),87.0)</f>
        <v>87</v>
      </c>
      <c r="Q749" s="562">
        <f>IFERROR(__xludf.DUMMYFUNCTION("""COMPUTED_VALUE"""),0.0)</f>
        <v>0</v>
      </c>
      <c r="R749" s="562">
        <f>IFERROR(__xludf.DUMMYFUNCTION("""COMPUTED_VALUE"""),0.0)</f>
        <v>0</v>
      </c>
      <c r="S749" s="562"/>
      <c r="T749" s="217">
        <f>IFERROR(__xludf.DUMMYFUNCTION("""COMPUTED_VALUE"""),19.0)</f>
        <v>19</v>
      </c>
      <c r="U749" s="217">
        <f>IFERROR(__xludf.DUMMYFUNCTION("""COMPUTED_VALUE"""),19.0)</f>
        <v>19</v>
      </c>
      <c r="V749" s="217"/>
      <c r="W749" s="217">
        <f>IFERROR(__xludf.DUMMYFUNCTION("""COMPUTED_VALUE"""),80.0)</f>
        <v>80</v>
      </c>
      <c r="X749" s="217">
        <f>IFERROR(__xludf.DUMMYFUNCTION("""COMPUTED_VALUE"""),92.0)</f>
        <v>92</v>
      </c>
      <c r="Y749" s="217"/>
      <c r="Z749" s="217"/>
      <c r="AA749" s="481">
        <f>IFERROR(__xludf.DUMMYFUNCTION("""COMPUTED_VALUE"""),100.0)</f>
        <v>100</v>
      </c>
      <c r="AB749" s="481">
        <f>IFERROR(__xludf.DUMMYFUNCTION("""COMPUTED_VALUE"""),65.0)</f>
        <v>65</v>
      </c>
      <c r="AC749" s="481">
        <f>IFERROR(__xludf.DUMMYFUNCTION("""COMPUTED_VALUE"""),100.0)</f>
        <v>100</v>
      </c>
      <c r="AD749" s="481">
        <f>IFERROR(__xludf.DUMMYFUNCTION("""COMPUTED_VALUE"""),90.0)</f>
        <v>90</v>
      </c>
      <c r="AE749" s="481">
        <f>IFERROR(__xludf.DUMMYFUNCTION("""COMPUTED_VALUE"""),96.0)</f>
        <v>96</v>
      </c>
      <c r="AF749" s="481"/>
      <c r="AG749" s="481">
        <f>IFERROR(__xludf.DUMMYFUNCTION("""COMPUTED_VALUE"""),71.0)</f>
        <v>71</v>
      </c>
      <c r="AH749" s="481"/>
      <c r="AI749" s="158"/>
      <c r="AJ749" s="158"/>
      <c r="AK749" s="133">
        <f>IFERROR(__xludf.DUMMYFUNCTION("""COMPUTED_VALUE"""),2.0)</f>
        <v>2</v>
      </c>
      <c r="AL749" s="133">
        <f>IFERROR(__xludf.DUMMYFUNCTION("""COMPUTED_VALUE"""),3.0)</f>
        <v>3</v>
      </c>
      <c r="AM749" s="133">
        <f>IFERROR(__xludf.DUMMYFUNCTION("""COMPUTED_VALUE"""),3.0)</f>
        <v>3</v>
      </c>
      <c r="AN749" s="133" t="str">
        <f>IFERROR(__xludf.DUMMYFUNCTION("""COMPUTED_VALUE"""),"3.5")</f>
        <v>3.5</v>
      </c>
      <c r="AO749" s="133">
        <f>IFERROR(__xludf.DUMMYFUNCTION("""COMPUTED_VALUE"""),1.0)</f>
        <v>1</v>
      </c>
      <c r="AP749" s="155" t="s">
        <v>3801</v>
      </c>
    </row>
    <row r="750">
      <c r="A750" s="155">
        <f>IFERROR(__xludf.DUMMYFUNCTION("""COMPUTED_VALUE"""),12.0)</f>
        <v>12</v>
      </c>
      <c r="B750" s="155" t="str">
        <f>IFERROR(__xludf.DUMMYFUNCTION("""COMPUTED_VALUE"""),"aks23ainds@cmrit.ac.in")</f>
        <v>aks23ainds@cmrit.ac.in</v>
      </c>
      <c r="C750" s="174" t="str">
        <f>IFERROR(__xludf.DUMMYFUNCTION("""COMPUTED_VALUE"""),"Akshath S")</f>
        <v>Akshath S</v>
      </c>
      <c r="D750" s="155" t="str">
        <f>IFERROR(__xludf.DUMMYFUNCTION("""COMPUTED_VALUE"""),"1CR23AD012")</f>
        <v>1CR23AD012</v>
      </c>
      <c r="E750" s="563">
        <f>IFERROR(__xludf.DUMMYFUNCTION("""COMPUTED_VALUE"""),8.123560954E9)</f>
        <v>8123560954</v>
      </c>
      <c r="F750" s="155" t="str">
        <f>IFERROR(__xludf.DUMMYFUNCTION("""COMPUTED_VALUE"""),"AIDS")</f>
        <v>AIDS</v>
      </c>
      <c r="G750" s="158"/>
      <c r="H750" s="559">
        <f>IFERROR(__xludf.DUMMYFUNCTION("""COMPUTED_VALUE"""),74.0)</f>
        <v>74</v>
      </c>
      <c r="I750" s="559">
        <f>IFERROR(__xludf.DUMMYFUNCTION("""COMPUTED_VALUE"""),83.0)</f>
        <v>83</v>
      </c>
      <c r="J750" s="559">
        <f>IFERROR(__xludf.DUMMYFUNCTION("""COMPUTED_VALUE"""),78.0)</f>
        <v>78</v>
      </c>
      <c r="K750" s="559">
        <f>IFERROR(__xludf.DUMMYFUNCTION("""COMPUTED_VALUE"""),70.0)</f>
        <v>70</v>
      </c>
      <c r="L750" s="560">
        <f>IFERROR(__xludf.DUMMYFUNCTION("""COMPUTED_VALUE"""),50.0)</f>
        <v>50</v>
      </c>
      <c r="M750" s="561">
        <f>IFERROR(__xludf.DUMMYFUNCTION("""COMPUTED_VALUE"""),50.0)</f>
        <v>50</v>
      </c>
      <c r="N750" s="561">
        <f>IFERROR(__xludf.DUMMYFUNCTION("""COMPUTED_VALUE"""),58.0)</f>
        <v>58</v>
      </c>
      <c r="O750" s="560"/>
      <c r="P750" s="562">
        <f>IFERROR(__xludf.DUMMYFUNCTION("""COMPUTED_VALUE"""),80.0)</f>
        <v>80</v>
      </c>
      <c r="Q750" s="562">
        <f>IFERROR(__xludf.DUMMYFUNCTION("""COMPUTED_VALUE"""),55.0)</f>
        <v>55</v>
      </c>
      <c r="R750" s="562">
        <f>IFERROR(__xludf.DUMMYFUNCTION("""COMPUTED_VALUE"""),82.0)</f>
        <v>82</v>
      </c>
      <c r="S750" s="562"/>
      <c r="T750" s="217">
        <f>IFERROR(__xludf.DUMMYFUNCTION("""COMPUTED_VALUE"""),11.0)</f>
        <v>11</v>
      </c>
      <c r="U750" s="217">
        <f>IFERROR(__xludf.DUMMYFUNCTION("""COMPUTED_VALUE"""),25.0)</f>
        <v>25</v>
      </c>
      <c r="V750" s="217">
        <f>IFERROR(__xludf.DUMMYFUNCTION("""COMPUTED_VALUE"""),92.0)</f>
        <v>92</v>
      </c>
      <c r="W750" s="217">
        <f>IFERROR(__xludf.DUMMYFUNCTION("""COMPUTED_VALUE"""),86.0)</f>
        <v>86</v>
      </c>
      <c r="X750" s="217">
        <f>IFERROR(__xludf.DUMMYFUNCTION("""COMPUTED_VALUE"""),88.0)</f>
        <v>88</v>
      </c>
      <c r="Y750" s="217"/>
      <c r="Z750" s="217"/>
      <c r="AA750" s="481">
        <f>IFERROR(__xludf.DUMMYFUNCTION("""COMPUTED_VALUE"""),68.0)</f>
        <v>68</v>
      </c>
      <c r="AB750" s="481">
        <f>IFERROR(__xludf.DUMMYFUNCTION("""COMPUTED_VALUE"""),74.0)</f>
        <v>74</v>
      </c>
      <c r="AC750" s="481">
        <f>IFERROR(__xludf.DUMMYFUNCTION("""COMPUTED_VALUE"""),80.0)</f>
        <v>80</v>
      </c>
      <c r="AD750" s="481">
        <f>IFERROR(__xludf.DUMMYFUNCTION("""COMPUTED_VALUE"""),1.0)</f>
        <v>1</v>
      </c>
      <c r="AE750" s="481">
        <f>IFERROR(__xludf.DUMMYFUNCTION("""COMPUTED_VALUE"""),82.0)</f>
        <v>82</v>
      </c>
      <c r="AF750" s="481"/>
      <c r="AG750" s="481">
        <f>IFERROR(__xludf.DUMMYFUNCTION("""COMPUTED_VALUE"""),78.0)</f>
        <v>78</v>
      </c>
      <c r="AH750" s="481"/>
      <c r="AI750" s="158"/>
      <c r="AJ750" s="158"/>
      <c r="AK750" s="133">
        <f>IFERROR(__xludf.DUMMYFUNCTION("""COMPUTED_VALUE"""),4.0)</f>
        <v>4</v>
      </c>
      <c r="AL750" s="133">
        <f>IFERROR(__xludf.DUMMYFUNCTION("""COMPUTED_VALUE"""),3.0)</f>
        <v>3</v>
      </c>
      <c r="AM750" s="133">
        <f>IFERROR(__xludf.DUMMYFUNCTION("""COMPUTED_VALUE"""),3.0)</f>
        <v>3</v>
      </c>
      <c r="AN750" s="133" t="str">
        <f>IFERROR(__xludf.DUMMYFUNCTION("""COMPUTED_VALUE"""),"3.5")</f>
        <v>3.5</v>
      </c>
      <c r="AO750" s="133">
        <f>IFERROR(__xludf.DUMMYFUNCTION("""COMPUTED_VALUE"""),3.0)</f>
        <v>3</v>
      </c>
      <c r="AP750" s="155" t="s">
        <v>3801</v>
      </c>
    </row>
    <row r="751">
      <c r="A751" s="155">
        <f>IFERROR(__xludf.DUMMYFUNCTION("""COMPUTED_VALUE"""),13.0)</f>
        <v>13</v>
      </c>
      <c r="B751" s="155" t="str">
        <f>IFERROR(__xludf.DUMMYFUNCTION("""COMPUTED_VALUE"""),"amam23ainds@cmrit.ac.in")</f>
        <v>amam23ainds@cmrit.ac.in</v>
      </c>
      <c r="C751" s="174" t="str">
        <f>IFERROR(__xludf.DUMMYFUNCTION("""COMPUTED_VALUE"""),"AMAN PRASAD")</f>
        <v>AMAN PRASAD</v>
      </c>
      <c r="D751" s="155" t="str">
        <f>IFERROR(__xludf.DUMMYFUNCTION("""COMPUTED_VALUE"""),"1CR23AD013")</f>
        <v>1CR23AD013</v>
      </c>
      <c r="E751" s="563">
        <f>IFERROR(__xludf.DUMMYFUNCTION("""COMPUTED_VALUE"""),9.12324822E9)</f>
        <v>9123248220</v>
      </c>
      <c r="F751" s="155" t="str">
        <f>IFERROR(__xludf.DUMMYFUNCTION("""COMPUTED_VALUE"""),"AIDS")</f>
        <v>AIDS</v>
      </c>
      <c r="G751" s="158"/>
      <c r="H751" s="559">
        <f>IFERROR(__xludf.DUMMYFUNCTION("""COMPUTED_VALUE"""),83.0)</f>
        <v>83</v>
      </c>
      <c r="I751" s="559">
        <f>IFERROR(__xludf.DUMMYFUNCTION("""COMPUTED_VALUE"""),87.0)</f>
        <v>87</v>
      </c>
      <c r="J751" s="559">
        <f>IFERROR(__xludf.DUMMYFUNCTION("""COMPUTED_VALUE"""),70.0)</f>
        <v>70</v>
      </c>
      <c r="K751" s="559">
        <f>IFERROR(__xludf.DUMMYFUNCTION("""COMPUTED_VALUE"""),70.0)</f>
        <v>70</v>
      </c>
      <c r="L751" s="560">
        <f>IFERROR(__xludf.DUMMYFUNCTION("""COMPUTED_VALUE"""),50.0)</f>
        <v>50</v>
      </c>
      <c r="M751" s="561">
        <f>IFERROR(__xludf.DUMMYFUNCTION("""COMPUTED_VALUE"""),51.0)</f>
        <v>51</v>
      </c>
      <c r="N751" s="561">
        <f>IFERROR(__xludf.DUMMYFUNCTION("""COMPUTED_VALUE"""),50.0)</f>
        <v>50</v>
      </c>
      <c r="O751" s="560"/>
      <c r="P751" s="562">
        <f>IFERROR(__xludf.DUMMYFUNCTION("""COMPUTED_VALUE"""),83.0)</f>
        <v>83</v>
      </c>
      <c r="Q751" s="562">
        <f>IFERROR(__xludf.DUMMYFUNCTION("""COMPUTED_VALUE"""),72.0)</f>
        <v>72</v>
      </c>
      <c r="R751" s="562">
        <f>IFERROR(__xludf.DUMMYFUNCTION("""COMPUTED_VALUE"""),50.0)</f>
        <v>50</v>
      </c>
      <c r="S751" s="562"/>
      <c r="T751" s="217">
        <f>IFERROR(__xludf.DUMMYFUNCTION("""COMPUTED_VALUE"""),21.0)</f>
        <v>21</v>
      </c>
      <c r="U751" s="217">
        <f>IFERROR(__xludf.DUMMYFUNCTION("""COMPUTED_VALUE"""),20.0)</f>
        <v>20</v>
      </c>
      <c r="V751" s="217">
        <f>IFERROR(__xludf.DUMMYFUNCTION("""COMPUTED_VALUE"""),90.0)</f>
        <v>90</v>
      </c>
      <c r="W751" s="217">
        <f>IFERROR(__xludf.DUMMYFUNCTION("""COMPUTED_VALUE"""),70.0)</f>
        <v>70</v>
      </c>
      <c r="X751" s="217">
        <f>IFERROR(__xludf.DUMMYFUNCTION("""COMPUTED_VALUE"""),86.0)</f>
        <v>86</v>
      </c>
      <c r="Y751" s="217"/>
      <c r="Z751" s="217"/>
      <c r="AA751" s="481">
        <f>IFERROR(__xludf.DUMMYFUNCTION("""COMPUTED_VALUE"""),68.0)</f>
        <v>68</v>
      </c>
      <c r="AB751" s="481">
        <f>IFERROR(__xludf.DUMMYFUNCTION("""COMPUTED_VALUE"""),72.0)</f>
        <v>72</v>
      </c>
      <c r="AC751" s="481">
        <f>IFERROR(__xludf.DUMMYFUNCTION("""COMPUTED_VALUE"""),63.0)</f>
        <v>63</v>
      </c>
      <c r="AD751" s="481">
        <f>IFERROR(__xludf.DUMMYFUNCTION("""COMPUTED_VALUE"""),1.0)</f>
        <v>1</v>
      </c>
      <c r="AE751" s="481">
        <f>IFERROR(__xludf.DUMMYFUNCTION("""COMPUTED_VALUE"""),70.0)</f>
        <v>70</v>
      </c>
      <c r="AF751" s="481"/>
      <c r="AG751" s="481">
        <f>IFERROR(__xludf.DUMMYFUNCTION("""COMPUTED_VALUE"""),73.0)</f>
        <v>73</v>
      </c>
      <c r="AH751" s="481"/>
      <c r="AI751" s="158"/>
      <c r="AJ751" s="158"/>
      <c r="AK751" s="133">
        <f>IFERROR(__xludf.DUMMYFUNCTION("""COMPUTED_VALUE"""),4.0)</f>
        <v>4</v>
      </c>
      <c r="AL751" s="133">
        <f>IFERROR(__xludf.DUMMYFUNCTION("""COMPUTED_VALUE"""),3.0)</f>
        <v>3</v>
      </c>
      <c r="AM751" s="133">
        <f>IFERROR(__xludf.DUMMYFUNCTION("""COMPUTED_VALUE"""),3.0)</f>
        <v>3</v>
      </c>
      <c r="AN751" s="133" t="str">
        <f>IFERROR(__xludf.DUMMYFUNCTION("""COMPUTED_VALUE"""),"3.5")</f>
        <v>3.5</v>
      </c>
      <c r="AO751" s="133">
        <f>IFERROR(__xludf.DUMMYFUNCTION("""COMPUTED_VALUE"""),3.0)</f>
        <v>3</v>
      </c>
      <c r="AP751" s="155" t="s">
        <v>3715</v>
      </c>
    </row>
    <row r="752">
      <c r="A752" s="155">
        <f>IFERROR(__xludf.DUMMYFUNCTION("""COMPUTED_VALUE"""),14.0)</f>
        <v>14</v>
      </c>
      <c r="B752" s="155" t="str">
        <f>IFERROR(__xludf.DUMMYFUNCTION("""COMPUTED_VALUE"""),"amn23ainds@cmrit.ac.in")</f>
        <v>amn23ainds@cmrit.ac.in</v>
      </c>
      <c r="C752" s="174" t="str">
        <f>IFERROR(__xludf.DUMMYFUNCTION("""COMPUTED_VALUE"""),"AMRUTHA N")</f>
        <v>AMRUTHA N</v>
      </c>
      <c r="D752" s="155" t="str">
        <f>IFERROR(__xludf.DUMMYFUNCTION("""COMPUTED_VALUE"""),"1CR23AD014")</f>
        <v>1CR23AD014</v>
      </c>
      <c r="E752" s="563">
        <f>IFERROR(__xludf.DUMMYFUNCTION("""COMPUTED_VALUE"""),7.204729757E9)</f>
        <v>7204729757</v>
      </c>
      <c r="F752" s="155" t="str">
        <f>IFERROR(__xludf.DUMMYFUNCTION("""COMPUTED_VALUE"""),"AIDS")</f>
        <v>AIDS</v>
      </c>
      <c r="G752" s="158"/>
      <c r="H752" s="559">
        <f>IFERROR(__xludf.DUMMYFUNCTION("""COMPUTED_VALUE"""),71.0)</f>
        <v>71</v>
      </c>
      <c r="I752" s="559">
        <f>IFERROR(__xludf.DUMMYFUNCTION("""COMPUTED_VALUE"""),84.0)</f>
        <v>84</v>
      </c>
      <c r="J752" s="559">
        <f>IFERROR(__xludf.DUMMYFUNCTION("""COMPUTED_VALUE"""),9.0)</f>
        <v>9</v>
      </c>
      <c r="K752" s="559">
        <f>IFERROR(__xludf.DUMMYFUNCTION("""COMPUTED_VALUE"""),6.0)</f>
        <v>6</v>
      </c>
      <c r="L752" s="560">
        <f>IFERROR(__xludf.DUMMYFUNCTION("""COMPUTED_VALUE"""),28.0)</f>
        <v>28</v>
      </c>
      <c r="M752" s="561">
        <f>IFERROR(__xludf.DUMMYFUNCTION("""COMPUTED_VALUE"""),0.0)</f>
        <v>0</v>
      </c>
      <c r="N752" s="561">
        <f>IFERROR(__xludf.DUMMYFUNCTION("""COMPUTED_VALUE"""),0.0)</f>
        <v>0</v>
      </c>
      <c r="O752" s="560"/>
      <c r="P752" s="562">
        <f>IFERROR(__xludf.DUMMYFUNCTION("""COMPUTED_VALUE"""),0.0)</f>
        <v>0</v>
      </c>
      <c r="Q752" s="562">
        <f>IFERROR(__xludf.DUMMYFUNCTION("""COMPUTED_VALUE"""),0.0)</f>
        <v>0</v>
      </c>
      <c r="R752" s="562">
        <f>IFERROR(__xludf.DUMMYFUNCTION("""COMPUTED_VALUE"""),0.0)</f>
        <v>0</v>
      </c>
      <c r="S752" s="562"/>
      <c r="T752" s="217">
        <f>IFERROR(__xludf.DUMMYFUNCTION("""COMPUTED_VALUE"""),14.0)</f>
        <v>14</v>
      </c>
      <c r="U752" s="217">
        <f>IFERROR(__xludf.DUMMYFUNCTION("""COMPUTED_VALUE"""),20.0)</f>
        <v>20</v>
      </c>
      <c r="V752" s="217">
        <f>IFERROR(__xludf.DUMMYFUNCTION("""COMPUTED_VALUE"""),72.0)</f>
        <v>72</v>
      </c>
      <c r="W752" s="217">
        <f>IFERROR(__xludf.DUMMYFUNCTION("""COMPUTED_VALUE"""),74.0)</f>
        <v>74</v>
      </c>
      <c r="X752" s="217">
        <f>IFERROR(__xludf.DUMMYFUNCTION("""COMPUTED_VALUE"""),82.0)</f>
        <v>82</v>
      </c>
      <c r="Y752" s="217"/>
      <c r="Z752" s="217"/>
      <c r="AA752" s="481">
        <f>IFERROR(__xludf.DUMMYFUNCTION("""COMPUTED_VALUE"""),13.6)</f>
        <v>13.6</v>
      </c>
      <c r="AB752" s="481">
        <f>IFERROR(__xludf.DUMMYFUNCTION("""COMPUTED_VALUE"""),57.0)</f>
        <v>57</v>
      </c>
      <c r="AC752" s="481">
        <f>IFERROR(__xludf.DUMMYFUNCTION("""COMPUTED_VALUE"""),0.0)</f>
        <v>0</v>
      </c>
      <c r="AD752" s="481">
        <f>IFERROR(__xludf.DUMMYFUNCTION("""COMPUTED_VALUE"""),0.0)</f>
        <v>0</v>
      </c>
      <c r="AE752" s="481">
        <f>IFERROR(__xludf.DUMMYFUNCTION("""COMPUTED_VALUE"""),10.0)</f>
        <v>10</v>
      </c>
      <c r="AF752" s="481"/>
      <c r="AG752" s="481">
        <f>IFERROR(__xludf.DUMMYFUNCTION("""COMPUTED_VALUE"""),0.0)</f>
        <v>0</v>
      </c>
      <c r="AH752" s="481"/>
      <c r="AI752" s="158"/>
      <c r="AJ752" s="158"/>
      <c r="AK752" s="133">
        <f>IFERROR(__xludf.DUMMYFUNCTION("""COMPUTED_VALUE"""),2.0)</f>
        <v>2</v>
      </c>
      <c r="AL752" s="133">
        <f>IFERROR(__xludf.DUMMYFUNCTION("""COMPUTED_VALUE"""),0.0)</f>
        <v>0</v>
      </c>
      <c r="AM752" s="133">
        <f>IFERROR(__xludf.DUMMYFUNCTION("""COMPUTED_VALUE"""),3.0)</f>
        <v>3</v>
      </c>
      <c r="AN752" s="133" t="str">
        <f>IFERROR(__xludf.DUMMYFUNCTION("""COMPUTED_VALUE"""),"2")</f>
        <v>2</v>
      </c>
      <c r="AO752" s="133">
        <f>IFERROR(__xludf.DUMMYFUNCTION("""COMPUTED_VALUE"""),0.0)</f>
        <v>0</v>
      </c>
      <c r="AP752" s="155" t="s">
        <v>3715</v>
      </c>
    </row>
    <row r="753">
      <c r="A753" s="155">
        <f>IFERROR(__xludf.DUMMYFUNCTION("""COMPUTED_VALUE"""),15.0)</f>
        <v>15</v>
      </c>
      <c r="B753" s="155" t="str">
        <f>IFERROR(__xludf.DUMMYFUNCTION("""COMPUTED_VALUE"""),"anra23ainds@cmrit.ac.in")</f>
        <v>anra23ainds@cmrit.ac.in</v>
      </c>
      <c r="C753" s="174" t="str">
        <f>IFERROR(__xludf.DUMMYFUNCTION("""COMPUTED_VALUE"""),"Anishek raut")</f>
        <v>Anishek raut</v>
      </c>
      <c r="D753" s="155" t="str">
        <f>IFERROR(__xludf.DUMMYFUNCTION("""COMPUTED_VALUE"""),"1CR23AD015")</f>
        <v>1CR23AD015</v>
      </c>
      <c r="E753" s="563">
        <f>IFERROR(__xludf.DUMMYFUNCTION("""COMPUTED_VALUE"""),6.204268095E9)</f>
        <v>6204268095</v>
      </c>
      <c r="F753" s="155" t="str">
        <f>IFERROR(__xludf.DUMMYFUNCTION("""COMPUTED_VALUE"""),"AIDS")</f>
        <v>AIDS</v>
      </c>
      <c r="G753" s="158"/>
      <c r="H753" s="559">
        <f>IFERROR(__xludf.DUMMYFUNCTION("""COMPUTED_VALUE"""),70.0)</f>
        <v>70</v>
      </c>
      <c r="I753" s="559">
        <f>IFERROR(__xludf.DUMMYFUNCTION("""COMPUTED_VALUE"""),79.0)</f>
        <v>79</v>
      </c>
      <c r="J753" s="559">
        <f>IFERROR(__xludf.DUMMYFUNCTION("""COMPUTED_VALUE"""),35.0)</f>
        <v>35</v>
      </c>
      <c r="K753" s="559">
        <f>IFERROR(__xludf.DUMMYFUNCTION("""COMPUTED_VALUE"""),70.0)</f>
        <v>70</v>
      </c>
      <c r="L753" s="560">
        <f>IFERROR(__xludf.DUMMYFUNCTION("""COMPUTED_VALUE"""),19.0)</f>
        <v>19</v>
      </c>
      <c r="M753" s="561">
        <f>IFERROR(__xludf.DUMMYFUNCTION("""COMPUTED_VALUE"""),0.0)</f>
        <v>0</v>
      </c>
      <c r="N753" s="561">
        <f>IFERROR(__xludf.DUMMYFUNCTION("""COMPUTED_VALUE"""),57.0)</f>
        <v>57</v>
      </c>
      <c r="O753" s="560"/>
      <c r="P753" s="562">
        <f>IFERROR(__xludf.DUMMYFUNCTION("""COMPUTED_VALUE"""),0.0)</f>
        <v>0</v>
      </c>
      <c r="Q753" s="562">
        <f>IFERROR(__xludf.DUMMYFUNCTION("""COMPUTED_VALUE"""),0.0)</f>
        <v>0</v>
      </c>
      <c r="R753" s="562">
        <f>IFERROR(__xludf.DUMMYFUNCTION("""COMPUTED_VALUE"""),0.0)</f>
        <v>0</v>
      </c>
      <c r="S753" s="562"/>
      <c r="T753" s="217">
        <f>IFERROR(__xludf.DUMMYFUNCTION("""COMPUTED_VALUE"""),10.0)</f>
        <v>10</v>
      </c>
      <c r="U753" s="217">
        <f>IFERROR(__xludf.DUMMYFUNCTION("""COMPUTED_VALUE"""),24.0)</f>
        <v>24</v>
      </c>
      <c r="V753" s="217">
        <f>IFERROR(__xludf.DUMMYFUNCTION("""COMPUTED_VALUE"""),90.0)</f>
        <v>90</v>
      </c>
      <c r="W753" s="217">
        <f>IFERROR(__xludf.DUMMYFUNCTION("""COMPUTED_VALUE"""),80.0)</f>
        <v>80</v>
      </c>
      <c r="X753" s="217">
        <f>IFERROR(__xludf.DUMMYFUNCTION("""COMPUTED_VALUE"""),74.0)</f>
        <v>74</v>
      </c>
      <c r="Y753" s="217"/>
      <c r="Z753" s="217"/>
      <c r="AA753" s="481"/>
      <c r="AB753" s="481">
        <f>IFERROR(__xludf.DUMMYFUNCTION("""COMPUTED_VALUE"""),100.0)</f>
        <v>100</v>
      </c>
      <c r="AC753" s="481">
        <f>IFERROR(__xludf.DUMMYFUNCTION("""COMPUTED_VALUE"""),70.0)</f>
        <v>70</v>
      </c>
      <c r="AD753" s="481">
        <f>IFERROR(__xludf.DUMMYFUNCTION("""COMPUTED_VALUE"""),1.0)</f>
        <v>1</v>
      </c>
      <c r="AE753" s="481">
        <f>IFERROR(__xludf.DUMMYFUNCTION("""COMPUTED_VALUE"""),10.0)</f>
        <v>10</v>
      </c>
      <c r="AF753" s="481"/>
      <c r="AG753" s="481">
        <f>IFERROR(__xludf.DUMMYFUNCTION("""COMPUTED_VALUE"""),79.0)</f>
        <v>79</v>
      </c>
      <c r="AH753" s="481"/>
      <c r="AI753" s="158"/>
      <c r="AJ753" s="158"/>
      <c r="AK753" s="133">
        <f>IFERROR(__xludf.DUMMYFUNCTION("""COMPUTED_VALUE"""),2.0)</f>
        <v>2</v>
      </c>
      <c r="AL753" s="133">
        <f>IFERROR(__xludf.DUMMYFUNCTION("""COMPUTED_VALUE"""),0.0)</f>
        <v>0</v>
      </c>
      <c r="AM753" s="133">
        <f>IFERROR(__xludf.DUMMYFUNCTION("""COMPUTED_VALUE"""),3.0)</f>
        <v>3</v>
      </c>
      <c r="AN753" s="133" t="str">
        <f>IFERROR(__xludf.DUMMYFUNCTION("""COMPUTED_VALUE"""),"3")</f>
        <v>3</v>
      </c>
      <c r="AO753" s="133">
        <f>IFERROR(__xludf.DUMMYFUNCTION("""COMPUTED_VALUE"""),0.0)</f>
        <v>0</v>
      </c>
      <c r="AP753" s="155" t="s">
        <v>3715</v>
      </c>
    </row>
    <row r="754">
      <c r="A754" s="155">
        <f>IFERROR(__xludf.DUMMYFUNCTION("""COMPUTED_VALUE"""),16.0)</f>
        <v>16</v>
      </c>
      <c r="B754" s="155" t="str">
        <f>IFERROR(__xludf.DUMMYFUNCTION("""COMPUTED_VALUE"""),"ansh23ainds@cmrit.ac.in")</f>
        <v>ansh23ainds@cmrit.ac.in</v>
      </c>
      <c r="C754" s="174" t="str">
        <f>IFERROR(__xludf.DUMMYFUNCTION("""COMPUTED_VALUE"""),"ANKIT SHRESTHA")</f>
        <v>ANKIT SHRESTHA</v>
      </c>
      <c r="D754" s="155" t="str">
        <f>IFERROR(__xludf.DUMMYFUNCTION("""COMPUTED_VALUE"""),"1CR23AD016")</f>
        <v>1CR23AD016</v>
      </c>
      <c r="E754" s="563"/>
      <c r="F754" s="155" t="str">
        <f>IFERROR(__xludf.DUMMYFUNCTION("""COMPUTED_VALUE"""),"AIDS")</f>
        <v>AIDS</v>
      </c>
      <c r="G754" s="158"/>
      <c r="H754" s="559">
        <f>IFERROR(__xludf.DUMMYFUNCTION("""COMPUTED_VALUE"""),82.0)</f>
        <v>82</v>
      </c>
      <c r="I754" s="559">
        <f>IFERROR(__xludf.DUMMYFUNCTION("""COMPUTED_VALUE"""),90.0)</f>
        <v>90</v>
      </c>
      <c r="J754" s="559">
        <f>IFERROR(__xludf.DUMMYFUNCTION("""COMPUTED_VALUE"""),40.0)</f>
        <v>40</v>
      </c>
      <c r="K754" s="559">
        <f>IFERROR(__xludf.DUMMYFUNCTION("""COMPUTED_VALUE"""),39.0)</f>
        <v>39</v>
      </c>
      <c r="L754" s="560">
        <f>IFERROR(__xludf.DUMMYFUNCTION("""COMPUTED_VALUE"""),48.0)</f>
        <v>48</v>
      </c>
      <c r="M754" s="561">
        <f>IFERROR(__xludf.DUMMYFUNCTION("""COMPUTED_VALUE"""),43.0)</f>
        <v>43</v>
      </c>
      <c r="N754" s="561">
        <f>IFERROR(__xludf.DUMMYFUNCTION("""COMPUTED_VALUE"""),0.0)</f>
        <v>0</v>
      </c>
      <c r="O754" s="560"/>
      <c r="P754" s="562">
        <f>IFERROR(__xludf.DUMMYFUNCTION("""COMPUTED_VALUE"""),85.0)</f>
        <v>85</v>
      </c>
      <c r="Q754" s="562">
        <f>IFERROR(__xludf.DUMMYFUNCTION("""COMPUTED_VALUE"""),0.0)</f>
        <v>0</v>
      </c>
      <c r="R754" s="562">
        <f>IFERROR(__xludf.DUMMYFUNCTION("""COMPUTED_VALUE"""),0.0)</f>
        <v>0</v>
      </c>
      <c r="S754" s="562"/>
      <c r="T754" s="217">
        <f>IFERROR(__xludf.DUMMYFUNCTION("""COMPUTED_VALUE"""),17.0)</f>
        <v>17</v>
      </c>
      <c r="U754" s="217">
        <f>IFERROR(__xludf.DUMMYFUNCTION("""COMPUTED_VALUE"""),21.0)</f>
        <v>21</v>
      </c>
      <c r="V754" s="217">
        <f>IFERROR(__xludf.DUMMYFUNCTION("""COMPUTED_VALUE"""),92.0)</f>
        <v>92</v>
      </c>
      <c r="W754" s="217">
        <f>IFERROR(__xludf.DUMMYFUNCTION("""COMPUTED_VALUE"""),78.0)</f>
        <v>78</v>
      </c>
      <c r="X754" s="217"/>
      <c r="Y754" s="217"/>
      <c r="Z754" s="217"/>
      <c r="AA754" s="481">
        <f>IFERROR(__xludf.DUMMYFUNCTION("""COMPUTED_VALUE"""),97.0)</f>
        <v>97</v>
      </c>
      <c r="AB754" s="481">
        <f>IFERROR(__xludf.DUMMYFUNCTION("""COMPUTED_VALUE"""),75.0)</f>
        <v>75</v>
      </c>
      <c r="AC754" s="481">
        <f>IFERROR(__xludf.DUMMYFUNCTION("""COMPUTED_VALUE"""),98.0)</f>
        <v>98</v>
      </c>
      <c r="AD754" s="481">
        <f>IFERROR(__xludf.DUMMYFUNCTION("""COMPUTED_VALUE"""),42.0)</f>
        <v>42</v>
      </c>
      <c r="AE754" s="481">
        <f>IFERROR(__xludf.DUMMYFUNCTION("""COMPUTED_VALUE"""),10.0)</f>
        <v>10</v>
      </c>
      <c r="AF754" s="481"/>
      <c r="AG754" s="481">
        <f>IFERROR(__xludf.DUMMYFUNCTION("""COMPUTED_VALUE"""),0.0)</f>
        <v>0</v>
      </c>
      <c r="AH754" s="481"/>
      <c r="AI754" s="158"/>
      <c r="AJ754" s="158"/>
      <c r="AK754" s="133">
        <f>IFERROR(__xludf.DUMMYFUNCTION("""COMPUTED_VALUE"""),2.0)</f>
        <v>2</v>
      </c>
      <c r="AL754" s="133">
        <f>IFERROR(__xludf.DUMMYFUNCTION("""COMPUTED_VALUE"""),0.0)</f>
        <v>0</v>
      </c>
      <c r="AM754" s="133">
        <f>IFERROR(__xludf.DUMMYFUNCTION("""COMPUTED_VALUE"""),3.0)</f>
        <v>3</v>
      </c>
      <c r="AN754" s="133" t="str">
        <f>IFERROR(__xludf.DUMMYFUNCTION("""COMPUTED_VALUE"""),"3")</f>
        <v>3</v>
      </c>
      <c r="AO754" s="133">
        <f>IFERROR(__xludf.DUMMYFUNCTION("""COMPUTED_VALUE"""),1.0)</f>
        <v>1</v>
      </c>
      <c r="AP754" s="155" t="s">
        <v>3715</v>
      </c>
    </row>
    <row r="755">
      <c r="A755" s="155">
        <f>IFERROR(__xludf.DUMMYFUNCTION("""COMPUTED_VALUE"""),17.0)</f>
        <v>17</v>
      </c>
      <c r="B755" s="155" t="str">
        <f>IFERROR(__xludf.DUMMYFUNCTION("""COMPUTED_VALUE"""),"anb23ainds@cmrit.ac.in")</f>
        <v>anb23ainds@cmrit.ac.in</v>
      </c>
      <c r="C755" s="174" t="str">
        <f>IFERROR(__xludf.DUMMYFUNCTION("""COMPUTED_VALUE"""),"ANSHU RAVINDRA")</f>
        <v>ANSHU RAVINDRA</v>
      </c>
      <c r="D755" s="155" t="str">
        <f>IFERROR(__xludf.DUMMYFUNCTION("""COMPUTED_VALUE"""),"1CR23AD017")</f>
        <v>1CR23AD017</v>
      </c>
      <c r="E755" s="563">
        <f>IFERROR(__xludf.DUMMYFUNCTION("""COMPUTED_VALUE"""),9.606729194E9)</f>
        <v>9606729194</v>
      </c>
      <c r="F755" s="155" t="str">
        <f>IFERROR(__xludf.DUMMYFUNCTION("""COMPUTED_VALUE"""),"AIDS")</f>
        <v>AIDS</v>
      </c>
      <c r="G755" s="158"/>
      <c r="H755" s="559">
        <f>IFERROR(__xludf.DUMMYFUNCTION("""COMPUTED_VALUE"""),73.0)</f>
        <v>73</v>
      </c>
      <c r="I755" s="559">
        <f>IFERROR(__xludf.DUMMYFUNCTION("""COMPUTED_VALUE"""),83.0)</f>
        <v>83</v>
      </c>
      <c r="J755" s="559">
        <f>IFERROR(__xludf.DUMMYFUNCTION("""COMPUTED_VALUE"""),70.0)</f>
        <v>70</v>
      </c>
      <c r="K755" s="559">
        <f>IFERROR(__xludf.DUMMYFUNCTION("""COMPUTED_VALUE"""),70.0)</f>
        <v>70</v>
      </c>
      <c r="L755" s="560">
        <f>IFERROR(__xludf.DUMMYFUNCTION("""COMPUTED_VALUE"""),50.0)</f>
        <v>50</v>
      </c>
      <c r="M755" s="561">
        <f>IFERROR(__xludf.DUMMYFUNCTION("""COMPUTED_VALUE"""),50.0)</f>
        <v>50</v>
      </c>
      <c r="N755" s="561">
        <f>IFERROR(__xludf.DUMMYFUNCTION("""COMPUTED_VALUE"""),59.0)</f>
        <v>59</v>
      </c>
      <c r="O755" s="560"/>
      <c r="P755" s="562">
        <f>IFERROR(__xludf.DUMMYFUNCTION("""COMPUTED_VALUE"""),84.0)</f>
        <v>84</v>
      </c>
      <c r="Q755" s="562">
        <f>IFERROR(__xludf.DUMMYFUNCTION("""COMPUTED_VALUE"""),65.0)</f>
        <v>65</v>
      </c>
      <c r="R755" s="562">
        <f>IFERROR(__xludf.DUMMYFUNCTION("""COMPUTED_VALUE"""),86.0)</f>
        <v>86</v>
      </c>
      <c r="S755" s="562"/>
      <c r="T755" s="217">
        <f>IFERROR(__xludf.DUMMYFUNCTION("""COMPUTED_VALUE"""),12.0)</f>
        <v>12</v>
      </c>
      <c r="U755" s="217">
        <f>IFERROR(__xludf.DUMMYFUNCTION("""COMPUTED_VALUE"""),23.0)</f>
        <v>23</v>
      </c>
      <c r="V755" s="217">
        <f>IFERROR(__xludf.DUMMYFUNCTION("""COMPUTED_VALUE"""),90.0)</f>
        <v>90</v>
      </c>
      <c r="W755" s="217">
        <f>IFERROR(__xludf.DUMMYFUNCTION("""COMPUTED_VALUE"""),76.0)</f>
        <v>76</v>
      </c>
      <c r="X755" s="217">
        <f>IFERROR(__xludf.DUMMYFUNCTION("""COMPUTED_VALUE"""),90.0)</f>
        <v>90</v>
      </c>
      <c r="Y755" s="217"/>
      <c r="Z755" s="217"/>
      <c r="AA755" s="481">
        <f>IFERROR(__xludf.DUMMYFUNCTION("""COMPUTED_VALUE"""),88.0)</f>
        <v>88</v>
      </c>
      <c r="AB755" s="481">
        <f>IFERROR(__xludf.DUMMYFUNCTION("""COMPUTED_VALUE"""),73.0)</f>
        <v>73</v>
      </c>
      <c r="AC755" s="481">
        <f>IFERROR(__xludf.DUMMYFUNCTION("""COMPUTED_VALUE"""),0.0)</f>
        <v>0</v>
      </c>
      <c r="AD755" s="481">
        <f>IFERROR(__xludf.DUMMYFUNCTION("""COMPUTED_VALUE"""),2.0)</f>
        <v>2</v>
      </c>
      <c r="AE755" s="481">
        <f>IFERROR(__xludf.DUMMYFUNCTION("""COMPUTED_VALUE"""),70.0)</f>
        <v>70</v>
      </c>
      <c r="AF755" s="481"/>
      <c r="AG755" s="481">
        <f>IFERROR(__xludf.DUMMYFUNCTION("""COMPUTED_VALUE"""),79.0)</f>
        <v>79</v>
      </c>
      <c r="AH755" s="481"/>
      <c r="AI755" s="158"/>
      <c r="AJ755" s="158"/>
      <c r="AK755" s="133">
        <f>IFERROR(__xludf.DUMMYFUNCTION("""COMPUTED_VALUE"""),4.0)</f>
        <v>4</v>
      </c>
      <c r="AL755" s="133">
        <f>IFERROR(__xludf.DUMMYFUNCTION("""COMPUTED_VALUE"""),3.0)</f>
        <v>3</v>
      </c>
      <c r="AM755" s="133">
        <f>IFERROR(__xludf.DUMMYFUNCTION("""COMPUTED_VALUE"""),3.0)</f>
        <v>3</v>
      </c>
      <c r="AN755" s="133" t="str">
        <f>IFERROR(__xludf.DUMMYFUNCTION("""COMPUTED_VALUE"""),"2")</f>
        <v>2</v>
      </c>
      <c r="AO755" s="133">
        <f>IFERROR(__xludf.DUMMYFUNCTION("""COMPUTED_VALUE"""),3.0)</f>
        <v>3</v>
      </c>
      <c r="AP755" s="155" t="s">
        <v>3715</v>
      </c>
    </row>
    <row r="756">
      <c r="A756" s="155">
        <f>IFERROR(__xludf.DUMMYFUNCTION("""COMPUTED_VALUE"""),18.0)</f>
        <v>18</v>
      </c>
      <c r="B756" s="155" t="str">
        <f>IFERROR(__xludf.DUMMYFUNCTION("""COMPUTED_VALUE"""),"arr23ainds@cmrit.ac.in")</f>
        <v>arr23ainds@cmrit.ac.in</v>
      </c>
      <c r="C756" s="174" t="str">
        <f>IFERROR(__xludf.DUMMYFUNCTION("""COMPUTED_VALUE"""),"Antariksh Ranjan")</f>
        <v>Antariksh Ranjan</v>
      </c>
      <c r="D756" s="155" t="str">
        <f>IFERROR(__xludf.DUMMYFUNCTION("""COMPUTED_VALUE"""),"1CR23AD018")</f>
        <v>1CR23AD018</v>
      </c>
      <c r="E756" s="563">
        <f>IFERROR(__xludf.DUMMYFUNCTION("""COMPUTED_VALUE"""),8.936027558E9)</f>
        <v>8936027558</v>
      </c>
      <c r="F756" s="155" t="str">
        <f>IFERROR(__xludf.DUMMYFUNCTION("""COMPUTED_VALUE"""),"AIDS")</f>
        <v>AIDS</v>
      </c>
      <c r="G756" s="158"/>
      <c r="H756" s="559">
        <f>IFERROR(__xludf.DUMMYFUNCTION("""COMPUTED_VALUE"""),72.0)</f>
        <v>72</v>
      </c>
      <c r="I756" s="559">
        <f>IFERROR(__xludf.DUMMYFUNCTION("""COMPUTED_VALUE"""),92.0)</f>
        <v>92</v>
      </c>
      <c r="J756" s="559">
        <f>IFERROR(__xludf.DUMMYFUNCTION("""COMPUTED_VALUE"""),64.0)</f>
        <v>64</v>
      </c>
      <c r="K756" s="559">
        <f>IFERROR(__xludf.DUMMYFUNCTION("""COMPUTED_VALUE"""),70.0)</f>
        <v>70</v>
      </c>
      <c r="L756" s="560">
        <f>IFERROR(__xludf.DUMMYFUNCTION("""COMPUTED_VALUE"""),50.0)</f>
        <v>50</v>
      </c>
      <c r="M756" s="561">
        <f>IFERROR(__xludf.DUMMYFUNCTION("""COMPUTED_VALUE"""),50.0)</f>
        <v>50</v>
      </c>
      <c r="N756" s="561">
        <f>IFERROR(__xludf.DUMMYFUNCTION("""COMPUTED_VALUE"""),50.0)</f>
        <v>50</v>
      </c>
      <c r="O756" s="560"/>
      <c r="P756" s="562">
        <f>IFERROR(__xludf.DUMMYFUNCTION("""COMPUTED_VALUE"""),90.0)</f>
        <v>90</v>
      </c>
      <c r="Q756" s="562">
        <f>IFERROR(__xludf.DUMMYFUNCTION("""COMPUTED_VALUE"""),50.0)</f>
        <v>50</v>
      </c>
      <c r="R756" s="562">
        <f>IFERROR(__xludf.DUMMYFUNCTION("""COMPUTED_VALUE"""),50.0)</f>
        <v>50</v>
      </c>
      <c r="S756" s="562"/>
      <c r="T756" s="217">
        <f>IFERROR(__xludf.DUMMYFUNCTION("""COMPUTED_VALUE"""),21.0)</f>
        <v>21</v>
      </c>
      <c r="U756" s="217">
        <f>IFERROR(__xludf.DUMMYFUNCTION("""COMPUTED_VALUE"""),19.0)</f>
        <v>19</v>
      </c>
      <c r="V756" s="217"/>
      <c r="W756" s="217">
        <f>IFERROR(__xludf.DUMMYFUNCTION("""COMPUTED_VALUE"""),86.0)</f>
        <v>86</v>
      </c>
      <c r="X756" s="217">
        <f>IFERROR(__xludf.DUMMYFUNCTION("""COMPUTED_VALUE"""),82.0)</f>
        <v>82</v>
      </c>
      <c r="Y756" s="217"/>
      <c r="Z756" s="217"/>
      <c r="AA756" s="481">
        <f>IFERROR(__xludf.DUMMYFUNCTION("""COMPUTED_VALUE"""),64.0)</f>
        <v>64</v>
      </c>
      <c r="AB756" s="481">
        <f>IFERROR(__xludf.DUMMYFUNCTION("""COMPUTED_VALUE"""),61.0)</f>
        <v>61</v>
      </c>
      <c r="AC756" s="481">
        <f>IFERROR(__xludf.DUMMYFUNCTION("""COMPUTED_VALUE"""),100.0)</f>
        <v>100</v>
      </c>
      <c r="AD756" s="481">
        <f>IFERROR(__xludf.DUMMYFUNCTION("""COMPUTED_VALUE"""),1.0)</f>
        <v>1</v>
      </c>
      <c r="AE756" s="481">
        <f>IFERROR(__xludf.DUMMYFUNCTION("""COMPUTED_VALUE"""),40.0)</f>
        <v>40</v>
      </c>
      <c r="AF756" s="481"/>
      <c r="AG756" s="481">
        <f>IFERROR(__xludf.DUMMYFUNCTION("""COMPUTED_VALUE"""),71.0)</f>
        <v>71</v>
      </c>
      <c r="AH756" s="481"/>
      <c r="AI756" s="158"/>
      <c r="AJ756" s="158"/>
      <c r="AK756" s="133">
        <f>IFERROR(__xludf.DUMMYFUNCTION("""COMPUTED_VALUE"""),2.0)</f>
        <v>2</v>
      </c>
      <c r="AL756" s="133">
        <f>IFERROR(__xludf.DUMMYFUNCTION("""COMPUTED_VALUE"""),3.0)</f>
        <v>3</v>
      </c>
      <c r="AM756" s="133">
        <f>IFERROR(__xludf.DUMMYFUNCTION("""COMPUTED_VALUE"""),3.0)</f>
        <v>3</v>
      </c>
      <c r="AN756" s="133" t="str">
        <f>IFERROR(__xludf.DUMMYFUNCTION("""COMPUTED_VALUE"""),"3")</f>
        <v>3</v>
      </c>
      <c r="AO756" s="133">
        <f>IFERROR(__xludf.DUMMYFUNCTION("""COMPUTED_VALUE"""),3.0)</f>
        <v>3</v>
      </c>
      <c r="AP756" s="155" t="s">
        <v>3715</v>
      </c>
    </row>
    <row r="757">
      <c r="A757" s="155">
        <f>IFERROR(__xludf.DUMMYFUNCTION("""COMPUTED_VALUE"""),19.0)</f>
        <v>19</v>
      </c>
      <c r="B757" s="155" t="str">
        <f>IFERROR(__xludf.DUMMYFUNCTION("""COMPUTED_VALUE"""),"anpr23ainds@cmrit.ac.in")</f>
        <v>anpr23ainds@cmrit.ac.in</v>
      </c>
      <c r="C757" s="174" t="str">
        <f>IFERROR(__xludf.DUMMYFUNCTION("""COMPUTED_VALUE"""),"ANUBHAB PRADHAN ")</f>
        <v>ANUBHAB PRADHAN </v>
      </c>
      <c r="D757" s="155" t="str">
        <f>IFERROR(__xludf.DUMMYFUNCTION("""COMPUTED_VALUE"""),"1CR23AD019")</f>
        <v>1CR23AD019</v>
      </c>
      <c r="E757" s="563">
        <f>IFERROR(__xludf.DUMMYFUNCTION("""COMPUTED_VALUE"""),6.362202547E9)</f>
        <v>6362202547</v>
      </c>
      <c r="F757" s="155" t="str">
        <f>IFERROR(__xludf.DUMMYFUNCTION("""COMPUTED_VALUE"""),"AIDS")</f>
        <v>AIDS</v>
      </c>
      <c r="G757" s="158"/>
      <c r="H757" s="559">
        <f>IFERROR(__xludf.DUMMYFUNCTION("""COMPUTED_VALUE"""),72.0)</f>
        <v>72</v>
      </c>
      <c r="I757" s="559">
        <f>IFERROR(__xludf.DUMMYFUNCTION("""COMPUTED_VALUE"""),78.0)</f>
        <v>78</v>
      </c>
      <c r="J757" s="559">
        <f>IFERROR(__xludf.DUMMYFUNCTION("""COMPUTED_VALUE"""),71.0)</f>
        <v>71</v>
      </c>
      <c r="K757" s="559">
        <f>IFERROR(__xludf.DUMMYFUNCTION("""COMPUTED_VALUE"""),70.0)</f>
        <v>70</v>
      </c>
      <c r="L757" s="560">
        <f>IFERROR(__xludf.DUMMYFUNCTION("""COMPUTED_VALUE"""),50.0)</f>
        <v>50</v>
      </c>
      <c r="M757" s="561">
        <f>IFERROR(__xludf.DUMMYFUNCTION("""COMPUTED_VALUE"""),50.0)</f>
        <v>50</v>
      </c>
      <c r="N757" s="561">
        <f>IFERROR(__xludf.DUMMYFUNCTION("""COMPUTED_VALUE"""),50.0)</f>
        <v>50</v>
      </c>
      <c r="O757" s="560"/>
      <c r="P757" s="562">
        <f>IFERROR(__xludf.DUMMYFUNCTION("""COMPUTED_VALUE"""),77.0)</f>
        <v>77</v>
      </c>
      <c r="Q757" s="562">
        <f>IFERROR(__xludf.DUMMYFUNCTION("""COMPUTED_VALUE"""),72.0)</f>
        <v>72</v>
      </c>
      <c r="R757" s="562">
        <f>IFERROR(__xludf.DUMMYFUNCTION("""COMPUTED_VALUE"""),0.0)</f>
        <v>0</v>
      </c>
      <c r="S757" s="562"/>
      <c r="T757" s="217">
        <f>IFERROR(__xludf.DUMMYFUNCTION("""COMPUTED_VALUE"""),10.0)</f>
        <v>10</v>
      </c>
      <c r="U757" s="217">
        <f>IFERROR(__xludf.DUMMYFUNCTION("""COMPUTED_VALUE"""),10.0)</f>
        <v>10</v>
      </c>
      <c r="V757" s="217">
        <f>IFERROR(__xludf.DUMMYFUNCTION("""COMPUTED_VALUE"""),88.0)</f>
        <v>88</v>
      </c>
      <c r="W757" s="217">
        <f>IFERROR(__xludf.DUMMYFUNCTION("""COMPUTED_VALUE"""),76.0)</f>
        <v>76</v>
      </c>
      <c r="X757" s="217">
        <f>IFERROR(__xludf.DUMMYFUNCTION("""COMPUTED_VALUE"""),84.0)</f>
        <v>84</v>
      </c>
      <c r="Y757" s="217"/>
      <c r="Z757" s="217"/>
      <c r="AA757" s="481">
        <f>IFERROR(__xludf.DUMMYFUNCTION("""COMPUTED_VALUE"""),68.0)</f>
        <v>68</v>
      </c>
      <c r="AB757" s="481">
        <f>IFERROR(__xludf.DUMMYFUNCTION("""COMPUTED_VALUE"""),67.0)</f>
        <v>67</v>
      </c>
      <c r="AC757" s="481">
        <f>IFERROR(__xludf.DUMMYFUNCTION("""COMPUTED_VALUE"""),80.0)</f>
        <v>80</v>
      </c>
      <c r="AD757" s="481">
        <f>IFERROR(__xludf.DUMMYFUNCTION("""COMPUTED_VALUE"""),1.0)</f>
        <v>1</v>
      </c>
      <c r="AE757" s="481">
        <f>IFERROR(__xludf.DUMMYFUNCTION("""COMPUTED_VALUE"""),80.0)</f>
        <v>80</v>
      </c>
      <c r="AF757" s="481"/>
      <c r="AG757" s="481">
        <f>IFERROR(__xludf.DUMMYFUNCTION("""COMPUTED_VALUE"""),71.0)</f>
        <v>71</v>
      </c>
      <c r="AH757" s="481"/>
      <c r="AI757" s="158"/>
      <c r="AJ757" s="158"/>
      <c r="AK757" s="133">
        <f>IFERROR(__xludf.DUMMYFUNCTION("""COMPUTED_VALUE"""),4.0)</f>
        <v>4</v>
      </c>
      <c r="AL757" s="133">
        <f>IFERROR(__xludf.DUMMYFUNCTION("""COMPUTED_VALUE"""),3.0)</f>
        <v>3</v>
      </c>
      <c r="AM757" s="133">
        <f>IFERROR(__xludf.DUMMYFUNCTION("""COMPUTED_VALUE"""),3.0)</f>
        <v>3</v>
      </c>
      <c r="AN757" s="133" t="str">
        <f>IFERROR(__xludf.DUMMYFUNCTION("""COMPUTED_VALUE"""),"3.5")</f>
        <v>3.5</v>
      </c>
      <c r="AO757" s="133">
        <f>IFERROR(__xludf.DUMMYFUNCTION("""COMPUTED_VALUE"""),2.0)</f>
        <v>2</v>
      </c>
      <c r="AP757" s="155" t="s">
        <v>3715</v>
      </c>
    </row>
    <row r="758">
      <c r="A758" s="155">
        <f>IFERROR(__xludf.DUMMYFUNCTION("""COMPUTED_VALUE"""),20.0)</f>
        <v>20</v>
      </c>
      <c r="B758" s="155" t="str">
        <f>IFERROR(__xludf.DUMMYFUNCTION("""COMPUTED_VALUE"""),"apth23ainds@cmrit.ac.in")</f>
        <v>apth23ainds@cmrit.ac.in</v>
      </c>
      <c r="C758" s="174" t="str">
        <f>IFERROR(__xludf.DUMMYFUNCTION("""COMPUTED_VALUE"""),"APOORVA THOLPADY")</f>
        <v>APOORVA THOLPADY</v>
      </c>
      <c r="D758" s="155" t="str">
        <f>IFERROR(__xludf.DUMMYFUNCTION("""COMPUTED_VALUE"""),"1CR23AD020")</f>
        <v>1CR23AD020</v>
      </c>
      <c r="E758" s="563">
        <f>IFERROR(__xludf.DUMMYFUNCTION("""COMPUTED_VALUE"""),7.02228645E9)</f>
        <v>7022286450</v>
      </c>
      <c r="F758" s="155" t="str">
        <f>IFERROR(__xludf.DUMMYFUNCTION("""COMPUTED_VALUE"""),"AIDS")</f>
        <v>AIDS</v>
      </c>
      <c r="G758" s="158"/>
      <c r="H758" s="559">
        <f>IFERROR(__xludf.DUMMYFUNCTION("""COMPUTED_VALUE"""),82.0)</f>
        <v>82</v>
      </c>
      <c r="I758" s="559">
        <f>IFERROR(__xludf.DUMMYFUNCTION("""COMPUTED_VALUE"""),95.0)</f>
        <v>95</v>
      </c>
      <c r="J758" s="559">
        <f>IFERROR(__xludf.DUMMYFUNCTION("""COMPUTED_VALUE"""),77.0)</f>
        <v>77</v>
      </c>
      <c r="K758" s="559">
        <f>IFERROR(__xludf.DUMMYFUNCTION("""COMPUTED_VALUE"""),82.0)</f>
        <v>82</v>
      </c>
      <c r="L758" s="560">
        <f>IFERROR(__xludf.DUMMYFUNCTION("""COMPUTED_VALUE"""),50.0)</f>
        <v>50</v>
      </c>
      <c r="M758" s="561">
        <f>IFERROR(__xludf.DUMMYFUNCTION("""COMPUTED_VALUE"""),50.0)</f>
        <v>50</v>
      </c>
      <c r="N758" s="561">
        <f>IFERROR(__xludf.DUMMYFUNCTION("""COMPUTED_VALUE"""),50.0)</f>
        <v>50</v>
      </c>
      <c r="O758" s="560"/>
      <c r="P758" s="562">
        <f>IFERROR(__xludf.DUMMYFUNCTION("""COMPUTED_VALUE"""),77.0)</f>
        <v>77</v>
      </c>
      <c r="Q758" s="562">
        <f>IFERROR(__xludf.DUMMYFUNCTION("""COMPUTED_VALUE"""),72.0)</f>
        <v>72</v>
      </c>
      <c r="R758" s="562">
        <f>IFERROR(__xludf.DUMMYFUNCTION("""COMPUTED_VALUE"""),91.0)</f>
        <v>91</v>
      </c>
      <c r="S758" s="562"/>
      <c r="T758" s="217">
        <f>IFERROR(__xludf.DUMMYFUNCTION("""COMPUTED_VALUE"""),13.0)</f>
        <v>13</v>
      </c>
      <c r="U758" s="217">
        <f>IFERROR(__xludf.DUMMYFUNCTION("""COMPUTED_VALUE"""),18.0)</f>
        <v>18</v>
      </c>
      <c r="V758" s="217">
        <f>IFERROR(__xludf.DUMMYFUNCTION("""COMPUTED_VALUE"""),78.0)</f>
        <v>78</v>
      </c>
      <c r="W758" s="217">
        <f>IFERROR(__xludf.DUMMYFUNCTION("""COMPUTED_VALUE"""),78.0)</f>
        <v>78</v>
      </c>
      <c r="X758" s="217">
        <f>IFERROR(__xludf.DUMMYFUNCTION("""COMPUTED_VALUE"""),86.0)</f>
        <v>86</v>
      </c>
      <c r="Y758" s="217"/>
      <c r="Z758" s="217"/>
      <c r="AA758" s="481">
        <f>IFERROR(__xludf.DUMMYFUNCTION("""COMPUTED_VALUE"""),0.0)</f>
        <v>0</v>
      </c>
      <c r="AB758" s="481">
        <f>IFERROR(__xludf.DUMMYFUNCTION("""COMPUTED_VALUE"""),72.0)</f>
        <v>72</v>
      </c>
      <c r="AC758" s="481">
        <f>IFERROR(__xludf.DUMMYFUNCTION("""COMPUTED_VALUE"""),5.0)</f>
        <v>5</v>
      </c>
      <c r="AD758" s="481">
        <f>IFERROR(__xludf.DUMMYFUNCTION("""COMPUTED_VALUE"""),62.0)</f>
        <v>62</v>
      </c>
      <c r="AE758" s="481">
        <f>IFERROR(__xludf.DUMMYFUNCTION("""COMPUTED_VALUE"""),72.0)</f>
        <v>72</v>
      </c>
      <c r="AF758" s="481"/>
      <c r="AG758" s="481">
        <f>IFERROR(__xludf.DUMMYFUNCTION("""COMPUTED_VALUE"""),86.0)</f>
        <v>86</v>
      </c>
      <c r="AH758" s="481"/>
      <c r="AI758" s="158"/>
      <c r="AJ758" s="158"/>
      <c r="AK758" s="133">
        <f>IFERROR(__xludf.DUMMYFUNCTION("""COMPUTED_VALUE"""),4.0)</f>
        <v>4</v>
      </c>
      <c r="AL758" s="133">
        <f>IFERROR(__xludf.DUMMYFUNCTION("""COMPUTED_VALUE"""),3.0)</f>
        <v>3</v>
      </c>
      <c r="AM758" s="133">
        <f>IFERROR(__xludf.DUMMYFUNCTION("""COMPUTED_VALUE"""),3.0)</f>
        <v>3</v>
      </c>
      <c r="AN758" s="133" t="str">
        <f>IFERROR(__xludf.DUMMYFUNCTION("""COMPUTED_VALUE"""),"3.5")</f>
        <v>3.5</v>
      </c>
      <c r="AO758" s="133">
        <f>IFERROR(__xludf.DUMMYFUNCTION("""COMPUTED_VALUE"""),3.0)</f>
        <v>3</v>
      </c>
      <c r="AP758" s="155" t="s">
        <v>3715</v>
      </c>
    </row>
    <row r="759">
      <c r="A759" s="155">
        <f>IFERROR(__xludf.DUMMYFUNCTION("""COMPUTED_VALUE"""),21.0)</f>
        <v>21</v>
      </c>
      <c r="B759" s="155" t="str">
        <f>IFERROR(__xludf.DUMMYFUNCTION("""COMPUTED_VALUE"""),"baar23ainds@cmrit.ac.in")</f>
        <v>baar23ainds@cmrit.ac.in</v>
      </c>
      <c r="C759" s="174" t="str">
        <f>IFERROR(__xludf.DUMMYFUNCTION("""COMPUTED_VALUE"""),"ARANYA BANDHU")</f>
        <v>ARANYA BANDHU</v>
      </c>
      <c r="D759" s="155" t="str">
        <f>IFERROR(__xludf.DUMMYFUNCTION("""COMPUTED_VALUE"""),"1CR23AD021")</f>
        <v>1CR23AD021</v>
      </c>
      <c r="E759" s="563">
        <f>IFERROR(__xludf.DUMMYFUNCTION("""COMPUTED_VALUE"""),7.708595207E9)</f>
        <v>7708595207</v>
      </c>
      <c r="F759" s="155" t="str">
        <f>IFERROR(__xludf.DUMMYFUNCTION("""COMPUTED_VALUE"""),"AIDS")</f>
        <v>AIDS</v>
      </c>
      <c r="G759" s="158"/>
      <c r="H759" s="559">
        <f>IFERROR(__xludf.DUMMYFUNCTION("""COMPUTED_VALUE"""),74.0)</f>
        <v>74</v>
      </c>
      <c r="I759" s="559">
        <f>IFERROR(__xludf.DUMMYFUNCTION("""COMPUTED_VALUE"""),79.0)</f>
        <v>79</v>
      </c>
      <c r="J759" s="559">
        <f>IFERROR(__xludf.DUMMYFUNCTION("""COMPUTED_VALUE"""),50.0)</f>
        <v>50</v>
      </c>
      <c r="K759" s="559">
        <f>IFERROR(__xludf.DUMMYFUNCTION("""COMPUTED_VALUE"""),4.0)</f>
        <v>4</v>
      </c>
      <c r="L759" s="560">
        <f>IFERROR(__xludf.DUMMYFUNCTION("""COMPUTED_VALUE"""),39.0)</f>
        <v>39</v>
      </c>
      <c r="M759" s="561">
        <f>IFERROR(__xludf.DUMMYFUNCTION("""COMPUTED_VALUE"""),0.0)</f>
        <v>0</v>
      </c>
      <c r="N759" s="561">
        <f>IFERROR(__xludf.DUMMYFUNCTION("""COMPUTED_VALUE"""),0.0)</f>
        <v>0</v>
      </c>
      <c r="O759" s="560"/>
      <c r="P759" s="562">
        <f>IFERROR(__xludf.DUMMYFUNCTION("""COMPUTED_VALUE"""),80.0)</f>
        <v>80</v>
      </c>
      <c r="Q759" s="562">
        <f>IFERROR(__xludf.DUMMYFUNCTION("""COMPUTED_VALUE"""),0.0)</f>
        <v>0</v>
      </c>
      <c r="R759" s="562">
        <f>IFERROR(__xludf.DUMMYFUNCTION("""COMPUTED_VALUE"""),0.0)</f>
        <v>0</v>
      </c>
      <c r="S759" s="562"/>
      <c r="T759" s="217">
        <f>IFERROR(__xludf.DUMMYFUNCTION("""COMPUTED_VALUE"""),22.0)</f>
        <v>22</v>
      </c>
      <c r="U759" s="217"/>
      <c r="V759" s="217">
        <f>IFERROR(__xludf.DUMMYFUNCTION("""COMPUTED_VALUE"""),92.0)</f>
        <v>92</v>
      </c>
      <c r="W759" s="217">
        <f>IFERROR(__xludf.DUMMYFUNCTION("""COMPUTED_VALUE"""),74.0)</f>
        <v>74</v>
      </c>
      <c r="X759" s="217"/>
      <c r="Y759" s="217"/>
      <c r="Z759" s="217"/>
      <c r="AA759" s="481">
        <f>IFERROR(__xludf.DUMMYFUNCTION("""COMPUTED_VALUE"""),8.0)</f>
        <v>8</v>
      </c>
      <c r="AB759" s="481">
        <f>IFERROR(__xludf.DUMMYFUNCTION("""COMPUTED_VALUE"""),67.0)</f>
        <v>67</v>
      </c>
      <c r="AC759" s="481">
        <f>IFERROR(__xludf.DUMMYFUNCTION("""COMPUTED_VALUE"""),0.0)</f>
        <v>0</v>
      </c>
      <c r="AD759" s="481">
        <f>IFERROR(__xludf.DUMMYFUNCTION("""COMPUTED_VALUE"""),0.0)</f>
        <v>0</v>
      </c>
      <c r="AE759" s="481">
        <f>IFERROR(__xludf.DUMMYFUNCTION("""COMPUTED_VALUE"""),10.0)</f>
        <v>10</v>
      </c>
      <c r="AF759" s="481"/>
      <c r="AG759" s="481">
        <f>IFERROR(__xludf.DUMMYFUNCTION("""COMPUTED_VALUE"""),10.0)</f>
        <v>10</v>
      </c>
      <c r="AH759" s="481"/>
      <c r="AI759" s="158"/>
      <c r="AJ759" s="158"/>
      <c r="AK759" s="133">
        <f>IFERROR(__xludf.DUMMYFUNCTION("""COMPUTED_VALUE"""),2.0)</f>
        <v>2</v>
      </c>
      <c r="AL759" s="133">
        <f>IFERROR(__xludf.DUMMYFUNCTION("""COMPUTED_VALUE"""),0.0)</f>
        <v>0</v>
      </c>
      <c r="AM759" s="133">
        <f>IFERROR(__xludf.DUMMYFUNCTION("""COMPUTED_VALUE"""),3.0)</f>
        <v>3</v>
      </c>
      <c r="AN759" s="133" t="str">
        <f>IFERROR(__xludf.DUMMYFUNCTION("""COMPUTED_VALUE"""),"2")</f>
        <v>2</v>
      </c>
      <c r="AO759" s="133">
        <f>IFERROR(__xludf.DUMMYFUNCTION("""COMPUTED_VALUE"""),1.0)</f>
        <v>1</v>
      </c>
      <c r="AP759" s="155" t="s">
        <v>3715</v>
      </c>
    </row>
    <row r="760">
      <c r="A760" s="155">
        <f>IFERROR(__xludf.DUMMYFUNCTION("""COMPUTED_VALUE"""),22.0)</f>
        <v>22</v>
      </c>
      <c r="B760" s="155" t="str">
        <f>IFERROR(__xludf.DUMMYFUNCTION("""COMPUTED_VALUE"""),"araa23ainds@cmrit.ac.in")</f>
        <v>araa23ainds@cmrit.ac.in</v>
      </c>
      <c r="C760" s="174" t="str">
        <f>IFERROR(__xludf.DUMMYFUNCTION("""COMPUTED_VALUE"""),"ARAVIND A")</f>
        <v>ARAVIND A</v>
      </c>
      <c r="D760" s="155" t="str">
        <f>IFERROR(__xludf.DUMMYFUNCTION("""COMPUTED_VALUE"""),"1CR23AD022")</f>
        <v>1CR23AD022</v>
      </c>
      <c r="E760" s="563">
        <f>IFERROR(__xludf.DUMMYFUNCTION("""COMPUTED_VALUE"""),7.019670381E9)</f>
        <v>7019670381</v>
      </c>
      <c r="F760" s="155" t="str">
        <f>IFERROR(__xludf.DUMMYFUNCTION("""COMPUTED_VALUE"""),"AIDS")</f>
        <v>AIDS</v>
      </c>
      <c r="G760" s="158"/>
      <c r="H760" s="559">
        <f>IFERROR(__xludf.DUMMYFUNCTION("""COMPUTED_VALUE"""),76.0)</f>
        <v>76</v>
      </c>
      <c r="I760" s="559">
        <f>IFERROR(__xludf.DUMMYFUNCTION("""COMPUTED_VALUE"""),75.0)</f>
        <v>75</v>
      </c>
      <c r="J760" s="559">
        <f>IFERROR(__xludf.DUMMYFUNCTION("""COMPUTED_VALUE"""),29.0)</f>
        <v>29</v>
      </c>
      <c r="K760" s="559">
        <f>IFERROR(__xludf.DUMMYFUNCTION("""COMPUTED_VALUE"""),2.0)</f>
        <v>2</v>
      </c>
      <c r="L760" s="560">
        <f>IFERROR(__xludf.DUMMYFUNCTION("""COMPUTED_VALUE"""),33.0)</f>
        <v>33</v>
      </c>
      <c r="M760" s="561">
        <f>IFERROR(__xludf.DUMMYFUNCTION("""COMPUTED_VALUE"""),0.0)</f>
        <v>0</v>
      </c>
      <c r="N760" s="561">
        <f>IFERROR(__xludf.DUMMYFUNCTION("""COMPUTED_VALUE"""),0.0)</f>
        <v>0</v>
      </c>
      <c r="O760" s="560"/>
      <c r="P760" s="562">
        <f>IFERROR(__xludf.DUMMYFUNCTION("""COMPUTED_VALUE"""),77.0)</f>
        <v>77</v>
      </c>
      <c r="Q760" s="562">
        <f>IFERROR(__xludf.DUMMYFUNCTION("""COMPUTED_VALUE"""),65.0)</f>
        <v>65</v>
      </c>
      <c r="R760" s="562">
        <f>IFERROR(__xludf.DUMMYFUNCTION("""COMPUTED_VALUE"""),0.0)</f>
        <v>0</v>
      </c>
      <c r="S760" s="562"/>
      <c r="T760" s="217"/>
      <c r="U760" s="217">
        <f>IFERROR(__xludf.DUMMYFUNCTION("""COMPUTED_VALUE"""),23.0)</f>
        <v>23</v>
      </c>
      <c r="V760" s="217">
        <f>IFERROR(__xludf.DUMMYFUNCTION("""COMPUTED_VALUE"""),0.0)</f>
        <v>0</v>
      </c>
      <c r="W760" s="217"/>
      <c r="X760" s="217">
        <f>IFERROR(__xludf.DUMMYFUNCTION("""COMPUTED_VALUE"""),82.0)</f>
        <v>82</v>
      </c>
      <c r="Y760" s="217"/>
      <c r="Z760" s="217"/>
      <c r="AA760" s="481">
        <f>IFERROR(__xludf.DUMMYFUNCTION("""COMPUTED_VALUE"""),0.0)</f>
        <v>0</v>
      </c>
      <c r="AB760" s="481">
        <f>IFERROR(__xludf.DUMMYFUNCTION("""COMPUTED_VALUE"""),47.0)</f>
        <v>47</v>
      </c>
      <c r="AC760" s="481">
        <f>IFERROR(__xludf.DUMMYFUNCTION("""COMPUTED_VALUE"""),0.0)</f>
        <v>0</v>
      </c>
      <c r="AD760" s="481">
        <f>IFERROR(__xludf.DUMMYFUNCTION("""COMPUTED_VALUE"""),0.0)</f>
        <v>0</v>
      </c>
      <c r="AE760" s="481">
        <f>IFERROR(__xludf.DUMMYFUNCTION("""COMPUTED_VALUE"""),10.0)</f>
        <v>10</v>
      </c>
      <c r="AF760" s="481"/>
      <c r="AG760" s="481">
        <f>IFERROR(__xludf.DUMMYFUNCTION("""COMPUTED_VALUE"""),10.0)</f>
        <v>10</v>
      </c>
      <c r="AH760" s="481"/>
      <c r="AI760" s="158"/>
      <c r="AJ760" s="158"/>
      <c r="AK760" s="133">
        <f>IFERROR(__xludf.DUMMYFUNCTION("""COMPUTED_VALUE"""),2.0)</f>
        <v>2</v>
      </c>
      <c r="AL760" s="133">
        <f>IFERROR(__xludf.DUMMYFUNCTION("""COMPUTED_VALUE"""),0.0)</f>
        <v>0</v>
      </c>
      <c r="AM760" s="133">
        <f>IFERROR(__xludf.DUMMYFUNCTION("""COMPUTED_VALUE"""),3.0)</f>
        <v>3</v>
      </c>
      <c r="AN760" s="133" t="str">
        <f>IFERROR(__xludf.DUMMYFUNCTION("""COMPUTED_VALUE"""),"0")</f>
        <v>0</v>
      </c>
      <c r="AO760" s="133">
        <f>IFERROR(__xludf.DUMMYFUNCTION("""COMPUTED_VALUE"""),2.0)</f>
        <v>2</v>
      </c>
      <c r="AP760" s="155" t="s">
        <v>3715</v>
      </c>
    </row>
    <row r="761">
      <c r="A761" s="155">
        <f>IFERROR(__xludf.DUMMYFUNCTION("""COMPUTED_VALUE"""),23.0)</f>
        <v>23</v>
      </c>
      <c r="B761" s="155" t="str">
        <f>IFERROR(__xludf.DUMMYFUNCTION("""COMPUTED_VALUE"""),"arsu23ainds@cmrit.ac.in")</f>
        <v>arsu23ainds@cmrit.ac.in</v>
      </c>
      <c r="C761" s="174" t="str">
        <f>IFERROR(__xludf.DUMMYFUNCTION("""COMPUTED_VALUE"""),"Arshiya sultana")</f>
        <v>Arshiya sultana</v>
      </c>
      <c r="D761" s="155" t="str">
        <f>IFERROR(__xludf.DUMMYFUNCTION("""COMPUTED_VALUE"""),"1CR23AD023")</f>
        <v>1CR23AD023</v>
      </c>
      <c r="E761" s="563">
        <f>IFERROR(__xludf.DUMMYFUNCTION("""COMPUTED_VALUE"""),8.453349626E9)</f>
        <v>8453349626</v>
      </c>
      <c r="F761" s="155" t="str">
        <f>IFERROR(__xludf.DUMMYFUNCTION("""COMPUTED_VALUE"""),"AIDS")</f>
        <v>AIDS</v>
      </c>
      <c r="G761" s="158"/>
      <c r="H761" s="559">
        <f>IFERROR(__xludf.DUMMYFUNCTION("""COMPUTED_VALUE"""),70.0)</f>
        <v>70</v>
      </c>
      <c r="I761" s="559">
        <f>IFERROR(__xludf.DUMMYFUNCTION("""COMPUTED_VALUE"""),82.0)</f>
        <v>82</v>
      </c>
      <c r="J761" s="559">
        <f>IFERROR(__xludf.DUMMYFUNCTION("""COMPUTED_VALUE"""),70.0)</f>
        <v>70</v>
      </c>
      <c r="K761" s="559">
        <f>IFERROR(__xludf.DUMMYFUNCTION("""COMPUTED_VALUE"""),70.0)</f>
        <v>70</v>
      </c>
      <c r="L761" s="560">
        <f>IFERROR(__xludf.DUMMYFUNCTION("""COMPUTED_VALUE"""),50.0)</f>
        <v>50</v>
      </c>
      <c r="M761" s="561">
        <f>IFERROR(__xludf.DUMMYFUNCTION("""COMPUTED_VALUE"""),17.0)</f>
        <v>17</v>
      </c>
      <c r="N761" s="561">
        <f>IFERROR(__xludf.DUMMYFUNCTION("""COMPUTED_VALUE"""),57.0)</f>
        <v>57</v>
      </c>
      <c r="O761" s="560"/>
      <c r="P761" s="562">
        <f>IFERROR(__xludf.DUMMYFUNCTION("""COMPUTED_VALUE"""),50.0)</f>
        <v>50</v>
      </c>
      <c r="Q761" s="562">
        <f>IFERROR(__xludf.DUMMYFUNCTION("""COMPUTED_VALUE"""),81.0)</f>
        <v>81</v>
      </c>
      <c r="R761" s="562">
        <f>IFERROR(__xludf.DUMMYFUNCTION("""COMPUTED_VALUE"""),92.0)</f>
        <v>92</v>
      </c>
      <c r="S761" s="562"/>
      <c r="T761" s="217">
        <f>IFERROR(__xludf.DUMMYFUNCTION("""COMPUTED_VALUE"""),10.0)</f>
        <v>10</v>
      </c>
      <c r="U761" s="217">
        <f>IFERROR(__xludf.DUMMYFUNCTION("""COMPUTED_VALUE"""),24.0)</f>
        <v>24</v>
      </c>
      <c r="V761" s="217">
        <f>IFERROR(__xludf.DUMMYFUNCTION("""COMPUTED_VALUE"""),80.0)</f>
        <v>80</v>
      </c>
      <c r="W761" s="217">
        <f>IFERROR(__xludf.DUMMYFUNCTION("""COMPUTED_VALUE"""),86.0)</f>
        <v>86</v>
      </c>
      <c r="X761" s="217">
        <f>IFERROR(__xludf.DUMMYFUNCTION("""COMPUTED_VALUE"""),86.0)</f>
        <v>86</v>
      </c>
      <c r="Y761" s="217"/>
      <c r="Z761" s="217"/>
      <c r="AA761" s="481">
        <f>IFERROR(__xludf.DUMMYFUNCTION("""COMPUTED_VALUE"""),6.0)</f>
        <v>6</v>
      </c>
      <c r="AB761" s="481">
        <f>IFERROR(__xludf.DUMMYFUNCTION("""COMPUTED_VALUE"""),61.0)</f>
        <v>61</v>
      </c>
      <c r="AC761" s="481">
        <f>IFERROR(__xludf.DUMMYFUNCTION("""COMPUTED_VALUE"""),70.0)</f>
        <v>70</v>
      </c>
      <c r="AD761" s="481">
        <f>IFERROR(__xludf.DUMMYFUNCTION("""COMPUTED_VALUE"""),2.0)</f>
        <v>2</v>
      </c>
      <c r="AE761" s="481">
        <f>IFERROR(__xludf.DUMMYFUNCTION("""COMPUTED_VALUE"""),25.0)</f>
        <v>25</v>
      </c>
      <c r="AF761" s="481"/>
      <c r="AG761" s="481">
        <f>IFERROR(__xludf.DUMMYFUNCTION("""COMPUTED_VALUE"""),86.0)</f>
        <v>86</v>
      </c>
      <c r="AH761" s="481"/>
      <c r="AI761" s="158"/>
      <c r="AJ761" s="158"/>
      <c r="AK761" s="133">
        <f>IFERROR(__xludf.DUMMYFUNCTION("""COMPUTED_VALUE"""),4.0)</f>
        <v>4</v>
      </c>
      <c r="AL761" s="133">
        <f>IFERROR(__xludf.DUMMYFUNCTION("""COMPUTED_VALUE"""),1.0)</f>
        <v>1</v>
      </c>
      <c r="AM761" s="133">
        <f>IFERROR(__xludf.DUMMYFUNCTION("""COMPUTED_VALUE"""),3.0)</f>
        <v>3</v>
      </c>
      <c r="AN761" s="133" t="str">
        <f>IFERROR(__xludf.DUMMYFUNCTION("""COMPUTED_VALUE"""),"3")</f>
        <v>3</v>
      </c>
      <c r="AO761" s="133">
        <f>IFERROR(__xludf.DUMMYFUNCTION("""COMPUTED_VALUE"""),3.0)</f>
        <v>3</v>
      </c>
      <c r="AP761" s="155" t="s">
        <v>3715</v>
      </c>
    </row>
    <row r="762">
      <c r="A762" s="155">
        <f>IFERROR(__xludf.DUMMYFUNCTION("""COMPUTED_VALUE"""),24.0)</f>
        <v>24</v>
      </c>
      <c r="B762" s="155" t="str">
        <f>IFERROR(__xludf.DUMMYFUNCTION("""COMPUTED_VALUE"""),"arka23ainds@cmrit.ac.in")</f>
        <v>arka23ainds@cmrit.ac.in</v>
      </c>
      <c r="C762" s="174" t="str">
        <f>IFERROR(__xludf.DUMMYFUNCTION("""COMPUTED_VALUE"""),"ARYAN KATHYANIAN")</f>
        <v>ARYAN KATHYANIAN</v>
      </c>
      <c r="D762" s="155" t="str">
        <f>IFERROR(__xludf.DUMMYFUNCTION("""COMPUTED_VALUE"""),"1CR23AD024")</f>
        <v>1CR23AD024</v>
      </c>
      <c r="E762" s="563">
        <f>IFERROR(__xludf.DUMMYFUNCTION("""COMPUTED_VALUE"""),6.230405607E9)</f>
        <v>6230405607</v>
      </c>
      <c r="F762" s="155" t="str">
        <f>IFERROR(__xludf.DUMMYFUNCTION("""COMPUTED_VALUE"""),"AIDS")</f>
        <v>AIDS</v>
      </c>
      <c r="G762" s="158"/>
      <c r="H762" s="559">
        <f>IFERROR(__xludf.DUMMYFUNCTION("""COMPUTED_VALUE"""),76.0)</f>
        <v>76</v>
      </c>
      <c r="I762" s="559">
        <f>IFERROR(__xludf.DUMMYFUNCTION("""COMPUTED_VALUE"""),88.0)</f>
        <v>88</v>
      </c>
      <c r="J762" s="559">
        <f>IFERROR(__xludf.DUMMYFUNCTION("""COMPUTED_VALUE"""),77.0)</f>
        <v>77</v>
      </c>
      <c r="K762" s="559">
        <f>IFERROR(__xludf.DUMMYFUNCTION("""COMPUTED_VALUE"""),71.0)</f>
        <v>71</v>
      </c>
      <c r="L762" s="560">
        <f>IFERROR(__xludf.DUMMYFUNCTION("""COMPUTED_VALUE"""),50.0)</f>
        <v>50</v>
      </c>
      <c r="M762" s="561">
        <f>IFERROR(__xludf.DUMMYFUNCTION("""COMPUTED_VALUE"""),43.0)</f>
        <v>43</v>
      </c>
      <c r="N762" s="561">
        <f>IFERROR(__xludf.DUMMYFUNCTION("""COMPUTED_VALUE"""),51.0)</f>
        <v>51</v>
      </c>
      <c r="O762" s="560"/>
      <c r="P762" s="562">
        <f>IFERROR(__xludf.DUMMYFUNCTION("""COMPUTED_VALUE"""),87.0)</f>
        <v>87</v>
      </c>
      <c r="Q762" s="562">
        <f>IFERROR(__xludf.DUMMYFUNCTION("""COMPUTED_VALUE"""),60.0)</f>
        <v>60</v>
      </c>
      <c r="R762" s="562">
        <f>IFERROR(__xludf.DUMMYFUNCTION("""COMPUTED_VALUE"""),92.0)</f>
        <v>92</v>
      </c>
      <c r="S762" s="562"/>
      <c r="T762" s="217">
        <f>IFERROR(__xludf.DUMMYFUNCTION("""COMPUTED_VALUE"""),21.0)</f>
        <v>21</v>
      </c>
      <c r="U762" s="217">
        <f>IFERROR(__xludf.DUMMYFUNCTION("""COMPUTED_VALUE"""),21.0)</f>
        <v>21</v>
      </c>
      <c r="V762" s="217">
        <f>IFERROR(__xludf.DUMMYFUNCTION("""COMPUTED_VALUE"""),86.0)</f>
        <v>86</v>
      </c>
      <c r="W762" s="217">
        <f>IFERROR(__xludf.DUMMYFUNCTION("""COMPUTED_VALUE"""),70.0)</f>
        <v>70</v>
      </c>
      <c r="X762" s="217">
        <f>IFERROR(__xludf.DUMMYFUNCTION("""COMPUTED_VALUE"""),80.0)</f>
        <v>80</v>
      </c>
      <c r="Y762" s="217"/>
      <c r="Z762" s="217"/>
      <c r="AA762" s="481">
        <f>IFERROR(__xludf.DUMMYFUNCTION("""COMPUTED_VALUE"""),84.0)</f>
        <v>84</v>
      </c>
      <c r="AB762" s="481">
        <f>IFERROR(__xludf.DUMMYFUNCTION("""COMPUTED_VALUE"""),74.0)</f>
        <v>74</v>
      </c>
      <c r="AC762" s="481">
        <f>IFERROR(__xludf.DUMMYFUNCTION("""COMPUTED_VALUE"""),87.0)</f>
        <v>87</v>
      </c>
      <c r="AD762" s="481">
        <f>IFERROR(__xludf.DUMMYFUNCTION("""COMPUTED_VALUE"""),80.0)</f>
        <v>80</v>
      </c>
      <c r="AE762" s="481">
        <f>IFERROR(__xludf.DUMMYFUNCTION("""COMPUTED_VALUE"""),70.0)</f>
        <v>70</v>
      </c>
      <c r="AF762" s="481"/>
      <c r="AG762" s="481">
        <f>IFERROR(__xludf.DUMMYFUNCTION("""COMPUTED_VALUE"""),74.0)</f>
        <v>74</v>
      </c>
      <c r="AH762" s="481"/>
      <c r="AI762" s="158"/>
      <c r="AJ762" s="158"/>
      <c r="AK762" s="133">
        <f>IFERROR(__xludf.DUMMYFUNCTION("""COMPUTED_VALUE"""),4.0)</f>
        <v>4</v>
      </c>
      <c r="AL762" s="133">
        <f>IFERROR(__xludf.DUMMYFUNCTION("""COMPUTED_VALUE"""),1.0)</f>
        <v>1</v>
      </c>
      <c r="AM762" s="133">
        <f>IFERROR(__xludf.DUMMYFUNCTION("""COMPUTED_VALUE"""),3.0)</f>
        <v>3</v>
      </c>
      <c r="AN762" s="133" t="str">
        <f>IFERROR(__xludf.DUMMYFUNCTION("""COMPUTED_VALUE"""),"3.5")</f>
        <v>3.5</v>
      </c>
      <c r="AO762" s="133">
        <f>IFERROR(__xludf.DUMMYFUNCTION("""COMPUTED_VALUE"""),3.0)</f>
        <v>3</v>
      </c>
      <c r="AP762" s="155" t="s">
        <v>3715</v>
      </c>
    </row>
    <row r="763">
      <c r="A763" s="155">
        <f>IFERROR(__xludf.DUMMYFUNCTION("""COMPUTED_VALUE"""),25.0)</f>
        <v>25</v>
      </c>
      <c r="B763" s="155" t="str">
        <f>IFERROR(__xludf.DUMMYFUNCTION("""COMPUTED_VALUE"""),"arvs23ainds@cmrit.ac.in")</f>
        <v>arvs23ainds@cmrit.ac.in</v>
      </c>
      <c r="C763" s="174" t="str">
        <f>IFERROR(__xludf.DUMMYFUNCTION("""COMPUTED_VALUE"""),"ARYAN V SHETTY ")</f>
        <v>ARYAN V SHETTY </v>
      </c>
      <c r="D763" s="155" t="str">
        <f>IFERROR(__xludf.DUMMYFUNCTION("""COMPUTED_VALUE"""),"1CR23AD025")</f>
        <v>1CR23AD025</v>
      </c>
      <c r="E763" s="563">
        <f>IFERROR(__xludf.DUMMYFUNCTION("""COMPUTED_VALUE"""),7.829980933E9)</f>
        <v>7829980933</v>
      </c>
      <c r="F763" s="155" t="str">
        <f>IFERROR(__xludf.DUMMYFUNCTION("""COMPUTED_VALUE"""),"AIDS")</f>
        <v>AIDS</v>
      </c>
      <c r="G763" s="158"/>
      <c r="H763" s="559">
        <f>IFERROR(__xludf.DUMMYFUNCTION("""COMPUTED_VALUE"""),78.0)</f>
        <v>78</v>
      </c>
      <c r="I763" s="559">
        <f>IFERROR(__xludf.DUMMYFUNCTION("""COMPUTED_VALUE"""),84.0)</f>
        <v>84</v>
      </c>
      <c r="J763" s="559">
        <f>IFERROR(__xludf.DUMMYFUNCTION("""COMPUTED_VALUE"""),71.0)</f>
        <v>71</v>
      </c>
      <c r="K763" s="559">
        <f>IFERROR(__xludf.DUMMYFUNCTION("""COMPUTED_VALUE"""),70.0)</f>
        <v>70</v>
      </c>
      <c r="L763" s="560">
        <f>IFERROR(__xludf.DUMMYFUNCTION("""COMPUTED_VALUE"""),50.0)</f>
        <v>50</v>
      </c>
      <c r="M763" s="561">
        <f>IFERROR(__xludf.DUMMYFUNCTION("""COMPUTED_VALUE"""),50.0)</f>
        <v>50</v>
      </c>
      <c r="N763" s="561">
        <f>IFERROR(__xludf.DUMMYFUNCTION("""COMPUTED_VALUE"""),53.0)</f>
        <v>53</v>
      </c>
      <c r="O763" s="560"/>
      <c r="P763" s="562">
        <f>IFERROR(__xludf.DUMMYFUNCTION("""COMPUTED_VALUE"""),87.0)</f>
        <v>87</v>
      </c>
      <c r="Q763" s="562">
        <f>IFERROR(__xludf.DUMMYFUNCTION("""COMPUTED_VALUE"""),50.0)</f>
        <v>50</v>
      </c>
      <c r="R763" s="562">
        <f>IFERROR(__xludf.DUMMYFUNCTION("""COMPUTED_VALUE"""),90.0)</f>
        <v>90</v>
      </c>
      <c r="S763" s="562"/>
      <c r="T763" s="217">
        <f>IFERROR(__xludf.DUMMYFUNCTION("""COMPUTED_VALUE"""),16.0)</f>
        <v>16</v>
      </c>
      <c r="U763" s="217">
        <f>IFERROR(__xludf.DUMMYFUNCTION("""COMPUTED_VALUE"""),21.0)</f>
        <v>21</v>
      </c>
      <c r="V763" s="217">
        <f>IFERROR(__xludf.DUMMYFUNCTION("""COMPUTED_VALUE"""),86.0)</f>
        <v>86</v>
      </c>
      <c r="W763" s="217">
        <f>IFERROR(__xludf.DUMMYFUNCTION("""COMPUTED_VALUE"""),82.0)</f>
        <v>82</v>
      </c>
      <c r="X763" s="217">
        <f>IFERROR(__xludf.DUMMYFUNCTION("""COMPUTED_VALUE"""),76.0)</f>
        <v>76</v>
      </c>
      <c r="Y763" s="217"/>
      <c r="Z763" s="217"/>
      <c r="AA763" s="481">
        <f>IFERROR(__xludf.DUMMYFUNCTION("""COMPUTED_VALUE"""),60.0)</f>
        <v>60</v>
      </c>
      <c r="AB763" s="481">
        <f>IFERROR(__xludf.DUMMYFUNCTION("""COMPUTED_VALUE"""),75.0)</f>
        <v>75</v>
      </c>
      <c r="AC763" s="481">
        <f>IFERROR(__xludf.DUMMYFUNCTION("""COMPUTED_VALUE"""),80.0)</f>
        <v>80</v>
      </c>
      <c r="AD763" s="481">
        <f>IFERROR(__xludf.DUMMYFUNCTION("""COMPUTED_VALUE"""),4.0)</f>
        <v>4</v>
      </c>
      <c r="AE763" s="481">
        <f>IFERROR(__xludf.DUMMYFUNCTION("""COMPUTED_VALUE"""),70.0)</f>
        <v>70</v>
      </c>
      <c r="AF763" s="481"/>
      <c r="AG763" s="481">
        <f>IFERROR(__xludf.DUMMYFUNCTION("""COMPUTED_VALUE"""),82.0)</f>
        <v>82</v>
      </c>
      <c r="AH763" s="481"/>
      <c r="AI763" s="158"/>
      <c r="AJ763" s="158"/>
      <c r="AK763" s="133">
        <f>IFERROR(__xludf.DUMMYFUNCTION("""COMPUTED_VALUE"""),4.0)</f>
        <v>4</v>
      </c>
      <c r="AL763" s="133">
        <f>IFERROR(__xludf.DUMMYFUNCTION("""COMPUTED_VALUE"""),3.0)</f>
        <v>3</v>
      </c>
      <c r="AM763" s="133">
        <f>IFERROR(__xludf.DUMMYFUNCTION("""COMPUTED_VALUE"""),3.0)</f>
        <v>3</v>
      </c>
      <c r="AN763" s="133" t="str">
        <f>IFERROR(__xludf.DUMMYFUNCTION("""COMPUTED_VALUE"""),"3.5")</f>
        <v>3.5</v>
      </c>
      <c r="AO763" s="133">
        <f>IFERROR(__xludf.DUMMYFUNCTION("""COMPUTED_VALUE"""),3.0)</f>
        <v>3</v>
      </c>
      <c r="AP763" s="155" t="s">
        <v>3715</v>
      </c>
    </row>
    <row r="764">
      <c r="A764" s="155">
        <f>IFERROR(__xludf.DUMMYFUNCTION("""COMPUTED_VALUE"""),26.0)</f>
        <v>26</v>
      </c>
      <c r="B764" s="155" t="str">
        <f>IFERROR(__xludf.DUMMYFUNCTION("""COMPUTED_VALUE"""),"avma23ainds@cmrit.ac.in")</f>
        <v>avma23ainds@cmrit.ac.in</v>
      </c>
      <c r="C764" s="174" t="str">
        <f>IFERROR(__xludf.DUMMYFUNCTION("""COMPUTED_VALUE"""),"Avigya Mahat")</f>
        <v>Avigya Mahat</v>
      </c>
      <c r="D764" s="155" t="str">
        <f>IFERROR(__xludf.DUMMYFUNCTION("""COMPUTED_VALUE"""),"1CR23AD026")</f>
        <v>1CR23AD026</v>
      </c>
      <c r="E764" s="563">
        <f>IFERROR(__xludf.DUMMYFUNCTION("""COMPUTED_VALUE"""),9.748842426E9)</f>
        <v>9748842426</v>
      </c>
      <c r="F764" s="155" t="str">
        <f>IFERROR(__xludf.DUMMYFUNCTION("""COMPUTED_VALUE"""),"AIDS")</f>
        <v>AIDS</v>
      </c>
      <c r="G764" s="158"/>
      <c r="H764" s="559">
        <f>IFERROR(__xludf.DUMMYFUNCTION("""COMPUTED_VALUE"""),72.0)</f>
        <v>72</v>
      </c>
      <c r="I764" s="559">
        <f>IFERROR(__xludf.DUMMYFUNCTION("""COMPUTED_VALUE"""),73.0)</f>
        <v>73</v>
      </c>
      <c r="J764" s="559">
        <f>IFERROR(__xludf.DUMMYFUNCTION("""COMPUTED_VALUE"""),35.0)</f>
        <v>35</v>
      </c>
      <c r="K764" s="559">
        <f>IFERROR(__xludf.DUMMYFUNCTION("""COMPUTED_VALUE"""),36.0)</f>
        <v>36</v>
      </c>
      <c r="L764" s="560">
        <f>IFERROR(__xludf.DUMMYFUNCTION("""COMPUTED_VALUE"""),28.0)</f>
        <v>28</v>
      </c>
      <c r="M764" s="561">
        <f>IFERROR(__xludf.DUMMYFUNCTION("""COMPUTED_VALUE"""),12.0)</f>
        <v>12</v>
      </c>
      <c r="N764" s="561">
        <f>IFERROR(__xludf.DUMMYFUNCTION("""COMPUTED_VALUE"""),0.0)</f>
        <v>0</v>
      </c>
      <c r="O764" s="560"/>
      <c r="P764" s="562">
        <f>IFERROR(__xludf.DUMMYFUNCTION("""COMPUTED_VALUE"""),0.0)</f>
        <v>0</v>
      </c>
      <c r="Q764" s="562">
        <f>IFERROR(__xludf.DUMMYFUNCTION("""COMPUTED_VALUE"""),0.0)</f>
        <v>0</v>
      </c>
      <c r="R764" s="562">
        <f>IFERROR(__xludf.DUMMYFUNCTION("""COMPUTED_VALUE"""),0.0)</f>
        <v>0</v>
      </c>
      <c r="S764" s="562"/>
      <c r="T764" s="217">
        <f>IFERROR(__xludf.DUMMYFUNCTION("""COMPUTED_VALUE"""),10.0)</f>
        <v>10</v>
      </c>
      <c r="U764" s="217">
        <f>IFERROR(__xludf.DUMMYFUNCTION("""COMPUTED_VALUE"""),20.0)</f>
        <v>20</v>
      </c>
      <c r="V764" s="217">
        <f>IFERROR(__xludf.DUMMYFUNCTION("""COMPUTED_VALUE"""),84.0)</f>
        <v>84</v>
      </c>
      <c r="W764" s="217">
        <f>IFERROR(__xludf.DUMMYFUNCTION("""COMPUTED_VALUE"""),58.0)</f>
        <v>58</v>
      </c>
      <c r="X764" s="217">
        <f>IFERROR(__xludf.DUMMYFUNCTION("""COMPUTED_VALUE"""),86.0)</f>
        <v>86</v>
      </c>
      <c r="Y764" s="217"/>
      <c r="Z764" s="217"/>
      <c r="AA764" s="481">
        <f>IFERROR(__xludf.DUMMYFUNCTION("""COMPUTED_VALUE"""),87.0)</f>
        <v>87</v>
      </c>
      <c r="AB764" s="481">
        <f>IFERROR(__xludf.DUMMYFUNCTION("""COMPUTED_VALUE"""),66.0)</f>
        <v>66</v>
      </c>
      <c r="AC764" s="481">
        <f>IFERROR(__xludf.DUMMYFUNCTION("""COMPUTED_VALUE"""),0.0)</f>
        <v>0</v>
      </c>
      <c r="AD764" s="481">
        <f>IFERROR(__xludf.DUMMYFUNCTION("""COMPUTED_VALUE"""),0.0)</f>
        <v>0</v>
      </c>
      <c r="AE764" s="481">
        <f>IFERROR(__xludf.DUMMYFUNCTION("""COMPUTED_VALUE"""),10.0)</f>
        <v>10</v>
      </c>
      <c r="AF764" s="481"/>
      <c r="AG764" s="481">
        <f>IFERROR(__xludf.DUMMYFUNCTION("""COMPUTED_VALUE"""),0.0)</f>
        <v>0</v>
      </c>
      <c r="AH764" s="481"/>
      <c r="AI764" s="158"/>
      <c r="AJ764" s="158"/>
      <c r="AK764" s="133">
        <f>IFERROR(__xludf.DUMMYFUNCTION("""COMPUTED_VALUE"""),2.0)</f>
        <v>2</v>
      </c>
      <c r="AL764" s="133">
        <f>IFERROR(__xludf.DUMMYFUNCTION("""COMPUTED_VALUE"""),0.0)</f>
        <v>0</v>
      </c>
      <c r="AM764" s="133">
        <f>IFERROR(__xludf.DUMMYFUNCTION("""COMPUTED_VALUE"""),3.0)</f>
        <v>3</v>
      </c>
      <c r="AN764" s="133" t="str">
        <f>IFERROR(__xludf.DUMMYFUNCTION("""COMPUTED_VALUE"""),"2")</f>
        <v>2</v>
      </c>
      <c r="AO764" s="133">
        <f>IFERROR(__xludf.DUMMYFUNCTION("""COMPUTED_VALUE"""),0.0)</f>
        <v>0</v>
      </c>
      <c r="AP764" s="155" t="s">
        <v>3715</v>
      </c>
    </row>
    <row r="765">
      <c r="A765" s="155">
        <f>IFERROR(__xludf.DUMMYFUNCTION("""COMPUTED_VALUE"""),27.0)</f>
        <v>27</v>
      </c>
      <c r="B765" s="155" t="str">
        <f>IFERROR(__xludf.DUMMYFUNCTION("""COMPUTED_VALUE"""),"aypu23ainds@cmrit.ac.in")</f>
        <v>aypu23ainds@cmrit.ac.in</v>
      </c>
      <c r="C765" s="174" t="str">
        <f>IFERROR(__xludf.DUMMYFUNCTION("""COMPUTED_VALUE"""),"AYUSH PUNDHIR")</f>
        <v>AYUSH PUNDHIR</v>
      </c>
      <c r="D765" s="155" t="str">
        <f>IFERROR(__xludf.DUMMYFUNCTION("""COMPUTED_VALUE"""),"1CR23AD027")</f>
        <v>1CR23AD027</v>
      </c>
      <c r="E765" s="563">
        <f>IFERROR(__xludf.DUMMYFUNCTION("""COMPUTED_VALUE"""),9.590688364E9)</f>
        <v>9590688364</v>
      </c>
      <c r="F765" s="155" t="str">
        <f>IFERROR(__xludf.DUMMYFUNCTION("""COMPUTED_VALUE"""),"AIDS")</f>
        <v>AIDS</v>
      </c>
      <c r="G765" s="158"/>
      <c r="H765" s="559">
        <f>IFERROR(__xludf.DUMMYFUNCTION("""COMPUTED_VALUE"""),79.0)</f>
        <v>79</v>
      </c>
      <c r="I765" s="559">
        <f>IFERROR(__xludf.DUMMYFUNCTION("""COMPUTED_VALUE"""),83.0)</f>
        <v>83</v>
      </c>
      <c r="J765" s="559">
        <f>IFERROR(__xludf.DUMMYFUNCTION("""COMPUTED_VALUE"""),76.0)</f>
        <v>76</v>
      </c>
      <c r="K765" s="559">
        <f>IFERROR(__xludf.DUMMYFUNCTION("""COMPUTED_VALUE"""),70.0)</f>
        <v>70</v>
      </c>
      <c r="L765" s="560">
        <f>IFERROR(__xludf.DUMMYFUNCTION("""COMPUTED_VALUE"""),50.0)</f>
        <v>50</v>
      </c>
      <c r="M765" s="561">
        <f>IFERROR(__xludf.DUMMYFUNCTION("""COMPUTED_VALUE"""),50.0)</f>
        <v>50</v>
      </c>
      <c r="N765" s="561">
        <f>IFERROR(__xludf.DUMMYFUNCTION("""COMPUTED_VALUE"""),38.0)</f>
        <v>38</v>
      </c>
      <c r="O765" s="560"/>
      <c r="P765" s="562">
        <f>IFERROR(__xludf.DUMMYFUNCTION("""COMPUTED_VALUE"""),87.0)</f>
        <v>87</v>
      </c>
      <c r="Q765" s="562">
        <f>IFERROR(__xludf.DUMMYFUNCTION("""COMPUTED_VALUE"""),50.0)</f>
        <v>50</v>
      </c>
      <c r="R765" s="562">
        <f>IFERROR(__xludf.DUMMYFUNCTION("""COMPUTED_VALUE"""),50.0)</f>
        <v>50</v>
      </c>
      <c r="S765" s="562"/>
      <c r="T765" s="217">
        <f>IFERROR(__xludf.DUMMYFUNCTION("""COMPUTED_VALUE"""),10.0)</f>
        <v>10</v>
      </c>
      <c r="U765" s="217">
        <f>IFERROR(__xludf.DUMMYFUNCTION("""COMPUTED_VALUE"""),23.0)</f>
        <v>23</v>
      </c>
      <c r="V765" s="217">
        <f>IFERROR(__xludf.DUMMYFUNCTION("""COMPUTED_VALUE"""),94.0)</f>
        <v>94</v>
      </c>
      <c r="W765" s="217">
        <f>IFERROR(__xludf.DUMMYFUNCTION("""COMPUTED_VALUE"""),74.0)</f>
        <v>74</v>
      </c>
      <c r="X765" s="217">
        <f>IFERROR(__xludf.DUMMYFUNCTION("""COMPUTED_VALUE"""),76.0)</f>
        <v>76</v>
      </c>
      <c r="Y765" s="217"/>
      <c r="Z765" s="217"/>
      <c r="AA765" s="481">
        <f>IFERROR(__xludf.DUMMYFUNCTION("""COMPUTED_VALUE"""),16.0)</f>
        <v>16</v>
      </c>
      <c r="AB765" s="481">
        <f>IFERROR(__xludf.DUMMYFUNCTION("""COMPUTED_VALUE"""),73.0)</f>
        <v>73</v>
      </c>
      <c r="AC765" s="481">
        <f>IFERROR(__xludf.DUMMYFUNCTION("""COMPUTED_VALUE"""),89.0)</f>
        <v>89</v>
      </c>
      <c r="AD765" s="481">
        <f>IFERROR(__xludf.DUMMYFUNCTION("""COMPUTED_VALUE"""),80.0)</f>
        <v>80</v>
      </c>
      <c r="AE765" s="481">
        <f>IFERROR(__xludf.DUMMYFUNCTION("""COMPUTED_VALUE"""),10.0)</f>
        <v>10</v>
      </c>
      <c r="AF765" s="481"/>
      <c r="AG765" s="481">
        <f>IFERROR(__xludf.DUMMYFUNCTION("""COMPUTED_VALUE"""),71.0)</f>
        <v>71</v>
      </c>
      <c r="AH765" s="481"/>
      <c r="AI765" s="158"/>
      <c r="AJ765" s="158"/>
      <c r="AK765" s="133">
        <f>IFERROR(__xludf.DUMMYFUNCTION("""COMPUTED_VALUE"""),4.0)</f>
        <v>4</v>
      </c>
      <c r="AL765" s="133">
        <f>IFERROR(__xludf.DUMMYFUNCTION("""COMPUTED_VALUE"""),2.0)</f>
        <v>2</v>
      </c>
      <c r="AM765" s="133">
        <f>IFERROR(__xludf.DUMMYFUNCTION("""COMPUTED_VALUE"""),3.0)</f>
        <v>3</v>
      </c>
      <c r="AN765" s="133" t="str">
        <f>IFERROR(__xludf.DUMMYFUNCTION("""COMPUTED_VALUE"""),"3")</f>
        <v>3</v>
      </c>
      <c r="AO765" s="133">
        <f>IFERROR(__xludf.DUMMYFUNCTION("""COMPUTED_VALUE"""),3.0)</f>
        <v>3</v>
      </c>
      <c r="AP765" s="155" t="s">
        <v>3715</v>
      </c>
    </row>
    <row r="766">
      <c r="A766" s="155">
        <f>IFERROR(__xludf.DUMMYFUNCTION("""COMPUTED_VALUE"""),28.0)</f>
        <v>28</v>
      </c>
      <c r="B766" s="155" t="str">
        <f>IFERROR(__xludf.DUMMYFUNCTION("""COMPUTED_VALUE"""),"bhsh23ainds@cmrit.ac.in")</f>
        <v>bhsh23ainds@cmrit.ac.in</v>
      </c>
      <c r="C766" s="174" t="str">
        <f>IFERROR(__xludf.DUMMYFUNCTION("""COMPUTED_VALUE"""),"Bhumika shettar")</f>
        <v>Bhumika shettar</v>
      </c>
      <c r="D766" s="155" t="str">
        <f>IFERROR(__xludf.DUMMYFUNCTION("""COMPUTED_VALUE"""),"1CR23AD028")</f>
        <v>1CR23AD028</v>
      </c>
      <c r="E766" s="563">
        <f>IFERROR(__xludf.DUMMYFUNCTION("""COMPUTED_VALUE"""),9.620027669E9)</f>
        <v>9620027669</v>
      </c>
      <c r="F766" s="155" t="str">
        <f>IFERROR(__xludf.DUMMYFUNCTION("""COMPUTED_VALUE"""),"AIDS")</f>
        <v>AIDS</v>
      </c>
      <c r="G766" s="158"/>
      <c r="H766" s="559">
        <f>IFERROR(__xludf.DUMMYFUNCTION("""COMPUTED_VALUE"""),88.0)</f>
        <v>88</v>
      </c>
      <c r="I766" s="559">
        <f>IFERROR(__xludf.DUMMYFUNCTION("""COMPUTED_VALUE"""),73.0)</f>
        <v>73</v>
      </c>
      <c r="J766" s="559">
        <f>IFERROR(__xludf.DUMMYFUNCTION("""COMPUTED_VALUE"""),70.0)</f>
        <v>70</v>
      </c>
      <c r="K766" s="559">
        <f>IFERROR(__xludf.DUMMYFUNCTION("""COMPUTED_VALUE"""),70.0)</f>
        <v>70</v>
      </c>
      <c r="L766" s="560">
        <f>IFERROR(__xludf.DUMMYFUNCTION("""COMPUTED_VALUE"""),50.0)</f>
        <v>50</v>
      </c>
      <c r="M766" s="561">
        <f>IFERROR(__xludf.DUMMYFUNCTION("""COMPUTED_VALUE"""),30.0)</f>
        <v>30</v>
      </c>
      <c r="N766" s="561">
        <f>IFERROR(__xludf.DUMMYFUNCTION("""COMPUTED_VALUE"""),51.0)</f>
        <v>51</v>
      </c>
      <c r="O766" s="560"/>
      <c r="P766" s="562">
        <f>IFERROR(__xludf.DUMMYFUNCTION("""COMPUTED_VALUE"""),83.0)</f>
        <v>83</v>
      </c>
      <c r="Q766" s="562">
        <f>IFERROR(__xludf.DUMMYFUNCTION("""COMPUTED_VALUE"""),81.0)</f>
        <v>81</v>
      </c>
      <c r="R766" s="562">
        <f>IFERROR(__xludf.DUMMYFUNCTION("""COMPUTED_VALUE"""),0.0)</f>
        <v>0</v>
      </c>
      <c r="S766" s="562"/>
      <c r="T766" s="217">
        <f>IFERROR(__xludf.DUMMYFUNCTION("""COMPUTED_VALUE"""),12.0)</f>
        <v>12</v>
      </c>
      <c r="U766" s="217">
        <f>IFERROR(__xludf.DUMMYFUNCTION("""COMPUTED_VALUE"""),20.0)</f>
        <v>20</v>
      </c>
      <c r="V766" s="217">
        <f>IFERROR(__xludf.DUMMYFUNCTION("""COMPUTED_VALUE"""),90.0)</f>
        <v>90</v>
      </c>
      <c r="W766" s="217">
        <f>IFERROR(__xludf.DUMMYFUNCTION("""COMPUTED_VALUE"""),50.0)</f>
        <v>50</v>
      </c>
      <c r="X766" s="217">
        <f>IFERROR(__xludf.DUMMYFUNCTION("""COMPUTED_VALUE"""),84.0)</f>
        <v>84</v>
      </c>
      <c r="Y766" s="217"/>
      <c r="Z766" s="217"/>
      <c r="AA766" s="481">
        <f>IFERROR(__xludf.DUMMYFUNCTION("""COMPUTED_VALUE"""),0.0)</f>
        <v>0</v>
      </c>
      <c r="AB766" s="481">
        <f>IFERROR(__xludf.DUMMYFUNCTION("""COMPUTED_VALUE"""),100.0)</f>
        <v>100</v>
      </c>
      <c r="AC766" s="481">
        <f>IFERROR(__xludf.DUMMYFUNCTION("""COMPUTED_VALUE"""),62.0)</f>
        <v>62</v>
      </c>
      <c r="AD766" s="481">
        <f>IFERROR(__xludf.DUMMYFUNCTION("""COMPUTED_VALUE"""),1.0)</f>
        <v>1</v>
      </c>
      <c r="AE766" s="481">
        <f>IFERROR(__xludf.DUMMYFUNCTION("""COMPUTED_VALUE"""),38.0)</f>
        <v>38</v>
      </c>
      <c r="AF766" s="481"/>
      <c r="AG766" s="481">
        <f>IFERROR(__xludf.DUMMYFUNCTION("""COMPUTED_VALUE"""),70.0)</f>
        <v>70</v>
      </c>
      <c r="AH766" s="481"/>
      <c r="AI766" s="158"/>
      <c r="AJ766" s="158"/>
      <c r="AK766" s="133">
        <f>IFERROR(__xludf.DUMMYFUNCTION("""COMPUTED_VALUE"""),4.0)</f>
        <v>4</v>
      </c>
      <c r="AL766" s="133">
        <f>IFERROR(__xludf.DUMMYFUNCTION("""COMPUTED_VALUE"""),1.0)</f>
        <v>1</v>
      </c>
      <c r="AM766" s="133">
        <f>IFERROR(__xludf.DUMMYFUNCTION("""COMPUTED_VALUE"""),3.0)</f>
        <v>3</v>
      </c>
      <c r="AN766" s="133" t="str">
        <f>IFERROR(__xludf.DUMMYFUNCTION("""COMPUTED_VALUE"""),"3")</f>
        <v>3</v>
      </c>
      <c r="AO766" s="133">
        <f>IFERROR(__xludf.DUMMYFUNCTION("""COMPUTED_VALUE"""),2.0)</f>
        <v>2</v>
      </c>
      <c r="AP766" s="155" t="s">
        <v>3715</v>
      </c>
    </row>
    <row r="767">
      <c r="A767" s="155">
        <f>IFERROR(__xludf.DUMMYFUNCTION("""COMPUTED_VALUE"""),29.0)</f>
        <v>29</v>
      </c>
      <c r="B767" s="155" t="str">
        <f>IFERROR(__xludf.DUMMYFUNCTION("""COMPUTED_VALUE"""),"bhpa23ainds@cmrit.ac.in")</f>
        <v>bhpa23ainds@cmrit.ac.in</v>
      </c>
      <c r="C767" s="174" t="str">
        <f>IFERROR(__xludf.DUMMYFUNCTION("""COMPUTED_VALUE"""),"BHUPATI NAIDU PALANKI")</f>
        <v>BHUPATI NAIDU PALANKI</v>
      </c>
      <c r="D767" s="155" t="str">
        <f>IFERROR(__xludf.DUMMYFUNCTION("""COMPUTED_VALUE"""),"1CR23AD029")</f>
        <v>1CR23AD029</v>
      </c>
      <c r="E767" s="563">
        <f>IFERROR(__xludf.DUMMYFUNCTION("""COMPUTED_VALUE"""),7.338251295E9)</f>
        <v>7338251295</v>
      </c>
      <c r="F767" s="155" t="str">
        <f>IFERROR(__xludf.DUMMYFUNCTION("""COMPUTED_VALUE"""),"AIDS")</f>
        <v>AIDS</v>
      </c>
      <c r="G767" s="158"/>
      <c r="H767" s="559">
        <f>IFERROR(__xludf.DUMMYFUNCTION("""COMPUTED_VALUE"""),71.0)</f>
        <v>71</v>
      </c>
      <c r="I767" s="559">
        <f>IFERROR(__xludf.DUMMYFUNCTION("""COMPUTED_VALUE"""),75.0)</f>
        <v>75</v>
      </c>
      <c r="J767" s="559">
        <f>IFERROR(__xludf.DUMMYFUNCTION("""COMPUTED_VALUE"""),70.0)</f>
        <v>70</v>
      </c>
      <c r="K767" s="559">
        <f>IFERROR(__xludf.DUMMYFUNCTION("""COMPUTED_VALUE"""),51.0)</f>
        <v>51</v>
      </c>
      <c r="L767" s="560">
        <f>IFERROR(__xludf.DUMMYFUNCTION("""COMPUTED_VALUE"""),50.0)</f>
        <v>50</v>
      </c>
      <c r="M767" s="561">
        <f>IFERROR(__xludf.DUMMYFUNCTION("""COMPUTED_VALUE"""),50.0)</f>
        <v>50</v>
      </c>
      <c r="N767" s="561">
        <f>IFERROR(__xludf.DUMMYFUNCTION("""COMPUTED_VALUE"""),50.0)</f>
        <v>50</v>
      </c>
      <c r="O767" s="560"/>
      <c r="P767" s="562">
        <f>IFERROR(__xludf.DUMMYFUNCTION("""COMPUTED_VALUE"""),50.0)</f>
        <v>50</v>
      </c>
      <c r="Q767" s="562">
        <f>IFERROR(__xludf.DUMMYFUNCTION("""COMPUTED_VALUE"""),50.0)</f>
        <v>50</v>
      </c>
      <c r="R767" s="562">
        <f>IFERROR(__xludf.DUMMYFUNCTION("""COMPUTED_VALUE"""),84.0)</f>
        <v>84</v>
      </c>
      <c r="S767" s="562"/>
      <c r="T767" s="217">
        <f>IFERROR(__xludf.DUMMYFUNCTION("""COMPUTED_VALUE"""),10.0)</f>
        <v>10</v>
      </c>
      <c r="U767" s="217">
        <f>IFERROR(__xludf.DUMMYFUNCTION("""COMPUTED_VALUE"""),24.0)</f>
        <v>24</v>
      </c>
      <c r="V767" s="217">
        <f>IFERROR(__xludf.DUMMYFUNCTION("""COMPUTED_VALUE"""),90.0)</f>
        <v>90</v>
      </c>
      <c r="W767" s="217">
        <f>IFERROR(__xludf.DUMMYFUNCTION("""COMPUTED_VALUE"""),86.0)</f>
        <v>86</v>
      </c>
      <c r="X767" s="217">
        <f>IFERROR(__xludf.DUMMYFUNCTION("""COMPUTED_VALUE"""),78.0)</f>
        <v>78</v>
      </c>
      <c r="Y767" s="217"/>
      <c r="Z767" s="217"/>
      <c r="AA767" s="481">
        <f>IFERROR(__xludf.DUMMYFUNCTION("""COMPUTED_VALUE"""),0.0)</f>
        <v>0</v>
      </c>
      <c r="AB767" s="481">
        <f>IFERROR(__xludf.DUMMYFUNCTION("""COMPUTED_VALUE"""),51.0)</f>
        <v>51</v>
      </c>
      <c r="AC767" s="481">
        <f>IFERROR(__xludf.DUMMYFUNCTION("""COMPUTED_VALUE"""),80.0)</f>
        <v>80</v>
      </c>
      <c r="AD767" s="481">
        <f>IFERROR(__xludf.DUMMYFUNCTION("""COMPUTED_VALUE"""),4.0)</f>
        <v>4</v>
      </c>
      <c r="AE767" s="481">
        <f>IFERROR(__xludf.DUMMYFUNCTION("""COMPUTED_VALUE"""),17.0)</f>
        <v>17</v>
      </c>
      <c r="AF767" s="481"/>
      <c r="AG767" s="481">
        <f>IFERROR(__xludf.DUMMYFUNCTION("""COMPUTED_VALUE"""),71.0)</f>
        <v>71</v>
      </c>
      <c r="AH767" s="481"/>
      <c r="AI767" s="158"/>
      <c r="AJ767" s="158"/>
      <c r="AK767" s="133">
        <f>IFERROR(__xludf.DUMMYFUNCTION("""COMPUTED_VALUE"""),3.0)</f>
        <v>3</v>
      </c>
      <c r="AL767" s="133">
        <f>IFERROR(__xludf.DUMMYFUNCTION("""COMPUTED_VALUE"""),3.0)</f>
        <v>3</v>
      </c>
      <c r="AM767" s="133">
        <f>IFERROR(__xludf.DUMMYFUNCTION("""COMPUTED_VALUE"""),3.0)</f>
        <v>3</v>
      </c>
      <c r="AN767" s="133" t="str">
        <f>IFERROR(__xludf.DUMMYFUNCTION("""COMPUTED_VALUE"""),"3")</f>
        <v>3</v>
      </c>
      <c r="AO767" s="133">
        <f>IFERROR(__xludf.DUMMYFUNCTION("""COMPUTED_VALUE"""),3.0)</f>
        <v>3</v>
      </c>
      <c r="AP767" s="155" t="s">
        <v>3715</v>
      </c>
    </row>
    <row r="768">
      <c r="A768" s="155">
        <f>IFERROR(__xludf.DUMMYFUNCTION("""COMPUTED_VALUE"""),30.0)</f>
        <v>30</v>
      </c>
      <c r="B768" s="155" t="str">
        <f>IFERROR(__xludf.DUMMYFUNCTION("""COMPUTED_VALUE"""),"bhym23ainds@cmrit.ac.in")</f>
        <v>bhym23ainds@cmrit.ac.in</v>
      </c>
      <c r="C768" s="174" t="str">
        <f>IFERROR(__xludf.DUMMYFUNCTION("""COMPUTED_VALUE"""),"BHUVAN GOWDA Y M")</f>
        <v>BHUVAN GOWDA Y M</v>
      </c>
      <c r="D768" s="155" t="str">
        <f>IFERROR(__xludf.DUMMYFUNCTION("""COMPUTED_VALUE"""),"1CR23AD030")</f>
        <v>1CR23AD030</v>
      </c>
      <c r="E768" s="563">
        <f>IFERROR(__xludf.DUMMYFUNCTION("""COMPUTED_VALUE"""),6.364001484E9)</f>
        <v>6364001484</v>
      </c>
      <c r="F768" s="155" t="str">
        <f>IFERROR(__xludf.DUMMYFUNCTION("""COMPUTED_VALUE"""),"AIDS")</f>
        <v>AIDS</v>
      </c>
      <c r="G768" s="158"/>
      <c r="H768" s="559">
        <f>IFERROR(__xludf.DUMMYFUNCTION("""COMPUTED_VALUE"""),74.0)</f>
        <v>74</v>
      </c>
      <c r="I768" s="559">
        <f>IFERROR(__xludf.DUMMYFUNCTION("""COMPUTED_VALUE"""),75.0)</f>
        <v>75</v>
      </c>
      <c r="J768" s="559">
        <f>IFERROR(__xludf.DUMMYFUNCTION("""COMPUTED_VALUE"""),70.0)</f>
        <v>70</v>
      </c>
      <c r="K768" s="559">
        <f>IFERROR(__xludf.DUMMYFUNCTION("""COMPUTED_VALUE"""),70.0)</f>
        <v>70</v>
      </c>
      <c r="L768" s="560">
        <f>IFERROR(__xludf.DUMMYFUNCTION("""COMPUTED_VALUE"""),50.0)</f>
        <v>50</v>
      </c>
      <c r="M768" s="561">
        <f>IFERROR(__xludf.DUMMYFUNCTION("""COMPUTED_VALUE"""),29.0)</f>
        <v>29</v>
      </c>
      <c r="N768" s="561">
        <f>IFERROR(__xludf.DUMMYFUNCTION("""COMPUTED_VALUE"""),50.0)</f>
        <v>50</v>
      </c>
      <c r="O768" s="560"/>
      <c r="P768" s="562">
        <f>IFERROR(__xludf.DUMMYFUNCTION("""COMPUTED_VALUE"""),50.0)</f>
        <v>50</v>
      </c>
      <c r="Q768" s="562">
        <f>IFERROR(__xludf.DUMMYFUNCTION("""COMPUTED_VALUE"""),50.0)</f>
        <v>50</v>
      </c>
      <c r="R768" s="562">
        <f>IFERROR(__xludf.DUMMYFUNCTION("""COMPUTED_VALUE"""),0.0)</f>
        <v>0</v>
      </c>
      <c r="S768" s="562"/>
      <c r="T768" s="217">
        <f>IFERROR(__xludf.DUMMYFUNCTION("""COMPUTED_VALUE"""),21.0)</f>
        <v>21</v>
      </c>
      <c r="U768" s="217">
        <f>IFERROR(__xludf.DUMMYFUNCTION("""COMPUTED_VALUE"""),21.0)</f>
        <v>21</v>
      </c>
      <c r="V768" s="217">
        <f>IFERROR(__xludf.DUMMYFUNCTION("""COMPUTED_VALUE"""),90.0)</f>
        <v>90</v>
      </c>
      <c r="W768" s="217">
        <f>IFERROR(__xludf.DUMMYFUNCTION("""COMPUTED_VALUE"""),94.0)</f>
        <v>94</v>
      </c>
      <c r="X768" s="217">
        <f>IFERROR(__xludf.DUMMYFUNCTION("""COMPUTED_VALUE"""),94.0)</f>
        <v>94</v>
      </c>
      <c r="Y768" s="217"/>
      <c r="Z768" s="217"/>
      <c r="AA768" s="481">
        <f>IFERROR(__xludf.DUMMYFUNCTION("""COMPUTED_VALUE"""),6.0)</f>
        <v>6</v>
      </c>
      <c r="AB768" s="481">
        <f>IFERROR(__xludf.DUMMYFUNCTION("""COMPUTED_VALUE"""),100.0)</f>
        <v>100</v>
      </c>
      <c r="AC768" s="481">
        <f>IFERROR(__xludf.DUMMYFUNCTION("""COMPUTED_VALUE"""),37.0)</f>
        <v>37</v>
      </c>
      <c r="AD768" s="481">
        <f>IFERROR(__xludf.DUMMYFUNCTION("""COMPUTED_VALUE"""),70.0)</f>
        <v>70</v>
      </c>
      <c r="AE768" s="481">
        <f>IFERROR(__xludf.DUMMYFUNCTION("""COMPUTED_VALUE"""),40.0)</f>
        <v>40</v>
      </c>
      <c r="AF768" s="481"/>
      <c r="AG768" s="481">
        <f>IFERROR(__xludf.DUMMYFUNCTION("""COMPUTED_VALUE"""),71.0)</f>
        <v>71</v>
      </c>
      <c r="AH768" s="481"/>
      <c r="AI768" s="158"/>
      <c r="AJ768" s="158"/>
      <c r="AK768" s="133">
        <f>IFERROR(__xludf.DUMMYFUNCTION("""COMPUTED_VALUE"""),4.0)</f>
        <v>4</v>
      </c>
      <c r="AL768" s="133">
        <f>IFERROR(__xludf.DUMMYFUNCTION("""COMPUTED_VALUE"""),1.0)</f>
        <v>1</v>
      </c>
      <c r="AM768" s="133">
        <f>IFERROR(__xludf.DUMMYFUNCTION("""COMPUTED_VALUE"""),3.0)</f>
        <v>3</v>
      </c>
      <c r="AN768" s="133" t="str">
        <f>IFERROR(__xludf.DUMMYFUNCTION("""COMPUTED_VALUE"""),"3")</f>
        <v>3</v>
      </c>
      <c r="AO768" s="133">
        <f>IFERROR(__xludf.DUMMYFUNCTION("""COMPUTED_VALUE"""),2.0)</f>
        <v>2</v>
      </c>
      <c r="AP768" s="155" t="s">
        <v>3715</v>
      </c>
    </row>
    <row r="769">
      <c r="A769" s="155">
        <f>IFERROR(__xludf.DUMMYFUNCTION("""COMPUTED_VALUE"""),31.0)</f>
        <v>31</v>
      </c>
      <c r="B769" s="155" t="str">
        <f>IFERROR(__xludf.DUMMYFUNCTION("""COMPUTED_VALUE"""),"bhka23ainds@cmrit.ac.in")</f>
        <v>bhka23ainds@cmrit.ac.in</v>
      </c>
      <c r="C769" s="174" t="str">
        <f>IFERROR(__xludf.DUMMYFUNCTION("""COMPUTED_VALUE"""),"Bhuvan K A")</f>
        <v>Bhuvan K A</v>
      </c>
      <c r="D769" s="155" t="str">
        <f>IFERROR(__xludf.DUMMYFUNCTION("""COMPUTED_VALUE"""),"1CR23AD031")</f>
        <v>1CR23AD031</v>
      </c>
      <c r="E769" s="563">
        <f>IFERROR(__xludf.DUMMYFUNCTION("""COMPUTED_VALUE"""),8.904754876E9)</f>
        <v>8904754876</v>
      </c>
      <c r="F769" s="155" t="str">
        <f>IFERROR(__xludf.DUMMYFUNCTION("""COMPUTED_VALUE"""),"AIDS")</f>
        <v>AIDS</v>
      </c>
      <c r="G769" s="158"/>
      <c r="H769" s="559">
        <f>IFERROR(__xludf.DUMMYFUNCTION("""COMPUTED_VALUE"""),80.0)</f>
        <v>80</v>
      </c>
      <c r="I769" s="559">
        <f>IFERROR(__xludf.DUMMYFUNCTION("""COMPUTED_VALUE"""),76.0)</f>
        <v>76</v>
      </c>
      <c r="J769" s="559">
        <f>IFERROR(__xludf.DUMMYFUNCTION("""COMPUTED_VALUE"""),56.0)</f>
        <v>56</v>
      </c>
      <c r="K769" s="559">
        <f>IFERROR(__xludf.DUMMYFUNCTION("""COMPUTED_VALUE"""),44.0)</f>
        <v>44</v>
      </c>
      <c r="L769" s="560">
        <f>IFERROR(__xludf.DUMMYFUNCTION("""COMPUTED_VALUE"""),50.0)</f>
        <v>50</v>
      </c>
      <c r="M769" s="561">
        <f>IFERROR(__xludf.DUMMYFUNCTION("""COMPUTED_VALUE"""),7.0)</f>
        <v>7</v>
      </c>
      <c r="N769" s="561">
        <f>IFERROR(__xludf.DUMMYFUNCTION("""COMPUTED_VALUE"""),10.0)</f>
        <v>10</v>
      </c>
      <c r="O769" s="560"/>
      <c r="P769" s="562">
        <f>IFERROR(__xludf.DUMMYFUNCTION("""COMPUTED_VALUE"""),0.0)</f>
        <v>0</v>
      </c>
      <c r="Q769" s="562">
        <f>IFERROR(__xludf.DUMMYFUNCTION("""COMPUTED_VALUE"""),0.0)</f>
        <v>0</v>
      </c>
      <c r="R769" s="562">
        <f>IFERROR(__xludf.DUMMYFUNCTION("""COMPUTED_VALUE"""),0.0)</f>
        <v>0</v>
      </c>
      <c r="S769" s="562"/>
      <c r="T769" s="217">
        <f>IFERROR(__xludf.DUMMYFUNCTION("""COMPUTED_VALUE"""),10.0)</f>
        <v>10</v>
      </c>
      <c r="U769" s="217">
        <f>IFERROR(__xludf.DUMMYFUNCTION("""COMPUTED_VALUE"""),23.0)</f>
        <v>23</v>
      </c>
      <c r="V769" s="217">
        <f>IFERROR(__xludf.DUMMYFUNCTION("""COMPUTED_VALUE"""),90.0)</f>
        <v>90</v>
      </c>
      <c r="W769" s="217">
        <f>IFERROR(__xludf.DUMMYFUNCTION("""COMPUTED_VALUE"""),86.0)</f>
        <v>86</v>
      </c>
      <c r="X769" s="217">
        <f>IFERROR(__xludf.DUMMYFUNCTION("""COMPUTED_VALUE"""),74.0)</f>
        <v>74</v>
      </c>
      <c r="Y769" s="217"/>
      <c r="Z769" s="217"/>
      <c r="AA769" s="481">
        <f>IFERROR(__xludf.DUMMYFUNCTION("""COMPUTED_VALUE"""),4.0)</f>
        <v>4</v>
      </c>
      <c r="AB769" s="481">
        <f>IFERROR(__xludf.DUMMYFUNCTION("""COMPUTED_VALUE"""),70.0)</f>
        <v>70</v>
      </c>
      <c r="AC769" s="481">
        <f>IFERROR(__xludf.DUMMYFUNCTION("""COMPUTED_VALUE"""),52.0)</f>
        <v>52</v>
      </c>
      <c r="AD769" s="481">
        <f>IFERROR(__xludf.DUMMYFUNCTION("""COMPUTED_VALUE"""),0.0)</f>
        <v>0</v>
      </c>
      <c r="AE769" s="481">
        <f>IFERROR(__xludf.DUMMYFUNCTION("""COMPUTED_VALUE"""),45.0)</f>
        <v>45</v>
      </c>
      <c r="AF769" s="481"/>
      <c r="AG769" s="481">
        <f>IFERROR(__xludf.DUMMYFUNCTION("""COMPUTED_VALUE"""),0.0)</f>
        <v>0</v>
      </c>
      <c r="AH769" s="481"/>
      <c r="AI769" s="158"/>
      <c r="AJ769" s="158"/>
      <c r="AK769" s="133">
        <f>IFERROR(__xludf.DUMMYFUNCTION("""COMPUTED_VALUE"""),2.0)</f>
        <v>2</v>
      </c>
      <c r="AL769" s="133">
        <f>IFERROR(__xludf.DUMMYFUNCTION("""COMPUTED_VALUE"""),1.0)</f>
        <v>1</v>
      </c>
      <c r="AM769" s="133">
        <f>IFERROR(__xludf.DUMMYFUNCTION("""COMPUTED_VALUE"""),3.0)</f>
        <v>3</v>
      </c>
      <c r="AN769" s="133" t="str">
        <f>IFERROR(__xludf.DUMMYFUNCTION("""COMPUTED_VALUE"""),"2")</f>
        <v>2</v>
      </c>
      <c r="AO769" s="133">
        <f>IFERROR(__xludf.DUMMYFUNCTION("""COMPUTED_VALUE"""),0.0)</f>
        <v>0</v>
      </c>
      <c r="AP769" s="155" t="s">
        <v>3715</v>
      </c>
    </row>
    <row r="770">
      <c r="A770" s="155">
        <f>IFERROR(__xludf.DUMMYFUNCTION("""COMPUTED_VALUE"""),32.0)</f>
        <v>32</v>
      </c>
      <c r="B770" s="155" t="str">
        <f>IFERROR(__xludf.DUMMYFUNCTION("""COMPUTED_VALUE"""),"chna23ainds@cmrit.ac.in")</f>
        <v>chna23ainds@cmrit.ac.in</v>
      </c>
      <c r="C770" s="174" t="str">
        <f>IFERROR(__xludf.DUMMYFUNCTION("""COMPUTED_VALUE"""),"CHAARVI NAIDU NOOLU")</f>
        <v>CHAARVI NAIDU NOOLU</v>
      </c>
      <c r="D770" s="155" t="str">
        <f>IFERROR(__xludf.DUMMYFUNCTION("""COMPUTED_VALUE"""),"1CR23AD032")</f>
        <v>1CR23AD032</v>
      </c>
      <c r="E770" s="563">
        <f>IFERROR(__xludf.DUMMYFUNCTION("""COMPUTED_VALUE"""),9.980050069E9)</f>
        <v>9980050069</v>
      </c>
      <c r="F770" s="155" t="str">
        <f>IFERROR(__xludf.DUMMYFUNCTION("""COMPUTED_VALUE"""),"AIDS")</f>
        <v>AIDS</v>
      </c>
      <c r="G770" s="158"/>
      <c r="H770" s="559">
        <f>IFERROR(__xludf.DUMMYFUNCTION("""COMPUTED_VALUE"""),75.0)</f>
        <v>75</v>
      </c>
      <c r="I770" s="559">
        <f>IFERROR(__xludf.DUMMYFUNCTION("""COMPUTED_VALUE"""),81.0)</f>
        <v>81</v>
      </c>
      <c r="J770" s="559">
        <f>IFERROR(__xludf.DUMMYFUNCTION("""COMPUTED_VALUE"""),70.0)</f>
        <v>70</v>
      </c>
      <c r="K770" s="559">
        <f>IFERROR(__xludf.DUMMYFUNCTION("""COMPUTED_VALUE"""),70.0)</f>
        <v>70</v>
      </c>
      <c r="L770" s="560">
        <f>IFERROR(__xludf.DUMMYFUNCTION("""COMPUTED_VALUE"""),50.0)</f>
        <v>50</v>
      </c>
      <c r="M770" s="561">
        <f>IFERROR(__xludf.DUMMYFUNCTION("""COMPUTED_VALUE"""),25.0)</f>
        <v>25</v>
      </c>
      <c r="N770" s="561">
        <f>IFERROR(__xludf.DUMMYFUNCTION("""COMPUTED_VALUE"""),58.0)</f>
        <v>58</v>
      </c>
      <c r="O770" s="560"/>
      <c r="P770" s="562">
        <f>IFERROR(__xludf.DUMMYFUNCTION("""COMPUTED_VALUE"""),77.0)</f>
        <v>77</v>
      </c>
      <c r="Q770" s="562">
        <f>IFERROR(__xludf.DUMMYFUNCTION("""COMPUTED_VALUE"""),83.0)</f>
        <v>83</v>
      </c>
      <c r="R770" s="562">
        <f>IFERROR(__xludf.DUMMYFUNCTION("""COMPUTED_VALUE"""),92.0)</f>
        <v>92</v>
      </c>
      <c r="S770" s="562"/>
      <c r="T770" s="217">
        <f>IFERROR(__xludf.DUMMYFUNCTION("""COMPUTED_VALUE"""),11.0)</f>
        <v>11</v>
      </c>
      <c r="U770" s="217">
        <f>IFERROR(__xludf.DUMMYFUNCTION("""COMPUTED_VALUE"""),20.0)</f>
        <v>20</v>
      </c>
      <c r="V770" s="217">
        <f>IFERROR(__xludf.DUMMYFUNCTION("""COMPUTED_VALUE"""),56.0)</f>
        <v>56</v>
      </c>
      <c r="W770" s="217">
        <f>IFERROR(__xludf.DUMMYFUNCTION("""COMPUTED_VALUE"""),78.0)</f>
        <v>78</v>
      </c>
      <c r="X770" s="217">
        <f>IFERROR(__xludf.DUMMYFUNCTION("""COMPUTED_VALUE"""),84.0)</f>
        <v>84</v>
      </c>
      <c r="Y770" s="217"/>
      <c r="Z770" s="217"/>
      <c r="AA770" s="481">
        <f>IFERROR(__xludf.DUMMYFUNCTION("""COMPUTED_VALUE"""),0.0)</f>
        <v>0</v>
      </c>
      <c r="AB770" s="481">
        <f>IFERROR(__xludf.DUMMYFUNCTION("""COMPUTED_VALUE"""),67.0)</f>
        <v>67</v>
      </c>
      <c r="AC770" s="481">
        <f>IFERROR(__xludf.DUMMYFUNCTION("""COMPUTED_VALUE"""),74.0)</f>
        <v>74</v>
      </c>
      <c r="AD770" s="481">
        <f>IFERROR(__xludf.DUMMYFUNCTION("""COMPUTED_VALUE"""),12.0)</f>
        <v>12</v>
      </c>
      <c r="AE770" s="481">
        <f>IFERROR(__xludf.DUMMYFUNCTION("""COMPUTED_VALUE"""),31.0)</f>
        <v>31</v>
      </c>
      <c r="AF770" s="481"/>
      <c r="AG770" s="481">
        <f>IFERROR(__xludf.DUMMYFUNCTION("""COMPUTED_VALUE"""),80.0)</f>
        <v>80</v>
      </c>
      <c r="AH770" s="481"/>
      <c r="AI770" s="158"/>
      <c r="AJ770" s="158"/>
      <c r="AK770" s="133">
        <f>IFERROR(__xludf.DUMMYFUNCTION("""COMPUTED_VALUE"""),4.0)</f>
        <v>4</v>
      </c>
      <c r="AL770" s="133">
        <f>IFERROR(__xludf.DUMMYFUNCTION("""COMPUTED_VALUE"""),1.0)</f>
        <v>1</v>
      </c>
      <c r="AM770" s="133">
        <f>IFERROR(__xludf.DUMMYFUNCTION("""COMPUTED_VALUE"""),3.0)</f>
        <v>3</v>
      </c>
      <c r="AN770" s="133" t="str">
        <f>IFERROR(__xludf.DUMMYFUNCTION("""COMPUTED_VALUE"""),"3")</f>
        <v>3</v>
      </c>
      <c r="AO770" s="133">
        <f>IFERROR(__xludf.DUMMYFUNCTION("""COMPUTED_VALUE"""),3.0)</f>
        <v>3</v>
      </c>
      <c r="AP770" s="155" t="s">
        <v>3715</v>
      </c>
    </row>
    <row r="771">
      <c r="A771" s="155">
        <f>IFERROR(__xludf.DUMMYFUNCTION("""COMPUTED_VALUE"""),33.0)</f>
        <v>33</v>
      </c>
      <c r="B771" s="155" t="str">
        <f>IFERROR(__xludf.DUMMYFUNCTION("""COMPUTED_VALUE"""),"cha23ainds@cmrit.ac.in")</f>
        <v>cha23ainds@cmrit.ac.in</v>
      </c>
      <c r="C771" s="174" t="str">
        <f>IFERROR(__xludf.DUMMYFUNCTION("""COMPUTED_VALUE"""),"CHANDANA")</f>
        <v>CHANDANA</v>
      </c>
      <c r="D771" s="155" t="str">
        <f>IFERROR(__xludf.DUMMYFUNCTION("""COMPUTED_VALUE"""),"1CR23AD033")</f>
        <v>1CR23AD033</v>
      </c>
      <c r="E771" s="563">
        <f>IFERROR(__xludf.DUMMYFUNCTION("""COMPUTED_VALUE"""),7.337610329E9)</f>
        <v>7337610329</v>
      </c>
      <c r="F771" s="155" t="str">
        <f>IFERROR(__xludf.DUMMYFUNCTION("""COMPUTED_VALUE"""),"AIDS")</f>
        <v>AIDS</v>
      </c>
      <c r="G771" s="158"/>
      <c r="H771" s="559">
        <f>IFERROR(__xludf.DUMMYFUNCTION("""COMPUTED_VALUE"""),75.0)</f>
        <v>75</v>
      </c>
      <c r="I771" s="559">
        <f>IFERROR(__xludf.DUMMYFUNCTION("""COMPUTED_VALUE"""),90.0)</f>
        <v>90</v>
      </c>
      <c r="J771" s="559">
        <f>IFERROR(__xludf.DUMMYFUNCTION("""COMPUTED_VALUE"""),70.0)</f>
        <v>70</v>
      </c>
      <c r="K771" s="559">
        <f>IFERROR(__xludf.DUMMYFUNCTION("""COMPUTED_VALUE"""),72.0)</f>
        <v>72</v>
      </c>
      <c r="L771" s="560">
        <f>IFERROR(__xludf.DUMMYFUNCTION("""COMPUTED_VALUE"""),50.0)</f>
        <v>50</v>
      </c>
      <c r="M771" s="561">
        <f>IFERROR(__xludf.DUMMYFUNCTION("""COMPUTED_VALUE"""),55.0)</f>
        <v>55</v>
      </c>
      <c r="N771" s="561">
        <f>IFERROR(__xludf.DUMMYFUNCTION("""COMPUTED_VALUE"""),60.0)</f>
        <v>60</v>
      </c>
      <c r="O771" s="560"/>
      <c r="P771" s="562">
        <f>IFERROR(__xludf.DUMMYFUNCTION("""COMPUTED_VALUE"""),81.0)</f>
        <v>81</v>
      </c>
      <c r="Q771" s="562">
        <f>IFERROR(__xludf.DUMMYFUNCTION("""COMPUTED_VALUE"""),81.0)</f>
        <v>81</v>
      </c>
      <c r="R771" s="562">
        <f>IFERROR(__xludf.DUMMYFUNCTION("""COMPUTED_VALUE"""),91.0)</f>
        <v>91</v>
      </c>
      <c r="S771" s="562"/>
      <c r="T771" s="217">
        <f>IFERROR(__xludf.DUMMYFUNCTION("""COMPUTED_VALUE"""),10.0)</f>
        <v>10</v>
      </c>
      <c r="U771" s="217">
        <f>IFERROR(__xludf.DUMMYFUNCTION("""COMPUTED_VALUE"""),21.0)</f>
        <v>21</v>
      </c>
      <c r="V771" s="217">
        <f>IFERROR(__xludf.DUMMYFUNCTION("""COMPUTED_VALUE"""),92.0)</f>
        <v>92</v>
      </c>
      <c r="W771" s="217">
        <f>IFERROR(__xludf.DUMMYFUNCTION("""COMPUTED_VALUE"""),86.0)</f>
        <v>86</v>
      </c>
      <c r="X771" s="217">
        <f>IFERROR(__xludf.DUMMYFUNCTION("""COMPUTED_VALUE"""),82.0)</f>
        <v>82</v>
      </c>
      <c r="Y771" s="217"/>
      <c r="Z771" s="217"/>
      <c r="AA771" s="481">
        <f>IFERROR(__xludf.DUMMYFUNCTION("""COMPUTED_VALUE"""),60.2)</f>
        <v>60.2</v>
      </c>
      <c r="AB771" s="481">
        <f>IFERROR(__xludf.DUMMYFUNCTION("""COMPUTED_VALUE"""),75.0)</f>
        <v>75</v>
      </c>
      <c r="AC771" s="481">
        <f>IFERROR(__xludf.DUMMYFUNCTION("""COMPUTED_VALUE"""),60.0)</f>
        <v>60</v>
      </c>
      <c r="AD771" s="481">
        <f>IFERROR(__xludf.DUMMYFUNCTION("""COMPUTED_VALUE"""),62.0)</f>
        <v>62</v>
      </c>
      <c r="AE771" s="481">
        <f>IFERROR(__xludf.DUMMYFUNCTION("""COMPUTED_VALUE"""),79.0)</f>
        <v>79</v>
      </c>
      <c r="AF771" s="481"/>
      <c r="AG771" s="481">
        <f>IFERROR(__xludf.DUMMYFUNCTION("""COMPUTED_VALUE"""),87.0)</f>
        <v>87</v>
      </c>
      <c r="AH771" s="481"/>
      <c r="AI771" s="158"/>
      <c r="AJ771" s="158"/>
      <c r="AK771" s="133">
        <f>IFERROR(__xludf.DUMMYFUNCTION("""COMPUTED_VALUE"""),4.0)</f>
        <v>4</v>
      </c>
      <c r="AL771" s="133">
        <f>IFERROR(__xludf.DUMMYFUNCTION("""COMPUTED_VALUE"""),3.0)</f>
        <v>3</v>
      </c>
      <c r="AM771" s="133">
        <f>IFERROR(__xludf.DUMMYFUNCTION("""COMPUTED_VALUE"""),3.0)</f>
        <v>3</v>
      </c>
      <c r="AN771" s="133" t="str">
        <f>IFERROR(__xludf.DUMMYFUNCTION("""COMPUTED_VALUE"""),"3.5")</f>
        <v>3.5</v>
      </c>
      <c r="AO771" s="133">
        <f>IFERROR(__xludf.DUMMYFUNCTION("""COMPUTED_VALUE"""),3.0)</f>
        <v>3</v>
      </c>
      <c r="AP771" s="155" t="s">
        <v>3715</v>
      </c>
    </row>
    <row r="772">
      <c r="A772" s="155">
        <f>IFERROR(__xludf.DUMMYFUNCTION("""COMPUTED_VALUE"""),34.0)</f>
        <v>34</v>
      </c>
      <c r="B772" s="155" t="str">
        <f>IFERROR(__xludf.DUMMYFUNCTION("""COMPUTED_VALUE"""),"chku23ainds@cmrit.ac.in")</f>
        <v>chku23ainds@cmrit.ac.in</v>
      </c>
      <c r="C772" s="174" t="str">
        <f>IFERROR(__xludf.DUMMYFUNCTION("""COMPUTED_VALUE"""),"CHIKKERI VARUN KUMAR")</f>
        <v>CHIKKERI VARUN KUMAR</v>
      </c>
      <c r="D772" s="155" t="str">
        <f>IFERROR(__xludf.DUMMYFUNCTION("""COMPUTED_VALUE"""),"1CR23AD034")</f>
        <v>1CR23AD034</v>
      </c>
      <c r="E772" s="563">
        <f>IFERROR(__xludf.DUMMYFUNCTION("""COMPUTED_VALUE"""),8.074795936E9)</f>
        <v>8074795936</v>
      </c>
      <c r="F772" s="155" t="str">
        <f>IFERROR(__xludf.DUMMYFUNCTION("""COMPUTED_VALUE"""),"AIDS")</f>
        <v>AIDS</v>
      </c>
      <c r="G772" s="158"/>
      <c r="H772" s="559">
        <f>IFERROR(__xludf.DUMMYFUNCTION("""COMPUTED_VALUE"""),74.0)</f>
        <v>74</v>
      </c>
      <c r="I772" s="559">
        <f>IFERROR(__xludf.DUMMYFUNCTION("""COMPUTED_VALUE"""),72.0)</f>
        <v>72</v>
      </c>
      <c r="J772" s="559">
        <f>IFERROR(__xludf.DUMMYFUNCTION("""COMPUTED_VALUE"""),70.0)</f>
        <v>70</v>
      </c>
      <c r="K772" s="559">
        <f>IFERROR(__xludf.DUMMYFUNCTION("""COMPUTED_VALUE"""),70.0)</f>
        <v>70</v>
      </c>
      <c r="L772" s="560">
        <f>IFERROR(__xludf.DUMMYFUNCTION("""COMPUTED_VALUE"""),21.0)</f>
        <v>21</v>
      </c>
      <c r="M772" s="561">
        <f>IFERROR(__xludf.DUMMYFUNCTION("""COMPUTED_VALUE"""),50.0)</f>
        <v>50</v>
      </c>
      <c r="N772" s="561">
        <f>IFERROR(__xludf.DUMMYFUNCTION("""COMPUTED_VALUE"""),54.0)</f>
        <v>54</v>
      </c>
      <c r="O772" s="560"/>
      <c r="P772" s="562">
        <f>IFERROR(__xludf.DUMMYFUNCTION("""COMPUTED_VALUE"""),50.0)</f>
        <v>50</v>
      </c>
      <c r="Q772" s="562">
        <f>IFERROR(__xludf.DUMMYFUNCTION("""COMPUTED_VALUE"""),50.0)</f>
        <v>50</v>
      </c>
      <c r="R772" s="562">
        <f>IFERROR(__xludf.DUMMYFUNCTION("""COMPUTED_VALUE"""),85.0)</f>
        <v>85</v>
      </c>
      <c r="S772" s="562"/>
      <c r="T772" s="217">
        <f>IFERROR(__xludf.DUMMYFUNCTION("""COMPUTED_VALUE"""),22.0)</f>
        <v>22</v>
      </c>
      <c r="U772" s="217">
        <f>IFERROR(__xludf.DUMMYFUNCTION("""COMPUTED_VALUE"""),25.0)</f>
        <v>25</v>
      </c>
      <c r="V772" s="217">
        <f>IFERROR(__xludf.DUMMYFUNCTION("""COMPUTED_VALUE"""),98.0)</f>
        <v>98</v>
      </c>
      <c r="W772" s="217">
        <f>IFERROR(__xludf.DUMMYFUNCTION("""COMPUTED_VALUE"""),80.0)</f>
        <v>80</v>
      </c>
      <c r="X772" s="217">
        <f>IFERROR(__xludf.DUMMYFUNCTION("""COMPUTED_VALUE"""),90.0)</f>
        <v>90</v>
      </c>
      <c r="Y772" s="217"/>
      <c r="Z772" s="217"/>
      <c r="AA772" s="481">
        <f>IFERROR(__xludf.DUMMYFUNCTION("""COMPUTED_VALUE"""),4.0)</f>
        <v>4</v>
      </c>
      <c r="AB772" s="481">
        <f>IFERROR(__xludf.DUMMYFUNCTION("""COMPUTED_VALUE"""),69.0)</f>
        <v>69</v>
      </c>
      <c r="AC772" s="481">
        <f>IFERROR(__xludf.DUMMYFUNCTION("""COMPUTED_VALUE"""),0.0)</f>
        <v>0</v>
      </c>
      <c r="AD772" s="481">
        <f>IFERROR(__xludf.DUMMYFUNCTION("""COMPUTED_VALUE"""),60.0)</f>
        <v>60</v>
      </c>
      <c r="AE772" s="481">
        <f>IFERROR(__xludf.DUMMYFUNCTION("""COMPUTED_VALUE"""),70.0)</f>
        <v>70</v>
      </c>
      <c r="AF772" s="481"/>
      <c r="AG772" s="481">
        <f>IFERROR(__xludf.DUMMYFUNCTION("""COMPUTED_VALUE"""),85.0)</f>
        <v>85</v>
      </c>
      <c r="AH772" s="481"/>
      <c r="AI772" s="158"/>
      <c r="AJ772" s="158"/>
      <c r="AK772" s="133">
        <f>IFERROR(__xludf.DUMMYFUNCTION("""COMPUTED_VALUE"""),4.0)</f>
        <v>4</v>
      </c>
      <c r="AL772" s="133">
        <f>IFERROR(__xludf.DUMMYFUNCTION("""COMPUTED_VALUE"""),0.0)</f>
        <v>0</v>
      </c>
      <c r="AM772" s="133">
        <f>IFERROR(__xludf.DUMMYFUNCTION("""COMPUTED_VALUE"""),3.0)</f>
        <v>3</v>
      </c>
      <c r="AN772" s="133" t="str">
        <f>IFERROR(__xludf.DUMMYFUNCTION("""COMPUTED_VALUE"""),"3.5")</f>
        <v>3.5</v>
      </c>
      <c r="AO772" s="133">
        <f>IFERROR(__xludf.DUMMYFUNCTION("""COMPUTED_VALUE"""),3.0)</f>
        <v>3</v>
      </c>
      <c r="AP772" s="155" t="s">
        <v>3715</v>
      </c>
    </row>
    <row r="773">
      <c r="A773" s="155">
        <f>IFERROR(__xludf.DUMMYFUNCTION("""COMPUTED_VALUE"""),35.0)</f>
        <v>35</v>
      </c>
      <c r="B773" s="155" t="str">
        <f>IFERROR(__xludf.DUMMYFUNCTION("""COMPUTED_VALUE"""),"dhdh23ainds@cmrit.ac.in")</f>
        <v>dhdh23ainds@cmrit.ac.in</v>
      </c>
      <c r="C773" s="174" t="str">
        <f>IFERROR(__xludf.DUMMYFUNCTION("""COMPUTED_VALUE"""),"DHANUSH K")</f>
        <v>DHANUSH K</v>
      </c>
      <c r="D773" s="155" t="str">
        <f>IFERROR(__xludf.DUMMYFUNCTION("""COMPUTED_VALUE"""),"1CR23AD035")</f>
        <v>1CR23AD035</v>
      </c>
      <c r="E773" s="563">
        <f>IFERROR(__xludf.DUMMYFUNCTION("""COMPUTED_VALUE"""),7.899674989E9)</f>
        <v>7899674989</v>
      </c>
      <c r="F773" s="155" t="str">
        <f>IFERROR(__xludf.DUMMYFUNCTION("""COMPUTED_VALUE"""),"AIDS")</f>
        <v>AIDS</v>
      </c>
      <c r="G773" s="158"/>
      <c r="H773" s="559">
        <f>IFERROR(__xludf.DUMMYFUNCTION("""COMPUTED_VALUE"""),74.0)</f>
        <v>74</v>
      </c>
      <c r="I773" s="559">
        <f>IFERROR(__xludf.DUMMYFUNCTION("""COMPUTED_VALUE"""),78.0)</f>
        <v>78</v>
      </c>
      <c r="J773" s="559">
        <f>IFERROR(__xludf.DUMMYFUNCTION("""COMPUTED_VALUE"""),26.0)</f>
        <v>26</v>
      </c>
      <c r="K773" s="559">
        <f>IFERROR(__xludf.DUMMYFUNCTION("""COMPUTED_VALUE"""),70.0)</f>
        <v>70</v>
      </c>
      <c r="L773" s="560">
        <f>IFERROR(__xludf.DUMMYFUNCTION("""COMPUTED_VALUE"""),24.0)</f>
        <v>24</v>
      </c>
      <c r="M773" s="561">
        <f>IFERROR(__xludf.DUMMYFUNCTION("""COMPUTED_VALUE"""),18.0)</f>
        <v>18</v>
      </c>
      <c r="N773" s="561">
        <f>IFERROR(__xludf.DUMMYFUNCTION("""COMPUTED_VALUE"""),50.0)</f>
        <v>50</v>
      </c>
      <c r="O773" s="560"/>
      <c r="P773" s="562">
        <f>IFERROR(__xludf.DUMMYFUNCTION("""COMPUTED_VALUE"""),77.0)</f>
        <v>77</v>
      </c>
      <c r="Q773" s="562">
        <f>IFERROR(__xludf.DUMMYFUNCTION("""COMPUTED_VALUE"""),50.0)</f>
        <v>50</v>
      </c>
      <c r="R773" s="562">
        <f>IFERROR(__xludf.DUMMYFUNCTION("""COMPUTED_VALUE"""),50.0)</f>
        <v>50</v>
      </c>
      <c r="S773" s="562"/>
      <c r="T773" s="217">
        <f>IFERROR(__xludf.DUMMYFUNCTION("""COMPUTED_VALUE"""),11.0)</f>
        <v>11</v>
      </c>
      <c r="U773" s="217">
        <f>IFERROR(__xludf.DUMMYFUNCTION("""COMPUTED_VALUE"""),9.0)</f>
        <v>9</v>
      </c>
      <c r="V773" s="217">
        <f>IFERROR(__xludf.DUMMYFUNCTION("""COMPUTED_VALUE"""),84.0)</f>
        <v>84</v>
      </c>
      <c r="W773" s="217">
        <f>IFERROR(__xludf.DUMMYFUNCTION("""COMPUTED_VALUE"""),84.0)</f>
        <v>84</v>
      </c>
      <c r="X773" s="217">
        <f>IFERROR(__xludf.DUMMYFUNCTION("""COMPUTED_VALUE"""),68.0)</f>
        <v>68</v>
      </c>
      <c r="Y773" s="217"/>
      <c r="Z773" s="217"/>
      <c r="AA773" s="481">
        <f>IFERROR(__xludf.DUMMYFUNCTION("""COMPUTED_VALUE"""),15.0)</f>
        <v>15</v>
      </c>
      <c r="AB773" s="481">
        <f>IFERROR(__xludf.DUMMYFUNCTION("""COMPUTED_VALUE"""),54.0)</f>
        <v>54</v>
      </c>
      <c r="AC773" s="481">
        <f>IFERROR(__xludf.DUMMYFUNCTION("""COMPUTED_VALUE"""),0.0)</f>
        <v>0</v>
      </c>
      <c r="AD773" s="481">
        <f>IFERROR(__xludf.DUMMYFUNCTION("""COMPUTED_VALUE"""),2.0)</f>
        <v>2</v>
      </c>
      <c r="AE773" s="481">
        <f>IFERROR(__xludf.DUMMYFUNCTION("""COMPUTED_VALUE"""),60.0)</f>
        <v>60</v>
      </c>
      <c r="AF773" s="481"/>
      <c r="AG773" s="481">
        <f>IFERROR(__xludf.DUMMYFUNCTION("""COMPUTED_VALUE"""),32.0)</f>
        <v>32</v>
      </c>
      <c r="AH773" s="481"/>
      <c r="AI773" s="158"/>
      <c r="AJ773" s="158"/>
      <c r="AK773" s="133">
        <f>IFERROR(__xludf.DUMMYFUNCTION("""COMPUTED_VALUE"""),2.0)</f>
        <v>2</v>
      </c>
      <c r="AL773" s="133">
        <f>IFERROR(__xludf.DUMMYFUNCTION("""COMPUTED_VALUE"""),0.0)</f>
        <v>0</v>
      </c>
      <c r="AM773" s="133">
        <f>IFERROR(__xludf.DUMMYFUNCTION("""COMPUTED_VALUE"""),0.0)</f>
        <v>0</v>
      </c>
      <c r="AN773" s="133" t="str">
        <f>IFERROR(__xludf.DUMMYFUNCTION("""COMPUTED_VALUE"""),"2")</f>
        <v>2</v>
      </c>
      <c r="AO773" s="133">
        <f>IFERROR(__xludf.DUMMYFUNCTION("""COMPUTED_VALUE"""),3.0)</f>
        <v>3</v>
      </c>
      <c r="AP773" s="155" t="s">
        <v>3715</v>
      </c>
    </row>
    <row r="774">
      <c r="A774" s="155">
        <f>IFERROR(__xludf.DUMMYFUNCTION("""COMPUTED_VALUE"""),36.0)</f>
        <v>36</v>
      </c>
      <c r="B774" s="155" t="str">
        <f>IFERROR(__xludf.DUMMYFUNCTION("""COMPUTED_VALUE"""),"fina23ainds@cmrit.ac.in")</f>
        <v>fina23ainds@cmrit.ac.in</v>
      </c>
      <c r="C774" s="174" t="str">
        <f>IFERROR(__xludf.DUMMYFUNCTION("""COMPUTED_VALUE"""),"FIZZA NAJAM N ")</f>
        <v>FIZZA NAJAM N </v>
      </c>
      <c r="D774" s="155" t="str">
        <f>IFERROR(__xludf.DUMMYFUNCTION("""COMPUTED_VALUE"""),"1CR23AD036")</f>
        <v>1CR23AD036</v>
      </c>
      <c r="E774" s="563">
        <f>IFERROR(__xludf.DUMMYFUNCTION("""COMPUTED_VALUE"""),6.36601926E9)</f>
        <v>6366019260</v>
      </c>
      <c r="F774" s="155" t="str">
        <f>IFERROR(__xludf.DUMMYFUNCTION("""COMPUTED_VALUE"""),"AIDS")</f>
        <v>AIDS</v>
      </c>
      <c r="G774" s="158"/>
      <c r="H774" s="559">
        <f>IFERROR(__xludf.DUMMYFUNCTION("""COMPUTED_VALUE"""),73.0)</f>
        <v>73</v>
      </c>
      <c r="I774" s="559">
        <f>IFERROR(__xludf.DUMMYFUNCTION("""COMPUTED_VALUE"""),86.0)</f>
        <v>86</v>
      </c>
      <c r="J774" s="559">
        <f>IFERROR(__xludf.DUMMYFUNCTION("""COMPUTED_VALUE"""),70.0)</f>
        <v>70</v>
      </c>
      <c r="K774" s="559">
        <f>IFERROR(__xludf.DUMMYFUNCTION("""COMPUTED_VALUE"""),70.0)</f>
        <v>70</v>
      </c>
      <c r="L774" s="560">
        <f>IFERROR(__xludf.DUMMYFUNCTION("""COMPUTED_VALUE"""),50.0)</f>
        <v>50</v>
      </c>
      <c r="M774" s="561">
        <f>IFERROR(__xludf.DUMMYFUNCTION("""COMPUTED_VALUE"""),23.0)</f>
        <v>23</v>
      </c>
      <c r="N774" s="561">
        <f>IFERROR(__xludf.DUMMYFUNCTION("""COMPUTED_VALUE"""),53.0)</f>
        <v>53</v>
      </c>
      <c r="O774" s="560"/>
      <c r="P774" s="562">
        <f>IFERROR(__xludf.DUMMYFUNCTION("""COMPUTED_VALUE"""),77.0)</f>
        <v>77</v>
      </c>
      <c r="Q774" s="562">
        <f>IFERROR(__xludf.DUMMYFUNCTION("""COMPUTED_VALUE"""),50.0)</f>
        <v>50</v>
      </c>
      <c r="R774" s="562">
        <f>IFERROR(__xludf.DUMMYFUNCTION("""COMPUTED_VALUE"""),92.0)</f>
        <v>92</v>
      </c>
      <c r="S774" s="562"/>
      <c r="T774" s="217">
        <f>IFERROR(__xludf.DUMMYFUNCTION("""COMPUTED_VALUE"""),19.0)</f>
        <v>19</v>
      </c>
      <c r="U774" s="217">
        <f>IFERROR(__xludf.DUMMYFUNCTION("""COMPUTED_VALUE"""),20.0)</f>
        <v>20</v>
      </c>
      <c r="V774" s="217">
        <f>IFERROR(__xludf.DUMMYFUNCTION("""COMPUTED_VALUE"""),74.0)</f>
        <v>74</v>
      </c>
      <c r="W774" s="217">
        <f>IFERROR(__xludf.DUMMYFUNCTION("""COMPUTED_VALUE"""),88.0)</f>
        <v>88</v>
      </c>
      <c r="X774" s="217">
        <f>IFERROR(__xludf.DUMMYFUNCTION("""COMPUTED_VALUE"""),84.0)</f>
        <v>84</v>
      </c>
      <c r="Y774" s="217"/>
      <c r="Z774" s="217"/>
      <c r="AA774" s="481">
        <f>IFERROR(__xludf.DUMMYFUNCTION("""COMPUTED_VALUE"""),0.0)</f>
        <v>0</v>
      </c>
      <c r="AB774" s="481">
        <f>IFERROR(__xludf.DUMMYFUNCTION("""COMPUTED_VALUE"""),69.0)</f>
        <v>69</v>
      </c>
      <c r="AC774" s="481">
        <f>IFERROR(__xludf.DUMMYFUNCTION("""COMPUTED_VALUE"""),0.0)</f>
        <v>0</v>
      </c>
      <c r="AD774" s="481">
        <f>IFERROR(__xludf.DUMMYFUNCTION("""COMPUTED_VALUE"""),1.0)</f>
        <v>1</v>
      </c>
      <c r="AE774" s="481">
        <f>IFERROR(__xludf.DUMMYFUNCTION("""COMPUTED_VALUE"""),20.0)</f>
        <v>20</v>
      </c>
      <c r="AF774" s="481"/>
      <c r="AG774" s="481">
        <f>IFERROR(__xludf.DUMMYFUNCTION("""COMPUTED_VALUE"""),82.0)</f>
        <v>82</v>
      </c>
      <c r="AH774" s="481"/>
      <c r="AI774" s="158"/>
      <c r="AJ774" s="158"/>
      <c r="AK774" s="133">
        <f>IFERROR(__xludf.DUMMYFUNCTION("""COMPUTED_VALUE"""),4.0)</f>
        <v>4</v>
      </c>
      <c r="AL774" s="133">
        <f>IFERROR(__xludf.DUMMYFUNCTION("""COMPUTED_VALUE"""),1.0)</f>
        <v>1</v>
      </c>
      <c r="AM774" s="133">
        <f>IFERROR(__xludf.DUMMYFUNCTION("""COMPUTED_VALUE"""),3.0)</f>
        <v>3</v>
      </c>
      <c r="AN774" s="133" t="str">
        <f>IFERROR(__xludf.DUMMYFUNCTION("""COMPUTED_VALUE"""),"2")</f>
        <v>2</v>
      </c>
      <c r="AO774" s="133">
        <f>IFERROR(__xludf.DUMMYFUNCTION("""COMPUTED_VALUE"""),3.0)</f>
        <v>3</v>
      </c>
      <c r="AP774" s="155" t="s">
        <v>3715</v>
      </c>
    </row>
    <row r="775">
      <c r="A775" s="155">
        <f>IFERROR(__xludf.DUMMYFUNCTION("""COMPUTED_VALUE"""),37.0)</f>
        <v>37</v>
      </c>
      <c r="B775" s="155" t="str">
        <f>IFERROR(__xludf.DUMMYFUNCTION("""COMPUTED_VALUE"""),"gah23ainds@cmrit.ac.in")</f>
        <v>gah23ainds@cmrit.ac.in</v>
      </c>
      <c r="C775" s="174" t="str">
        <f>IFERROR(__xludf.DUMMYFUNCTION("""COMPUTED_VALUE"""),"Gayathri. H")</f>
        <v>Gayathri. H</v>
      </c>
      <c r="D775" s="155" t="str">
        <f>IFERROR(__xludf.DUMMYFUNCTION("""COMPUTED_VALUE"""),"1CR23AD037")</f>
        <v>1CR23AD037</v>
      </c>
      <c r="E775" s="563">
        <f>IFERROR(__xludf.DUMMYFUNCTION("""COMPUTED_VALUE"""),7.338378858E9)</f>
        <v>7338378858</v>
      </c>
      <c r="F775" s="155" t="str">
        <f>IFERROR(__xludf.DUMMYFUNCTION("""COMPUTED_VALUE"""),"AIDS")</f>
        <v>AIDS</v>
      </c>
      <c r="G775" s="158"/>
      <c r="H775" s="559">
        <f>IFERROR(__xludf.DUMMYFUNCTION("""COMPUTED_VALUE"""),76.0)</f>
        <v>76</v>
      </c>
      <c r="I775" s="559">
        <f>IFERROR(__xludf.DUMMYFUNCTION("""COMPUTED_VALUE"""),84.0)</f>
        <v>84</v>
      </c>
      <c r="J775" s="559">
        <f>IFERROR(__xludf.DUMMYFUNCTION("""COMPUTED_VALUE"""),70.0)</f>
        <v>70</v>
      </c>
      <c r="K775" s="559">
        <f>IFERROR(__xludf.DUMMYFUNCTION("""COMPUTED_VALUE"""),74.0)</f>
        <v>74</v>
      </c>
      <c r="L775" s="560">
        <f>IFERROR(__xludf.DUMMYFUNCTION("""COMPUTED_VALUE"""),50.0)</f>
        <v>50</v>
      </c>
      <c r="M775" s="561">
        <f>IFERROR(__xludf.DUMMYFUNCTION("""COMPUTED_VALUE"""),50.0)</f>
        <v>50</v>
      </c>
      <c r="N775" s="561">
        <f>IFERROR(__xludf.DUMMYFUNCTION("""COMPUTED_VALUE"""),50.0)</f>
        <v>50</v>
      </c>
      <c r="O775" s="560"/>
      <c r="P775" s="562">
        <f>IFERROR(__xludf.DUMMYFUNCTION("""COMPUTED_VALUE"""),82.0)</f>
        <v>82</v>
      </c>
      <c r="Q775" s="562">
        <f>IFERROR(__xludf.DUMMYFUNCTION("""COMPUTED_VALUE"""),83.0)</f>
        <v>83</v>
      </c>
      <c r="R775" s="562">
        <f>IFERROR(__xludf.DUMMYFUNCTION("""COMPUTED_VALUE"""),92.0)</f>
        <v>92</v>
      </c>
      <c r="S775" s="562"/>
      <c r="T775" s="217">
        <f>IFERROR(__xludf.DUMMYFUNCTION("""COMPUTED_VALUE"""),22.0)</f>
        <v>22</v>
      </c>
      <c r="U775" s="217">
        <f>IFERROR(__xludf.DUMMYFUNCTION("""COMPUTED_VALUE"""),25.0)</f>
        <v>25</v>
      </c>
      <c r="V775" s="217">
        <f>IFERROR(__xludf.DUMMYFUNCTION("""COMPUTED_VALUE"""),88.0)</f>
        <v>88</v>
      </c>
      <c r="W775" s="217">
        <f>IFERROR(__xludf.DUMMYFUNCTION("""COMPUTED_VALUE"""),86.0)</f>
        <v>86</v>
      </c>
      <c r="X775" s="217">
        <f>IFERROR(__xludf.DUMMYFUNCTION("""COMPUTED_VALUE"""),88.0)</f>
        <v>88</v>
      </c>
      <c r="Y775" s="217"/>
      <c r="Z775" s="217"/>
      <c r="AA775" s="481">
        <f>IFERROR(__xludf.DUMMYFUNCTION("""COMPUTED_VALUE"""),92.0)</f>
        <v>92</v>
      </c>
      <c r="AB775" s="481">
        <f>IFERROR(__xludf.DUMMYFUNCTION("""COMPUTED_VALUE"""),72.0)</f>
        <v>72</v>
      </c>
      <c r="AC775" s="481">
        <f>IFERROR(__xludf.DUMMYFUNCTION("""COMPUTED_VALUE"""),100.0)</f>
        <v>100</v>
      </c>
      <c r="AD775" s="481">
        <f>IFERROR(__xludf.DUMMYFUNCTION("""COMPUTED_VALUE"""),13.0)</f>
        <v>13</v>
      </c>
      <c r="AE775" s="481">
        <f>IFERROR(__xludf.DUMMYFUNCTION("""COMPUTED_VALUE"""),97.0)</f>
        <v>97</v>
      </c>
      <c r="AF775" s="481"/>
      <c r="AG775" s="481">
        <f>IFERROR(__xludf.DUMMYFUNCTION("""COMPUTED_VALUE"""),82.0)</f>
        <v>82</v>
      </c>
      <c r="AH775" s="481"/>
      <c r="AI775" s="158"/>
      <c r="AJ775" s="158"/>
      <c r="AK775" s="133">
        <f>IFERROR(__xludf.DUMMYFUNCTION("""COMPUTED_VALUE"""),4.0)</f>
        <v>4</v>
      </c>
      <c r="AL775" s="133">
        <f>IFERROR(__xludf.DUMMYFUNCTION("""COMPUTED_VALUE"""),3.0)</f>
        <v>3</v>
      </c>
      <c r="AM775" s="133">
        <f>IFERROR(__xludf.DUMMYFUNCTION("""COMPUTED_VALUE"""),3.0)</f>
        <v>3</v>
      </c>
      <c r="AN775" s="133" t="str">
        <f>IFERROR(__xludf.DUMMYFUNCTION("""COMPUTED_VALUE"""),"3.5")</f>
        <v>3.5</v>
      </c>
      <c r="AO775" s="133">
        <f>IFERROR(__xludf.DUMMYFUNCTION("""COMPUTED_VALUE"""),3.0)</f>
        <v>3</v>
      </c>
      <c r="AP775" s="155" t="s">
        <v>3715</v>
      </c>
    </row>
    <row r="776">
      <c r="A776" s="155">
        <f>IFERROR(__xludf.DUMMYFUNCTION("""COMPUTED_VALUE"""),38.0)</f>
        <v>38</v>
      </c>
      <c r="B776" s="155" t="str">
        <f>IFERROR(__xludf.DUMMYFUNCTION("""COMPUTED_VALUE"""),"goya23ainds@cmrit.ac.in")</f>
        <v>goya23ainds@cmrit.ac.in</v>
      </c>
      <c r="C776" s="174" t="str">
        <f>IFERROR(__xludf.DUMMYFUNCTION("""COMPUTED_VALUE"""),"GOGULA REDDY YASHASWINI")</f>
        <v>GOGULA REDDY YASHASWINI</v>
      </c>
      <c r="D776" s="155" t="str">
        <f>IFERROR(__xludf.DUMMYFUNCTION("""COMPUTED_VALUE"""),"1CR23AD038")</f>
        <v>1CR23AD038</v>
      </c>
      <c r="E776" s="563">
        <f>IFERROR(__xludf.DUMMYFUNCTION("""COMPUTED_VALUE"""),9.885731658E9)</f>
        <v>9885731658</v>
      </c>
      <c r="F776" s="155" t="str">
        <f>IFERROR(__xludf.DUMMYFUNCTION("""COMPUTED_VALUE"""),"AIDS")</f>
        <v>AIDS</v>
      </c>
      <c r="G776" s="158"/>
      <c r="H776" s="559">
        <f>IFERROR(__xludf.DUMMYFUNCTION("""COMPUTED_VALUE"""),79.0)</f>
        <v>79</v>
      </c>
      <c r="I776" s="559">
        <f>IFERROR(__xludf.DUMMYFUNCTION("""COMPUTED_VALUE"""),86.0)</f>
        <v>86</v>
      </c>
      <c r="J776" s="559">
        <f>IFERROR(__xludf.DUMMYFUNCTION("""COMPUTED_VALUE"""),80.0)</f>
        <v>80</v>
      </c>
      <c r="K776" s="559">
        <f>IFERROR(__xludf.DUMMYFUNCTION("""COMPUTED_VALUE"""),75.0)</f>
        <v>75</v>
      </c>
      <c r="L776" s="560">
        <f>IFERROR(__xludf.DUMMYFUNCTION("""COMPUTED_VALUE"""),50.0)</f>
        <v>50</v>
      </c>
      <c r="M776" s="561">
        <f>IFERROR(__xludf.DUMMYFUNCTION("""COMPUTED_VALUE"""),50.0)</f>
        <v>50</v>
      </c>
      <c r="N776" s="561">
        <f>IFERROR(__xludf.DUMMYFUNCTION("""COMPUTED_VALUE"""),50.0)</f>
        <v>50</v>
      </c>
      <c r="O776" s="560"/>
      <c r="P776" s="562">
        <f>IFERROR(__xludf.DUMMYFUNCTION("""COMPUTED_VALUE"""),84.0)</f>
        <v>84</v>
      </c>
      <c r="Q776" s="562">
        <f>IFERROR(__xludf.DUMMYFUNCTION("""COMPUTED_VALUE"""),83.0)</f>
        <v>83</v>
      </c>
      <c r="R776" s="562">
        <f>IFERROR(__xludf.DUMMYFUNCTION("""COMPUTED_VALUE"""),93.0)</f>
        <v>93</v>
      </c>
      <c r="S776" s="562"/>
      <c r="T776" s="217">
        <f>IFERROR(__xludf.DUMMYFUNCTION("""COMPUTED_VALUE"""),16.0)</f>
        <v>16</v>
      </c>
      <c r="U776" s="217">
        <f>IFERROR(__xludf.DUMMYFUNCTION("""COMPUTED_VALUE"""),22.0)</f>
        <v>22</v>
      </c>
      <c r="V776" s="217">
        <f>IFERROR(__xludf.DUMMYFUNCTION("""COMPUTED_VALUE"""),92.0)</f>
        <v>92</v>
      </c>
      <c r="W776" s="217">
        <f>IFERROR(__xludf.DUMMYFUNCTION("""COMPUTED_VALUE"""),82.0)</f>
        <v>82</v>
      </c>
      <c r="X776" s="217">
        <f>IFERROR(__xludf.DUMMYFUNCTION("""COMPUTED_VALUE"""),80.0)</f>
        <v>80</v>
      </c>
      <c r="Y776" s="217"/>
      <c r="Z776" s="217"/>
      <c r="AA776" s="481">
        <f>IFERROR(__xludf.DUMMYFUNCTION("""COMPUTED_VALUE"""),4.0)</f>
        <v>4</v>
      </c>
      <c r="AB776" s="481">
        <f>IFERROR(__xludf.DUMMYFUNCTION("""COMPUTED_VALUE"""),50.0)</f>
        <v>50</v>
      </c>
      <c r="AC776" s="481">
        <f>IFERROR(__xludf.DUMMYFUNCTION("""COMPUTED_VALUE"""),90.0)</f>
        <v>90</v>
      </c>
      <c r="AD776" s="481">
        <f>IFERROR(__xludf.DUMMYFUNCTION("""COMPUTED_VALUE"""),17.0)</f>
        <v>17</v>
      </c>
      <c r="AE776" s="481">
        <f>IFERROR(__xludf.DUMMYFUNCTION("""COMPUTED_VALUE"""),75.0)</f>
        <v>75</v>
      </c>
      <c r="AF776" s="481"/>
      <c r="AG776" s="481">
        <f>IFERROR(__xludf.DUMMYFUNCTION("""COMPUTED_VALUE"""),83.0)</f>
        <v>83</v>
      </c>
      <c r="AH776" s="481"/>
      <c r="AI776" s="158"/>
      <c r="AJ776" s="158"/>
      <c r="AK776" s="133">
        <f>IFERROR(__xludf.DUMMYFUNCTION("""COMPUTED_VALUE"""),4.0)</f>
        <v>4</v>
      </c>
      <c r="AL776" s="133">
        <f>IFERROR(__xludf.DUMMYFUNCTION("""COMPUTED_VALUE"""),3.0)</f>
        <v>3</v>
      </c>
      <c r="AM776" s="133">
        <f>IFERROR(__xludf.DUMMYFUNCTION("""COMPUTED_VALUE"""),3.0)</f>
        <v>3</v>
      </c>
      <c r="AN776" s="133" t="str">
        <f>IFERROR(__xludf.DUMMYFUNCTION("""COMPUTED_VALUE"""),"3.5")</f>
        <v>3.5</v>
      </c>
      <c r="AO776" s="133">
        <f>IFERROR(__xludf.DUMMYFUNCTION("""COMPUTED_VALUE"""),3.0)</f>
        <v>3</v>
      </c>
      <c r="AP776" s="155" t="s">
        <v>3715</v>
      </c>
    </row>
    <row r="777">
      <c r="A777" s="155">
        <f>IFERROR(__xludf.DUMMYFUNCTION("""COMPUTED_VALUE"""),39.0)</f>
        <v>39</v>
      </c>
      <c r="B777" s="155" t="str">
        <f>IFERROR(__xludf.DUMMYFUNCTION("""COMPUTED_VALUE"""),"habe23ainds@cmrit.ac.in")</f>
        <v>habe23ainds@cmrit.ac.in</v>
      </c>
      <c r="C777" s="174" t="str">
        <f>IFERROR(__xludf.DUMMYFUNCTION("""COMPUTED_VALUE"""),"HANNAH BETH SHAJAN")</f>
        <v>HANNAH BETH SHAJAN</v>
      </c>
      <c r="D777" s="155" t="str">
        <f>IFERROR(__xludf.DUMMYFUNCTION("""COMPUTED_VALUE"""),"1CR23AD039")</f>
        <v>1CR23AD039</v>
      </c>
      <c r="E777" s="563">
        <f>IFERROR(__xludf.DUMMYFUNCTION("""COMPUTED_VALUE"""),7.89296403E9)</f>
        <v>7892964030</v>
      </c>
      <c r="F777" s="155" t="str">
        <f>IFERROR(__xludf.DUMMYFUNCTION("""COMPUTED_VALUE"""),"AIDS")</f>
        <v>AIDS</v>
      </c>
      <c r="G777" s="158"/>
      <c r="H777" s="559">
        <f>IFERROR(__xludf.DUMMYFUNCTION("""COMPUTED_VALUE"""),79.0)</f>
        <v>79</v>
      </c>
      <c r="I777" s="559">
        <f>IFERROR(__xludf.DUMMYFUNCTION("""COMPUTED_VALUE"""),83.0)</f>
        <v>83</v>
      </c>
      <c r="J777" s="559">
        <f>IFERROR(__xludf.DUMMYFUNCTION("""COMPUTED_VALUE"""),79.0)</f>
        <v>79</v>
      </c>
      <c r="K777" s="559">
        <f>IFERROR(__xludf.DUMMYFUNCTION("""COMPUTED_VALUE"""),70.0)</f>
        <v>70</v>
      </c>
      <c r="L777" s="560">
        <f>IFERROR(__xludf.DUMMYFUNCTION("""COMPUTED_VALUE"""),15.0)</f>
        <v>15</v>
      </c>
      <c r="M777" s="561">
        <f>IFERROR(__xludf.DUMMYFUNCTION("""COMPUTED_VALUE"""),50.0)</f>
        <v>50</v>
      </c>
      <c r="N777" s="561">
        <f>IFERROR(__xludf.DUMMYFUNCTION("""COMPUTED_VALUE"""),50.0)</f>
        <v>50</v>
      </c>
      <c r="O777" s="560"/>
      <c r="P777" s="562">
        <f>IFERROR(__xludf.DUMMYFUNCTION("""COMPUTED_VALUE"""),87.0)</f>
        <v>87</v>
      </c>
      <c r="Q777" s="562">
        <f>IFERROR(__xludf.DUMMYFUNCTION("""COMPUTED_VALUE"""),50.0)</f>
        <v>50</v>
      </c>
      <c r="R777" s="562">
        <f>IFERROR(__xludf.DUMMYFUNCTION("""COMPUTED_VALUE"""),92.0)</f>
        <v>92</v>
      </c>
      <c r="S777" s="562"/>
      <c r="T777" s="217">
        <f>IFERROR(__xludf.DUMMYFUNCTION("""COMPUTED_VALUE"""),16.0)</f>
        <v>16</v>
      </c>
      <c r="U777" s="217">
        <f>IFERROR(__xludf.DUMMYFUNCTION("""COMPUTED_VALUE"""),20.0)</f>
        <v>20</v>
      </c>
      <c r="V777" s="217">
        <f>IFERROR(__xludf.DUMMYFUNCTION("""COMPUTED_VALUE"""),92.0)</f>
        <v>92</v>
      </c>
      <c r="W777" s="217">
        <f>IFERROR(__xludf.DUMMYFUNCTION("""COMPUTED_VALUE"""),64.0)</f>
        <v>64</v>
      </c>
      <c r="X777" s="217">
        <f>IFERROR(__xludf.DUMMYFUNCTION("""COMPUTED_VALUE"""),88.0)</f>
        <v>88</v>
      </c>
      <c r="Y777" s="217"/>
      <c r="Z777" s="217"/>
      <c r="AA777" s="481">
        <f>IFERROR(__xludf.DUMMYFUNCTION("""COMPUTED_VALUE"""),64.0)</f>
        <v>64</v>
      </c>
      <c r="AB777" s="481">
        <f>IFERROR(__xludf.DUMMYFUNCTION("""COMPUTED_VALUE"""),68.0)</f>
        <v>68</v>
      </c>
      <c r="AC777" s="481">
        <f>IFERROR(__xludf.DUMMYFUNCTION("""COMPUTED_VALUE"""),0.0)</f>
        <v>0</v>
      </c>
      <c r="AD777" s="481">
        <f>IFERROR(__xludf.DUMMYFUNCTION("""COMPUTED_VALUE"""),60.0)</f>
        <v>60</v>
      </c>
      <c r="AE777" s="481">
        <f>IFERROR(__xludf.DUMMYFUNCTION("""COMPUTED_VALUE"""),70.0)</f>
        <v>70</v>
      </c>
      <c r="AF777" s="481"/>
      <c r="AG777" s="481">
        <f>IFERROR(__xludf.DUMMYFUNCTION("""COMPUTED_VALUE"""),79.0)</f>
        <v>79</v>
      </c>
      <c r="AH777" s="481"/>
      <c r="AI777" s="158"/>
      <c r="AJ777" s="158"/>
      <c r="AK777" s="133">
        <f>IFERROR(__xludf.DUMMYFUNCTION("""COMPUTED_VALUE"""),4.0)</f>
        <v>4</v>
      </c>
      <c r="AL777" s="133">
        <f>IFERROR(__xludf.DUMMYFUNCTION("""COMPUTED_VALUE"""),0.0)</f>
        <v>0</v>
      </c>
      <c r="AM777" s="133">
        <f>IFERROR(__xludf.DUMMYFUNCTION("""COMPUTED_VALUE"""),3.0)</f>
        <v>3</v>
      </c>
      <c r="AN777" s="133" t="str">
        <f>IFERROR(__xludf.DUMMYFUNCTION("""COMPUTED_VALUE"""),"3.5")</f>
        <v>3.5</v>
      </c>
      <c r="AO777" s="133">
        <f>IFERROR(__xludf.DUMMYFUNCTION("""COMPUTED_VALUE"""),3.0)</f>
        <v>3</v>
      </c>
      <c r="AP777" s="155" t="s">
        <v>3715</v>
      </c>
    </row>
    <row r="778">
      <c r="A778" s="155">
        <f>IFERROR(__xludf.DUMMYFUNCTION("""COMPUTED_VALUE"""),40.0)</f>
        <v>40</v>
      </c>
      <c r="B778" s="155" t="str">
        <f>IFERROR(__xludf.DUMMYFUNCTION("""COMPUTED_VALUE"""),"hasj23ainds@cmrit.ac.in")</f>
        <v>hasj23ainds@cmrit.ac.in</v>
      </c>
      <c r="C778" s="174" t="str">
        <f>IFERROR(__xludf.DUMMYFUNCTION("""COMPUTED_VALUE"""),"HARSHIL S JADHAV ")</f>
        <v>HARSHIL S JADHAV </v>
      </c>
      <c r="D778" s="155" t="str">
        <f>IFERROR(__xludf.DUMMYFUNCTION("""COMPUTED_VALUE"""),"1CR23AD040")</f>
        <v>1CR23AD040</v>
      </c>
      <c r="E778" s="563">
        <f>IFERROR(__xludf.DUMMYFUNCTION("""COMPUTED_VALUE"""),9.845544254E9)</f>
        <v>9845544254</v>
      </c>
      <c r="F778" s="155" t="str">
        <f>IFERROR(__xludf.DUMMYFUNCTION("""COMPUTED_VALUE"""),"AIDS")</f>
        <v>AIDS</v>
      </c>
      <c r="G778" s="158"/>
      <c r="H778" s="559">
        <f>IFERROR(__xludf.DUMMYFUNCTION("""COMPUTED_VALUE"""),74.0)</f>
        <v>74</v>
      </c>
      <c r="I778" s="559">
        <f>IFERROR(__xludf.DUMMYFUNCTION("""COMPUTED_VALUE"""),75.0)</f>
        <v>75</v>
      </c>
      <c r="J778" s="559">
        <f>IFERROR(__xludf.DUMMYFUNCTION("""COMPUTED_VALUE"""),70.0)</f>
        <v>70</v>
      </c>
      <c r="K778" s="559">
        <f>IFERROR(__xludf.DUMMYFUNCTION("""COMPUTED_VALUE"""),70.0)</f>
        <v>70</v>
      </c>
      <c r="L778" s="560">
        <f>IFERROR(__xludf.DUMMYFUNCTION("""COMPUTED_VALUE"""),50.0)</f>
        <v>50</v>
      </c>
      <c r="M778" s="561">
        <f>IFERROR(__xludf.DUMMYFUNCTION("""COMPUTED_VALUE"""),50.0)</f>
        <v>50</v>
      </c>
      <c r="N778" s="561">
        <f>IFERROR(__xludf.DUMMYFUNCTION("""COMPUTED_VALUE"""),60.0)</f>
        <v>60</v>
      </c>
      <c r="O778" s="560"/>
      <c r="P778" s="562">
        <f>IFERROR(__xludf.DUMMYFUNCTION("""COMPUTED_VALUE"""),82.0)</f>
        <v>82</v>
      </c>
      <c r="Q778" s="562">
        <f>IFERROR(__xludf.DUMMYFUNCTION("""COMPUTED_VALUE"""),65.0)</f>
        <v>65</v>
      </c>
      <c r="R778" s="562">
        <f>IFERROR(__xludf.DUMMYFUNCTION("""COMPUTED_VALUE"""),82.0)</f>
        <v>82</v>
      </c>
      <c r="S778" s="562"/>
      <c r="T778" s="217">
        <f>IFERROR(__xludf.DUMMYFUNCTION("""COMPUTED_VALUE"""),11.0)</f>
        <v>11</v>
      </c>
      <c r="U778" s="217">
        <f>IFERROR(__xludf.DUMMYFUNCTION("""COMPUTED_VALUE"""),25.0)</f>
        <v>25</v>
      </c>
      <c r="V778" s="217">
        <f>IFERROR(__xludf.DUMMYFUNCTION("""COMPUTED_VALUE"""),98.0)</f>
        <v>98</v>
      </c>
      <c r="W778" s="217">
        <f>IFERROR(__xludf.DUMMYFUNCTION("""COMPUTED_VALUE"""),78.0)</f>
        <v>78</v>
      </c>
      <c r="X778" s="217">
        <f>IFERROR(__xludf.DUMMYFUNCTION("""COMPUTED_VALUE"""),82.0)</f>
        <v>82</v>
      </c>
      <c r="Y778" s="217"/>
      <c r="Z778" s="217"/>
      <c r="AA778" s="481">
        <f>IFERROR(__xludf.DUMMYFUNCTION("""COMPUTED_VALUE"""),11.0)</f>
        <v>11</v>
      </c>
      <c r="AB778" s="481">
        <f>IFERROR(__xludf.DUMMYFUNCTION("""COMPUTED_VALUE"""),54.0)</f>
        <v>54</v>
      </c>
      <c r="AC778" s="481">
        <f>IFERROR(__xludf.DUMMYFUNCTION("""COMPUTED_VALUE"""),0.0)</f>
        <v>0</v>
      </c>
      <c r="AD778" s="481">
        <f>IFERROR(__xludf.DUMMYFUNCTION("""COMPUTED_VALUE"""),0.0)</f>
        <v>0</v>
      </c>
      <c r="AE778" s="481">
        <f>IFERROR(__xludf.DUMMYFUNCTION("""COMPUTED_VALUE"""),20.0)</f>
        <v>20</v>
      </c>
      <c r="AF778" s="481"/>
      <c r="AG778" s="481">
        <f>IFERROR(__xludf.DUMMYFUNCTION("""COMPUTED_VALUE"""),70.0)</f>
        <v>70</v>
      </c>
      <c r="AH778" s="481"/>
      <c r="AI778" s="158"/>
      <c r="AJ778" s="158"/>
      <c r="AK778" s="133">
        <f>IFERROR(__xludf.DUMMYFUNCTION("""COMPUTED_VALUE"""),4.0)</f>
        <v>4</v>
      </c>
      <c r="AL778" s="133">
        <f>IFERROR(__xludf.DUMMYFUNCTION("""COMPUTED_VALUE"""),3.0)</f>
        <v>3</v>
      </c>
      <c r="AM778" s="133">
        <f>IFERROR(__xludf.DUMMYFUNCTION("""COMPUTED_VALUE"""),3.0)</f>
        <v>3</v>
      </c>
      <c r="AN778" s="133" t="str">
        <f>IFERROR(__xludf.DUMMYFUNCTION("""COMPUTED_VALUE"""),"2")</f>
        <v>2</v>
      </c>
      <c r="AO778" s="133">
        <f>IFERROR(__xludf.DUMMYFUNCTION("""COMPUTED_VALUE"""),3.0)</f>
        <v>3</v>
      </c>
      <c r="AP778" s="155" t="s">
        <v>3715</v>
      </c>
    </row>
    <row r="779">
      <c r="A779" s="155">
        <f>IFERROR(__xludf.DUMMYFUNCTION("""COMPUTED_VALUE"""),41.0)</f>
        <v>41</v>
      </c>
      <c r="B779" s="155" t="str">
        <f>IFERROR(__xludf.DUMMYFUNCTION("""COMPUTED_VALUE"""),"haas23ainds@cmrit.ac.in")</f>
        <v>haas23ainds@cmrit.ac.in</v>
      </c>
      <c r="C779" s="174" t="str">
        <f>IFERROR(__xludf.DUMMYFUNCTION("""COMPUTED_VALUE"""),"HARSHINI ASAPU")</f>
        <v>HARSHINI ASAPU</v>
      </c>
      <c r="D779" s="155" t="str">
        <f>IFERROR(__xludf.DUMMYFUNCTION("""COMPUTED_VALUE"""),"1CR23AD041")</f>
        <v>1CR23AD041</v>
      </c>
      <c r="E779" s="563">
        <f>IFERROR(__xludf.DUMMYFUNCTION("""COMPUTED_VALUE"""),8.951257624E9)</f>
        <v>8951257624</v>
      </c>
      <c r="F779" s="155" t="str">
        <f>IFERROR(__xludf.DUMMYFUNCTION("""COMPUTED_VALUE"""),"AIDS")</f>
        <v>AIDS</v>
      </c>
      <c r="G779" s="158"/>
      <c r="H779" s="559">
        <f>IFERROR(__xludf.DUMMYFUNCTION("""COMPUTED_VALUE"""),82.0)</f>
        <v>82</v>
      </c>
      <c r="I779" s="559">
        <f>IFERROR(__xludf.DUMMYFUNCTION("""COMPUTED_VALUE"""),92.0)</f>
        <v>92</v>
      </c>
      <c r="J779" s="559">
        <f>IFERROR(__xludf.DUMMYFUNCTION("""COMPUTED_VALUE"""),79.0)</f>
        <v>79</v>
      </c>
      <c r="K779" s="559">
        <f>IFERROR(__xludf.DUMMYFUNCTION("""COMPUTED_VALUE"""),70.0)</f>
        <v>70</v>
      </c>
      <c r="L779" s="560">
        <f>IFERROR(__xludf.DUMMYFUNCTION("""COMPUTED_VALUE"""),52.0)</f>
        <v>52</v>
      </c>
      <c r="M779" s="561">
        <f>IFERROR(__xludf.DUMMYFUNCTION("""COMPUTED_VALUE"""),61.0)</f>
        <v>61</v>
      </c>
      <c r="N779" s="561">
        <f>IFERROR(__xludf.DUMMYFUNCTION("""COMPUTED_VALUE"""),66.0)</f>
        <v>66</v>
      </c>
      <c r="O779" s="560"/>
      <c r="P779" s="562">
        <f>IFERROR(__xludf.DUMMYFUNCTION("""COMPUTED_VALUE"""),84.0)</f>
        <v>84</v>
      </c>
      <c r="Q779" s="562">
        <f>IFERROR(__xludf.DUMMYFUNCTION("""COMPUTED_VALUE"""),50.0)</f>
        <v>50</v>
      </c>
      <c r="R779" s="562">
        <f>IFERROR(__xludf.DUMMYFUNCTION("""COMPUTED_VALUE"""),87.0)</f>
        <v>87</v>
      </c>
      <c r="S779" s="562"/>
      <c r="T779" s="217">
        <f>IFERROR(__xludf.DUMMYFUNCTION("""COMPUTED_VALUE"""),13.0)</f>
        <v>13</v>
      </c>
      <c r="U779" s="217">
        <f>IFERROR(__xludf.DUMMYFUNCTION("""COMPUTED_VALUE"""),21.0)</f>
        <v>21</v>
      </c>
      <c r="V779" s="217">
        <f>IFERROR(__xludf.DUMMYFUNCTION("""COMPUTED_VALUE"""),74.0)</f>
        <v>74</v>
      </c>
      <c r="W779" s="217">
        <f>IFERROR(__xludf.DUMMYFUNCTION("""COMPUTED_VALUE"""),80.0)</f>
        <v>80</v>
      </c>
      <c r="X779" s="217">
        <f>IFERROR(__xludf.DUMMYFUNCTION("""COMPUTED_VALUE"""),86.0)</f>
        <v>86</v>
      </c>
      <c r="Y779" s="217"/>
      <c r="Z779" s="217"/>
      <c r="AA779" s="481">
        <f>IFERROR(__xludf.DUMMYFUNCTION("""COMPUTED_VALUE"""),90.0)</f>
        <v>90</v>
      </c>
      <c r="AB779" s="481">
        <f>IFERROR(__xludf.DUMMYFUNCTION("""COMPUTED_VALUE"""),75.0)</f>
        <v>75</v>
      </c>
      <c r="AC779" s="481">
        <f>IFERROR(__xludf.DUMMYFUNCTION("""COMPUTED_VALUE"""),70.0)</f>
        <v>70</v>
      </c>
      <c r="AD779" s="481">
        <f>IFERROR(__xludf.DUMMYFUNCTION("""COMPUTED_VALUE"""),90.0)</f>
        <v>90</v>
      </c>
      <c r="AE779" s="481">
        <f>IFERROR(__xludf.DUMMYFUNCTION("""COMPUTED_VALUE"""),70.0)</f>
        <v>70</v>
      </c>
      <c r="AF779" s="481"/>
      <c r="AG779" s="481">
        <f>IFERROR(__xludf.DUMMYFUNCTION("""COMPUTED_VALUE"""),87.0)</f>
        <v>87</v>
      </c>
      <c r="AH779" s="481"/>
      <c r="AI779" s="158"/>
      <c r="AJ779" s="158"/>
      <c r="AK779" s="133">
        <f>IFERROR(__xludf.DUMMYFUNCTION("""COMPUTED_VALUE"""),4.0)</f>
        <v>4</v>
      </c>
      <c r="AL779" s="133">
        <f>IFERROR(__xludf.DUMMYFUNCTION("""COMPUTED_VALUE"""),3.0)</f>
        <v>3</v>
      </c>
      <c r="AM779" s="133">
        <f>IFERROR(__xludf.DUMMYFUNCTION("""COMPUTED_VALUE"""),3.0)</f>
        <v>3</v>
      </c>
      <c r="AN779" s="133" t="str">
        <f>IFERROR(__xludf.DUMMYFUNCTION("""COMPUTED_VALUE"""),"3.5")</f>
        <v>3.5</v>
      </c>
      <c r="AO779" s="133">
        <f>IFERROR(__xludf.DUMMYFUNCTION("""COMPUTED_VALUE"""),3.0)</f>
        <v>3</v>
      </c>
      <c r="AP779" s="155" t="s">
        <v>3715</v>
      </c>
    </row>
    <row r="780">
      <c r="A780" s="155">
        <f>IFERROR(__xludf.DUMMYFUNCTION("""COMPUTED_VALUE"""),42.0)</f>
        <v>42</v>
      </c>
      <c r="B780" s="155" t="str">
        <f>IFERROR(__xludf.DUMMYFUNCTION("""COMPUTED_VALUE"""),"habm23ainds@cmrit.ac.in")</f>
        <v>habm23ainds@cmrit.ac.in</v>
      </c>
      <c r="C780" s="174" t="str">
        <f>IFERROR(__xludf.DUMMYFUNCTION("""COMPUTED_VALUE"""),"Harshitha BM")</f>
        <v>Harshitha BM</v>
      </c>
      <c r="D780" s="155" t="str">
        <f>IFERROR(__xludf.DUMMYFUNCTION("""COMPUTED_VALUE"""),"1CR23AD042")</f>
        <v>1CR23AD042</v>
      </c>
      <c r="E780" s="563">
        <f>IFERROR(__xludf.DUMMYFUNCTION("""COMPUTED_VALUE"""),8.088038079E9)</f>
        <v>8088038079</v>
      </c>
      <c r="F780" s="155" t="str">
        <f>IFERROR(__xludf.DUMMYFUNCTION("""COMPUTED_VALUE"""),"AIDS")</f>
        <v>AIDS</v>
      </c>
      <c r="G780" s="158"/>
      <c r="H780" s="559">
        <f>IFERROR(__xludf.DUMMYFUNCTION("""COMPUTED_VALUE"""),70.0)</f>
        <v>70</v>
      </c>
      <c r="I780" s="559">
        <f>IFERROR(__xludf.DUMMYFUNCTION("""COMPUTED_VALUE"""),81.0)</f>
        <v>81</v>
      </c>
      <c r="J780" s="559">
        <f>IFERROR(__xludf.DUMMYFUNCTION("""COMPUTED_VALUE"""),70.0)</f>
        <v>70</v>
      </c>
      <c r="K780" s="559">
        <f>IFERROR(__xludf.DUMMYFUNCTION("""COMPUTED_VALUE"""),70.0)</f>
        <v>70</v>
      </c>
      <c r="L780" s="560">
        <f>IFERROR(__xludf.DUMMYFUNCTION("""COMPUTED_VALUE"""),29.0)</f>
        <v>29</v>
      </c>
      <c r="M780" s="561">
        <f>IFERROR(__xludf.DUMMYFUNCTION("""COMPUTED_VALUE"""),12.0)</f>
        <v>12</v>
      </c>
      <c r="N780" s="561">
        <f>IFERROR(__xludf.DUMMYFUNCTION("""COMPUTED_VALUE"""),9.0)</f>
        <v>9</v>
      </c>
      <c r="O780" s="560"/>
      <c r="P780" s="562">
        <f>IFERROR(__xludf.DUMMYFUNCTION("""COMPUTED_VALUE"""),77.0)</f>
        <v>77</v>
      </c>
      <c r="Q780" s="562">
        <f>IFERROR(__xludf.DUMMYFUNCTION("""COMPUTED_VALUE"""),83.0)</f>
        <v>83</v>
      </c>
      <c r="R780" s="562">
        <f>IFERROR(__xludf.DUMMYFUNCTION("""COMPUTED_VALUE"""),0.0)</f>
        <v>0</v>
      </c>
      <c r="S780" s="562"/>
      <c r="T780" s="217">
        <f>IFERROR(__xludf.DUMMYFUNCTION("""COMPUTED_VALUE"""),14.0)</f>
        <v>14</v>
      </c>
      <c r="U780" s="217">
        <f>IFERROR(__xludf.DUMMYFUNCTION("""COMPUTED_VALUE"""),24.0)</f>
        <v>24</v>
      </c>
      <c r="V780" s="217">
        <f>IFERROR(__xludf.DUMMYFUNCTION("""COMPUTED_VALUE"""),88.0)</f>
        <v>88</v>
      </c>
      <c r="W780" s="217">
        <f>IFERROR(__xludf.DUMMYFUNCTION("""COMPUTED_VALUE"""),84.0)</f>
        <v>84</v>
      </c>
      <c r="X780" s="217">
        <f>IFERROR(__xludf.DUMMYFUNCTION("""COMPUTED_VALUE"""),78.0)</f>
        <v>78</v>
      </c>
      <c r="Y780" s="217"/>
      <c r="Z780" s="217"/>
      <c r="AA780" s="481">
        <f>IFERROR(__xludf.DUMMYFUNCTION("""COMPUTED_VALUE"""),10.2)</f>
        <v>10.2</v>
      </c>
      <c r="AB780" s="481">
        <f>IFERROR(__xludf.DUMMYFUNCTION("""COMPUTED_VALUE"""),64.0)</f>
        <v>64</v>
      </c>
      <c r="AC780" s="481">
        <f>IFERROR(__xludf.DUMMYFUNCTION("""COMPUTED_VALUE"""),74.0)</f>
        <v>74</v>
      </c>
      <c r="AD780" s="481">
        <f>IFERROR(__xludf.DUMMYFUNCTION("""COMPUTED_VALUE"""),1.0)</f>
        <v>1</v>
      </c>
      <c r="AE780" s="481">
        <f>IFERROR(__xludf.DUMMYFUNCTION("""COMPUTED_VALUE"""),20.0)</f>
        <v>20</v>
      </c>
      <c r="AF780" s="481"/>
      <c r="AG780" s="481">
        <f>IFERROR(__xludf.DUMMYFUNCTION("""COMPUTED_VALUE"""),24.0)</f>
        <v>24</v>
      </c>
      <c r="AH780" s="481"/>
      <c r="AI780" s="158"/>
      <c r="AJ780" s="158"/>
      <c r="AK780" s="133">
        <f>IFERROR(__xludf.DUMMYFUNCTION("""COMPUTED_VALUE"""),4.0)</f>
        <v>4</v>
      </c>
      <c r="AL780" s="133">
        <f>IFERROR(__xludf.DUMMYFUNCTION("""COMPUTED_VALUE"""),0.0)</f>
        <v>0</v>
      </c>
      <c r="AM780" s="133">
        <f>IFERROR(__xludf.DUMMYFUNCTION("""COMPUTED_VALUE"""),3.0)</f>
        <v>3</v>
      </c>
      <c r="AN780" s="133" t="str">
        <f>IFERROR(__xludf.DUMMYFUNCTION("""COMPUTED_VALUE"""),"3")</f>
        <v>3</v>
      </c>
      <c r="AO780" s="133">
        <f>IFERROR(__xludf.DUMMYFUNCTION("""COMPUTED_VALUE"""),2.0)</f>
        <v>2</v>
      </c>
      <c r="AP780" s="155" t="s">
        <v>3715</v>
      </c>
    </row>
    <row r="781">
      <c r="A781" s="155">
        <f>IFERROR(__xludf.DUMMYFUNCTION("""COMPUTED_VALUE"""),43.0)</f>
        <v>43</v>
      </c>
      <c r="B781" s="155" t="str">
        <f>IFERROR(__xludf.DUMMYFUNCTION("""COMPUTED_VALUE"""),"hak23ainds@cmrit.ac.in")</f>
        <v>hak23ainds@cmrit.ac.in</v>
      </c>
      <c r="C781" s="174" t="str">
        <f>IFERROR(__xludf.DUMMYFUNCTION("""COMPUTED_VALUE"""),"Harshitha K")</f>
        <v>Harshitha K</v>
      </c>
      <c r="D781" s="155" t="str">
        <f>IFERROR(__xludf.DUMMYFUNCTION("""COMPUTED_VALUE"""),"1CR23AD043")</f>
        <v>1CR23AD043</v>
      </c>
      <c r="E781" s="563">
        <f>IFERROR(__xludf.DUMMYFUNCTION("""COMPUTED_VALUE"""),6.363444591E9)</f>
        <v>6363444591</v>
      </c>
      <c r="F781" s="155" t="str">
        <f>IFERROR(__xludf.DUMMYFUNCTION("""COMPUTED_VALUE"""),"AIDS")</f>
        <v>AIDS</v>
      </c>
      <c r="G781" s="158"/>
      <c r="H781" s="559">
        <f>IFERROR(__xludf.DUMMYFUNCTION("""COMPUTED_VALUE"""),80.0)</f>
        <v>80</v>
      </c>
      <c r="I781" s="559">
        <f>IFERROR(__xludf.DUMMYFUNCTION("""COMPUTED_VALUE"""),87.0)</f>
        <v>87</v>
      </c>
      <c r="J781" s="559">
        <f>IFERROR(__xludf.DUMMYFUNCTION("""COMPUTED_VALUE"""),70.0)</f>
        <v>70</v>
      </c>
      <c r="K781" s="559">
        <f>IFERROR(__xludf.DUMMYFUNCTION("""COMPUTED_VALUE"""),74.0)</f>
        <v>74</v>
      </c>
      <c r="L781" s="560">
        <f>IFERROR(__xludf.DUMMYFUNCTION("""COMPUTED_VALUE"""),50.0)</f>
        <v>50</v>
      </c>
      <c r="M781" s="561">
        <f>IFERROR(__xludf.DUMMYFUNCTION("""COMPUTED_VALUE"""),19.0)</f>
        <v>19</v>
      </c>
      <c r="N781" s="561">
        <f>IFERROR(__xludf.DUMMYFUNCTION("""COMPUTED_VALUE"""),50.0)</f>
        <v>50</v>
      </c>
      <c r="O781" s="560"/>
      <c r="P781" s="562">
        <f>IFERROR(__xludf.DUMMYFUNCTION("""COMPUTED_VALUE"""),85.0)</f>
        <v>85</v>
      </c>
      <c r="Q781" s="562">
        <f>IFERROR(__xludf.DUMMYFUNCTION("""COMPUTED_VALUE"""),50.0)</f>
        <v>50</v>
      </c>
      <c r="R781" s="562">
        <f>IFERROR(__xludf.DUMMYFUNCTION("""COMPUTED_VALUE"""),82.0)</f>
        <v>82</v>
      </c>
      <c r="S781" s="562"/>
      <c r="T781" s="217">
        <f>IFERROR(__xludf.DUMMYFUNCTION("""COMPUTED_VALUE"""),20.0)</f>
        <v>20</v>
      </c>
      <c r="U781" s="217">
        <f>IFERROR(__xludf.DUMMYFUNCTION("""COMPUTED_VALUE"""),22.0)</f>
        <v>22</v>
      </c>
      <c r="V781" s="217">
        <f>IFERROR(__xludf.DUMMYFUNCTION("""COMPUTED_VALUE"""),82.0)</f>
        <v>82</v>
      </c>
      <c r="W781" s="217">
        <f>IFERROR(__xludf.DUMMYFUNCTION("""COMPUTED_VALUE"""),76.0)</f>
        <v>76</v>
      </c>
      <c r="X781" s="217">
        <f>IFERROR(__xludf.DUMMYFUNCTION("""COMPUTED_VALUE"""),80.0)</f>
        <v>80</v>
      </c>
      <c r="Y781" s="217"/>
      <c r="Z781" s="217"/>
      <c r="AA781" s="481">
        <f>IFERROR(__xludf.DUMMYFUNCTION("""COMPUTED_VALUE"""),21.4)</f>
        <v>21.4</v>
      </c>
      <c r="AB781" s="481">
        <f>IFERROR(__xludf.DUMMYFUNCTION("""COMPUTED_VALUE"""),57.0)</f>
        <v>57</v>
      </c>
      <c r="AC781" s="481">
        <f>IFERROR(__xludf.DUMMYFUNCTION("""COMPUTED_VALUE"""),0.0)</f>
        <v>0</v>
      </c>
      <c r="AD781" s="481">
        <f>IFERROR(__xludf.DUMMYFUNCTION("""COMPUTED_VALUE"""),0.0)</f>
        <v>0</v>
      </c>
      <c r="AE781" s="481">
        <f>IFERROR(__xludf.DUMMYFUNCTION("""COMPUTED_VALUE"""),20.0)</f>
        <v>20</v>
      </c>
      <c r="AF781" s="481"/>
      <c r="AG781" s="481">
        <f>IFERROR(__xludf.DUMMYFUNCTION("""COMPUTED_VALUE"""),77.0)</f>
        <v>77</v>
      </c>
      <c r="AH781" s="481"/>
      <c r="AI781" s="158"/>
      <c r="AJ781" s="158"/>
      <c r="AK781" s="133">
        <f>IFERROR(__xludf.DUMMYFUNCTION("""COMPUTED_VALUE"""),4.0)</f>
        <v>4</v>
      </c>
      <c r="AL781" s="133">
        <f>IFERROR(__xludf.DUMMYFUNCTION("""COMPUTED_VALUE"""),1.0)</f>
        <v>1</v>
      </c>
      <c r="AM781" s="133">
        <f>IFERROR(__xludf.DUMMYFUNCTION("""COMPUTED_VALUE"""),3.0)</f>
        <v>3</v>
      </c>
      <c r="AN781" s="133" t="str">
        <f>IFERROR(__xludf.DUMMYFUNCTION("""COMPUTED_VALUE"""),"2")</f>
        <v>2</v>
      </c>
      <c r="AO781" s="133">
        <f>IFERROR(__xludf.DUMMYFUNCTION("""COMPUTED_VALUE"""),3.0)</f>
        <v>3</v>
      </c>
      <c r="AP781" s="155" t="s">
        <v>3715</v>
      </c>
    </row>
    <row r="782">
      <c r="A782" s="155">
        <f>IFERROR(__xludf.DUMMYFUNCTION("""COMPUTED_VALUE"""),44.0)</f>
        <v>44</v>
      </c>
      <c r="B782" s="155" t="str">
        <f>IFERROR(__xludf.DUMMYFUNCTION("""COMPUTED_VALUE"""),"hebs23ainds@cmrit.ac.in")</f>
        <v>hebs23ainds@cmrit.ac.in</v>
      </c>
      <c r="C782" s="174" t="str">
        <f>IFERROR(__xludf.DUMMYFUNCTION("""COMPUTED_VALUE"""),"HEMANTH B S")</f>
        <v>HEMANTH B S</v>
      </c>
      <c r="D782" s="155" t="str">
        <f>IFERROR(__xludf.DUMMYFUNCTION("""COMPUTED_VALUE"""),"1CR23AD044")</f>
        <v>1CR23AD044</v>
      </c>
      <c r="E782" s="563">
        <f>IFERROR(__xludf.DUMMYFUNCTION("""COMPUTED_VALUE"""),6.361513811E9)</f>
        <v>6361513811</v>
      </c>
      <c r="F782" s="155" t="str">
        <f>IFERROR(__xludf.DUMMYFUNCTION("""COMPUTED_VALUE"""),"AIDS")</f>
        <v>AIDS</v>
      </c>
      <c r="G782" s="158"/>
      <c r="H782" s="559">
        <f>IFERROR(__xludf.DUMMYFUNCTION("""COMPUTED_VALUE"""),71.0)</f>
        <v>71</v>
      </c>
      <c r="I782" s="559">
        <f>IFERROR(__xludf.DUMMYFUNCTION("""COMPUTED_VALUE"""),81.0)</f>
        <v>81</v>
      </c>
      <c r="J782" s="559">
        <f>IFERROR(__xludf.DUMMYFUNCTION("""COMPUTED_VALUE"""),70.0)</f>
        <v>70</v>
      </c>
      <c r="K782" s="559">
        <f>IFERROR(__xludf.DUMMYFUNCTION("""COMPUTED_VALUE"""),70.0)</f>
        <v>70</v>
      </c>
      <c r="L782" s="560">
        <f>IFERROR(__xludf.DUMMYFUNCTION("""COMPUTED_VALUE"""),50.0)</f>
        <v>50</v>
      </c>
      <c r="M782" s="561">
        <f>IFERROR(__xludf.DUMMYFUNCTION("""COMPUTED_VALUE"""),10.0)</f>
        <v>10</v>
      </c>
      <c r="N782" s="561">
        <f>IFERROR(__xludf.DUMMYFUNCTION("""COMPUTED_VALUE"""),52.0)</f>
        <v>52</v>
      </c>
      <c r="O782" s="560"/>
      <c r="P782" s="562">
        <f>IFERROR(__xludf.DUMMYFUNCTION("""COMPUTED_VALUE"""),85.0)</f>
        <v>85</v>
      </c>
      <c r="Q782" s="562">
        <f>IFERROR(__xludf.DUMMYFUNCTION("""COMPUTED_VALUE"""),50.0)</f>
        <v>50</v>
      </c>
      <c r="R782" s="562">
        <f>IFERROR(__xludf.DUMMYFUNCTION("""COMPUTED_VALUE"""),83.0)</f>
        <v>83</v>
      </c>
      <c r="S782" s="562"/>
      <c r="T782" s="217">
        <f>IFERROR(__xludf.DUMMYFUNCTION("""COMPUTED_VALUE"""),16.0)</f>
        <v>16</v>
      </c>
      <c r="U782" s="217">
        <f>IFERROR(__xludf.DUMMYFUNCTION("""COMPUTED_VALUE"""),19.0)</f>
        <v>19</v>
      </c>
      <c r="V782" s="217">
        <f>IFERROR(__xludf.DUMMYFUNCTION("""COMPUTED_VALUE"""),90.0)</f>
        <v>90</v>
      </c>
      <c r="W782" s="217">
        <f>IFERROR(__xludf.DUMMYFUNCTION("""COMPUTED_VALUE"""),70.0)</f>
        <v>70</v>
      </c>
      <c r="X782" s="217">
        <f>IFERROR(__xludf.DUMMYFUNCTION("""COMPUTED_VALUE"""),76.0)</f>
        <v>76</v>
      </c>
      <c r="Y782" s="217"/>
      <c r="Z782" s="217"/>
      <c r="AA782" s="481">
        <f>IFERROR(__xludf.DUMMYFUNCTION("""COMPUTED_VALUE"""),0.0)</f>
        <v>0</v>
      </c>
      <c r="AB782" s="481">
        <f>IFERROR(__xludf.DUMMYFUNCTION("""COMPUTED_VALUE"""),27.0)</f>
        <v>27</v>
      </c>
      <c r="AC782" s="481">
        <f>IFERROR(__xludf.DUMMYFUNCTION("""COMPUTED_VALUE"""),79.0)</f>
        <v>79</v>
      </c>
      <c r="AD782" s="481">
        <f>IFERROR(__xludf.DUMMYFUNCTION("""COMPUTED_VALUE"""),20.0)</f>
        <v>20</v>
      </c>
      <c r="AE782" s="481">
        <f>IFERROR(__xludf.DUMMYFUNCTION("""COMPUTED_VALUE"""),84.0)</f>
        <v>84</v>
      </c>
      <c r="AF782" s="481"/>
      <c r="AG782" s="481">
        <f>IFERROR(__xludf.DUMMYFUNCTION("""COMPUTED_VALUE"""),70.0)</f>
        <v>70</v>
      </c>
      <c r="AH782" s="481"/>
      <c r="AI782" s="158"/>
      <c r="AJ782" s="158"/>
      <c r="AK782" s="133">
        <f>IFERROR(__xludf.DUMMYFUNCTION("""COMPUTED_VALUE"""),4.0)</f>
        <v>4</v>
      </c>
      <c r="AL782" s="133">
        <f>IFERROR(__xludf.DUMMYFUNCTION("""COMPUTED_VALUE"""),1.0)</f>
        <v>1</v>
      </c>
      <c r="AM782" s="133">
        <f>IFERROR(__xludf.DUMMYFUNCTION("""COMPUTED_VALUE"""),3.0)</f>
        <v>3</v>
      </c>
      <c r="AN782" s="133" t="str">
        <f>IFERROR(__xludf.DUMMYFUNCTION("""COMPUTED_VALUE"""),"0")</f>
        <v>0</v>
      </c>
      <c r="AO782" s="133">
        <f>IFERROR(__xludf.DUMMYFUNCTION("""COMPUTED_VALUE"""),3.0)</f>
        <v>3</v>
      </c>
      <c r="AP782" s="155" t="s">
        <v>3715</v>
      </c>
    </row>
    <row r="783">
      <c r="A783" s="155">
        <f>IFERROR(__xludf.DUMMYFUNCTION("""COMPUTED_VALUE"""),45.0)</f>
        <v>45</v>
      </c>
      <c r="B783" s="155" t="str">
        <f>IFERROR(__xludf.DUMMYFUNCTION("""COMPUTED_VALUE"""),"hil23ainds@cmrit.ac.in")</f>
        <v>hil23ainds@cmrit.ac.in</v>
      </c>
      <c r="C783" s="174" t="str">
        <f>IFERROR(__xludf.DUMMYFUNCTION("""COMPUTED_VALUE"""),"HITESH L")</f>
        <v>HITESH L</v>
      </c>
      <c r="D783" s="155" t="str">
        <f>IFERROR(__xludf.DUMMYFUNCTION("""COMPUTED_VALUE"""),"1CR23AD045")</f>
        <v>1CR23AD045</v>
      </c>
      <c r="E783" s="563">
        <f>IFERROR(__xludf.DUMMYFUNCTION("""COMPUTED_VALUE"""),8.72266044E9)</f>
        <v>8722660440</v>
      </c>
      <c r="F783" s="155" t="str">
        <f>IFERROR(__xludf.DUMMYFUNCTION("""COMPUTED_VALUE"""),"AIDS")</f>
        <v>AIDS</v>
      </c>
      <c r="G783" s="158"/>
      <c r="H783" s="559">
        <f>IFERROR(__xludf.DUMMYFUNCTION("""COMPUTED_VALUE"""),71.0)</f>
        <v>71</v>
      </c>
      <c r="I783" s="559">
        <f>IFERROR(__xludf.DUMMYFUNCTION("""COMPUTED_VALUE"""),82.0)</f>
        <v>82</v>
      </c>
      <c r="J783" s="559">
        <f>IFERROR(__xludf.DUMMYFUNCTION("""COMPUTED_VALUE"""),72.0)</f>
        <v>72</v>
      </c>
      <c r="K783" s="559">
        <f>IFERROR(__xludf.DUMMYFUNCTION("""COMPUTED_VALUE"""),70.0)</f>
        <v>70</v>
      </c>
      <c r="L783" s="560">
        <f>IFERROR(__xludf.DUMMYFUNCTION("""COMPUTED_VALUE"""),50.0)</f>
        <v>50</v>
      </c>
      <c r="M783" s="561">
        <f>IFERROR(__xludf.DUMMYFUNCTION("""COMPUTED_VALUE"""),24.0)</f>
        <v>24</v>
      </c>
      <c r="N783" s="561">
        <f>IFERROR(__xludf.DUMMYFUNCTION("""COMPUTED_VALUE"""),50.0)</f>
        <v>50</v>
      </c>
      <c r="O783" s="560"/>
      <c r="P783" s="562">
        <f>IFERROR(__xludf.DUMMYFUNCTION("""COMPUTED_VALUE"""),82.0)</f>
        <v>82</v>
      </c>
      <c r="Q783" s="562">
        <f>IFERROR(__xludf.DUMMYFUNCTION("""COMPUTED_VALUE"""),50.0)</f>
        <v>50</v>
      </c>
      <c r="R783" s="562">
        <f>IFERROR(__xludf.DUMMYFUNCTION("""COMPUTED_VALUE"""),91.0)</f>
        <v>91</v>
      </c>
      <c r="S783" s="562"/>
      <c r="T783" s="217">
        <f>IFERROR(__xludf.DUMMYFUNCTION("""COMPUTED_VALUE"""),20.0)</f>
        <v>20</v>
      </c>
      <c r="U783" s="217">
        <f>IFERROR(__xludf.DUMMYFUNCTION("""COMPUTED_VALUE"""),23.0)</f>
        <v>23</v>
      </c>
      <c r="V783" s="217">
        <f>IFERROR(__xludf.DUMMYFUNCTION("""COMPUTED_VALUE"""),92.0)</f>
        <v>92</v>
      </c>
      <c r="W783" s="217">
        <f>IFERROR(__xludf.DUMMYFUNCTION("""COMPUTED_VALUE"""),84.0)</f>
        <v>84</v>
      </c>
      <c r="X783" s="217">
        <f>IFERROR(__xludf.DUMMYFUNCTION("""COMPUTED_VALUE"""),80.0)</f>
        <v>80</v>
      </c>
      <c r="Y783" s="217"/>
      <c r="Z783" s="217"/>
      <c r="AA783" s="481">
        <f>IFERROR(__xludf.DUMMYFUNCTION("""COMPUTED_VALUE"""),99.0)</f>
        <v>99</v>
      </c>
      <c r="AB783" s="481">
        <f>IFERROR(__xludf.DUMMYFUNCTION("""COMPUTED_VALUE"""),71.0)</f>
        <v>71</v>
      </c>
      <c r="AC783" s="481">
        <f>IFERROR(__xludf.DUMMYFUNCTION("""COMPUTED_VALUE"""),45.0)</f>
        <v>45</v>
      </c>
      <c r="AD783" s="481">
        <f>IFERROR(__xludf.DUMMYFUNCTION("""COMPUTED_VALUE"""),80.0)</f>
        <v>80</v>
      </c>
      <c r="AE783" s="481">
        <f>IFERROR(__xludf.DUMMYFUNCTION("""COMPUTED_VALUE"""),73.0)</f>
        <v>73</v>
      </c>
      <c r="AF783" s="481"/>
      <c r="AG783" s="481">
        <f>IFERROR(__xludf.DUMMYFUNCTION("""COMPUTED_VALUE"""),75.0)</f>
        <v>75</v>
      </c>
      <c r="AH783" s="481"/>
      <c r="AI783" s="158"/>
      <c r="AJ783" s="158"/>
      <c r="AK783" s="133">
        <f>IFERROR(__xludf.DUMMYFUNCTION("""COMPUTED_VALUE"""),4.0)</f>
        <v>4</v>
      </c>
      <c r="AL783" s="133">
        <f>IFERROR(__xludf.DUMMYFUNCTION("""COMPUTED_VALUE"""),1.0)</f>
        <v>1</v>
      </c>
      <c r="AM783" s="133">
        <f>IFERROR(__xludf.DUMMYFUNCTION("""COMPUTED_VALUE"""),3.0)</f>
        <v>3</v>
      </c>
      <c r="AN783" s="133" t="str">
        <f>IFERROR(__xludf.DUMMYFUNCTION("""COMPUTED_VALUE"""),"3.5")</f>
        <v>3.5</v>
      </c>
      <c r="AO783" s="133">
        <f>IFERROR(__xludf.DUMMYFUNCTION("""COMPUTED_VALUE"""),3.0)</f>
        <v>3</v>
      </c>
      <c r="AP783" s="155" t="s">
        <v>3715</v>
      </c>
    </row>
    <row r="784">
      <c r="A784" s="155">
        <f>IFERROR(__xludf.DUMMYFUNCTION("""COMPUTED_VALUE"""),46.0)</f>
        <v>46</v>
      </c>
      <c r="B784" s="155" t="str">
        <f>IFERROR(__xludf.DUMMYFUNCTION("""COMPUTED_VALUE"""),"iqfa23ainds@cmrit.ac.in")</f>
        <v>iqfa23ainds@cmrit.ac.in</v>
      </c>
      <c r="C784" s="174" t="str">
        <f>IFERROR(__xludf.DUMMYFUNCTION("""COMPUTED_VALUE"""),"Iqra Fathima")</f>
        <v>Iqra Fathima</v>
      </c>
      <c r="D784" s="155" t="str">
        <f>IFERROR(__xludf.DUMMYFUNCTION("""COMPUTED_VALUE"""),"1CR23AD046")</f>
        <v>1CR23AD046</v>
      </c>
      <c r="E784" s="563">
        <f>IFERROR(__xludf.DUMMYFUNCTION("""COMPUTED_VALUE"""),9.591137343E9)</f>
        <v>9591137343</v>
      </c>
      <c r="F784" s="155" t="str">
        <f>IFERROR(__xludf.DUMMYFUNCTION("""COMPUTED_VALUE"""),"AIDS")</f>
        <v>AIDS</v>
      </c>
      <c r="G784" s="158"/>
      <c r="H784" s="559">
        <f>IFERROR(__xludf.DUMMYFUNCTION("""COMPUTED_VALUE"""),88.0)</f>
        <v>88</v>
      </c>
      <c r="I784" s="559">
        <f>IFERROR(__xludf.DUMMYFUNCTION("""COMPUTED_VALUE"""),87.0)</f>
        <v>87</v>
      </c>
      <c r="J784" s="559">
        <f>IFERROR(__xludf.DUMMYFUNCTION("""COMPUTED_VALUE"""),70.0)</f>
        <v>70</v>
      </c>
      <c r="K784" s="559">
        <f>IFERROR(__xludf.DUMMYFUNCTION("""COMPUTED_VALUE"""),70.0)</f>
        <v>70</v>
      </c>
      <c r="L784" s="560">
        <f>IFERROR(__xludf.DUMMYFUNCTION("""COMPUTED_VALUE"""),50.0)</f>
        <v>50</v>
      </c>
      <c r="M784" s="561">
        <f>IFERROR(__xludf.DUMMYFUNCTION("""COMPUTED_VALUE"""),50.0)</f>
        <v>50</v>
      </c>
      <c r="N784" s="561">
        <f>IFERROR(__xludf.DUMMYFUNCTION("""COMPUTED_VALUE"""),8.0)</f>
        <v>8</v>
      </c>
      <c r="O784" s="560"/>
      <c r="P784" s="562">
        <f>IFERROR(__xludf.DUMMYFUNCTION("""COMPUTED_VALUE"""),73.0)</f>
        <v>73</v>
      </c>
      <c r="Q784" s="562">
        <f>IFERROR(__xludf.DUMMYFUNCTION("""COMPUTED_VALUE"""),50.0)</f>
        <v>50</v>
      </c>
      <c r="R784" s="562">
        <f>IFERROR(__xludf.DUMMYFUNCTION("""COMPUTED_VALUE"""),83.0)</f>
        <v>83</v>
      </c>
      <c r="S784" s="562"/>
      <c r="T784" s="217">
        <f>IFERROR(__xludf.DUMMYFUNCTION("""COMPUTED_VALUE"""),13.0)</f>
        <v>13</v>
      </c>
      <c r="U784" s="217">
        <f>IFERROR(__xludf.DUMMYFUNCTION("""COMPUTED_VALUE"""),21.0)</f>
        <v>21</v>
      </c>
      <c r="V784" s="217">
        <f>IFERROR(__xludf.DUMMYFUNCTION("""COMPUTED_VALUE"""),92.0)</f>
        <v>92</v>
      </c>
      <c r="W784" s="217">
        <f>IFERROR(__xludf.DUMMYFUNCTION("""COMPUTED_VALUE"""),74.0)</f>
        <v>74</v>
      </c>
      <c r="X784" s="217">
        <f>IFERROR(__xludf.DUMMYFUNCTION("""COMPUTED_VALUE"""),78.0)</f>
        <v>78</v>
      </c>
      <c r="Y784" s="217"/>
      <c r="Z784" s="217"/>
      <c r="AA784" s="481">
        <f>IFERROR(__xludf.DUMMYFUNCTION("""COMPUTED_VALUE"""),84.0)</f>
        <v>84</v>
      </c>
      <c r="AB784" s="481">
        <f>IFERROR(__xludf.DUMMYFUNCTION("""COMPUTED_VALUE"""),50.0)</f>
        <v>50</v>
      </c>
      <c r="AC784" s="481">
        <f>IFERROR(__xludf.DUMMYFUNCTION("""COMPUTED_VALUE"""),9.0)</f>
        <v>9</v>
      </c>
      <c r="AD784" s="481">
        <f>IFERROR(__xludf.DUMMYFUNCTION("""COMPUTED_VALUE"""),41.0)</f>
        <v>41</v>
      </c>
      <c r="AE784" s="481">
        <f>IFERROR(__xludf.DUMMYFUNCTION("""COMPUTED_VALUE"""),60.0)</f>
        <v>60</v>
      </c>
      <c r="AF784" s="481"/>
      <c r="AG784" s="481">
        <f>IFERROR(__xludf.DUMMYFUNCTION("""COMPUTED_VALUE"""),23.0)</f>
        <v>23</v>
      </c>
      <c r="AH784" s="481"/>
      <c r="AI784" s="158"/>
      <c r="AJ784" s="158"/>
      <c r="AK784" s="133">
        <f>IFERROR(__xludf.DUMMYFUNCTION("""COMPUTED_VALUE"""),4.0)</f>
        <v>4</v>
      </c>
      <c r="AL784" s="133">
        <f>IFERROR(__xludf.DUMMYFUNCTION("""COMPUTED_VALUE"""),2.0)</f>
        <v>2</v>
      </c>
      <c r="AM784" s="133">
        <f>IFERROR(__xludf.DUMMYFUNCTION("""COMPUTED_VALUE"""),3.0)</f>
        <v>3</v>
      </c>
      <c r="AN784" s="133" t="str">
        <f>IFERROR(__xludf.DUMMYFUNCTION("""COMPUTED_VALUE"""),"2")</f>
        <v>2</v>
      </c>
      <c r="AO784" s="133">
        <f>IFERROR(__xludf.DUMMYFUNCTION("""COMPUTED_VALUE"""),3.0)</f>
        <v>3</v>
      </c>
      <c r="AP784" s="155" t="s">
        <v>3715</v>
      </c>
    </row>
    <row r="785">
      <c r="A785" s="155">
        <f>IFERROR(__xludf.DUMMYFUNCTION("""COMPUTED_VALUE"""),47.0)</f>
        <v>47</v>
      </c>
      <c r="B785" s="155" t="str">
        <f>IFERROR(__xludf.DUMMYFUNCTION("""COMPUTED_VALUE"""),"jiku23ainds@cmrit.ac.in")</f>
        <v>jiku23ainds@cmrit.ac.in</v>
      </c>
      <c r="C785" s="174" t="str">
        <f>IFERROR(__xludf.DUMMYFUNCTION("""COMPUTED_VALUE"""),"Jitendra Kumar gupta ")</f>
        <v>Jitendra Kumar gupta </v>
      </c>
      <c r="D785" s="155" t="str">
        <f>IFERROR(__xludf.DUMMYFUNCTION("""COMPUTED_VALUE"""),"1CR23AD047")</f>
        <v>1CR23AD047</v>
      </c>
      <c r="E785" s="563">
        <f>IFERROR(__xludf.DUMMYFUNCTION("""COMPUTED_VALUE"""),9.955211923E9)</f>
        <v>9955211923</v>
      </c>
      <c r="F785" s="155" t="str">
        <f>IFERROR(__xludf.DUMMYFUNCTION("""COMPUTED_VALUE"""),"AIDS")</f>
        <v>AIDS</v>
      </c>
      <c r="G785" s="158"/>
      <c r="H785" s="559">
        <f>IFERROR(__xludf.DUMMYFUNCTION("""COMPUTED_VALUE"""),70.0)</f>
        <v>70</v>
      </c>
      <c r="I785" s="559">
        <f>IFERROR(__xludf.DUMMYFUNCTION("""COMPUTED_VALUE"""),70.0)</f>
        <v>70</v>
      </c>
      <c r="J785" s="559">
        <f>IFERROR(__xludf.DUMMYFUNCTION("""COMPUTED_VALUE"""),50.0)</f>
        <v>50</v>
      </c>
      <c r="K785" s="559">
        <f>IFERROR(__xludf.DUMMYFUNCTION("""COMPUTED_VALUE"""),70.0)</f>
        <v>70</v>
      </c>
      <c r="L785" s="560">
        <f>IFERROR(__xludf.DUMMYFUNCTION("""COMPUTED_VALUE"""),14.0)</f>
        <v>14</v>
      </c>
      <c r="M785" s="561">
        <f>IFERROR(__xludf.DUMMYFUNCTION("""COMPUTED_VALUE"""),0.0)</f>
        <v>0</v>
      </c>
      <c r="N785" s="561">
        <f>IFERROR(__xludf.DUMMYFUNCTION("""COMPUTED_VALUE"""),41.0)</f>
        <v>41</v>
      </c>
      <c r="O785" s="560"/>
      <c r="P785" s="562">
        <f>IFERROR(__xludf.DUMMYFUNCTION("""COMPUTED_VALUE"""),0.0)</f>
        <v>0</v>
      </c>
      <c r="Q785" s="562">
        <f>IFERROR(__xludf.DUMMYFUNCTION("""COMPUTED_VALUE"""),0.0)</f>
        <v>0</v>
      </c>
      <c r="R785" s="562">
        <f>IFERROR(__xludf.DUMMYFUNCTION("""COMPUTED_VALUE"""),0.0)</f>
        <v>0</v>
      </c>
      <c r="S785" s="562"/>
      <c r="T785" s="217">
        <f>IFERROR(__xludf.DUMMYFUNCTION("""COMPUTED_VALUE"""),17.0)</f>
        <v>17</v>
      </c>
      <c r="U785" s="217">
        <f>IFERROR(__xludf.DUMMYFUNCTION("""COMPUTED_VALUE"""),23.0)</f>
        <v>23</v>
      </c>
      <c r="V785" s="217">
        <f>IFERROR(__xludf.DUMMYFUNCTION("""COMPUTED_VALUE"""),92.0)</f>
        <v>92</v>
      </c>
      <c r="W785" s="217">
        <f>IFERROR(__xludf.DUMMYFUNCTION("""COMPUTED_VALUE"""),80.0)</f>
        <v>80</v>
      </c>
      <c r="X785" s="217">
        <f>IFERROR(__xludf.DUMMYFUNCTION("""COMPUTED_VALUE"""),88.0)</f>
        <v>88</v>
      </c>
      <c r="Y785" s="217"/>
      <c r="Z785" s="217"/>
      <c r="AA785" s="481">
        <f>IFERROR(__xludf.DUMMYFUNCTION("""COMPUTED_VALUE"""),2.0)</f>
        <v>2</v>
      </c>
      <c r="AB785" s="481">
        <f>IFERROR(__xludf.DUMMYFUNCTION("""COMPUTED_VALUE"""),60.0)</f>
        <v>60</v>
      </c>
      <c r="AC785" s="481">
        <f>IFERROR(__xludf.DUMMYFUNCTION("""COMPUTED_VALUE"""),70.0)</f>
        <v>70</v>
      </c>
      <c r="AD785" s="481">
        <f>IFERROR(__xludf.DUMMYFUNCTION("""COMPUTED_VALUE"""),0.0)</f>
        <v>0</v>
      </c>
      <c r="AE785" s="481">
        <f>IFERROR(__xludf.DUMMYFUNCTION("""COMPUTED_VALUE"""),10.0)</f>
        <v>10</v>
      </c>
      <c r="AF785" s="481"/>
      <c r="AG785" s="481">
        <f>IFERROR(__xludf.DUMMYFUNCTION("""COMPUTED_VALUE"""),71.0)</f>
        <v>71</v>
      </c>
      <c r="AH785" s="481"/>
      <c r="AI785" s="158"/>
      <c r="AJ785" s="158"/>
      <c r="AK785" s="133">
        <f>IFERROR(__xludf.DUMMYFUNCTION("""COMPUTED_VALUE"""),2.0)</f>
        <v>2</v>
      </c>
      <c r="AL785" s="133">
        <f>IFERROR(__xludf.DUMMYFUNCTION("""COMPUTED_VALUE"""),0.0)</f>
        <v>0</v>
      </c>
      <c r="AM785" s="133">
        <f>IFERROR(__xludf.DUMMYFUNCTION("""COMPUTED_VALUE"""),3.0)</f>
        <v>3</v>
      </c>
      <c r="AN785" s="133" t="str">
        <f>IFERROR(__xludf.DUMMYFUNCTION("""COMPUTED_VALUE"""),"3")</f>
        <v>3</v>
      </c>
      <c r="AO785" s="133">
        <f>IFERROR(__xludf.DUMMYFUNCTION("""COMPUTED_VALUE"""),0.0)</f>
        <v>0</v>
      </c>
      <c r="AP785" s="155" t="s">
        <v>3715</v>
      </c>
    </row>
    <row r="786">
      <c r="A786" s="155">
        <f>IFERROR(__xludf.DUMMYFUNCTION("""COMPUTED_VALUE"""),48.0)</f>
        <v>48</v>
      </c>
      <c r="B786" s="155" t="str">
        <f>IFERROR(__xludf.DUMMYFUNCTION("""COMPUTED_VALUE"""),"joma23ainds@cmrit.ac.in")</f>
        <v>joma23ainds@cmrit.ac.in</v>
      </c>
      <c r="C786" s="174" t="str">
        <f>IFERROR(__xludf.DUMMYFUNCTION("""COMPUTED_VALUE"""),"JOANNA MARIA LEO")</f>
        <v>JOANNA MARIA LEO</v>
      </c>
      <c r="D786" s="155" t="str">
        <f>IFERROR(__xludf.DUMMYFUNCTION("""COMPUTED_VALUE"""),"1CR23AD048")</f>
        <v>1CR23AD048</v>
      </c>
      <c r="E786" s="563">
        <f>IFERROR(__xludf.DUMMYFUNCTION("""COMPUTED_VALUE"""),9.17349674169E11)</f>
        <v>917349674169</v>
      </c>
      <c r="F786" s="155" t="str">
        <f>IFERROR(__xludf.DUMMYFUNCTION("""COMPUTED_VALUE"""),"AIDS")</f>
        <v>AIDS</v>
      </c>
      <c r="G786" s="158"/>
      <c r="H786" s="559">
        <f>IFERROR(__xludf.DUMMYFUNCTION("""COMPUTED_VALUE"""),79.0)</f>
        <v>79</v>
      </c>
      <c r="I786" s="559">
        <f>IFERROR(__xludf.DUMMYFUNCTION("""COMPUTED_VALUE"""),81.0)</f>
        <v>81</v>
      </c>
      <c r="J786" s="559">
        <f>IFERROR(__xludf.DUMMYFUNCTION("""COMPUTED_VALUE"""),77.0)</f>
        <v>77</v>
      </c>
      <c r="K786" s="559">
        <f>IFERROR(__xludf.DUMMYFUNCTION("""COMPUTED_VALUE"""),70.0)</f>
        <v>70</v>
      </c>
      <c r="L786" s="560">
        <f>IFERROR(__xludf.DUMMYFUNCTION("""COMPUTED_VALUE"""),50.0)</f>
        <v>50</v>
      </c>
      <c r="M786" s="561">
        <f>IFERROR(__xludf.DUMMYFUNCTION("""COMPUTED_VALUE"""),19.0)</f>
        <v>19</v>
      </c>
      <c r="N786" s="561">
        <f>IFERROR(__xludf.DUMMYFUNCTION("""COMPUTED_VALUE"""),9.0)</f>
        <v>9</v>
      </c>
      <c r="O786" s="560"/>
      <c r="P786" s="562">
        <f>IFERROR(__xludf.DUMMYFUNCTION("""COMPUTED_VALUE"""),77.0)</f>
        <v>77</v>
      </c>
      <c r="Q786" s="562">
        <f>IFERROR(__xludf.DUMMYFUNCTION("""COMPUTED_VALUE"""),50.0)</f>
        <v>50</v>
      </c>
      <c r="R786" s="562">
        <f>IFERROR(__xludf.DUMMYFUNCTION("""COMPUTED_VALUE"""),82.0)</f>
        <v>82</v>
      </c>
      <c r="S786" s="562"/>
      <c r="T786" s="217">
        <f>IFERROR(__xludf.DUMMYFUNCTION("""COMPUTED_VALUE"""),19.0)</f>
        <v>19</v>
      </c>
      <c r="U786" s="217">
        <f>IFERROR(__xludf.DUMMYFUNCTION("""COMPUTED_VALUE"""),17.0)</f>
        <v>17</v>
      </c>
      <c r="V786" s="217">
        <f>IFERROR(__xludf.DUMMYFUNCTION("""COMPUTED_VALUE"""),98.0)</f>
        <v>98</v>
      </c>
      <c r="W786" s="217">
        <f>IFERROR(__xludf.DUMMYFUNCTION("""COMPUTED_VALUE"""),82.0)</f>
        <v>82</v>
      </c>
      <c r="X786" s="217">
        <f>IFERROR(__xludf.DUMMYFUNCTION("""COMPUTED_VALUE"""),78.0)</f>
        <v>78</v>
      </c>
      <c r="Y786" s="217"/>
      <c r="Z786" s="217"/>
      <c r="AA786" s="481">
        <f>IFERROR(__xludf.DUMMYFUNCTION("""COMPUTED_VALUE"""),20.8)</f>
        <v>20.8</v>
      </c>
      <c r="AB786" s="481">
        <f>IFERROR(__xludf.DUMMYFUNCTION("""COMPUTED_VALUE"""),63.0)</f>
        <v>63</v>
      </c>
      <c r="AC786" s="481">
        <f>IFERROR(__xludf.DUMMYFUNCTION("""COMPUTED_VALUE"""),0.0)</f>
        <v>0</v>
      </c>
      <c r="AD786" s="481">
        <f>IFERROR(__xludf.DUMMYFUNCTION("""COMPUTED_VALUE"""),0.0)</f>
        <v>0</v>
      </c>
      <c r="AE786" s="481">
        <f>IFERROR(__xludf.DUMMYFUNCTION("""COMPUTED_VALUE"""),10.0)</f>
        <v>10</v>
      </c>
      <c r="AF786" s="481"/>
      <c r="AG786" s="481">
        <f>IFERROR(__xludf.DUMMYFUNCTION("""COMPUTED_VALUE"""),78.0)</f>
        <v>78</v>
      </c>
      <c r="AH786" s="481"/>
      <c r="AI786" s="158"/>
      <c r="AJ786" s="158"/>
      <c r="AK786" s="133">
        <f>IFERROR(__xludf.DUMMYFUNCTION("""COMPUTED_VALUE"""),4.0)</f>
        <v>4</v>
      </c>
      <c r="AL786" s="133">
        <f>IFERROR(__xludf.DUMMYFUNCTION("""COMPUTED_VALUE"""),1.0)</f>
        <v>1</v>
      </c>
      <c r="AM786" s="133">
        <f>IFERROR(__xludf.DUMMYFUNCTION("""COMPUTED_VALUE"""),3.0)</f>
        <v>3</v>
      </c>
      <c r="AN786" s="133" t="str">
        <f>IFERROR(__xludf.DUMMYFUNCTION("""COMPUTED_VALUE"""),"2")</f>
        <v>2</v>
      </c>
      <c r="AO786" s="133">
        <f>IFERROR(__xludf.DUMMYFUNCTION("""COMPUTED_VALUE"""),3.0)</f>
        <v>3</v>
      </c>
      <c r="AP786" s="155" t="s">
        <v>3715</v>
      </c>
    </row>
    <row r="787">
      <c r="A787" s="155">
        <f>IFERROR(__xludf.DUMMYFUNCTION("""COMPUTED_VALUE"""),49.0)</f>
        <v>49</v>
      </c>
      <c r="B787" s="155" t="str">
        <f>IFERROR(__xludf.DUMMYFUNCTION("""COMPUTED_VALUE"""),"jy23ainds@cmrit.ac.in")</f>
        <v>jy23ainds@cmrit.ac.in</v>
      </c>
      <c r="C787" s="174" t="str">
        <f>IFERROR(__xludf.DUMMYFUNCTION("""COMPUTED_VALUE"""),"Jyoti")</f>
        <v>Jyoti</v>
      </c>
      <c r="D787" s="155" t="str">
        <f>IFERROR(__xludf.DUMMYFUNCTION("""COMPUTED_VALUE"""),"1CR23AD049")</f>
        <v>1CR23AD049</v>
      </c>
      <c r="E787" s="563">
        <f>IFERROR(__xludf.DUMMYFUNCTION("""COMPUTED_VALUE"""),7.483847129E9)</f>
        <v>7483847129</v>
      </c>
      <c r="F787" s="155" t="str">
        <f>IFERROR(__xludf.DUMMYFUNCTION("""COMPUTED_VALUE"""),"AIDS")</f>
        <v>AIDS</v>
      </c>
      <c r="G787" s="158"/>
      <c r="H787" s="559">
        <f>IFERROR(__xludf.DUMMYFUNCTION("""COMPUTED_VALUE"""),70.0)</f>
        <v>70</v>
      </c>
      <c r="I787" s="559">
        <f>IFERROR(__xludf.DUMMYFUNCTION("""COMPUTED_VALUE"""),73.0)</f>
        <v>73</v>
      </c>
      <c r="J787" s="559">
        <f>IFERROR(__xludf.DUMMYFUNCTION("""COMPUTED_VALUE"""),70.0)</f>
        <v>70</v>
      </c>
      <c r="K787" s="559">
        <f>IFERROR(__xludf.DUMMYFUNCTION("""COMPUTED_VALUE"""),70.0)</f>
        <v>70</v>
      </c>
      <c r="L787" s="560">
        <f>IFERROR(__xludf.DUMMYFUNCTION("""COMPUTED_VALUE"""),50.0)</f>
        <v>50</v>
      </c>
      <c r="M787" s="561">
        <f>IFERROR(__xludf.DUMMYFUNCTION("""COMPUTED_VALUE"""),40.0)</f>
        <v>40</v>
      </c>
      <c r="N787" s="561">
        <f>IFERROR(__xludf.DUMMYFUNCTION("""COMPUTED_VALUE"""),63.0)</f>
        <v>63</v>
      </c>
      <c r="O787" s="560"/>
      <c r="P787" s="562">
        <f>IFERROR(__xludf.DUMMYFUNCTION("""COMPUTED_VALUE"""),87.0)</f>
        <v>87</v>
      </c>
      <c r="Q787" s="562">
        <f>IFERROR(__xludf.DUMMYFUNCTION("""COMPUTED_VALUE"""),81.0)</f>
        <v>81</v>
      </c>
      <c r="R787" s="562">
        <f>IFERROR(__xludf.DUMMYFUNCTION("""COMPUTED_VALUE"""),90.0)</f>
        <v>90</v>
      </c>
      <c r="S787" s="562"/>
      <c r="T787" s="217">
        <f>IFERROR(__xludf.DUMMYFUNCTION("""COMPUTED_VALUE"""),11.0)</f>
        <v>11</v>
      </c>
      <c r="U787" s="217">
        <f>IFERROR(__xludf.DUMMYFUNCTION("""COMPUTED_VALUE"""),23.0)</f>
        <v>23</v>
      </c>
      <c r="V787" s="217">
        <f>IFERROR(__xludf.DUMMYFUNCTION("""COMPUTED_VALUE"""),90.0)</f>
        <v>90</v>
      </c>
      <c r="W787" s="217">
        <f>IFERROR(__xludf.DUMMYFUNCTION("""COMPUTED_VALUE"""),86.0)</f>
        <v>86</v>
      </c>
      <c r="X787" s="217">
        <f>IFERROR(__xludf.DUMMYFUNCTION("""COMPUTED_VALUE"""),74.0)</f>
        <v>74</v>
      </c>
      <c r="Y787" s="217"/>
      <c r="Z787" s="217"/>
      <c r="AA787" s="481">
        <f>IFERROR(__xludf.DUMMYFUNCTION("""COMPUTED_VALUE"""),32.0)</f>
        <v>32</v>
      </c>
      <c r="AB787" s="481">
        <f>IFERROR(__xludf.DUMMYFUNCTION("""COMPUTED_VALUE"""),75.0)</f>
        <v>75</v>
      </c>
      <c r="AC787" s="481">
        <f>IFERROR(__xludf.DUMMYFUNCTION("""COMPUTED_VALUE"""),70.0)</f>
        <v>70</v>
      </c>
      <c r="AD787" s="481">
        <f>IFERROR(__xludf.DUMMYFUNCTION("""COMPUTED_VALUE"""),100.0)</f>
        <v>100</v>
      </c>
      <c r="AE787" s="481">
        <f>IFERROR(__xludf.DUMMYFUNCTION("""COMPUTED_VALUE"""),70.0)</f>
        <v>70</v>
      </c>
      <c r="AF787" s="481"/>
      <c r="AG787" s="481">
        <f>IFERROR(__xludf.DUMMYFUNCTION("""COMPUTED_VALUE"""),79.0)</f>
        <v>79</v>
      </c>
      <c r="AH787" s="481"/>
      <c r="AI787" s="158"/>
      <c r="AJ787" s="158"/>
      <c r="AK787" s="133">
        <f>IFERROR(__xludf.DUMMYFUNCTION("""COMPUTED_VALUE"""),4.0)</f>
        <v>4</v>
      </c>
      <c r="AL787" s="133">
        <f>IFERROR(__xludf.DUMMYFUNCTION("""COMPUTED_VALUE"""),1.0)</f>
        <v>1</v>
      </c>
      <c r="AM787" s="133">
        <f>IFERROR(__xludf.DUMMYFUNCTION("""COMPUTED_VALUE"""),3.0)</f>
        <v>3</v>
      </c>
      <c r="AN787" s="133" t="str">
        <f>IFERROR(__xludf.DUMMYFUNCTION("""COMPUTED_VALUE"""),"3.5")</f>
        <v>3.5</v>
      </c>
      <c r="AO787" s="133">
        <f>IFERROR(__xludf.DUMMYFUNCTION("""COMPUTED_VALUE"""),3.0)</f>
        <v>3</v>
      </c>
      <c r="AP787" s="155" t="s">
        <v>3715</v>
      </c>
    </row>
    <row r="788">
      <c r="A788" s="155">
        <f>IFERROR(__xludf.DUMMYFUNCTION("""COMPUTED_VALUE"""),50.0)</f>
        <v>50</v>
      </c>
      <c r="B788" s="155" t="str">
        <f>IFERROR(__xludf.DUMMYFUNCTION("""COMPUTED_VALUE"""),"kdh23ainds@cmrit.ac.in")</f>
        <v>kdh23ainds@cmrit.ac.in</v>
      </c>
      <c r="C788" s="174" t="str">
        <f>IFERROR(__xludf.DUMMYFUNCTION("""COMPUTED_VALUE"""),"K DHANUSH")</f>
        <v>K DHANUSH</v>
      </c>
      <c r="D788" s="155" t="str">
        <f>IFERROR(__xludf.DUMMYFUNCTION("""COMPUTED_VALUE"""),"1CR23AD050")</f>
        <v>1CR23AD050</v>
      </c>
      <c r="E788" s="563">
        <f>IFERROR(__xludf.DUMMYFUNCTION("""COMPUTED_VALUE"""),9.94573606E9)</f>
        <v>9945736060</v>
      </c>
      <c r="F788" s="155" t="str">
        <f>IFERROR(__xludf.DUMMYFUNCTION("""COMPUTED_VALUE"""),"AIDS")</f>
        <v>AIDS</v>
      </c>
      <c r="G788" s="158"/>
      <c r="H788" s="559">
        <f>IFERROR(__xludf.DUMMYFUNCTION("""COMPUTED_VALUE"""),70.0)</f>
        <v>70</v>
      </c>
      <c r="I788" s="559">
        <f>IFERROR(__xludf.DUMMYFUNCTION("""COMPUTED_VALUE"""),81.0)</f>
        <v>81</v>
      </c>
      <c r="J788" s="559">
        <f>IFERROR(__xludf.DUMMYFUNCTION("""COMPUTED_VALUE"""),70.0)</f>
        <v>70</v>
      </c>
      <c r="K788" s="559">
        <f>IFERROR(__xludf.DUMMYFUNCTION("""COMPUTED_VALUE"""),70.0)</f>
        <v>70</v>
      </c>
      <c r="L788" s="560">
        <f>IFERROR(__xludf.DUMMYFUNCTION("""COMPUTED_VALUE"""),11.0)</f>
        <v>11</v>
      </c>
      <c r="M788" s="561">
        <f>IFERROR(__xludf.DUMMYFUNCTION("""COMPUTED_VALUE"""),50.0)</f>
        <v>50</v>
      </c>
      <c r="N788" s="561">
        <f>IFERROR(__xludf.DUMMYFUNCTION("""COMPUTED_VALUE"""),50.0)</f>
        <v>50</v>
      </c>
      <c r="O788" s="560"/>
      <c r="P788" s="562">
        <f>IFERROR(__xludf.DUMMYFUNCTION("""COMPUTED_VALUE"""),50.0)</f>
        <v>50</v>
      </c>
      <c r="Q788" s="562">
        <f>IFERROR(__xludf.DUMMYFUNCTION("""COMPUTED_VALUE"""),55.0)</f>
        <v>55</v>
      </c>
      <c r="R788" s="562">
        <f>IFERROR(__xludf.DUMMYFUNCTION("""COMPUTED_VALUE"""),85.0)</f>
        <v>85</v>
      </c>
      <c r="S788" s="562"/>
      <c r="T788" s="217">
        <f>IFERROR(__xludf.DUMMYFUNCTION("""COMPUTED_VALUE"""),18.0)</f>
        <v>18</v>
      </c>
      <c r="U788" s="217">
        <f>IFERROR(__xludf.DUMMYFUNCTION("""COMPUTED_VALUE"""),24.0)</f>
        <v>24</v>
      </c>
      <c r="V788" s="217">
        <f>IFERROR(__xludf.DUMMYFUNCTION("""COMPUTED_VALUE"""),74.0)</f>
        <v>74</v>
      </c>
      <c r="W788" s="217">
        <f>IFERROR(__xludf.DUMMYFUNCTION("""COMPUTED_VALUE"""),66.0)</f>
        <v>66</v>
      </c>
      <c r="X788" s="217">
        <f>IFERROR(__xludf.DUMMYFUNCTION("""COMPUTED_VALUE"""),86.0)</f>
        <v>86</v>
      </c>
      <c r="Y788" s="217"/>
      <c r="Z788" s="217"/>
      <c r="AA788" s="481">
        <f>IFERROR(__xludf.DUMMYFUNCTION("""COMPUTED_VALUE"""),41.0)</f>
        <v>41</v>
      </c>
      <c r="AB788" s="481">
        <f>IFERROR(__xludf.DUMMYFUNCTION("""COMPUTED_VALUE"""),69.0)</f>
        <v>69</v>
      </c>
      <c r="AC788" s="481">
        <f>IFERROR(__xludf.DUMMYFUNCTION("""COMPUTED_VALUE"""),69.0)</f>
        <v>69</v>
      </c>
      <c r="AD788" s="481">
        <f>IFERROR(__xludf.DUMMYFUNCTION("""COMPUTED_VALUE"""),60.0)</f>
        <v>60</v>
      </c>
      <c r="AE788" s="481">
        <f>IFERROR(__xludf.DUMMYFUNCTION("""COMPUTED_VALUE"""),75.0)</f>
        <v>75</v>
      </c>
      <c r="AF788" s="481"/>
      <c r="AG788" s="481">
        <f>IFERROR(__xludf.DUMMYFUNCTION("""COMPUTED_VALUE"""),80.0)</f>
        <v>80</v>
      </c>
      <c r="AH788" s="481"/>
      <c r="AI788" s="158"/>
      <c r="AJ788" s="158"/>
      <c r="AK788" s="133">
        <f>IFERROR(__xludf.DUMMYFUNCTION("""COMPUTED_VALUE"""),4.0)</f>
        <v>4</v>
      </c>
      <c r="AL788" s="133">
        <f>IFERROR(__xludf.DUMMYFUNCTION("""COMPUTED_VALUE"""),0.0)</f>
        <v>0</v>
      </c>
      <c r="AM788" s="133">
        <f>IFERROR(__xludf.DUMMYFUNCTION("""COMPUTED_VALUE"""),3.0)</f>
        <v>3</v>
      </c>
      <c r="AN788" s="133" t="str">
        <f>IFERROR(__xludf.DUMMYFUNCTION("""COMPUTED_VALUE"""),"3.5")</f>
        <v>3.5</v>
      </c>
      <c r="AO788" s="133">
        <f>IFERROR(__xludf.DUMMYFUNCTION("""COMPUTED_VALUE"""),3.0)</f>
        <v>3</v>
      </c>
      <c r="AP788" s="155" t="s">
        <v>3715</v>
      </c>
    </row>
    <row r="789">
      <c r="A789" s="155">
        <f>IFERROR(__xludf.DUMMYFUNCTION("""COMPUTED_VALUE"""),51.0)</f>
        <v>51</v>
      </c>
      <c r="B789" s="155" t="str">
        <f>IFERROR(__xludf.DUMMYFUNCTION("""COMPUTED_VALUE"""),"kka23ainds@cmrit.ac.in")</f>
        <v>kka23ainds@cmrit.ac.in</v>
      </c>
      <c r="C789" s="174" t="str">
        <f>IFERROR(__xludf.DUMMYFUNCTION("""COMPUTED_VALUE"""),"K Karthik")</f>
        <v>K Karthik</v>
      </c>
      <c r="D789" s="155" t="str">
        <f>IFERROR(__xludf.DUMMYFUNCTION("""COMPUTED_VALUE"""),"1CR23AD051")</f>
        <v>1CR23AD051</v>
      </c>
      <c r="E789" s="563">
        <f>IFERROR(__xludf.DUMMYFUNCTION("""COMPUTED_VALUE"""),7.33774283E9)</f>
        <v>7337742830</v>
      </c>
      <c r="F789" s="155" t="str">
        <f>IFERROR(__xludf.DUMMYFUNCTION("""COMPUTED_VALUE"""),"AIDS")</f>
        <v>AIDS</v>
      </c>
      <c r="G789" s="158"/>
      <c r="H789" s="559">
        <f>IFERROR(__xludf.DUMMYFUNCTION("""COMPUTED_VALUE"""),70.0)</f>
        <v>70</v>
      </c>
      <c r="I789" s="559">
        <f>IFERROR(__xludf.DUMMYFUNCTION("""COMPUTED_VALUE"""),79.0)</f>
        <v>79</v>
      </c>
      <c r="J789" s="559">
        <f>IFERROR(__xludf.DUMMYFUNCTION("""COMPUTED_VALUE"""),70.0)</f>
        <v>70</v>
      </c>
      <c r="K789" s="559">
        <f>IFERROR(__xludf.DUMMYFUNCTION("""COMPUTED_VALUE"""),70.0)</f>
        <v>70</v>
      </c>
      <c r="L789" s="560">
        <f>IFERROR(__xludf.DUMMYFUNCTION("""COMPUTED_VALUE"""),50.0)</f>
        <v>50</v>
      </c>
      <c r="M789" s="561">
        <f>IFERROR(__xludf.DUMMYFUNCTION("""COMPUTED_VALUE"""),50.0)</f>
        <v>50</v>
      </c>
      <c r="N789" s="561">
        <f>IFERROR(__xludf.DUMMYFUNCTION("""COMPUTED_VALUE"""),50.0)</f>
        <v>50</v>
      </c>
      <c r="O789" s="560"/>
      <c r="P789" s="562">
        <f>IFERROR(__xludf.DUMMYFUNCTION("""COMPUTED_VALUE"""),81.0)</f>
        <v>81</v>
      </c>
      <c r="Q789" s="562">
        <f>IFERROR(__xludf.DUMMYFUNCTION("""COMPUTED_VALUE"""),50.0)</f>
        <v>50</v>
      </c>
      <c r="R789" s="562">
        <f>IFERROR(__xludf.DUMMYFUNCTION("""COMPUTED_VALUE"""),83.0)</f>
        <v>83</v>
      </c>
      <c r="S789" s="562"/>
      <c r="T789" s="217">
        <f>IFERROR(__xludf.DUMMYFUNCTION("""COMPUTED_VALUE"""),11.0)</f>
        <v>11</v>
      </c>
      <c r="U789" s="217">
        <f>IFERROR(__xludf.DUMMYFUNCTION("""COMPUTED_VALUE"""),24.0)</f>
        <v>24</v>
      </c>
      <c r="V789" s="217">
        <f>IFERROR(__xludf.DUMMYFUNCTION("""COMPUTED_VALUE"""),76.0)</f>
        <v>76</v>
      </c>
      <c r="W789" s="217">
        <f>IFERROR(__xludf.DUMMYFUNCTION("""COMPUTED_VALUE"""),72.0)</f>
        <v>72</v>
      </c>
      <c r="X789" s="217">
        <f>IFERROR(__xludf.DUMMYFUNCTION("""COMPUTED_VALUE"""),80.0)</f>
        <v>80</v>
      </c>
      <c r="Y789" s="217"/>
      <c r="Z789" s="217"/>
      <c r="AA789" s="481">
        <f>IFERROR(__xludf.DUMMYFUNCTION("""COMPUTED_VALUE"""),26.0)</f>
        <v>26</v>
      </c>
      <c r="AB789" s="481">
        <f>IFERROR(__xludf.DUMMYFUNCTION("""COMPUTED_VALUE"""),54.0)</f>
        <v>54</v>
      </c>
      <c r="AC789" s="481">
        <f>IFERROR(__xludf.DUMMYFUNCTION("""COMPUTED_VALUE"""),55.0)</f>
        <v>55</v>
      </c>
      <c r="AD789" s="481">
        <f>IFERROR(__xludf.DUMMYFUNCTION("""COMPUTED_VALUE"""),90.0)</f>
        <v>90</v>
      </c>
      <c r="AE789" s="481">
        <f>IFERROR(__xludf.DUMMYFUNCTION("""COMPUTED_VALUE"""),75.0)</f>
        <v>75</v>
      </c>
      <c r="AF789" s="481"/>
      <c r="AG789" s="481">
        <f>IFERROR(__xludf.DUMMYFUNCTION("""COMPUTED_VALUE"""),76.0)</f>
        <v>76</v>
      </c>
      <c r="AH789" s="481"/>
      <c r="AI789" s="158"/>
      <c r="AJ789" s="158"/>
      <c r="AK789" s="133">
        <f>IFERROR(__xludf.DUMMYFUNCTION("""COMPUTED_VALUE"""),4.0)</f>
        <v>4</v>
      </c>
      <c r="AL789" s="133">
        <f>IFERROR(__xludf.DUMMYFUNCTION("""COMPUTED_VALUE"""),3.0)</f>
        <v>3</v>
      </c>
      <c r="AM789" s="133">
        <f>IFERROR(__xludf.DUMMYFUNCTION("""COMPUTED_VALUE"""),3.0)</f>
        <v>3</v>
      </c>
      <c r="AN789" s="133" t="str">
        <f>IFERROR(__xludf.DUMMYFUNCTION("""COMPUTED_VALUE"""),"3.5")</f>
        <v>3.5</v>
      </c>
      <c r="AO789" s="133">
        <f>IFERROR(__xludf.DUMMYFUNCTION("""COMPUTED_VALUE"""),3.0)</f>
        <v>3</v>
      </c>
      <c r="AP789" s="155" t="s">
        <v>3715</v>
      </c>
    </row>
    <row r="790">
      <c r="A790" s="155">
        <f>IFERROR(__xludf.DUMMYFUNCTION("""COMPUTED_VALUE"""),52.0)</f>
        <v>52</v>
      </c>
      <c r="B790" s="155" t="str">
        <f>IFERROR(__xludf.DUMMYFUNCTION("""COMPUTED_VALUE"""),"kare23ainds@cmrit.ac.in")</f>
        <v>kare23ainds@cmrit.ac.in</v>
      </c>
      <c r="C790" s="174" t="str">
        <f>IFERROR(__xludf.DUMMYFUNCTION("""COMPUTED_VALUE"""),"KALLURU SAI JATHIN REDDY")</f>
        <v>KALLURU SAI JATHIN REDDY</v>
      </c>
      <c r="D790" s="155" t="str">
        <f>IFERROR(__xludf.DUMMYFUNCTION("""COMPUTED_VALUE"""),"1CR23AD052")</f>
        <v>1CR23AD052</v>
      </c>
      <c r="E790" s="563">
        <f>IFERROR(__xludf.DUMMYFUNCTION("""COMPUTED_VALUE"""),9.392394045E9)</f>
        <v>9392394045</v>
      </c>
      <c r="F790" s="155" t="str">
        <f>IFERROR(__xludf.DUMMYFUNCTION("""COMPUTED_VALUE"""),"AIDS")</f>
        <v>AIDS</v>
      </c>
      <c r="G790" s="158"/>
      <c r="H790" s="559">
        <f>IFERROR(__xludf.DUMMYFUNCTION("""COMPUTED_VALUE"""),71.0)</f>
        <v>71</v>
      </c>
      <c r="I790" s="559">
        <f>IFERROR(__xludf.DUMMYFUNCTION("""COMPUTED_VALUE"""),79.0)</f>
        <v>79</v>
      </c>
      <c r="J790" s="559">
        <f>IFERROR(__xludf.DUMMYFUNCTION("""COMPUTED_VALUE"""),30.0)</f>
        <v>30</v>
      </c>
      <c r="K790" s="559">
        <f>IFERROR(__xludf.DUMMYFUNCTION("""COMPUTED_VALUE"""),4.0)</f>
        <v>4</v>
      </c>
      <c r="L790" s="560">
        <f>IFERROR(__xludf.DUMMYFUNCTION("""COMPUTED_VALUE"""),14.0)</f>
        <v>14</v>
      </c>
      <c r="M790" s="561">
        <f>IFERROR(__xludf.DUMMYFUNCTION("""COMPUTED_VALUE"""),13.0)</f>
        <v>13</v>
      </c>
      <c r="N790" s="561">
        <f>IFERROR(__xludf.DUMMYFUNCTION("""COMPUTED_VALUE"""),0.0)</f>
        <v>0</v>
      </c>
      <c r="O790" s="560"/>
      <c r="P790" s="562">
        <f>IFERROR(__xludf.DUMMYFUNCTION("""COMPUTED_VALUE"""),0.0)</f>
        <v>0</v>
      </c>
      <c r="Q790" s="562">
        <f>IFERROR(__xludf.DUMMYFUNCTION("""COMPUTED_VALUE"""),0.0)</f>
        <v>0</v>
      </c>
      <c r="R790" s="562">
        <f>IFERROR(__xludf.DUMMYFUNCTION("""COMPUTED_VALUE"""),0.0)</f>
        <v>0</v>
      </c>
      <c r="S790" s="562"/>
      <c r="T790" s="217"/>
      <c r="U790" s="217">
        <f>IFERROR(__xludf.DUMMYFUNCTION("""COMPUTED_VALUE"""),16.0)</f>
        <v>16</v>
      </c>
      <c r="V790" s="217"/>
      <c r="W790" s="217">
        <f>IFERROR(__xludf.DUMMYFUNCTION("""COMPUTED_VALUE"""),84.0)</f>
        <v>84</v>
      </c>
      <c r="X790" s="217"/>
      <c r="Y790" s="217"/>
      <c r="Z790" s="217"/>
      <c r="AA790" s="481">
        <f>IFERROR(__xludf.DUMMYFUNCTION("""COMPUTED_VALUE"""),13.0)</f>
        <v>13</v>
      </c>
      <c r="AB790" s="481">
        <f>IFERROR(__xludf.DUMMYFUNCTION("""COMPUTED_VALUE"""),27.0)</f>
        <v>27</v>
      </c>
      <c r="AC790" s="481">
        <f>IFERROR(__xludf.DUMMYFUNCTION("""COMPUTED_VALUE"""),0.0)</f>
        <v>0</v>
      </c>
      <c r="AD790" s="481">
        <f>IFERROR(__xludf.DUMMYFUNCTION("""COMPUTED_VALUE"""),0.0)</f>
        <v>0</v>
      </c>
      <c r="AE790" s="481">
        <f>IFERROR(__xludf.DUMMYFUNCTION("""COMPUTED_VALUE"""),10.0)</f>
        <v>10</v>
      </c>
      <c r="AF790" s="481"/>
      <c r="AG790" s="481">
        <f>IFERROR(__xludf.DUMMYFUNCTION("""COMPUTED_VALUE"""),0.0)</f>
        <v>0</v>
      </c>
      <c r="AH790" s="481"/>
      <c r="AI790" s="158"/>
      <c r="AJ790" s="158"/>
      <c r="AK790" s="133">
        <f>IFERROR(__xludf.DUMMYFUNCTION("""COMPUTED_VALUE"""),2.0)</f>
        <v>2</v>
      </c>
      <c r="AL790" s="133">
        <f>IFERROR(__xludf.DUMMYFUNCTION("""COMPUTED_VALUE"""),0.0)</f>
        <v>0</v>
      </c>
      <c r="AM790" s="133">
        <f>IFERROR(__xludf.DUMMYFUNCTION("""COMPUTED_VALUE"""),3.0)</f>
        <v>3</v>
      </c>
      <c r="AN790" s="133" t="str">
        <f>IFERROR(__xludf.DUMMYFUNCTION("""COMPUTED_VALUE"""),"0")</f>
        <v>0</v>
      </c>
      <c r="AO790" s="133">
        <f>IFERROR(__xludf.DUMMYFUNCTION("""COMPUTED_VALUE"""),0.0)</f>
        <v>0</v>
      </c>
      <c r="AP790" s="155" t="s">
        <v>3715</v>
      </c>
    </row>
    <row r="791">
      <c r="A791" s="155">
        <f>IFERROR(__xludf.DUMMYFUNCTION("""COMPUTED_VALUE"""),53.0)</f>
        <v>53</v>
      </c>
      <c r="B791" s="155" t="str">
        <f>IFERROR(__xludf.DUMMYFUNCTION("""COMPUTED_VALUE"""),"kapr23ainds@cmrit.ac.in")</f>
        <v>kapr23ainds@cmrit.ac.in</v>
      </c>
      <c r="C791" s="174" t="str">
        <f>IFERROR(__xludf.DUMMYFUNCTION("""COMPUTED_VALUE"""),"Kamal prasad Bohara")</f>
        <v>Kamal prasad Bohara</v>
      </c>
      <c r="D791" s="155" t="str">
        <f>IFERROR(__xludf.DUMMYFUNCTION("""COMPUTED_VALUE"""),"1CR23AD053")</f>
        <v>1CR23AD053</v>
      </c>
      <c r="E791" s="563">
        <f>IFERROR(__xludf.DUMMYFUNCTION("""COMPUTED_VALUE"""),9.336301578E9)</f>
        <v>9336301578</v>
      </c>
      <c r="F791" s="155" t="str">
        <f>IFERROR(__xludf.DUMMYFUNCTION("""COMPUTED_VALUE"""),"AIDS")</f>
        <v>AIDS</v>
      </c>
      <c r="G791" s="158"/>
      <c r="H791" s="559">
        <f>IFERROR(__xludf.DUMMYFUNCTION("""COMPUTED_VALUE"""),79.0)</f>
        <v>79</v>
      </c>
      <c r="I791" s="559">
        <f>IFERROR(__xludf.DUMMYFUNCTION("""COMPUTED_VALUE"""),92.0)</f>
        <v>92</v>
      </c>
      <c r="J791" s="559">
        <f>IFERROR(__xludf.DUMMYFUNCTION("""COMPUTED_VALUE"""),5.0)</f>
        <v>5</v>
      </c>
      <c r="K791" s="559">
        <f>IFERROR(__xludf.DUMMYFUNCTION("""COMPUTED_VALUE"""),16.0)</f>
        <v>16</v>
      </c>
      <c r="L791" s="560">
        <f>IFERROR(__xludf.DUMMYFUNCTION("""COMPUTED_VALUE"""),11.0)</f>
        <v>11</v>
      </c>
      <c r="M791" s="561">
        <f>IFERROR(__xludf.DUMMYFUNCTION("""COMPUTED_VALUE"""),0.0)</f>
        <v>0</v>
      </c>
      <c r="N791" s="561">
        <f>IFERROR(__xludf.DUMMYFUNCTION("""COMPUTED_VALUE"""),0.0)</f>
        <v>0</v>
      </c>
      <c r="O791" s="560"/>
      <c r="P791" s="562">
        <f>IFERROR(__xludf.DUMMYFUNCTION("""COMPUTED_VALUE"""),0.0)</f>
        <v>0</v>
      </c>
      <c r="Q791" s="562">
        <f>IFERROR(__xludf.DUMMYFUNCTION("""COMPUTED_VALUE"""),0.0)</f>
        <v>0</v>
      </c>
      <c r="R791" s="562">
        <f>IFERROR(__xludf.DUMMYFUNCTION("""COMPUTED_VALUE"""),0.0)</f>
        <v>0</v>
      </c>
      <c r="S791" s="562"/>
      <c r="T791" s="217">
        <f>IFERROR(__xludf.DUMMYFUNCTION("""COMPUTED_VALUE"""),11.0)</f>
        <v>11</v>
      </c>
      <c r="U791" s="217">
        <f>IFERROR(__xludf.DUMMYFUNCTION("""COMPUTED_VALUE"""),20.0)</f>
        <v>20</v>
      </c>
      <c r="V791" s="217">
        <f>IFERROR(__xludf.DUMMYFUNCTION("""COMPUTED_VALUE"""),82.0)</f>
        <v>82</v>
      </c>
      <c r="W791" s="217">
        <f>IFERROR(__xludf.DUMMYFUNCTION("""COMPUTED_VALUE"""),78.0)</f>
        <v>78</v>
      </c>
      <c r="X791" s="217"/>
      <c r="Y791" s="217"/>
      <c r="Z791" s="217"/>
      <c r="AA791" s="481">
        <f>IFERROR(__xludf.DUMMYFUNCTION("""COMPUTED_VALUE"""),26.0)</f>
        <v>26</v>
      </c>
      <c r="AB791" s="481">
        <f>IFERROR(__xludf.DUMMYFUNCTION("""COMPUTED_VALUE"""),60.0)</f>
        <v>60</v>
      </c>
      <c r="AC791" s="481">
        <f>IFERROR(__xludf.DUMMYFUNCTION("""COMPUTED_VALUE"""),0.0)</f>
        <v>0</v>
      </c>
      <c r="AD791" s="481">
        <f>IFERROR(__xludf.DUMMYFUNCTION("""COMPUTED_VALUE"""),0.0)</f>
        <v>0</v>
      </c>
      <c r="AE791" s="481">
        <f>IFERROR(__xludf.DUMMYFUNCTION("""COMPUTED_VALUE"""),10.0)</f>
        <v>10</v>
      </c>
      <c r="AF791" s="481"/>
      <c r="AG791" s="481">
        <f>IFERROR(__xludf.DUMMYFUNCTION("""COMPUTED_VALUE"""),0.0)</f>
        <v>0</v>
      </c>
      <c r="AH791" s="481"/>
      <c r="AI791" s="158"/>
      <c r="AJ791" s="158"/>
      <c r="AK791" s="133">
        <f>IFERROR(__xludf.DUMMYFUNCTION("""COMPUTED_VALUE"""),2.0)</f>
        <v>2</v>
      </c>
      <c r="AL791" s="133">
        <f>IFERROR(__xludf.DUMMYFUNCTION("""COMPUTED_VALUE"""),0.0)</f>
        <v>0</v>
      </c>
      <c r="AM791" s="133">
        <f>IFERROR(__xludf.DUMMYFUNCTION("""COMPUTED_VALUE"""),3.0)</f>
        <v>3</v>
      </c>
      <c r="AN791" s="133" t="str">
        <f>IFERROR(__xludf.DUMMYFUNCTION("""COMPUTED_VALUE"""),"2")</f>
        <v>2</v>
      </c>
      <c r="AO791" s="133">
        <f>IFERROR(__xludf.DUMMYFUNCTION("""COMPUTED_VALUE"""),0.0)</f>
        <v>0</v>
      </c>
      <c r="AP791" s="155" t="s">
        <v>3715</v>
      </c>
    </row>
    <row r="792">
      <c r="A792" s="155">
        <f>IFERROR(__xludf.DUMMYFUNCTION("""COMPUTED_VALUE"""),54.0)</f>
        <v>54</v>
      </c>
      <c r="B792" s="155" t="str">
        <f>IFERROR(__xludf.DUMMYFUNCTION("""COMPUTED_VALUE"""),"kaku23ainds@cmrit.ac.in")</f>
        <v>kaku23ainds@cmrit.ac.in</v>
      </c>
      <c r="C792" s="174" t="str">
        <f>IFERROR(__xludf.DUMMYFUNCTION("""COMPUTED_VALUE"""),"KAMBALA SRAVAN KUMAR")</f>
        <v>KAMBALA SRAVAN KUMAR</v>
      </c>
      <c r="D792" s="155" t="str">
        <f>IFERROR(__xludf.DUMMYFUNCTION("""COMPUTED_VALUE"""),"1CR23AD054")</f>
        <v>1CR23AD054</v>
      </c>
      <c r="E792" s="563">
        <f>IFERROR(__xludf.DUMMYFUNCTION("""COMPUTED_VALUE"""),6.302616117E9)</f>
        <v>6302616117</v>
      </c>
      <c r="F792" s="155" t="str">
        <f>IFERROR(__xludf.DUMMYFUNCTION("""COMPUTED_VALUE"""),"AIDS")</f>
        <v>AIDS</v>
      </c>
      <c r="G792" s="158"/>
      <c r="H792" s="559">
        <f>IFERROR(__xludf.DUMMYFUNCTION("""COMPUTED_VALUE"""),70.0)</f>
        <v>70</v>
      </c>
      <c r="I792" s="559">
        <f>IFERROR(__xludf.DUMMYFUNCTION("""COMPUTED_VALUE"""),71.0)</f>
        <v>71</v>
      </c>
      <c r="J792" s="559">
        <f>IFERROR(__xludf.DUMMYFUNCTION("""COMPUTED_VALUE"""),70.0)</f>
        <v>70</v>
      </c>
      <c r="K792" s="559">
        <f>IFERROR(__xludf.DUMMYFUNCTION("""COMPUTED_VALUE"""),70.0)</f>
        <v>70</v>
      </c>
      <c r="L792" s="560">
        <f>IFERROR(__xludf.DUMMYFUNCTION("""COMPUTED_VALUE"""),50.0)</f>
        <v>50</v>
      </c>
      <c r="M792" s="561">
        <f>IFERROR(__xludf.DUMMYFUNCTION("""COMPUTED_VALUE"""),50.0)</f>
        <v>50</v>
      </c>
      <c r="N792" s="561">
        <f>IFERROR(__xludf.DUMMYFUNCTION("""COMPUTED_VALUE"""),41.0)</f>
        <v>41</v>
      </c>
      <c r="O792" s="560"/>
      <c r="P792" s="562">
        <f>IFERROR(__xludf.DUMMYFUNCTION("""COMPUTED_VALUE"""),77.0)</f>
        <v>77</v>
      </c>
      <c r="Q792" s="562">
        <f>IFERROR(__xludf.DUMMYFUNCTION("""COMPUTED_VALUE"""),55.0)</f>
        <v>55</v>
      </c>
      <c r="R792" s="562">
        <f>IFERROR(__xludf.DUMMYFUNCTION("""COMPUTED_VALUE"""),81.0)</f>
        <v>81</v>
      </c>
      <c r="S792" s="562"/>
      <c r="T792" s="217">
        <f>IFERROR(__xludf.DUMMYFUNCTION("""COMPUTED_VALUE"""),17.0)</f>
        <v>17</v>
      </c>
      <c r="U792" s="217">
        <f>IFERROR(__xludf.DUMMYFUNCTION("""COMPUTED_VALUE"""),24.0)</f>
        <v>24</v>
      </c>
      <c r="V792" s="217">
        <f>IFERROR(__xludf.DUMMYFUNCTION("""COMPUTED_VALUE"""),78.0)</f>
        <v>78</v>
      </c>
      <c r="W792" s="217">
        <f>IFERROR(__xludf.DUMMYFUNCTION("""COMPUTED_VALUE"""),78.0)</f>
        <v>78</v>
      </c>
      <c r="X792" s="217">
        <f>IFERROR(__xludf.DUMMYFUNCTION("""COMPUTED_VALUE"""),80.0)</f>
        <v>80</v>
      </c>
      <c r="Y792" s="217"/>
      <c r="Z792" s="217"/>
      <c r="AA792" s="481">
        <f>IFERROR(__xludf.DUMMYFUNCTION("""COMPUTED_VALUE"""),11.4)</f>
        <v>11.4</v>
      </c>
      <c r="AB792" s="481">
        <f>IFERROR(__xludf.DUMMYFUNCTION("""COMPUTED_VALUE"""),70.0)</f>
        <v>70</v>
      </c>
      <c r="AC792" s="481">
        <f>IFERROR(__xludf.DUMMYFUNCTION("""COMPUTED_VALUE"""),60.0)</f>
        <v>60</v>
      </c>
      <c r="AD792" s="481">
        <f>IFERROR(__xludf.DUMMYFUNCTION("""COMPUTED_VALUE"""),60.0)</f>
        <v>60</v>
      </c>
      <c r="AE792" s="481">
        <f>IFERROR(__xludf.DUMMYFUNCTION("""COMPUTED_VALUE"""),72.0)</f>
        <v>72</v>
      </c>
      <c r="AF792" s="481"/>
      <c r="AG792" s="481">
        <f>IFERROR(__xludf.DUMMYFUNCTION("""COMPUTED_VALUE"""),83.0)</f>
        <v>83</v>
      </c>
      <c r="AH792" s="481"/>
      <c r="AI792" s="158"/>
      <c r="AJ792" s="158"/>
      <c r="AK792" s="133">
        <f>IFERROR(__xludf.DUMMYFUNCTION("""COMPUTED_VALUE"""),4.0)</f>
        <v>4</v>
      </c>
      <c r="AL792" s="133">
        <f>IFERROR(__xludf.DUMMYFUNCTION("""COMPUTED_VALUE"""),2.0)</f>
        <v>2</v>
      </c>
      <c r="AM792" s="133">
        <f>IFERROR(__xludf.DUMMYFUNCTION("""COMPUTED_VALUE"""),3.0)</f>
        <v>3</v>
      </c>
      <c r="AN792" s="133" t="str">
        <f>IFERROR(__xludf.DUMMYFUNCTION("""COMPUTED_VALUE"""),"3.5")</f>
        <v>3.5</v>
      </c>
      <c r="AO792" s="133">
        <f>IFERROR(__xludf.DUMMYFUNCTION("""COMPUTED_VALUE"""),3.0)</f>
        <v>3</v>
      </c>
      <c r="AP792" s="155" t="s">
        <v>3715</v>
      </c>
    </row>
    <row r="793">
      <c r="A793" s="155">
        <f>IFERROR(__xludf.DUMMYFUNCTION("""COMPUTED_VALUE"""),55.0)</f>
        <v>55</v>
      </c>
      <c r="B793" s="155" t="str">
        <f>IFERROR(__xludf.DUMMYFUNCTION("""COMPUTED_VALUE"""),"keb23ainds@cmrit.ac.in")</f>
        <v>keb23ainds@cmrit.ac.in</v>
      </c>
      <c r="C793" s="174" t="str">
        <f>IFERROR(__xludf.DUMMYFUNCTION("""COMPUTED_VALUE"""),"KEERTHANA B")</f>
        <v>KEERTHANA B</v>
      </c>
      <c r="D793" s="155" t="str">
        <f>IFERROR(__xludf.DUMMYFUNCTION("""COMPUTED_VALUE"""),"1CR23AD055")</f>
        <v>1CR23AD055</v>
      </c>
      <c r="E793" s="563">
        <f>IFERROR(__xludf.DUMMYFUNCTION("""COMPUTED_VALUE"""),9.448571339E9)</f>
        <v>9448571339</v>
      </c>
      <c r="F793" s="155" t="str">
        <f>IFERROR(__xludf.DUMMYFUNCTION("""COMPUTED_VALUE"""),"AIDS")</f>
        <v>AIDS</v>
      </c>
      <c r="G793" s="158"/>
      <c r="H793" s="559">
        <f>IFERROR(__xludf.DUMMYFUNCTION("""COMPUTED_VALUE"""),79.0)</f>
        <v>79</v>
      </c>
      <c r="I793" s="559">
        <f>IFERROR(__xludf.DUMMYFUNCTION("""COMPUTED_VALUE"""),84.0)</f>
        <v>84</v>
      </c>
      <c r="J793" s="559">
        <f>IFERROR(__xludf.DUMMYFUNCTION("""COMPUTED_VALUE"""),82.0)</f>
        <v>82</v>
      </c>
      <c r="K793" s="559">
        <f>IFERROR(__xludf.DUMMYFUNCTION("""COMPUTED_VALUE"""),70.0)</f>
        <v>70</v>
      </c>
      <c r="L793" s="560">
        <f>IFERROR(__xludf.DUMMYFUNCTION("""COMPUTED_VALUE"""),50.0)</f>
        <v>50</v>
      </c>
      <c r="M793" s="561">
        <f>IFERROR(__xludf.DUMMYFUNCTION("""COMPUTED_VALUE"""),20.0)</f>
        <v>20</v>
      </c>
      <c r="N793" s="561">
        <f>IFERROR(__xludf.DUMMYFUNCTION("""COMPUTED_VALUE"""),6.0)</f>
        <v>6</v>
      </c>
      <c r="O793" s="560"/>
      <c r="P793" s="562">
        <f>IFERROR(__xludf.DUMMYFUNCTION("""COMPUTED_VALUE"""),90.0)</f>
        <v>90</v>
      </c>
      <c r="Q793" s="562">
        <f>IFERROR(__xludf.DUMMYFUNCTION("""COMPUTED_VALUE"""),83.0)</f>
        <v>83</v>
      </c>
      <c r="R793" s="562">
        <f>IFERROR(__xludf.DUMMYFUNCTION("""COMPUTED_VALUE"""),0.0)</f>
        <v>0</v>
      </c>
      <c r="S793" s="562"/>
      <c r="T793" s="217">
        <f>IFERROR(__xludf.DUMMYFUNCTION("""COMPUTED_VALUE"""),22.0)</f>
        <v>22</v>
      </c>
      <c r="U793" s="217">
        <f>IFERROR(__xludf.DUMMYFUNCTION("""COMPUTED_VALUE"""),24.0)</f>
        <v>24</v>
      </c>
      <c r="V793" s="217">
        <f>IFERROR(__xludf.DUMMYFUNCTION("""COMPUTED_VALUE"""),88.0)</f>
        <v>88</v>
      </c>
      <c r="W793" s="217">
        <f>IFERROR(__xludf.DUMMYFUNCTION("""COMPUTED_VALUE"""),84.0)</f>
        <v>84</v>
      </c>
      <c r="X793" s="217">
        <f>IFERROR(__xludf.DUMMYFUNCTION("""COMPUTED_VALUE"""),72.0)</f>
        <v>72</v>
      </c>
      <c r="Y793" s="217"/>
      <c r="Z793" s="217"/>
      <c r="AA793" s="481">
        <f>IFERROR(__xludf.DUMMYFUNCTION("""COMPUTED_VALUE"""),15.6)</f>
        <v>15.6</v>
      </c>
      <c r="AB793" s="481">
        <f>IFERROR(__xludf.DUMMYFUNCTION("""COMPUTED_VALUE"""),64.0)</f>
        <v>64</v>
      </c>
      <c r="AC793" s="481">
        <f>IFERROR(__xludf.DUMMYFUNCTION("""COMPUTED_VALUE"""),0.0)</f>
        <v>0</v>
      </c>
      <c r="AD793" s="481">
        <f>IFERROR(__xludf.DUMMYFUNCTION("""COMPUTED_VALUE"""),1.0)</f>
        <v>1</v>
      </c>
      <c r="AE793" s="481">
        <f>IFERROR(__xludf.DUMMYFUNCTION("""COMPUTED_VALUE"""),10.0)</f>
        <v>10</v>
      </c>
      <c r="AF793" s="481"/>
      <c r="AG793" s="481">
        <f>IFERROR(__xludf.DUMMYFUNCTION("""COMPUTED_VALUE"""),14.0)</f>
        <v>14</v>
      </c>
      <c r="AH793" s="481"/>
      <c r="AI793" s="158"/>
      <c r="AJ793" s="158"/>
      <c r="AK793" s="133">
        <f>IFERROR(__xludf.DUMMYFUNCTION("""COMPUTED_VALUE"""),4.0)</f>
        <v>4</v>
      </c>
      <c r="AL793" s="133">
        <f>IFERROR(__xludf.DUMMYFUNCTION("""COMPUTED_VALUE"""),1.0)</f>
        <v>1</v>
      </c>
      <c r="AM793" s="133">
        <f>IFERROR(__xludf.DUMMYFUNCTION("""COMPUTED_VALUE"""),3.0)</f>
        <v>3</v>
      </c>
      <c r="AN793" s="133" t="str">
        <f>IFERROR(__xludf.DUMMYFUNCTION("""COMPUTED_VALUE"""),"2")</f>
        <v>2</v>
      </c>
      <c r="AO793" s="133">
        <f>IFERROR(__xludf.DUMMYFUNCTION("""COMPUTED_VALUE"""),2.0)</f>
        <v>2</v>
      </c>
      <c r="AP793" s="155" t="s">
        <v>3715</v>
      </c>
    </row>
    <row r="794">
      <c r="A794" s="155">
        <f>IFERROR(__xludf.DUMMYFUNCTION("""COMPUTED_VALUE"""),56.0)</f>
        <v>56</v>
      </c>
      <c r="B794" s="155" t="str">
        <f>IFERROR(__xludf.DUMMYFUNCTION("""COMPUTED_VALUE"""),"keve23ainds@cmrit.ac.in")</f>
        <v>keve23ainds@cmrit.ac.in</v>
      </c>
      <c r="C794" s="174" t="str">
        <f>IFERROR(__xludf.DUMMYFUNCTION("""COMPUTED_VALUE"""),"KESAPRAGADA VENKATA PRABHA SAI SAMVITHA")</f>
        <v>KESAPRAGADA VENKATA PRABHA SAI SAMVITHA</v>
      </c>
      <c r="D794" s="155" t="str">
        <f>IFERROR(__xludf.DUMMYFUNCTION("""COMPUTED_VALUE"""),"1CR23AD056")</f>
        <v>1CR23AD056</v>
      </c>
      <c r="E794" s="563">
        <f>IFERROR(__xludf.DUMMYFUNCTION("""COMPUTED_VALUE"""),6.360194317E9)</f>
        <v>6360194317</v>
      </c>
      <c r="F794" s="155" t="str">
        <f>IFERROR(__xludf.DUMMYFUNCTION("""COMPUTED_VALUE"""),"AIDS")</f>
        <v>AIDS</v>
      </c>
      <c r="G794" s="158"/>
      <c r="H794" s="559">
        <f>IFERROR(__xludf.DUMMYFUNCTION("""COMPUTED_VALUE"""),70.0)</f>
        <v>70</v>
      </c>
      <c r="I794" s="559">
        <f>IFERROR(__xludf.DUMMYFUNCTION("""COMPUTED_VALUE"""),81.0)</f>
        <v>81</v>
      </c>
      <c r="J794" s="559">
        <f>IFERROR(__xludf.DUMMYFUNCTION("""COMPUTED_VALUE"""),73.0)</f>
        <v>73</v>
      </c>
      <c r="K794" s="559">
        <f>IFERROR(__xludf.DUMMYFUNCTION("""COMPUTED_VALUE"""),70.0)</f>
        <v>70</v>
      </c>
      <c r="L794" s="560">
        <f>IFERROR(__xludf.DUMMYFUNCTION("""COMPUTED_VALUE"""),50.0)</f>
        <v>50</v>
      </c>
      <c r="M794" s="561">
        <f>IFERROR(__xludf.DUMMYFUNCTION("""COMPUTED_VALUE"""),50.0)</f>
        <v>50</v>
      </c>
      <c r="N794" s="561">
        <f>IFERROR(__xludf.DUMMYFUNCTION("""COMPUTED_VALUE"""),50.0)</f>
        <v>50</v>
      </c>
      <c r="O794" s="560"/>
      <c r="P794" s="562">
        <f>IFERROR(__xludf.DUMMYFUNCTION("""COMPUTED_VALUE"""),81.0)</f>
        <v>81</v>
      </c>
      <c r="Q794" s="562">
        <f>IFERROR(__xludf.DUMMYFUNCTION("""COMPUTED_VALUE"""),50.0)</f>
        <v>50</v>
      </c>
      <c r="R794" s="562">
        <f>IFERROR(__xludf.DUMMYFUNCTION("""COMPUTED_VALUE"""),83.0)</f>
        <v>83</v>
      </c>
      <c r="S794" s="562"/>
      <c r="T794" s="217">
        <f>IFERROR(__xludf.DUMMYFUNCTION("""COMPUTED_VALUE"""),16.0)</f>
        <v>16</v>
      </c>
      <c r="U794" s="217">
        <f>IFERROR(__xludf.DUMMYFUNCTION("""COMPUTED_VALUE"""),18.0)</f>
        <v>18</v>
      </c>
      <c r="V794" s="217">
        <f>IFERROR(__xludf.DUMMYFUNCTION("""COMPUTED_VALUE"""),90.0)</f>
        <v>90</v>
      </c>
      <c r="W794" s="217">
        <f>IFERROR(__xludf.DUMMYFUNCTION("""COMPUTED_VALUE"""),80.0)</f>
        <v>80</v>
      </c>
      <c r="X794" s="217">
        <f>IFERROR(__xludf.DUMMYFUNCTION("""COMPUTED_VALUE"""),56.0)</f>
        <v>56</v>
      </c>
      <c r="Y794" s="217"/>
      <c r="Z794" s="217"/>
      <c r="AA794" s="481">
        <f>IFERROR(__xludf.DUMMYFUNCTION("""COMPUTED_VALUE"""),11.2)</f>
        <v>11.2</v>
      </c>
      <c r="AB794" s="481">
        <f>IFERROR(__xludf.DUMMYFUNCTION("""COMPUTED_VALUE"""),70.0)</f>
        <v>70</v>
      </c>
      <c r="AC794" s="481">
        <f>IFERROR(__xludf.DUMMYFUNCTION("""COMPUTED_VALUE"""),80.0)</f>
        <v>80</v>
      </c>
      <c r="AD794" s="481">
        <f>IFERROR(__xludf.DUMMYFUNCTION("""COMPUTED_VALUE"""),0.0)</f>
        <v>0</v>
      </c>
      <c r="AE794" s="481">
        <f>IFERROR(__xludf.DUMMYFUNCTION("""COMPUTED_VALUE"""),70.0)</f>
        <v>70</v>
      </c>
      <c r="AF794" s="481"/>
      <c r="AG794" s="481">
        <f>IFERROR(__xludf.DUMMYFUNCTION("""COMPUTED_VALUE"""),76.0)</f>
        <v>76</v>
      </c>
      <c r="AH794" s="481"/>
      <c r="AI794" s="158"/>
      <c r="AJ794" s="158"/>
      <c r="AK794" s="133">
        <f>IFERROR(__xludf.DUMMYFUNCTION("""COMPUTED_VALUE"""),4.0)</f>
        <v>4</v>
      </c>
      <c r="AL794" s="133">
        <f>IFERROR(__xludf.DUMMYFUNCTION("""COMPUTED_VALUE"""),3.0)</f>
        <v>3</v>
      </c>
      <c r="AM794" s="133">
        <f>IFERROR(__xludf.DUMMYFUNCTION("""COMPUTED_VALUE"""),3.0)</f>
        <v>3</v>
      </c>
      <c r="AN794" s="133" t="str">
        <f>IFERROR(__xludf.DUMMYFUNCTION("""COMPUTED_VALUE"""),"3.5")</f>
        <v>3.5</v>
      </c>
      <c r="AO794" s="133">
        <f>IFERROR(__xludf.DUMMYFUNCTION("""COMPUTED_VALUE"""),3.0)</f>
        <v>3</v>
      </c>
      <c r="AP794" s="155" t="s">
        <v>3715</v>
      </c>
    </row>
    <row r="795">
      <c r="A795" s="155">
        <f>IFERROR(__xludf.DUMMYFUNCTION("""COMPUTED_VALUE"""),57.0)</f>
        <v>57</v>
      </c>
      <c r="B795" s="155" t="str">
        <f>IFERROR(__xludf.DUMMYFUNCTION("""COMPUTED_VALUE"""),"khhe23ainds@cmrit.ac.in")</f>
        <v>khhe23ainds@cmrit.ac.in</v>
      </c>
      <c r="C795" s="174" t="str">
        <f>IFERROR(__xludf.DUMMYFUNCTION("""COMPUTED_VALUE"""),"Khushi Hebballi")</f>
        <v>Khushi Hebballi</v>
      </c>
      <c r="D795" s="155" t="str">
        <f>IFERROR(__xludf.DUMMYFUNCTION("""COMPUTED_VALUE"""),"1CR23AD057")</f>
        <v>1CR23AD057</v>
      </c>
      <c r="E795" s="563">
        <f>IFERROR(__xludf.DUMMYFUNCTION("""COMPUTED_VALUE"""),8.708657992E9)</f>
        <v>8708657992</v>
      </c>
      <c r="F795" s="155" t="str">
        <f>IFERROR(__xludf.DUMMYFUNCTION("""COMPUTED_VALUE"""),"AIDS")</f>
        <v>AIDS</v>
      </c>
      <c r="G795" s="158"/>
      <c r="H795" s="559">
        <f>IFERROR(__xludf.DUMMYFUNCTION("""COMPUTED_VALUE"""),77.0)</f>
        <v>77</v>
      </c>
      <c r="I795" s="559">
        <f>IFERROR(__xludf.DUMMYFUNCTION("""COMPUTED_VALUE"""),84.0)</f>
        <v>84</v>
      </c>
      <c r="J795" s="559">
        <f>IFERROR(__xludf.DUMMYFUNCTION("""COMPUTED_VALUE"""),76.0)</f>
        <v>76</v>
      </c>
      <c r="K795" s="559">
        <f>IFERROR(__xludf.DUMMYFUNCTION("""COMPUTED_VALUE"""),70.0)</f>
        <v>70</v>
      </c>
      <c r="L795" s="560">
        <f>IFERROR(__xludf.DUMMYFUNCTION("""COMPUTED_VALUE"""),50.0)</f>
        <v>50</v>
      </c>
      <c r="M795" s="561">
        <f>IFERROR(__xludf.DUMMYFUNCTION("""COMPUTED_VALUE"""),25.0)</f>
        <v>25</v>
      </c>
      <c r="N795" s="561">
        <f>IFERROR(__xludf.DUMMYFUNCTION("""COMPUTED_VALUE"""),50.0)</f>
        <v>50</v>
      </c>
      <c r="O795" s="560"/>
      <c r="P795" s="562">
        <f>IFERROR(__xludf.DUMMYFUNCTION("""COMPUTED_VALUE"""),79.0)</f>
        <v>79</v>
      </c>
      <c r="Q795" s="562">
        <f>IFERROR(__xludf.DUMMYFUNCTION("""COMPUTED_VALUE"""),50.0)</f>
        <v>50</v>
      </c>
      <c r="R795" s="562">
        <f>IFERROR(__xludf.DUMMYFUNCTION("""COMPUTED_VALUE"""),91.0)</f>
        <v>91</v>
      </c>
      <c r="S795" s="562"/>
      <c r="T795" s="217">
        <f>IFERROR(__xludf.DUMMYFUNCTION("""COMPUTED_VALUE"""),10.0)</f>
        <v>10</v>
      </c>
      <c r="U795" s="217">
        <f>IFERROR(__xludf.DUMMYFUNCTION("""COMPUTED_VALUE"""),19.0)</f>
        <v>19</v>
      </c>
      <c r="V795" s="217">
        <f>IFERROR(__xludf.DUMMYFUNCTION("""COMPUTED_VALUE"""),84.0)</f>
        <v>84</v>
      </c>
      <c r="W795" s="217">
        <f>IFERROR(__xludf.DUMMYFUNCTION("""COMPUTED_VALUE"""),84.0)</f>
        <v>84</v>
      </c>
      <c r="X795" s="217">
        <f>IFERROR(__xludf.DUMMYFUNCTION("""COMPUTED_VALUE"""),72.0)</f>
        <v>72</v>
      </c>
      <c r="Y795" s="217"/>
      <c r="Z795" s="217"/>
      <c r="AA795" s="481">
        <f>IFERROR(__xludf.DUMMYFUNCTION("""COMPUTED_VALUE"""),60.0)</f>
        <v>60</v>
      </c>
      <c r="AB795" s="481">
        <f>IFERROR(__xludf.DUMMYFUNCTION("""COMPUTED_VALUE"""),61.0)</f>
        <v>61</v>
      </c>
      <c r="AC795" s="481">
        <f>IFERROR(__xludf.DUMMYFUNCTION("""COMPUTED_VALUE"""),10.0)</f>
        <v>10</v>
      </c>
      <c r="AD795" s="481">
        <f>IFERROR(__xludf.DUMMYFUNCTION("""COMPUTED_VALUE"""),80.0)</f>
        <v>80</v>
      </c>
      <c r="AE795" s="481">
        <f>IFERROR(__xludf.DUMMYFUNCTION("""COMPUTED_VALUE"""),70.0)</f>
        <v>70</v>
      </c>
      <c r="AF795" s="481"/>
      <c r="AG795" s="481">
        <f>IFERROR(__xludf.DUMMYFUNCTION("""COMPUTED_VALUE"""),77.0)</f>
        <v>77</v>
      </c>
      <c r="AH795" s="481"/>
      <c r="AI795" s="158"/>
      <c r="AJ795" s="158"/>
      <c r="AK795" s="133">
        <f>IFERROR(__xludf.DUMMYFUNCTION("""COMPUTED_VALUE"""),4.0)</f>
        <v>4</v>
      </c>
      <c r="AL795" s="133">
        <f>IFERROR(__xludf.DUMMYFUNCTION("""COMPUTED_VALUE"""),1.0)</f>
        <v>1</v>
      </c>
      <c r="AM795" s="133">
        <f>IFERROR(__xludf.DUMMYFUNCTION("""COMPUTED_VALUE"""),3.0)</f>
        <v>3</v>
      </c>
      <c r="AN795" s="133" t="str">
        <f>IFERROR(__xludf.DUMMYFUNCTION("""COMPUTED_VALUE"""),"3.5")</f>
        <v>3.5</v>
      </c>
      <c r="AO795" s="133">
        <f>IFERROR(__xludf.DUMMYFUNCTION("""COMPUTED_VALUE"""),3.0)</f>
        <v>3</v>
      </c>
      <c r="AP795" s="155" t="s">
        <v>3715</v>
      </c>
    </row>
    <row r="796">
      <c r="A796" s="155">
        <f>IFERROR(__xludf.DUMMYFUNCTION("""COMPUTED_VALUE"""),58.0)</f>
        <v>58</v>
      </c>
      <c r="B796" s="155" t="str">
        <f>IFERROR(__xludf.DUMMYFUNCTION("""COMPUTED_VALUE"""),"krsp23ainds@cmrit.ac.in")</f>
        <v>krsp23ainds@cmrit.ac.in</v>
      </c>
      <c r="C796" s="174" t="str">
        <f>IFERROR(__xludf.DUMMYFUNCTION("""COMPUTED_VALUE"""),"Krupa S P ")</f>
        <v>Krupa S P </v>
      </c>
      <c r="D796" s="155" t="str">
        <f>IFERROR(__xludf.DUMMYFUNCTION("""COMPUTED_VALUE"""),"1CR23AD058")</f>
        <v>1CR23AD058</v>
      </c>
      <c r="E796" s="563">
        <f>IFERROR(__xludf.DUMMYFUNCTION("""COMPUTED_VALUE"""),9.019839212E9)</f>
        <v>9019839212</v>
      </c>
      <c r="F796" s="155" t="str">
        <f>IFERROR(__xludf.DUMMYFUNCTION("""COMPUTED_VALUE"""),"AIDS")</f>
        <v>AIDS</v>
      </c>
      <c r="G796" s="158"/>
      <c r="H796" s="559">
        <f>IFERROR(__xludf.DUMMYFUNCTION("""COMPUTED_VALUE"""),72.0)</f>
        <v>72</v>
      </c>
      <c r="I796" s="559">
        <f>IFERROR(__xludf.DUMMYFUNCTION("""COMPUTED_VALUE"""),84.0)</f>
        <v>84</v>
      </c>
      <c r="J796" s="559">
        <f>IFERROR(__xludf.DUMMYFUNCTION("""COMPUTED_VALUE"""),58.0)</f>
        <v>58</v>
      </c>
      <c r="K796" s="559">
        <f>IFERROR(__xludf.DUMMYFUNCTION("""COMPUTED_VALUE"""),70.0)</f>
        <v>70</v>
      </c>
      <c r="L796" s="560">
        <f>IFERROR(__xludf.DUMMYFUNCTION("""COMPUTED_VALUE"""),42.0)</f>
        <v>42</v>
      </c>
      <c r="M796" s="561">
        <f>IFERROR(__xludf.DUMMYFUNCTION("""COMPUTED_VALUE"""),25.0)</f>
        <v>25</v>
      </c>
      <c r="N796" s="561">
        <f>IFERROR(__xludf.DUMMYFUNCTION("""COMPUTED_VALUE"""),50.0)</f>
        <v>50</v>
      </c>
      <c r="O796" s="560"/>
      <c r="P796" s="562">
        <f>IFERROR(__xludf.DUMMYFUNCTION("""COMPUTED_VALUE"""),87.0)</f>
        <v>87</v>
      </c>
      <c r="Q796" s="562">
        <f>IFERROR(__xludf.DUMMYFUNCTION("""COMPUTED_VALUE"""),50.0)</f>
        <v>50</v>
      </c>
      <c r="R796" s="562">
        <f>IFERROR(__xludf.DUMMYFUNCTION("""COMPUTED_VALUE"""),87.0)</f>
        <v>87</v>
      </c>
      <c r="S796" s="562"/>
      <c r="T796" s="217">
        <f>IFERROR(__xludf.DUMMYFUNCTION("""COMPUTED_VALUE"""),16.0)</f>
        <v>16</v>
      </c>
      <c r="U796" s="217">
        <f>IFERROR(__xludf.DUMMYFUNCTION("""COMPUTED_VALUE"""),12.0)</f>
        <v>12</v>
      </c>
      <c r="V796" s="217">
        <f>IFERROR(__xludf.DUMMYFUNCTION("""COMPUTED_VALUE"""),72.0)</f>
        <v>72</v>
      </c>
      <c r="W796" s="217"/>
      <c r="X796" s="217">
        <f>IFERROR(__xludf.DUMMYFUNCTION("""COMPUTED_VALUE"""),70.0)</f>
        <v>70</v>
      </c>
      <c r="Y796" s="217"/>
      <c r="Z796" s="217"/>
      <c r="AA796" s="481">
        <f>IFERROR(__xludf.DUMMYFUNCTION("""COMPUTED_VALUE"""),2.0)</f>
        <v>2</v>
      </c>
      <c r="AB796" s="481">
        <f>IFERROR(__xludf.DUMMYFUNCTION("""COMPUTED_VALUE"""),61.0)</f>
        <v>61</v>
      </c>
      <c r="AC796" s="481">
        <f>IFERROR(__xludf.DUMMYFUNCTION("""COMPUTED_VALUE"""),70.0)</f>
        <v>70</v>
      </c>
      <c r="AD796" s="481">
        <f>IFERROR(__xludf.DUMMYFUNCTION("""COMPUTED_VALUE"""),2.0)</f>
        <v>2</v>
      </c>
      <c r="AE796" s="481">
        <f>IFERROR(__xludf.DUMMYFUNCTION("""COMPUTED_VALUE"""),40.0)</f>
        <v>40</v>
      </c>
      <c r="AF796" s="481"/>
      <c r="AG796" s="481">
        <f>IFERROR(__xludf.DUMMYFUNCTION("""COMPUTED_VALUE"""),74.0)</f>
        <v>74</v>
      </c>
      <c r="AH796" s="481"/>
      <c r="AI796" s="158"/>
      <c r="AJ796" s="158"/>
      <c r="AK796" s="133">
        <f>IFERROR(__xludf.DUMMYFUNCTION("""COMPUTED_VALUE"""),2.0)</f>
        <v>2</v>
      </c>
      <c r="AL796" s="133">
        <f>IFERROR(__xludf.DUMMYFUNCTION("""COMPUTED_VALUE"""),0.0)</f>
        <v>0</v>
      </c>
      <c r="AM796" s="133">
        <f>IFERROR(__xludf.DUMMYFUNCTION("""COMPUTED_VALUE"""),2.0)</f>
        <v>2</v>
      </c>
      <c r="AN796" s="133" t="str">
        <f>IFERROR(__xludf.DUMMYFUNCTION("""COMPUTED_VALUE"""),"3")</f>
        <v>3</v>
      </c>
      <c r="AO796" s="133">
        <f>IFERROR(__xludf.DUMMYFUNCTION("""COMPUTED_VALUE"""),3.0)</f>
        <v>3</v>
      </c>
      <c r="AP796" s="155" t="s">
        <v>3715</v>
      </c>
    </row>
    <row r="797">
      <c r="A797" s="155">
        <f>IFERROR(__xludf.DUMMYFUNCTION("""COMPUTED_VALUE"""),59.0)</f>
        <v>59</v>
      </c>
      <c r="B797" s="155" t="str">
        <f>IFERROR(__xludf.DUMMYFUNCTION("""COMPUTED_VALUE"""),"kusa23ainds@cmrit.ac.in")</f>
        <v>kusa23ainds@cmrit.ac.in</v>
      </c>
      <c r="C797" s="174" t="str">
        <f>IFERROR(__xludf.DUMMYFUNCTION("""COMPUTED_VALUE"""),"KUNTIMUKKALA SAIRAM")</f>
        <v>KUNTIMUKKALA SAIRAM</v>
      </c>
      <c r="D797" s="155" t="str">
        <f>IFERROR(__xludf.DUMMYFUNCTION("""COMPUTED_VALUE"""),"1CR23AD059")</f>
        <v>1CR23AD059</v>
      </c>
      <c r="E797" s="563">
        <f>IFERROR(__xludf.DUMMYFUNCTION("""COMPUTED_VALUE"""),8.217896072E9)</f>
        <v>8217896072</v>
      </c>
      <c r="F797" s="155" t="str">
        <f>IFERROR(__xludf.DUMMYFUNCTION("""COMPUTED_VALUE"""),"AIDS")</f>
        <v>AIDS</v>
      </c>
      <c r="G797" s="158"/>
      <c r="H797" s="559">
        <f>IFERROR(__xludf.DUMMYFUNCTION("""COMPUTED_VALUE"""),79.0)</f>
        <v>79</v>
      </c>
      <c r="I797" s="559">
        <f>IFERROR(__xludf.DUMMYFUNCTION("""COMPUTED_VALUE"""),83.0)</f>
        <v>83</v>
      </c>
      <c r="J797" s="559">
        <f>IFERROR(__xludf.DUMMYFUNCTION("""COMPUTED_VALUE"""),74.0)</f>
        <v>74</v>
      </c>
      <c r="K797" s="559">
        <f>IFERROR(__xludf.DUMMYFUNCTION("""COMPUTED_VALUE"""),70.0)</f>
        <v>70</v>
      </c>
      <c r="L797" s="560">
        <f>IFERROR(__xludf.DUMMYFUNCTION("""COMPUTED_VALUE"""),50.0)</f>
        <v>50</v>
      </c>
      <c r="M797" s="561">
        <f>IFERROR(__xludf.DUMMYFUNCTION("""COMPUTED_VALUE"""),50.0)</f>
        <v>50</v>
      </c>
      <c r="N797" s="561">
        <f>IFERROR(__xludf.DUMMYFUNCTION("""COMPUTED_VALUE"""),59.0)</f>
        <v>59</v>
      </c>
      <c r="O797" s="560"/>
      <c r="P797" s="562">
        <f>IFERROR(__xludf.DUMMYFUNCTION("""COMPUTED_VALUE"""),80.0)</f>
        <v>80</v>
      </c>
      <c r="Q797" s="562">
        <f>IFERROR(__xludf.DUMMYFUNCTION("""COMPUTED_VALUE"""),55.0)</f>
        <v>55</v>
      </c>
      <c r="R797" s="562">
        <f>IFERROR(__xludf.DUMMYFUNCTION("""COMPUTED_VALUE"""),84.0)</f>
        <v>84</v>
      </c>
      <c r="S797" s="562"/>
      <c r="T797" s="217">
        <f>IFERROR(__xludf.DUMMYFUNCTION("""COMPUTED_VALUE"""),14.0)</f>
        <v>14</v>
      </c>
      <c r="U797" s="217">
        <f>IFERROR(__xludf.DUMMYFUNCTION("""COMPUTED_VALUE"""),25.0)</f>
        <v>25</v>
      </c>
      <c r="V797" s="217">
        <f>IFERROR(__xludf.DUMMYFUNCTION("""COMPUTED_VALUE"""),92.0)</f>
        <v>92</v>
      </c>
      <c r="W797" s="217">
        <f>IFERROR(__xludf.DUMMYFUNCTION("""COMPUTED_VALUE"""),66.0)</f>
        <v>66</v>
      </c>
      <c r="X797" s="217">
        <f>IFERROR(__xludf.DUMMYFUNCTION("""COMPUTED_VALUE"""),80.0)</f>
        <v>80</v>
      </c>
      <c r="Y797" s="217"/>
      <c r="Z797" s="217"/>
      <c r="AA797" s="481">
        <f>IFERROR(__xludf.DUMMYFUNCTION("""COMPUTED_VALUE"""),15.6)</f>
        <v>15.6</v>
      </c>
      <c r="AB797" s="481">
        <f>IFERROR(__xludf.DUMMYFUNCTION("""COMPUTED_VALUE"""),62.0)</f>
        <v>62</v>
      </c>
      <c r="AC797" s="481">
        <f>IFERROR(__xludf.DUMMYFUNCTION("""COMPUTED_VALUE"""),0.0)</f>
        <v>0</v>
      </c>
      <c r="AD797" s="481">
        <f>IFERROR(__xludf.DUMMYFUNCTION("""COMPUTED_VALUE"""),60.0)</f>
        <v>60</v>
      </c>
      <c r="AE797" s="481">
        <f>IFERROR(__xludf.DUMMYFUNCTION("""COMPUTED_VALUE"""),71.0)</f>
        <v>71</v>
      </c>
      <c r="AF797" s="481"/>
      <c r="AG797" s="481">
        <f>IFERROR(__xludf.DUMMYFUNCTION("""COMPUTED_VALUE"""),82.0)</f>
        <v>82</v>
      </c>
      <c r="AH797" s="481"/>
      <c r="AI797" s="158"/>
      <c r="AJ797" s="158"/>
      <c r="AK797" s="133">
        <f>IFERROR(__xludf.DUMMYFUNCTION("""COMPUTED_VALUE"""),4.0)</f>
        <v>4</v>
      </c>
      <c r="AL797" s="133">
        <f>IFERROR(__xludf.DUMMYFUNCTION("""COMPUTED_VALUE"""),3.0)</f>
        <v>3</v>
      </c>
      <c r="AM797" s="133">
        <f>IFERROR(__xludf.DUMMYFUNCTION("""COMPUTED_VALUE"""),3.0)</f>
        <v>3</v>
      </c>
      <c r="AN797" s="133" t="str">
        <f>IFERROR(__xludf.DUMMYFUNCTION("""COMPUTED_VALUE"""),"3.5")</f>
        <v>3.5</v>
      </c>
      <c r="AO797" s="133">
        <f>IFERROR(__xludf.DUMMYFUNCTION("""COMPUTED_VALUE"""),3.0)</f>
        <v>3</v>
      </c>
      <c r="AP797" s="155" t="s">
        <v>3715</v>
      </c>
    </row>
    <row r="798">
      <c r="A798" s="155">
        <f>IFERROR(__xludf.DUMMYFUNCTION("""COMPUTED_VALUE"""),60.0)</f>
        <v>60</v>
      </c>
      <c r="B798" s="155" t="str">
        <f>IFERROR(__xludf.DUMMYFUNCTION("""COMPUTED_VALUE"""),"kush23ainds@cmrit.ac.in")</f>
        <v>kush23ainds@cmrit.ac.in</v>
      </c>
      <c r="C798" s="174" t="str">
        <f>IFERROR(__xludf.DUMMYFUNCTION("""COMPUTED_VALUE"""),"KUSHI S SHETTY")</f>
        <v>KUSHI S SHETTY</v>
      </c>
      <c r="D798" s="155" t="str">
        <f>IFERROR(__xludf.DUMMYFUNCTION("""COMPUTED_VALUE"""),"1CR23AD060")</f>
        <v>1CR23AD060</v>
      </c>
      <c r="E798" s="563">
        <f>IFERROR(__xludf.DUMMYFUNCTION("""COMPUTED_VALUE"""),7.483579122E9)</f>
        <v>7483579122</v>
      </c>
      <c r="F798" s="155" t="str">
        <f>IFERROR(__xludf.DUMMYFUNCTION("""COMPUTED_VALUE"""),"AIDS")</f>
        <v>AIDS</v>
      </c>
      <c r="G798" s="158"/>
      <c r="H798" s="559">
        <f>IFERROR(__xludf.DUMMYFUNCTION("""COMPUTED_VALUE"""),72.0)</f>
        <v>72</v>
      </c>
      <c r="I798" s="559">
        <f>IFERROR(__xludf.DUMMYFUNCTION("""COMPUTED_VALUE"""),84.0)</f>
        <v>84</v>
      </c>
      <c r="J798" s="559">
        <f>IFERROR(__xludf.DUMMYFUNCTION("""COMPUTED_VALUE"""),76.0)</f>
        <v>76</v>
      </c>
      <c r="K798" s="559">
        <f>IFERROR(__xludf.DUMMYFUNCTION("""COMPUTED_VALUE"""),70.0)</f>
        <v>70</v>
      </c>
      <c r="L798" s="560">
        <f>IFERROR(__xludf.DUMMYFUNCTION("""COMPUTED_VALUE"""),48.0)</f>
        <v>48</v>
      </c>
      <c r="M798" s="561">
        <f>IFERROR(__xludf.DUMMYFUNCTION("""COMPUTED_VALUE"""),16.0)</f>
        <v>16</v>
      </c>
      <c r="N798" s="561">
        <f>IFERROR(__xludf.DUMMYFUNCTION("""COMPUTED_VALUE"""),28.0)</f>
        <v>28</v>
      </c>
      <c r="O798" s="560"/>
      <c r="P798" s="562">
        <f>IFERROR(__xludf.DUMMYFUNCTION("""COMPUTED_VALUE"""),81.0)</f>
        <v>81</v>
      </c>
      <c r="Q798" s="562">
        <f>IFERROR(__xludf.DUMMYFUNCTION("""COMPUTED_VALUE"""),50.0)</f>
        <v>50</v>
      </c>
      <c r="R798" s="562">
        <f>IFERROR(__xludf.DUMMYFUNCTION("""COMPUTED_VALUE"""),74.0)</f>
        <v>74</v>
      </c>
      <c r="S798" s="562"/>
      <c r="T798" s="217">
        <f>IFERROR(__xludf.DUMMYFUNCTION("""COMPUTED_VALUE"""),10.0)</f>
        <v>10</v>
      </c>
      <c r="U798" s="217">
        <f>IFERROR(__xludf.DUMMYFUNCTION("""COMPUTED_VALUE"""),8.0)</f>
        <v>8</v>
      </c>
      <c r="V798" s="217">
        <f>IFERROR(__xludf.DUMMYFUNCTION("""COMPUTED_VALUE"""),76.0)</f>
        <v>76</v>
      </c>
      <c r="W798" s="217">
        <f>IFERROR(__xludf.DUMMYFUNCTION("""COMPUTED_VALUE"""),64.0)</f>
        <v>64</v>
      </c>
      <c r="X798" s="217">
        <f>IFERROR(__xludf.DUMMYFUNCTION("""COMPUTED_VALUE"""),86.0)</f>
        <v>86</v>
      </c>
      <c r="Y798" s="217"/>
      <c r="Z798" s="217"/>
      <c r="AA798" s="481">
        <f>IFERROR(__xludf.DUMMYFUNCTION("""COMPUTED_VALUE"""),15.6)</f>
        <v>15.6</v>
      </c>
      <c r="AB798" s="481">
        <f>IFERROR(__xludf.DUMMYFUNCTION("""COMPUTED_VALUE"""),55.0)</f>
        <v>55</v>
      </c>
      <c r="AC798" s="481">
        <f>IFERROR(__xludf.DUMMYFUNCTION("""COMPUTED_VALUE"""),0.0)</f>
        <v>0</v>
      </c>
      <c r="AD798" s="481">
        <f>IFERROR(__xludf.DUMMYFUNCTION("""COMPUTED_VALUE"""),1.0)</f>
        <v>1</v>
      </c>
      <c r="AE798" s="481">
        <f>IFERROR(__xludf.DUMMYFUNCTION("""COMPUTED_VALUE"""),35.0)</f>
        <v>35</v>
      </c>
      <c r="AF798" s="481"/>
      <c r="AG798" s="481">
        <f>IFERROR(__xludf.DUMMYFUNCTION("""COMPUTED_VALUE"""),76.0)</f>
        <v>76</v>
      </c>
      <c r="AH798" s="481"/>
      <c r="AI798" s="158"/>
      <c r="AJ798" s="158"/>
      <c r="AK798" s="133">
        <f>IFERROR(__xludf.DUMMYFUNCTION("""COMPUTED_VALUE"""),4.0)</f>
        <v>4</v>
      </c>
      <c r="AL798" s="133">
        <f>IFERROR(__xludf.DUMMYFUNCTION("""COMPUTED_VALUE"""),0.0)</f>
        <v>0</v>
      </c>
      <c r="AM798" s="133">
        <f>IFERROR(__xludf.DUMMYFUNCTION("""COMPUTED_VALUE"""),0.0)</f>
        <v>0</v>
      </c>
      <c r="AN798" s="133" t="str">
        <f>IFERROR(__xludf.DUMMYFUNCTION("""COMPUTED_VALUE"""),"2")</f>
        <v>2</v>
      </c>
      <c r="AO798" s="133">
        <f>IFERROR(__xludf.DUMMYFUNCTION("""COMPUTED_VALUE"""),3.0)</f>
        <v>3</v>
      </c>
      <c r="AP798" s="155" t="s">
        <v>3715</v>
      </c>
    </row>
    <row r="799">
      <c r="A799" s="155">
        <f>IFERROR(__xludf.DUMMYFUNCTION("""COMPUTED_VALUE"""),61.0)</f>
        <v>61</v>
      </c>
      <c r="B799" s="155" t="str">
        <f>IFERROR(__xludf.DUMMYFUNCTION("""COMPUTED_VALUE"""),"kup23ainds@cmrit.ac.in")</f>
        <v>kup23ainds@cmrit.ac.in</v>
      </c>
      <c r="C799" s="174" t="str">
        <f>IFERROR(__xludf.DUMMYFUNCTION("""COMPUTED_VALUE"""),"Kusuma P")</f>
        <v>Kusuma P</v>
      </c>
      <c r="D799" s="155" t="str">
        <f>IFERROR(__xludf.DUMMYFUNCTION("""COMPUTED_VALUE"""),"1CR23AD061")</f>
        <v>1CR23AD061</v>
      </c>
      <c r="E799" s="563">
        <f>IFERROR(__xludf.DUMMYFUNCTION("""COMPUTED_VALUE"""),9.035683966E9)</f>
        <v>9035683966</v>
      </c>
      <c r="F799" s="155" t="str">
        <f>IFERROR(__xludf.DUMMYFUNCTION("""COMPUTED_VALUE"""),"AIDS")</f>
        <v>AIDS</v>
      </c>
      <c r="G799" s="158"/>
      <c r="H799" s="559">
        <f>IFERROR(__xludf.DUMMYFUNCTION("""COMPUTED_VALUE"""),86.0)</f>
        <v>86</v>
      </c>
      <c r="I799" s="559">
        <f>IFERROR(__xludf.DUMMYFUNCTION("""COMPUTED_VALUE"""),92.0)</f>
        <v>92</v>
      </c>
      <c r="J799" s="559">
        <f>IFERROR(__xludf.DUMMYFUNCTION("""COMPUTED_VALUE"""),71.0)</f>
        <v>71</v>
      </c>
      <c r="K799" s="559">
        <f>IFERROR(__xludf.DUMMYFUNCTION("""COMPUTED_VALUE"""),70.0)</f>
        <v>70</v>
      </c>
      <c r="L799" s="560">
        <f>IFERROR(__xludf.DUMMYFUNCTION("""COMPUTED_VALUE"""),50.0)</f>
        <v>50</v>
      </c>
      <c r="M799" s="561">
        <f>IFERROR(__xludf.DUMMYFUNCTION("""COMPUTED_VALUE"""),44.0)</f>
        <v>44</v>
      </c>
      <c r="N799" s="561">
        <f>IFERROR(__xludf.DUMMYFUNCTION("""COMPUTED_VALUE"""),50.0)</f>
        <v>50</v>
      </c>
      <c r="O799" s="560"/>
      <c r="P799" s="562">
        <f>IFERROR(__xludf.DUMMYFUNCTION("""COMPUTED_VALUE"""),81.0)</f>
        <v>81</v>
      </c>
      <c r="Q799" s="562">
        <f>IFERROR(__xludf.DUMMYFUNCTION("""COMPUTED_VALUE"""),83.0)</f>
        <v>83</v>
      </c>
      <c r="R799" s="562">
        <f>IFERROR(__xludf.DUMMYFUNCTION("""COMPUTED_VALUE"""),92.0)</f>
        <v>92</v>
      </c>
      <c r="S799" s="562"/>
      <c r="T799" s="217">
        <f>IFERROR(__xludf.DUMMYFUNCTION("""COMPUTED_VALUE"""),16.0)</f>
        <v>16</v>
      </c>
      <c r="U799" s="217">
        <f>IFERROR(__xludf.DUMMYFUNCTION("""COMPUTED_VALUE"""),25.0)</f>
        <v>25</v>
      </c>
      <c r="V799" s="217">
        <f>IFERROR(__xludf.DUMMYFUNCTION("""COMPUTED_VALUE"""),88.0)</f>
        <v>88</v>
      </c>
      <c r="W799" s="217">
        <f>IFERROR(__xludf.DUMMYFUNCTION("""COMPUTED_VALUE"""),88.0)</f>
        <v>88</v>
      </c>
      <c r="X799" s="217">
        <f>IFERROR(__xludf.DUMMYFUNCTION("""COMPUTED_VALUE"""),78.0)</f>
        <v>78</v>
      </c>
      <c r="Y799" s="217"/>
      <c r="Z799" s="217"/>
      <c r="AA799" s="481">
        <f>IFERROR(__xludf.DUMMYFUNCTION("""COMPUTED_VALUE"""),78.0)</f>
        <v>78</v>
      </c>
      <c r="AB799" s="481">
        <f>IFERROR(__xludf.DUMMYFUNCTION("""COMPUTED_VALUE"""),97.0)</f>
        <v>97</v>
      </c>
      <c r="AC799" s="481">
        <f>IFERROR(__xludf.DUMMYFUNCTION("""COMPUTED_VALUE"""),68.0)</f>
        <v>68</v>
      </c>
      <c r="AD799" s="481">
        <f>IFERROR(__xludf.DUMMYFUNCTION("""COMPUTED_VALUE"""),12.0)</f>
        <v>12</v>
      </c>
      <c r="AE799" s="481">
        <f>IFERROR(__xludf.DUMMYFUNCTION("""COMPUTED_VALUE"""),70.0)</f>
        <v>70</v>
      </c>
      <c r="AF799" s="481"/>
      <c r="AG799" s="481">
        <f>IFERROR(__xludf.DUMMYFUNCTION("""COMPUTED_VALUE"""),77.0)</f>
        <v>77</v>
      </c>
      <c r="AH799" s="481"/>
      <c r="AI799" s="158"/>
      <c r="AJ799" s="158"/>
      <c r="AK799" s="133">
        <f>IFERROR(__xludf.DUMMYFUNCTION("""COMPUTED_VALUE"""),4.0)</f>
        <v>4</v>
      </c>
      <c r="AL799" s="133">
        <f>IFERROR(__xludf.DUMMYFUNCTION("""COMPUTED_VALUE"""),1.0)</f>
        <v>1</v>
      </c>
      <c r="AM799" s="133">
        <f>IFERROR(__xludf.DUMMYFUNCTION("""COMPUTED_VALUE"""),3.0)</f>
        <v>3</v>
      </c>
      <c r="AN799" s="133" t="str">
        <f>IFERROR(__xludf.DUMMYFUNCTION("""COMPUTED_VALUE"""),"3.5")</f>
        <v>3.5</v>
      </c>
      <c r="AO799" s="133">
        <f>IFERROR(__xludf.DUMMYFUNCTION("""COMPUTED_VALUE"""),3.0)</f>
        <v>3</v>
      </c>
      <c r="AP799" s="155" t="s">
        <v>3715</v>
      </c>
    </row>
    <row r="800">
      <c r="A800" s="155">
        <f>IFERROR(__xludf.DUMMYFUNCTION("""COMPUTED_VALUE"""),62.0)</f>
        <v>62</v>
      </c>
      <c r="B800" s="155" t="str">
        <f>IFERROR(__xludf.DUMMYFUNCTION("""COMPUTED_VALUE"""),"lare23ainds@cmrit.ac.in")</f>
        <v>lare23ainds@cmrit.ac.in</v>
      </c>
      <c r="C800" s="174" t="str">
        <f>IFERROR(__xludf.DUMMYFUNCTION("""COMPUTED_VALUE"""),"LAHITHA REDDY KAMBAM ")</f>
        <v>LAHITHA REDDY KAMBAM </v>
      </c>
      <c r="D800" s="155" t="str">
        <f>IFERROR(__xludf.DUMMYFUNCTION("""COMPUTED_VALUE"""),"1CR23AD062")</f>
        <v>1CR23AD062</v>
      </c>
      <c r="E800" s="563">
        <f>IFERROR(__xludf.DUMMYFUNCTION("""COMPUTED_VALUE"""),7.975169992E9)</f>
        <v>7975169992</v>
      </c>
      <c r="F800" s="155" t="str">
        <f>IFERROR(__xludf.DUMMYFUNCTION("""COMPUTED_VALUE"""),"AIDS")</f>
        <v>AIDS</v>
      </c>
      <c r="G800" s="158"/>
      <c r="H800" s="559">
        <f>IFERROR(__xludf.DUMMYFUNCTION("""COMPUTED_VALUE"""),88.0)</f>
        <v>88</v>
      </c>
      <c r="I800" s="559">
        <f>IFERROR(__xludf.DUMMYFUNCTION("""COMPUTED_VALUE"""),88.0)</f>
        <v>88</v>
      </c>
      <c r="J800" s="559">
        <f>IFERROR(__xludf.DUMMYFUNCTION("""COMPUTED_VALUE"""),77.0)</f>
        <v>77</v>
      </c>
      <c r="K800" s="559">
        <f>IFERROR(__xludf.DUMMYFUNCTION("""COMPUTED_VALUE"""),70.0)</f>
        <v>70</v>
      </c>
      <c r="L800" s="560">
        <f>IFERROR(__xludf.DUMMYFUNCTION("""COMPUTED_VALUE"""),20.0)</f>
        <v>20</v>
      </c>
      <c r="M800" s="561">
        <f>IFERROR(__xludf.DUMMYFUNCTION("""COMPUTED_VALUE"""),50.0)</f>
        <v>50</v>
      </c>
      <c r="N800" s="561">
        <f>IFERROR(__xludf.DUMMYFUNCTION("""COMPUTED_VALUE"""),50.0)</f>
        <v>50</v>
      </c>
      <c r="O800" s="560"/>
      <c r="P800" s="562">
        <f>IFERROR(__xludf.DUMMYFUNCTION("""COMPUTED_VALUE"""),82.0)</f>
        <v>82</v>
      </c>
      <c r="Q800" s="562">
        <f>IFERROR(__xludf.DUMMYFUNCTION("""COMPUTED_VALUE"""),65.0)</f>
        <v>65</v>
      </c>
      <c r="R800" s="562">
        <f>IFERROR(__xludf.DUMMYFUNCTION("""COMPUTED_VALUE"""),86.0)</f>
        <v>86</v>
      </c>
      <c r="S800" s="562"/>
      <c r="T800" s="217">
        <f>IFERROR(__xludf.DUMMYFUNCTION("""COMPUTED_VALUE"""),20.0)</f>
        <v>20</v>
      </c>
      <c r="U800" s="217">
        <f>IFERROR(__xludf.DUMMYFUNCTION("""COMPUTED_VALUE"""),25.0)</f>
        <v>25</v>
      </c>
      <c r="V800" s="217">
        <f>IFERROR(__xludf.DUMMYFUNCTION("""COMPUTED_VALUE"""),74.0)</f>
        <v>74</v>
      </c>
      <c r="W800" s="217">
        <f>IFERROR(__xludf.DUMMYFUNCTION("""COMPUTED_VALUE"""),76.0)</f>
        <v>76</v>
      </c>
      <c r="X800" s="217">
        <f>IFERROR(__xludf.DUMMYFUNCTION("""COMPUTED_VALUE"""),82.0)</f>
        <v>82</v>
      </c>
      <c r="Y800" s="217"/>
      <c r="Z800" s="217"/>
      <c r="AA800" s="481">
        <f>IFERROR(__xludf.DUMMYFUNCTION("""COMPUTED_VALUE"""),14.8)</f>
        <v>14.8</v>
      </c>
      <c r="AB800" s="481">
        <f>IFERROR(__xludf.DUMMYFUNCTION("""COMPUTED_VALUE"""),71.0)</f>
        <v>71</v>
      </c>
      <c r="AC800" s="481">
        <f>IFERROR(__xludf.DUMMYFUNCTION("""COMPUTED_VALUE"""),0.0)</f>
        <v>0</v>
      </c>
      <c r="AD800" s="481">
        <f>IFERROR(__xludf.DUMMYFUNCTION("""COMPUTED_VALUE"""),0.0)</f>
        <v>0</v>
      </c>
      <c r="AE800" s="481">
        <f>IFERROR(__xludf.DUMMYFUNCTION("""COMPUTED_VALUE"""),16.0)</f>
        <v>16</v>
      </c>
      <c r="AF800" s="481"/>
      <c r="AG800" s="481">
        <f>IFERROR(__xludf.DUMMYFUNCTION("""COMPUTED_VALUE"""),76.0)</f>
        <v>76</v>
      </c>
      <c r="AH800" s="481"/>
      <c r="AI800" s="158"/>
      <c r="AJ800" s="158"/>
      <c r="AK800" s="133">
        <f>IFERROR(__xludf.DUMMYFUNCTION("""COMPUTED_VALUE"""),4.0)</f>
        <v>4</v>
      </c>
      <c r="AL800" s="133">
        <f>IFERROR(__xludf.DUMMYFUNCTION("""COMPUTED_VALUE"""),0.0)</f>
        <v>0</v>
      </c>
      <c r="AM800" s="133">
        <f>IFERROR(__xludf.DUMMYFUNCTION("""COMPUTED_VALUE"""),3.0)</f>
        <v>3</v>
      </c>
      <c r="AN800" s="133" t="str">
        <f>IFERROR(__xludf.DUMMYFUNCTION("""COMPUTED_VALUE"""),"2")</f>
        <v>2</v>
      </c>
      <c r="AO800" s="133">
        <f>IFERROR(__xludf.DUMMYFUNCTION("""COMPUTED_VALUE"""),3.0)</f>
        <v>3</v>
      </c>
      <c r="AP800" s="155" t="s">
        <v>3715</v>
      </c>
    </row>
    <row r="801">
      <c r="A801" s="155">
        <f>IFERROR(__xludf.DUMMYFUNCTION("""COMPUTED_VALUE"""),63.0)</f>
        <v>63</v>
      </c>
      <c r="B801" s="155" t="str">
        <f>IFERROR(__xludf.DUMMYFUNCTION("""COMPUTED_VALUE"""),"lic23ainds@cmrit.ac.in")</f>
        <v>lic23ainds@cmrit.ac.in</v>
      </c>
      <c r="C801" s="174" t="str">
        <f>IFERROR(__xludf.DUMMYFUNCTION("""COMPUTED_VALUE"""),"LIKITHA. C")</f>
        <v>LIKITHA. C</v>
      </c>
      <c r="D801" s="155" t="str">
        <f>IFERROR(__xludf.DUMMYFUNCTION("""COMPUTED_VALUE"""),"1CR23AD063")</f>
        <v>1CR23AD063</v>
      </c>
      <c r="E801" s="563">
        <f>IFERROR(__xludf.DUMMYFUNCTION("""COMPUTED_VALUE"""),7.892456973E9)</f>
        <v>7892456973</v>
      </c>
      <c r="F801" s="155" t="str">
        <f>IFERROR(__xludf.DUMMYFUNCTION("""COMPUTED_VALUE"""),"AIDS")</f>
        <v>AIDS</v>
      </c>
      <c r="G801" s="158"/>
      <c r="H801" s="559">
        <f>IFERROR(__xludf.DUMMYFUNCTION("""COMPUTED_VALUE"""),70.0)</f>
        <v>70</v>
      </c>
      <c r="I801" s="559">
        <f>IFERROR(__xludf.DUMMYFUNCTION("""COMPUTED_VALUE"""),70.0)</f>
        <v>70</v>
      </c>
      <c r="J801" s="559">
        <f>IFERROR(__xludf.DUMMYFUNCTION("""COMPUTED_VALUE"""),70.0)</f>
        <v>70</v>
      </c>
      <c r="K801" s="559">
        <f>IFERROR(__xludf.DUMMYFUNCTION("""COMPUTED_VALUE"""),70.0)</f>
        <v>70</v>
      </c>
      <c r="L801" s="560">
        <f>IFERROR(__xludf.DUMMYFUNCTION("""COMPUTED_VALUE"""),7.0)</f>
        <v>7</v>
      </c>
      <c r="M801" s="561">
        <f>IFERROR(__xludf.DUMMYFUNCTION("""COMPUTED_VALUE"""),8.0)</f>
        <v>8</v>
      </c>
      <c r="N801" s="561">
        <f>IFERROR(__xludf.DUMMYFUNCTION("""COMPUTED_VALUE"""),50.0)</f>
        <v>50</v>
      </c>
      <c r="O801" s="560"/>
      <c r="P801" s="562">
        <f>IFERROR(__xludf.DUMMYFUNCTION("""COMPUTED_VALUE"""),82.0)</f>
        <v>82</v>
      </c>
      <c r="Q801" s="562">
        <f>IFERROR(__xludf.DUMMYFUNCTION("""COMPUTED_VALUE"""),65.0)</f>
        <v>65</v>
      </c>
      <c r="R801" s="562">
        <f>IFERROR(__xludf.DUMMYFUNCTION("""COMPUTED_VALUE"""),85.0)</f>
        <v>85</v>
      </c>
      <c r="S801" s="562"/>
      <c r="T801" s="217">
        <f>IFERROR(__xludf.DUMMYFUNCTION("""COMPUTED_VALUE"""),18.0)</f>
        <v>18</v>
      </c>
      <c r="U801" s="217">
        <f>IFERROR(__xludf.DUMMYFUNCTION("""COMPUTED_VALUE"""),14.0)</f>
        <v>14</v>
      </c>
      <c r="V801" s="217">
        <f>IFERROR(__xludf.DUMMYFUNCTION("""COMPUTED_VALUE"""),60.0)</f>
        <v>60</v>
      </c>
      <c r="W801" s="217">
        <f>IFERROR(__xludf.DUMMYFUNCTION("""COMPUTED_VALUE"""),70.0)</f>
        <v>70</v>
      </c>
      <c r="X801" s="217">
        <f>IFERROR(__xludf.DUMMYFUNCTION("""COMPUTED_VALUE"""),52.0)</f>
        <v>52</v>
      </c>
      <c r="Y801" s="217"/>
      <c r="Z801" s="217"/>
      <c r="AA801" s="481">
        <f>IFERROR(__xludf.DUMMYFUNCTION("""COMPUTED_VALUE"""),20.0)</f>
        <v>20</v>
      </c>
      <c r="AB801" s="481">
        <f>IFERROR(__xludf.DUMMYFUNCTION("""COMPUTED_VALUE"""),57.0)</f>
        <v>57</v>
      </c>
      <c r="AC801" s="481">
        <f>IFERROR(__xludf.DUMMYFUNCTION("""COMPUTED_VALUE"""),0.0)</f>
        <v>0</v>
      </c>
      <c r="AD801" s="481">
        <f>IFERROR(__xludf.DUMMYFUNCTION("""COMPUTED_VALUE"""),0.0)</f>
        <v>0</v>
      </c>
      <c r="AE801" s="481">
        <f>IFERROR(__xludf.DUMMYFUNCTION("""COMPUTED_VALUE"""),15.0)</f>
        <v>15</v>
      </c>
      <c r="AF801" s="481"/>
      <c r="AG801" s="481">
        <f>IFERROR(__xludf.DUMMYFUNCTION("""COMPUTED_VALUE"""),70.0)</f>
        <v>70</v>
      </c>
      <c r="AH801" s="481"/>
      <c r="AI801" s="158"/>
      <c r="AJ801" s="158"/>
      <c r="AK801" s="133">
        <f>IFERROR(__xludf.DUMMYFUNCTION("""COMPUTED_VALUE"""),4.0)</f>
        <v>4</v>
      </c>
      <c r="AL801" s="133">
        <f>IFERROR(__xludf.DUMMYFUNCTION("""COMPUTED_VALUE"""),0.0)</f>
        <v>0</v>
      </c>
      <c r="AM801" s="133">
        <f>IFERROR(__xludf.DUMMYFUNCTION("""COMPUTED_VALUE"""),3.0)</f>
        <v>3</v>
      </c>
      <c r="AN801" s="133" t="str">
        <f>IFERROR(__xludf.DUMMYFUNCTION("""COMPUTED_VALUE"""),"2")</f>
        <v>2</v>
      </c>
      <c r="AO801" s="133">
        <f>IFERROR(__xludf.DUMMYFUNCTION("""COMPUTED_VALUE"""),3.0)</f>
        <v>3</v>
      </c>
      <c r="AP801" s="155" t="s">
        <v>3715</v>
      </c>
    </row>
    <row r="802">
      <c r="A802" s="155">
        <f>IFERROR(__xludf.DUMMYFUNCTION("""COMPUTED_VALUE"""),65.0)</f>
        <v>65</v>
      </c>
      <c r="B802" s="155" t="str">
        <f>IFERROR(__xludf.DUMMYFUNCTION("""COMPUTED_VALUE"""),"mgu23ainds@cmrit.ac.in")</f>
        <v>mgu23ainds@cmrit.ac.in</v>
      </c>
      <c r="C802" s="174" t="str">
        <f>IFERROR(__xludf.DUMMYFUNCTION("""COMPUTED_VALUE"""),"M Gunajothi")</f>
        <v>M Gunajothi</v>
      </c>
      <c r="D802" s="155" t="str">
        <f>IFERROR(__xludf.DUMMYFUNCTION("""COMPUTED_VALUE"""),"1CR23AD065")</f>
        <v>1CR23AD065</v>
      </c>
      <c r="E802" s="563">
        <f>IFERROR(__xludf.DUMMYFUNCTION("""COMPUTED_VALUE"""),8.971434831E9)</f>
        <v>8971434831</v>
      </c>
      <c r="F802" s="155" t="str">
        <f>IFERROR(__xludf.DUMMYFUNCTION("""COMPUTED_VALUE"""),"AIDS")</f>
        <v>AIDS</v>
      </c>
      <c r="G802" s="158"/>
      <c r="H802" s="559">
        <f>IFERROR(__xludf.DUMMYFUNCTION("""COMPUTED_VALUE"""),84.0)</f>
        <v>84</v>
      </c>
      <c r="I802" s="559">
        <f>IFERROR(__xludf.DUMMYFUNCTION("""COMPUTED_VALUE"""),88.0)</f>
        <v>88</v>
      </c>
      <c r="J802" s="559">
        <f>IFERROR(__xludf.DUMMYFUNCTION("""COMPUTED_VALUE"""),72.0)</f>
        <v>72</v>
      </c>
      <c r="K802" s="559">
        <f>IFERROR(__xludf.DUMMYFUNCTION("""COMPUTED_VALUE"""),70.0)</f>
        <v>70</v>
      </c>
      <c r="L802" s="560">
        <f>IFERROR(__xludf.DUMMYFUNCTION("""COMPUTED_VALUE"""),50.0)</f>
        <v>50</v>
      </c>
      <c r="M802" s="561">
        <f>IFERROR(__xludf.DUMMYFUNCTION("""COMPUTED_VALUE"""),50.0)</f>
        <v>50</v>
      </c>
      <c r="N802" s="561">
        <f>IFERROR(__xludf.DUMMYFUNCTION("""COMPUTED_VALUE"""),56.0)</f>
        <v>56</v>
      </c>
      <c r="O802" s="560"/>
      <c r="P802" s="562">
        <f>IFERROR(__xludf.DUMMYFUNCTION("""COMPUTED_VALUE"""),50.0)</f>
        <v>50</v>
      </c>
      <c r="Q802" s="562">
        <f>IFERROR(__xludf.DUMMYFUNCTION("""COMPUTED_VALUE"""),75.0)</f>
        <v>75</v>
      </c>
      <c r="R802" s="562">
        <f>IFERROR(__xludf.DUMMYFUNCTION("""COMPUTED_VALUE"""),90.0)</f>
        <v>90</v>
      </c>
      <c r="S802" s="562"/>
      <c r="T802" s="217">
        <f>IFERROR(__xludf.DUMMYFUNCTION("""COMPUTED_VALUE"""),11.0)</f>
        <v>11</v>
      </c>
      <c r="U802" s="217">
        <f>IFERROR(__xludf.DUMMYFUNCTION("""COMPUTED_VALUE"""),16.0)</f>
        <v>16</v>
      </c>
      <c r="V802" s="217">
        <f>IFERROR(__xludf.DUMMYFUNCTION("""COMPUTED_VALUE"""),86.0)</f>
        <v>86</v>
      </c>
      <c r="W802" s="217">
        <f>IFERROR(__xludf.DUMMYFUNCTION("""COMPUTED_VALUE"""),72.0)</f>
        <v>72</v>
      </c>
      <c r="X802" s="217">
        <f>IFERROR(__xludf.DUMMYFUNCTION("""COMPUTED_VALUE"""),76.0)</f>
        <v>76</v>
      </c>
      <c r="Y802" s="217"/>
      <c r="Z802" s="217"/>
      <c r="AA802" s="481">
        <f>IFERROR(__xludf.DUMMYFUNCTION("""COMPUTED_VALUE"""),22.0)</f>
        <v>22</v>
      </c>
      <c r="AB802" s="481">
        <f>IFERROR(__xludf.DUMMYFUNCTION("""COMPUTED_VALUE"""),72.0)</f>
        <v>72</v>
      </c>
      <c r="AC802" s="481">
        <f>IFERROR(__xludf.DUMMYFUNCTION("""COMPUTED_VALUE"""),35.0)</f>
        <v>35</v>
      </c>
      <c r="AD802" s="481">
        <f>IFERROR(__xludf.DUMMYFUNCTION("""COMPUTED_VALUE"""),62.0)</f>
        <v>62</v>
      </c>
      <c r="AE802" s="481">
        <f>IFERROR(__xludf.DUMMYFUNCTION("""COMPUTED_VALUE"""),70.0)</f>
        <v>70</v>
      </c>
      <c r="AF802" s="481"/>
      <c r="AG802" s="481">
        <f>IFERROR(__xludf.DUMMYFUNCTION("""COMPUTED_VALUE"""),84.0)</f>
        <v>84</v>
      </c>
      <c r="AH802" s="481"/>
      <c r="AI802" s="158"/>
      <c r="AJ802" s="158"/>
      <c r="AK802" s="133">
        <f>IFERROR(__xludf.DUMMYFUNCTION("""COMPUTED_VALUE"""),4.0)</f>
        <v>4</v>
      </c>
      <c r="AL802" s="133">
        <f>IFERROR(__xludf.DUMMYFUNCTION("""COMPUTED_VALUE"""),3.0)</f>
        <v>3</v>
      </c>
      <c r="AM802" s="133">
        <f>IFERROR(__xludf.DUMMYFUNCTION("""COMPUTED_VALUE"""),3.0)</f>
        <v>3</v>
      </c>
      <c r="AN802" s="133" t="str">
        <f>IFERROR(__xludf.DUMMYFUNCTION("""COMPUTED_VALUE"""),"3.5")</f>
        <v>3.5</v>
      </c>
      <c r="AO802" s="133">
        <f>IFERROR(__xludf.DUMMYFUNCTION("""COMPUTED_VALUE"""),3.0)</f>
        <v>3</v>
      </c>
      <c r="AP802" s="155" t="s">
        <v>3715</v>
      </c>
    </row>
    <row r="803">
      <c r="A803" s="155">
        <f>IFERROR(__xludf.DUMMYFUNCTION("""COMPUTED_VALUE"""),66.0)</f>
        <v>66</v>
      </c>
      <c r="B803" s="155" t="str">
        <f>IFERROR(__xludf.DUMMYFUNCTION("""COMPUTED_VALUE"""),"mppr23ainds@cmrit.ac.in")</f>
        <v>mppr23ainds@cmrit.ac.in</v>
      </c>
      <c r="C803" s="174" t="str">
        <f>IFERROR(__xludf.DUMMYFUNCTION("""COMPUTED_VALUE"""),"M P PRAGNA")</f>
        <v>M P PRAGNA</v>
      </c>
      <c r="D803" s="155" t="str">
        <f>IFERROR(__xludf.DUMMYFUNCTION("""COMPUTED_VALUE"""),"1CR23AD066")</f>
        <v>1CR23AD066</v>
      </c>
      <c r="E803" s="563">
        <f>IFERROR(__xludf.DUMMYFUNCTION("""COMPUTED_VALUE"""),9.901638386E9)</f>
        <v>9901638386</v>
      </c>
      <c r="F803" s="155" t="str">
        <f>IFERROR(__xludf.DUMMYFUNCTION("""COMPUTED_VALUE"""),"AIDS")</f>
        <v>AIDS</v>
      </c>
      <c r="G803" s="158"/>
      <c r="H803" s="559">
        <f>IFERROR(__xludf.DUMMYFUNCTION("""COMPUTED_VALUE"""),78.0)</f>
        <v>78</v>
      </c>
      <c r="I803" s="559">
        <f>IFERROR(__xludf.DUMMYFUNCTION("""COMPUTED_VALUE"""),89.0)</f>
        <v>89</v>
      </c>
      <c r="J803" s="559">
        <f>IFERROR(__xludf.DUMMYFUNCTION("""COMPUTED_VALUE"""),83.0)</f>
        <v>83</v>
      </c>
      <c r="K803" s="559">
        <f>IFERROR(__xludf.DUMMYFUNCTION("""COMPUTED_VALUE"""),70.0)</f>
        <v>70</v>
      </c>
      <c r="L803" s="560">
        <f>IFERROR(__xludf.DUMMYFUNCTION("""COMPUTED_VALUE"""),50.0)</f>
        <v>50</v>
      </c>
      <c r="M803" s="561">
        <f>IFERROR(__xludf.DUMMYFUNCTION("""COMPUTED_VALUE"""),50.0)</f>
        <v>50</v>
      </c>
      <c r="N803" s="561">
        <f>IFERROR(__xludf.DUMMYFUNCTION("""COMPUTED_VALUE"""),60.0)</f>
        <v>60</v>
      </c>
      <c r="O803" s="560"/>
      <c r="P803" s="562">
        <f>IFERROR(__xludf.DUMMYFUNCTION("""COMPUTED_VALUE"""),79.0)</f>
        <v>79</v>
      </c>
      <c r="Q803" s="562">
        <f>IFERROR(__xludf.DUMMYFUNCTION("""COMPUTED_VALUE"""),75.0)</f>
        <v>75</v>
      </c>
      <c r="R803" s="562">
        <f>IFERROR(__xludf.DUMMYFUNCTION("""COMPUTED_VALUE"""),83.0)</f>
        <v>83</v>
      </c>
      <c r="S803" s="562"/>
      <c r="T803" s="217">
        <f>IFERROR(__xludf.DUMMYFUNCTION("""COMPUTED_VALUE"""),11.0)</f>
        <v>11</v>
      </c>
      <c r="U803" s="217">
        <f>IFERROR(__xludf.DUMMYFUNCTION("""COMPUTED_VALUE"""),18.0)</f>
        <v>18</v>
      </c>
      <c r="V803" s="217">
        <f>IFERROR(__xludf.DUMMYFUNCTION("""COMPUTED_VALUE"""),84.0)</f>
        <v>84</v>
      </c>
      <c r="W803" s="217">
        <f>IFERROR(__xludf.DUMMYFUNCTION("""COMPUTED_VALUE"""),76.0)</f>
        <v>76</v>
      </c>
      <c r="X803" s="217">
        <f>IFERROR(__xludf.DUMMYFUNCTION("""COMPUTED_VALUE"""),84.0)</f>
        <v>84</v>
      </c>
      <c r="Y803" s="217"/>
      <c r="Z803" s="217"/>
      <c r="AA803" s="481">
        <f>IFERROR(__xludf.DUMMYFUNCTION("""COMPUTED_VALUE"""),88.0)</f>
        <v>88</v>
      </c>
      <c r="AB803" s="481">
        <f>IFERROR(__xludf.DUMMYFUNCTION("""COMPUTED_VALUE"""),71.0)</f>
        <v>71</v>
      </c>
      <c r="AC803" s="481">
        <f>IFERROR(__xludf.DUMMYFUNCTION("""COMPUTED_VALUE"""),88.0)</f>
        <v>88</v>
      </c>
      <c r="AD803" s="481">
        <f>IFERROR(__xludf.DUMMYFUNCTION("""COMPUTED_VALUE"""),62.0)</f>
        <v>62</v>
      </c>
      <c r="AE803" s="481">
        <f>IFERROR(__xludf.DUMMYFUNCTION("""COMPUTED_VALUE"""),70.0)</f>
        <v>70</v>
      </c>
      <c r="AF803" s="481"/>
      <c r="AG803" s="481">
        <f>IFERROR(__xludf.DUMMYFUNCTION("""COMPUTED_VALUE"""),87.0)</f>
        <v>87</v>
      </c>
      <c r="AH803" s="481"/>
      <c r="AI803" s="158"/>
      <c r="AJ803" s="158"/>
      <c r="AK803" s="133">
        <f>IFERROR(__xludf.DUMMYFUNCTION("""COMPUTED_VALUE"""),4.0)</f>
        <v>4</v>
      </c>
      <c r="AL803" s="133">
        <f>IFERROR(__xludf.DUMMYFUNCTION("""COMPUTED_VALUE"""),3.0)</f>
        <v>3</v>
      </c>
      <c r="AM803" s="133">
        <f>IFERROR(__xludf.DUMMYFUNCTION("""COMPUTED_VALUE"""),3.0)</f>
        <v>3</v>
      </c>
      <c r="AN803" s="133" t="str">
        <f>IFERROR(__xludf.DUMMYFUNCTION("""COMPUTED_VALUE"""),"3.5")</f>
        <v>3.5</v>
      </c>
      <c r="AO803" s="133">
        <f>IFERROR(__xludf.DUMMYFUNCTION("""COMPUTED_VALUE"""),3.0)</f>
        <v>3</v>
      </c>
      <c r="AP803" s="155" t="s">
        <v>3715</v>
      </c>
    </row>
    <row r="804">
      <c r="A804" s="155">
        <f>IFERROR(__xludf.DUMMYFUNCTION("""COMPUTED_VALUE"""),67.0)</f>
        <v>67</v>
      </c>
      <c r="B804" s="155" t="str">
        <f>IFERROR(__xludf.DUMMYFUNCTION("""COMPUTED_VALUE"""),"mre23ainds@cmrit.ac.in")</f>
        <v>mre23ainds@cmrit.ac.in</v>
      </c>
      <c r="C804" s="174" t="str">
        <f>IFERROR(__xludf.DUMMYFUNCTION("""COMPUTED_VALUE"""),"M TANUSREE REDDY")</f>
        <v>M TANUSREE REDDY</v>
      </c>
      <c r="D804" s="155" t="str">
        <f>IFERROR(__xludf.DUMMYFUNCTION("""COMPUTED_VALUE"""),"1CR23AD067")</f>
        <v>1CR23AD067</v>
      </c>
      <c r="E804" s="563">
        <f>IFERROR(__xludf.DUMMYFUNCTION("""COMPUTED_VALUE"""),9.113082751E9)</f>
        <v>9113082751</v>
      </c>
      <c r="F804" s="155" t="str">
        <f>IFERROR(__xludf.DUMMYFUNCTION("""COMPUTED_VALUE"""),"AIDS")</f>
        <v>AIDS</v>
      </c>
      <c r="G804" s="158"/>
      <c r="H804" s="559">
        <f>IFERROR(__xludf.DUMMYFUNCTION("""COMPUTED_VALUE"""),74.0)</f>
        <v>74</v>
      </c>
      <c r="I804" s="559">
        <f>IFERROR(__xludf.DUMMYFUNCTION("""COMPUTED_VALUE"""),78.0)</f>
        <v>78</v>
      </c>
      <c r="J804" s="559">
        <f>IFERROR(__xludf.DUMMYFUNCTION("""COMPUTED_VALUE"""),83.0)</f>
        <v>83</v>
      </c>
      <c r="K804" s="559">
        <f>IFERROR(__xludf.DUMMYFUNCTION("""COMPUTED_VALUE"""),83.0)</f>
        <v>83</v>
      </c>
      <c r="L804" s="560">
        <f>IFERROR(__xludf.DUMMYFUNCTION("""COMPUTED_VALUE"""),50.0)</f>
        <v>50</v>
      </c>
      <c r="M804" s="561">
        <f>IFERROR(__xludf.DUMMYFUNCTION("""COMPUTED_VALUE"""),50.0)</f>
        <v>50</v>
      </c>
      <c r="N804" s="561">
        <f>IFERROR(__xludf.DUMMYFUNCTION("""COMPUTED_VALUE"""),50.0)</f>
        <v>50</v>
      </c>
      <c r="O804" s="560"/>
      <c r="P804" s="562">
        <f>IFERROR(__xludf.DUMMYFUNCTION("""COMPUTED_VALUE"""),80.0)</f>
        <v>80</v>
      </c>
      <c r="Q804" s="562">
        <f>IFERROR(__xludf.DUMMYFUNCTION("""COMPUTED_VALUE"""),59.0)</f>
        <v>59</v>
      </c>
      <c r="R804" s="562">
        <f>IFERROR(__xludf.DUMMYFUNCTION("""COMPUTED_VALUE"""),91.0)</f>
        <v>91</v>
      </c>
      <c r="S804" s="562"/>
      <c r="T804" s="217">
        <f>IFERROR(__xludf.DUMMYFUNCTION("""COMPUTED_VALUE"""),14.0)</f>
        <v>14</v>
      </c>
      <c r="U804" s="217">
        <f>IFERROR(__xludf.DUMMYFUNCTION("""COMPUTED_VALUE"""),25.0)</f>
        <v>25</v>
      </c>
      <c r="V804" s="217">
        <f>IFERROR(__xludf.DUMMYFUNCTION("""COMPUTED_VALUE"""),82.0)</f>
        <v>82</v>
      </c>
      <c r="W804" s="217">
        <f>IFERROR(__xludf.DUMMYFUNCTION("""COMPUTED_VALUE"""),72.0)</f>
        <v>72</v>
      </c>
      <c r="X804" s="217">
        <f>IFERROR(__xludf.DUMMYFUNCTION("""COMPUTED_VALUE"""),66.0)</f>
        <v>66</v>
      </c>
      <c r="Y804" s="217"/>
      <c r="Z804" s="217"/>
      <c r="AA804" s="481">
        <f>IFERROR(__xludf.DUMMYFUNCTION("""COMPUTED_VALUE"""),82.0)</f>
        <v>82</v>
      </c>
      <c r="AB804" s="481">
        <f>IFERROR(__xludf.DUMMYFUNCTION("""COMPUTED_VALUE"""),100.0)</f>
        <v>100</v>
      </c>
      <c r="AC804" s="481">
        <f>IFERROR(__xludf.DUMMYFUNCTION("""COMPUTED_VALUE"""),64.0)</f>
        <v>64</v>
      </c>
      <c r="AD804" s="481">
        <f>IFERROR(__xludf.DUMMYFUNCTION("""COMPUTED_VALUE"""),80.0)</f>
        <v>80</v>
      </c>
      <c r="AE804" s="481">
        <f>IFERROR(__xludf.DUMMYFUNCTION("""COMPUTED_VALUE"""),70.0)</f>
        <v>70</v>
      </c>
      <c r="AF804" s="481"/>
      <c r="AG804" s="481">
        <f>IFERROR(__xludf.DUMMYFUNCTION("""COMPUTED_VALUE"""),88.0)</f>
        <v>88</v>
      </c>
      <c r="AH804" s="481"/>
      <c r="AI804" s="158"/>
      <c r="AJ804" s="158"/>
      <c r="AK804" s="133">
        <f>IFERROR(__xludf.DUMMYFUNCTION("""COMPUTED_VALUE"""),4.0)</f>
        <v>4</v>
      </c>
      <c r="AL804" s="133">
        <f>IFERROR(__xludf.DUMMYFUNCTION("""COMPUTED_VALUE"""),3.0)</f>
        <v>3</v>
      </c>
      <c r="AM804" s="133">
        <f>IFERROR(__xludf.DUMMYFUNCTION("""COMPUTED_VALUE"""),3.0)</f>
        <v>3</v>
      </c>
      <c r="AN804" s="133" t="str">
        <f>IFERROR(__xludf.DUMMYFUNCTION("""COMPUTED_VALUE"""),"3.5")</f>
        <v>3.5</v>
      </c>
      <c r="AO804" s="133">
        <f>IFERROR(__xludf.DUMMYFUNCTION("""COMPUTED_VALUE"""),3.0)</f>
        <v>3</v>
      </c>
      <c r="AP804" s="155" t="s">
        <v>3715</v>
      </c>
    </row>
    <row r="805">
      <c r="A805" s="155">
        <f>IFERROR(__xludf.DUMMYFUNCTION("""COMPUTED_VALUE"""),68.0)</f>
        <v>68</v>
      </c>
      <c r="B805" s="155" t="str">
        <f>IFERROR(__xludf.DUMMYFUNCTION("""COMPUTED_VALUE"""),"maro23ainds@cmrit.ac.in")</f>
        <v>maro23ainds@cmrit.ac.in</v>
      </c>
      <c r="C805" s="174" t="str">
        <f>IFERROR(__xludf.DUMMYFUNCTION("""COMPUTED_VALUE"""),"Mainak Roy")</f>
        <v>Mainak Roy</v>
      </c>
      <c r="D805" s="155" t="str">
        <f>IFERROR(__xludf.DUMMYFUNCTION("""COMPUTED_VALUE"""),"1CR23AD068")</f>
        <v>1CR23AD068</v>
      </c>
      <c r="E805" s="563">
        <f>IFERROR(__xludf.DUMMYFUNCTION("""COMPUTED_VALUE"""),9.875353036E9)</f>
        <v>9875353036</v>
      </c>
      <c r="F805" s="155" t="str">
        <f>IFERROR(__xludf.DUMMYFUNCTION("""COMPUTED_VALUE"""),"AIDS")</f>
        <v>AIDS</v>
      </c>
      <c r="G805" s="158"/>
      <c r="H805" s="559">
        <f>IFERROR(__xludf.DUMMYFUNCTION("""COMPUTED_VALUE"""),74.0)</f>
        <v>74</v>
      </c>
      <c r="I805" s="559">
        <f>IFERROR(__xludf.DUMMYFUNCTION("""COMPUTED_VALUE"""),92.0)</f>
        <v>92</v>
      </c>
      <c r="J805" s="559">
        <f>IFERROR(__xludf.DUMMYFUNCTION("""COMPUTED_VALUE"""),79.0)</f>
        <v>79</v>
      </c>
      <c r="K805" s="559">
        <f>IFERROR(__xludf.DUMMYFUNCTION("""COMPUTED_VALUE"""),70.0)</f>
        <v>70</v>
      </c>
      <c r="L805" s="560">
        <f>IFERROR(__xludf.DUMMYFUNCTION("""COMPUTED_VALUE"""),50.0)</f>
        <v>50</v>
      </c>
      <c r="M805" s="561">
        <f>IFERROR(__xludf.DUMMYFUNCTION("""COMPUTED_VALUE"""),44.0)</f>
        <v>44</v>
      </c>
      <c r="N805" s="561">
        <f>IFERROR(__xludf.DUMMYFUNCTION("""COMPUTED_VALUE"""),50.0)</f>
        <v>50</v>
      </c>
      <c r="O805" s="560"/>
      <c r="P805" s="562">
        <f>IFERROR(__xludf.DUMMYFUNCTION("""COMPUTED_VALUE"""),75.0)</f>
        <v>75</v>
      </c>
      <c r="Q805" s="562">
        <f>IFERROR(__xludf.DUMMYFUNCTION("""COMPUTED_VALUE"""),73.0)</f>
        <v>73</v>
      </c>
      <c r="R805" s="562">
        <f>IFERROR(__xludf.DUMMYFUNCTION("""COMPUTED_VALUE"""),93.0)</f>
        <v>93</v>
      </c>
      <c r="S805" s="562"/>
      <c r="T805" s="217">
        <f>IFERROR(__xludf.DUMMYFUNCTION("""COMPUTED_VALUE"""),14.0)</f>
        <v>14</v>
      </c>
      <c r="U805" s="217">
        <f>IFERROR(__xludf.DUMMYFUNCTION("""COMPUTED_VALUE"""),22.0)</f>
        <v>22</v>
      </c>
      <c r="V805" s="217">
        <f>IFERROR(__xludf.DUMMYFUNCTION("""COMPUTED_VALUE"""),86.0)</f>
        <v>86</v>
      </c>
      <c r="W805" s="217">
        <f>IFERROR(__xludf.DUMMYFUNCTION("""COMPUTED_VALUE"""),82.0)</f>
        <v>82</v>
      </c>
      <c r="X805" s="217">
        <f>IFERROR(__xludf.DUMMYFUNCTION("""COMPUTED_VALUE"""),86.0)</f>
        <v>86</v>
      </c>
      <c r="Y805" s="217"/>
      <c r="Z805" s="217"/>
      <c r="AA805" s="481">
        <f>IFERROR(__xludf.DUMMYFUNCTION("""COMPUTED_VALUE"""),86.0)</f>
        <v>86</v>
      </c>
      <c r="AB805" s="481">
        <f>IFERROR(__xludf.DUMMYFUNCTION("""COMPUTED_VALUE"""),100.0)</f>
        <v>100</v>
      </c>
      <c r="AC805" s="481">
        <f>IFERROR(__xludf.DUMMYFUNCTION("""COMPUTED_VALUE"""),99.0)</f>
        <v>99</v>
      </c>
      <c r="AD805" s="481">
        <f>IFERROR(__xludf.DUMMYFUNCTION("""COMPUTED_VALUE"""),62.0)</f>
        <v>62</v>
      </c>
      <c r="AE805" s="481">
        <f>IFERROR(__xludf.DUMMYFUNCTION("""COMPUTED_VALUE"""),73.0)</f>
        <v>73</v>
      </c>
      <c r="AF805" s="481"/>
      <c r="AG805" s="481">
        <f>IFERROR(__xludf.DUMMYFUNCTION("""COMPUTED_VALUE"""),70.0)</f>
        <v>70</v>
      </c>
      <c r="AH805" s="481"/>
      <c r="AI805" s="158"/>
      <c r="AJ805" s="158"/>
      <c r="AK805" s="133">
        <f>IFERROR(__xludf.DUMMYFUNCTION("""COMPUTED_VALUE"""),4.0)</f>
        <v>4</v>
      </c>
      <c r="AL805" s="133">
        <f>IFERROR(__xludf.DUMMYFUNCTION("""COMPUTED_VALUE"""),1.0)</f>
        <v>1</v>
      </c>
      <c r="AM805" s="133">
        <f>IFERROR(__xludf.DUMMYFUNCTION("""COMPUTED_VALUE"""),3.0)</f>
        <v>3</v>
      </c>
      <c r="AN805" s="133" t="str">
        <f>IFERROR(__xludf.DUMMYFUNCTION("""COMPUTED_VALUE"""),"3.5")</f>
        <v>3.5</v>
      </c>
      <c r="AO805" s="133">
        <f>IFERROR(__xludf.DUMMYFUNCTION("""COMPUTED_VALUE"""),3.0)</f>
        <v>3</v>
      </c>
      <c r="AP805" s="155" t="s">
        <v>3715</v>
      </c>
    </row>
    <row r="806">
      <c r="A806" s="155">
        <f>IFERROR(__xludf.DUMMYFUNCTION("""COMPUTED_VALUE"""),69.0)</f>
        <v>69</v>
      </c>
      <c r="B806" s="155" t="str">
        <f>IFERROR(__xludf.DUMMYFUNCTION("""COMPUTED_VALUE"""),"mach23ainds@cmrit.ac.in")</f>
        <v>mach23ainds@cmrit.ac.in</v>
      </c>
      <c r="C806" s="174" t="str">
        <f>IFERROR(__xludf.DUMMYFUNCTION("""COMPUTED_VALUE"""),"MALLIKARJUN CHINMALLI")</f>
        <v>MALLIKARJUN CHINMALLI</v>
      </c>
      <c r="D806" s="155" t="str">
        <f>IFERROR(__xludf.DUMMYFUNCTION("""COMPUTED_VALUE"""),"1CR23AD069")</f>
        <v>1CR23AD069</v>
      </c>
      <c r="E806" s="563">
        <f>IFERROR(__xludf.DUMMYFUNCTION("""COMPUTED_VALUE"""),9.535737277E9)</f>
        <v>9535737277</v>
      </c>
      <c r="F806" s="155" t="str">
        <f>IFERROR(__xludf.DUMMYFUNCTION("""COMPUTED_VALUE"""),"AIDS")</f>
        <v>AIDS</v>
      </c>
      <c r="G806" s="158"/>
      <c r="H806" s="559">
        <f>IFERROR(__xludf.DUMMYFUNCTION("""COMPUTED_VALUE"""),73.0)</f>
        <v>73</v>
      </c>
      <c r="I806" s="559">
        <f>IFERROR(__xludf.DUMMYFUNCTION("""COMPUTED_VALUE"""),77.0)</f>
        <v>77</v>
      </c>
      <c r="J806" s="559">
        <f>IFERROR(__xludf.DUMMYFUNCTION("""COMPUTED_VALUE"""),79.0)</f>
        <v>79</v>
      </c>
      <c r="K806" s="559">
        <f>IFERROR(__xludf.DUMMYFUNCTION("""COMPUTED_VALUE"""),56.0)</f>
        <v>56</v>
      </c>
      <c r="L806" s="560">
        <f>IFERROR(__xludf.DUMMYFUNCTION("""COMPUTED_VALUE"""),33.0)</f>
        <v>33</v>
      </c>
      <c r="M806" s="561">
        <f>IFERROR(__xludf.DUMMYFUNCTION("""COMPUTED_VALUE"""),15.0)</f>
        <v>15</v>
      </c>
      <c r="N806" s="561">
        <f>IFERROR(__xludf.DUMMYFUNCTION("""COMPUTED_VALUE"""),8.0)</f>
        <v>8</v>
      </c>
      <c r="O806" s="560"/>
      <c r="P806" s="562">
        <f>IFERROR(__xludf.DUMMYFUNCTION("""COMPUTED_VALUE"""),73.0)</f>
        <v>73</v>
      </c>
      <c r="Q806" s="562">
        <f>IFERROR(__xludf.DUMMYFUNCTION("""COMPUTED_VALUE"""),50.0)</f>
        <v>50</v>
      </c>
      <c r="R806" s="562">
        <f>IFERROR(__xludf.DUMMYFUNCTION("""COMPUTED_VALUE"""),0.0)</f>
        <v>0</v>
      </c>
      <c r="S806" s="562"/>
      <c r="T806" s="217">
        <f>IFERROR(__xludf.DUMMYFUNCTION("""COMPUTED_VALUE"""),14.0)</f>
        <v>14</v>
      </c>
      <c r="U806" s="217">
        <f>IFERROR(__xludf.DUMMYFUNCTION("""COMPUTED_VALUE"""),24.0)</f>
        <v>24</v>
      </c>
      <c r="V806" s="217">
        <f>IFERROR(__xludf.DUMMYFUNCTION("""COMPUTED_VALUE"""),82.0)</f>
        <v>82</v>
      </c>
      <c r="W806" s="217">
        <f>IFERROR(__xludf.DUMMYFUNCTION("""COMPUTED_VALUE"""),82.0)</f>
        <v>82</v>
      </c>
      <c r="X806" s="217">
        <f>IFERROR(__xludf.DUMMYFUNCTION("""COMPUTED_VALUE"""),80.0)</f>
        <v>80</v>
      </c>
      <c r="Y806" s="217"/>
      <c r="Z806" s="217"/>
      <c r="AA806" s="481">
        <f>IFERROR(__xludf.DUMMYFUNCTION("""COMPUTED_VALUE"""),80.0)</f>
        <v>80</v>
      </c>
      <c r="AB806" s="481">
        <f>IFERROR(__xludf.DUMMYFUNCTION("""COMPUTED_VALUE"""),67.0)</f>
        <v>67</v>
      </c>
      <c r="AC806" s="481">
        <f>IFERROR(__xludf.DUMMYFUNCTION("""COMPUTED_VALUE"""),21.0)</f>
        <v>21</v>
      </c>
      <c r="AD806" s="481">
        <f>IFERROR(__xludf.DUMMYFUNCTION("""COMPUTED_VALUE"""),100.0)</f>
        <v>100</v>
      </c>
      <c r="AE806" s="481">
        <f>IFERROR(__xludf.DUMMYFUNCTION("""COMPUTED_VALUE"""),70.0)</f>
        <v>70</v>
      </c>
      <c r="AF806" s="481"/>
      <c r="AG806" s="481">
        <f>IFERROR(__xludf.DUMMYFUNCTION("""COMPUTED_VALUE"""),70.0)</f>
        <v>70</v>
      </c>
      <c r="AH806" s="481"/>
      <c r="AI806" s="158"/>
      <c r="AJ806" s="158"/>
      <c r="AK806" s="133">
        <f>IFERROR(__xludf.DUMMYFUNCTION("""COMPUTED_VALUE"""),3.0)</f>
        <v>3</v>
      </c>
      <c r="AL806" s="133">
        <f>IFERROR(__xludf.DUMMYFUNCTION("""COMPUTED_VALUE"""),0.0)</f>
        <v>0</v>
      </c>
      <c r="AM806" s="133">
        <f>IFERROR(__xludf.DUMMYFUNCTION("""COMPUTED_VALUE"""),3.0)</f>
        <v>3</v>
      </c>
      <c r="AN806" s="133" t="str">
        <f>IFERROR(__xludf.DUMMYFUNCTION("""COMPUTED_VALUE"""),"3.5")</f>
        <v>3.5</v>
      </c>
      <c r="AO806" s="133">
        <f>IFERROR(__xludf.DUMMYFUNCTION("""COMPUTED_VALUE"""),2.0)</f>
        <v>2</v>
      </c>
      <c r="AP806" s="155" t="s">
        <v>3715</v>
      </c>
    </row>
    <row r="807">
      <c r="A807" s="155">
        <f>IFERROR(__xludf.DUMMYFUNCTION("""COMPUTED_VALUE"""),70.0)</f>
        <v>70</v>
      </c>
      <c r="B807" s="155" t="str">
        <f>IFERROR(__xludf.DUMMYFUNCTION("""COMPUTED_VALUE"""),"makp23ainds@cmrit.ac.in")</f>
        <v>makp23ainds@cmrit.ac.in</v>
      </c>
      <c r="C807" s="174" t="str">
        <f>IFERROR(__xludf.DUMMYFUNCTION("""COMPUTED_VALUE"""),"MANOJKUMAR K PATIL")</f>
        <v>MANOJKUMAR K PATIL</v>
      </c>
      <c r="D807" s="155" t="str">
        <f>IFERROR(__xludf.DUMMYFUNCTION("""COMPUTED_VALUE"""),"1CR23AD070")</f>
        <v>1CR23AD070</v>
      </c>
      <c r="E807" s="563">
        <f>IFERROR(__xludf.DUMMYFUNCTION("""COMPUTED_VALUE"""),9.964098425E9)</f>
        <v>9964098425</v>
      </c>
      <c r="F807" s="155" t="str">
        <f>IFERROR(__xludf.DUMMYFUNCTION("""COMPUTED_VALUE"""),"AIDS")</f>
        <v>AIDS</v>
      </c>
      <c r="G807" s="158"/>
      <c r="H807" s="559">
        <f>IFERROR(__xludf.DUMMYFUNCTION("""COMPUTED_VALUE"""),74.0)</f>
        <v>74</v>
      </c>
      <c r="I807" s="559">
        <f>IFERROR(__xludf.DUMMYFUNCTION("""COMPUTED_VALUE"""),75.0)</f>
        <v>75</v>
      </c>
      <c r="J807" s="559">
        <f>IFERROR(__xludf.DUMMYFUNCTION("""COMPUTED_VALUE"""),70.0)</f>
        <v>70</v>
      </c>
      <c r="K807" s="559">
        <f>IFERROR(__xludf.DUMMYFUNCTION("""COMPUTED_VALUE"""),70.0)</f>
        <v>70</v>
      </c>
      <c r="L807" s="560">
        <f>IFERROR(__xludf.DUMMYFUNCTION("""COMPUTED_VALUE"""),50.0)</f>
        <v>50</v>
      </c>
      <c r="M807" s="561">
        <f>IFERROR(__xludf.DUMMYFUNCTION("""COMPUTED_VALUE"""),21.0)</f>
        <v>21</v>
      </c>
      <c r="N807" s="561">
        <f>IFERROR(__xludf.DUMMYFUNCTION("""COMPUTED_VALUE"""),11.0)</f>
        <v>11</v>
      </c>
      <c r="O807" s="560"/>
      <c r="P807" s="562">
        <f>IFERROR(__xludf.DUMMYFUNCTION("""COMPUTED_VALUE"""),50.0)</f>
        <v>50</v>
      </c>
      <c r="Q807" s="562">
        <f>IFERROR(__xludf.DUMMYFUNCTION("""COMPUTED_VALUE"""),50.0)</f>
        <v>50</v>
      </c>
      <c r="R807" s="562">
        <f>IFERROR(__xludf.DUMMYFUNCTION("""COMPUTED_VALUE"""),50.0)</f>
        <v>50</v>
      </c>
      <c r="S807" s="562"/>
      <c r="T807" s="217">
        <f>IFERROR(__xludf.DUMMYFUNCTION("""COMPUTED_VALUE"""),22.0)</f>
        <v>22</v>
      </c>
      <c r="U807" s="217">
        <f>IFERROR(__xludf.DUMMYFUNCTION("""COMPUTED_VALUE"""),24.0)</f>
        <v>24</v>
      </c>
      <c r="V807" s="217">
        <f>IFERROR(__xludf.DUMMYFUNCTION("""COMPUTED_VALUE"""),96.0)</f>
        <v>96</v>
      </c>
      <c r="W807" s="217">
        <f>IFERROR(__xludf.DUMMYFUNCTION("""COMPUTED_VALUE"""),70.0)</f>
        <v>70</v>
      </c>
      <c r="X807" s="217">
        <f>IFERROR(__xludf.DUMMYFUNCTION("""COMPUTED_VALUE"""),84.0)</f>
        <v>84</v>
      </c>
      <c r="Y807" s="217"/>
      <c r="Z807" s="217"/>
      <c r="AA807" s="481">
        <f>IFERROR(__xludf.DUMMYFUNCTION("""COMPUTED_VALUE"""),4.0)</f>
        <v>4</v>
      </c>
      <c r="AB807" s="481">
        <f>IFERROR(__xludf.DUMMYFUNCTION("""COMPUTED_VALUE"""),100.0)</f>
        <v>100</v>
      </c>
      <c r="AC807" s="481">
        <f>IFERROR(__xludf.DUMMYFUNCTION("""COMPUTED_VALUE"""),82.0)</f>
        <v>82</v>
      </c>
      <c r="AD807" s="481">
        <f>IFERROR(__xludf.DUMMYFUNCTION("""COMPUTED_VALUE"""),0.0)</f>
        <v>0</v>
      </c>
      <c r="AE807" s="481">
        <f>IFERROR(__xludf.DUMMYFUNCTION("""COMPUTED_VALUE"""),70.0)</f>
        <v>70</v>
      </c>
      <c r="AF807" s="481"/>
      <c r="AG807" s="481">
        <f>IFERROR(__xludf.DUMMYFUNCTION("""COMPUTED_VALUE"""),65.0)</f>
        <v>65</v>
      </c>
      <c r="AH807" s="481"/>
      <c r="AI807" s="158"/>
      <c r="AJ807" s="158"/>
      <c r="AK807" s="133">
        <f>IFERROR(__xludf.DUMMYFUNCTION("""COMPUTED_VALUE"""),4.0)</f>
        <v>4</v>
      </c>
      <c r="AL807" s="133">
        <f>IFERROR(__xludf.DUMMYFUNCTION("""COMPUTED_VALUE"""),1.0)</f>
        <v>1</v>
      </c>
      <c r="AM807" s="133">
        <f>IFERROR(__xludf.DUMMYFUNCTION("""COMPUTED_VALUE"""),3.0)</f>
        <v>3</v>
      </c>
      <c r="AN807" s="133" t="str">
        <f>IFERROR(__xludf.DUMMYFUNCTION("""COMPUTED_VALUE"""),"3.5")</f>
        <v>3.5</v>
      </c>
      <c r="AO807" s="133">
        <f>IFERROR(__xludf.DUMMYFUNCTION("""COMPUTED_VALUE"""),3.0)</f>
        <v>3</v>
      </c>
      <c r="AP807" s="155" t="s">
        <v>3715</v>
      </c>
    </row>
    <row r="808">
      <c r="A808" s="155">
        <f>IFERROR(__xludf.DUMMYFUNCTION("""COMPUTED_VALUE"""),71.0)</f>
        <v>71</v>
      </c>
      <c r="B808" s="155" t="str">
        <f>IFERROR(__xludf.DUMMYFUNCTION("""COMPUTED_VALUE"""),"mash23ainds@cmrit.ac.in")</f>
        <v>mash23ainds@cmrit.ac.in</v>
      </c>
      <c r="C808" s="174" t="str">
        <f>IFERROR(__xludf.DUMMYFUNCTION("""COMPUTED_VALUE"""),"Manzil Shrestha")</f>
        <v>Manzil Shrestha</v>
      </c>
      <c r="D808" s="155" t="str">
        <f>IFERROR(__xludf.DUMMYFUNCTION("""COMPUTED_VALUE"""),"1CR23AD071")</f>
        <v>1CR23AD071</v>
      </c>
      <c r="E808" s="563"/>
      <c r="F808" s="155" t="str">
        <f>IFERROR(__xludf.DUMMYFUNCTION("""COMPUTED_VALUE"""),"AIDS")</f>
        <v>AIDS</v>
      </c>
      <c r="G808" s="158"/>
      <c r="H808" s="559">
        <f>IFERROR(__xludf.DUMMYFUNCTION("""COMPUTED_VALUE"""),72.0)</f>
        <v>72</v>
      </c>
      <c r="I808" s="559">
        <f>IFERROR(__xludf.DUMMYFUNCTION("""COMPUTED_VALUE"""),91.0)</f>
        <v>91</v>
      </c>
      <c r="J808" s="559">
        <f>IFERROR(__xludf.DUMMYFUNCTION("""COMPUTED_VALUE"""),70.0)</f>
        <v>70</v>
      </c>
      <c r="K808" s="559">
        <f>IFERROR(__xludf.DUMMYFUNCTION("""COMPUTED_VALUE"""),70.0)</f>
        <v>70</v>
      </c>
      <c r="L808" s="560">
        <f>IFERROR(__xludf.DUMMYFUNCTION("""COMPUTED_VALUE"""),35.0)</f>
        <v>35</v>
      </c>
      <c r="M808" s="561">
        <f>IFERROR(__xludf.DUMMYFUNCTION("""COMPUTED_VALUE"""),20.0)</f>
        <v>20</v>
      </c>
      <c r="N808" s="561">
        <f>IFERROR(__xludf.DUMMYFUNCTION("""COMPUTED_VALUE"""),43.0)</f>
        <v>43</v>
      </c>
      <c r="O808" s="560"/>
      <c r="P808" s="562">
        <f>IFERROR(__xludf.DUMMYFUNCTION("""COMPUTED_VALUE"""),80.0)</f>
        <v>80</v>
      </c>
      <c r="Q808" s="562">
        <f>IFERROR(__xludf.DUMMYFUNCTION("""COMPUTED_VALUE"""),60.0)</f>
        <v>60</v>
      </c>
      <c r="R808" s="562">
        <f>IFERROR(__xludf.DUMMYFUNCTION("""COMPUTED_VALUE"""),82.0)</f>
        <v>82</v>
      </c>
      <c r="S808" s="562"/>
      <c r="T808" s="217">
        <f>IFERROR(__xludf.DUMMYFUNCTION("""COMPUTED_VALUE"""),13.0)</f>
        <v>13</v>
      </c>
      <c r="U808" s="217">
        <f>IFERROR(__xludf.DUMMYFUNCTION("""COMPUTED_VALUE"""),24.0)</f>
        <v>24</v>
      </c>
      <c r="V808" s="217">
        <f>IFERROR(__xludf.DUMMYFUNCTION("""COMPUTED_VALUE"""),92.0)</f>
        <v>92</v>
      </c>
      <c r="W808" s="217">
        <f>IFERROR(__xludf.DUMMYFUNCTION("""COMPUTED_VALUE"""),70.0)</f>
        <v>70</v>
      </c>
      <c r="X808" s="217">
        <f>IFERROR(__xludf.DUMMYFUNCTION("""COMPUTED_VALUE"""),88.0)</f>
        <v>88</v>
      </c>
      <c r="Y808" s="217"/>
      <c r="Z808" s="217"/>
      <c r="AA808" s="481">
        <f>IFERROR(__xludf.DUMMYFUNCTION("""COMPUTED_VALUE"""),88.0)</f>
        <v>88</v>
      </c>
      <c r="AB808" s="481">
        <f>IFERROR(__xludf.DUMMYFUNCTION("""COMPUTED_VALUE"""),97.0)</f>
        <v>97</v>
      </c>
      <c r="AC808" s="481">
        <f>IFERROR(__xludf.DUMMYFUNCTION("""COMPUTED_VALUE"""),80.0)</f>
        <v>80</v>
      </c>
      <c r="AD808" s="481">
        <f>IFERROR(__xludf.DUMMYFUNCTION("""COMPUTED_VALUE"""),0.0)</f>
        <v>0</v>
      </c>
      <c r="AE808" s="481">
        <f>IFERROR(__xludf.DUMMYFUNCTION("""COMPUTED_VALUE"""),26.0)</f>
        <v>26</v>
      </c>
      <c r="AF808" s="481"/>
      <c r="AG808" s="481">
        <f>IFERROR(__xludf.DUMMYFUNCTION("""COMPUTED_VALUE"""),79.0)</f>
        <v>79</v>
      </c>
      <c r="AH808" s="481"/>
      <c r="AI808" s="158"/>
      <c r="AJ808" s="158"/>
      <c r="AK808" s="133">
        <f>IFERROR(__xludf.DUMMYFUNCTION("""COMPUTED_VALUE"""),4.0)</f>
        <v>4</v>
      </c>
      <c r="AL808" s="133">
        <f>IFERROR(__xludf.DUMMYFUNCTION("""COMPUTED_VALUE"""),0.0)</f>
        <v>0</v>
      </c>
      <c r="AM808" s="133">
        <f>IFERROR(__xludf.DUMMYFUNCTION("""COMPUTED_VALUE"""),3.0)</f>
        <v>3</v>
      </c>
      <c r="AN808" s="133" t="str">
        <f>IFERROR(__xludf.DUMMYFUNCTION("""COMPUTED_VALUE"""),"3")</f>
        <v>3</v>
      </c>
      <c r="AO808" s="133">
        <f>IFERROR(__xludf.DUMMYFUNCTION("""COMPUTED_VALUE"""),3.0)</f>
        <v>3</v>
      </c>
      <c r="AP808" s="155" t="s">
        <v>3715</v>
      </c>
    </row>
    <row r="809">
      <c r="A809" s="155">
        <f>IFERROR(__xludf.DUMMYFUNCTION("""COMPUTED_VALUE"""),72.0)</f>
        <v>72</v>
      </c>
      <c r="B809" s="155" t="str">
        <f>IFERROR(__xludf.DUMMYFUNCTION("""COMPUTED_VALUE"""),"mrve23ainds@cmrit.ac.in")</f>
        <v>mrve23ainds@cmrit.ac.in</v>
      </c>
      <c r="C809" s="174" t="str">
        <f>IFERROR(__xludf.DUMMYFUNCTION("""COMPUTED_VALUE"""),"MIRUDHULA VENKATACHALAM ")</f>
        <v>MIRUDHULA VENKATACHALAM </v>
      </c>
      <c r="D809" s="155" t="str">
        <f>IFERROR(__xludf.DUMMYFUNCTION("""COMPUTED_VALUE"""),"1CR23AD072")</f>
        <v>1CR23AD072</v>
      </c>
      <c r="E809" s="563">
        <f>IFERROR(__xludf.DUMMYFUNCTION("""COMPUTED_VALUE"""),7.406571917E9)</f>
        <v>7406571917</v>
      </c>
      <c r="F809" s="155" t="str">
        <f>IFERROR(__xludf.DUMMYFUNCTION("""COMPUTED_VALUE"""),"AIDS")</f>
        <v>AIDS</v>
      </c>
      <c r="G809" s="158"/>
      <c r="H809" s="559">
        <f>IFERROR(__xludf.DUMMYFUNCTION("""COMPUTED_VALUE"""),71.0)</f>
        <v>71</v>
      </c>
      <c r="I809" s="559">
        <f>IFERROR(__xludf.DUMMYFUNCTION("""COMPUTED_VALUE"""),83.0)</f>
        <v>83</v>
      </c>
      <c r="J809" s="559">
        <f>IFERROR(__xludf.DUMMYFUNCTION("""COMPUTED_VALUE"""),76.0)</f>
        <v>76</v>
      </c>
      <c r="K809" s="559">
        <f>IFERROR(__xludf.DUMMYFUNCTION("""COMPUTED_VALUE"""),77.0)</f>
        <v>77</v>
      </c>
      <c r="L809" s="560">
        <f>IFERROR(__xludf.DUMMYFUNCTION("""COMPUTED_VALUE"""),50.0)</f>
        <v>50</v>
      </c>
      <c r="M809" s="561">
        <f>IFERROR(__xludf.DUMMYFUNCTION("""COMPUTED_VALUE"""),30.0)</f>
        <v>30</v>
      </c>
      <c r="N809" s="561">
        <f>IFERROR(__xludf.DUMMYFUNCTION("""COMPUTED_VALUE"""),50.0)</f>
        <v>50</v>
      </c>
      <c r="O809" s="560"/>
      <c r="P809" s="562">
        <f>IFERROR(__xludf.DUMMYFUNCTION("""COMPUTED_VALUE"""),85.0)</f>
        <v>85</v>
      </c>
      <c r="Q809" s="562">
        <f>IFERROR(__xludf.DUMMYFUNCTION("""COMPUTED_VALUE"""),62.0)</f>
        <v>62</v>
      </c>
      <c r="R809" s="562">
        <f>IFERROR(__xludf.DUMMYFUNCTION("""COMPUTED_VALUE"""),82.0)</f>
        <v>82</v>
      </c>
      <c r="S809" s="562"/>
      <c r="T809" s="217">
        <f>IFERROR(__xludf.DUMMYFUNCTION("""COMPUTED_VALUE"""),14.0)</f>
        <v>14</v>
      </c>
      <c r="U809" s="217">
        <f>IFERROR(__xludf.DUMMYFUNCTION("""COMPUTED_VALUE"""),15.0)</f>
        <v>15</v>
      </c>
      <c r="V809" s="217">
        <f>IFERROR(__xludf.DUMMYFUNCTION("""COMPUTED_VALUE"""),74.0)</f>
        <v>74</v>
      </c>
      <c r="W809" s="217">
        <f>IFERROR(__xludf.DUMMYFUNCTION("""COMPUTED_VALUE"""),80.0)</f>
        <v>80</v>
      </c>
      <c r="X809" s="217">
        <f>IFERROR(__xludf.DUMMYFUNCTION("""COMPUTED_VALUE"""),74.0)</f>
        <v>74</v>
      </c>
      <c r="Y809" s="217"/>
      <c r="Z809" s="217"/>
      <c r="AA809" s="481">
        <f>IFERROR(__xludf.DUMMYFUNCTION("""COMPUTED_VALUE"""),87.8)</f>
        <v>87.8</v>
      </c>
      <c r="AB809" s="481">
        <f>IFERROR(__xludf.DUMMYFUNCTION("""COMPUTED_VALUE"""),94.0)</f>
        <v>94</v>
      </c>
      <c r="AC809" s="481">
        <f>IFERROR(__xludf.DUMMYFUNCTION("""COMPUTED_VALUE"""),73.0)</f>
        <v>73</v>
      </c>
      <c r="AD809" s="481">
        <f>IFERROR(__xludf.DUMMYFUNCTION("""COMPUTED_VALUE"""),65.0)</f>
        <v>65</v>
      </c>
      <c r="AE809" s="481">
        <f>IFERROR(__xludf.DUMMYFUNCTION("""COMPUTED_VALUE"""),71.0)</f>
        <v>71</v>
      </c>
      <c r="AF809" s="481"/>
      <c r="AG809" s="481">
        <f>IFERROR(__xludf.DUMMYFUNCTION("""COMPUTED_VALUE"""),85.0)</f>
        <v>85</v>
      </c>
      <c r="AH809" s="481"/>
      <c r="AI809" s="158"/>
      <c r="AJ809" s="158"/>
      <c r="AK809" s="133">
        <f>IFERROR(__xludf.DUMMYFUNCTION("""COMPUTED_VALUE"""),4.0)</f>
        <v>4</v>
      </c>
      <c r="AL809" s="133">
        <f>IFERROR(__xludf.DUMMYFUNCTION("""COMPUTED_VALUE"""),1.0)</f>
        <v>1</v>
      </c>
      <c r="AM809" s="133">
        <f>IFERROR(__xludf.DUMMYFUNCTION("""COMPUTED_VALUE"""),3.0)</f>
        <v>3</v>
      </c>
      <c r="AN809" s="133" t="str">
        <f>IFERROR(__xludf.DUMMYFUNCTION("""COMPUTED_VALUE"""),"3.5")</f>
        <v>3.5</v>
      </c>
      <c r="AO809" s="133">
        <f>IFERROR(__xludf.DUMMYFUNCTION("""COMPUTED_VALUE"""),3.0)</f>
        <v>3</v>
      </c>
      <c r="AP809" s="155" t="s">
        <v>3715</v>
      </c>
    </row>
    <row r="810">
      <c r="A810" s="155">
        <f>IFERROR(__xludf.DUMMYFUNCTION("""COMPUTED_VALUE"""),73.0)</f>
        <v>73</v>
      </c>
      <c r="B810" s="155" t="str">
        <f>IFERROR(__xludf.DUMMYFUNCTION("""COMPUTED_VALUE"""),"mofa23ainds@cmrit.ac.in")</f>
        <v>mofa23ainds@cmrit.ac.in</v>
      </c>
      <c r="C810" s="174" t="str">
        <f>IFERROR(__xludf.DUMMYFUNCTION("""COMPUTED_VALUE"""),"MOHAMED FAIZAN")</f>
        <v>MOHAMED FAIZAN</v>
      </c>
      <c r="D810" s="155" t="str">
        <f>IFERROR(__xludf.DUMMYFUNCTION("""COMPUTED_VALUE"""),"1CR23AD073")</f>
        <v>1CR23AD073</v>
      </c>
      <c r="E810" s="563">
        <f>IFERROR(__xludf.DUMMYFUNCTION("""COMPUTED_VALUE"""),9.008499953E9)</f>
        <v>9008499953</v>
      </c>
      <c r="F810" s="155" t="str">
        <f>IFERROR(__xludf.DUMMYFUNCTION("""COMPUTED_VALUE"""),"AIDS")</f>
        <v>AIDS</v>
      </c>
      <c r="G810" s="158"/>
      <c r="H810" s="559">
        <f>IFERROR(__xludf.DUMMYFUNCTION("""COMPUTED_VALUE"""),72.0)</f>
        <v>72</v>
      </c>
      <c r="I810" s="559">
        <f>IFERROR(__xludf.DUMMYFUNCTION("""COMPUTED_VALUE"""),84.0)</f>
        <v>84</v>
      </c>
      <c r="J810" s="559">
        <f>IFERROR(__xludf.DUMMYFUNCTION("""COMPUTED_VALUE"""),70.0)</f>
        <v>70</v>
      </c>
      <c r="K810" s="559">
        <f>IFERROR(__xludf.DUMMYFUNCTION("""COMPUTED_VALUE"""),70.0)</f>
        <v>70</v>
      </c>
      <c r="L810" s="560">
        <f>IFERROR(__xludf.DUMMYFUNCTION("""COMPUTED_VALUE"""),50.0)</f>
        <v>50</v>
      </c>
      <c r="M810" s="561">
        <f>IFERROR(__xludf.DUMMYFUNCTION("""COMPUTED_VALUE"""),24.0)</f>
        <v>24</v>
      </c>
      <c r="N810" s="561">
        <f>IFERROR(__xludf.DUMMYFUNCTION("""COMPUTED_VALUE"""),0.0)</f>
        <v>0</v>
      </c>
      <c r="O810" s="560"/>
      <c r="P810" s="562">
        <f>IFERROR(__xludf.DUMMYFUNCTION("""COMPUTED_VALUE"""),50.0)</f>
        <v>50</v>
      </c>
      <c r="Q810" s="562">
        <f>IFERROR(__xludf.DUMMYFUNCTION("""COMPUTED_VALUE"""),50.0)</f>
        <v>50</v>
      </c>
      <c r="R810" s="562">
        <f>IFERROR(__xludf.DUMMYFUNCTION("""COMPUTED_VALUE"""),76.0)</f>
        <v>76</v>
      </c>
      <c r="S810" s="562"/>
      <c r="T810" s="217">
        <f>IFERROR(__xludf.DUMMYFUNCTION("""COMPUTED_VALUE"""),10.0)</f>
        <v>10</v>
      </c>
      <c r="U810" s="217">
        <f>IFERROR(__xludf.DUMMYFUNCTION("""COMPUTED_VALUE"""),21.0)</f>
        <v>21</v>
      </c>
      <c r="V810" s="217">
        <f>IFERROR(__xludf.DUMMYFUNCTION("""COMPUTED_VALUE"""),96.0)</f>
        <v>96</v>
      </c>
      <c r="W810" s="217">
        <f>IFERROR(__xludf.DUMMYFUNCTION("""COMPUTED_VALUE"""),78.0)</f>
        <v>78</v>
      </c>
      <c r="X810" s="217">
        <f>IFERROR(__xludf.DUMMYFUNCTION("""COMPUTED_VALUE"""),80.0)</f>
        <v>80</v>
      </c>
      <c r="Y810" s="217"/>
      <c r="Z810" s="217"/>
      <c r="AA810" s="481">
        <f>IFERROR(__xludf.DUMMYFUNCTION("""COMPUTED_VALUE"""),68.0)</f>
        <v>68</v>
      </c>
      <c r="AB810" s="481">
        <f>IFERROR(__xludf.DUMMYFUNCTION("""COMPUTED_VALUE"""),98.0)</f>
        <v>98</v>
      </c>
      <c r="AC810" s="481">
        <f>IFERROR(__xludf.DUMMYFUNCTION("""COMPUTED_VALUE"""),43.0)</f>
        <v>43</v>
      </c>
      <c r="AD810" s="481">
        <f>IFERROR(__xludf.DUMMYFUNCTION("""COMPUTED_VALUE"""),13.0)</f>
        <v>13</v>
      </c>
      <c r="AE810" s="481">
        <f>IFERROR(__xludf.DUMMYFUNCTION("""COMPUTED_VALUE"""),60.0)</f>
        <v>60</v>
      </c>
      <c r="AF810" s="481"/>
      <c r="AG810" s="481">
        <f>IFERROR(__xludf.DUMMYFUNCTION("""COMPUTED_VALUE"""),10.0)</f>
        <v>10</v>
      </c>
      <c r="AH810" s="481"/>
      <c r="AI810" s="158"/>
      <c r="AJ810" s="158"/>
      <c r="AK810" s="133">
        <f>IFERROR(__xludf.DUMMYFUNCTION("""COMPUTED_VALUE"""),4.0)</f>
        <v>4</v>
      </c>
      <c r="AL810" s="133">
        <f>IFERROR(__xludf.DUMMYFUNCTION("""COMPUTED_VALUE"""),1.0)</f>
        <v>1</v>
      </c>
      <c r="AM810" s="133">
        <f>IFERROR(__xludf.DUMMYFUNCTION("""COMPUTED_VALUE"""),3.0)</f>
        <v>3</v>
      </c>
      <c r="AN810" s="133" t="str">
        <f>IFERROR(__xludf.DUMMYFUNCTION("""COMPUTED_VALUE"""),"2")</f>
        <v>2</v>
      </c>
      <c r="AO810" s="133">
        <f>IFERROR(__xludf.DUMMYFUNCTION("""COMPUTED_VALUE"""),3.0)</f>
        <v>3</v>
      </c>
      <c r="AP810" s="155" t="s">
        <v>3715</v>
      </c>
    </row>
    <row r="811">
      <c r="A811" s="155">
        <f>IFERROR(__xludf.DUMMYFUNCTION("""COMPUTED_VALUE"""),74.0)</f>
        <v>74</v>
      </c>
      <c r="B811" s="155" t="str">
        <f>IFERROR(__xludf.DUMMYFUNCTION("""COMPUTED_VALUE"""),"momo23ainds@cmrit.ac.in")</f>
        <v>momo23ainds@cmrit.ac.in</v>
      </c>
      <c r="C811" s="174" t="str">
        <f>IFERROR(__xludf.DUMMYFUNCTION("""COMPUTED_VALUE"""),"Monisha mohandas")</f>
        <v>Monisha mohandas</v>
      </c>
      <c r="D811" s="155" t="str">
        <f>IFERROR(__xludf.DUMMYFUNCTION("""COMPUTED_VALUE"""),"1CR23AD074")</f>
        <v>1CR23AD074</v>
      </c>
      <c r="E811" s="563"/>
      <c r="F811" s="155" t="str">
        <f>IFERROR(__xludf.DUMMYFUNCTION("""COMPUTED_VALUE"""),"AIDS")</f>
        <v>AIDS</v>
      </c>
      <c r="G811" s="158"/>
      <c r="H811" s="559">
        <f>IFERROR(__xludf.DUMMYFUNCTION("""COMPUTED_VALUE"""),87.0)</f>
        <v>87</v>
      </c>
      <c r="I811" s="559">
        <f>IFERROR(__xludf.DUMMYFUNCTION("""COMPUTED_VALUE"""),91.0)</f>
        <v>91</v>
      </c>
      <c r="J811" s="559">
        <f>IFERROR(__xludf.DUMMYFUNCTION("""COMPUTED_VALUE"""),70.0)</f>
        <v>70</v>
      </c>
      <c r="K811" s="559">
        <f>IFERROR(__xludf.DUMMYFUNCTION("""COMPUTED_VALUE"""),80.0)</f>
        <v>80</v>
      </c>
      <c r="L811" s="560">
        <f>IFERROR(__xludf.DUMMYFUNCTION("""COMPUTED_VALUE"""),50.0)</f>
        <v>50</v>
      </c>
      <c r="M811" s="561">
        <f>IFERROR(__xludf.DUMMYFUNCTION("""COMPUTED_VALUE"""),19.0)</f>
        <v>19</v>
      </c>
      <c r="N811" s="561">
        <f>IFERROR(__xludf.DUMMYFUNCTION("""COMPUTED_VALUE"""),50.0)</f>
        <v>50</v>
      </c>
      <c r="O811" s="560"/>
      <c r="P811" s="562">
        <f>IFERROR(__xludf.DUMMYFUNCTION("""COMPUTED_VALUE"""),86.0)</f>
        <v>86</v>
      </c>
      <c r="Q811" s="562">
        <f>IFERROR(__xludf.DUMMYFUNCTION("""COMPUTED_VALUE"""),73.0)</f>
        <v>73</v>
      </c>
      <c r="R811" s="562">
        <f>IFERROR(__xludf.DUMMYFUNCTION("""COMPUTED_VALUE"""),90.0)</f>
        <v>90</v>
      </c>
      <c r="S811" s="562"/>
      <c r="T811" s="217">
        <f>IFERROR(__xludf.DUMMYFUNCTION("""COMPUTED_VALUE"""),13.0)</f>
        <v>13</v>
      </c>
      <c r="U811" s="217">
        <f>IFERROR(__xludf.DUMMYFUNCTION("""COMPUTED_VALUE"""),22.0)</f>
        <v>22</v>
      </c>
      <c r="V811" s="217">
        <f>IFERROR(__xludf.DUMMYFUNCTION("""COMPUTED_VALUE"""),76.0)</f>
        <v>76</v>
      </c>
      <c r="W811" s="217">
        <f>IFERROR(__xludf.DUMMYFUNCTION("""COMPUTED_VALUE"""),78.0)</f>
        <v>78</v>
      </c>
      <c r="X811" s="217">
        <f>IFERROR(__xludf.DUMMYFUNCTION("""COMPUTED_VALUE"""),78.0)</f>
        <v>78</v>
      </c>
      <c r="Y811" s="217"/>
      <c r="Z811" s="217"/>
      <c r="AA811" s="481">
        <f>IFERROR(__xludf.DUMMYFUNCTION("""COMPUTED_VALUE"""),12.0)</f>
        <v>12</v>
      </c>
      <c r="AB811" s="481">
        <f>IFERROR(__xludf.DUMMYFUNCTION("""COMPUTED_VALUE"""),100.0)</f>
        <v>100</v>
      </c>
      <c r="AC811" s="481">
        <f>IFERROR(__xludf.DUMMYFUNCTION("""COMPUTED_VALUE"""),39.0)</f>
        <v>39</v>
      </c>
      <c r="AD811" s="481">
        <f>IFERROR(__xludf.DUMMYFUNCTION("""COMPUTED_VALUE"""),60.0)</f>
        <v>60</v>
      </c>
      <c r="AE811" s="481">
        <f>IFERROR(__xludf.DUMMYFUNCTION("""COMPUTED_VALUE"""),100.0)</f>
        <v>100</v>
      </c>
      <c r="AF811" s="481"/>
      <c r="AG811" s="481">
        <f>IFERROR(__xludf.DUMMYFUNCTION("""COMPUTED_VALUE"""),70.0)</f>
        <v>70</v>
      </c>
      <c r="AH811" s="481"/>
      <c r="AI811" s="158"/>
      <c r="AJ811" s="158"/>
      <c r="AK811" s="133">
        <f>IFERROR(__xludf.DUMMYFUNCTION("""COMPUTED_VALUE"""),4.0)</f>
        <v>4</v>
      </c>
      <c r="AL811" s="133">
        <f>IFERROR(__xludf.DUMMYFUNCTION("""COMPUTED_VALUE"""),1.0)</f>
        <v>1</v>
      </c>
      <c r="AM811" s="133">
        <f>IFERROR(__xludf.DUMMYFUNCTION("""COMPUTED_VALUE"""),3.0)</f>
        <v>3</v>
      </c>
      <c r="AN811" s="133" t="str">
        <f>IFERROR(__xludf.DUMMYFUNCTION("""COMPUTED_VALUE"""),"3.5")</f>
        <v>3.5</v>
      </c>
      <c r="AO811" s="133">
        <f>IFERROR(__xludf.DUMMYFUNCTION("""COMPUTED_VALUE"""),3.0)</f>
        <v>3</v>
      </c>
      <c r="AP811" s="155" t="s">
        <v>3715</v>
      </c>
    </row>
    <row r="812">
      <c r="A812" s="155">
        <f>IFERROR(__xludf.DUMMYFUNCTION("""COMPUTED_VALUE"""),75.0)</f>
        <v>75</v>
      </c>
      <c r="B812" s="155" t="str">
        <f>IFERROR(__xludf.DUMMYFUNCTION("""COMPUTED_VALUE"""),"momn23ainds@cmrit.ac.in")</f>
        <v>momn23ainds@cmrit.ac.in</v>
      </c>
      <c r="C812" s="174" t="str">
        <f>IFERROR(__xludf.DUMMYFUNCTION("""COMPUTED_VALUE"""),"MOUNIKA M N")</f>
        <v>MOUNIKA M N</v>
      </c>
      <c r="D812" s="155" t="str">
        <f>IFERROR(__xludf.DUMMYFUNCTION("""COMPUTED_VALUE"""),"1CR23AD075")</f>
        <v>1CR23AD075</v>
      </c>
      <c r="E812" s="563">
        <f>IFERROR(__xludf.DUMMYFUNCTION("""COMPUTED_VALUE"""),8.904298215E9)</f>
        <v>8904298215</v>
      </c>
      <c r="F812" s="155" t="str">
        <f>IFERROR(__xludf.DUMMYFUNCTION("""COMPUTED_VALUE"""),"AIDS")</f>
        <v>AIDS</v>
      </c>
      <c r="G812" s="158"/>
      <c r="H812" s="559">
        <f>IFERROR(__xludf.DUMMYFUNCTION("""COMPUTED_VALUE"""),70.0)</f>
        <v>70</v>
      </c>
      <c r="I812" s="559">
        <f>IFERROR(__xludf.DUMMYFUNCTION("""COMPUTED_VALUE"""),70.0)</f>
        <v>70</v>
      </c>
      <c r="J812" s="559">
        <f>IFERROR(__xludf.DUMMYFUNCTION("""COMPUTED_VALUE"""),70.0)</f>
        <v>70</v>
      </c>
      <c r="K812" s="559">
        <f>IFERROR(__xludf.DUMMYFUNCTION("""COMPUTED_VALUE"""),70.0)</f>
        <v>70</v>
      </c>
      <c r="L812" s="560">
        <f>IFERROR(__xludf.DUMMYFUNCTION("""COMPUTED_VALUE"""),50.0)</f>
        <v>50</v>
      </c>
      <c r="M812" s="561">
        <f>IFERROR(__xludf.DUMMYFUNCTION("""COMPUTED_VALUE"""),31.0)</f>
        <v>31</v>
      </c>
      <c r="N812" s="561">
        <f>IFERROR(__xludf.DUMMYFUNCTION("""COMPUTED_VALUE"""),69.0)</f>
        <v>69</v>
      </c>
      <c r="O812" s="560"/>
      <c r="P812" s="562">
        <f>IFERROR(__xludf.DUMMYFUNCTION("""COMPUTED_VALUE"""),50.0)</f>
        <v>50</v>
      </c>
      <c r="Q812" s="562">
        <f>IFERROR(__xludf.DUMMYFUNCTION("""COMPUTED_VALUE"""),72.0)</f>
        <v>72</v>
      </c>
      <c r="R812" s="562">
        <f>IFERROR(__xludf.DUMMYFUNCTION("""COMPUTED_VALUE"""),83.0)</f>
        <v>83</v>
      </c>
      <c r="S812" s="562"/>
      <c r="T812" s="217">
        <f>IFERROR(__xludf.DUMMYFUNCTION("""COMPUTED_VALUE"""),6.0)</f>
        <v>6</v>
      </c>
      <c r="U812" s="217">
        <f>IFERROR(__xludf.DUMMYFUNCTION("""COMPUTED_VALUE"""),24.0)</f>
        <v>24</v>
      </c>
      <c r="V812" s="217">
        <f>IFERROR(__xludf.DUMMYFUNCTION("""COMPUTED_VALUE"""),90.0)</f>
        <v>90</v>
      </c>
      <c r="W812" s="217">
        <f>IFERROR(__xludf.DUMMYFUNCTION("""COMPUTED_VALUE"""),70.0)</f>
        <v>70</v>
      </c>
      <c r="X812" s="217">
        <f>IFERROR(__xludf.DUMMYFUNCTION("""COMPUTED_VALUE"""),86.0)</f>
        <v>86</v>
      </c>
      <c r="Y812" s="217"/>
      <c r="Z812" s="217"/>
      <c r="AA812" s="481">
        <f>IFERROR(__xludf.DUMMYFUNCTION("""COMPUTED_VALUE"""),66.0)</f>
        <v>66</v>
      </c>
      <c r="AB812" s="481">
        <f>IFERROR(__xludf.DUMMYFUNCTION("""COMPUTED_VALUE"""),94.0)</f>
        <v>94</v>
      </c>
      <c r="AC812" s="481">
        <f>IFERROR(__xludf.DUMMYFUNCTION("""COMPUTED_VALUE"""),36.0)</f>
        <v>36</v>
      </c>
      <c r="AD812" s="481">
        <f>IFERROR(__xludf.DUMMYFUNCTION("""COMPUTED_VALUE"""),12.0)</f>
        <v>12</v>
      </c>
      <c r="AE812" s="481">
        <f>IFERROR(__xludf.DUMMYFUNCTION("""COMPUTED_VALUE"""),70.0)</f>
        <v>70</v>
      </c>
      <c r="AF812" s="481"/>
      <c r="AG812" s="481">
        <f>IFERROR(__xludf.DUMMYFUNCTION("""COMPUTED_VALUE"""),74.0)</f>
        <v>74</v>
      </c>
      <c r="AH812" s="481"/>
      <c r="AI812" s="158"/>
      <c r="AJ812" s="158"/>
      <c r="AK812" s="133">
        <f>IFERROR(__xludf.DUMMYFUNCTION("""COMPUTED_VALUE"""),4.0)</f>
        <v>4</v>
      </c>
      <c r="AL812" s="133">
        <f>IFERROR(__xludf.DUMMYFUNCTION("""COMPUTED_VALUE"""),1.0)</f>
        <v>1</v>
      </c>
      <c r="AM812" s="133">
        <f>IFERROR(__xludf.DUMMYFUNCTION("""COMPUTED_VALUE"""),3.0)</f>
        <v>3</v>
      </c>
      <c r="AN812" s="133" t="str">
        <f>IFERROR(__xludf.DUMMYFUNCTION("""COMPUTED_VALUE"""),"2")</f>
        <v>2</v>
      </c>
      <c r="AO812" s="133">
        <f>IFERROR(__xludf.DUMMYFUNCTION("""COMPUTED_VALUE"""),3.0)</f>
        <v>3</v>
      </c>
      <c r="AP812" s="155" t="s">
        <v>3715</v>
      </c>
    </row>
    <row r="813">
      <c r="A813" s="155">
        <f>IFERROR(__xludf.DUMMYFUNCTION("""COMPUTED_VALUE"""),77.0)</f>
        <v>77</v>
      </c>
      <c r="B813" s="155" t="str">
        <f>IFERROR(__xludf.DUMMYFUNCTION("""COMPUTED_VALUE"""),"mudi23ainds@cmrit.ac.in")</f>
        <v>mudi23ainds@cmrit.ac.in</v>
      </c>
      <c r="C813" s="174" t="str">
        <f>IFERROR(__xludf.DUMMYFUNCTION("""COMPUTED_VALUE"""),"Mummareddy dinesh")</f>
        <v>Mummareddy dinesh</v>
      </c>
      <c r="D813" s="155" t="str">
        <f>IFERROR(__xludf.DUMMYFUNCTION("""COMPUTED_VALUE"""),"1CR23AD077")</f>
        <v>1CR23AD077</v>
      </c>
      <c r="E813" s="563">
        <f>IFERROR(__xludf.DUMMYFUNCTION("""COMPUTED_VALUE"""),9.036241483E9)</f>
        <v>9036241483</v>
      </c>
      <c r="F813" s="155" t="str">
        <f>IFERROR(__xludf.DUMMYFUNCTION("""COMPUTED_VALUE"""),"AIDS")</f>
        <v>AIDS</v>
      </c>
      <c r="G813" s="158"/>
      <c r="H813" s="559">
        <f>IFERROR(__xludf.DUMMYFUNCTION("""COMPUTED_VALUE"""),74.0)</f>
        <v>74</v>
      </c>
      <c r="I813" s="559">
        <f>IFERROR(__xludf.DUMMYFUNCTION("""COMPUTED_VALUE"""),80.0)</f>
        <v>80</v>
      </c>
      <c r="J813" s="559">
        <f>IFERROR(__xludf.DUMMYFUNCTION("""COMPUTED_VALUE"""),70.0)</f>
        <v>70</v>
      </c>
      <c r="K813" s="559">
        <f>IFERROR(__xludf.DUMMYFUNCTION("""COMPUTED_VALUE"""),70.0)</f>
        <v>70</v>
      </c>
      <c r="L813" s="560">
        <f>IFERROR(__xludf.DUMMYFUNCTION("""COMPUTED_VALUE"""),50.0)</f>
        <v>50</v>
      </c>
      <c r="M813" s="561">
        <f>IFERROR(__xludf.DUMMYFUNCTION("""COMPUTED_VALUE"""),50.0)</f>
        <v>50</v>
      </c>
      <c r="N813" s="561">
        <f>IFERROR(__xludf.DUMMYFUNCTION("""COMPUTED_VALUE"""),50.0)</f>
        <v>50</v>
      </c>
      <c r="O813" s="560"/>
      <c r="P813" s="562">
        <f>IFERROR(__xludf.DUMMYFUNCTION("""COMPUTED_VALUE"""),80.0)</f>
        <v>80</v>
      </c>
      <c r="Q813" s="562">
        <f>IFERROR(__xludf.DUMMYFUNCTION("""COMPUTED_VALUE"""),50.0)</f>
        <v>50</v>
      </c>
      <c r="R813" s="562">
        <f>IFERROR(__xludf.DUMMYFUNCTION("""COMPUTED_VALUE"""),85.0)</f>
        <v>85</v>
      </c>
      <c r="S813" s="562"/>
      <c r="T813" s="217">
        <f>IFERROR(__xludf.DUMMYFUNCTION("""COMPUTED_VALUE"""),10.0)</f>
        <v>10</v>
      </c>
      <c r="U813" s="217">
        <f>IFERROR(__xludf.DUMMYFUNCTION("""COMPUTED_VALUE"""),25.0)</f>
        <v>25</v>
      </c>
      <c r="V813" s="217">
        <f>IFERROR(__xludf.DUMMYFUNCTION("""COMPUTED_VALUE"""),86.0)</f>
        <v>86</v>
      </c>
      <c r="W813" s="217">
        <f>IFERROR(__xludf.DUMMYFUNCTION("""COMPUTED_VALUE"""),78.0)</f>
        <v>78</v>
      </c>
      <c r="X813" s="217"/>
      <c r="Y813" s="217"/>
      <c r="Z813" s="217"/>
      <c r="AA813" s="481">
        <f>IFERROR(__xludf.DUMMYFUNCTION("""COMPUTED_VALUE"""),13.0)</f>
        <v>13</v>
      </c>
      <c r="AB813" s="481">
        <f>IFERROR(__xludf.DUMMYFUNCTION("""COMPUTED_VALUE"""),67.0)</f>
        <v>67</v>
      </c>
      <c r="AC813" s="481">
        <f>IFERROR(__xludf.DUMMYFUNCTION("""COMPUTED_VALUE"""),12.0)</f>
        <v>12</v>
      </c>
      <c r="AD813" s="481">
        <f>IFERROR(__xludf.DUMMYFUNCTION("""COMPUTED_VALUE"""),70.0)</f>
        <v>70</v>
      </c>
      <c r="AE813" s="481">
        <f>IFERROR(__xludf.DUMMYFUNCTION("""COMPUTED_VALUE"""),70.0)</f>
        <v>70</v>
      </c>
      <c r="AF813" s="481"/>
      <c r="AG813" s="481">
        <f>IFERROR(__xludf.DUMMYFUNCTION("""COMPUTED_VALUE"""),0.0)</f>
        <v>0</v>
      </c>
      <c r="AH813" s="481"/>
      <c r="AI813" s="158"/>
      <c r="AJ813" s="158"/>
      <c r="AK813" s="133">
        <f>IFERROR(__xludf.DUMMYFUNCTION("""COMPUTED_VALUE"""),4.0)</f>
        <v>4</v>
      </c>
      <c r="AL813" s="133">
        <f>IFERROR(__xludf.DUMMYFUNCTION("""COMPUTED_VALUE"""),3.0)</f>
        <v>3</v>
      </c>
      <c r="AM813" s="133">
        <f>IFERROR(__xludf.DUMMYFUNCTION("""COMPUTED_VALUE"""),3.0)</f>
        <v>3</v>
      </c>
      <c r="AN813" s="133" t="str">
        <f>IFERROR(__xludf.DUMMYFUNCTION("""COMPUTED_VALUE"""),"3.5")</f>
        <v>3.5</v>
      </c>
      <c r="AO813" s="133">
        <f>IFERROR(__xludf.DUMMYFUNCTION("""COMPUTED_VALUE"""),3.0)</f>
        <v>3</v>
      </c>
      <c r="AP813" s="155" t="s">
        <v>3715</v>
      </c>
    </row>
    <row r="814">
      <c r="A814" s="155">
        <f>IFERROR(__xludf.DUMMYFUNCTION("""COMPUTED_VALUE"""),78.0)</f>
        <v>78</v>
      </c>
      <c r="B814" s="155" t="str">
        <f>IFERROR(__xludf.DUMMYFUNCTION("""COMPUTED_VALUE"""),"nha23ainds@cmrit.ac.in")</f>
        <v>nha23ainds@cmrit.ac.in</v>
      </c>
      <c r="C814" s="174" t="str">
        <f>IFERROR(__xludf.DUMMYFUNCTION("""COMPUTED_VALUE"""),"N Harshith")</f>
        <v>N Harshith</v>
      </c>
      <c r="D814" s="155" t="str">
        <f>IFERROR(__xludf.DUMMYFUNCTION("""COMPUTED_VALUE"""),"1CR23AD078")</f>
        <v>1CR23AD078</v>
      </c>
      <c r="E814" s="563">
        <f>IFERROR(__xludf.DUMMYFUNCTION("""COMPUTED_VALUE"""),9.886832665E9)</f>
        <v>9886832665</v>
      </c>
      <c r="F814" s="155" t="str">
        <f>IFERROR(__xludf.DUMMYFUNCTION("""COMPUTED_VALUE"""),"AIDS")</f>
        <v>AIDS</v>
      </c>
      <c r="G814" s="158"/>
      <c r="H814" s="559">
        <f>IFERROR(__xludf.DUMMYFUNCTION("""COMPUTED_VALUE"""),67.0)</f>
        <v>67</v>
      </c>
      <c r="I814" s="559">
        <f>IFERROR(__xludf.DUMMYFUNCTION("""COMPUTED_VALUE"""),81.0)</f>
        <v>81</v>
      </c>
      <c r="J814" s="559">
        <f>IFERROR(__xludf.DUMMYFUNCTION("""COMPUTED_VALUE"""),58.0)</f>
        <v>58</v>
      </c>
      <c r="K814" s="559">
        <f>IFERROR(__xludf.DUMMYFUNCTION("""COMPUTED_VALUE"""),21.0)</f>
        <v>21</v>
      </c>
      <c r="L814" s="560">
        <f>IFERROR(__xludf.DUMMYFUNCTION("""COMPUTED_VALUE"""),40.0)</f>
        <v>40</v>
      </c>
      <c r="M814" s="561">
        <f>IFERROR(__xludf.DUMMYFUNCTION("""COMPUTED_VALUE"""),12.0)</f>
        <v>12</v>
      </c>
      <c r="N814" s="561">
        <f>IFERROR(__xludf.DUMMYFUNCTION("""COMPUTED_VALUE"""),50.0)</f>
        <v>50</v>
      </c>
      <c r="O814" s="560"/>
      <c r="P814" s="562">
        <f>IFERROR(__xludf.DUMMYFUNCTION("""COMPUTED_VALUE"""),0.0)</f>
        <v>0</v>
      </c>
      <c r="Q814" s="562">
        <f>IFERROR(__xludf.DUMMYFUNCTION("""COMPUTED_VALUE"""),0.0)</f>
        <v>0</v>
      </c>
      <c r="R814" s="562">
        <f>IFERROR(__xludf.DUMMYFUNCTION("""COMPUTED_VALUE"""),0.0)</f>
        <v>0</v>
      </c>
      <c r="S814" s="562"/>
      <c r="T814" s="217">
        <f>IFERROR(__xludf.DUMMYFUNCTION("""COMPUTED_VALUE"""),15.0)</f>
        <v>15</v>
      </c>
      <c r="U814" s="217">
        <f>IFERROR(__xludf.DUMMYFUNCTION("""COMPUTED_VALUE"""),23.0)</f>
        <v>23</v>
      </c>
      <c r="V814" s="217">
        <f>IFERROR(__xludf.DUMMYFUNCTION("""COMPUTED_VALUE"""),92.0)</f>
        <v>92</v>
      </c>
      <c r="W814" s="217">
        <f>IFERROR(__xludf.DUMMYFUNCTION("""COMPUTED_VALUE"""),86.0)</f>
        <v>86</v>
      </c>
      <c r="X814" s="217"/>
      <c r="Y814" s="217"/>
      <c r="Z814" s="217"/>
      <c r="AA814" s="481">
        <f>IFERROR(__xludf.DUMMYFUNCTION("""COMPUTED_VALUE"""),94.0)</f>
        <v>94</v>
      </c>
      <c r="AB814" s="481">
        <f>IFERROR(__xludf.DUMMYFUNCTION("""COMPUTED_VALUE"""),75.0)</f>
        <v>75</v>
      </c>
      <c r="AC814" s="481">
        <f>IFERROR(__xludf.DUMMYFUNCTION("""COMPUTED_VALUE"""),35.0)</f>
        <v>35</v>
      </c>
      <c r="AD814" s="481">
        <f>IFERROR(__xludf.DUMMYFUNCTION("""COMPUTED_VALUE"""),100.0)</f>
        <v>100</v>
      </c>
      <c r="AE814" s="481">
        <f>IFERROR(__xludf.DUMMYFUNCTION("""COMPUTED_VALUE"""),10.0)</f>
        <v>10</v>
      </c>
      <c r="AF814" s="481"/>
      <c r="AG814" s="481"/>
      <c r="AH814" s="481"/>
      <c r="AI814" s="158"/>
      <c r="AJ814" s="158"/>
      <c r="AK814" s="133">
        <f>IFERROR(__xludf.DUMMYFUNCTION("""COMPUTED_VALUE"""),2.0)</f>
        <v>2</v>
      </c>
      <c r="AL814" s="133">
        <f>IFERROR(__xludf.DUMMYFUNCTION("""COMPUTED_VALUE"""),0.0)</f>
        <v>0</v>
      </c>
      <c r="AM814" s="133">
        <f>IFERROR(__xludf.DUMMYFUNCTION("""COMPUTED_VALUE"""),3.0)</f>
        <v>3</v>
      </c>
      <c r="AN814" s="133" t="str">
        <f>IFERROR(__xludf.DUMMYFUNCTION("""COMPUTED_VALUE"""),"3")</f>
        <v>3</v>
      </c>
      <c r="AO814" s="133">
        <f>IFERROR(__xludf.DUMMYFUNCTION("""COMPUTED_VALUE"""),0.0)</f>
        <v>0</v>
      </c>
      <c r="AP814" s="155" t="s">
        <v>3715</v>
      </c>
    </row>
    <row r="815">
      <c r="A815" s="155">
        <f>IFERROR(__xludf.DUMMYFUNCTION("""COMPUTED_VALUE"""),79.0)</f>
        <v>79</v>
      </c>
      <c r="B815" s="155" t="str">
        <f>IFERROR(__xludf.DUMMYFUNCTION("""COMPUTED_VALUE"""),"nash23ainds@cmrit.ac.in")</f>
        <v>nash23ainds@cmrit.ac.in</v>
      </c>
      <c r="C815" s="174" t="str">
        <f>IFERROR(__xludf.DUMMYFUNCTION("""COMPUTED_VALUE"""),"Nadepally Shreya")</f>
        <v>Nadepally Shreya</v>
      </c>
      <c r="D815" s="155" t="str">
        <f>IFERROR(__xludf.DUMMYFUNCTION("""COMPUTED_VALUE"""),"1CR23AD079")</f>
        <v>1CR23AD079</v>
      </c>
      <c r="E815" s="563">
        <f>IFERROR(__xludf.DUMMYFUNCTION("""COMPUTED_VALUE"""),9.652939722E9)</f>
        <v>9652939722</v>
      </c>
      <c r="F815" s="155" t="str">
        <f>IFERROR(__xludf.DUMMYFUNCTION("""COMPUTED_VALUE"""),"AIDS")</f>
        <v>AIDS</v>
      </c>
      <c r="G815" s="158"/>
      <c r="H815" s="559">
        <f>IFERROR(__xludf.DUMMYFUNCTION("""COMPUTED_VALUE"""),73.0)</f>
        <v>73</v>
      </c>
      <c r="I815" s="559">
        <f>IFERROR(__xludf.DUMMYFUNCTION("""COMPUTED_VALUE"""),81.0)</f>
        <v>81</v>
      </c>
      <c r="J815" s="559">
        <f>IFERROR(__xludf.DUMMYFUNCTION("""COMPUTED_VALUE"""),70.0)</f>
        <v>70</v>
      </c>
      <c r="K815" s="559">
        <f>IFERROR(__xludf.DUMMYFUNCTION("""COMPUTED_VALUE"""),70.0)</f>
        <v>70</v>
      </c>
      <c r="L815" s="560">
        <f>IFERROR(__xludf.DUMMYFUNCTION("""COMPUTED_VALUE"""),50.0)</f>
        <v>50</v>
      </c>
      <c r="M815" s="561">
        <f>IFERROR(__xludf.DUMMYFUNCTION("""COMPUTED_VALUE"""),50.0)</f>
        <v>50</v>
      </c>
      <c r="N815" s="561">
        <f>IFERROR(__xludf.DUMMYFUNCTION("""COMPUTED_VALUE"""),50.0)</f>
        <v>50</v>
      </c>
      <c r="O815" s="560"/>
      <c r="P815" s="562">
        <f>IFERROR(__xludf.DUMMYFUNCTION("""COMPUTED_VALUE"""),84.0)</f>
        <v>84</v>
      </c>
      <c r="Q815" s="562">
        <f>IFERROR(__xludf.DUMMYFUNCTION("""COMPUTED_VALUE"""),62.0)</f>
        <v>62</v>
      </c>
      <c r="R815" s="562">
        <f>IFERROR(__xludf.DUMMYFUNCTION("""COMPUTED_VALUE"""),91.0)</f>
        <v>91</v>
      </c>
      <c r="S815" s="562"/>
      <c r="T815" s="217">
        <f>IFERROR(__xludf.DUMMYFUNCTION("""COMPUTED_VALUE"""),13.0)</f>
        <v>13</v>
      </c>
      <c r="U815" s="217">
        <f>IFERROR(__xludf.DUMMYFUNCTION("""COMPUTED_VALUE"""),24.0)</f>
        <v>24</v>
      </c>
      <c r="V815" s="217">
        <f>IFERROR(__xludf.DUMMYFUNCTION("""COMPUTED_VALUE"""),82.0)</f>
        <v>82</v>
      </c>
      <c r="W815" s="217">
        <f>IFERROR(__xludf.DUMMYFUNCTION("""COMPUTED_VALUE"""),76.0)</f>
        <v>76</v>
      </c>
      <c r="X815" s="217">
        <f>IFERROR(__xludf.DUMMYFUNCTION("""COMPUTED_VALUE"""),76.0)</f>
        <v>76</v>
      </c>
      <c r="Y815" s="217"/>
      <c r="Z815" s="217"/>
      <c r="AA815" s="481">
        <f>IFERROR(__xludf.DUMMYFUNCTION("""COMPUTED_VALUE"""),100.0)</f>
        <v>100</v>
      </c>
      <c r="AB815" s="481">
        <f>IFERROR(__xludf.DUMMYFUNCTION("""COMPUTED_VALUE"""),73.0)</f>
        <v>73</v>
      </c>
      <c r="AC815" s="481">
        <f>IFERROR(__xludf.DUMMYFUNCTION("""COMPUTED_VALUE"""),90.0)</f>
        <v>90</v>
      </c>
      <c r="AD815" s="481">
        <f>IFERROR(__xludf.DUMMYFUNCTION("""COMPUTED_VALUE"""),62.0)</f>
        <v>62</v>
      </c>
      <c r="AE815" s="481">
        <f>IFERROR(__xludf.DUMMYFUNCTION("""COMPUTED_VALUE"""),74.0)</f>
        <v>74</v>
      </c>
      <c r="AF815" s="481"/>
      <c r="AG815" s="481">
        <f>IFERROR(__xludf.DUMMYFUNCTION("""COMPUTED_VALUE"""),83.0)</f>
        <v>83</v>
      </c>
      <c r="AH815" s="481"/>
      <c r="AI815" s="158"/>
      <c r="AJ815" s="158"/>
      <c r="AK815" s="133">
        <f>IFERROR(__xludf.DUMMYFUNCTION("""COMPUTED_VALUE"""),4.0)</f>
        <v>4</v>
      </c>
      <c r="AL815" s="133">
        <f>IFERROR(__xludf.DUMMYFUNCTION("""COMPUTED_VALUE"""),3.0)</f>
        <v>3</v>
      </c>
      <c r="AM815" s="133">
        <f>IFERROR(__xludf.DUMMYFUNCTION("""COMPUTED_VALUE"""),3.0)</f>
        <v>3</v>
      </c>
      <c r="AN815" s="133" t="str">
        <f>IFERROR(__xludf.DUMMYFUNCTION("""COMPUTED_VALUE"""),"3.5")</f>
        <v>3.5</v>
      </c>
      <c r="AO815" s="133">
        <f>IFERROR(__xludf.DUMMYFUNCTION("""COMPUTED_VALUE"""),3.0)</f>
        <v>3</v>
      </c>
      <c r="AP815" s="155" t="s">
        <v>3715</v>
      </c>
    </row>
    <row r="816">
      <c r="A816" s="155">
        <f>IFERROR(__xludf.DUMMYFUNCTION("""COMPUTED_VALUE"""),80.0)</f>
        <v>80</v>
      </c>
      <c r="B816" s="155" t="str">
        <f>IFERROR(__xludf.DUMMYFUNCTION("""COMPUTED_VALUE"""),"namn23ainds@cmrit.ac.in")</f>
        <v>namn23ainds@cmrit.ac.in</v>
      </c>
      <c r="C816" s="174" t="str">
        <f>IFERROR(__xludf.DUMMYFUNCTION("""COMPUTED_VALUE"""),"NAGESH M N")</f>
        <v>NAGESH M N</v>
      </c>
      <c r="D816" s="155" t="str">
        <f>IFERROR(__xludf.DUMMYFUNCTION("""COMPUTED_VALUE"""),"1CR23AD080")</f>
        <v>1CR23AD080</v>
      </c>
      <c r="E816" s="563">
        <f>IFERROR(__xludf.DUMMYFUNCTION("""COMPUTED_VALUE"""),7.204807947E9)</f>
        <v>7204807947</v>
      </c>
      <c r="F816" s="155" t="str">
        <f>IFERROR(__xludf.DUMMYFUNCTION("""COMPUTED_VALUE"""),"AIDS")</f>
        <v>AIDS</v>
      </c>
      <c r="G816" s="158"/>
      <c r="H816" s="559">
        <f>IFERROR(__xludf.DUMMYFUNCTION("""COMPUTED_VALUE"""),70.0)</f>
        <v>70</v>
      </c>
      <c r="I816" s="559">
        <f>IFERROR(__xludf.DUMMYFUNCTION("""COMPUTED_VALUE"""),85.0)</f>
        <v>85</v>
      </c>
      <c r="J816" s="559">
        <f>IFERROR(__xludf.DUMMYFUNCTION("""COMPUTED_VALUE"""),70.0)</f>
        <v>70</v>
      </c>
      <c r="K816" s="559">
        <f>IFERROR(__xludf.DUMMYFUNCTION("""COMPUTED_VALUE"""),83.0)</f>
        <v>83</v>
      </c>
      <c r="L816" s="560">
        <f>IFERROR(__xludf.DUMMYFUNCTION("""COMPUTED_VALUE"""),50.0)</f>
        <v>50</v>
      </c>
      <c r="M816" s="561">
        <f>IFERROR(__xludf.DUMMYFUNCTION("""COMPUTED_VALUE"""),50.0)</f>
        <v>50</v>
      </c>
      <c r="N816" s="561">
        <f>IFERROR(__xludf.DUMMYFUNCTION("""COMPUTED_VALUE"""),63.0)</f>
        <v>63</v>
      </c>
      <c r="O816" s="560"/>
      <c r="P816" s="562">
        <f>IFERROR(__xludf.DUMMYFUNCTION("""COMPUTED_VALUE"""),50.0)</f>
        <v>50</v>
      </c>
      <c r="Q816" s="562">
        <f>IFERROR(__xludf.DUMMYFUNCTION("""COMPUTED_VALUE"""),64.0)</f>
        <v>64</v>
      </c>
      <c r="R816" s="562">
        <f>IFERROR(__xludf.DUMMYFUNCTION("""COMPUTED_VALUE"""),83.0)</f>
        <v>83</v>
      </c>
      <c r="S816" s="562"/>
      <c r="T816" s="217">
        <f>IFERROR(__xludf.DUMMYFUNCTION("""COMPUTED_VALUE"""),22.0)</f>
        <v>22</v>
      </c>
      <c r="U816" s="217">
        <f>IFERROR(__xludf.DUMMYFUNCTION("""COMPUTED_VALUE"""),25.0)</f>
        <v>25</v>
      </c>
      <c r="V816" s="217">
        <f>IFERROR(__xludf.DUMMYFUNCTION("""COMPUTED_VALUE"""),90.0)</f>
        <v>90</v>
      </c>
      <c r="W816" s="217">
        <f>IFERROR(__xludf.DUMMYFUNCTION("""COMPUTED_VALUE"""),68.0)</f>
        <v>68</v>
      </c>
      <c r="X816" s="217">
        <f>IFERROR(__xludf.DUMMYFUNCTION("""COMPUTED_VALUE"""),80.0)</f>
        <v>80</v>
      </c>
      <c r="Y816" s="217"/>
      <c r="Z816" s="217"/>
      <c r="AA816" s="481">
        <f>IFERROR(__xludf.DUMMYFUNCTION("""COMPUTED_VALUE"""),48.0)</f>
        <v>48</v>
      </c>
      <c r="AB816" s="481">
        <f>IFERROR(__xludf.DUMMYFUNCTION("""COMPUTED_VALUE"""),95.0)</f>
        <v>95</v>
      </c>
      <c r="AC816" s="481">
        <f>IFERROR(__xludf.DUMMYFUNCTION("""COMPUTED_VALUE"""),70.0)</f>
        <v>70</v>
      </c>
      <c r="AD816" s="481">
        <f>IFERROR(__xludf.DUMMYFUNCTION("""COMPUTED_VALUE"""),75.0)</f>
        <v>75</v>
      </c>
      <c r="AE816" s="481">
        <f>IFERROR(__xludf.DUMMYFUNCTION("""COMPUTED_VALUE"""),44.0)</f>
        <v>44</v>
      </c>
      <c r="AF816" s="481"/>
      <c r="AG816" s="481">
        <f>IFERROR(__xludf.DUMMYFUNCTION("""COMPUTED_VALUE"""),70.0)</f>
        <v>70</v>
      </c>
      <c r="AH816" s="481"/>
      <c r="AI816" s="158"/>
      <c r="AJ816" s="158"/>
      <c r="AK816" s="133">
        <f>IFERROR(__xludf.DUMMYFUNCTION("""COMPUTED_VALUE"""),4.0)</f>
        <v>4</v>
      </c>
      <c r="AL816" s="133">
        <f>IFERROR(__xludf.DUMMYFUNCTION("""COMPUTED_VALUE"""),3.0)</f>
        <v>3</v>
      </c>
      <c r="AM816" s="133">
        <f>IFERROR(__xludf.DUMMYFUNCTION("""COMPUTED_VALUE"""),3.0)</f>
        <v>3</v>
      </c>
      <c r="AN816" s="133" t="str">
        <f>IFERROR(__xludf.DUMMYFUNCTION("""COMPUTED_VALUE"""),"3")</f>
        <v>3</v>
      </c>
      <c r="AO816" s="133">
        <f>IFERROR(__xludf.DUMMYFUNCTION("""COMPUTED_VALUE"""),3.0)</f>
        <v>3</v>
      </c>
      <c r="AP816" s="155" t="s">
        <v>3715</v>
      </c>
    </row>
    <row r="817">
      <c r="A817" s="155">
        <f>IFERROR(__xludf.DUMMYFUNCTION("""COMPUTED_VALUE"""),81.0)</f>
        <v>81</v>
      </c>
      <c r="B817" s="155" t="str">
        <f>IFERROR(__xludf.DUMMYFUNCTION("""COMPUTED_VALUE"""),"naga23ainds@cmrit.ac.in")</f>
        <v>naga23ainds@cmrit.ac.in</v>
      </c>
      <c r="C817" s="174" t="str">
        <f>IFERROR(__xludf.DUMMYFUNCTION("""COMPUTED_VALUE"""),"NAMITHA M GANESH")</f>
        <v>NAMITHA M GANESH</v>
      </c>
      <c r="D817" s="155" t="str">
        <f>IFERROR(__xludf.DUMMYFUNCTION("""COMPUTED_VALUE"""),"1CR23AD081")</f>
        <v>1CR23AD081</v>
      </c>
      <c r="E817" s="563">
        <f>IFERROR(__xludf.DUMMYFUNCTION("""COMPUTED_VALUE"""),6.361706975E9)</f>
        <v>6361706975</v>
      </c>
      <c r="F817" s="155" t="str">
        <f>IFERROR(__xludf.DUMMYFUNCTION("""COMPUTED_VALUE"""),"AIDS")</f>
        <v>AIDS</v>
      </c>
      <c r="G817" s="158"/>
      <c r="H817" s="559">
        <f>IFERROR(__xludf.DUMMYFUNCTION("""COMPUTED_VALUE"""),76.0)</f>
        <v>76</v>
      </c>
      <c r="I817" s="559">
        <f>IFERROR(__xludf.DUMMYFUNCTION("""COMPUTED_VALUE"""),88.0)</f>
        <v>88</v>
      </c>
      <c r="J817" s="559">
        <f>IFERROR(__xludf.DUMMYFUNCTION("""COMPUTED_VALUE"""),71.0)</f>
        <v>71</v>
      </c>
      <c r="K817" s="559">
        <f>IFERROR(__xludf.DUMMYFUNCTION("""COMPUTED_VALUE"""),84.0)</f>
        <v>84</v>
      </c>
      <c r="L817" s="560">
        <f>IFERROR(__xludf.DUMMYFUNCTION("""COMPUTED_VALUE"""),50.0)</f>
        <v>50</v>
      </c>
      <c r="M817" s="561">
        <f>IFERROR(__xludf.DUMMYFUNCTION("""COMPUTED_VALUE"""),50.0)</f>
        <v>50</v>
      </c>
      <c r="N817" s="561">
        <f>IFERROR(__xludf.DUMMYFUNCTION("""COMPUTED_VALUE"""),50.0)</f>
        <v>50</v>
      </c>
      <c r="O817" s="560"/>
      <c r="P817" s="562">
        <f>IFERROR(__xludf.DUMMYFUNCTION("""COMPUTED_VALUE"""),75.0)</f>
        <v>75</v>
      </c>
      <c r="Q817" s="562">
        <f>IFERROR(__xludf.DUMMYFUNCTION("""COMPUTED_VALUE"""),64.0)</f>
        <v>64</v>
      </c>
      <c r="R817" s="562">
        <f>IFERROR(__xludf.DUMMYFUNCTION("""COMPUTED_VALUE"""),83.0)</f>
        <v>83</v>
      </c>
      <c r="S817" s="562"/>
      <c r="T817" s="217">
        <f>IFERROR(__xludf.DUMMYFUNCTION("""COMPUTED_VALUE"""),21.0)</f>
        <v>21</v>
      </c>
      <c r="U817" s="217">
        <f>IFERROR(__xludf.DUMMYFUNCTION("""COMPUTED_VALUE"""),24.0)</f>
        <v>24</v>
      </c>
      <c r="V817" s="217">
        <f>IFERROR(__xludf.DUMMYFUNCTION("""COMPUTED_VALUE"""),92.0)</f>
        <v>92</v>
      </c>
      <c r="W817" s="217">
        <f>IFERROR(__xludf.DUMMYFUNCTION("""COMPUTED_VALUE"""),76.0)</f>
        <v>76</v>
      </c>
      <c r="X817" s="217">
        <f>IFERROR(__xludf.DUMMYFUNCTION("""COMPUTED_VALUE"""),76.0)</f>
        <v>76</v>
      </c>
      <c r="Y817" s="217"/>
      <c r="Z817" s="217"/>
      <c r="AA817" s="481">
        <f>IFERROR(__xludf.DUMMYFUNCTION("""COMPUTED_VALUE"""),63.0)</f>
        <v>63</v>
      </c>
      <c r="AB817" s="481">
        <f>IFERROR(__xludf.DUMMYFUNCTION("""COMPUTED_VALUE"""),82.0)</f>
        <v>82</v>
      </c>
      <c r="AC817" s="481">
        <f>IFERROR(__xludf.DUMMYFUNCTION("""COMPUTED_VALUE"""),70.0)</f>
        <v>70</v>
      </c>
      <c r="AD817" s="481">
        <f>IFERROR(__xludf.DUMMYFUNCTION("""COMPUTED_VALUE"""),3.0)</f>
        <v>3</v>
      </c>
      <c r="AE817" s="481">
        <f>IFERROR(__xludf.DUMMYFUNCTION("""COMPUTED_VALUE"""),50.0)</f>
        <v>50</v>
      </c>
      <c r="AF817" s="481"/>
      <c r="AG817" s="481">
        <f>IFERROR(__xludf.DUMMYFUNCTION("""COMPUTED_VALUE"""),74.0)</f>
        <v>74</v>
      </c>
      <c r="AH817" s="481"/>
      <c r="AI817" s="158"/>
      <c r="AJ817" s="158"/>
      <c r="AK817" s="133">
        <f>IFERROR(__xludf.DUMMYFUNCTION("""COMPUTED_VALUE"""),4.0)</f>
        <v>4</v>
      </c>
      <c r="AL817" s="133">
        <f>IFERROR(__xludf.DUMMYFUNCTION("""COMPUTED_VALUE"""),3.0)</f>
        <v>3</v>
      </c>
      <c r="AM817" s="133">
        <f>IFERROR(__xludf.DUMMYFUNCTION("""COMPUTED_VALUE"""),3.0)</f>
        <v>3</v>
      </c>
      <c r="AN817" s="133" t="str">
        <f>IFERROR(__xludf.DUMMYFUNCTION("""COMPUTED_VALUE"""),"3")</f>
        <v>3</v>
      </c>
      <c r="AO817" s="133">
        <f>IFERROR(__xludf.DUMMYFUNCTION("""COMPUTED_VALUE"""),3.0)</f>
        <v>3</v>
      </c>
      <c r="AP817" s="155" t="s">
        <v>3715</v>
      </c>
    </row>
    <row r="818">
      <c r="A818" s="155">
        <f>IFERROR(__xludf.DUMMYFUNCTION("""COMPUTED_VALUE"""),82.0)</f>
        <v>82</v>
      </c>
      <c r="B818" s="155" t="str">
        <f>IFERROR(__xludf.DUMMYFUNCTION("""COMPUTED_VALUE"""),"nap23ainds@cmrit.ac.in")</f>
        <v>nap23ainds@cmrit.ac.in</v>
      </c>
      <c r="C818" s="174" t="str">
        <f>IFERROR(__xludf.DUMMYFUNCTION("""COMPUTED_VALUE"""),"NANDANA P")</f>
        <v>NANDANA P</v>
      </c>
      <c r="D818" s="155" t="str">
        <f>IFERROR(__xludf.DUMMYFUNCTION("""COMPUTED_VALUE"""),"1CR23AD082")</f>
        <v>1CR23AD082</v>
      </c>
      <c r="E818" s="563">
        <f>IFERROR(__xludf.DUMMYFUNCTION("""COMPUTED_VALUE"""),7.899411528E9)</f>
        <v>7899411528</v>
      </c>
      <c r="F818" s="155" t="str">
        <f>IFERROR(__xludf.DUMMYFUNCTION("""COMPUTED_VALUE"""),"AIDS")</f>
        <v>AIDS</v>
      </c>
      <c r="G818" s="158"/>
      <c r="H818" s="559">
        <f>IFERROR(__xludf.DUMMYFUNCTION("""COMPUTED_VALUE"""),66.0)</f>
        <v>66</v>
      </c>
      <c r="I818" s="559">
        <f>IFERROR(__xludf.DUMMYFUNCTION("""COMPUTED_VALUE"""),74.0)</f>
        <v>74</v>
      </c>
      <c r="J818" s="559">
        <f>IFERROR(__xludf.DUMMYFUNCTION("""COMPUTED_VALUE"""),67.0)</f>
        <v>67</v>
      </c>
      <c r="K818" s="559">
        <f>IFERROR(__xludf.DUMMYFUNCTION("""COMPUTED_VALUE"""),70.0)</f>
        <v>70</v>
      </c>
      <c r="L818" s="560">
        <f>IFERROR(__xludf.DUMMYFUNCTION("""COMPUTED_VALUE"""),50.0)</f>
        <v>50</v>
      </c>
      <c r="M818" s="561">
        <f>IFERROR(__xludf.DUMMYFUNCTION("""COMPUTED_VALUE"""),33.0)</f>
        <v>33</v>
      </c>
      <c r="N818" s="561">
        <f>IFERROR(__xludf.DUMMYFUNCTION("""COMPUTED_VALUE"""),28.0)</f>
        <v>28</v>
      </c>
      <c r="O818" s="560"/>
      <c r="P818" s="562">
        <f>IFERROR(__xludf.DUMMYFUNCTION("""COMPUTED_VALUE"""),80.0)</f>
        <v>80</v>
      </c>
      <c r="Q818" s="562">
        <f>IFERROR(__xludf.DUMMYFUNCTION("""COMPUTED_VALUE"""),0.0)</f>
        <v>0</v>
      </c>
      <c r="R818" s="562">
        <f>IFERROR(__xludf.DUMMYFUNCTION("""COMPUTED_VALUE"""),0.0)</f>
        <v>0</v>
      </c>
      <c r="S818" s="562"/>
      <c r="T818" s="217">
        <f>IFERROR(__xludf.DUMMYFUNCTION("""COMPUTED_VALUE"""),17.0)</f>
        <v>17</v>
      </c>
      <c r="U818" s="217">
        <f>IFERROR(__xludf.DUMMYFUNCTION("""COMPUTED_VALUE"""),24.0)</f>
        <v>24</v>
      </c>
      <c r="V818" s="217">
        <f>IFERROR(__xludf.DUMMYFUNCTION("""COMPUTED_VALUE"""),88.0)</f>
        <v>88</v>
      </c>
      <c r="W818" s="217">
        <f>IFERROR(__xludf.DUMMYFUNCTION("""COMPUTED_VALUE"""),80.0)</f>
        <v>80</v>
      </c>
      <c r="X818" s="217">
        <f>IFERROR(__xludf.DUMMYFUNCTION("""COMPUTED_VALUE"""),82.0)</f>
        <v>82</v>
      </c>
      <c r="Y818" s="217"/>
      <c r="Z818" s="217"/>
      <c r="AA818" s="481">
        <f>IFERROR(__xludf.DUMMYFUNCTION("""COMPUTED_VALUE"""),4.0)</f>
        <v>4</v>
      </c>
      <c r="AB818" s="481">
        <f>IFERROR(__xludf.DUMMYFUNCTION("""COMPUTED_VALUE"""),100.0)</f>
        <v>100</v>
      </c>
      <c r="AC818" s="481">
        <f>IFERROR(__xludf.DUMMYFUNCTION("""COMPUTED_VALUE"""),70.0)</f>
        <v>70</v>
      </c>
      <c r="AD818" s="481">
        <f>IFERROR(__xludf.DUMMYFUNCTION("""COMPUTED_VALUE"""),3.0)</f>
        <v>3</v>
      </c>
      <c r="AE818" s="481">
        <f>IFERROR(__xludf.DUMMYFUNCTION("""COMPUTED_VALUE"""),12.0)</f>
        <v>12</v>
      </c>
      <c r="AF818" s="481"/>
      <c r="AG818" s="481">
        <f>IFERROR(__xludf.DUMMYFUNCTION("""COMPUTED_VALUE"""),69.0)</f>
        <v>69</v>
      </c>
      <c r="AH818" s="481"/>
      <c r="AI818" s="158"/>
      <c r="AJ818" s="158"/>
      <c r="AK818" s="133">
        <f>IFERROR(__xludf.DUMMYFUNCTION("""COMPUTED_VALUE"""),2.0)</f>
        <v>2</v>
      </c>
      <c r="AL818" s="133">
        <f>IFERROR(__xludf.DUMMYFUNCTION("""COMPUTED_VALUE"""),1.0)</f>
        <v>1</v>
      </c>
      <c r="AM818" s="133">
        <f>IFERROR(__xludf.DUMMYFUNCTION("""COMPUTED_VALUE"""),3.0)</f>
        <v>3</v>
      </c>
      <c r="AN818" s="133" t="str">
        <f>IFERROR(__xludf.DUMMYFUNCTION("""COMPUTED_VALUE"""),"3")</f>
        <v>3</v>
      </c>
      <c r="AO818" s="133">
        <f>IFERROR(__xludf.DUMMYFUNCTION("""COMPUTED_VALUE"""),1.0)</f>
        <v>1</v>
      </c>
      <c r="AP818" s="155" t="s">
        <v>3715</v>
      </c>
    </row>
    <row r="819">
      <c r="A819" s="155">
        <f>IFERROR(__xludf.DUMMYFUNCTION("""COMPUTED_VALUE"""),83.0)</f>
        <v>83</v>
      </c>
      <c r="B819" s="155" t="str">
        <f>IFERROR(__xludf.DUMMYFUNCTION("""COMPUTED_VALUE"""),"nanv23ainds@cmrit.ac.in")</f>
        <v>nanv23ainds@cmrit.ac.in</v>
      </c>
      <c r="C819" s="174" t="str">
        <f>IFERROR(__xludf.DUMMYFUNCTION("""COMPUTED_VALUE"""),"Navaneetha N V")</f>
        <v>Navaneetha N V</v>
      </c>
      <c r="D819" s="155" t="str">
        <f>IFERROR(__xludf.DUMMYFUNCTION("""COMPUTED_VALUE"""),"1CR23AD083")</f>
        <v>1CR23AD083</v>
      </c>
      <c r="E819" s="563"/>
      <c r="F819" s="155" t="str">
        <f>IFERROR(__xludf.DUMMYFUNCTION("""COMPUTED_VALUE"""),"AIDS")</f>
        <v>AIDS</v>
      </c>
      <c r="G819" s="158"/>
      <c r="H819" s="559">
        <f>IFERROR(__xludf.DUMMYFUNCTION("""COMPUTED_VALUE"""),70.0)</f>
        <v>70</v>
      </c>
      <c r="I819" s="559">
        <f>IFERROR(__xludf.DUMMYFUNCTION("""COMPUTED_VALUE"""),70.0)</f>
        <v>70</v>
      </c>
      <c r="J819" s="559">
        <f>IFERROR(__xludf.DUMMYFUNCTION("""COMPUTED_VALUE"""),70.0)</f>
        <v>70</v>
      </c>
      <c r="K819" s="559">
        <f>IFERROR(__xludf.DUMMYFUNCTION("""COMPUTED_VALUE"""),72.0)</f>
        <v>72</v>
      </c>
      <c r="L819" s="560">
        <f>IFERROR(__xludf.DUMMYFUNCTION("""COMPUTED_VALUE"""),50.0)</f>
        <v>50</v>
      </c>
      <c r="M819" s="561">
        <f>IFERROR(__xludf.DUMMYFUNCTION("""COMPUTED_VALUE"""),42.0)</f>
        <v>42</v>
      </c>
      <c r="N819" s="561">
        <f>IFERROR(__xludf.DUMMYFUNCTION("""COMPUTED_VALUE"""),69.0)</f>
        <v>69</v>
      </c>
      <c r="O819" s="560"/>
      <c r="P819" s="562">
        <f>IFERROR(__xludf.DUMMYFUNCTION("""COMPUTED_VALUE"""),80.0)</f>
        <v>80</v>
      </c>
      <c r="Q819" s="562">
        <f>IFERROR(__xludf.DUMMYFUNCTION("""COMPUTED_VALUE"""),61.0)</f>
        <v>61</v>
      </c>
      <c r="R819" s="562">
        <f>IFERROR(__xludf.DUMMYFUNCTION("""COMPUTED_VALUE"""),93.0)</f>
        <v>93</v>
      </c>
      <c r="S819" s="562"/>
      <c r="T819" s="217">
        <f>IFERROR(__xludf.DUMMYFUNCTION("""COMPUTED_VALUE"""),12.0)</f>
        <v>12</v>
      </c>
      <c r="U819" s="217">
        <f>IFERROR(__xludf.DUMMYFUNCTION("""COMPUTED_VALUE"""),23.0)</f>
        <v>23</v>
      </c>
      <c r="V819" s="217">
        <f>IFERROR(__xludf.DUMMYFUNCTION("""COMPUTED_VALUE"""),88.0)</f>
        <v>88</v>
      </c>
      <c r="W819" s="217">
        <f>IFERROR(__xludf.DUMMYFUNCTION("""COMPUTED_VALUE"""),72.0)</f>
        <v>72</v>
      </c>
      <c r="X819" s="217">
        <f>IFERROR(__xludf.DUMMYFUNCTION("""COMPUTED_VALUE"""),78.0)</f>
        <v>78</v>
      </c>
      <c r="Y819" s="217"/>
      <c r="Z819" s="217"/>
      <c r="AA819" s="481">
        <f>IFERROR(__xludf.DUMMYFUNCTION("""COMPUTED_VALUE"""),14.0)</f>
        <v>14</v>
      </c>
      <c r="AB819" s="481">
        <f>IFERROR(__xludf.DUMMYFUNCTION("""COMPUTED_VALUE"""),100.0)</f>
        <v>100</v>
      </c>
      <c r="AC819" s="481">
        <f>IFERROR(__xludf.DUMMYFUNCTION("""COMPUTED_VALUE"""),30.0)</f>
        <v>30</v>
      </c>
      <c r="AD819" s="481">
        <f>IFERROR(__xludf.DUMMYFUNCTION("""COMPUTED_VALUE"""),2.0)</f>
        <v>2</v>
      </c>
      <c r="AE819" s="481">
        <f>IFERROR(__xludf.DUMMYFUNCTION("""COMPUTED_VALUE"""),85.0)</f>
        <v>85</v>
      </c>
      <c r="AF819" s="481"/>
      <c r="AG819" s="481">
        <f>IFERROR(__xludf.DUMMYFUNCTION("""COMPUTED_VALUE"""),74.0)</f>
        <v>74</v>
      </c>
      <c r="AH819" s="481"/>
      <c r="AI819" s="158"/>
      <c r="AJ819" s="158"/>
      <c r="AK819" s="133">
        <f>IFERROR(__xludf.DUMMYFUNCTION("""COMPUTED_VALUE"""),4.0)</f>
        <v>4</v>
      </c>
      <c r="AL819" s="133">
        <f>IFERROR(__xludf.DUMMYFUNCTION("""COMPUTED_VALUE"""),1.0)</f>
        <v>1</v>
      </c>
      <c r="AM819" s="133">
        <f>IFERROR(__xludf.DUMMYFUNCTION("""COMPUTED_VALUE"""),3.0)</f>
        <v>3</v>
      </c>
      <c r="AN819" s="133" t="str">
        <f>IFERROR(__xludf.DUMMYFUNCTION("""COMPUTED_VALUE"""),"2")</f>
        <v>2</v>
      </c>
      <c r="AO819" s="133">
        <f>IFERROR(__xludf.DUMMYFUNCTION("""COMPUTED_VALUE"""),3.0)</f>
        <v>3</v>
      </c>
      <c r="AP819" s="155" t="s">
        <v>3715</v>
      </c>
    </row>
    <row r="820">
      <c r="A820" s="155">
        <f>IFERROR(__xludf.DUMMYFUNCTION("""COMPUTED_VALUE"""),84.0)</f>
        <v>84</v>
      </c>
      <c r="B820" s="155" t="str">
        <f>IFERROR(__xludf.DUMMYFUNCTION("""COMPUTED_VALUE"""),"ni23ainds@cmrit.ac.in")</f>
        <v>ni23ainds@cmrit.ac.in</v>
      </c>
      <c r="C820" s="174" t="str">
        <f>IFERROR(__xludf.DUMMYFUNCTION("""COMPUTED_VALUE"""),"NIDHI")</f>
        <v>NIDHI</v>
      </c>
      <c r="D820" s="155" t="str">
        <f>IFERROR(__xludf.DUMMYFUNCTION("""COMPUTED_VALUE"""),"1CR23AD084")</f>
        <v>1CR23AD084</v>
      </c>
      <c r="E820" s="563">
        <f>IFERROR(__xludf.DUMMYFUNCTION("""COMPUTED_VALUE"""),9.630048512E9)</f>
        <v>9630048512</v>
      </c>
      <c r="F820" s="155" t="str">
        <f>IFERROR(__xludf.DUMMYFUNCTION("""COMPUTED_VALUE"""),"AIDS")</f>
        <v>AIDS</v>
      </c>
      <c r="G820" s="158"/>
      <c r="H820" s="559">
        <f>IFERROR(__xludf.DUMMYFUNCTION("""COMPUTED_VALUE"""),85.0)</f>
        <v>85</v>
      </c>
      <c r="I820" s="559">
        <f>IFERROR(__xludf.DUMMYFUNCTION("""COMPUTED_VALUE"""),93.0)</f>
        <v>93</v>
      </c>
      <c r="J820" s="559">
        <f>IFERROR(__xludf.DUMMYFUNCTION("""COMPUTED_VALUE"""),90.0)</f>
        <v>90</v>
      </c>
      <c r="K820" s="559">
        <f>IFERROR(__xludf.DUMMYFUNCTION("""COMPUTED_VALUE"""),72.0)</f>
        <v>72</v>
      </c>
      <c r="L820" s="560">
        <f>IFERROR(__xludf.DUMMYFUNCTION("""COMPUTED_VALUE"""),50.0)</f>
        <v>50</v>
      </c>
      <c r="M820" s="561">
        <f>IFERROR(__xludf.DUMMYFUNCTION("""COMPUTED_VALUE"""),50.0)</f>
        <v>50</v>
      </c>
      <c r="N820" s="561">
        <f>IFERROR(__xludf.DUMMYFUNCTION("""COMPUTED_VALUE"""),78.0)</f>
        <v>78</v>
      </c>
      <c r="O820" s="560"/>
      <c r="P820" s="562">
        <f>IFERROR(__xludf.DUMMYFUNCTION("""COMPUTED_VALUE"""),75.0)</f>
        <v>75</v>
      </c>
      <c r="Q820" s="562">
        <f>IFERROR(__xludf.DUMMYFUNCTION("""COMPUTED_VALUE"""),89.0)</f>
        <v>89</v>
      </c>
      <c r="R820" s="562">
        <f>IFERROR(__xludf.DUMMYFUNCTION("""COMPUTED_VALUE"""),93.0)</f>
        <v>93</v>
      </c>
      <c r="S820" s="562"/>
      <c r="T820" s="217">
        <f>IFERROR(__xludf.DUMMYFUNCTION("""COMPUTED_VALUE"""),10.0)</f>
        <v>10</v>
      </c>
      <c r="U820" s="217">
        <f>IFERROR(__xludf.DUMMYFUNCTION("""COMPUTED_VALUE"""),20.0)</f>
        <v>20</v>
      </c>
      <c r="V820" s="217">
        <f>IFERROR(__xludf.DUMMYFUNCTION("""COMPUTED_VALUE"""),92.0)</f>
        <v>92</v>
      </c>
      <c r="W820" s="217">
        <f>IFERROR(__xludf.DUMMYFUNCTION("""COMPUTED_VALUE"""),82.0)</f>
        <v>82</v>
      </c>
      <c r="X820" s="217">
        <f>IFERROR(__xludf.DUMMYFUNCTION("""COMPUTED_VALUE"""),88.0)</f>
        <v>88</v>
      </c>
      <c r="Y820" s="217"/>
      <c r="Z820" s="217"/>
      <c r="AA820" s="481">
        <f>IFERROR(__xludf.DUMMYFUNCTION("""COMPUTED_VALUE"""),68.0)</f>
        <v>68</v>
      </c>
      <c r="AB820" s="481">
        <f>IFERROR(__xludf.DUMMYFUNCTION("""COMPUTED_VALUE"""),89.0)</f>
        <v>89</v>
      </c>
      <c r="AC820" s="481">
        <f>IFERROR(__xludf.DUMMYFUNCTION("""COMPUTED_VALUE"""),15.0)</f>
        <v>15</v>
      </c>
      <c r="AD820" s="481">
        <f>IFERROR(__xludf.DUMMYFUNCTION("""COMPUTED_VALUE"""),80.0)</f>
        <v>80</v>
      </c>
      <c r="AE820" s="481">
        <f>IFERROR(__xludf.DUMMYFUNCTION("""COMPUTED_VALUE"""),97.0)</f>
        <v>97</v>
      </c>
      <c r="AF820" s="481"/>
      <c r="AG820" s="481">
        <f>IFERROR(__xludf.DUMMYFUNCTION("""COMPUTED_VALUE"""),70.0)</f>
        <v>70</v>
      </c>
      <c r="AH820" s="481"/>
      <c r="AI820" s="158"/>
      <c r="AJ820" s="158"/>
      <c r="AK820" s="133">
        <f>IFERROR(__xludf.DUMMYFUNCTION("""COMPUTED_VALUE"""),4.0)</f>
        <v>4</v>
      </c>
      <c r="AL820" s="133">
        <f>IFERROR(__xludf.DUMMYFUNCTION("""COMPUTED_VALUE"""),3.0)</f>
        <v>3</v>
      </c>
      <c r="AM820" s="133">
        <f>IFERROR(__xludf.DUMMYFUNCTION("""COMPUTED_VALUE"""),3.0)</f>
        <v>3</v>
      </c>
      <c r="AN820" s="133" t="str">
        <f>IFERROR(__xludf.DUMMYFUNCTION("""COMPUTED_VALUE"""),"3.5")</f>
        <v>3.5</v>
      </c>
      <c r="AO820" s="133">
        <f>IFERROR(__xludf.DUMMYFUNCTION("""COMPUTED_VALUE"""),3.0)</f>
        <v>3</v>
      </c>
      <c r="AP820" s="155" t="s">
        <v>3715</v>
      </c>
    </row>
    <row r="821">
      <c r="A821" s="155">
        <f>IFERROR(__xludf.DUMMYFUNCTION("""COMPUTED_VALUE"""),85.0)</f>
        <v>85</v>
      </c>
      <c r="B821" s="155" t="str">
        <f>IFERROR(__xludf.DUMMYFUNCTION("""COMPUTED_VALUE"""),"nidr23ainds@cmrit.ac.in")</f>
        <v>nidr23ainds@cmrit.ac.in</v>
      </c>
      <c r="C821" s="174" t="str">
        <f>IFERROR(__xludf.DUMMYFUNCTION("""COMPUTED_VALUE"""),"NIHAL DR")</f>
        <v>NIHAL DR</v>
      </c>
      <c r="D821" s="155" t="str">
        <f>IFERROR(__xludf.DUMMYFUNCTION("""COMPUTED_VALUE"""),"1CR23AD085")</f>
        <v>1CR23AD085</v>
      </c>
      <c r="E821" s="563">
        <f>IFERROR(__xludf.DUMMYFUNCTION("""COMPUTED_VALUE"""),9.110225511E9)</f>
        <v>9110225511</v>
      </c>
      <c r="F821" s="155" t="str">
        <f>IFERROR(__xludf.DUMMYFUNCTION("""COMPUTED_VALUE"""),"AIDS")</f>
        <v>AIDS</v>
      </c>
      <c r="G821" s="158"/>
      <c r="H821" s="559">
        <f>IFERROR(__xludf.DUMMYFUNCTION("""COMPUTED_VALUE"""),73.0)</f>
        <v>73</v>
      </c>
      <c r="I821" s="559">
        <f>IFERROR(__xludf.DUMMYFUNCTION("""COMPUTED_VALUE"""),86.0)</f>
        <v>86</v>
      </c>
      <c r="J821" s="559">
        <f>IFERROR(__xludf.DUMMYFUNCTION("""COMPUTED_VALUE"""),87.0)</f>
        <v>87</v>
      </c>
      <c r="K821" s="559">
        <f>IFERROR(__xludf.DUMMYFUNCTION("""COMPUTED_VALUE"""),82.0)</f>
        <v>82</v>
      </c>
      <c r="L821" s="560">
        <f>IFERROR(__xludf.DUMMYFUNCTION("""COMPUTED_VALUE"""),55.0)</f>
        <v>55</v>
      </c>
      <c r="M821" s="561">
        <f>IFERROR(__xludf.DUMMYFUNCTION("""COMPUTED_VALUE"""),51.0)</f>
        <v>51</v>
      </c>
      <c r="N821" s="561">
        <f>IFERROR(__xludf.DUMMYFUNCTION("""COMPUTED_VALUE"""),73.0)</f>
        <v>73</v>
      </c>
      <c r="O821" s="560"/>
      <c r="P821" s="562">
        <f>IFERROR(__xludf.DUMMYFUNCTION("""COMPUTED_VALUE"""),75.0)</f>
        <v>75</v>
      </c>
      <c r="Q821" s="562">
        <f>IFERROR(__xludf.DUMMYFUNCTION("""COMPUTED_VALUE"""),59.0)</f>
        <v>59</v>
      </c>
      <c r="R821" s="562">
        <f>IFERROR(__xludf.DUMMYFUNCTION("""COMPUTED_VALUE"""),93.0)</f>
        <v>93</v>
      </c>
      <c r="S821" s="562"/>
      <c r="T821" s="217">
        <f>IFERROR(__xludf.DUMMYFUNCTION("""COMPUTED_VALUE"""),12.0)</f>
        <v>12</v>
      </c>
      <c r="U821" s="217">
        <f>IFERROR(__xludf.DUMMYFUNCTION("""COMPUTED_VALUE"""),21.0)</f>
        <v>21</v>
      </c>
      <c r="V821" s="217">
        <f>IFERROR(__xludf.DUMMYFUNCTION("""COMPUTED_VALUE"""),80.0)</f>
        <v>80</v>
      </c>
      <c r="W821" s="217">
        <f>IFERROR(__xludf.DUMMYFUNCTION("""COMPUTED_VALUE"""),66.0)</f>
        <v>66</v>
      </c>
      <c r="X821" s="217">
        <f>IFERROR(__xludf.DUMMYFUNCTION("""COMPUTED_VALUE"""),62.0)</f>
        <v>62</v>
      </c>
      <c r="Y821" s="217"/>
      <c r="Z821" s="217"/>
      <c r="AA821" s="481">
        <f>IFERROR(__xludf.DUMMYFUNCTION("""COMPUTED_VALUE"""),79.6)</f>
        <v>79.6</v>
      </c>
      <c r="AB821" s="481">
        <f>IFERROR(__xludf.DUMMYFUNCTION("""COMPUTED_VALUE"""),92.0)</f>
        <v>92</v>
      </c>
      <c r="AC821" s="481">
        <f>IFERROR(__xludf.DUMMYFUNCTION("""COMPUTED_VALUE"""),62.0)</f>
        <v>62</v>
      </c>
      <c r="AD821" s="481">
        <f>IFERROR(__xludf.DUMMYFUNCTION("""COMPUTED_VALUE"""),70.0)</f>
        <v>70</v>
      </c>
      <c r="AE821" s="481">
        <f>IFERROR(__xludf.DUMMYFUNCTION("""COMPUTED_VALUE"""),86.0)</f>
        <v>86</v>
      </c>
      <c r="AF821" s="481"/>
      <c r="AG821" s="481">
        <f>IFERROR(__xludf.DUMMYFUNCTION("""COMPUTED_VALUE"""),83.0)</f>
        <v>83</v>
      </c>
      <c r="AH821" s="481"/>
      <c r="AI821" s="158"/>
      <c r="AJ821" s="158"/>
      <c r="AK821" s="133">
        <f>IFERROR(__xludf.DUMMYFUNCTION("""COMPUTED_VALUE"""),4.0)</f>
        <v>4</v>
      </c>
      <c r="AL821" s="133">
        <f>IFERROR(__xludf.DUMMYFUNCTION("""COMPUTED_VALUE"""),3.0)</f>
        <v>3</v>
      </c>
      <c r="AM821" s="133">
        <f>IFERROR(__xludf.DUMMYFUNCTION("""COMPUTED_VALUE"""),3.0)</f>
        <v>3</v>
      </c>
      <c r="AN821" s="133" t="str">
        <f>IFERROR(__xludf.DUMMYFUNCTION("""COMPUTED_VALUE"""),"3.5")</f>
        <v>3.5</v>
      </c>
      <c r="AO821" s="133">
        <f>IFERROR(__xludf.DUMMYFUNCTION("""COMPUTED_VALUE"""),3.0)</f>
        <v>3</v>
      </c>
      <c r="AP821" s="155" t="s">
        <v>3715</v>
      </c>
    </row>
    <row r="822">
      <c r="A822" s="155">
        <f>IFERROR(__xludf.DUMMYFUNCTION("""COMPUTED_VALUE"""),86.0)</f>
        <v>86</v>
      </c>
      <c r="B822" s="155" t="str">
        <f>IFERROR(__xludf.DUMMYFUNCTION("""COMPUTED_VALUE"""),"nikm23ainds@cmrit.ac.in")</f>
        <v>nikm23ainds@cmrit.ac.in</v>
      </c>
      <c r="C822" s="174" t="str">
        <f>IFERROR(__xludf.DUMMYFUNCTION("""COMPUTED_VALUE"""),"Nishchitha K M")</f>
        <v>Nishchitha K M</v>
      </c>
      <c r="D822" s="155" t="str">
        <f>IFERROR(__xludf.DUMMYFUNCTION("""COMPUTED_VALUE"""),"1CR23AD086")</f>
        <v>1CR23AD086</v>
      </c>
      <c r="E822" s="563">
        <f>IFERROR(__xludf.DUMMYFUNCTION("""COMPUTED_VALUE"""),9.353101704E9)</f>
        <v>9353101704</v>
      </c>
      <c r="F822" s="155" t="str">
        <f>IFERROR(__xludf.DUMMYFUNCTION("""COMPUTED_VALUE"""),"AIDS")</f>
        <v>AIDS</v>
      </c>
      <c r="G822" s="158"/>
      <c r="H822" s="559">
        <f>IFERROR(__xludf.DUMMYFUNCTION("""COMPUTED_VALUE"""),80.0)</f>
        <v>80</v>
      </c>
      <c r="I822" s="559">
        <f>IFERROR(__xludf.DUMMYFUNCTION("""COMPUTED_VALUE"""),88.0)</f>
        <v>88</v>
      </c>
      <c r="J822" s="559">
        <f>IFERROR(__xludf.DUMMYFUNCTION("""COMPUTED_VALUE"""),70.0)</f>
        <v>70</v>
      </c>
      <c r="K822" s="559">
        <f>IFERROR(__xludf.DUMMYFUNCTION("""COMPUTED_VALUE"""),74.0)</f>
        <v>74</v>
      </c>
      <c r="L822" s="560">
        <f>IFERROR(__xludf.DUMMYFUNCTION("""COMPUTED_VALUE"""),50.0)</f>
        <v>50</v>
      </c>
      <c r="M822" s="561">
        <f>IFERROR(__xludf.DUMMYFUNCTION("""COMPUTED_VALUE"""),50.0)</f>
        <v>50</v>
      </c>
      <c r="N822" s="561">
        <f>IFERROR(__xludf.DUMMYFUNCTION("""COMPUTED_VALUE"""),60.0)</f>
        <v>60</v>
      </c>
      <c r="O822" s="560"/>
      <c r="P822" s="562">
        <f>IFERROR(__xludf.DUMMYFUNCTION("""COMPUTED_VALUE"""),84.0)</f>
        <v>84</v>
      </c>
      <c r="Q822" s="562">
        <f>IFERROR(__xludf.DUMMYFUNCTION("""COMPUTED_VALUE"""),72.0)</f>
        <v>72</v>
      </c>
      <c r="R822" s="562">
        <f>IFERROR(__xludf.DUMMYFUNCTION("""COMPUTED_VALUE"""),90.0)</f>
        <v>90</v>
      </c>
      <c r="S822" s="562"/>
      <c r="T822" s="217">
        <f>IFERROR(__xludf.DUMMYFUNCTION("""COMPUTED_VALUE"""),14.0)</f>
        <v>14</v>
      </c>
      <c r="U822" s="217">
        <f>IFERROR(__xludf.DUMMYFUNCTION("""COMPUTED_VALUE"""),22.0)</f>
        <v>22</v>
      </c>
      <c r="V822" s="217">
        <f>IFERROR(__xludf.DUMMYFUNCTION("""COMPUTED_VALUE"""),88.0)</f>
        <v>88</v>
      </c>
      <c r="W822" s="217">
        <f>IFERROR(__xludf.DUMMYFUNCTION("""COMPUTED_VALUE"""),80.0)</f>
        <v>80</v>
      </c>
      <c r="X822" s="217">
        <f>IFERROR(__xludf.DUMMYFUNCTION("""COMPUTED_VALUE"""),80.0)</f>
        <v>80</v>
      </c>
      <c r="Y822" s="217"/>
      <c r="Z822" s="217"/>
      <c r="AA822" s="481">
        <f>IFERROR(__xludf.DUMMYFUNCTION("""COMPUTED_VALUE"""),55.0)</f>
        <v>55</v>
      </c>
      <c r="AB822" s="481">
        <f>IFERROR(__xludf.DUMMYFUNCTION("""COMPUTED_VALUE"""),64.0)</f>
        <v>64</v>
      </c>
      <c r="AC822" s="481">
        <f>IFERROR(__xludf.DUMMYFUNCTION("""COMPUTED_VALUE"""),67.0)</f>
        <v>67</v>
      </c>
      <c r="AD822" s="481">
        <f>IFERROR(__xludf.DUMMYFUNCTION("""COMPUTED_VALUE"""),0.0)</f>
        <v>0</v>
      </c>
      <c r="AE822" s="481">
        <f>IFERROR(__xludf.DUMMYFUNCTION("""COMPUTED_VALUE"""),74.0)</f>
        <v>74</v>
      </c>
      <c r="AF822" s="481"/>
      <c r="AG822" s="481">
        <f>IFERROR(__xludf.DUMMYFUNCTION("""COMPUTED_VALUE"""),75.0)</f>
        <v>75</v>
      </c>
      <c r="AH822" s="481"/>
      <c r="AI822" s="158"/>
      <c r="AJ822" s="158"/>
      <c r="AK822" s="133">
        <f>IFERROR(__xludf.DUMMYFUNCTION("""COMPUTED_VALUE"""),4.0)</f>
        <v>4</v>
      </c>
      <c r="AL822" s="133">
        <f>IFERROR(__xludf.DUMMYFUNCTION("""COMPUTED_VALUE"""),3.0)</f>
        <v>3</v>
      </c>
      <c r="AM822" s="133">
        <f>IFERROR(__xludf.DUMMYFUNCTION("""COMPUTED_VALUE"""),3.0)</f>
        <v>3</v>
      </c>
      <c r="AN822" s="133" t="str">
        <f>IFERROR(__xludf.DUMMYFUNCTION("""COMPUTED_VALUE"""),"3.5")</f>
        <v>3.5</v>
      </c>
      <c r="AO822" s="133">
        <f>IFERROR(__xludf.DUMMYFUNCTION("""COMPUTED_VALUE"""),3.0)</f>
        <v>3</v>
      </c>
      <c r="AP822" s="155" t="s">
        <v>3715</v>
      </c>
    </row>
    <row r="823">
      <c r="A823" s="155">
        <f>IFERROR(__xludf.DUMMYFUNCTION("""COMPUTED_VALUE"""),87.0)</f>
        <v>87</v>
      </c>
      <c r="B823" s="155" t="str">
        <f>IFERROR(__xludf.DUMMYFUNCTION("""COMPUTED_VALUE"""),"niku23ainds@cmrit.ac.in")</f>
        <v>niku23ainds@cmrit.ac.in</v>
      </c>
      <c r="C823" s="174" t="str">
        <f>IFERROR(__xludf.DUMMYFUNCTION("""COMPUTED_VALUE"""),"NISHIT KUMAR")</f>
        <v>NISHIT KUMAR</v>
      </c>
      <c r="D823" s="155" t="str">
        <f>IFERROR(__xludf.DUMMYFUNCTION("""COMPUTED_VALUE"""),"1CR23AD087")</f>
        <v>1CR23AD087</v>
      </c>
      <c r="E823" s="563">
        <f>IFERROR(__xludf.DUMMYFUNCTION("""COMPUTED_VALUE"""),9.835185317E9)</f>
        <v>9835185317</v>
      </c>
      <c r="F823" s="155" t="str">
        <f>IFERROR(__xludf.DUMMYFUNCTION("""COMPUTED_VALUE"""),"AIDS")</f>
        <v>AIDS</v>
      </c>
      <c r="G823" s="158"/>
      <c r="H823" s="559">
        <f>IFERROR(__xludf.DUMMYFUNCTION("""COMPUTED_VALUE"""),73.0)</f>
        <v>73</v>
      </c>
      <c r="I823" s="559">
        <f>IFERROR(__xludf.DUMMYFUNCTION("""COMPUTED_VALUE"""),80.0)</f>
        <v>80</v>
      </c>
      <c r="J823" s="559">
        <f>IFERROR(__xludf.DUMMYFUNCTION("""COMPUTED_VALUE"""),70.0)</f>
        <v>70</v>
      </c>
      <c r="K823" s="559">
        <f>IFERROR(__xludf.DUMMYFUNCTION("""COMPUTED_VALUE"""),70.0)</f>
        <v>70</v>
      </c>
      <c r="L823" s="560">
        <f>IFERROR(__xludf.DUMMYFUNCTION("""COMPUTED_VALUE"""),25.0)</f>
        <v>25</v>
      </c>
      <c r="M823" s="561">
        <f>IFERROR(__xludf.DUMMYFUNCTION("""COMPUTED_VALUE"""),50.0)</f>
        <v>50</v>
      </c>
      <c r="N823" s="561">
        <f>IFERROR(__xludf.DUMMYFUNCTION("""COMPUTED_VALUE"""),61.25)</f>
        <v>61.25</v>
      </c>
      <c r="O823" s="560"/>
      <c r="P823" s="562">
        <f>IFERROR(__xludf.DUMMYFUNCTION("""COMPUTED_VALUE"""),73.0)</f>
        <v>73</v>
      </c>
      <c r="Q823" s="562">
        <f>IFERROR(__xludf.DUMMYFUNCTION("""COMPUTED_VALUE"""),89.0)</f>
        <v>89</v>
      </c>
      <c r="R823" s="562">
        <f>IFERROR(__xludf.DUMMYFUNCTION("""COMPUTED_VALUE"""),94.0)</f>
        <v>94</v>
      </c>
      <c r="S823" s="562"/>
      <c r="T823" s="217">
        <f>IFERROR(__xludf.DUMMYFUNCTION("""COMPUTED_VALUE"""),12.0)</f>
        <v>12</v>
      </c>
      <c r="U823" s="217">
        <f>IFERROR(__xludf.DUMMYFUNCTION("""COMPUTED_VALUE"""),23.0)</f>
        <v>23</v>
      </c>
      <c r="V823" s="217">
        <f>IFERROR(__xludf.DUMMYFUNCTION("""COMPUTED_VALUE"""),88.0)</f>
        <v>88</v>
      </c>
      <c r="W823" s="217">
        <f>IFERROR(__xludf.DUMMYFUNCTION("""COMPUTED_VALUE"""),80.0)</f>
        <v>80</v>
      </c>
      <c r="X823" s="217">
        <f>IFERROR(__xludf.DUMMYFUNCTION("""COMPUTED_VALUE"""),74.0)</f>
        <v>74</v>
      </c>
      <c r="Y823" s="217"/>
      <c r="Z823" s="217"/>
      <c r="AA823" s="481">
        <f>IFERROR(__xludf.DUMMYFUNCTION("""COMPUTED_VALUE"""),77.0)</f>
        <v>77</v>
      </c>
      <c r="AB823" s="481">
        <f>IFERROR(__xludf.DUMMYFUNCTION("""COMPUTED_VALUE"""),97.0)</f>
        <v>97</v>
      </c>
      <c r="AC823" s="481">
        <f>IFERROR(__xludf.DUMMYFUNCTION("""COMPUTED_VALUE"""),70.0)</f>
        <v>70</v>
      </c>
      <c r="AD823" s="481">
        <f>IFERROR(__xludf.DUMMYFUNCTION("""COMPUTED_VALUE"""),100.0)</f>
        <v>100</v>
      </c>
      <c r="AE823" s="481">
        <f>IFERROR(__xludf.DUMMYFUNCTION("""COMPUTED_VALUE"""),82.0)</f>
        <v>82</v>
      </c>
      <c r="AF823" s="481"/>
      <c r="AG823" s="481">
        <f>IFERROR(__xludf.DUMMYFUNCTION("""COMPUTED_VALUE"""),70.0)</f>
        <v>70</v>
      </c>
      <c r="AH823" s="481"/>
      <c r="AI823" s="158"/>
      <c r="AJ823" s="158"/>
      <c r="AK823" s="133">
        <f>IFERROR(__xludf.DUMMYFUNCTION("""COMPUTED_VALUE"""),4.0)</f>
        <v>4</v>
      </c>
      <c r="AL823" s="133">
        <f>IFERROR(__xludf.DUMMYFUNCTION("""COMPUTED_VALUE"""),0.0)</f>
        <v>0</v>
      </c>
      <c r="AM823" s="133">
        <f>IFERROR(__xludf.DUMMYFUNCTION("""COMPUTED_VALUE"""),3.0)</f>
        <v>3</v>
      </c>
      <c r="AN823" s="133" t="str">
        <f>IFERROR(__xludf.DUMMYFUNCTION("""COMPUTED_VALUE"""),"3.5")</f>
        <v>3.5</v>
      </c>
      <c r="AO823" s="133">
        <f>IFERROR(__xludf.DUMMYFUNCTION("""COMPUTED_VALUE"""),3.0)</f>
        <v>3</v>
      </c>
      <c r="AP823" s="155" t="s">
        <v>3715</v>
      </c>
    </row>
    <row r="824">
      <c r="A824" s="155">
        <f>IFERROR(__xludf.DUMMYFUNCTION("""COMPUTED_VALUE"""),88.0)</f>
        <v>88</v>
      </c>
      <c r="B824" s="155" t="str">
        <f>IFERROR(__xludf.DUMMYFUNCTION("""COMPUTED_VALUE"""),"niv23ainds@cmrit.ac.in")</f>
        <v>niv23ainds@cmrit.ac.in</v>
      </c>
      <c r="C824" s="174" t="str">
        <f>IFERROR(__xludf.DUMMYFUNCTION("""COMPUTED_VALUE"""),"NITHYASHREE V")</f>
        <v>NITHYASHREE V</v>
      </c>
      <c r="D824" s="155" t="str">
        <f>IFERROR(__xludf.DUMMYFUNCTION("""COMPUTED_VALUE"""),"1CR23AD088")</f>
        <v>1CR23AD088</v>
      </c>
      <c r="E824" s="563">
        <f>IFERROR(__xludf.DUMMYFUNCTION("""COMPUTED_VALUE"""),9.972036515E9)</f>
        <v>9972036515</v>
      </c>
      <c r="F824" s="155" t="str">
        <f>IFERROR(__xludf.DUMMYFUNCTION("""COMPUTED_VALUE"""),"AIDS")</f>
        <v>AIDS</v>
      </c>
      <c r="G824" s="158"/>
      <c r="H824" s="559">
        <f>IFERROR(__xludf.DUMMYFUNCTION("""COMPUTED_VALUE"""),82.0)</f>
        <v>82</v>
      </c>
      <c r="I824" s="559">
        <f>IFERROR(__xludf.DUMMYFUNCTION("""COMPUTED_VALUE"""),90.0)</f>
        <v>90</v>
      </c>
      <c r="J824" s="559">
        <f>IFERROR(__xludf.DUMMYFUNCTION("""COMPUTED_VALUE"""),76.0)</f>
        <v>76</v>
      </c>
      <c r="K824" s="559">
        <f>IFERROR(__xludf.DUMMYFUNCTION("""COMPUTED_VALUE"""),79.0)</f>
        <v>79</v>
      </c>
      <c r="L824" s="560">
        <f>IFERROR(__xludf.DUMMYFUNCTION("""COMPUTED_VALUE"""),50.0)</f>
        <v>50</v>
      </c>
      <c r="M824" s="561">
        <f>IFERROR(__xludf.DUMMYFUNCTION("""COMPUTED_VALUE"""),50.0)</f>
        <v>50</v>
      </c>
      <c r="N824" s="561">
        <f>IFERROR(__xludf.DUMMYFUNCTION("""COMPUTED_VALUE"""),50.0)</f>
        <v>50</v>
      </c>
      <c r="O824" s="560"/>
      <c r="P824" s="562">
        <f>IFERROR(__xludf.DUMMYFUNCTION("""COMPUTED_VALUE"""),80.0)</f>
        <v>80</v>
      </c>
      <c r="Q824" s="562">
        <f>IFERROR(__xludf.DUMMYFUNCTION("""COMPUTED_VALUE"""),64.0)</f>
        <v>64</v>
      </c>
      <c r="R824" s="562">
        <f>IFERROR(__xludf.DUMMYFUNCTION("""COMPUTED_VALUE"""),79.0)</f>
        <v>79</v>
      </c>
      <c r="S824" s="562"/>
      <c r="T824" s="217">
        <f>IFERROR(__xludf.DUMMYFUNCTION("""COMPUTED_VALUE"""),13.0)</f>
        <v>13</v>
      </c>
      <c r="U824" s="217">
        <f>IFERROR(__xludf.DUMMYFUNCTION("""COMPUTED_VALUE"""),23.0)</f>
        <v>23</v>
      </c>
      <c r="V824" s="217">
        <f>IFERROR(__xludf.DUMMYFUNCTION("""COMPUTED_VALUE"""),96.0)</f>
        <v>96</v>
      </c>
      <c r="W824" s="217">
        <f>IFERROR(__xludf.DUMMYFUNCTION("""COMPUTED_VALUE"""),70.0)</f>
        <v>70</v>
      </c>
      <c r="X824" s="217">
        <f>IFERROR(__xludf.DUMMYFUNCTION("""COMPUTED_VALUE"""),78.0)</f>
        <v>78</v>
      </c>
      <c r="Y824" s="217"/>
      <c r="Z824" s="217"/>
      <c r="AA824" s="481">
        <f>IFERROR(__xludf.DUMMYFUNCTION("""COMPUTED_VALUE"""),66.0)</f>
        <v>66</v>
      </c>
      <c r="AB824" s="481">
        <f>IFERROR(__xludf.DUMMYFUNCTION("""COMPUTED_VALUE"""),100.0)</f>
        <v>100</v>
      </c>
      <c r="AC824" s="481">
        <f>IFERROR(__xludf.DUMMYFUNCTION("""COMPUTED_VALUE"""),60.0)</f>
        <v>60</v>
      </c>
      <c r="AD824" s="481">
        <f>IFERROR(__xludf.DUMMYFUNCTION("""COMPUTED_VALUE"""),72.0)</f>
        <v>72</v>
      </c>
      <c r="AE824" s="481">
        <f>IFERROR(__xludf.DUMMYFUNCTION("""COMPUTED_VALUE"""),70.0)</f>
        <v>70</v>
      </c>
      <c r="AF824" s="481"/>
      <c r="AG824" s="481">
        <f>IFERROR(__xludf.DUMMYFUNCTION("""COMPUTED_VALUE"""),80.0)</f>
        <v>80</v>
      </c>
      <c r="AH824" s="481"/>
      <c r="AI824" s="158"/>
      <c r="AJ824" s="158"/>
      <c r="AK824" s="133">
        <f>IFERROR(__xludf.DUMMYFUNCTION("""COMPUTED_VALUE"""),4.0)</f>
        <v>4</v>
      </c>
      <c r="AL824" s="133">
        <f>IFERROR(__xludf.DUMMYFUNCTION("""COMPUTED_VALUE"""),3.0)</f>
        <v>3</v>
      </c>
      <c r="AM824" s="133">
        <f>IFERROR(__xludf.DUMMYFUNCTION("""COMPUTED_VALUE"""),3.0)</f>
        <v>3</v>
      </c>
      <c r="AN824" s="133" t="str">
        <f>IFERROR(__xludf.DUMMYFUNCTION("""COMPUTED_VALUE"""),"3.5")</f>
        <v>3.5</v>
      </c>
      <c r="AO824" s="133">
        <f>IFERROR(__xludf.DUMMYFUNCTION("""COMPUTED_VALUE"""),3.0)</f>
        <v>3</v>
      </c>
      <c r="AP824" s="155" t="s">
        <v>3715</v>
      </c>
    </row>
    <row r="825">
      <c r="A825" s="155">
        <f>IFERROR(__xludf.DUMMYFUNCTION("""COMPUTED_VALUE"""),89.0)</f>
        <v>89</v>
      </c>
      <c r="B825" s="155" t="str">
        <f>IFERROR(__xludf.DUMMYFUNCTION("""COMPUTED_VALUE"""),"pa23ainds@cmrit.ac.in")</f>
        <v>pa23ainds@cmrit.ac.in</v>
      </c>
      <c r="C825" s="174" t="str">
        <f>IFERROR(__xludf.DUMMYFUNCTION("""COMPUTED_VALUE"""),"PAVAN")</f>
        <v>PAVAN</v>
      </c>
      <c r="D825" s="155" t="str">
        <f>IFERROR(__xludf.DUMMYFUNCTION("""COMPUTED_VALUE"""),"1CR23AD089")</f>
        <v>1CR23AD089</v>
      </c>
      <c r="E825" s="563">
        <f>IFERROR(__xludf.DUMMYFUNCTION("""COMPUTED_VALUE"""),7.483422919E9)</f>
        <v>7483422919</v>
      </c>
      <c r="F825" s="155" t="str">
        <f>IFERROR(__xludf.DUMMYFUNCTION("""COMPUTED_VALUE"""),"AIDS")</f>
        <v>AIDS</v>
      </c>
      <c r="G825" s="158"/>
      <c r="H825" s="559">
        <f>IFERROR(__xludf.DUMMYFUNCTION("""COMPUTED_VALUE"""),72.0)</f>
        <v>72</v>
      </c>
      <c r="I825" s="559">
        <f>IFERROR(__xludf.DUMMYFUNCTION("""COMPUTED_VALUE"""),77.0)</f>
        <v>77</v>
      </c>
      <c r="J825" s="559">
        <f>IFERROR(__xludf.DUMMYFUNCTION("""COMPUTED_VALUE"""),70.0)</f>
        <v>70</v>
      </c>
      <c r="K825" s="559">
        <f>IFERROR(__xludf.DUMMYFUNCTION("""COMPUTED_VALUE"""),70.0)</f>
        <v>70</v>
      </c>
      <c r="L825" s="560">
        <f>IFERROR(__xludf.DUMMYFUNCTION("""COMPUTED_VALUE"""),50.0)</f>
        <v>50</v>
      </c>
      <c r="M825" s="561">
        <f>IFERROR(__xludf.DUMMYFUNCTION("""COMPUTED_VALUE"""),57.0)</f>
        <v>57</v>
      </c>
      <c r="N825" s="561">
        <f>IFERROR(__xludf.DUMMYFUNCTION("""COMPUTED_VALUE"""),77.0)</f>
        <v>77</v>
      </c>
      <c r="O825" s="560"/>
      <c r="P825" s="562">
        <f>IFERROR(__xludf.DUMMYFUNCTION("""COMPUTED_VALUE"""),80.0)</f>
        <v>80</v>
      </c>
      <c r="Q825" s="562">
        <f>IFERROR(__xludf.DUMMYFUNCTION("""COMPUTED_VALUE"""),50.0)</f>
        <v>50</v>
      </c>
      <c r="R825" s="562">
        <f>IFERROR(__xludf.DUMMYFUNCTION("""COMPUTED_VALUE"""),81.0)</f>
        <v>81</v>
      </c>
      <c r="S825" s="562"/>
      <c r="T825" s="217">
        <f>IFERROR(__xludf.DUMMYFUNCTION("""COMPUTED_VALUE"""),13.0)</f>
        <v>13</v>
      </c>
      <c r="U825" s="217">
        <f>IFERROR(__xludf.DUMMYFUNCTION("""COMPUTED_VALUE"""),10.0)</f>
        <v>10</v>
      </c>
      <c r="V825" s="217">
        <f>IFERROR(__xludf.DUMMYFUNCTION("""COMPUTED_VALUE"""),60.0)</f>
        <v>60</v>
      </c>
      <c r="W825" s="217">
        <f>IFERROR(__xludf.DUMMYFUNCTION("""COMPUTED_VALUE"""),70.0)</f>
        <v>70</v>
      </c>
      <c r="X825" s="217">
        <f>IFERROR(__xludf.DUMMYFUNCTION("""COMPUTED_VALUE"""),72.0)</f>
        <v>72</v>
      </c>
      <c r="Y825" s="217"/>
      <c r="Z825" s="217"/>
      <c r="AA825" s="481">
        <f>IFERROR(__xludf.DUMMYFUNCTION("""COMPUTED_VALUE"""),0.0)</f>
        <v>0</v>
      </c>
      <c r="AB825" s="481">
        <f>IFERROR(__xludf.DUMMYFUNCTION("""COMPUTED_VALUE"""),97.0)</f>
        <v>97</v>
      </c>
      <c r="AC825" s="481">
        <f>IFERROR(__xludf.DUMMYFUNCTION("""COMPUTED_VALUE"""),70.0)</f>
        <v>70</v>
      </c>
      <c r="AD825" s="481">
        <f>IFERROR(__xludf.DUMMYFUNCTION("""COMPUTED_VALUE"""),100.0)</f>
        <v>100</v>
      </c>
      <c r="AE825" s="481">
        <f>IFERROR(__xludf.DUMMYFUNCTION("""COMPUTED_VALUE"""),70.0)</f>
        <v>70</v>
      </c>
      <c r="AF825" s="481"/>
      <c r="AG825" s="481">
        <f>IFERROR(__xludf.DUMMYFUNCTION("""COMPUTED_VALUE"""),61.0)</f>
        <v>61</v>
      </c>
      <c r="AH825" s="481"/>
      <c r="AI825" s="158"/>
      <c r="AJ825" s="158"/>
      <c r="AK825" s="133">
        <f>IFERROR(__xludf.DUMMYFUNCTION("""COMPUTED_VALUE"""),4.0)</f>
        <v>4</v>
      </c>
      <c r="AL825" s="133">
        <f>IFERROR(__xludf.DUMMYFUNCTION("""COMPUTED_VALUE"""),3.0)</f>
        <v>3</v>
      </c>
      <c r="AM825" s="133">
        <f>IFERROR(__xludf.DUMMYFUNCTION("""COMPUTED_VALUE"""),3.0)</f>
        <v>3</v>
      </c>
      <c r="AN825" s="133" t="str">
        <f>IFERROR(__xludf.DUMMYFUNCTION("""COMPUTED_VALUE"""),"3.5")</f>
        <v>3.5</v>
      </c>
      <c r="AO825" s="133">
        <f>IFERROR(__xludf.DUMMYFUNCTION("""COMPUTED_VALUE"""),3.0)</f>
        <v>3</v>
      </c>
      <c r="AP825" s="155" t="s">
        <v>3715</v>
      </c>
    </row>
    <row r="826">
      <c r="A826" s="155">
        <f>IFERROR(__xludf.DUMMYFUNCTION("""COMPUTED_VALUE"""),90.0)</f>
        <v>90</v>
      </c>
      <c r="B826" s="155" t="str">
        <f>IFERROR(__xludf.DUMMYFUNCTION("""COMPUTED_VALUE"""),"para23ainds@cmrit.ac.in")</f>
        <v>para23ainds@cmrit.ac.in</v>
      </c>
      <c r="C826" s="174" t="str">
        <f>IFERROR(__xludf.DUMMYFUNCTION("""COMPUTED_VALUE"""),"Pavitra P Rathod")</f>
        <v>Pavitra P Rathod</v>
      </c>
      <c r="D826" s="155" t="str">
        <f>IFERROR(__xludf.DUMMYFUNCTION("""COMPUTED_VALUE"""),"1CR23AD090")</f>
        <v>1CR23AD090</v>
      </c>
      <c r="E826" s="563">
        <f>IFERROR(__xludf.DUMMYFUNCTION("""COMPUTED_VALUE"""),9.008117416E9)</f>
        <v>9008117416</v>
      </c>
      <c r="F826" s="155" t="str">
        <f>IFERROR(__xludf.DUMMYFUNCTION("""COMPUTED_VALUE"""),"AIDS")</f>
        <v>AIDS</v>
      </c>
      <c r="G826" s="158"/>
      <c r="H826" s="559">
        <f>IFERROR(__xludf.DUMMYFUNCTION("""COMPUTED_VALUE"""),70.0)</f>
        <v>70</v>
      </c>
      <c r="I826" s="559">
        <f>IFERROR(__xludf.DUMMYFUNCTION("""COMPUTED_VALUE"""),73.0)</f>
        <v>73</v>
      </c>
      <c r="J826" s="559">
        <f>IFERROR(__xludf.DUMMYFUNCTION("""COMPUTED_VALUE"""),70.0)</f>
        <v>70</v>
      </c>
      <c r="K826" s="559">
        <f>IFERROR(__xludf.DUMMYFUNCTION("""COMPUTED_VALUE"""),70.0)</f>
        <v>70</v>
      </c>
      <c r="L826" s="560">
        <f>IFERROR(__xludf.DUMMYFUNCTION("""COMPUTED_VALUE"""),50.0)</f>
        <v>50</v>
      </c>
      <c r="M826" s="561">
        <f>IFERROR(__xludf.DUMMYFUNCTION("""COMPUTED_VALUE"""),61.0)</f>
        <v>61</v>
      </c>
      <c r="N826" s="561">
        <f>IFERROR(__xludf.DUMMYFUNCTION("""COMPUTED_VALUE"""),50.0)</f>
        <v>50</v>
      </c>
      <c r="O826" s="560"/>
      <c r="P826" s="562">
        <f>IFERROR(__xludf.DUMMYFUNCTION("""COMPUTED_VALUE"""),80.0)</f>
        <v>80</v>
      </c>
      <c r="Q826" s="562">
        <f>IFERROR(__xludf.DUMMYFUNCTION("""COMPUTED_VALUE"""),72.0)</f>
        <v>72</v>
      </c>
      <c r="R826" s="562">
        <f>IFERROR(__xludf.DUMMYFUNCTION("""COMPUTED_VALUE"""),83.0)</f>
        <v>83</v>
      </c>
      <c r="S826" s="562"/>
      <c r="T826" s="217">
        <f>IFERROR(__xludf.DUMMYFUNCTION("""COMPUTED_VALUE"""),10.0)</f>
        <v>10</v>
      </c>
      <c r="U826" s="217">
        <f>IFERROR(__xludf.DUMMYFUNCTION("""COMPUTED_VALUE"""),21.0)</f>
        <v>21</v>
      </c>
      <c r="V826" s="217">
        <f>IFERROR(__xludf.DUMMYFUNCTION("""COMPUTED_VALUE"""),90.0)</f>
        <v>90</v>
      </c>
      <c r="W826" s="217">
        <f>IFERROR(__xludf.DUMMYFUNCTION("""COMPUTED_VALUE"""),70.0)</f>
        <v>70</v>
      </c>
      <c r="X826" s="217">
        <f>IFERROR(__xludf.DUMMYFUNCTION("""COMPUTED_VALUE"""),74.0)</f>
        <v>74</v>
      </c>
      <c r="Y826" s="217"/>
      <c r="Z826" s="217"/>
      <c r="AA826" s="481">
        <f>IFERROR(__xludf.DUMMYFUNCTION("""COMPUTED_VALUE"""),6.0)</f>
        <v>6</v>
      </c>
      <c r="AB826" s="481">
        <f>IFERROR(__xludf.DUMMYFUNCTION("""COMPUTED_VALUE"""),55.0)</f>
        <v>55</v>
      </c>
      <c r="AC826" s="481">
        <f>IFERROR(__xludf.DUMMYFUNCTION("""COMPUTED_VALUE"""),66.0)</f>
        <v>66</v>
      </c>
      <c r="AD826" s="481">
        <f>IFERROR(__xludf.DUMMYFUNCTION("""COMPUTED_VALUE"""),12.0)</f>
        <v>12</v>
      </c>
      <c r="AE826" s="481">
        <f>IFERROR(__xludf.DUMMYFUNCTION("""COMPUTED_VALUE"""),33.0)</f>
        <v>33</v>
      </c>
      <c r="AF826" s="481"/>
      <c r="AG826" s="481">
        <f>IFERROR(__xludf.DUMMYFUNCTION("""COMPUTED_VALUE"""),70.0)</f>
        <v>70</v>
      </c>
      <c r="AH826" s="481"/>
      <c r="AI826" s="158"/>
      <c r="AJ826" s="158"/>
      <c r="AK826" s="133">
        <f>IFERROR(__xludf.DUMMYFUNCTION("""COMPUTED_VALUE"""),4.0)</f>
        <v>4</v>
      </c>
      <c r="AL826" s="133">
        <f>IFERROR(__xludf.DUMMYFUNCTION("""COMPUTED_VALUE"""),3.0)</f>
        <v>3</v>
      </c>
      <c r="AM826" s="133">
        <f>IFERROR(__xludf.DUMMYFUNCTION("""COMPUTED_VALUE"""),3.0)</f>
        <v>3</v>
      </c>
      <c r="AN826" s="133" t="str">
        <f>IFERROR(__xludf.DUMMYFUNCTION("""COMPUTED_VALUE"""),"3")</f>
        <v>3</v>
      </c>
      <c r="AO826" s="133">
        <f>IFERROR(__xludf.DUMMYFUNCTION("""COMPUTED_VALUE"""),3.0)</f>
        <v>3</v>
      </c>
      <c r="AP826" s="155" t="s">
        <v>3715</v>
      </c>
    </row>
    <row r="827">
      <c r="A827" s="155">
        <f>IFERROR(__xludf.DUMMYFUNCTION("""COMPUTED_VALUE"""),91.0)</f>
        <v>91</v>
      </c>
      <c r="B827" s="155" t="str">
        <f>IFERROR(__xludf.DUMMYFUNCTION("""COMPUTED_VALUE"""),"prj23ainds@cmrit.ac.in")</f>
        <v>prj23ainds@cmrit.ac.in</v>
      </c>
      <c r="C827" s="174" t="str">
        <f>IFERROR(__xludf.DUMMYFUNCTION("""COMPUTED_VALUE"""),"PRABHU VIGNESH J")</f>
        <v>PRABHU VIGNESH J</v>
      </c>
      <c r="D827" s="155" t="str">
        <f>IFERROR(__xludf.DUMMYFUNCTION("""COMPUTED_VALUE"""),"1CR23AD091")</f>
        <v>1CR23AD091</v>
      </c>
      <c r="E827" s="563">
        <f>IFERROR(__xludf.DUMMYFUNCTION("""COMPUTED_VALUE"""),6.364509536E9)</f>
        <v>6364509536</v>
      </c>
      <c r="F827" s="155" t="str">
        <f>IFERROR(__xludf.DUMMYFUNCTION("""COMPUTED_VALUE"""),"AIDS")</f>
        <v>AIDS</v>
      </c>
      <c r="G827" s="158"/>
      <c r="H827" s="559">
        <f>IFERROR(__xludf.DUMMYFUNCTION("""COMPUTED_VALUE"""),70.0)</f>
        <v>70</v>
      </c>
      <c r="I827" s="559">
        <f>IFERROR(__xludf.DUMMYFUNCTION("""COMPUTED_VALUE"""),70.0)</f>
        <v>70</v>
      </c>
      <c r="J827" s="559">
        <f>IFERROR(__xludf.DUMMYFUNCTION("""COMPUTED_VALUE"""),15.0)</f>
        <v>15</v>
      </c>
      <c r="K827" s="559">
        <f>IFERROR(__xludf.DUMMYFUNCTION("""COMPUTED_VALUE"""),15.0)</f>
        <v>15</v>
      </c>
      <c r="L827" s="560">
        <f>IFERROR(__xludf.DUMMYFUNCTION("""COMPUTED_VALUE"""),50.0)</f>
        <v>50</v>
      </c>
      <c r="M827" s="561">
        <f>IFERROR(__xludf.DUMMYFUNCTION("""COMPUTED_VALUE"""),0.0)</f>
        <v>0</v>
      </c>
      <c r="N827" s="561">
        <f>IFERROR(__xludf.DUMMYFUNCTION("""COMPUTED_VALUE"""),0.0)</f>
        <v>0</v>
      </c>
      <c r="O827" s="560"/>
      <c r="P827" s="562">
        <f>IFERROR(__xludf.DUMMYFUNCTION("""COMPUTED_VALUE"""),0.0)</f>
        <v>0</v>
      </c>
      <c r="Q827" s="562">
        <f>IFERROR(__xludf.DUMMYFUNCTION("""COMPUTED_VALUE"""),0.0)</f>
        <v>0</v>
      </c>
      <c r="R827" s="562">
        <f>IFERROR(__xludf.DUMMYFUNCTION("""COMPUTED_VALUE"""),0.0)</f>
        <v>0</v>
      </c>
      <c r="S827" s="562"/>
      <c r="T827" s="217">
        <f>IFERROR(__xludf.DUMMYFUNCTION("""COMPUTED_VALUE"""),10.0)</f>
        <v>10</v>
      </c>
      <c r="U827" s="217"/>
      <c r="V827" s="217">
        <f>IFERROR(__xludf.DUMMYFUNCTION("""COMPUTED_VALUE"""),80.0)</f>
        <v>80</v>
      </c>
      <c r="W827" s="217">
        <f>IFERROR(__xludf.DUMMYFUNCTION("""COMPUTED_VALUE"""),60.0)</f>
        <v>60</v>
      </c>
      <c r="X827" s="217"/>
      <c r="Y827" s="217"/>
      <c r="Z827" s="217"/>
      <c r="AA827" s="481">
        <f>IFERROR(__xludf.DUMMYFUNCTION("""COMPUTED_VALUE"""),61.0)</f>
        <v>61</v>
      </c>
      <c r="AB827" s="481">
        <f>IFERROR(__xludf.DUMMYFUNCTION("""COMPUTED_VALUE"""),98.0)</f>
        <v>98</v>
      </c>
      <c r="AC827" s="481">
        <f>IFERROR(__xludf.DUMMYFUNCTION("""COMPUTED_VALUE"""),0.0)</f>
        <v>0</v>
      </c>
      <c r="AD827" s="481">
        <f>IFERROR(__xludf.DUMMYFUNCTION("""COMPUTED_VALUE"""),0.0)</f>
        <v>0</v>
      </c>
      <c r="AE827" s="481">
        <f>IFERROR(__xludf.DUMMYFUNCTION("""COMPUTED_VALUE"""),10.0)</f>
        <v>10</v>
      </c>
      <c r="AF827" s="481"/>
      <c r="AG827" s="481">
        <f>IFERROR(__xludf.DUMMYFUNCTION("""COMPUTED_VALUE"""),10.0)</f>
        <v>10</v>
      </c>
      <c r="AH827" s="481"/>
      <c r="AI827" s="158"/>
      <c r="AJ827" s="158"/>
      <c r="AK827" s="133">
        <f>IFERROR(__xludf.DUMMYFUNCTION("""COMPUTED_VALUE"""),2.0)</f>
        <v>2</v>
      </c>
      <c r="AL827" s="133">
        <f>IFERROR(__xludf.DUMMYFUNCTION("""COMPUTED_VALUE"""),1.0)</f>
        <v>1</v>
      </c>
      <c r="AM827" s="133">
        <f>IFERROR(__xludf.DUMMYFUNCTION("""COMPUTED_VALUE"""),3.0)</f>
        <v>3</v>
      </c>
      <c r="AN827" s="133" t="str">
        <f>IFERROR(__xludf.DUMMYFUNCTION("""COMPUTED_VALUE"""),"2")</f>
        <v>2</v>
      </c>
      <c r="AO827" s="133">
        <f>IFERROR(__xludf.DUMMYFUNCTION("""COMPUTED_VALUE"""),0.0)</f>
        <v>0</v>
      </c>
      <c r="AP827" s="155" t="s">
        <v>3715</v>
      </c>
    </row>
    <row r="828">
      <c r="A828" s="155">
        <f>IFERROR(__xludf.DUMMYFUNCTION("""COMPUTED_VALUE"""),92.0)</f>
        <v>92</v>
      </c>
      <c r="B828" s="155" t="str">
        <f>IFERROR(__xludf.DUMMYFUNCTION("""COMPUTED_VALUE"""),"prra23ainds@cmrit.ac.in")</f>
        <v>prra23ainds@cmrit.ac.in</v>
      </c>
      <c r="C828" s="174" t="str">
        <f>IFERROR(__xludf.DUMMYFUNCTION("""COMPUTED_VALUE"""),"PRAKHYAT RAJ SEDAI")</f>
        <v>PRAKHYAT RAJ SEDAI</v>
      </c>
      <c r="D828" s="155" t="str">
        <f>IFERROR(__xludf.DUMMYFUNCTION("""COMPUTED_VALUE"""),"1CR23AD092")</f>
        <v>1CR23AD092</v>
      </c>
      <c r="E828" s="563"/>
      <c r="F828" s="155" t="str">
        <f>IFERROR(__xludf.DUMMYFUNCTION("""COMPUTED_VALUE"""),"AIDS")</f>
        <v>AIDS</v>
      </c>
      <c r="G828" s="158"/>
      <c r="H828" s="559">
        <f>IFERROR(__xludf.DUMMYFUNCTION("""COMPUTED_VALUE"""),74.0)</f>
        <v>74</v>
      </c>
      <c r="I828" s="559">
        <f>IFERROR(__xludf.DUMMYFUNCTION("""COMPUTED_VALUE"""),83.0)</f>
        <v>83</v>
      </c>
      <c r="J828" s="559">
        <f>IFERROR(__xludf.DUMMYFUNCTION("""COMPUTED_VALUE"""),74.0)</f>
        <v>74</v>
      </c>
      <c r="K828" s="559">
        <f>IFERROR(__xludf.DUMMYFUNCTION("""COMPUTED_VALUE"""),60.0)</f>
        <v>60</v>
      </c>
      <c r="L828" s="560">
        <f>IFERROR(__xludf.DUMMYFUNCTION("""COMPUTED_VALUE"""),5.0)</f>
        <v>5</v>
      </c>
      <c r="M828" s="561">
        <f>IFERROR(__xludf.DUMMYFUNCTION("""COMPUTED_VALUE"""),19.0)</f>
        <v>19</v>
      </c>
      <c r="N828" s="561">
        <f>IFERROR(__xludf.DUMMYFUNCTION("""COMPUTED_VALUE"""),0.0)</f>
        <v>0</v>
      </c>
      <c r="O828" s="560"/>
      <c r="P828" s="562">
        <f>IFERROR(__xludf.DUMMYFUNCTION("""COMPUTED_VALUE"""),0.0)</f>
        <v>0</v>
      </c>
      <c r="Q828" s="562">
        <f>IFERROR(__xludf.DUMMYFUNCTION("""COMPUTED_VALUE"""),0.0)</f>
        <v>0</v>
      </c>
      <c r="R828" s="562">
        <f>IFERROR(__xludf.DUMMYFUNCTION("""COMPUTED_VALUE"""),0.0)</f>
        <v>0</v>
      </c>
      <c r="S828" s="562"/>
      <c r="T828" s="217">
        <f>IFERROR(__xludf.DUMMYFUNCTION("""COMPUTED_VALUE"""),19.0)</f>
        <v>19</v>
      </c>
      <c r="U828" s="217">
        <f>IFERROR(__xludf.DUMMYFUNCTION("""COMPUTED_VALUE"""),22.0)</f>
        <v>22</v>
      </c>
      <c r="V828" s="217">
        <f>IFERROR(__xludf.DUMMYFUNCTION("""COMPUTED_VALUE"""),88.0)</f>
        <v>88</v>
      </c>
      <c r="W828" s="217">
        <f>IFERROR(__xludf.DUMMYFUNCTION("""COMPUTED_VALUE"""),72.0)</f>
        <v>72</v>
      </c>
      <c r="X828" s="217">
        <f>IFERROR(__xludf.DUMMYFUNCTION("""COMPUTED_VALUE"""),74.0)</f>
        <v>74</v>
      </c>
      <c r="Y828" s="217"/>
      <c r="Z828" s="217"/>
      <c r="AA828" s="481">
        <f>IFERROR(__xludf.DUMMYFUNCTION("""COMPUTED_VALUE"""),70.0)</f>
        <v>70</v>
      </c>
      <c r="AB828" s="481">
        <f>IFERROR(__xludf.DUMMYFUNCTION("""COMPUTED_VALUE"""),60.0)</f>
        <v>60</v>
      </c>
      <c r="AC828" s="481">
        <f>IFERROR(__xludf.DUMMYFUNCTION("""COMPUTED_VALUE"""),0.0)</f>
        <v>0</v>
      </c>
      <c r="AD828" s="481">
        <f>IFERROR(__xludf.DUMMYFUNCTION("""COMPUTED_VALUE"""),0.0)</f>
        <v>0</v>
      </c>
      <c r="AE828" s="481">
        <f>IFERROR(__xludf.DUMMYFUNCTION("""COMPUTED_VALUE"""),10.0)</f>
        <v>10</v>
      </c>
      <c r="AF828" s="481"/>
      <c r="AG828" s="481">
        <f>IFERROR(__xludf.DUMMYFUNCTION("""COMPUTED_VALUE"""),0.0)</f>
        <v>0</v>
      </c>
      <c r="AH828" s="481"/>
      <c r="AI828" s="158"/>
      <c r="AJ828" s="158"/>
      <c r="AK828" s="133">
        <f>IFERROR(__xludf.DUMMYFUNCTION("""COMPUTED_VALUE"""),3.0)</f>
        <v>3</v>
      </c>
      <c r="AL828" s="133">
        <f>IFERROR(__xludf.DUMMYFUNCTION("""COMPUTED_VALUE"""),0.0)</f>
        <v>0</v>
      </c>
      <c r="AM828" s="133">
        <f>IFERROR(__xludf.DUMMYFUNCTION("""COMPUTED_VALUE"""),3.0)</f>
        <v>3</v>
      </c>
      <c r="AN828" s="133" t="str">
        <f>IFERROR(__xludf.DUMMYFUNCTION("""COMPUTED_VALUE"""),"2")</f>
        <v>2</v>
      </c>
      <c r="AO828" s="133">
        <f>IFERROR(__xludf.DUMMYFUNCTION("""COMPUTED_VALUE"""),0.0)</f>
        <v>0</v>
      </c>
      <c r="AP828" s="155" t="s">
        <v>3715</v>
      </c>
    </row>
    <row r="829">
      <c r="A829" s="155">
        <f>IFERROR(__xludf.DUMMYFUNCTION("""COMPUTED_VALUE"""),93.0)</f>
        <v>93</v>
      </c>
      <c r="B829" s="155" t="str">
        <f>IFERROR(__xludf.DUMMYFUNCTION("""COMPUTED_VALUE"""),"prva23ainds@cmrit.ac.in")</f>
        <v>prva23ainds@cmrit.ac.in</v>
      </c>
      <c r="C829" s="174" t="str">
        <f>IFERROR(__xludf.DUMMYFUNCTION("""COMPUTED_VALUE"""),"PRAKRUTHI V A")</f>
        <v>PRAKRUTHI V A</v>
      </c>
      <c r="D829" s="155" t="str">
        <f>IFERROR(__xludf.DUMMYFUNCTION("""COMPUTED_VALUE"""),"1CR23AD093")</f>
        <v>1CR23AD093</v>
      </c>
      <c r="E829" s="563">
        <f>IFERROR(__xludf.DUMMYFUNCTION("""COMPUTED_VALUE"""),8.12368088E9)</f>
        <v>8123680880</v>
      </c>
      <c r="F829" s="155" t="str">
        <f>IFERROR(__xludf.DUMMYFUNCTION("""COMPUTED_VALUE"""),"AIDS")</f>
        <v>AIDS</v>
      </c>
      <c r="G829" s="158"/>
      <c r="H829" s="559">
        <f>IFERROR(__xludf.DUMMYFUNCTION("""COMPUTED_VALUE"""),84.0)</f>
        <v>84</v>
      </c>
      <c r="I829" s="559">
        <f>IFERROR(__xludf.DUMMYFUNCTION("""COMPUTED_VALUE"""),84.0)</f>
        <v>84</v>
      </c>
      <c r="J829" s="559">
        <f>IFERROR(__xludf.DUMMYFUNCTION("""COMPUTED_VALUE"""),82.0)</f>
        <v>82</v>
      </c>
      <c r="K829" s="559">
        <f>IFERROR(__xludf.DUMMYFUNCTION("""COMPUTED_VALUE"""),75.0)</f>
        <v>75</v>
      </c>
      <c r="L829" s="560">
        <f>IFERROR(__xludf.DUMMYFUNCTION("""COMPUTED_VALUE"""),50.0)</f>
        <v>50</v>
      </c>
      <c r="M829" s="561">
        <f>IFERROR(__xludf.DUMMYFUNCTION("""COMPUTED_VALUE"""),31.0)</f>
        <v>31</v>
      </c>
      <c r="N829" s="561">
        <f>IFERROR(__xludf.DUMMYFUNCTION("""COMPUTED_VALUE"""),50.0)</f>
        <v>50</v>
      </c>
      <c r="O829" s="560"/>
      <c r="P829" s="562">
        <f>IFERROR(__xludf.DUMMYFUNCTION("""COMPUTED_VALUE"""),75.0)</f>
        <v>75</v>
      </c>
      <c r="Q829" s="562">
        <f>IFERROR(__xludf.DUMMYFUNCTION("""COMPUTED_VALUE"""),73.0)</f>
        <v>73</v>
      </c>
      <c r="R829" s="562">
        <f>IFERROR(__xludf.DUMMYFUNCTION("""COMPUTED_VALUE"""),91.0)</f>
        <v>91</v>
      </c>
      <c r="S829" s="562"/>
      <c r="T829" s="217">
        <f>IFERROR(__xludf.DUMMYFUNCTION("""COMPUTED_VALUE"""),10.0)</f>
        <v>10</v>
      </c>
      <c r="U829" s="217">
        <f>IFERROR(__xludf.DUMMYFUNCTION("""COMPUTED_VALUE"""),22.0)</f>
        <v>22</v>
      </c>
      <c r="V829" s="217">
        <f>IFERROR(__xludf.DUMMYFUNCTION("""COMPUTED_VALUE"""),90.0)</f>
        <v>90</v>
      </c>
      <c r="W829" s="217">
        <f>IFERROR(__xludf.DUMMYFUNCTION("""COMPUTED_VALUE"""),86.0)</f>
        <v>86</v>
      </c>
      <c r="X829" s="217">
        <f>IFERROR(__xludf.DUMMYFUNCTION("""COMPUTED_VALUE"""),76.0)</f>
        <v>76</v>
      </c>
      <c r="Y829" s="217"/>
      <c r="Z829" s="217"/>
      <c r="AA829" s="481">
        <f>IFERROR(__xludf.DUMMYFUNCTION("""COMPUTED_VALUE"""),79.0)</f>
        <v>79</v>
      </c>
      <c r="AB829" s="481">
        <f>IFERROR(__xludf.DUMMYFUNCTION("""COMPUTED_VALUE"""),72.0)</f>
        <v>72</v>
      </c>
      <c r="AC829" s="481">
        <f>IFERROR(__xludf.DUMMYFUNCTION("""COMPUTED_VALUE"""),60.0)</f>
        <v>60</v>
      </c>
      <c r="AD829" s="481">
        <f>IFERROR(__xludf.DUMMYFUNCTION("""COMPUTED_VALUE"""),65.0)</f>
        <v>65</v>
      </c>
      <c r="AE829" s="481">
        <f>IFERROR(__xludf.DUMMYFUNCTION("""COMPUTED_VALUE"""),79.0)</f>
        <v>79</v>
      </c>
      <c r="AF829" s="481"/>
      <c r="AG829" s="481">
        <f>IFERROR(__xludf.DUMMYFUNCTION("""COMPUTED_VALUE"""),70.0)</f>
        <v>70</v>
      </c>
      <c r="AH829" s="481"/>
      <c r="AI829" s="158"/>
      <c r="AJ829" s="158"/>
      <c r="AK829" s="133">
        <f>IFERROR(__xludf.DUMMYFUNCTION("""COMPUTED_VALUE"""),4.0)</f>
        <v>4</v>
      </c>
      <c r="AL829" s="133">
        <f>IFERROR(__xludf.DUMMYFUNCTION("""COMPUTED_VALUE"""),1.0)</f>
        <v>1</v>
      </c>
      <c r="AM829" s="133">
        <f>IFERROR(__xludf.DUMMYFUNCTION("""COMPUTED_VALUE"""),3.0)</f>
        <v>3</v>
      </c>
      <c r="AN829" s="133" t="str">
        <f>IFERROR(__xludf.DUMMYFUNCTION("""COMPUTED_VALUE"""),"3.5")</f>
        <v>3.5</v>
      </c>
      <c r="AO829" s="133">
        <f>IFERROR(__xludf.DUMMYFUNCTION("""COMPUTED_VALUE"""),3.0)</f>
        <v>3</v>
      </c>
      <c r="AP829" s="155" t="s">
        <v>3715</v>
      </c>
    </row>
    <row r="830">
      <c r="A830" s="155">
        <f>IFERROR(__xludf.DUMMYFUNCTION("""COMPUTED_VALUE"""),94.0)</f>
        <v>94</v>
      </c>
      <c r="B830" s="155" t="str">
        <f>IFERROR(__xludf.DUMMYFUNCTION("""COMPUTED_VALUE"""),"pras23ainds@cmrit.ac.in")</f>
        <v>pras23ainds@cmrit.ac.in</v>
      </c>
      <c r="C830" s="174" t="str">
        <f>IFERROR(__xludf.DUMMYFUNCTION("""COMPUTED_VALUE"""),"Praneet Ashok Bhushi")</f>
        <v>Praneet Ashok Bhushi</v>
      </c>
      <c r="D830" s="155" t="str">
        <f>IFERROR(__xludf.DUMMYFUNCTION("""COMPUTED_VALUE"""),"1CR23AD094")</f>
        <v>1CR23AD094</v>
      </c>
      <c r="E830" s="563">
        <f>IFERROR(__xludf.DUMMYFUNCTION("""COMPUTED_VALUE"""),7.483342086E9)</f>
        <v>7483342086</v>
      </c>
      <c r="F830" s="155" t="str">
        <f>IFERROR(__xludf.DUMMYFUNCTION("""COMPUTED_VALUE"""),"AIDS")</f>
        <v>AIDS</v>
      </c>
      <c r="G830" s="158"/>
      <c r="H830" s="559">
        <f>IFERROR(__xludf.DUMMYFUNCTION("""COMPUTED_VALUE"""),70.0)</f>
        <v>70</v>
      </c>
      <c r="I830" s="559">
        <f>IFERROR(__xludf.DUMMYFUNCTION("""COMPUTED_VALUE"""),84.0)</f>
        <v>84</v>
      </c>
      <c r="J830" s="559">
        <f>IFERROR(__xludf.DUMMYFUNCTION("""COMPUTED_VALUE"""),71.0)</f>
        <v>71</v>
      </c>
      <c r="K830" s="559">
        <f>IFERROR(__xludf.DUMMYFUNCTION("""COMPUTED_VALUE"""),70.0)</f>
        <v>70</v>
      </c>
      <c r="L830" s="560">
        <f>IFERROR(__xludf.DUMMYFUNCTION("""COMPUTED_VALUE"""),58.0)</f>
        <v>58</v>
      </c>
      <c r="M830" s="561">
        <f>IFERROR(__xludf.DUMMYFUNCTION("""COMPUTED_VALUE"""),51.0)</f>
        <v>51</v>
      </c>
      <c r="N830" s="561">
        <f>IFERROR(__xludf.DUMMYFUNCTION("""COMPUTED_VALUE"""),16.0)</f>
        <v>16</v>
      </c>
      <c r="O830" s="560"/>
      <c r="P830" s="562">
        <f>IFERROR(__xludf.DUMMYFUNCTION("""COMPUTED_VALUE"""),50.0)</f>
        <v>50</v>
      </c>
      <c r="Q830" s="562">
        <f>IFERROR(__xludf.DUMMYFUNCTION("""COMPUTED_VALUE"""),50.0)</f>
        <v>50</v>
      </c>
      <c r="R830" s="562">
        <f>IFERROR(__xludf.DUMMYFUNCTION("""COMPUTED_VALUE"""),0.0)</f>
        <v>0</v>
      </c>
      <c r="S830" s="562"/>
      <c r="T830" s="217">
        <f>IFERROR(__xludf.DUMMYFUNCTION("""COMPUTED_VALUE"""),15.0)</f>
        <v>15</v>
      </c>
      <c r="U830" s="217">
        <f>IFERROR(__xludf.DUMMYFUNCTION("""COMPUTED_VALUE"""),23.0)</f>
        <v>23</v>
      </c>
      <c r="V830" s="217">
        <f>IFERROR(__xludf.DUMMYFUNCTION("""COMPUTED_VALUE"""),70.0)</f>
        <v>70</v>
      </c>
      <c r="W830" s="217">
        <f>IFERROR(__xludf.DUMMYFUNCTION("""COMPUTED_VALUE"""),76.0)</f>
        <v>76</v>
      </c>
      <c r="X830" s="217">
        <f>IFERROR(__xludf.DUMMYFUNCTION("""COMPUTED_VALUE"""),78.0)</f>
        <v>78</v>
      </c>
      <c r="Y830" s="217"/>
      <c r="Z830" s="217"/>
      <c r="AA830" s="481">
        <f>IFERROR(__xludf.DUMMYFUNCTION("""COMPUTED_VALUE"""),68.0)</f>
        <v>68</v>
      </c>
      <c r="AB830" s="481">
        <f>IFERROR(__xludf.DUMMYFUNCTION("""COMPUTED_VALUE"""),100.0)</f>
        <v>100</v>
      </c>
      <c r="AC830" s="481">
        <f>IFERROR(__xludf.DUMMYFUNCTION("""COMPUTED_VALUE"""),64.0)</f>
        <v>64</v>
      </c>
      <c r="AD830" s="481">
        <f>IFERROR(__xludf.DUMMYFUNCTION("""COMPUTED_VALUE"""),80.0)</f>
        <v>80</v>
      </c>
      <c r="AE830" s="481">
        <f>IFERROR(__xludf.DUMMYFUNCTION("""COMPUTED_VALUE"""),70.0)</f>
        <v>70</v>
      </c>
      <c r="AF830" s="481"/>
      <c r="AG830" s="481">
        <f>IFERROR(__xludf.DUMMYFUNCTION("""COMPUTED_VALUE"""),71.0)</f>
        <v>71</v>
      </c>
      <c r="AH830" s="481"/>
      <c r="AI830" s="158"/>
      <c r="AJ830" s="158"/>
      <c r="AK830" s="133">
        <f>IFERROR(__xludf.DUMMYFUNCTION("""COMPUTED_VALUE"""),4.0)</f>
        <v>4</v>
      </c>
      <c r="AL830" s="133">
        <f>IFERROR(__xludf.DUMMYFUNCTION("""COMPUTED_VALUE"""),2.0)</f>
        <v>2</v>
      </c>
      <c r="AM830" s="133">
        <f>IFERROR(__xludf.DUMMYFUNCTION("""COMPUTED_VALUE"""),3.0)</f>
        <v>3</v>
      </c>
      <c r="AN830" s="133" t="str">
        <f>IFERROR(__xludf.DUMMYFUNCTION("""COMPUTED_VALUE"""),"3.5")</f>
        <v>3.5</v>
      </c>
      <c r="AO830" s="133">
        <f>IFERROR(__xludf.DUMMYFUNCTION("""COMPUTED_VALUE"""),2.0)</f>
        <v>2</v>
      </c>
      <c r="AP830" s="155" t="s">
        <v>3715</v>
      </c>
    </row>
    <row r="831">
      <c r="A831" s="155">
        <f>IFERROR(__xludf.DUMMYFUNCTION("""COMPUTED_VALUE"""),95.0)</f>
        <v>95</v>
      </c>
      <c r="B831" s="155" t="str">
        <f>IFERROR(__xludf.DUMMYFUNCTION("""COMPUTED_VALUE"""),"pure23ainds@cmrit.ac.in")</f>
        <v>pure23ainds@cmrit.ac.in</v>
      </c>
      <c r="C831" s="174" t="str">
        <f>IFERROR(__xludf.DUMMYFUNCTION("""COMPUTED_VALUE"""),"PUSALAPATI DEVESH REDDY")</f>
        <v>PUSALAPATI DEVESH REDDY</v>
      </c>
      <c r="D831" s="155" t="str">
        <f>IFERROR(__xludf.DUMMYFUNCTION("""COMPUTED_VALUE"""),"1CR23AD095")</f>
        <v>1CR23AD095</v>
      </c>
      <c r="E831" s="563">
        <f>IFERROR(__xludf.DUMMYFUNCTION("""COMPUTED_VALUE"""),6.30033173E9)</f>
        <v>6300331730</v>
      </c>
      <c r="F831" s="155" t="str">
        <f>IFERROR(__xludf.DUMMYFUNCTION("""COMPUTED_VALUE"""),"AIDS")</f>
        <v>AIDS</v>
      </c>
      <c r="G831" s="158"/>
      <c r="H831" s="559">
        <f>IFERROR(__xludf.DUMMYFUNCTION("""COMPUTED_VALUE"""),79.0)</f>
        <v>79</v>
      </c>
      <c r="I831" s="559">
        <f>IFERROR(__xludf.DUMMYFUNCTION("""COMPUTED_VALUE"""),82.0)</f>
        <v>82</v>
      </c>
      <c r="J831" s="559">
        <f>IFERROR(__xludf.DUMMYFUNCTION("""COMPUTED_VALUE"""),83.0)</f>
        <v>83</v>
      </c>
      <c r="K831" s="559">
        <f>IFERROR(__xludf.DUMMYFUNCTION("""COMPUTED_VALUE"""),73.0)</f>
        <v>73</v>
      </c>
      <c r="L831" s="560">
        <f>IFERROR(__xludf.DUMMYFUNCTION("""COMPUTED_VALUE"""),62.0)</f>
        <v>62</v>
      </c>
      <c r="M831" s="561">
        <f>IFERROR(__xludf.DUMMYFUNCTION("""COMPUTED_VALUE"""),74.0)</f>
        <v>74</v>
      </c>
      <c r="N831" s="561">
        <f>IFERROR(__xludf.DUMMYFUNCTION("""COMPUTED_VALUE"""),63.0)</f>
        <v>63</v>
      </c>
      <c r="O831" s="560"/>
      <c r="P831" s="562">
        <f>IFERROR(__xludf.DUMMYFUNCTION("""COMPUTED_VALUE"""),75.0)</f>
        <v>75</v>
      </c>
      <c r="Q831" s="562">
        <f>IFERROR(__xludf.DUMMYFUNCTION("""COMPUTED_VALUE"""),59.0)</f>
        <v>59</v>
      </c>
      <c r="R831" s="562">
        <f>IFERROR(__xludf.DUMMYFUNCTION("""COMPUTED_VALUE"""),84.0)</f>
        <v>84</v>
      </c>
      <c r="S831" s="562"/>
      <c r="T831" s="217">
        <f>IFERROR(__xludf.DUMMYFUNCTION("""COMPUTED_VALUE"""),12.0)</f>
        <v>12</v>
      </c>
      <c r="U831" s="217">
        <f>IFERROR(__xludf.DUMMYFUNCTION("""COMPUTED_VALUE"""),24.0)</f>
        <v>24</v>
      </c>
      <c r="V831" s="217">
        <f>IFERROR(__xludf.DUMMYFUNCTION("""COMPUTED_VALUE"""),92.0)</f>
        <v>92</v>
      </c>
      <c r="W831" s="217">
        <f>IFERROR(__xludf.DUMMYFUNCTION("""COMPUTED_VALUE"""),70.0)</f>
        <v>70</v>
      </c>
      <c r="X831" s="217">
        <f>IFERROR(__xludf.DUMMYFUNCTION("""COMPUTED_VALUE"""),82.0)</f>
        <v>82</v>
      </c>
      <c r="Y831" s="217"/>
      <c r="Z831" s="217"/>
      <c r="AA831" s="481">
        <f>IFERROR(__xludf.DUMMYFUNCTION("""COMPUTED_VALUE"""),58.0)</f>
        <v>58</v>
      </c>
      <c r="AB831" s="481">
        <f>IFERROR(__xludf.DUMMYFUNCTION("""COMPUTED_VALUE"""),100.0)</f>
        <v>100</v>
      </c>
      <c r="AC831" s="481">
        <f>IFERROR(__xludf.DUMMYFUNCTION("""COMPUTED_VALUE"""),88.0)</f>
        <v>88</v>
      </c>
      <c r="AD831" s="481">
        <f>IFERROR(__xludf.DUMMYFUNCTION("""COMPUTED_VALUE"""),80.0)</f>
        <v>80</v>
      </c>
      <c r="AE831" s="481">
        <f>IFERROR(__xludf.DUMMYFUNCTION("""COMPUTED_VALUE"""),70.0)</f>
        <v>70</v>
      </c>
      <c r="AF831" s="481">
        <f>IFERROR(__xludf.DUMMYFUNCTION("""COMPUTED_VALUE"""),70.0)</f>
        <v>70</v>
      </c>
      <c r="AG831" s="481">
        <f>IFERROR(__xludf.DUMMYFUNCTION("""COMPUTED_VALUE"""),78.0)</f>
        <v>78</v>
      </c>
      <c r="AH831" s="481"/>
      <c r="AI831" s="158"/>
      <c r="AJ831" s="158"/>
      <c r="AK831" s="133">
        <f>IFERROR(__xludf.DUMMYFUNCTION("""COMPUTED_VALUE"""),4.0)</f>
        <v>4</v>
      </c>
      <c r="AL831" s="133">
        <f>IFERROR(__xludf.DUMMYFUNCTION("""COMPUTED_VALUE"""),3.0)</f>
        <v>3</v>
      </c>
      <c r="AM831" s="133">
        <f>IFERROR(__xludf.DUMMYFUNCTION("""COMPUTED_VALUE"""),3.0)</f>
        <v>3</v>
      </c>
      <c r="AN831" s="133" t="str">
        <f>IFERROR(__xludf.DUMMYFUNCTION("""COMPUTED_VALUE"""),"4")</f>
        <v>4</v>
      </c>
      <c r="AO831" s="133">
        <f>IFERROR(__xludf.DUMMYFUNCTION("""COMPUTED_VALUE"""),3.0)</f>
        <v>3</v>
      </c>
      <c r="AP831" s="155" t="s">
        <v>3715</v>
      </c>
    </row>
    <row r="832">
      <c r="A832" s="155">
        <f>IFERROR(__xludf.DUMMYFUNCTION("""COMPUTED_VALUE"""),96.0)</f>
        <v>96</v>
      </c>
      <c r="B832" s="155" t="str">
        <f>IFERROR(__xludf.DUMMYFUNCTION("""COMPUTED_VALUE"""),"rahm23ainds@cmrit.ac.in")</f>
        <v>rahm23ainds@cmrit.ac.in</v>
      </c>
      <c r="C832" s="174" t="str">
        <f>IFERROR(__xludf.DUMMYFUNCTION("""COMPUTED_VALUE"""),"Rachana HM")</f>
        <v>Rachana HM</v>
      </c>
      <c r="D832" s="155" t="str">
        <f>IFERROR(__xludf.DUMMYFUNCTION("""COMPUTED_VALUE"""),"1CR23AD096")</f>
        <v>1CR23AD096</v>
      </c>
      <c r="E832" s="563">
        <f>IFERROR(__xludf.DUMMYFUNCTION("""COMPUTED_VALUE"""),6.362730077E9)</f>
        <v>6362730077</v>
      </c>
      <c r="F832" s="155" t="str">
        <f>IFERROR(__xludf.DUMMYFUNCTION("""COMPUTED_VALUE"""),"AIDS")</f>
        <v>AIDS</v>
      </c>
      <c r="G832" s="158"/>
      <c r="H832" s="559">
        <f>IFERROR(__xludf.DUMMYFUNCTION("""COMPUTED_VALUE"""),77.0)</f>
        <v>77</v>
      </c>
      <c r="I832" s="559">
        <f>IFERROR(__xludf.DUMMYFUNCTION("""COMPUTED_VALUE"""),87.0)</f>
        <v>87</v>
      </c>
      <c r="J832" s="559">
        <f>IFERROR(__xludf.DUMMYFUNCTION("""COMPUTED_VALUE"""),71.0)</f>
        <v>71</v>
      </c>
      <c r="K832" s="559">
        <f>IFERROR(__xludf.DUMMYFUNCTION("""COMPUTED_VALUE"""),82.0)</f>
        <v>82</v>
      </c>
      <c r="L832" s="560">
        <f>IFERROR(__xludf.DUMMYFUNCTION("""COMPUTED_VALUE"""),50.0)</f>
        <v>50</v>
      </c>
      <c r="M832" s="561">
        <f>IFERROR(__xludf.DUMMYFUNCTION("""COMPUTED_VALUE"""),50.0)</f>
        <v>50</v>
      </c>
      <c r="N832" s="561">
        <f>IFERROR(__xludf.DUMMYFUNCTION("""COMPUTED_VALUE"""),50.0)</f>
        <v>50</v>
      </c>
      <c r="O832" s="560"/>
      <c r="P832" s="562">
        <f>IFERROR(__xludf.DUMMYFUNCTION("""COMPUTED_VALUE"""),81.0)</f>
        <v>81</v>
      </c>
      <c r="Q832" s="562">
        <f>IFERROR(__xludf.DUMMYFUNCTION("""COMPUTED_VALUE"""),64.0)</f>
        <v>64</v>
      </c>
      <c r="R832" s="562">
        <f>IFERROR(__xludf.DUMMYFUNCTION("""COMPUTED_VALUE"""),99.0)</f>
        <v>99</v>
      </c>
      <c r="S832" s="562"/>
      <c r="T832" s="217">
        <f>IFERROR(__xludf.DUMMYFUNCTION("""COMPUTED_VALUE"""),19.0)</f>
        <v>19</v>
      </c>
      <c r="U832" s="217">
        <f>IFERROR(__xludf.DUMMYFUNCTION("""COMPUTED_VALUE"""),24.0)</f>
        <v>24</v>
      </c>
      <c r="V832" s="217">
        <f>IFERROR(__xludf.DUMMYFUNCTION("""COMPUTED_VALUE"""),92.0)</f>
        <v>92</v>
      </c>
      <c r="W832" s="217">
        <f>IFERROR(__xludf.DUMMYFUNCTION("""COMPUTED_VALUE"""),78.0)</f>
        <v>78</v>
      </c>
      <c r="X832" s="217">
        <f>IFERROR(__xludf.DUMMYFUNCTION("""COMPUTED_VALUE"""),82.0)</f>
        <v>82</v>
      </c>
      <c r="Y832" s="217"/>
      <c r="Z832" s="217"/>
      <c r="AA832" s="481">
        <f>IFERROR(__xludf.DUMMYFUNCTION("""COMPUTED_VALUE"""),80.0)</f>
        <v>80</v>
      </c>
      <c r="AB832" s="481">
        <f>IFERROR(__xludf.DUMMYFUNCTION("""COMPUTED_VALUE"""),98.0)</f>
        <v>98</v>
      </c>
      <c r="AC832" s="481">
        <f>IFERROR(__xludf.DUMMYFUNCTION("""COMPUTED_VALUE"""),83.0)</f>
        <v>83</v>
      </c>
      <c r="AD832" s="481">
        <f>IFERROR(__xludf.DUMMYFUNCTION("""COMPUTED_VALUE"""),23.0)</f>
        <v>23</v>
      </c>
      <c r="AE832" s="481">
        <f>IFERROR(__xludf.DUMMYFUNCTION("""COMPUTED_VALUE"""),70.0)</f>
        <v>70</v>
      </c>
      <c r="AF832" s="481"/>
      <c r="AG832" s="481">
        <f>IFERROR(__xludf.DUMMYFUNCTION("""COMPUTED_VALUE"""),87.0)</f>
        <v>87</v>
      </c>
      <c r="AH832" s="481"/>
      <c r="AI832" s="158"/>
      <c r="AJ832" s="158"/>
      <c r="AK832" s="133">
        <f>IFERROR(__xludf.DUMMYFUNCTION("""COMPUTED_VALUE"""),4.0)</f>
        <v>4</v>
      </c>
      <c r="AL832" s="133">
        <f>IFERROR(__xludf.DUMMYFUNCTION("""COMPUTED_VALUE"""),3.0)</f>
        <v>3</v>
      </c>
      <c r="AM832" s="133">
        <f>IFERROR(__xludf.DUMMYFUNCTION("""COMPUTED_VALUE"""),3.0)</f>
        <v>3</v>
      </c>
      <c r="AN832" s="133" t="str">
        <f>IFERROR(__xludf.DUMMYFUNCTION("""COMPUTED_VALUE"""),"3.5")</f>
        <v>3.5</v>
      </c>
      <c r="AO832" s="133">
        <f>IFERROR(__xludf.DUMMYFUNCTION("""COMPUTED_VALUE"""),3.0)</f>
        <v>3</v>
      </c>
      <c r="AP832" s="155" t="s">
        <v>3715</v>
      </c>
    </row>
    <row r="833">
      <c r="A833" s="155">
        <f>IFERROR(__xludf.DUMMYFUNCTION("""COMPUTED_VALUE"""),97.0)</f>
        <v>97</v>
      </c>
      <c r="B833" s="155" t="str">
        <f>IFERROR(__xludf.DUMMYFUNCTION("""COMPUTED_VALUE"""),"rash23ainds@cmrit.ac.in")</f>
        <v>rash23ainds@cmrit.ac.in</v>
      </c>
      <c r="C833" s="174" t="str">
        <f>IFERROR(__xludf.DUMMYFUNCTION("""COMPUTED_VALUE"""),"RAJESHWARI SHARANAPPA KAWLUR")</f>
        <v>RAJESHWARI SHARANAPPA KAWLUR</v>
      </c>
      <c r="D833" s="155" t="str">
        <f>IFERROR(__xludf.DUMMYFUNCTION("""COMPUTED_VALUE"""),"1CR23AD097")</f>
        <v>1CR23AD097</v>
      </c>
      <c r="E833" s="563">
        <f>IFERROR(__xludf.DUMMYFUNCTION("""COMPUTED_VALUE"""),8.867199146E9)</f>
        <v>8867199146</v>
      </c>
      <c r="F833" s="155" t="str">
        <f>IFERROR(__xludf.DUMMYFUNCTION("""COMPUTED_VALUE"""),"AIDS")</f>
        <v>AIDS</v>
      </c>
      <c r="G833" s="158"/>
      <c r="H833" s="559">
        <f>IFERROR(__xludf.DUMMYFUNCTION("""COMPUTED_VALUE"""),70.0)</f>
        <v>70</v>
      </c>
      <c r="I833" s="559">
        <f>IFERROR(__xludf.DUMMYFUNCTION("""COMPUTED_VALUE"""),70.0)</f>
        <v>70</v>
      </c>
      <c r="J833" s="559">
        <f>IFERROR(__xludf.DUMMYFUNCTION("""COMPUTED_VALUE"""),70.0)</f>
        <v>70</v>
      </c>
      <c r="K833" s="559">
        <f>IFERROR(__xludf.DUMMYFUNCTION("""COMPUTED_VALUE"""),70.0)</f>
        <v>70</v>
      </c>
      <c r="L833" s="560">
        <f>IFERROR(__xludf.DUMMYFUNCTION("""COMPUTED_VALUE"""),50.0)</f>
        <v>50</v>
      </c>
      <c r="M833" s="561">
        <f>IFERROR(__xludf.DUMMYFUNCTION("""COMPUTED_VALUE"""),21.0)</f>
        <v>21</v>
      </c>
      <c r="N833" s="561">
        <f>IFERROR(__xludf.DUMMYFUNCTION("""COMPUTED_VALUE"""),50.0)</f>
        <v>50</v>
      </c>
      <c r="O833" s="560"/>
      <c r="P833" s="562">
        <f>IFERROR(__xludf.DUMMYFUNCTION("""COMPUTED_VALUE"""),50.0)</f>
        <v>50</v>
      </c>
      <c r="Q833" s="562">
        <f>IFERROR(__xludf.DUMMYFUNCTION("""COMPUTED_VALUE"""),50.0)</f>
        <v>50</v>
      </c>
      <c r="R833" s="562">
        <f>IFERROR(__xludf.DUMMYFUNCTION("""COMPUTED_VALUE"""),88.0)</f>
        <v>88</v>
      </c>
      <c r="S833" s="562"/>
      <c r="T833" s="217">
        <f>IFERROR(__xludf.DUMMYFUNCTION("""COMPUTED_VALUE"""),14.0)</f>
        <v>14</v>
      </c>
      <c r="U833" s="217">
        <f>IFERROR(__xludf.DUMMYFUNCTION("""COMPUTED_VALUE"""),20.0)</f>
        <v>20</v>
      </c>
      <c r="V833" s="217">
        <f>IFERROR(__xludf.DUMMYFUNCTION("""COMPUTED_VALUE"""),82.0)</f>
        <v>82</v>
      </c>
      <c r="W833" s="217">
        <f>IFERROR(__xludf.DUMMYFUNCTION("""COMPUTED_VALUE"""),84.0)</f>
        <v>84</v>
      </c>
      <c r="X833" s="217">
        <f>IFERROR(__xludf.DUMMYFUNCTION("""COMPUTED_VALUE"""),74.0)</f>
        <v>74</v>
      </c>
      <c r="Y833" s="217"/>
      <c r="Z833" s="217"/>
      <c r="AA833" s="481">
        <f>IFERROR(__xludf.DUMMYFUNCTION("""COMPUTED_VALUE"""),6.0)</f>
        <v>6</v>
      </c>
      <c r="AB833" s="481">
        <f>IFERROR(__xludf.DUMMYFUNCTION("""COMPUTED_VALUE"""),98.0)</f>
        <v>98</v>
      </c>
      <c r="AC833" s="481">
        <f>IFERROR(__xludf.DUMMYFUNCTION("""COMPUTED_VALUE"""),70.0)</f>
        <v>70</v>
      </c>
      <c r="AD833" s="481">
        <f>IFERROR(__xludf.DUMMYFUNCTION("""COMPUTED_VALUE"""),1.0)</f>
        <v>1</v>
      </c>
      <c r="AE833" s="481">
        <f>IFERROR(__xludf.DUMMYFUNCTION("""COMPUTED_VALUE"""),70.0)</f>
        <v>70</v>
      </c>
      <c r="AF833" s="481"/>
      <c r="AG833" s="481">
        <f>IFERROR(__xludf.DUMMYFUNCTION("""COMPUTED_VALUE"""),70.0)</f>
        <v>70</v>
      </c>
      <c r="AH833" s="481"/>
      <c r="AI833" s="158"/>
      <c r="AJ833" s="158"/>
      <c r="AK833" s="133">
        <f>IFERROR(__xludf.DUMMYFUNCTION("""COMPUTED_VALUE"""),4.0)</f>
        <v>4</v>
      </c>
      <c r="AL833" s="133">
        <f>IFERROR(__xludf.DUMMYFUNCTION("""COMPUTED_VALUE"""),1.0)</f>
        <v>1</v>
      </c>
      <c r="AM833" s="133">
        <f>IFERROR(__xludf.DUMMYFUNCTION("""COMPUTED_VALUE"""),3.0)</f>
        <v>3</v>
      </c>
      <c r="AN833" s="133" t="str">
        <f>IFERROR(__xludf.DUMMYFUNCTION("""COMPUTED_VALUE"""),"3.5")</f>
        <v>3.5</v>
      </c>
      <c r="AO833" s="133">
        <f>IFERROR(__xludf.DUMMYFUNCTION("""COMPUTED_VALUE"""),3.0)</f>
        <v>3</v>
      </c>
      <c r="AP833" s="155" t="s">
        <v>3715</v>
      </c>
    </row>
    <row r="834">
      <c r="A834" s="155">
        <f>IFERROR(__xludf.DUMMYFUNCTION("""COMPUTED_VALUE"""),98.0)</f>
        <v>98</v>
      </c>
      <c r="B834" s="155" t="str">
        <f>IFERROR(__xludf.DUMMYFUNCTION("""COMPUTED_VALUE"""),"rarn23ainds@cmrit.ac.in")</f>
        <v>rarn23ainds@cmrit.ac.in</v>
      </c>
      <c r="C834" s="174" t="str">
        <f>IFERROR(__xludf.DUMMYFUNCTION("""COMPUTED_VALUE"""),"Rakesh R N")</f>
        <v>Rakesh R N</v>
      </c>
      <c r="D834" s="155" t="str">
        <f>IFERROR(__xludf.DUMMYFUNCTION("""COMPUTED_VALUE"""),"1CR23AD098")</f>
        <v>1CR23AD098</v>
      </c>
      <c r="E834" s="563">
        <f>IFERROR(__xludf.DUMMYFUNCTION("""COMPUTED_VALUE"""),9.353085038E9)</f>
        <v>9353085038</v>
      </c>
      <c r="F834" s="155" t="str">
        <f>IFERROR(__xludf.DUMMYFUNCTION("""COMPUTED_VALUE"""),"AIDS")</f>
        <v>AIDS</v>
      </c>
      <c r="G834" s="158"/>
      <c r="H834" s="559">
        <f>IFERROR(__xludf.DUMMYFUNCTION("""COMPUTED_VALUE"""),62.0)</f>
        <v>62</v>
      </c>
      <c r="I834" s="559">
        <f>IFERROR(__xludf.DUMMYFUNCTION("""COMPUTED_VALUE"""),68.0)</f>
        <v>68</v>
      </c>
      <c r="J834" s="559">
        <f>IFERROR(__xludf.DUMMYFUNCTION("""COMPUTED_VALUE"""),60.0)</f>
        <v>60</v>
      </c>
      <c r="K834" s="559">
        <f>IFERROR(__xludf.DUMMYFUNCTION("""COMPUTED_VALUE"""),21.0)</f>
        <v>21</v>
      </c>
      <c r="L834" s="560">
        <f>IFERROR(__xludf.DUMMYFUNCTION("""COMPUTED_VALUE"""),6.0)</f>
        <v>6</v>
      </c>
      <c r="M834" s="561">
        <f>IFERROR(__xludf.DUMMYFUNCTION("""COMPUTED_VALUE"""),10.0)</f>
        <v>10</v>
      </c>
      <c r="N834" s="561">
        <f>IFERROR(__xludf.DUMMYFUNCTION("""COMPUTED_VALUE"""),6.0)</f>
        <v>6</v>
      </c>
      <c r="O834" s="560"/>
      <c r="P834" s="562">
        <f>IFERROR(__xludf.DUMMYFUNCTION("""COMPUTED_VALUE"""),50.0)</f>
        <v>50</v>
      </c>
      <c r="Q834" s="562">
        <f>IFERROR(__xludf.DUMMYFUNCTION("""COMPUTED_VALUE"""),50.0)</f>
        <v>50</v>
      </c>
      <c r="R834" s="562">
        <f>IFERROR(__xludf.DUMMYFUNCTION("""COMPUTED_VALUE"""),50.0)</f>
        <v>50</v>
      </c>
      <c r="S834" s="562"/>
      <c r="T834" s="217">
        <f>IFERROR(__xludf.DUMMYFUNCTION("""COMPUTED_VALUE"""),13.0)</f>
        <v>13</v>
      </c>
      <c r="U834" s="217">
        <f>IFERROR(__xludf.DUMMYFUNCTION("""COMPUTED_VALUE"""),19.0)</f>
        <v>19</v>
      </c>
      <c r="V834" s="217">
        <f>IFERROR(__xludf.DUMMYFUNCTION("""COMPUTED_VALUE"""),80.0)</f>
        <v>80</v>
      </c>
      <c r="W834" s="217">
        <f>IFERROR(__xludf.DUMMYFUNCTION("""COMPUTED_VALUE"""),76.0)</f>
        <v>76</v>
      </c>
      <c r="X834" s="217">
        <f>IFERROR(__xludf.DUMMYFUNCTION("""COMPUTED_VALUE"""),82.0)</f>
        <v>82</v>
      </c>
      <c r="Y834" s="217"/>
      <c r="Z834" s="217"/>
      <c r="AA834" s="481">
        <f>IFERROR(__xludf.DUMMYFUNCTION("""COMPUTED_VALUE"""),0.0)</f>
        <v>0</v>
      </c>
      <c r="AB834" s="481">
        <f>IFERROR(__xludf.DUMMYFUNCTION("""COMPUTED_VALUE"""),50.0)</f>
        <v>50</v>
      </c>
      <c r="AC834" s="481">
        <f>IFERROR(__xludf.DUMMYFUNCTION("""COMPUTED_VALUE"""),35.0)</f>
        <v>35</v>
      </c>
      <c r="AD834" s="481">
        <f>IFERROR(__xludf.DUMMYFUNCTION("""COMPUTED_VALUE"""),10.0)</f>
        <v>10</v>
      </c>
      <c r="AE834" s="481">
        <f>IFERROR(__xludf.DUMMYFUNCTION("""COMPUTED_VALUE"""),10.0)</f>
        <v>10</v>
      </c>
      <c r="AF834" s="481"/>
      <c r="AG834" s="481">
        <f>IFERROR(__xludf.DUMMYFUNCTION("""COMPUTED_VALUE"""),10.0)</f>
        <v>10</v>
      </c>
      <c r="AH834" s="481"/>
      <c r="AI834" s="158"/>
      <c r="AJ834" s="158"/>
      <c r="AK834" s="133">
        <f>IFERROR(__xludf.DUMMYFUNCTION("""COMPUTED_VALUE"""),0.0)</f>
        <v>0</v>
      </c>
      <c r="AL834" s="133">
        <f>IFERROR(__xludf.DUMMYFUNCTION("""COMPUTED_VALUE"""),0.0)</f>
        <v>0</v>
      </c>
      <c r="AM834" s="133">
        <f>IFERROR(__xludf.DUMMYFUNCTION("""COMPUTED_VALUE"""),3.0)</f>
        <v>3</v>
      </c>
      <c r="AN834" s="133" t="str">
        <f>IFERROR(__xludf.DUMMYFUNCTION("""COMPUTED_VALUE"""),"2")</f>
        <v>2</v>
      </c>
      <c r="AO834" s="133">
        <f>IFERROR(__xludf.DUMMYFUNCTION("""COMPUTED_VALUE"""),3.0)</f>
        <v>3</v>
      </c>
      <c r="AP834" s="155" t="s">
        <v>3715</v>
      </c>
    </row>
    <row r="835">
      <c r="A835" s="155">
        <f>IFERROR(__xludf.DUMMYFUNCTION("""COMPUTED_VALUE"""),99.0)</f>
        <v>99</v>
      </c>
      <c r="B835" s="155" t="str">
        <f>IFERROR(__xludf.DUMMYFUNCTION("""COMPUTED_VALUE"""),"rara23ainds@cmrit.ac.in")</f>
        <v>rara23ainds@cmrit.ac.in</v>
      </c>
      <c r="C835" s="174" t="str">
        <f>IFERROR(__xludf.DUMMYFUNCTION("""COMPUTED_VALUE"""),"RAKESH RANJAN")</f>
        <v>RAKESH RANJAN</v>
      </c>
      <c r="D835" s="155" t="str">
        <f>IFERROR(__xludf.DUMMYFUNCTION("""COMPUTED_VALUE"""),"1CR23AD099")</f>
        <v>1CR23AD099</v>
      </c>
      <c r="E835" s="563">
        <f>IFERROR(__xludf.DUMMYFUNCTION("""COMPUTED_VALUE"""),8.521585194E9)</f>
        <v>8521585194</v>
      </c>
      <c r="F835" s="155" t="str">
        <f>IFERROR(__xludf.DUMMYFUNCTION("""COMPUTED_VALUE"""),"AIDS")</f>
        <v>AIDS</v>
      </c>
      <c r="G835" s="158"/>
      <c r="H835" s="559">
        <f>IFERROR(__xludf.DUMMYFUNCTION("""COMPUTED_VALUE"""),70.0)</f>
        <v>70</v>
      </c>
      <c r="I835" s="559">
        <f>IFERROR(__xludf.DUMMYFUNCTION("""COMPUTED_VALUE"""),70.0)</f>
        <v>70</v>
      </c>
      <c r="J835" s="559">
        <f>IFERROR(__xludf.DUMMYFUNCTION("""COMPUTED_VALUE"""),70.0)</f>
        <v>70</v>
      </c>
      <c r="K835" s="559">
        <f>IFERROR(__xludf.DUMMYFUNCTION("""COMPUTED_VALUE"""),70.0)</f>
        <v>70</v>
      </c>
      <c r="L835" s="560">
        <f>IFERROR(__xludf.DUMMYFUNCTION("""COMPUTED_VALUE"""),50.0)</f>
        <v>50</v>
      </c>
      <c r="M835" s="561">
        <f>IFERROR(__xludf.DUMMYFUNCTION("""COMPUTED_VALUE"""),50.0)</f>
        <v>50</v>
      </c>
      <c r="N835" s="561">
        <f>IFERROR(__xludf.DUMMYFUNCTION("""COMPUTED_VALUE"""),3.0)</f>
        <v>3</v>
      </c>
      <c r="O835" s="560"/>
      <c r="P835" s="562">
        <f>IFERROR(__xludf.DUMMYFUNCTION("""COMPUTED_VALUE"""),50.0)</f>
        <v>50</v>
      </c>
      <c r="Q835" s="562">
        <f>IFERROR(__xludf.DUMMYFUNCTION("""COMPUTED_VALUE"""),50.0)</f>
        <v>50</v>
      </c>
      <c r="R835" s="562">
        <f>IFERROR(__xludf.DUMMYFUNCTION("""COMPUTED_VALUE"""),50.0)</f>
        <v>50</v>
      </c>
      <c r="S835" s="562"/>
      <c r="T835" s="217">
        <f>IFERROR(__xludf.DUMMYFUNCTION("""COMPUTED_VALUE"""),18.0)</f>
        <v>18</v>
      </c>
      <c r="U835" s="217"/>
      <c r="V835" s="217">
        <f>IFERROR(__xludf.DUMMYFUNCTION("""COMPUTED_VALUE"""),70.0)</f>
        <v>70</v>
      </c>
      <c r="W835" s="217">
        <f>IFERROR(__xludf.DUMMYFUNCTION("""COMPUTED_VALUE"""),82.0)</f>
        <v>82</v>
      </c>
      <c r="X835" s="217">
        <f>IFERROR(__xludf.DUMMYFUNCTION("""COMPUTED_VALUE"""),86.0)</f>
        <v>86</v>
      </c>
      <c r="Y835" s="217"/>
      <c r="Z835" s="217"/>
      <c r="AA835" s="481">
        <f>IFERROR(__xludf.DUMMYFUNCTION("""COMPUTED_VALUE"""),55.8)</f>
        <v>55.8</v>
      </c>
      <c r="AB835" s="481">
        <f>IFERROR(__xludf.DUMMYFUNCTION("""COMPUTED_VALUE"""),58.0)</f>
        <v>58</v>
      </c>
      <c r="AC835" s="481">
        <f>IFERROR(__xludf.DUMMYFUNCTION("""COMPUTED_VALUE"""),45.0)</f>
        <v>45</v>
      </c>
      <c r="AD835" s="481">
        <f>IFERROR(__xludf.DUMMYFUNCTION("""COMPUTED_VALUE"""),93.0)</f>
        <v>93</v>
      </c>
      <c r="AE835" s="481">
        <f>IFERROR(__xludf.DUMMYFUNCTION("""COMPUTED_VALUE"""),70.0)</f>
        <v>70</v>
      </c>
      <c r="AF835" s="481"/>
      <c r="AG835" s="481">
        <f>IFERROR(__xludf.DUMMYFUNCTION("""COMPUTED_VALUE"""),40.0)</f>
        <v>40</v>
      </c>
      <c r="AH835" s="481"/>
      <c r="AI835" s="158"/>
      <c r="AJ835" s="158"/>
      <c r="AK835" s="133">
        <f>IFERROR(__xludf.DUMMYFUNCTION("""COMPUTED_VALUE"""),4.0)</f>
        <v>4</v>
      </c>
      <c r="AL835" s="133">
        <f>IFERROR(__xludf.DUMMYFUNCTION("""COMPUTED_VALUE"""),2.0)</f>
        <v>2</v>
      </c>
      <c r="AM835" s="133">
        <f>IFERROR(__xludf.DUMMYFUNCTION("""COMPUTED_VALUE"""),3.0)</f>
        <v>3</v>
      </c>
      <c r="AN835" s="133" t="str">
        <f>IFERROR(__xludf.DUMMYFUNCTION("""COMPUTED_VALUE"""),"3.5")</f>
        <v>3.5</v>
      </c>
      <c r="AO835" s="133">
        <f>IFERROR(__xludf.DUMMYFUNCTION("""COMPUTED_VALUE"""),3.0)</f>
        <v>3</v>
      </c>
      <c r="AP835" s="155" t="s">
        <v>3715</v>
      </c>
    </row>
    <row r="836">
      <c r="A836" s="155">
        <f>IFERROR(__xludf.DUMMYFUNCTION("""COMPUTED_VALUE"""),100.0)</f>
        <v>100</v>
      </c>
      <c r="B836" s="155" t="str">
        <f>IFERROR(__xludf.DUMMYFUNCTION("""COMPUTED_VALUE"""),"ra23ainds@cmrit.ac.in")</f>
        <v>ra23ainds@cmrit.ac.in</v>
      </c>
      <c r="C836" s="174" t="str">
        <f>IFERROR(__xludf.DUMMYFUNCTION("""COMPUTED_VALUE"""),"RAKSHITHA")</f>
        <v>RAKSHITHA</v>
      </c>
      <c r="D836" s="155" t="str">
        <f>IFERROR(__xludf.DUMMYFUNCTION("""COMPUTED_VALUE"""),"1CR23AD100")</f>
        <v>1CR23AD100</v>
      </c>
      <c r="E836" s="563">
        <f>IFERROR(__xludf.DUMMYFUNCTION("""COMPUTED_VALUE"""),7.899617094E9)</f>
        <v>7899617094</v>
      </c>
      <c r="F836" s="155" t="str">
        <f>IFERROR(__xludf.DUMMYFUNCTION("""COMPUTED_VALUE"""),"AIDS")</f>
        <v>AIDS</v>
      </c>
      <c r="G836" s="158"/>
      <c r="H836" s="559">
        <f>IFERROR(__xludf.DUMMYFUNCTION("""COMPUTED_VALUE"""),70.0)</f>
        <v>70</v>
      </c>
      <c r="I836" s="559">
        <f>IFERROR(__xludf.DUMMYFUNCTION("""COMPUTED_VALUE"""),72.0)</f>
        <v>72</v>
      </c>
      <c r="J836" s="559">
        <f>IFERROR(__xludf.DUMMYFUNCTION("""COMPUTED_VALUE"""),70.0)</f>
        <v>70</v>
      </c>
      <c r="K836" s="559">
        <f>IFERROR(__xludf.DUMMYFUNCTION("""COMPUTED_VALUE"""),70.0)</f>
        <v>70</v>
      </c>
      <c r="L836" s="560">
        <f>IFERROR(__xludf.DUMMYFUNCTION("""COMPUTED_VALUE"""),50.0)</f>
        <v>50</v>
      </c>
      <c r="M836" s="561">
        <f>IFERROR(__xludf.DUMMYFUNCTION("""COMPUTED_VALUE"""),13.0)</f>
        <v>13</v>
      </c>
      <c r="N836" s="561">
        <f>IFERROR(__xludf.DUMMYFUNCTION("""COMPUTED_VALUE"""),13.0)</f>
        <v>13</v>
      </c>
      <c r="O836" s="560"/>
      <c r="P836" s="562">
        <f>IFERROR(__xludf.DUMMYFUNCTION("""COMPUTED_VALUE"""),75.0)</f>
        <v>75</v>
      </c>
      <c r="Q836" s="562">
        <f>IFERROR(__xludf.DUMMYFUNCTION("""COMPUTED_VALUE"""),61.0)</f>
        <v>61</v>
      </c>
      <c r="R836" s="562">
        <f>IFERROR(__xludf.DUMMYFUNCTION("""COMPUTED_VALUE"""),89.0)</f>
        <v>89</v>
      </c>
      <c r="S836" s="562"/>
      <c r="T836" s="217">
        <f>IFERROR(__xludf.DUMMYFUNCTION("""COMPUTED_VALUE"""),13.0)</f>
        <v>13</v>
      </c>
      <c r="U836" s="217">
        <f>IFERROR(__xludf.DUMMYFUNCTION("""COMPUTED_VALUE"""),18.0)</f>
        <v>18</v>
      </c>
      <c r="V836" s="217">
        <f>IFERROR(__xludf.DUMMYFUNCTION("""COMPUTED_VALUE"""),80.0)</f>
        <v>80</v>
      </c>
      <c r="W836" s="217">
        <f>IFERROR(__xludf.DUMMYFUNCTION("""COMPUTED_VALUE"""),72.0)</f>
        <v>72</v>
      </c>
      <c r="X836" s="217">
        <f>IFERROR(__xludf.DUMMYFUNCTION("""COMPUTED_VALUE"""),90.0)</f>
        <v>90</v>
      </c>
      <c r="Y836" s="217"/>
      <c r="Z836" s="217"/>
      <c r="AA836" s="481">
        <f>IFERROR(__xludf.DUMMYFUNCTION("""COMPUTED_VALUE"""),94.0)</f>
        <v>94</v>
      </c>
      <c r="AB836" s="481">
        <f>IFERROR(__xludf.DUMMYFUNCTION("""COMPUTED_VALUE"""),90.0)</f>
        <v>90</v>
      </c>
      <c r="AC836" s="481">
        <f>IFERROR(__xludf.DUMMYFUNCTION("""COMPUTED_VALUE"""),64.0)</f>
        <v>64</v>
      </c>
      <c r="AD836" s="481">
        <f>IFERROR(__xludf.DUMMYFUNCTION("""COMPUTED_VALUE"""),2.0)</f>
        <v>2</v>
      </c>
      <c r="AE836" s="481">
        <f>IFERROR(__xludf.DUMMYFUNCTION("""COMPUTED_VALUE"""),12.0)</f>
        <v>12</v>
      </c>
      <c r="AF836" s="481"/>
      <c r="AG836" s="481">
        <f>IFERROR(__xludf.DUMMYFUNCTION("""COMPUTED_VALUE"""),77.0)</f>
        <v>77</v>
      </c>
      <c r="AH836" s="481"/>
      <c r="AI836" s="158"/>
      <c r="AJ836" s="158"/>
      <c r="AK836" s="133">
        <f>IFERROR(__xludf.DUMMYFUNCTION("""COMPUTED_VALUE"""),4.0)</f>
        <v>4</v>
      </c>
      <c r="AL836" s="133">
        <f>IFERROR(__xludf.DUMMYFUNCTION("""COMPUTED_VALUE"""),1.0)</f>
        <v>1</v>
      </c>
      <c r="AM836" s="133">
        <f>IFERROR(__xludf.DUMMYFUNCTION("""COMPUTED_VALUE"""),3.0)</f>
        <v>3</v>
      </c>
      <c r="AN836" s="133" t="str">
        <f>IFERROR(__xludf.DUMMYFUNCTION("""COMPUTED_VALUE"""),"3")</f>
        <v>3</v>
      </c>
      <c r="AO836" s="133">
        <f>IFERROR(__xludf.DUMMYFUNCTION("""COMPUTED_VALUE"""),3.0)</f>
        <v>3</v>
      </c>
      <c r="AP836" s="155" t="s">
        <v>3715</v>
      </c>
    </row>
    <row r="837">
      <c r="A837" s="155">
        <f>IFERROR(__xludf.DUMMYFUNCTION("""COMPUTED_VALUE"""),101.0)</f>
        <v>101</v>
      </c>
      <c r="B837" s="155" t="str">
        <f>IFERROR(__xludf.DUMMYFUNCTION("""COMPUTED_VALUE"""),"righ23ainds@cmrit.ac.in")</f>
        <v>righ23ainds@cmrit.ac.in</v>
      </c>
      <c r="C837" s="174" t="str">
        <f>IFERROR(__xludf.DUMMYFUNCTION("""COMPUTED_VALUE"""),"RIONA GHORUI")</f>
        <v>RIONA GHORUI</v>
      </c>
      <c r="D837" s="155" t="str">
        <f>IFERROR(__xludf.DUMMYFUNCTION("""COMPUTED_VALUE"""),"1CR23AD101")</f>
        <v>1CR23AD101</v>
      </c>
      <c r="E837" s="563">
        <f>IFERROR(__xludf.DUMMYFUNCTION("""COMPUTED_VALUE"""),8.861334834E9)</f>
        <v>8861334834</v>
      </c>
      <c r="F837" s="155" t="str">
        <f>IFERROR(__xludf.DUMMYFUNCTION("""COMPUTED_VALUE"""),"AIDS")</f>
        <v>AIDS</v>
      </c>
      <c r="G837" s="158"/>
      <c r="H837" s="559">
        <f>IFERROR(__xludf.DUMMYFUNCTION("""COMPUTED_VALUE"""),92.0)</f>
        <v>92</v>
      </c>
      <c r="I837" s="559">
        <f>IFERROR(__xludf.DUMMYFUNCTION("""COMPUTED_VALUE"""),92.0)</f>
        <v>92</v>
      </c>
      <c r="J837" s="559">
        <f>IFERROR(__xludf.DUMMYFUNCTION("""COMPUTED_VALUE"""),85.0)</f>
        <v>85</v>
      </c>
      <c r="K837" s="559">
        <f>IFERROR(__xludf.DUMMYFUNCTION("""COMPUTED_VALUE"""),70.0)</f>
        <v>70</v>
      </c>
      <c r="L837" s="560">
        <f>IFERROR(__xludf.DUMMYFUNCTION("""COMPUTED_VALUE"""),50.0)</f>
        <v>50</v>
      </c>
      <c r="M837" s="561">
        <f>IFERROR(__xludf.DUMMYFUNCTION("""COMPUTED_VALUE"""),44.0)</f>
        <v>44</v>
      </c>
      <c r="N837" s="561">
        <f>IFERROR(__xludf.DUMMYFUNCTION("""COMPUTED_VALUE"""),50.0)</f>
        <v>50</v>
      </c>
      <c r="O837" s="560"/>
      <c r="P837" s="562">
        <f>IFERROR(__xludf.DUMMYFUNCTION("""COMPUTED_VALUE"""),75.0)</f>
        <v>75</v>
      </c>
      <c r="Q837" s="562">
        <f>IFERROR(__xludf.DUMMYFUNCTION("""COMPUTED_VALUE"""),73.0)</f>
        <v>73</v>
      </c>
      <c r="R837" s="562">
        <f>IFERROR(__xludf.DUMMYFUNCTION("""COMPUTED_VALUE"""),94.0)</f>
        <v>94</v>
      </c>
      <c r="S837" s="562"/>
      <c r="T837" s="217">
        <f>IFERROR(__xludf.DUMMYFUNCTION("""COMPUTED_VALUE"""),16.0)</f>
        <v>16</v>
      </c>
      <c r="U837" s="217">
        <f>IFERROR(__xludf.DUMMYFUNCTION("""COMPUTED_VALUE"""),19.0)</f>
        <v>19</v>
      </c>
      <c r="V837" s="217">
        <f>IFERROR(__xludf.DUMMYFUNCTION("""COMPUTED_VALUE"""),64.0)</f>
        <v>64</v>
      </c>
      <c r="W837" s="217">
        <f>IFERROR(__xludf.DUMMYFUNCTION("""COMPUTED_VALUE"""),66.0)</f>
        <v>66</v>
      </c>
      <c r="X837" s="217">
        <f>IFERROR(__xludf.DUMMYFUNCTION("""COMPUTED_VALUE"""),62.0)</f>
        <v>62</v>
      </c>
      <c r="Y837" s="217"/>
      <c r="Z837" s="217"/>
      <c r="AA837" s="481">
        <f>IFERROR(__xludf.DUMMYFUNCTION("""COMPUTED_VALUE"""),94.0)</f>
        <v>94</v>
      </c>
      <c r="AB837" s="481">
        <f>IFERROR(__xludf.DUMMYFUNCTION("""COMPUTED_VALUE"""),95.0)</f>
        <v>95</v>
      </c>
      <c r="AC837" s="481">
        <f>IFERROR(__xludf.DUMMYFUNCTION("""COMPUTED_VALUE"""),98.0)</f>
        <v>98</v>
      </c>
      <c r="AD837" s="481">
        <f>IFERROR(__xludf.DUMMYFUNCTION("""COMPUTED_VALUE"""),80.0)</f>
        <v>80</v>
      </c>
      <c r="AE837" s="481">
        <f>IFERROR(__xludf.DUMMYFUNCTION("""COMPUTED_VALUE"""),64.0)</f>
        <v>64</v>
      </c>
      <c r="AF837" s="481"/>
      <c r="AG837" s="481">
        <f>IFERROR(__xludf.DUMMYFUNCTION("""COMPUTED_VALUE"""),71.0)</f>
        <v>71</v>
      </c>
      <c r="AH837" s="481"/>
      <c r="AI837" s="158"/>
      <c r="AJ837" s="158"/>
      <c r="AK837" s="133">
        <f>IFERROR(__xludf.DUMMYFUNCTION("""COMPUTED_VALUE"""),4.0)</f>
        <v>4</v>
      </c>
      <c r="AL837" s="133">
        <f>IFERROR(__xludf.DUMMYFUNCTION("""COMPUTED_VALUE"""),1.0)</f>
        <v>1</v>
      </c>
      <c r="AM837" s="133">
        <f>IFERROR(__xludf.DUMMYFUNCTION("""COMPUTED_VALUE"""),3.0)</f>
        <v>3</v>
      </c>
      <c r="AN837" s="133" t="str">
        <f>IFERROR(__xludf.DUMMYFUNCTION("""COMPUTED_VALUE"""),"3")</f>
        <v>3</v>
      </c>
      <c r="AO837" s="133">
        <f>IFERROR(__xludf.DUMMYFUNCTION("""COMPUTED_VALUE"""),3.0)</f>
        <v>3</v>
      </c>
      <c r="AP837" s="155" t="s">
        <v>3715</v>
      </c>
    </row>
    <row r="838">
      <c r="A838" s="155">
        <f>IFERROR(__xludf.DUMMYFUNCTION("""COMPUTED_VALUE"""),102.0)</f>
        <v>102</v>
      </c>
      <c r="B838" s="155" t="str">
        <f>IFERROR(__xludf.DUMMYFUNCTION("""COMPUTED_VALUE"""),"ripa23ainds@cmrit.ac.in")</f>
        <v>ripa23ainds@cmrit.ac.in</v>
      </c>
      <c r="C838" s="174" t="str">
        <f>IFERROR(__xludf.DUMMYFUNCTION("""COMPUTED_VALUE"""),"Rishi M Patel")</f>
        <v>Rishi M Patel</v>
      </c>
      <c r="D838" s="155" t="str">
        <f>IFERROR(__xludf.DUMMYFUNCTION("""COMPUTED_VALUE"""),"1CR23AD102")</f>
        <v>1CR23AD102</v>
      </c>
      <c r="E838" s="563">
        <f>IFERROR(__xludf.DUMMYFUNCTION("""COMPUTED_VALUE"""),6.361367503E9)</f>
        <v>6361367503</v>
      </c>
      <c r="F838" s="155" t="str">
        <f>IFERROR(__xludf.DUMMYFUNCTION("""COMPUTED_VALUE"""),"AIDS")</f>
        <v>AIDS</v>
      </c>
      <c r="G838" s="158"/>
      <c r="H838" s="559">
        <f>IFERROR(__xludf.DUMMYFUNCTION("""COMPUTED_VALUE"""),70.0)</f>
        <v>70</v>
      </c>
      <c r="I838" s="559">
        <f>IFERROR(__xludf.DUMMYFUNCTION("""COMPUTED_VALUE"""),86.0)</f>
        <v>86</v>
      </c>
      <c r="J838" s="559">
        <f>IFERROR(__xludf.DUMMYFUNCTION("""COMPUTED_VALUE"""),76.0)</f>
        <v>76</v>
      </c>
      <c r="K838" s="559">
        <f>IFERROR(__xludf.DUMMYFUNCTION("""COMPUTED_VALUE"""),73.0)</f>
        <v>73</v>
      </c>
      <c r="L838" s="560">
        <f>IFERROR(__xludf.DUMMYFUNCTION("""COMPUTED_VALUE"""),50.0)</f>
        <v>50</v>
      </c>
      <c r="M838" s="561">
        <f>IFERROR(__xludf.DUMMYFUNCTION("""COMPUTED_VALUE"""),50.0)</f>
        <v>50</v>
      </c>
      <c r="N838" s="561">
        <f>IFERROR(__xludf.DUMMYFUNCTION("""COMPUTED_VALUE"""),24.0)</f>
        <v>24</v>
      </c>
      <c r="O838" s="560"/>
      <c r="P838" s="562">
        <f>IFERROR(__xludf.DUMMYFUNCTION("""COMPUTED_VALUE"""),50.0)</f>
        <v>50</v>
      </c>
      <c r="Q838" s="562">
        <f>IFERROR(__xludf.DUMMYFUNCTION("""COMPUTED_VALUE"""),50.0)</f>
        <v>50</v>
      </c>
      <c r="R838" s="562">
        <f>IFERROR(__xludf.DUMMYFUNCTION("""COMPUTED_VALUE"""),79.0)</f>
        <v>79</v>
      </c>
      <c r="S838" s="562"/>
      <c r="T838" s="217">
        <f>IFERROR(__xludf.DUMMYFUNCTION("""COMPUTED_VALUE"""),12.0)</f>
        <v>12</v>
      </c>
      <c r="U838" s="217">
        <f>IFERROR(__xludf.DUMMYFUNCTION("""COMPUTED_VALUE"""),24.0)</f>
        <v>24</v>
      </c>
      <c r="V838" s="217">
        <f>IFERROR(__xludf.DUMMYFUNCTION("""COMPUTED_VALUE"""),82.0)</f>
        <v>82</v>
      </c>
      <c r="W838" s="217">
        <f>IFERROR(__xludf.DUMMYFUNCTION("""COMPUTED_VALUE"""),68.0)</f>
        <v>68</v>
      </c>
      <c r="X838" s="217">
        <f>IFERROR(__xludf.DUMMYFUNCTION("""COMPUTED_VALUE"""),72.0)</f>
        <v>72</v>
      </c>
      <c r="Y838" s="217"/>
      <c r="Z838" s="217"/>
      <c r="AA838" s="481">
        <f>IFERROR(__xludf.DUMMYFUNCTION("""COMPUTED_VALUE"""),80.0)</f>
        <v>80</v>
      </c>
      <c r="AB838" s="481">
        <f>IFERROR(__xludf.DUMMYFUNCTION("""COMPUTED_VALUE"""),100.0)</f>
        <v>100</v>
      </c>
      <c r="AC838" s="481">
        <f>IFERROR(__xludf.DUMMYFUNCTION("""COMPUTED_VALUE"""),60.0)</f>
        <v>60</v>
      </c>
      <c r="AD838" s="481">
        <f>IFERROR(__xludf.DUMMYFUNCTION("""COMPUTED_VALUE"""),100.0)</f>
        <v>100</v>
      </c>
      <c r="AE838" s="481">
        <f>IFERROR(__xludf.DUMMYFUNCTION("""COMPUTED_VALUE"""),70.0)</f>
        <v>70</v>
      </c>
      <c r="AF838" s="481"/>
      <c r="AG838" s="481">
        <f>IFERROR(__xludf.DUMMYFUNCTION("""COMPUTED_VALUE"""),77.0)</f>
        <v>77</v>
      </c>
      <c r="AH838" s="481"/>
      <c r="AI838" s="158"/>
      <c r="AJ838" s="158"/>
      <c r="AK838" s="133">
        <f>IFERROR(__xludf.DUMMYFUNCTION("""COMPUTED_VALUE"""),4.0)</f>
        <v>4</v>
      </c>
      <c r="AL838" s="133">
        <f>IFERROR(__xludf.DUMMYFUNCTION("""COMPUTED_VALUE"""),2.0)</f>
        <v>2</v>
      </c>
      <c r="AM838" s="133">
        <f>IFERROR(__xludf.DUMMYFUNCTION("""COMPUTED_VALUE"""),3.0)</f>
        <v>3</v>
      </c>
      <c r="AN838" s="133" t="str">
        <f>IFERROR(__xludf.DUMMYFUNCTION("""COMPUTED_VALUE"""),"3.5")</f>
        <v>3.5</v>
      </c>
      <c r="AO838" s="133">
        <f>IFERROR(__xludf.DUMMYFUNCTION("""COMPUTED_VALUE"""),3.0)</f>
        <v>3</v>
      </c>
      <c r="AP838" s="155" t="s">
        <v>3715</v>
      </c>
    </row>
    <row r="839">
      <c r="A839" s="155">
        <f>IFERROR(__xludf.DUMMYFUNCTION("""COMPUTED_VALUE"""),103.0)</f>
        <v>103</v>
      </c>
      <c r="B839" s="155" t="str">
        <f>IFERROR(__xludf.DUMMYFUNCTION("""COMPUTED_VALUE"""),"sbsa23ainds@cmrit.ac.in")</f>
        <v>sbsa23ainds@cmrit.ac.in</v>
      </c>
      <c r="C839" s="174" t="str">
        <f>IFERROR(__xludf.DUMMYFUNCTION("""COMPUTED_VALUE"""),"S B SAMYUKTHA")</f>
        <v>S B SAMYUKTHA</v>
      </c>
      <c r="D839" s="155" t="str">
        <f>IFERROR(__xludf.DUMMYFUNCTION("""COMPUTED_VALUE"""),"1CR23AD103")</f>
        <v>1CR23AD103</v>
      </c>
      <c r="E839" s="563">
        <f>IFERROR(__xludf.DUMMYFUNCTION("""COMPUTED_VALUE"""),8.867526046E9)</f>
        <v>8867526046</v>
      </c>
      <c r="F839" s="155" t="str">
        <f>IFERROR(__xludf.DUMMYFUNCTION("""COMPUTED_VALUE"""),"AIDS")</f>
        <v>AIDS</v>
      </c>
      <c r="G839" s="158"/>
      <c r="H839" s="559">
        <f>IFERROR(__xludf.DUMMYFUNCTION("""COMPUTED_VALUE"""),70.0)</f>
        <v>70</v>
      </c>
      <c r="I839" s="559">
        <f>IFERROR(__xludf.DUMMYFUNCTION("""COMPUTED_VALUE"""),74.0)</f>
        <v>74</v>
      </c>
      <c r="J839" s="559">
        <f>IFERROR(__xludf.DUMMYFUNCTION("""COMPUTED_VALUE"""),75.0)</f>
        <v>75</v>
      </c>
      <c r="K839" s="559">
        <f>IFERROR(__xludf.DUMMYFUNCTION("""COMPUTED_VALUE"""),71.0)</f>
        <v>71</v>
      </c>
      <c r="L839" s="560">
        <f>IFERROR(__xludf.DUMMYFUNCTION("""COMPUTED_VALUE"""),12.0)</f>
        <v>12</v>
      </c>
      <c r="M839" s="561">
        <f>IFERROR(__xludf.DUMMYFUNCTION("""COMPUTED_VALUE"""),22.0)</f>
        <v>22</v>
      </c>
      <c r="N839" s="561">
        <f>IFERROR(__xludf.DUMMYFUNCTION("""COMPUTED_VALUE"""),5.0)</f>
        <v>5</v>
      </c>
      <c r="O839" s="560"/>
      <c r="P839" s="562">
        <f>IFERROR(__xludf.DUMMYFUNCTION("""COMPUTED_VALUE"""),0.0)</f>
        <v>0</v>
      </c>
      <c r="Q839" s="562">
        <f>IFERROR(__xludf.DUMMYFUNCTION("""COMPUTED_VALUE"""),0.0)</f>
        <v>0</v>
      </c>
      <c r="R839" s="562">
        <f>IFERROR(__xludf.DUMMYFUNCTION("""COMPUTED_VALUE"""),0.0)</f>
        <v>0</v>
      </c>
      <c r="S839" s="562"/>
      <c r="T839" s="217">
        <f>IFERROR(__xludf.DUMMYFUNCTION("""COMPUTED_VALUE"""),10.0)</f>
        <v>10</v>
      </c>
      <c r="U839" s="217">
        <f>IFERROR(__xludf.DUMMYFUNCTION("""COMPUTED_VALUE"""),16.0)</f>
        <v>16</v>
      </c>
      <c r="V839" s="217">
        <f>IFERROR(__xludf.DUMMYFUNCTION("""COMPUTED_VALUE"""),66.0)</f>
        <v>66</v>
      </c>
      <c r="W839" s="217">
        <f>IFERROR(__xludf.DUMMYFUNCTION("""COMPUTED_VALUE"""),66.0)</f>
        <v>66</v>
      </c>
      <c r="X839" s="217">
        <f>IFERROR(__xludf.DUMMYFUNCTION("""COMPUTED_VALUE"""),78.0)</f>
        <v>78</v>
      </c>
      <c r="Y839" s="217"/>
      <c r="Z839" s="217"/>
      <c r="AA839" s="481">
        <f>IFERROR(__xludf.DUMMYFUNCTION("""COMPUTED_VALUE"""),66.0)</f>
        <v>66</v>
      </c>
      <c r="AB839" s="481">
        <f>IFERROR(__xludf.DUMMYFUNCTION("""COMPUTED_VALUE"""),75.0)</f>
        <v>75</v>
      </c>
      <c r="AC839" s="481">
        <f>IFERROR(__xludf.DUMMYFUNCTION("""COMPUTED_VALUE"""),54.0)</f>
        <v>54</v>
      </c>
      <c r="AD839" s="481">
        <f>IFERROR(__xludf.DUMMYFUNCTION("""COMPUTED_VALUE"""),42.0)</f>
        <v>42</v>
      </c>
      <c r="AE839" s="481">
        <f>IFERROR(__xludf.DUMMYFUNCTION("""COMPUTED_VALUE"""),10.0)</f>
        <v>10</v>
      </c>
      <c r="AF839" s="481"/>
      <c r="AG839" s="481">
        <f>IFERROR(__xludf.DUMMYFUNCTION("""COMPUTED_VALUE"""),0.0)</f>
        <v>0</v>
      </c>
      <c r="AH839" s="481"/>
      <c r="AI839" s="158"/>
      <c r="AJ839" s="158"/>
      <c r="AK839" s="133">
        <f>IFERROR(__xludf.DUMMYFUNCTION("""COMPUTED_VALUE"""),4.0)</f>
        <v>4</v>
      </c>
      <c r="AL839" s="133">
        <f>IFERROR(__xludf.DUMMYFUNCTION("""COMPUTED_VALUE"""),0.0)</f>
        <v>0</v>
      </c>
      <c r="AM839" s="133">
        <f>IFERROR(__xludf.DUMMYFUNCTION("""COMPUTED_VALUE"""),3.0)</f>
        <v>3</v>
      </c>
      <c r="AN839" s="133" t="str">
        <f>IFERROR(__xludf.DUMMYFUNCTION("""COMPUTED_VALUE"""),"2")</f>
        <v>2</v>
      </c>
      <c r="AO839" s="133">
        <f>IFERROR(__xludf.DUMMYFUNCTION("""COMPUTED_VALUE"""),0.0)</f>
        <v>0</v>
      </c>
      <c r="AP839" s="155" t="s">
        <v>3715</v>
      </c>
    </row>
    <row r="840">
      <c r="A840" s="155">
        <f>IFERROR(__xludf.DUMMYFUNCTION("""COMPUTED_VALUE"""),104.0)</f>
        <v>104</v>
      </c>
      <c r="B840" s="155" t="str">
        <f>IFERROR(__xludf.DUMMYFUNCTION("""COMPUTED_VALUE"""),"sapa23ainds@cmrit.ac.in")</f>
        <v>sapa23ainds@cmrit.ac.in</v>
      </c>
      <c r="C840" s="174" t="str">
        <f>IFERROR(__xludf.DUMMYFUNCTION("""COMPUTED_VALUE"""),"Sagar pandit")</f>
        <v>Sagar pandit</v>
      </c>
      <c r="D840" s="155" t="str">
        <f>IFERROR(__xludf.DUMMYFUNCTION("""COMPUTED_VALUE"""),"1CR23AD104")</f>
        <v>1CR23AD104</v>
      </c>
      <c r="E840" s="563">
        <f>IFERROR(__xludf.DUMMYFUNCTION("""COMPUTED_VALUE"""),9.868310555E9)</f>
        <v>9868310555</v>
      </c>
      <c r="F840" s="155" t="str">
        <f>IFERROR(__xludf.DUMMYFUNCTION("""COMPUTED_VALUE"""),"AIDS")</f>
        <v>AIDS</v>
      </c>
      <c r="G840" s="158"/>
      <c r="H840" s="559">
        <f>IFERROR(__xludf.DUMMYFUNCTION("""COMPUTED_VALUE"""),67.0)</f>
        <v>67</v>
      </c>
      <c r="I840" s="559">
        <f>IFERROR(__xludf.DUMMYFUNCTION("""COMPUTED_VALUE"""),80.0)</f>
        <v>80</v>
      </c>
      <c r="J840" s="559">
        <f>IFERROR(__xludf.DUMMYFUNCTION("""COMPUTED_VALUE"""),22.0)</f>
        <v>22</v>
      </c>
      <c r="K840" s="559">
        <f>IFERROR(__xludf.DUMMYFUNCTION("""COMPUTED_VALUE"""),4.0)</f>
        <v>4</v>
      </c>
      <c r="L840" s="560">
        <f>IFERROR(__xludf.DUMMYFUNCTION("""COMPUTED_VALUE"""),22.0)</f>
        <v>22</v>
      </c>
      <c r="M840" s="561">
        <f>IFERROR(__xludf.DUMMYFUNCTION("""COMPUTED_VALUE"""),0.0)</f>
        <v>0</v>
      </c>
      <c r="N840" s="561">
        <f>IFERROR(__xludf.DUMMYFUNCTION("""COMPUTED_VALUE"""),0.0)</f>
        <v>0</v>
      </c>
      <c r="O840" s="560"/>
      <c r="P840" s="562">
        <f>IFERROR(__xludf.DUMMYFUNCTION("""COMPUTED_VALUE"""),0.0)</f>
        <v>0</v>
      </c>
      <c r="Q840" s="562">
        <f>IFERROR(__xludf.DUMMYFUNCTION("""COMPUTED_VALUE"""),0.0)</f>
        <v>0</v>
      </c>
      <c r="R840" s="562">
        <f>IFERROR(__xludf.DUMMYFUNCTION("""COMPUTED_VALUE"""),0.0)</f>
        <v>0</v>
      </c>
      <c r="S840" s="562"/>
      <c r="T840" s="217">
        <f>IFERROR(__xludf.DUMMYFUNCTION("""COMPUTED_VALUE"""),20.0)</f>
        <v>20</v>
      </c>
      <c r="U840" s="217"/>
      <c r="V840" s="217">
        <f>IFERROR(__xludf.DUMMYFUNCTION("""COMPUTED_VALUE"""),86.0)</f>
        <v>86</v>
      </c>
      <c r="W840" s="217"/>
      <c r="X840" s="217"/>
      <c r="Y840" s="217"/>
      <c r="Z840" s="217"/>
      <c r="AA840" s="481">
        <f>IFERROR(__xludf.DUMMYFUNCTION("""COMPUTED_VALUE"""),0.0)</f>
        <v>0</v>
      </c>
      <c r="AB840" s="481">
        <f>IFERROR(__xludf.DUMMYFUNCTION("""COMPUTED_VALUE"""),58.0)</f>
        <v>58</v>
      </c>
      <c r="AC840" s="481">
        <f>IFERROR(__xludf.DUMMYFUNCTION("""COMPUTED_VALUE"""),0.0)</f>
        <v>0</v>
      </c>
      <c r="AD840" s="481">
        <f>IFERROR(__xludf.DUMMYFUNCTION("""COMPUTED_VALUE"""),0.0)</f>
        <v>0</v>
      </c>
      <c r="AE840" s="481">
        <f>IFERROR(__xludf.DUMMYFUNCTION("""COMPUTED_VALUE"""),10.0)</f>
        <v>10</v>
      </c>
      <c r="AF840" s="481"/>
      <c r="AG840" s="481">
        <f>IFERROR(__xludf.DUMMYFUNCTION("""COMPUTED_VALUE"""),0.0)</f>
        <v>0</v>
      </c>
      <c r="AH840" s="481"/>
      <c r="AI840" s="158"/>
      <c r="AJ840" s="158"/>
      <c r="AK840" s="133">
        <f>IFERROR(__xludf.DUMMYFUNCTION("""COMPUTED_VALUE"""),2.0)</f>
        <v>2</v>
      </c>
      <c r="AL840" s="133">
        <f>IFERROR(__xludf.DUMMYFUNCTION("""COMPUTED_VALUE"""),0.0)</f>
        <v>0</v>
      </c>
      <c r="AM840" s="133">
        <f>IFERROR(__xludf.DUMMYFUNCTION("""COMPUTED_VALUE"""),3.0)</f>
        <v>3</v>
      </c>
      <c r="AN840" s="133" t="str">
        <f>IFERROR(__xludf.DUMMYFUNCTION("""COMPUTED_VALUE"""),"2")</f>
        <v>2</v>
      </c>
      <c r="AO840" s="133">
        <f>IFERROR(__xludf.DUMMYFUNCTION("""COMPUTED_VALUE"""),0.0)</f>
        <v>0</v>
      </c>
      <c r="AP840" s="155" t="s">
        <v>3715</v>
      </c>
    </row>
    <row r="841">
      <c r="A841" s="155">
        <f>IFERROR(__xludf.DUMMYFUNCTION("""COMPUTED_VALUE"""),105.0)</f>
        <v>105</v>
      </c>
      <c r="B841" s="155" t="str">
        <f>IFERROR(__xludf.DUMMYFUNCTION("""COMPUTED_VALUE"""),"saks23ainds@cmrit.ac.in")</f>
        <v>saks23ainds@cmrit.ac.in</v>
      </c>
      <c r="C841" s="174" t="str">
        <f>IFERROR(__xludf.DUMMYFUNCTION("""COMPUTED_VALUE"""),"Sambarika Kshetri ")</f>
        <v>Sambarika Kshetri </v>
      </c>
      <c r="D841" s="155" t="str">
        <f>IFERROR(__xludf.DUMMYFUNCTION("""COMPUTED_VALUE"""),"1CR23AD105")</f>
        <v>1CR23AD105</v>
      </c>
      <c r="E841" s="563">
        <f>IFERROR(__xludf.DUMMYFUNCTION("""COMPUTED_VALUE"""),9.813226633E9)</f>
        <v>9813226633</v>
      </c>
      <c r="F841" s="155" t="str">
        <f>IFERROR(__xludf.DUMMYFUNCTION("""COMPUTED_VALUE"""),"AIDS")</f>
        <v>AIDS</v>
      </c>
      <c r="G841" s="158"/>
      <c r="H841" s="559">
        <f>IFERROR(__xludf.DUMMYFUNCTION("""COMPUTED_VALUE"""),68.0)</f>
        <v>68</v>
      </c>
      <c r="I841" s="559">
        <f>IFERROR(__xludf.DUMMYFUNCTION("""COMPUTED_VALUE"""),81.0)</f>
        <v>81</v>
      </c>
      <c r="J841" s="559">
        <f>IFERROR(__xludf.DUMMYFUNCTION("""COMPUTED_VALUE"""),67.0)</f>
        <v>67</v>
      </c>
      <c r="K841" s="559">
        <f>IFERROR(__xludf.DUMMYFUNCTION("""COMPUTED_VALUE"""),55.0)</f>
        <v>55</v>
      </c>
      <c r="L841" s="560">
        <f>IFERROR(__xludf.DUMMYFUNCTION("""COMPUTED_VALUE"""),10.0)</f>
        <v>10</v>
      </c>
      <c r="M841" s="561">
        <f>IFERROR(__xludf.DUMMYFUNCTION("""COMPUTED_VALUE"""),25.0)</f>
        <v>25</v>
      </c>
      <c r="N841" s="561">
        <f>IFERROR(__xludf.DUMMYFUNCTION("""COMPUTED_VALUE"""),0.0)</f>
        <v>0</v>
      </c>
      <c r="O841" s="560"/>
      <c r="P841" s="562">
        <f>IFERROR(__xludf.DUMMYFUNCTION("""COMPUTED_VALUE"""),0.0)</f>
        <v>0</v>
      </c>
      <c r="Q841" s="562">
        <f>IFERROR(__xludf.DUMMYFUNCTION("""COMPUTED_VALUE"""),0.0)</f>
        <v>0</v>
      </c>
      <c r="R841" s="562">
        <f>IFERROR(__xludf.DUMMYFUNCTION("""COMPUTED_VALUE"""),0.0)</f>
        <v>0</v>
      </c>
      <c r="S841" s="562"/>
      <c r="T841" s="217">
        <f>IFERROR(__xludf.DUMMYFUNCTION("""COMPUTED_VALUE"""),19.0)</f>
        <v>19</v>
      </c>
      <c r="U841" s="217">
        <f>IFERROR(__xludf.DUMMYFUNCTION("""COMPUTED_VALUE"""),23.0)</f>
        <v>23</v>
      </c>
      <c r="V841" s="217">
        <f>IFERROR(__xludf.DUMMYFUNCTION("""COMPUTED_VALUE"""),80.0)</f>
        <v>80</v>
      </c>
      <c r="W841" s="217">
        <f>IFERROR(__xludf.DUMMYFUNCTION("""COMPUTED_VALUE"""),76.0)</f>
        <v>76</v>
      </c>
      <c r="X841" s="217">
        <f>IFERROR(__xludf.DUMMYFUNCTION("""COMPUTED_VALUE"""),84.0)</f>
        <v>84</v>
      </c>
      <c r="Y841" s="217"/>
      <c r="Z841" s="217"/>
      <c r="AA841" s="481"/>
      <c r="AB841" s="481">
        <f>IFERROR(__xludf.DUMMYFUNCTION("""COMPUTED_VALUE"""),100.0)</f>
        <v>100</v>
      </c>
      <c r="AC841" s="481">
        <f>IFERROR(__xludf.DUMMYFUNCTION("""COMPUTED_VALUE"""),0.0)</f>
        <v>0</v>
      </c>
      <c r="AD841" s="481">
        <f>IFERROR(__xludf.DUMMYFUNCTION("""COMPUTED_VALUE"""),0.0)</f>
        <v>0</v>
      </c>
      <c r="AE841" s="481">
        <f>IFERROR(__xludf.DUMMYFUNCTION("""COMPUTED_VALUE"""),10.0)</f>
        <v>10</v>
      </c>
      <c r="AF841" s="481"/>
      <c r="AG841" s="481">
        <f>IFERROR(__xludf.DUMMYFUNCTION("""COMPUTED_VALUE"""),0.0)</f>
        <v>0</v>
      </c>
      <c r="AH841" s="481"/>
      <c r="AI841" s="158"/>
      <c r="AJ841" s="158"/>
      <c r="AK841" s="133">
        <f>IFERROR(__xludf.DUMMYFUNCTION("""COMPUTED_VALUE"""),2.0)</f>
        <v>2</v>
      </c>
      <c r="AL841" s="133">
        <f>IFERROR(__xludf.DUMMYFUNCTION("""COMPUTED_VALUE"""),0.0)</f>
        <v>0</v>
      </c>
      <c r="AM841" s="133">
        <f>IFERROR(__xludf.DUMMYFUNCTION("""COMPUTED_VALUE"""),3.0)</f>
        <v>3</v>
      </c>
      <c r="AN841" s="133" t="str">
        <f>IFERROR(__xludf.DUMMYFUNCTION("""COMPUTED_VALUE"""),"2")</f>
        <v>2</v>
      </c>
      <c r="AO841" s="133">
        <f>IFERROR(__xludf.DUMMYFUNCTION("""COMPUTED_VALUE"""),0.0)</f>
        <v>0</v>
      </c>
      <c r="AP841" s="155" t="s">
        <v>3715</v>
      </c>
    </row>
    <row r="842">
      <c r="A842" s="155">
        <f>IFERROR(__xludf.DUMMYFUNCTION("""COMPUTED_VALUE"""),106.0)</f>
        <v>106</v>
      </c>
      <c r="B842" s="155" t="str">
        <f>IFERROR(__xludf.DUMMYFUNCTION("""COMPUTED_VALUE"""),"saha23ainds@cmrit.ac.in")</f>
        <v>saha23ainds@cmrit.ac.in</v>
      </c>
      <c r="C842" s="174" t="str">
        <f>IFERROR(__xludf.DUMMYFUNCTION("""COMPUTED_VALUE"""),"samridh hada")</f>
        <v>samridh hada</v>
      </c>
      <c r="D842" s="155" t="str">
        <f>IFERROR(__xludf.DUMMYFUNCTION("""COMPUTED_VALUE"""),"1CR23AD106")</f>
        <v>1CR23AD106</v>
      </c>
      <c r="E842" s="563">
        <f>IFERROR(__xludf.DUMMYFUNCTION("""COMPUTED_VALUE"""),9.866290733E9)</f>
        <v>9866290733</v>
      </c>
      <c r="F842" s="155" t="str">
        <f>IFERROR(__xludf.DUMMYFUNCTION("""COMPUTED_VALUE"""),"AIDS")</f>
        <v>AIDS</v>
      </c>
      <c r="G842" s="158"/>
      <c r="H842" s="559">
        <f>IFERROR(__xludf.DUMMYFUNCTION("""COMPUTED_VALUE"""),81.0)</f>
        <v>81</v>
      </c>
      <c r="I842" s="559">
        <f>IFERROR(__xludf.DUMMYFUNCTION("""COMPUTED_VALUE"""),79.0)</f>
        <v>79</v>
      </c>
      <c r="J842" s="559">
        <f>IFERROR(__xludf.DUMMYFUNCTION("""COMPUTED_VALUE"""),81.0)</f>
        <v>81</v>
      </c>
      <c r="K842" s="559">
        <f>IFERROR(__xludf.DUMMYFUNCTION("""COMPUTED_VALUE"""),51.0)</f>
        <v>51</v>
      </c>
      <c r="L842" s="560">
        <f>IFERROR(__xludf.DUMMYFUNCTION("""COMPUTED_VALUE"""),15.0)</f>
        <v>15</v>
      </c>
      <c r="M842" s="561">
        <f>IFERROR(__xludf.DUMMYFUNCTION("""COMPUTED_VALUE"""),16.0)</f>
        <v>16</v>
      </c>
      <c r="N842" s="561">
        <f>IFERROR(__xludf.DUMMYFUNCTION("""COMPUTED_VALUE"""),0.0)</f>
        <v>0</v>
      </c>
      <c r="O842" s="560"/>
      <c r="P842" s="562">
        <f>IFERROR(__xludf.DUMMYFUNCTION("""COMPUTED_VALUE"""),73.0)</f>
        <v>73</v>
      </c>
      <c r="Q842" s="562">
        <f>IFERROR(__xludf.DUMMYFUNCTION("""COMPUTED_VALUE"""),0.0)</f>
        <v>0</v>
      </c>
      <c r="R842" s="562">
        <f>IFERROR(__xludf.DUMMYFUNCTION("""COMPUTED_VALUE"""),0.0)</f>
        <v>0</v>
      </c>
      <c r="S842" s="562"/>
      <c r="T842" s="217">
        <f>IFERROR(__xludf.DUMMYFUNCTION("""COMPUTED_VALUE"""),12.0)</f>
        <v>12</v>
      </c>
      <c r="U842" s="217">
        <f>IFERROR(__xludf.DUMMYFUNCTION("""COMPUTED_VALUE"""),23.0)</f>
        <v>23</v>
      </c>
      <c r="V842" s="217">
        <f>IFERROR(__xludf.DUMMYFUNCTION("""COMPUTED_VALUE"""),94.0)</f>
        <v>94</v>
      </c>
      <c r="W842" s="217">
        <f>IFERROR(__xludf.DUMMYFUNCTION("""COMPUTED_VALUE"""),68.0)</f>
        <v>68</v>
      </c>
      <c r="X842" s="217">
        <f>IFERROR(__xludf.DUMMYFUNCTION("""COMPUTED_VALUE"""),90.0)</f>
        <v>90</v>
      </c>
      <c r="Y842" s="217"/>
      <c r="Z842" s="217"/>
      <c r="AA842" s="481">
        <f>IFERROR(__xludf.DUMMYFUNCTION("""COMPUTED_VALUE"""),80.0)</f>
        <v>80</v>
      </c>
      <c r="AB842" s="481">
        <f>IFERROR(__xludf.DUMMYFUNCTION("""COMPUTED_VALUE"""),60.0)</f>
        <v>60</v>
      </c>
      <c r="AC842" s="481">
        <f>IFERROR(__xludf.DUMMYFUNCTION("""COMPUTED_VALUE"""),0.0)</f>
        <v>0</v>
      </c>
      <c r="AD842" s="481">
        <f>IFERROR(__xludf.DUMMYFUNCTION("""COMPUTED_VALUE"""),0.0)</f>
        <v>0</v>
      </c>
      <c r="AE842" s="481">
        <f>IFERROR(__xludf.DUMMYFUNCTION("""COMPUTED_VALUE"""),10.0)</f>
        <v>10</v>
      </c>
      <c r="AF842" s="481"/>
      <c r="AG842" s="481">
        <f>IFERROR(__xludf.DUMMYFUNCTION("""COMPUTED_VALUE"""),0.0)</f>
        <v>0</v>
      </c>
      <c r="AH842" s="481"/>
      <c r="AI842" s="158"/>
      <c r="AJ842" s="158"/>
      <c r="AK842" s="133">
        <f>IFERROR(__xludf.DUMMYFUNCTION("""COMPUTED_VALUE"""),3.0)</f>
        <v>3</v>
      </c>
      <c r="AL842" s="133">
        <f>IFERROR(__xludf.DUMMYFUNCTION("""COMPUTED_VALUE"""),0.0)</f>
        <v>0</v>
      </c>
      <c r="AM842" s="133">
        <f>IFERROR(__xludf.DUMMYFUNCTION("""COMPUTED_VALUE"""),3.0)</f>
        <v>3</v>
      </c>
      <c r="AN842" s="133" t="str">
        <f>IFERROR(__xludf.DUMMYFUNCTION("""COMPUTED_VALUE"""),"2")</f>
        <v>2</v>
      </c>
      <c r="AO842" s="133">
        <f>IFERROR(__xludf.DUMMYFUNCTION("""COMPUTED_VALUE"""),1.0)</f>
        <v>1</v>
      </c>
      <c r="AP842" s="155" t="s">
        <v>3715</v>
      </c>
    </row>
    <row r="843">
      <c r="A843" s="155">
        <f>IFERROR(__xludf.DUMMYFUNCTION("""COMPUTED_VALUE"""),107.0)</f>
        <v>107</v>
      </c>
      <c r="B843" s="155" t="str">
        <f>IFERROR(__xludf.DUMMYFUNCTION("""COMPUTED_VALUE"""),"same23ainds@cmrit.ac.in")</f>
        <v>same23ainds@cmrit.ac.in</v>
      </c>
      <c r="C843" s="174" t="str">
        <f>IFERROR(__xludf.DUMMYFUNCTION("""COMPUTED_VALUE"""),"Sanisetty Sri Meghana")</f>
        <v>Sanisetty Sri Meghana</v>
      </c>
      <c r="D843" s="155" t="str">
        <f>IFERROR(__xludf.DUMMYFUNCTION("""COMPUTED_VALUE"""),"1CR23AD107")</f>
        <v>1CR23AD107</v>
      </c>
      <c r="E843" s="563">
        <f>IFERROR(__xludf.DUMMYFUNCTION("""COMPUTED_VALUE"""),7.676182502E9)</f>
        <v>7676182502</v>
      </c>
      <c r="F843" s="155" t="str">
        <f>IFERROR(__xludf.DUMMYFUNCTION("""COMPUTED_VALUE"""),"AIDS")</f>
        <v>AIDS</v>
      </c>
      <c r="G843" s="158"/>
      <c r="H843" s="559">
        <f>IFERROR(__xludf.DUMMYFUNCTION("""COMPUTED_VALUE"""),86.0)</f>
        <v>86</v>
      </c>
      <c r="I843" s="559">
        <f>IFERROR(__xludf.DUMMYFUNCTION("""COMPUTED_VALUE"""),88.0)</f>
        <v>88</v>
      </c>
      <c r="J843" s="559">
        <f>IFERROR(__xludf.DUMMYFUNCTION("""COMPUTED_VALUE"""),84.0)</f>
        <v>84</v>
      </c>
      <c r="K843" s="559">
        <f>IFERROR(__xludf.DUMMYFUNCTION("""COMPUTED_VALUE"""),75.0)</f>
        <v>75</v>
      </c>
      <c r="L843" s="560">
        <f>IFERROR(__xludf.DUMMYFUNCTION("""COMPUTED_VALUE"""),58.0)</f>
        <v>58</v>
      </c>
      <c r="M843" s="561">
        <f>IFERROR(__xludf.DUMMYFUNCTION("""COMPUTED_VALUE"""),50.0)</f>
        <v>50</v>
      </c>
      <c r="N843" s="561">
        <f>IFERROR(__xludf.DUMMYFUNCTION("""COMPUTED_VALUE"""),50.0)</f>
        <v>50</v>
      </c>
      <c r="O843" s="560"/>
      <c r="P843" s="562">
        <f>IFERROR(__xludf.DUMMYFUNCTION("""COMPUTED_VALUE"""),85.0)</f>
        <v>85</v>
      </c>
      <c r="Q843" s="562">
        <f>IFERROR(__xludf.DUMMYFUNCTION("""COMPUTED_VALUE"""),61.0)</f>
        <v>61</v>
      </c>
      <c r="R843" s="562">
        <f>IFERROR(__xludf.DUMMYFUNCTION("""COMPUTED_VALUE"""),92.0)</f>
        <v>92</v>
      </c>
      <c r="S843" s="562"/>
      <c r="T843" s="217">
        <f>IFERROR(__xludf.DUMMYFUNCTION("""COMPUTED_VALUE"""),14.0)</f>
        <v>14</v>
      </c>
      <c r="U843" s="217">
        <f>IFERROR(__xludf.DUMMYFUNCTION("""COMPUTED_VALUE"""),23.0)</f>
        <v>23</v>
      </c>
      <c r="V843" s="217">
        <f>IFERROR(__xludf.DUMMYFUNCTION("""COMPUTED_VALUE"""),90.0)</f>
        <v>90</v>
      </c>
      <c r="W843" s="217">
        <f>IFERROR(__xludf.DUMMYFUNCTION("""COMPUTED_VALUE"""),72.0)</f>
        <v>72</v>
      </c>
      <c r="X843" s="217">
        <f>IFERROR(__xludf.DUMMYFUNCTION("""COMPUTED_VALUE"""),84.0)</f>
        <v>84</v>
      </c>
      <c r="Y843" s="217"/>
      <c r="Z843" s="217"/>
      <c r="AA843" s="481">
        <f>IFERROR(__xludf.DUMMYFUNCTION("""COMPUTED_VALUE"""),94.0)</f>
        <v>94</v>
      </c>
      <c r="AB843" s="481">
        <f>IFERROR(__xludf.DUMMYFUNCTION("""COMPUTED_VALUE"""),100.0)</f>
        <v>100</v>
      </c>
      <c r="AC843" s="481">
        <f>IFERROR(__xludf.DUMMYFUNCTION("""COMPUTED_VALUE"""),99.0)</f>
        <v>99</v>
      </c>
      <c r="AD843" s="481">
        <f>IFERROR(__xludf.DUMMYFUNCTION("""COMPUTED_VALUE"""),90.0)</f>
        <v>90</v>
      </c>
      <c r="AE843" s="481">
        <f>IFERROR(__xludf.DUMMYFUNCTION("""COMPUTED_VALUE"""),72.0)</f>
        <v>72</v>
      </c>
      <c r="AF843" s="481"/>
      <c r="AG843" s="481">
        <f>IFERROR(__xludf.DUMMYFUNCTION("""COMPUTED_VALUE"""),87.0)</f>
        <v>87</v>
      </c>
      <c r="AH843" s="481"/>
      <c r="AI843" s="158"/>
      <c r="AJ843" s="158"/>
      <c r="AK843" s="133">
        <f>IFERROR(__xludf.DUMMYFUNCTION("""COMPUTED_VALUE"""),4.0)</f>
        <v>4</v>
      </c>
      <c r="AL843" s="133">
        <f>IFERROR(__xludf.DUMMYFUNCTION("""COMPUTED_VALUE"""),3.0)</f>
        <v>3</v>
      </c>
      <c r="AM843" s="133">
        <f>IFERROR(__xludf.DUMMYFUNCTION("""COMPUTED_VALUE"""),3.0)</f>
        <v>3</v>
      </c>
      <c r="AN843" s="133" t="str">
        <f>IFERROR(__xludf.DUMMYFUNCTION("""COMPUTED_VALUE"""),"3.5")</f>
        <v>3.5</v>
      </c>
      <c r="AO843" s="133">
        <f>IFERROR(__xludf.DUMMYFUNCTION("""COMPUTED_VALUE"""),3.0)</f>
        <v>3</v>
      </c>
      <c r="AP843" s="155" t="s">
        <v>3715</v>
      </c>
    </row>
    <row r="844">
      <c r="A844" s="155">
        <f>IFERROR(__xludf.DUMMYFUNCTION("""COMPUTED_VALUE"""),108.0)</f>
        <v>108</v>
      </c>
      <c r="B844" s="155" t="str">
        <f>IFERROR(__xludf.DUMMYFUNCTION("""COMPUTED_VALUE"""),"sal23ainds@cmrit.ac.in")</f>
        <v>sal23ainds@cmrit.ac.in</v>
      </c>
      <c r="C844" s="174" t="str">
        <f>IFERROR(__xludf.DUMMYFUNCTION("""COMPUTED_VALUE"""),"Sanjana.L")</f>
        <v>Sanjana.L</v>
      </c>
      <c r="D844" s="155" t="str">
        <f>IFERROR(__xludf.DUMMYFUNCTION("""COMPUTED_VALUE"""),"1CR23AD108")</f>
        <v>1CR23AD108</v>
      </c>
      <c r="E844" s="563">
        <f>IFERROR(__xludf.DUMMYFUNCTION("""COMPUTED_VALUE"""),9.63205669E9)</f>
        <v>9632056690</v>
      </c>
      <c r="F844" s="155" t="str">
        <f>IFERROR(__xludf.DUMMYFUNCTION("""COMPUTED_VALUE"""),"AIDS")</f>
        <v>AIDS</v>
      </c>
      <c r="G844" s="158"/>
      <c r="H844" s="559">
        <f>IFERROR(__xludf.DUMMYFUNCTION("""COMPUTED_VALUE"""),82.0)</f>
        <v>82</v>
      </c>
      <c r="I844" s="559">
        <f>IFERROR(__xludf.DUMMYFUNCTION("""COMPUTED_VALUE"""),90.0)</f>
        <v>90</v>
      </c>
      <c r="J844" s="559">
        <f>IFERROR(__xludf.DUMMYFUNCTION("""COMPUTED_VALUE"""),77.0)</f>
        <v>77</v>
      </c>
      <c r="K844" s="559">
        <f>IFERROR(__xludf.DUMMYFUNCTION("""COMPUTED_VALUE"""),84.0)</f>
        <v>84</v>
      </c>
      <c r="L844" s="560">
        <f>IFERROR(__xludf.DUMMYFUNCTION("""COMPUTED_VALUE"""),64.0)</f>
        <v>64</v>
      </c>
      <c r="M844" s="561">
        <f>IFERROR(__xludf.DUMMYFUNCTION("""COMPUTED_VALUE"""),56.0)</f>
        <v>56</v>
      </c>
      <c r="N844" s="561">
        <f>IFERROR(__xludf.DUMMYFUNCTION("""COMPUTED_VALUE"""),54.0)</f>
        <v>54</v>
      </c>
      <c r="O844" s="560"/>
      <c r="P844" s="562">
        <f>IFERROR(__xludf.DUMMYFUNCTION("""COMPUTED_VALUE"""),85.0)</f>
        <v>85</v>
      </c>
      <c r="Q844" s="562">
        <f>IFERROR(__xludf.DUMMYFUNCTION("""COMPUTED_VALUE"""),61.0)</f>
        <v>61</v>
      </c>
      <c r="R844" s="562">
        <f>IFERROR(__xludf.DUMMYFUNCTION("""COMPUTED_VALUE"""),93.0)</f>
        <v>93</v>
      </c>
      <c r="S844" s="562"/>
      <c r="T844" s="217">
        <f>IFERROR(__xludf.DUMMYFUNCTION("""COMPUTED_VALUE"""),15.0)</f>
        <v>15</v>
      </c>
      <c r="U844" s="217">
        <f>IFERROR(__xludf.DUMMYFUNCTION("""COMPUTED_VALUE"""),18.0)</f>
        <v>18</v>
      </c>
      <c r="V844" s="217">
        <f>IFERROR(__xludf.DUMMYFUNCTION("""COMPUTED_VALUE"""),90.0)</f>
        <v>90</v>
      </c>
      <c r="W844" s="217">
        <f>IFERROR(__xludf.DUMMYFUNCTION("""COMPUTED_VALUE"""),72.0)</f>
        <v>72</v>
      </c>
      <c r="X844" s="217">
        <f>IFERROR(__xludf.DUMMYFUNCTION("""COMPUTED_VALUE"""),86.0)</f>
        <v>86</v>
      </c>
      <c r="Y844" s="217"/>
      <c r="Z844" s="217"/>
      <c r="AA844" s="481">
        <f>IFERROR(__xludf.DUMMYFUNCTION("""COMPUTED_VALUE"""),98.0)</f>
        <v>98</v>
      </c>
      <c r="AB844" s="481">
        <f>IFERROR(__xludf.DUMMYFUNCTION("""COMPUTED_VALUE"""),100.0)</f>
        <v>100</v>
      </c>
      <c r="AC844" s="481">
        <f>IFERROR(__xludf.DUMMYFUNCTION("""COMPUTED_VALUE"""),99.0)</f>
        <v>99</v>
      </c>
      <c r="AD844" s="481">
        <f>IFERROR(__xludf.DUMMYFUNCTION("""COMPUTED_VALUE"""),85.0)</f>
        <v>85</v>
      </c>
      <c r="AE844" s="481">
        <f>IFERROR(__xludf.DUMMYFUNCTION("""COMPUTED_VALUE"""),70.0)</f>
        <v>70</v>
      </c>
      <c r="AF844" s="481"/>
      <c r="AG844" s="481">
        <f>IFERROR(__xludf.DUMMYFUNCTION("""COMPUTED_VALUE"""),90.0)</f>
        <v>90</v>
      </c>
      <c r="AH844" s="481"/>
      <c r="AI844" s="158"/>
      <c r="AJ844" s="158"/>
      <c r="AK844" s="133">
        <f>IFERROR(__xludf.DUMMYFUNCTION("""COMPUTED_VALUE"""),4.0)</f>
        <v>4</v>
      </c>
      <c r="AL844" s="133">
        <f>IFERROR(__xludf.DUMMYFUNCTION("""COMPUTED_VALUE"""),3.0)</f>
        <v>3</v>
      </c>
      <c r="AM844" s="133">
        <f>IFERROR(__xludf.DUMMYFUNCTION("""COMPUTED_VALUE"""),3.0)</f>
        <v>3</v>
      </c>
      <c r="AN844" s="133" t="str">
        <f>IFERROR(__xludf.DUMMYFUNCTION("""COMPUTED_VALUE"""),"3.5")</f>
        <v>3.5</v>
      </c>
      <c r="AO844" s="133">
        <f>IFERROR(__xludf.DUMMYFUNCTION("""COMPUTED_VALUE"""),3.0)</f>
        <v>3</v>
      </c>
      <c r="AP844" s="155" t="s">
        <v>3715</v>
      </c>
    </row>
    <row r="845">
      <c r="A845" s="155">
        <f>IFERROR(__xludf.DUMMYFUNCTION("""COMPUTED_VALUE"""),109.0)</f>
        <v>109</v>
      </c>
      <c r="B845" s="155" t="str">
        <f>IFERROR(__xludf.DUMMYFUNCTION("""COMPUTED_VALUE"""),"sana23ainds@cmrit.ac.in")</f>
        <v>sana23ainds@cmrit.ac.in</v>
      </c>
      <c r="C845" s="174" t="str">
        <f>IFERROR(__xludf.DUMMYFUNCTION("""COMPUTED_VALUE"""),"SANJANAA NAGARAJA")</f>
        <v>SANJANAA NAGARAJA</v>
      </c>
      <c r="D845" s="155" t="str">
        <f>IFERROR(__xludf.DUMMYFUNCTION("""COMPUTED_VALUE"""),"1CR23AD109")</f>
        <v>1CR23AD109</v>
      </c>
      <c r="E845" s="563">
        <f>IFERROR(__xludf.DUMMYFUNCTION("""COMPUTED_VALUE"""),6.366583999E9)</f>
        <v>6366583999</v>
      </c>
      <c r="F845" s="155" t="str">
        <f>IFERROR(__xludf.DUMMYFUNCTION("""COMPUTED_VALUE"""),"AIDS")</f>
        <v>AIDS</v>
      </c>
      <c r="G845" s="158"/>
      <c r="H845" s="559">
        <f>IFERROR(__xludf.DUMMYFUNCTION("""COMPUTED_VALUE"""),82.0)</f>
        <v>82</v>
      </c>
      <c r="I845" s="559">
        <f>IFERROR(__xludf.DUMMYFUNCTION("""COMPUTED_VALUE"""),90.0)</f>
        <v>90</v>
      </c>
      <c r="J845" s="559">
        <f>IFERROR(__xludf.DUMMYFUNCTION("""COMPUTED_VALUE"""),79.0)</f>
        <v>79</v>
      </c>
      <c r="K845" s="559">
        <f>IFERROR(__xludf.DUMMYFUNCTION("""COMPUTED_VALUE"""),84.0)</f>
        <v>84</v>
      </c>
      <c r="L845" s="560">
        <f>IFERROR(__xludf.DUMMYFUNCTION("""COMPUTED_VALUE"""),50.0)</f>
        <v>50</v>
      </c>
      <c r="M845" s="561">
        <f>IFERROR(__xludf.DUMMYFUNCTION("""COMPUTED_VALUE"""),50.0)</f>
        <v>50</v>
      </c>
      <c r="N845" s="561">
        <f>IFERROR(__xludf.DUMMYFUNCTION("""COMPUTED_VALUE"""),36.0)</f>
        <v>36</v>
      </c>
      <c r="O845" s="560"/>
      <c r="P845" s="562">
        <f>IFERROR(__xludf.DUMMYFUNCTION("""COMPUTED_VALUE"""),73.0)</f>
        <v>73</v>
      </c>
      <c r="Q845" s="562">
        <f>IFERROR(__xludf.DUMMYFUNCTION("""COMPUTED_VALUE"""),62.0)</f>
        <v>62</v>
      </c>
      <c r="R845" s="562">
        <f>IFERROR(__xludf.DUMMYFUNCTION("""COMPUTED_VALUE"""),92.0)</f>
        <v>92</v>
      </c>
      <c r="S845" s="562"/>
      <c r="T845" s="217">
        <f>IFERROR(__xludf.DUMMYFUNCTION("""COMPUTED_VALUE"""),13.0)</f>
        <v>13</v>
      </c>
      <c r="U845" s="217">
        <f>IFERROR(__xludf.DUMMYFUNCTION("""COMPUTED_VALUE"""),20.0)</f>
        <v>20</v>
      </c>
      <c r="V845" s="217">
        <f>IFERROR(__xludf.DUMMYFUNCTION("""COMPUTED_VALUE"""),70.0)</f>
        <v>70</v>
      </c>
      <c r="W845" s="217">
        <f>IFERROR(__xludf.DUMMYFUNCTION("""COMPUTED_VALUE"""),88.0)</f>
        <v>88</v>
      </c>
      <c r="X845" s="217">
        <f>IFERROR(__xludf.DUMMYFUNCTION("""COMPUTED_VALUE"""),70.0)</f>
        <v>70</v>
      </c>
      <c r="Y845" s="217"/>
      <c r="Z845" s="217"/>
      <c r="AA845" s="481">
        <f>IFERROR(__xludf.DUMMYFUNCTION("""COMPUTED_VALUE"""),83.4)</f>
        <v>83.4</v>
      </c>
      <c r="AB845" s="481">
        <f>IFERROR(__xludf.DUMMYFUNCTION("""COMPUTED_VALUE"""),98.0)</f>
        <v>98</v>
      </c>
      <c r="AC845" s="481">
        <f>IFERROR(__xludf.DUMMYFUNCTION("""COMPUTED_VALUE"""),48.0)</f>
        <v>48</v>
      </c>
      <c r="AD845" s="481">
        <f>IFERROR(__xludf.DUMMYFUNCTION("""COMPUTED_VALUE"""),12.0)</f>
        <v>12</v>
      </c>
      <c r="AE845" s="481">
        <f>IFERROR(__xludf.DUMMYFUNCTION("""COMPUTED_VALUE"""),70.0)</f>
        <v>70</v>
      </c>
      <c r="AF845" s="481"/>
      <c r="AG845" s="481">
        <f>IFERROR(__xludf.DUMMYFUNCTION("""COMPUTED_VALUE"""),82.0)</f>
        <v>82</v>
      </c>
      <c r="AH845" s="481"/>
      <c r="AI845" s="158"/>
      <c r="AJ845" s="158"/>
      <c r="AK845" s="133">
        <f>IFERROR(__xludf.DUMMYFUNCTION("""COMPUTED_VALUE"""),4.0)</f>
        <v>4</v>
      </c>
      <c r="AL845" s="133">
        <f>IFERROR(__xludf.DUMMYFUNCTION("""COMPUTED_VALUE"""),2.0)</f>
        <v>2</v>
      </c>
      <c r="AM845" s="133">
        <f>IFERROR(__xludf.DUMMYFUNCTION("""COMPUTED_VALUE"""),3.0)</f>
        <v>3</v>
      </c>
      <c r="AN845" s="133" t="str">
        <f>IFERROR(__xludf.DUMMYFUNCTION("""COMPUTED_VALUE"""),"2")</f>
        <v>2</v>
      </c>
      <c r="AO845" s="133">
        <f>IFERROR(__xludf.DUMMYFUNCTION("""COMPUTED_VALUE"""),3.0)</f>
        <v>3</v>
      </c>
      <c r="AP845" s="155" t="s">
        <v>3715</v>
      </c>
    </row>
    <row r="846">
      <c r="A846" s="155">
        <f>IFERROR(__xludf.DUMMYFUNCTION("""COMPUTED_VALUE"""),110.0)</f>
        <v>110</v>
      </c>
      <c r="B846" s="155" t="str">
        <f>IFERROR(__xludf.DUMMYFUNCTION("""COMPUTED_VALUE"""),"sabu23ainds@cmrit.ac.in")</f>
        <v>sabu23ainds@cmrit.ac.in</v>
      </c>
      <c r="C846" s="174" t="str">
        <f>IFERROR(__xludf.DUMMYFUNCTION("""COMPUTED_VALUE"""),"Sayara Budhathoki")</f>
        <v>Sayara Budhathoki</v>
      </c>
      <c r="D846" s="155" t="str">
        <f>IFERROR(__xludf.DUMMYFUNCTION("""COMPUTED_VALUE"""),"1CR23AD110")</f>
        <v>1CR23AD110</v>
      </c>
      <c r="E846" s="563">
        <f>IFERROR(__xludf.DUMMYFUNCTION("""COMPUTED_VALUE"""),9.861935559E9)</f>
        <v>9861935559</v>
      </c>
      <c r="F846" s="155" t="str">
        <f>IFERROR(__xludf.DUMMYFUNCTION("""COMPUTED_VALUE"""),"AIDS")</f>
        <v>AIDS</v>
      </c>
      <c r="G846" s="158"/>
      <c r="H846" s="559">
        <f>IFERROR(__xludf.DUMMYFUNCTION("""COMPUTED_VALUE"""),70.0)</f>
        <v>70</v>
      </c>
      <c r="I846" s="559">
        <f>IFERROR(__xludf.DUMMYFUNCTION("""COMPUTED_VALUE"""),90.0)</f>
        <v>90</v>
      </c>
      <c r="J846" s="559">
        <f>IFERROR(__xludf.DUMMYFUNCTION("""COMPUTED_VALUE"""),69.0)</f>
        <v>69</v>
      </c>
      <c r="K846" s="559">
        <f>IFERROR(__xludf.DUMMYFUNCTION("""COMPUTED_VALUE"""),21.0)</f>
        <v>21</v>
      </c>
      <c r="L846" s="560">
        <f>IFERROR(__xludf.DUMMYFUNCTION("""COMPUTED_VALUE"""),19.0)</f>
        <v>19</v>
      </c>
      <c r="M846" s="561">
        <f>IFERROR(__xludf.DUMMYFUNCTION("""COMPUTED_VALUE"""),0.0)</f>
        <v>0</v>
      </c>
      <c r="N846" s="561">
        <f>IFERROR(__xludf.DUMMYFUNCTION("""COMPUTED_VALUE"""),0.0)</f>
        <v>0</v>
      </c>
      <c r="O846" s="560"/>
      <c r="P846" s="562">
        <f>IFERROR(__xludf.DUMMYFUNCTION("""COMPUTED_VALUE"""),85.0)</f>
        <v>85</v>
      </c>
      <c r="Q846" s="562">
        <f>IFERROR(__xludf.DUMMYFUNCTION("""COMPUTED_VALUE"""),0.0)</f>
        <v>0</v>
      </c>
      <c r="R846" s="562">
        <f>IFERROR(__xludf.DUMMYFUNCTION("""COMPUTED_VALUE"""),0.0)</f>
        <v>0</v>
      </c>
      <c r="S846" s="562"/>
      <c r="T846" s="217">
        <f>IFERROR(__xludf.DUMMYFUNCTION("""COMPUTED_VALUE"""),19.0)</f>
        <v>19</v>
      </c>
      <c r="U846" s="217">
        <f>IFERROR(__xludf.DUMMYFUNCTION("""COMPUTED_VALUE"""),22.0)</f>
        <v>22</v>
      </c>
      <c r="V846" s="217">
        <f>IFERROR(__xludf.DUMMYFUNCTION("""COMPUTED_VALUE"""),90.0)</f>
        <v>90</v>
      </c>
      <c r="W846" s="217"/>
      <c r="X846" s="217"/>
      <c r="Y846" s="217"/>
      <c r="Z846" s="217"/>
      <c r="AA846" s="481">
        <f>IFERROR(__xludf.DUMMYFUNCTION("""COMPUTED_VALUE"""),0.0)</f>
        <v>0</v>
      </c>
      <c r="AB846" s="481">
        <f>IFERROR(__xludf.DUMMYFUNCTION("""COMPUTED_VALUE"""),58.0)</f>
        <v>58</v>
      </c>
      <c r="AC846" s="481">
        <f>IFERROR(__xludf.DUMMYFUNCTION("""COMPUTED_VALUE"""),0.0)</f>
        <v>0</v>
      </c>
      <c r="AD846" s="481">
        <f>IFERROR(__xludf.DUMMYFUNCTION("""COMPUTED_VALUE"""),0.0)</f>
        <v>0</v>
      </c>
      <c r="AE846" s="481">
        <f>IFERROR(__xludf.DUMMYFUNCTION("""COMPUTED_VALUE"""),10.0)</f>
        <v>10</v>
      </c>
      <c r="AF846" s="481"/>
      <c r="AG846" s="481">
        <f>IFERROR(__xludf.DUMMYFUNCTION("""COMPUTED_VALUE"""),0.0)</f>
        <v>0</v>
      </c>
      <c r="AH846" s="481"/>
      <c r="AI846" s="158"/>
      <c r="AJ846" s="158"/>
      <c r="AK846" s="133">
        <f>IFERROR(__xludf.DUMMYFUNCTION("""COMPUTED_VALUE"""),2.0)</f>
        <v>2</v>
      </c>
      <c r="AL846" s="133">
        <f>IFERROR(__xludf.DUMMYFUNCTION("""COMPUTED_VALUE"""),0.0)</f>
        <v>0</v>
      </c>
      <c r="AM846" s="133">
        <f>IFERROR(__xludf.DUMMYFUNCTION("""COMPUTED_VALUE"""),2.0)</f>
        <v>2</v>
      </c>
      <c r="AN846" s="133" t="str">
        <f>IFERROR(__xludf.DUMMYFUNCTION("""COMPUTED_VALUE"""),"2")</f>
        <v>2</v>
      </c>
      <c r="AO846" s="133">
        <f>IFERROR(__xludf.DUMMYFUNCTION("""COMPUTED_VALUE"""),1.0)</f>
        <v>1</v>
      </c>
      <c r="AP846" s="155" t="s">
        <v>3715</v>
      </c>
    </row>
    <row r="847">
      <c r="A847" s="155">
        <f>IFERROR(__xludf.DUMMYFUNCTION("""COMPUTED_VALUE"""),111.0)</f>
        <v>111</v>
      </c>
      <c r="B847" s="155" t="str">
        <f>IFERROR(__xludf.DUMMYFUNCTION("""COMPUTED_VALUE"""),"shle23ainds@cmrit.ac.in")</f>
        <v>shle23ainds@cmrit.ac.in</v>
      </c>
      <c r="C847" s="174" t="str">
        <f>IFERROR(__xludf.DUMMYFUNCTION("""COMPUTED_VALUE"""),"Shalwin Joel Lewis")</f>
        <v>Shalwin Joel Lewis</v>
      </c>
      <c r="D847" s="155" t="str">
        <f>IFERROR(__xludf.DUMMYFUNCTION("""COMPUTED_VALUE"""),"1CR23AD111")</f>
        <v>1CR23AD111</v>
      </c>
      <c r="E847" s="563">
        <f>IFERROR(__xludf.DUMMYFUNCTION("""COMPUTED_VALUE"""),8.152024486E9)</f>
        <v>8152024486</v>
      </c>
      <c r="F847" s="155" t="str">
        <f>IFERROR(__xludf.DUMMYFUNCTION("""COMPUTED_VALUE"""),"AIDS")</f>
        <v>AIDS</v>
      </c>
      <c r="G847" s="158"/>
      <c r="H847" s="559">
        <f>IFERROR(__xludf.DUMMYFUNCTION("""COMPUTED_VALUE"""),81.0)</f>
        <v>81</v>
      </c>
      <c r="I847" s="559">
        <f>IFERROR(__xludf.DUMMYFUNCTION("""COMPUTED_VALUE"""),87.0)</f>
        <v>87</v>
      </c>
      <c r="J847" s="559">
        <f>IFERROR(__xludf.DUMMYFUNCTION("""COMPUTED_VALUE"""),72.0)</f>
        <v>72</v>
      </c>
      <c r="K847" s="559">
        <f>IFERROR(__xludf.DUMMYFUNCTION("""COMPUTED_VALUE"""),71.0)</f>
        <v>71</v>
      </c>
      <c r="L847" s="560">
        <f>IFERROR(__xludf.DUMMYFUNCTION("""COMPUTED_VALUE"""),55.0)</f>
        <v>55</v>
      </c>
      <c r="M847" s="561">
        <f>IFERROR(__xludf.DUMMYFUNCTION("""COMPUTED_VALUE"""),52.0)</f>
        <v>52</v>
      </c>
      <c r="N847" s="561">
        <f>IFERROR(__xludf.DUMMYFUNCTION("""COMPUTED_VALUE"""),50.0)</f>
        <v>50</v>
      </c>
      <c r="O847" s="560"/>
      <c r="P847" s="562">
        <f>IFERROR(__xludf.DUMMYFUNCTION("""COMPUTED_VALUE"""),73.0)</f>
        <v>73</v>
      </c>
      <c r="Q847" s="562">
        <f>IFERROR(__xludf.DUMMYFUNCTION("""COMPUTED_VALUE"""),50.0)</f>
        <v>50</v>
      </c>
      <c r="R847" s="562">
        <f>IFERROR(__xludf.DUMMYFUNCTION("""COMPUTED_VALUE"""),79.0)</f>
        <v>79</v>
      </c>
      <c r="S847" s="562"/>
      <c r="T847" s="217">
        <f>IFERROR(__xludf.DUMMYFUNCTION("""COMPUTED_VALUE"""),14.0)</f>
        <v>14</v>
      </c>
      <c r="U847" s="217">
        <f>IFERROR(__xludf.DUMMYFUNCTION("""COMPUTED_VALUE"""),24.0)</f>
        <v>24</v>
      </c>
      <c r="V847" s="217">
        <f>IFERROR(__xludf.DUMMYFUNCTION("""COMPUTED_VALUE"""),82.0)</f>
        <v>82</v>
      </c>
      <c r="W847" s="217">
        <f>IFERROR(__xludf.DUMMYFUNCTION("""COMPUTED_VALUE"""),80.0)</f>
        <v>80</v>
      </c>
      <c r="X847" s="217">
        <f>IFERROR(__xludf.DUMMYFUNCTION("""COMPUTED_VALUE"""),70.0)</f>
        <v>70</v>
      </c>
      <c r="Y847" s="217"/>
      <c r="Z847" s="217"/>
      <c r="AA847" s="481">
        <f>IFERROR(__xludf.DUMMYFUNCTION("""COMPUTED_VALUE"""),10.0)</f>
        <v>10</v>
      </c>
      <c r="AB847" s="481">
        <f>IFERROR(__xludf.DUMMYFUNCTION("""COMPUTED_VALUE"""),100.0)</f>
        <v>100</v>
      </c>
      <c r="AC847" s="481">
        <f>IFERROR(__xludf.DUMMYFUNCTION("""COMPUTED_VALUE"""),82.0)</f>
        <v>82</v>
      </c>
      <c r="AD847" s="481">
        <f>IFERROR(__xludf.DUMMYFUNCTION("""COMPUTED_VALUE"""),100.0)</f>
        <v>100</v>
      </c>
      <c r="AE847" s="481">
        <f>IFERROR(__xludf.DUMMYFUNCTION("""COMPUTED_VALUE"""),70.0)</f>
        <v>70</v>
      </c>
      <c r="AF847" s="481"/>
      <c r="AG847" s="481">
        <f>IFERROR(__xludf.DUMMYFUNCTION("""COMPUTED_VALUE"""),76.0)</f>
        <v>76</v>
      </c>
      <c r="AH847" s="481"/>
      <c r="AI847" s="158"/>
      <c r="AJ847" s="158"/>
      <c r="AK847" s="133">
        <f>IFERROR(__xludf.DUMMYFUNCTION("""COMPUTED_VALUE"""),4.0)</f>
        <v>4</v>
      </c>
      <c r="AL847" s="133">
        <f>IFERROR(__xludf.DUMMYFUNCTION("""COMPUTED_VALUE"""),3.0)</f>
        <v>3</v>
      </c>
      <c r="AM847" s="133">
        <f>IFERROR(__xludf.DUMMYFUNCTION("""COMPUTED_VALUE"""),3.0)</f>
        <v>3</v>
      </c>
      <c r="AN847" s="133" t="str">
        <f>IFERROR(__xludf.DUMMYFUNCTION("""COMPUTED_VALUE"""),"3.5")</f>
        <v>3.5</v>
      </c>
      <c r="AO847" s="133">
        <f>IFERROR(__xludf.DUMMYFUNCTION("""COMPUTED_VALUE"""),3.0)</f>
        <v>3</v>
      </c>
      <c r="AP847" s="155" t="s">
        <v>3715</v>
      </c>
    </row>
    <row r="848">
      <c r="A848" s="155">
        <f>IFERROR(__xludf.DUMMYFUNCTION("""COMPUTED_VALUE"""),112.0)</f>
        <v>112</v>
      </c>
      <c r="B848" s="155" t="str">
        <f>IFERROR(__xludf.DUMMYFUNCTION("""COMPUTED_VALUE"""),"shku23ainds@cmrit.ac.in")</f>
        <v>shku23ainds@cmrit.ac.in</v>
      </c>
      <c r="C848" s="174" t="str">
        <f>IFERROR(__xludf.DUMMYFUNCTION("""COMPUTED_VALUE"""),"SHILPI KUMARI")</f>
        <v>SHILPI KUMARI</v>
      </c>
      <c r="D848" s="155" t="str">
        <f>IFERROR(__xludf.DUMMYFUNCTION("""COMPUTED_VALUE"""),"1CR23AD112")</f>
        <v>1CR23AD112</v>
      </c>
      <c r="E848" s="563">
        <f>IFERROR(__xludf.DUMMYFUNCTION("""COMPUTED_VALUE"""),6.001647102E9)</f>
        <v>6001647102</v>
      </c>
      <c r="F848" s="155" t="str">
        <f>IFERROR(__xludf.DUMMYFUNCTION("""COMPUTED_VALUE"""),"AIDS")</f>
        <v>AIDS</v>
      </c>
      <c r="G848" s="158"/>
      <c r="H848" s="559">
        <f>IFERROR(__xludf.DUMMYFUNCTION("""COMPUTED_VALUE"""),84.0)</f>
        <v>84</v>
      </c>
      <c r="I848" s="559">
        <f>IFERROR(__xludf.DUMMYFUNCTION("""COMPUTED_VALUE"""),90.0)</f>
        <v>90</v>
      </c>
      <c r="J848" s="559">
        <f>IFERROR(__xludf.DUMMYFUNCTION("""COMPUTED_VALUE"""),75.0)</f>
        <v>75</v>
      </c>
      <c r="K848" s="559">
        <f>IFERROR(__xludf.DUMMYFUNCTION("""COMPUTED_VALUE"""),70.0)</f>
        <v>70</v>
      </c>
      <c r="L848" s="560">
        <f>IFERROR(__xludf.DUMMYFUNCTION("""COMPUTED_VALUE"""),58.0)</f>
        <v>58</v>
      </c>
      <c r="M848" s="561">
        <f>IFERROR(__xludf.DUMMYFUNCTION("""COMPUTED_VALUE"""),55.0)</f>
        <v>55</v>
      </c>
      <c r="N848" s="561">
        <f>IFERROR(__xludf.DUMMYFUNCTION("""COMPUTED_VALUE"""),50.0)</f>
        <v>50</v>
      </c>
      <c r="O848" s="560"/>
      <c r="P848" s="562">
        <f>IFERROR(__xludf.DUMMYFUNCTION("""COMPUTED_VALUE"""),80.0)</f>
        <v>80</v>
      </c>
      <c r="Q848" s="562">
        <f>IFERROR(__xludf.DUMMYFUNCTION("""COMPUTED_VALUE"""),89.0)</f>
        <v>89</v>
      </c>
      <c r="R848" s="562">
        <f>IFERROR(__xludf.DUMMYFUNCTION("""COMPUTED_VALUE"""),90.0)</f>
        <v>90</v>
      </c>
      <c r="S848" s="562"/>
      <c r="T848" s="217">
        <f>IFERROR(__xludf.DUMMYFUNCTION("""COMPUTED_VALUE"""),10.0)</f>
        <v>10</v>
      </c>
      <c r="U848" s="217">
        <f>IFERROR(__xludf.DUMMYFUNCTION("""COMPUTED_VALUE"""),24.0)</f>
        <v>24</v>
      </c>
      <c r="V848" s="217">
        <f>IFERROR(__xludf.DUMMYFUNCTION("""COMPUTED_VALUE"""),72.0)</f>
        <v>72</v>
      </c>
      <c r="W848" s="217">
        <f>IFERROR(__xludf.DUMMYFUNCTION("""COMPUTED_VALUE"""),74.0)</f>
        <v>74</v>
      </c>
      <c r="X848" s="217">
        <f>IFERROR(__xludf.DUMMYFUNCTION("""COMPUTED_VALUE"""),84.0)</f>
        <v>84</v>
      </c>
      <c r="Y848" s="217"/>
      <c r="Z848" s="217"/>
      <c r="AA848" s="481">
        <f>IFERROR(__xludf.DUMMYFUNCTION("""COMPUTED_VALUE"""),72.2)</f>
        <v>72.2</v>
      </c>
      <c r="AB848" s="481">
        <f>IFERROR(__xludf.DUMMYFUNCTION("""COMPUTED_VALUE"""),98.0)</f>
        <v>98</v>
      </c>
      <c r="AC848" s="481">
        <f>IFERROR(__xludf.DUMMYFUNCTION("""COMPUTED_VALUE"""),93.0)</f>
        <v>93</v>
      </c>
      <c r="AD848" s="481">
        <f>IFERROR(__xludf.DUMMYFUNCTION("""COMPUTED_VALUE"""),80.0)</f>
        <v>80</v>
      </c>
      <c r="AE848" s="481">
        <f>IFERROR(__xludf.DUMMYFUNCTION("""COMPUTED_VALUE"""),98.0)</f>
        <v>98</v>
      </c>
      <c r="AF848" s="481"/>
      <c r="AG848" s="481">
        <f>IFERROR(__xludf.DUMMYFUNCTION("""COMPUTED_VALUE"""),70.0)</f>
        <v>70</v>
      </c>
      <c r="AH848" s="481"/>
      <c r="AI848" s="158"/>
      <c r="AJ848" s="158"/>
      <c r="AK848" s="133">
        <f>IFERROR(__xludf.DUMMYFUNCTION("""COMPUTED_VALUE"""),4.0)</f>
        <v>4</v>
      </c>
      <c r="AL848" s="133">
        <f>IFERROR(__xludf.DUMMYFUNCTION("""COMPUTED_VALUE"""),3.0)</f>
        <v>3</v>
      </c>
      <c r="AM848" s="133">
        <f>IFERROR(__xludf.DUMMYFUNCTION("""COMPUTED_VALUE"""),3.0)</f>
        <v>3</v>
      </c>
      <c r="AN848" s="133" t="str">
        <f>IFERROR(__xludf.DUMMYFUNCTION("""COMPUTED_VALUE"""),"3.5")</f>
        <v>3.5</v>
      </c>
      <c r="AO848" s="133">
        <f>IFERROR(__xludf.DUMMYFUNCTION("""COMPUTED_VALUE"""),3.0)</f>
        <v>3</v>
      </c>
      <c r="AP848" s="155" t="s">
        <v>3715</v>
      </c>
    </row>
    <row r="849">
      <c r="A849" s="155">
        <f>IFERROR(__xludf.DUMMYFUNCTION("""COMPUTED_VALUE"""),113.0)</f>
        <v>113</v>
      </c>
      <c r="B849" s="155" t="str">
        <f>IFERROR(__xludf.DUMMYFUNCTION("""COMPUTED_VALUE"""),"shkh23ainds@cmrit.ac.in")</f>
        <v>shkh23ainds@cmrit.ac.in</v>
      </c>
      <c r="C849" s="174" t="str">
        <f>IFERROR(__xludf.DUMMYFUNCTION("""COMPUTED_VALUE"""),"Shishir Khanal")</f>
        <v>Shishir Khanal</v>
      </c>
      <c r="D849" s="155" t="str">
        <f>IFERROR(__xludf.DUMMYFUNCTION("""COMPUTED_VALUE"""),"1CR23AD113")</f>
        <v>1CR23AD113</v>
      </c>
      <c r="E849" s="563"/>
      <c r="F849" s="155" t="str">
        <f>IFERROR(__xludf.DUMMYFUNCTION("""COMPUTED_VALUE"""),"AIDS")</f>
        <v>AIDS</v>
      </c>
      <c r="G849" s="158"/>
      <c r="H849" s="559">
        <f>IFERROR(__xludf.DUMMYFUNCTION("""COMPUTED_VALUE"""),74.0)</f>
        <v>74</v>
      </c>
      <c r="I849" s="559">
        <f>IFERROR(__xludf.DUMMYFUNCTION("""COMPUTED_VALUE"""),77.0)</f>
        <v>77</v>
      </c>
      <c r="J849" s="559">
        <f>IFERROR(__xludf.DUMMYFUNCTION("""COMPUTED_VALUE"""),47.0)</f>
        <v>47</v>
      </c>
      <c r="K849" s="559">
        <f>IFERROR(__xludf.DUMMYFUNCTION("""COMPUTED_VALUE"""),49.0)</f>
        <v>49</v>
      </c>
      <c r="L849" s="560">
        <f>IFERROR(__xludf.DUMMYFUNCTION("""COMPUTED_VALUE"""),17.0)</f>
        <v>17</v>
      </c>
      <c r="M849" s="561">
        <f>IFERROR(__xludf.DUMMYFUNCTION("""COMPUTED_VALUE"""),4.0)</f>
        <v>4</v>
      </c>
      <c r="N849" s="561">
        <f>IFERROR(__xludf.DUMMYFUNCTION("""COMPUTED_VALUE"""),0.0)</f>
        <v>0</v>
      </c>
      <c r="O849" s="560"/>
      <c r="P849" s="562">
        <f>IFERROR(__xludf.DUMMYFUNCTION("""COMPUTED_VALUE"""),0.0)</f>
        <v>0</v>
      </c>
      <c r="Q849" s="562">
        <f>IFERROR(__xludf.DUMMYFUNCTION("""COMPUTED_VALUE"""),0.0)</f>
        <v>0</v>
      </c>
      <c r="R849" s="562">
        <f>IFERROR(__xludf.DUMMYFUNCTION("""COMPUTED_VALUE"""),0.0)</f>
        <v>0</v>
      </c>
      <c r="S849" s="562"/>
      <c r="T849" s="217">
        <f>IFERROR(__xludf.DUMMYFUNCTION("""COMPUTED_VALUE"""),17.0)</f>
        <v>17</v>
      </c>
      <c r="U849" s="217">
        <f>IFERROR(__xludf.DUMMYFUNCTION("""COMPUTED_VALUE"""),22.0)</f>
        <v>22</v>
      </c>
      <c r="V849" s="217">
        <f>IFERROR(__xludf.DUMMYFUNCTION("""COMPUTED_VALUE"""),86.0)</f>
        <v>86</v>
      </c>
      <c r="W849" s="217"/>
      <c r="X849" s="217"/>
      <c r="Y849" s="217"/>
      <c r="Z849" s="217"/>
      <c r="AA849" s="481"/>
      <c r="AB849" s="481">
        <f>IFERROR(__xludf.DUMMYFUNCTION("""COMPUTED_VALUE"""),45.0)</f>
        <v>45</v>
      </c>
      <c r="AC849" s="481">
        <f>IFERROR(__xludf.DUMMYFUNCTION("""COMPUTED_VALUE"""),0.0)</f>
        <v>0</v>
      </c>
      <c r="AD849" s="481">
        <f>IFERROR(__xludf.DUMMYFUNCTION("""COMPUTED_VALUE"""),0.0)</f>
        <v>0</v>
      </c>
      <c r="AE849" s="481">
        <f>IFERROR(__xludf.DUMMYFUNCTION("""COMPUTED_VALUE"""),10.0)</f>
        <v>10</v>
      </c>
      <c r="AF849" s="481"/>
      <c r="AG849" s="481">
        <f>IFERROR(__xludf.DUMMYFUNCTION("""COMPUTED_VALUE"""),0.0)</f>
        <v>0</v>
      </c>
      <c r="AH849" s="481"/>
      <c r="AI849" s="158"/>
      <c r="AJ849" s="158"/>
      <c r="AK849" s="133">
        <f>IFERROR(__xludf.DUMMYFUNCTION("""COMPUTED_VALUE"""),2.0)</f>
        <v>2</v>
      </c>
      <c r="AL849" s="133">
        <f>IFERROR(__xludf.DUMMYFUNCTION("""COMPUTED_VALUE"""),0.0)</f>
        <v>0</v>
      </c>
      <c r="AM849" s="133">
        <f>IFERROR(__xludf.DUMMYFUNCTION("""COMPUTED_VALUE"""),3.0)</f>
        <v>3</v>
      </c>
      <c r="AN849" s="133" t="str">
        <f>IFERROR(__xludf.DUMMYFUNCTION("""COMPUTED_VALUE"""),"0")</f>
        <v>0</v>
      </c>
      <c r="AO849" s="133">
        <f>IFERROR(__xludf.DUMMYFUNCTION("""COMPUTED_VALUE"""),0.0)</f>
        <v>0</v>
      </c>
      <c r="AP849" s="155" t="s">
        <v>3715</v>
      </c>
    </row>
    <row r="850">
      <c r="A850" s="155">
        <f>IFERROR(__xludf.DUMMYFUNCTION("""COMPUTED_VALUE"""),114.0)</f>
        <v>114</v>
      </c>
      <c r="B850" s="155" t="str">
        <f>IFERROR(__xludf.DUMMYFUNCTION("""COMPUTED_VALUE"""),"shgu23ainds@cmrit.ac.in")</f>
        <v>shgu23ainds@cmrit.ac.in</v>
      </c>
      <c r="C850" s="174" t="str">
        <f>IFERROR(__xludf.DUMMYFUNCTION("""COMPUTED_VALUE"""),"SHIVA PRASAD RAJU GURUNATHA")</f>
        <v>SHIVA PRASAD RAJU GURUNATHA</v>
      </c>
      <c r="D850" s="155" t="str">
        <f>IFERROR(__xludf.DUMMYFUNCTION("""COMPUTED_VALUE"""),"1CR23AD114")</f>
        <v>1CR23AD114</v>
      </c>
      <c r="E850" s="563">
        <f>IFERROR(__xludf.DUMMYFUNCTION("""COMPUTED_VALUE"""),7.975049173E9)</f>
        <v>7975049173</v>
      </c>
      <c r="F850" s="155" t="str">
        <f>IFERROR(__xludf.DUMMYFUNCTION("""COMPUTED_VALUE"""),"AIDS")</f>
        <v>AIDS</v>
      </c>
      <c r="G850" s="158"/>
      <c r="H850" s="559">
        <f>IFERROR(__xludf.DUMMYFUNCTION("""COMPUTED_VALUE"""),71.0)</f>
        <v>71</v>
      </c>
      <c r="I850" s="559">
        <f>IFERROR(__xludf.DUMMYFUNCTION("""COMPUTED_VALUE"""),90.0)</f>
        <v>90</v>
      </c>
      <c r="J850" s="559">
        <f>IFERROR(__xludf.DUMMYFUNCTION("""COMPUTED_VALUE"""),76.0)</f>
        <v>76</v>
      </c>
      <c r="K850" s="559">
        <f>IFERROR(__xludf.DUMMYFUNCTION("""COMPUTED_VALUE"""),71.0)</f>
        <v>71</v>
      </c>
      <c r="L850" s="560">
        <f>IFERROR(__xludf.DUMMYFUNCTION("""COMPUTED_VALUE"""),53.0)</f>
        <v>53</v>
      </c>
      <c r="M850" s="561">
        <f>IFERROR(__xludf.DUMMYFUNCTION("""COMPUTED_VALUE"""),50.0)</f>
        <v>50</v>
      </c>
      <c r="N850" s="561">
        <f>IFERROR(__xludf.DUMMYFUNCTION("""COMPUTED_VALUE"""),50.0)</f>
        <v>50</v>
      </c>
      <c r="O850" s="560"/>
      <c r="P850" s="562">
        <f>IFERROR(__xludf.DUMMYFUNCTION("""COMPUTED_VALUE"""),75.0)</f>
        <v>75</v>
      </c>
      <c r="Q850" s="562">
        <f>IFERROR(__xludf.DUMMYFUNCTION("""COMPUTED_VALUE"""),50.0)</f>
        <v>50</v>
      </c>
      <c r="R850" s="562">
        <f>IFERROR(__xludf.DUMMYFUNCTION("""COMPUTED_VALUE"""),98.0)</f>
        <v>98</v>
      </c>
      <c r="S850" s="562"/>
      <c r="T850" s="217">
        <f>IFERROR(__xludf.DUMMYFUNCTION("""COMPUTED_VALUE"""),16.0)</f>
        <v>16</v>
      </c>
      <c r="U850" s="217">
        <f>IFERROR(__xludf.DUMMYFUNCTION("""COMPUTED_VALUE"""),24.0)</f>
        <v>24</v>
      </c>
      <c r="V850" s="217">
        <f>IFERROR(__xludf.DUMMYFUNCTION("""COMPUTED_VALUE"""),66.0)</f>
        <v>66</v>
      </c>
      <c r="W850" s="217">
        <f>IFERROR(__xludf.DUMMYFUNCTION("""COMPUTED_VALUE"""),66.0)</f>
        <v>66</v>
      </c>
      <c r="X850" s="217">
        <f>IFERROR(__xludf.DUMMYFUNCTION("""COMPUTED_VALUE"""),82.0)</f>
        <v>82</v>
      </c>
      <c r="Y850" s="217"/>
      <c r="Z850" s="217"/>
      <c r="AA850" s="481">
        <f>IFERROR(__xludf.DUMMYFUNCTION("""COMPUTED_VALUE"""),67.2)</f>
        <v>67.2</v>
      </c>
      <c r="AB850" s="481">
        <f>IFERROR(__xludf.DUMMYFUNCTION("""COMPUTED_VALUE"""),95.0)</f>
        <v>95</v>
      </c>
      <c r="AC850" s="481">
        <f>IFERROR(__xludf.DUMMYFUNCTION("""COMPUTED_VALUE"""),94.0)</f>
        <v>94</v>
      </c>
      <c r="AD850" s="481">
        <f>IFERROR(__xludf.DUMMYFUNCTION("""COMPUTED_VALUE"""),60.0)</f>
        <v>60</v>
      </c>
      <c r="AE850" s="481">
        <f>IFERROR(__xludf.DUMMYFUNCTION("""COMPUTED_VALUE"""),77.0)</f>
        <v>77</v>
      </c>
      <c r="AF850" s="481"/>
      <c r="AG850" s="481">
        <f>IFERROR(__xludf.DUMMYFUNCTION("""COMPUTED_VALUE"""),55.0)</f>
        <v>55</v>
      </c>
      <c r="AH850" s="481"/>
      <c r="AI850" s="158"/>
      <c r="AJ850" s="158"/>
      <c r="AK850" s="133">
        <f>IFERROR(__xludf.DUMMYFUNCTION("""COMPUTED_VALUE"""),4.0)</f>
        <v>4</v>
      </c>
      <c r="AL850" s="133">
        <f>IFERROR(__xludf.DUMMYFUNCTION("""COMPUTED_VALUE"""),3.0)</f>
        <v>3</v>
      </c>
      <c r="AM850" s="133">
        <f>IFERROR(__xludf.DUMMYFUNCTION("""COMPUTED_VALUE"""),3.0)</f>
        <v>3</v>
      </c>
      <c r="AN850" s="133" t="str">
        <f>IFERROR(__xludf.DUMMYFUNCTION("""COMPUTED_VALUE"""),"3.5")</f>
        <v>3.5</v>
      </c>
      <c r="AO850" s="133">
        <f>IFERROR(__xludf.DUMMYFUNCTION("""COMPUTED_VALUE"""),3.0)</f>
        <v>3</v>
      </c>
      <c r="AP850" s="155" t="s">
        <v>3715</v>
      </c>
    </row>
    <row r="851">
      <c r="A851" s="155">
        <f>IFERROR(__xludf.DUMMYFUNCTION("""COMPUTED_VALUE"""),115.0)</f>
        <v>115</v>
      </c>
      <c r="B851" s="155" t="str">
        <f>IFERROR(__xludf.DUMMYFUNCTION("""COMPUTED_VALUE"""),"shpa23ainds@cmrit.ac.in")</f>
        <v>shpa23ainds@cmrit.ac.in</v>
      </c>
      <c r="C851" s="174" t="str">
        <f>IFERROR(__xludf.DUMMYFUNCTION("""COMPUTED_VALUE"""),"Shivam pajiyar")</f>
        <v>Shivam pajiyar</v>
      </c>
      <c r="D851" s="155" t="str">
        <f>IFERROR(__xludf.DUMMYFUNCTION("""COMPUTED_VALUE"""),"1CR23AD115")</f>
        <v>1CR23AD115</v>
      </c>
      <c r="E851" s="563">
        <f>IFERROR(__xludf.DUMMYFUNCTION("""COMPUTED_VALUE"""),7.739867976E9)</f>
        <v>7739867976</v>
      </c>
      <c r="F851" s="155" t="str">
        <f>IFERROR(__xludf.DUMMYFUNCTION("""COMPUTED_VALUE"""),"AIDS")</f>
        <v>AIDS</v>
      </c>
      <c r="G851" s="158"/>
      <c r="H851" s="559">
        <f>IFERROR(__xludf.DUMMYFUNCTION("""COMPUTED_VALUE"""),96.0)</f>
        <v>96</v>
      </c>
      <c r="I851" s="559">
        <f>IFERROR(__xludf.DUMMYFUNCTION("""COMPUTED_VALUE"""),84.0)</f>
        <v>84</v>
      </c>
      <c r="J851" s="559">
        <f>IFERROR(__xludf.DUMMYFUNCTION("""COMPUTED_VALUE"""),28.0)</f>
        <v>28</v>
      </c>
      <c r="K851" s="559">
        <f>IFERROR(__xludf.DUMMYFUNCTION("""COMPUTED_VALUE"""),70.0)</f>
        <v>70</v>
      </c>
      <c r="L851" s="560">
        <f>IFERROR(__xludf.DUMMYFUNCTION("""COMPUTED_VALUE"""),50.0)</f>
        <v>50</v>
      </c>
      <c r="M851" s="561">
        <f>IFERROR(__xludf.DUMMYFUNCTION("""COMPUTED_VALUE"""),11.0)</f>
        <v>11</v>
      </c>
      <c r="N851" s="561">
        <f>IFERROR(__xludf.DUMMYFUNCTION("""COMPUTED_VALUE"""),6.0)</f>
        <v>6</v>
      </c>
      <c r="O851" s="560"/>
      <c r="P851" s="562">
        <f>IFERROR(__xludf.DUMMYFUNCTION("""COMPUTED_VALUE"""),50.0)</f>
        <v>50</v>
      </c>
      <c r="Q851" s="562">
        <f>IFERROR(__xludf.DUMMYFUNCTION("""COMPUTED_VALUE"""),50.0)</f>
        <v>50</v>
      </c>
      <c r="R851" s="562">
        <f>IFERROR(__xludf.DUMMYFUNCTION("""COMPUTED_VALUE"""),50.0)</f>
        <v>50</v>
      </c>
      <c r="S851" s="562"/>
      <c r="T851" s="217">
        <f>IFERROR(__xludf.DUMMYFUNCTION("""COMPUTED_VALUE"""),10.0)</f>
        <v>10</v>
      </c>
      <c r="U851" s="217">
        <f>IFERROR(__xludf.DUMMYFUNCTION("""COMPUTED_VALUE"""),24.0)</f>
        <v>24</v>
      </c>
      <c r="V851" s="217">
        <f>IFERROR(__xludf.DUMMYFUNCTION("""COMPUTED_VALUE"""),80.0)</f>
        <v>80</v>
      </c>
      <c r="W851" s="217">
        <f>IFERROR(__xludf.DUMMYFUNCTION("""COMPUTED_VALUE"""),78.0)</f>
        <v>78</v>
      </c>
      <c r="X851" s="217">
        <f>IFERROR(__xludf.DUMMYFUNCTION("""COMPUTED_VALUE"""),82.0)</f>
        <v>82</v>
      </c>
      <c r="Y851" s="217"/>
      <c r="Z851" s="217"/>
      <c r="AA851" s="481">
        <f>IFERROR(__xludf.DUMMYFUNCTION("""COMPUTED_VALUE"""),0.0)</f>
        <v>0</v>
      </c>
      <c r="AB851" s="481">
        <f>IFERROR(__xludf.DUMMYFUNCTION("""COMPUTED_VALUE"""),65.0)</f>
        <v>65</v>
      </c>
      <c r="AC851" s="481">
        <f>IFERROR(__xludf.DUMMYFUNCTION("""COMPUTED_VALUE"""),70.0)</f>
        <v>70</v>
      </c>
      <c r="AD851" s="481">
        <f>IFERROR(__xludf.DUMMYFUNCTION("""COMPUTED_VALUE"""),100.0)</f>
        <v>100</v>
      </c>
      <c r="AE851" s="481">
        <f>IFERROR(__xludf.DUMMYFUNCTION("""COMPUTED_VALUE"""),40.0)</f>
        <v>40</v>
      </c>
      <c r="AF851" s="481"/>
      <c r="AG851" s="481">
        <f>IFERROR(__xludf.DUMMYFUNCTION("""COMPUTED_VALUE"""),72.0)</f>
        <v>72</v>
      </c>
      <c r="AH851" s="481"/>
      <c r="AI851" s="158"/>
      <c r="AJ851" s="158"/>
      <c r="AK851" s="133">
        <f>IFERROR(__xludf.DUMMYFUNCTION("""COMPUTED_VALUE"""),2.0)</f>
        <v>2</v>
      </c>
      <c r="AL851" s="133">
        <f>IFERROR(__xludf.DUMMYFUNCTION("""COMPUTED_VALUE"""),1.0)</f>
        <v>1</v>
      </c>
      <c r="AM851" s="133">
        <f>IFERROR(__xludf.DUMMYFUNCTION("""COMPUTED_VALUE"""),3.0)</f>
        <v>3</v>
      </c>
      <c r="AN851" s="133" t="str">
        <f>IFERROR(__xludf.DUMMYFUNCTION("""COMPUTED_VALUE"""),"3")</f>
        <v>3</v>
      </c>
      <c r="AO851" s="133">
        <f>IFERROR(__xludf.DUMMYFUNCTION("""COMPUTED_VALUE"""),3.0)</f>
        <v>3</v>
      </c>
      <c r="AP851" s="155" t="s">
        <v>3715</v>
      </c>
    </row>
    <row r="852">
      <c r="A852" s="155">
        <f>IFERROR(__xludf.DUMMYFUNCTION("""COMPUTED_VALUE"""),116.0)</f>
        <v>116</v>
      </c>
      <c r="B852" s="155" t="str">
        <f>IFERROR(__xludf.DUMMYFUNCTION("""COMPUTED_VALUE"""),"shsi23ainds@cmrit.ac.in")</f>
        <v>shsi23ainds@cmrit.ac.in</v>
      </c>
      <c r="C852" s="174" t="str">
        <f>IFERROR(__xludf.DUMMYFUNCTION("""COMPUTED_VALUE"""),"SHREEYA SINGH, D/o Sushil Kumar")</f>
        <v>SHREEYA SINGH, D/o Sushil Kumar</v>
      </c>
      <c r="D852" s="155" t="str">
        <f>IFERROR(__xludf.DUMMYFUNCTION("""COMPUTED_VALUE"""),"1CR23AD116")</f>
        <v>1CR23AD116</v>
      </c>
      <c r="E852" s="563">
        <f>IFERROR(__xludf.DUMMYFUNCTION("""COMPUTED_VALUE"""),9.317286321E9)</f>
        <v>9317286321</v>
      </c>
      <c r="F852" s="155" t="str">
        <f>IFERROR(__xludf.DUMMYFUNCTION("""COMPUTED_VALUE"""),"AIDS")</f>
        <v>AIDS</v>
      </c>
      <c r="G852" s="158"/>
      <c r="H852" s="559">
        <f>IFERROR(__xludf.DUMMYFUNCTION("""COMPUTED_VALUE"""),74.0)</f>
        <v>74</v>
      </c>
      <c r="I852" s="559">
        <f>IFERROR(__xludf.DUMMYFUNCTION("""COMPUTED_VALUE"""),87.0)</f>
        <v>87</v>
      </c>
      <c r="J852" s="559">
        <f>IFERROR(__xludf.DUMMYFUNCTION("""COMPUTED_VALUE"""),70.0)</f>
        <v>70</v>
      </c>
      <c r="K852" s="559">
        <f>IFERROR(__xludf.DUMMYFUNCTION("""COMPUTED_VALUE"""),47.0)</f>
        <v>47</v>
      </c>
      <c r="L852" s="560">
        <f>IFERROR(__xludf.DUMMYFUNCTION("""COMPUTED_VALUE"""),50.0)</f>
        <v>50</v>
      </c>
      <c r="M852" s="561">
        <f>IFERROR(__xludf.DUMMYFUNCTION("""COMPUTED_VALUE"""),37.0)</f>
        <v>37</v>
      </c>
      <c r="N852" s="561">
        <f>IFERROR(__xludf.DUMMYFUNCTION("""COMPUTED_VALUE"""),0.0)</f>
        <v>0</v>
      </c>
      <c r="O852" s="560"/>
      <c r="P852" s="562">
        <f>IFERROR(__xludf.DUMMYFUNCTION("""COMPUTED_VALUE"""),86.0)</f>
        <v>86</v>
      </c>
      <c r="Q852" s="562">
        <f>IFERROR(__xludf.DUMMYFUNCTION("""COMPUTED_VALUE"""),0.0)</f>
        <v>0</v>
      </c>
      <c r="R852" s="562">
        <f>IFERROR(__xludf.DUMMYFUNCTION("""COMPUTED_VALUE"""),0.0)</f>
        <v>0</v>
      </c>
      <c r="S852" s="562"/>
      <c r="T852" s="217">
        <f>IFERROR(__xludf.DUMMYFUNCTION("""COMPUTED_VALUE"""),17.0)</f>
        <v>17</v>
      </c>
      <c r="U852" s="217">
        <f>IFERROR(__xludf.DUMMYFUNCTION("""COMPUTED_VALUE"""),19.0)</f>
        <v>19</v>
      </c>
      <c r="V852" s="217">
        <f>IFERROR(__xludf.DUMMYFUNCTION("""COMPUTED_VALUE"""),82.0)</f>
        <v>82</v>
      </c>
      <c r="W852" s="217"/>
      <c r="X852" s="217">
        <f>IFERROR(__xludf.DUMMYFUNCTION("""COMPUTED_VALUE"""),86.0)</f>
        <v>86</v>
      </c>
      <c r="Y852" s="217"/>
      <c r="Z852" s="217"/>
      <c r="AA852" s="481">
        <f>IFERROR(__xludf.DUMMYFUNCTION("""COMPUTED_VALUE"""),73.8)</f>
        <v>73.8</v>
      </c>
      <c r="AB852" s="481">
        <f>IFERROR(__xludf.DUMMYFUNCTION("""COMPUTED_VALUE"""),75.0)</f>
        <v>75</v>
      </c>
      <c r="AC852" s="481">
        <f>IFERROR(__xludf.DUMMYFUNCTION("""COMPUTED_VALUE"""),93.0)</f>
        <v>93</v>
      </c>
      <c r="AD852" s="481">
        <f>IFERROR(__xludf.DUMMYFUNCTION("""COMPUTED_VALUE"""),34.0)</f>
        <v>34</v>
      </c>
      <c r="AE852" s="481">
        <f>IFERROR(__xludf.DUMMYFUNCTION("""COMPUTED_VALUE"""),10.0)</f>
        <v>10</v>
      </c>
      <c r="AF852" s="481"/>
      <c r="AG852" s="481">
        <f>IFERROR(__xludf.DUMMYFUNCTION("""COMPUTED_VALUE"""),0.0)</f>
        <v>0</v>
      </c>
      <c r="AH852" s="481"/>
      <c r="AI852" s="158"/>
      <c r="AJ852" s="158"/>
      <c r="AK852" s="133">
        <f>IFERROR(__xludf.DUMMYFUNCTION("""COMPUTED_VALUE"""),3.0)</f>
        <v>3</v>
      </c>
      <c r="AL852" s="133">
        <f>IFERROR(__xludf.DUMMYFUNCTION("""COMPUTED_VALUE"""),1.0)</f>
        <v>1</v>
      </c>
      <c r="AM852" s="133">
        <f>IFERROR(__xludf.DUMMYFUNCTION("""COMPUTED_VALUE"""),3.0)</f>
        <v>3</v>
      </c>
      <c r="AN852" s="133" t="str">
        <f>IFERROR(__xludf.DUMMYFUNCTION("""COMPUTED_VALUE"""),"3")</f>
        <v>3</v>
      </c>
      <c r="AO852" s="133">
        <f>IFERROR(__xludf.DUMMYFUNCTION("""COMPUTED_VALUE"""),1.0)</f>
        <v>1</v>
      </c>
      <c r="AP852" s="155" t="s">
        <v>3715</v>
      </c>
    </row>
    <row r="853">
      <c r="A853" s="155">
        <f>IFERROR(__xludf.DUMMYFUNCTION("""COMPUTED_VALUE"""),117.0)</f>
        <v>117</v>
      </c>
      <c r="B853" s="155" t="str">
        <f>IFERROR(__xludf.DUMMYFUNCTION("""COMPUTED_VALUE"""),"shun23ainds@cmrit.ac.in")</f>
        <v>shun23ainds@cmrit.ac.in</v>
      </c>
      <c r="C853" s="174" t="str">
        <f>IFERROR(__xludf.DUMMYFUNCTION("""COMPUTED_VALUE"""),"SHREYA M UNNITHAN")</f>
        <v>SHREYA M UNNITHAN</v>
      </c>
      <c r="D853" s="155" t="str">
        <f>IFERROR(__xludf.DUMMYFUNCTION("""COMPUTED_VALUE"""),"1CR23AD117")</f>
        <v>1CR23AD117</v>
      </c>
      <c r="E853" s="563">
        <f>IFERROR(__xludf.DUMMYFUNCTION("""COMPUTED_VALUE"""),9.611274703E9)</f>
        <v>9611274703</v>
      </c>
      <c r="F853" s="155" t="str">
        <f>IFERROR(__xludf.DUMMYFUNCTION("""COMPUTED_VALUE"""),"AIDS")</f>
        <v>AIDS</v>
      </c>
      <c r="G853" s="158"/>
      <c r="H853" s="559">
        <f>IFERROR(__xludf.DUMMYFUNCTION("""COMPUTED_VALUE"""),82.0)</f>
        <v>82</v>
      </c>
      <c r="I853" s="559">
        <f>IFERROR(__xludf.DUMMYFUNCTION("""COMPUTED_VALUE"""),92.0)</f>
        <v>92</v>
      </c>
      <c r="J853" s="559">
        <f>IFERROR(__xludf.DUMMYFUNCTION("""COMPUTED_VALUE"""),79.0)</f>
        <v>79</v>
      </c>
      <c r="K853" s="559">
        <f>IFERROR(__xludf.DUMMYFUNCTION("""COMPUTED_VALUE"""),83.0)</f>
        <v>83</v>
      </c>
      <c r="L853" s="560">
        <f>IFERROR(__xludf.DUMMYFUNCTION("""COMPUTED_VALUE"""),50.0)</f>
        <v>50</v>
      </c>
      <c r="M853" s="561">
        <f>IFERROR(__xludf.DUMMYFUNCTION("""COMPUTED_VALUE"""),61.0)</f>
        <v>61</v>
      </c>
      <c r="N853" s="561">
        <f>IFERROR(__xludf.DUMMYFUNCTION("""COMPUTED_VALUE"""),52.0)</f>
        <v>52</v>
      </c>
      <c r="O853" s="560"/>
      <c r="P853" s="562">
        <f>IFERROR(__xludf.DUMMYFUNCTION("""COMPUTED_VALUE"""),73.0)</f>
        <v>73</v>
      </c>
      <c r="Q853" s="562">
        <f>IFERROR(__xludf.DUMMYFUNCTION("""COMPUTED_VALUE"""),73.0)</f>
        <v>73</v>
      </c>
      <c r="R853" s="562">
        <f>IFERROR(__xludf.DUMMYFUNCTION("""COMPUTED_VALUE"""),94.0)</f>
        <v>94</v>
      </c>
      <c r="S853" s="562"/>
      <c r="T853" s="217">
        <f>IFERROR(__xludf.DUMMYFUNCTION("""COMPUTED_VALUE"""),16.0)</f>
        <v>16</v>
      </c>
      <c r="U853" s="217">
        <f>IFERROR(__xludf.DUMMYFUNCTION("""COMPUTED_VALUE"""),22.0)</f>
        <v>22</v>
      </c>
      <c r="V853" s="217">
        <f>IFERROR(__xludf.DUMMYFUNCTION("""COMPUTED_VALUE"""),90.0)</f>
        <v>90</v>
      </c>
      <c r="W853" s="217">
        <f>IFERROR(__xludf.DUMMYFUNCTION("""COMPUTED_VALUE"""),78.0)</f>
        <v>78</v>
      </c>
      <c r="X853" s="217">
        <f>IFERROR(__xludf.DUMMYFUNCTION("""COMPUTED_VALUE"""),80.0)</f>
        <v>80</v>
      </c>
      <c r="Y853" s="217"/>
      <c r="Z853" s="217"/>
      <c r="AA853" s="481">
        <f>IFERROR(__xludf.DUMMYFUNCTION("""COMPUTED_VALUE"""),96.2)</f>
        <v>96.2</v>
      </c>
      <c r="AB853" s="481">
        <f>IFERROR(__xludf.DUMMYFUNCTION("""COMPUTED_VALUE"""),100.0)</f>
        <v>100</v>
      </c>
      <c r="AC853" s="481">
        <f>IFERROR(__xludf.DUMMYFUNCTION("""COMPUTED_VALUE"""),89.0)</f>
        <v>89</v>
      </c>
      <c r="AD853" s="481">
        <f>IFERROR(__xludf.DUMMYFUNCTION("""COMPUTED_VALUE"""),75.0)</f>
        <v>75</v>
      </c>
      <c r="AE853" s="481">
        <f>IFERROR(__xludf.DUMMYFUNCTION("""COMPUTED_VALUE"""),70.0)</f>
        <v>70</v>
      </c>
      <c r="AF853" s="481"/>
      <c r="AG853" s="481">
        <f>IFERROR(__xludf.DUMMYFUNCTION("""COMPUTED_VALUE"""),86.0)</f>
        <v>86</v>
      </c>
      <c r="AH853" s="481"/>
      <c r="AI853" s="158"/>
      <c r="AJ853" s="158"/>
      <c r="AK853" s="133">
        <f>IFERROR(__xludf.DUMMYFUNCTION("""COMPUTED_VALUE"""),4.0)</f>
        <v>4</v>
      </c>
      <c r="AL853" s="133">
        <f>IFERROR(__xludf.DUMMYFUNCTION("""COMPUTED_VALUE"""),3.0)</f>
        <v>3</v>
      </c>
      <c r="AM853" s="133">
        <f>IFERROR(__xludf.DUMMYFUNCTION("""COMPUTED_VALUE"""),3.0)</f>
        <v>3</v>
      </c>
      <c r="AN853" s="133" t="str">
        <f>IFERROR(__xludf.DUMMYFUNCTION("""COMPUTED_VALUE"""),"3.5")</f>
        <v>3.5</v>
      </c>
      <c r="AO853" s="133">
        <f>IFERROR(__xludf.DUMMYFUNCTION("""COMPUTED_VALUE"""),3.0)</f>
        <v>3</v>
      </c>
      <c r="AP853" s="155" t="s">
        <v>3715</v>
      </c>
    </row>
    <row r="854">
      <c r="A854" s="155">
        <f>IFERROR(__xludf.DUMMYFUNCTION("""COMPUTED_VALUE"""),118.0)</f>
        <v>118</v>
      </c>
      <c r="B854" s="155" t="str">
        <f>IFERROR(__xludf.DUMMYFUNCTION("""COMPUTED_VALUE"""),"shm23ainds@cmrit.ac.in")</f>
        <v>shm23ainds@cmrit.ac.in</v>
      </c>
      <c r="C854" s="174" t="str">
        <f>IFERROR(__xludf.DUMMYFUNCTION("""COMPUTED_VALUE"""),"Shreya Singh D/o Abhay Singh")</f>
        <v>Shreya Singh D/o Abhay Singh</v>
      </c>
      <c r="D854" s="155" t="str">
        <f>IFERROR(__xludf.DUMMYFUNCTION("""COMPUTED_VALUE"""),"1CR23AD118")</f>
        <v>1CR23AD118</v>
      </c>
      <c r="E854" s="563">
        <f>IFERROR(__xludf.DUMMYFUNCTION("""COMPUTED_VALUE"""),6.203825753E9)</f>
        <v>6203825753</v>
      </c>
      <c r="F854" s="155" t="str">
        <f>IFERROR(__xludf.DUMMYFUNCTION("""COMPUTED_VALUE"""),"AIDS")</f>
        <v>AIDS</v>
      </c>
      <c r="G854" s="158"/>
      <c r="H854" s="559">
        <f>IFERROR(__xludf.DUMMYFUNCTION("""COMPUTED_VALUE"""),87.0)</f>
        <v>87</v>
      </c>
      <c r="I854" s="559">
        <f>IFERROR(__xludf.DUMMYFUNCTION("""COMPUTED_VALUE"""),85.0)</f>
        <v>85</v>
      </c>
      <c r="J854" s="559">
        <f>IFERROR(__xludf.DUMMYFUNCTION("""COMPUTED_VALUE"""),88.0)</f>
        <v>88</v>
      </c>
      <c r="K854" s="559">
        <f>IFERROR(__xludf.DUMMYFUNCTION("""COMPUTED_VALUE"""),77.0)</f>
        <v>77</v>
      </c>
      <c r="L854" s="560">
        <f>IFERROR(__xludf.DUMMYFUNCTION("""COMPUTED_VALUE"""),68.0)</f>
        <v>68</v>
      </c>
      <c r="M854" s="561">
        <f>IFERROR(__xludf.DUMMYFUNCTION("""COMPUTED_VALUE"""),65.0)</f>
        <v>65</v>
      </c>
      <c r="N854" s="561">
        <f>IFERROR(__xludf.DUMMYFUNCTION("""COMPUTED_VALUE"""),50.0)</f>
        <v>50</v>
      </c>
      <c r="O854" s="560"/>
      <c r="P854" s="562">
        <f>IFERROR(__xludf.DUMMYFUNCTION("""COMPUTED_VALUE"""),73.0)</f>
        <v>73</v>
      </c>
      <c r="Q854" s="562">
        <f>IFERROR(__xludf.DUMMYFUNCTION("""COMPUTED_VALUE"""),89.0)</f>
        <v>89</v>
      </c>
      <c r="R854" s="562">
        <f>IFERROR(__xludf.DUMMYFUNCTION("""COMPUTED_VALUE"""),92.0)</f>
        <v>92</v>
      </c>
      <c r="S854" s="562"/>
      <c r="T854" s="217">
        <f>IFERROR(__xludf.DUMMYFUNCTION("""COMPUTED_VALUE"""),15.0)</f>
        <v>15</v>
      </c>
      <c r="U854" s="217">
        <f>IFERROR(__xludf.DUMMYFUNCTION("""COMPUTED_VALUE"""),23.0)</f>
        <v>23</v>
      </c>
      <c r="V854" s="217">
        <f>IFERROR(__xludf.DUMMYFUNCTION("""COMPUTED_VALUE"""),92.0)</f>
        <v>92</v>
      </c>
      <c r="W854" s="217">
        <f>IFERROR(__xludf.DUMMYFUNCTION("""COMPUTED_VALUE"""),80.0)</f>
        <v>80</v>
      </c>
      <c r="X854" s="217">
        <f>IFERROR(__xludf.DUMMYFUNCTION("""COMPUTED_VALUE"""),84.0)</f>
        <v>84</v>
      </c>
      <c r="Y854" s="217"/>
      <c r="Z854" s="217"/>
      <c r="AA854" s="481">
        <f>IFERROR(__xludf.DUMMYFUNCTION("""COMPUTED_VALUE"""),94.0)</f>
        <v>94</v>
      </c>
      <c r="AB854" s="481">
        <f>IFERROR(__xludf.DUMMYFUNCTION("""COMPUTED_VALUE"""),100.0)</f>
        <v>100</v>
      </c>
      <c r="AC854" s="481">
        <f>IFERROR(__xludf.DUMMYFUNCTION("""COMPUTED_VALUE"""),93.0)</f>
        <v>93</v>
      </c>
      <c r="AD854" s="481">
        <f>IFERROR(__xludf.DUMMYFUNCTION("""COMPUTED_VALUE"""),80.0)</f>
        <v>80</v>
      </c>
      <c r="AE854" s="481">
        <f>IFERROR(__xludf.DUMMYFUNCTION("""COMPUTED_VALUE"""),97.0)</f>
        <v>97</v>
      </c>
      <c r="AF854" s="481"/>
      <c r="AG854" s="481">
        <f>IFERROR(__xludf.DUMMYFUNCTION("""COMPUTED_VALUE"""),84.0)</f>
        <v>84</v>
      </c>
      <c r="AH854" s="481"/>
      <c r="AI854" s="158"/>
      <c r="AJ854" s="158"/>
      <c r="AK854" s="133">
        <f>IFERROR(__xludf.DUMMYFUNCTION("""COMPUTED_VALUE"""),4.0)</f>
        <v>4</v>
      </c>
      <c r="AL854" s="133">
        <f>IFERROR(__xludf.DUMMYFUNCTION("""COMPUTED_VALUE"""),3.0)</f>
        <v>3</v>
      </c>
      <c r="AM854" s="133">
        <f>IFERROR(__xludf.DUMMYFUNCTION("""COMPUTED_VALUE"""),3.0)</f>
        <v>3</v>
      </c>
      <c r="AN854" s="133" t="str">
        <f>IFERROR(__xludf.DUMMYFUNCTION("""COMPUTED_VALUE"""),"3.5")</f>
        <v>3.5</v>
      </c>
      <c r="AO854" s="133">
        <f>IFERROR(__xludf.DUMMYFUNCTION("""COMPUTED_VALUE"""),3.0)</f>
        <v>3</v>
      </c>
      <c r="AP854" s="155" t="s">
        <v>3715</v>
      </c>
    </row>
    <row r="855">
      <c r="A855" s="155">
        <f>IFERROR(__xludf.DUMMYFUNCTION("""COMPUTED_VALUE"""),119.0)</f>
        <v>119</v>
      </c>
      <c r="B855" s="155" t="str">
        <f>IFERROR(__xludf.DUMMYFUNCTION("""COMPUTED_VALUE"""),"sin23ainds@cmrit.ac.in")</f>
        <v>sin23ainds@cmrit.ac.in</v>
      </c>
      <c r="C855" s="174" t="str">
        <f>IFERROR(__xludf.DUMMYFUNCTION("""COMPUTED_VALUE"""),"SINDHU")</f>
        <v>SINDHU</v>
      </c>
      <c r="D855" s="155" t="str">
        <f>IFERROR(__xludf.DUMMYFUNCTION("""COMPUTED_VALUE"""),"1CR23AD119")</f>
        <v>1CR23AD119</v>
      </c>
      <c r="E855" s="563">
        <f>IFERROR(__xludf.DUMMYFUNCTION("""COMPUTED_VALUE"""),7.892619769E9)</f>
        <v>7892619769</v>
      </c>
      <c r="F855" s="155" t="str">
        <f>IFERROR(__xludf.DUMMYFUNCTION("""COMPUTED_VALUE"""),"AIDS")</f>
        <v>AIDS</v>
      </c>
      <c r="G855" s="158"/>
      <c r="H855" s="559">
        <f>IFERROR(__xludf.DUMMYFUNCTION("""COMPUTED_VALUE"""),65.0)</f>
        <v>65</v>
      </c>
      <c r="I855" s="559">
        <f>IFERROR(__xludf.DUMMYFUNCTION("""COMPUTED_VALUE"""),74.0)</f>
        <v>74</v>
      </c>
      <c r="J855" s="559">
        <f>IFERROR(__xludf.DUMMYFUNCTION("""COMPUTED_VALUE"""),57.0)</f>
        <v>57</v>
      </c>
      <c r="K855" s="559">
        <f>IFERROR(__xludf.DUMMYFUNCTION("""COMPUTED_VALUE"""),70.0)</f>
        <v>70</v>
      </c>
      <c r="L855" s="560">
        <f>IFERROR(__xludf.DUMMYFUNCTION("""COMPUTED_VALUE"""),50.0)</f>
        <v>50</v>
      </c>
      <c r="M855" s="561">
        <f>IFERROR(__xludf.DUMMYFUNCTION("""COMPUTED_VALUE"""),12.0)</f>
        <v>12</v>
      </c>
      <c r="N855" s="561">
        <f>IFERROR(__xludf.DUMMYFUNCTION("""COMPUTED_VALUE"""),-1.0)</f>
        <v>-1</v>
      </c>
      <c r="O855" s="560"/>
      <c r="P855" s="562">
        <f>IFERROR(__xludf.DUMMYFUNCTION("""COMPUTED_VALUE"""),80.0)</f>
        <v>80</v>
      </c>
      <c r="Q855" s="562">
        <f>IFERROR(__xludf.DUMMYFUNCTION("""COMPUTED_VALUE"""),64.0)</f>
        <v>64</v>
      </c>
      <c r="R855" s="562">
        <f>IFERROR(__xludf.DUMMYFUNCTION("""COMPUTED_VALUE"""),0.0)</f>
        <v>0</v>
      </c>
      <c r="S855" s="562"/>
      <c r="T855" s="217">
        <f>IFERROR(__xludf.DUMMYFUNCTION("""COMPUTED_VALUE"""),21.0)</f>
        <v>21</v>
      </c>
      <c r="U855" s="217">
        <f>IFERROR(__xludf.DUMMYFUNCTION("""COMPUTED_VALUE"""),25.0)</f>
        <v>25</v>
      </c>
      <c r="V855" s="217">
        <f>IFERROR(__xludf.DUMMYFUNCTION("""COMPUTED_VALUE"""),88.0)</f>
        <v>88</v>
      </c>
      <c r="W855" s="217">
        <f>IFERROR(__xludf.DUMMYFUNCTION("""COMPUTED_VALUE"""),78.0)</f>
        <v>78</v>
      </c>
      <c r="X855" s="217">
        <f>IFERROR(__xludf.DUMMYFUNCTION("""COMPUTED_VALUE"""),82.0)</f>
        <v>82</v>
      </c>
      <c r="Y855" s="217"/>
      <c r="Z855" s="217"/>
      <c r="AA855" s="481">
        <f>IFERROR(__xludf.DUMMYFUNCTION("""COMPUTED_VALUE"""),0.0)</f>
        <v>0</v>
      </c>
      <c r="AB855" s="481">
        <f>IFERROR(__xludf.DUMMYFUNCTION("""COMPUTED_VALUE"""),59.0)</f>
        <v>59</v>
      </c>
      <c r="AC855" s="481">
        <f>IFERROR(__xludf.DUMMYFUNCTION("""COMPUTED_VALUE"""),70.0)</f>
        <v>70</v>
      </c>
      <c r="AD855" s="481">
        <f>IFERROR(__xludf.DUMMYFUNCTION("""COMPUTED_VALUE"""),1.0)</f>
        <v>1</v>
      </c>
      <c r="AE855" s="481">
        <f>IFERROR(__xludf.DUMMYFUNCTION("""COMPUTED_VALUE"""),40.0)</f>
        <v>40</v>
      </c>
      <c r="AF855" s="481"/>
      <c r="AG855" s="481">
        <f>IFERROR(__xludf.DUMMYFUNCTION("""COMPUTED_VALUE"""),20.0)</f>
        <v>20</v>
      </c>
      <c r="AH855" s="481"/>
      <c r="AI855" s="158"/>
      <c r="AJ855" s="158"/>
      <c r="AK855" s="133">
        <f>IFERROR(__xludf.DUMMYFUNCTION("""COMPUTED_VALUE"""),2.0)</f>
        <v>2</v>
      </c>
      <c r="AL855" s="133">
        <f>IFERROR(__xludf.DUMMYFUNCTION("""COMPUTED_VALUE"""),1.0)</f>
        <v>1</v>
      </c>
      <c r="AM855" s="133">
        <f>IFERROR(__xludf.DUMMYFUNCTION("""COMPUTED_VALUE"""),3.0)</f>
        <v>3</v>
      </c>
      <c r="AN855" s="133" t="str">
        <f>IFERROR(__xludf.DUMMYFUNCTION("""COMPUTED_VALUE"""),"3")</f>
        <v>3</v>
      </c>
      <c r="AO855" s="133">
        <f>IFERROR(__xludf.DUMMYFUNCTION("""COMPUTED_VALUE"""),2.0)</f>
        <v>2</v>
      </c>
      <c r="AP855" s="155" t="s">
        <v>3715</v>
      </c>
    </row>
    <row r="856">
      <c r="A856" s="155">
        <f>IFERROR(__xludf.DUMMYFUNCTION("""COMPUTED_VALUE"""),120.0)</f>
        <v>120</v>
      </c>
      <c r="B856" s="155" t="str">
        <f>IFERROR(__xludf.DUMMYFUNCTION("""COMPUTED_VALUE"""),"sig23ainds@cmrit.ac.in")</f>
        <v>sig23ainds@cmrit.ac.in</v>
      </c>
      <c r="C856" s="174" t="str">
        <f>IFERROR(__xludf.DUMMYFUNCTION("""COMPUTED_VALUE"""),"SIREESHA G")</f>
        <v>SIREESHA G</v>
      </c>
      <c r="D856" s="155" t="str">
        <f>IFERROR(__xludf.DUMMYFUNCTION("""COMPUTED_VALUE"""),"1CR23AD120")</f>
        <v>1CR23AD120</v>
      </c>
      <c r="E856" s="563">
        <f>IFERROR(__xludf.DUMMYFUNCTION("""COMPUTED_VALUE"""),9.844090706E9)</f>
        <v>9844090706</v>
      </c>
      <c r="F856" s="155" t="str">
        <f>IFERROR(__xludf.DUMMYFUNCTION("""COMPUTED_VALUE"""),"AIDS")</f>
        <v>AIDS</v>
      </c>
      <c r="G856" s="158"/>
      <c r="H856" s="559">
        <f>IFERROR(__xludf.DUMMYFUNCTION("""COMPUTED_VALUE"""),70.0)</f>
        <v>70</v>
      </c>
      <c r="I856" s="559">
        <f>IFERROR(__xludf.DUMMYFUNCTION("""COMPUTED_VALUE"""),71.0)</f>
        <v>71</v>
      </c>
      <c r="J856" s="559">
        <f>IFERROR(__xludf.DUMMYFUNCTION("""COMPUTED_VALUE"""),70.0)</f>
        <v>70</v>
      </c>
      <c r="K856" s="559">
        <f>IFERROR(__xludf.DUMMYFUNCTION("""COMPUTED_VALUE"""),70.0)</f>
        <v>70</v>
      </c>
      <c r="L856" s="560">
        <f>IFERROR(__xludf.DUMMYFUNCTION("""COMPUTED_VALUE"""),50.0)</f>
        <v>50</v>
      </c>
      <c r="M856" s="561">
        <f>IFERROR(__xludf.DUMMYFUNCTION("""COMPUTED_VALUE"""),50.0)</f>
        <v>50</v>
      </c>
      <c r="N856" s="561">
        <f>IFERROR(__xludf.DUMMYFUNCTION("""COMPUTED_VALUE"""),20.0)</f>
        <v>20</v>
      </c>
      <c r="O856" s="560"/>
      <c r="P856" s="562">
        <f>IFERROR(__xludf.DUMMYFUNCTION("""COMPUTED_VALUE"""),50.0)</f>
        <v>50</v>
      </c>
      <c r="Q856" s="562">
        <f>IFERROR(__xludf.DUMMYFUNCTION("""COMPUTED_VALUE"""),61.0)</f>
        <v>61</v>
      </c>
      <c r="R856" s="562">
        <f>IFERROR(__xludf.DUMMYFUNCTION("""COMPUTED_VALUE"""),90.0)</f>
        <v>90</v>
      </c>
      <c r="S856" s="562"/>
      <c r="T856" s="217">
        <f>IFERROR(__xludf.DUMMYFUNCTION("""COMPUTED_VALUE"""),11.0)</f>
        <v>11</v>
      </c>
      <c r="U856" s="217">
        <f>IFERROR(__xludf.DUMMYFUNCTION("""COMPUTED_VALUE"""),21.0)</f>
        <v>21</v>
      </c>
      <c r="V856" s="217">
        <f>IFERROR(__xludf.DUMMYFUNCTION("""COMPUTED_VALUE"""),84.0)</f>
        <v>84</v>
      </c>
      <c r="W856" s="217">
        <f>IFERROR(__xludf.DUMMYFUNCTION("""COMPUTED_VALUE"""),82.0)</f>
        <v>82</v>
      </c>
      <c r="X856" s="217">
        <f>IFERROR(__xludf.DUMMYFUNCTION("""COMPUTED_VALUE"""),84.0)</f>
        <v>84</v>
      </c>
      <c r="Y856" s="217"/>
      <c r="Z856" s="217"/>
      <c r="AA856" s="481">
        <f>IFERROR(__xludf.DUMMYFUNCTION("""COMPUTED_VALUE"""),12.0)</f>
        <v>12</v>
      </c>
      <c r="AB856" s="481">
        <f>IFERROR(__xludf.DUMMYFUNCTION("""COMPUTED_VALUE"""),97.0)</f>
        <v>97</v>
      </c>
      <c r="AC856" s="481">
        <f>IFERROR(__xludf.DUMMYFUNCTION("""COMPUTED_VALUE"""),64.0)</f>
        <v>64</v>
      </c>
      <c r="AD856" s="481">
        <f>IFERROR(__xludf.DUMMYFUNCTION("""COMPUTED_VALUE"""),10.0)</f>
        <v>10</v>
      </c>
      <c r="AE856" s="481">
        <f>IFERROR(__xludf.DUMMYFUNCTION("""COMPUTED_VALUE"""),70.0)</f>
        <v>70</v>
      </c>
      <c r="AF856" s="481"/>
      <c r="AG856" s="481">
        <f>IFERROR(__xludf.DUMMYFUNCTION("""COMPUTED_VALUE"""),78.0)</f>
        <v>78</v>
      </c>
      <c r="AH856" s="481"/>
      <c r="AI856" s="158"/>
      <c r="AJ856" s="158"/>
      <c r="AK856" s="133">
        <f>IFERROR(__xludf.DUMMYFUNCTION("""COMPUTED_VALUE"""),4.0)</f>
        <v>4</v>
      </c>
      <c r="AL856" s="133">
        <f>IFERROR(__xludf.DUMMYFUNCTION("""COMPUTED_VALUE"""),2.0)</f>
        <v>2</v>
      </c>
      <c r="AM856" s="133">
        <f>IFERROR(__xludf.DUMMYFUNCTION("""COMPUTED_VALUE"""),3.0)</f>
        <v>3</v>
      </c>
      <c r="AN856" s="133" t="str">
        <f>IFERROR(__xludf.DUMMYFUNCTION("""COMPUTED_VALUE"""),"3.5")</f>
        <v>3.5</v>
      </c>
      <c r="AO856" s="133">
        <f>IFERROR(__xludf.DUMMYFUNCTION("""COMPUTED_VALUE"""),3.0)</f>
        <v>3</v>
      </c>
      <c r="AP856" s="155" t="s">
        <v>3715</v>
      </c>
    </row>
    <row r="857">
      <c r="A857" s="155">
        <f>IFERROR(__xludf.DUMMYFUNCTION("""COMPUTED_VALUE"""),121.0)</f>
        <v>121</v>
      </c>
      <c r="B857" s="155" t="str">
        <f>IFERROR(__xludf.DUMMYFUNCTION("""COMPUTED_VALUE"""),"sis23ainds@cmrit.ac.in")</f>
        <v>sis23ainds@cmrit.ac.in</v>
      </c>
      <c r="C857" s="174" t="str">
        <f>IFERROR(__xludf.DUMMYFUNCTION("""COMPUTED_VALUE"""),"SIRI S")</f>
        <v>SIRI S</v>
      </c>
      <c r="D857" s="155" t="str">
        <f>IFERROR(__xludf.DUMMYFUNCTION("""COMPUTED_VALUE"""),"1CR23AD121")</f>
        <v>1CR23AD121</v>
      </c>
      <c r="E857" s="563">
        <f>IFERROR(__xludf.DUMMYFUNCTION("""COMPUTED_VALUE"""),9.845611655E9)</f>
        <v>9845611655</v>
      </c>
      <c r="F857" s="155" t="str">
        <f>IFERROR(__xludf.DUMMYFUNCTION("""COMPUTED_VALUE"""),"AIDS")</f>
        <v>AIDS</v>
      </c>
      <c r="G857" s="158"/>
      <c r="H857" s="559">
        <f>IFERROR(__xludf.DUMMYFUNCTION("""COMPUTED_VALUE"""),80.0)</f>
        <v>80</v>
      </c>
      <c r="I857" s="559">
        <f>IFERROR(__xludf.DUMMYFUNCTION("""COMPUTED_VALUE"""),83.0)</f>
        <v>83</v>
      </c>
      <c r="J857" s="559">
        <f>IFERROR(__xludf.DUMMYFUNCTION("""COMPUTED_VALUE"""),70.0)</f>
        <v>70</v>
      </c>
      <c r="K857" s="559">
        <f>IFERROR(__xludf.DUMMYFUNCTION("""COMPUTED_VALUE"""),78.0)</f>
        <v>78</v>
      </c>
      <c r="L857" s="560">
        <f>IFERROR(__xludf.DUMMYFUNCTION("""COMPUTED_VALUE"""),50.0)</f>
        <v>50</v>
      </c>
      <c r="M857" s="561">
        <f>IFERROR(__xludf.DUMMYFUNCTION("""COMPUTED_VALUE"""),24.0)</f>
        <v>24</v>
      </c>
      <c r="N857" s="561">
        <f>IFERROR(__xludf.DUMMYFUNCTION("""COMPUTED_VALUE"""),50.0)</f>
        <v>50</v>
      </c>
      <c r="O857" s="560"/>
      <c r="P857" s="562">
        <f>IFERROR(__xludf.DUMMYFUNCTION("""COMPUTED_VALUE"""),80.0)</f>
        <v>80</v>
      </c>
      <c r="Q857" s="562">
        <f>IFERROR(__xludf.DUMMYFUNCTION("""COMPUTED_VALUE"""),73.0)</f>
        <v>73</v>
      </c>
      <c r="R857" s="562">
        <f>IFERROR(__xludf.DUMMYFUNCTION("""COMPUTED_VALUE"""),91.0)</f>
        <v>91</v>
      </c>
      <c r="S857" s="562"/>
      <c r="T857" s="217">
        <f>IFERROR(__xludf.DUMMYFUNCTION("""COMPUTED_VALUE"""),10.0)</f>
        <v>10</v>
      </c>
      <c r="U857" s="217">
        <f>IFERROR(__xludf.DUMMYFUNCTION("""COMPUTED_VALUE"""),22.0)</f>
        <v>22</v>
      </c>
      <c r="V857" s="217">
        <f>IFERROR(__xludf.DUMMYFUNCTION("""COMPUTED_VALUE"""),76.0)</f>
        <v>76</v>
      </c>
      <c r="W857" s="217">
        <f>IFERROR(__xludf.DUMMYFUNCTION("""COMPUTED_VALUE"""),64.0)</f>
        <v>64</v>
      </c>
      <c r="X857" s="217">
        <f>IFERROR(__xludf.DUMMYFUNCTION("""COMPUTED_VALUE"""),78.0)</f>
        <v>78</v>
      </c>
      <c r="Y857" s="217"/>
      <c r="Z857" s="217"/>
      <c r="AA857" s="481">
        <f>IFERROR(__xludf.DUMMYFUNCTION("""COMPUTED_VALUE"""),16.0)</f>
        <v>16</v>
      </c>
      <c r="AB857" s="481">
        <f>IFERROR(__xludf.DUMMYFUNCTION("""COMPUTED_VALUE"""),85.0)</f>
        <v>85</v>
      </c>
      <c r="AC857" s="481">
        <f>IFERROR(__xludf.DUMMYFUNCTION("""COMPUTED_VALUE"""),67.0)</f>
        <v>67</v>
      </c>
      <c r="AD857" s="481">
        <f>IFERROR(__xludf.DUMMYFUNCTION("""COMPUTED_VALUE"""),13.0)</f>
        <v>13</v>
      </c>
      <c r="AE857" s="481">
        <f>IFERROR(__xludf.DUMMYFUNCTION("""COMPUTED_VALUE"""),20.0)</f>
        <v>20</v>
      </c>
      <c r="AF857" s="481"/>
      <c r="AG857" s="481">
        <f>IFERROR(__xludf.DUMMYFUNCTION("""COMPUTED_VALUE"""),70.0)</f>
        <v>70</v>
      </c>
      <c r="AH857" s="481"/>
      <c r="AI857" s="158"/>
      <c r="AJ857" s="158"/>
      <c r="AK857" s="133">
        <f>IFERROR(__xludf.DUMMYFUNCTION("""COMPUTED_VALUE"""),4.0)</f>
        <v>4</v>
      </c>
      <c r="AL857" s="133">
        <f>IFERROR(__xludf.DUMMYFUNCTION("""COMPUTED_VALUE"""),1.0)</f>
        <v>1</v>
      </c>
      <c r="AM857" s="133">
        <f>IFERROR(__xludf.DUMMYFUNCTION("""COMPUTED_VALUE"""),3.0)</f>
        <v>3</v>
      </c>
      <c r="AN857" s="133" t="str">
        <f>IFERROR(__xludf.DUMMYFUNCTION("""COMPUTED_VALUE"""),"3")</f>
        <v>3</v>
      </c>
      <c r="AO857" s="133">
        <f>IFERROR(__xludf.DUMMYFUNCTION("""COMPUTED_VALUE"""),3.0)</f>
        <v>3</v>
      </c>
      <c r="AP857" s="155" t="s">
        <v>3715</v>
      </c>
    </row>
    <row r="858">
      <c r="A858" s="155">
        <f>IFERROR(__xludf.DUMMYFUNCTION("""COMPUTED_VALUE"""),122.0)</f>
        <v>122</v>
      </c>
      <c r="B858" s="155" t="str">
        <f>IFERROR(__xludf.DUMMYFUNCTION("""COMPUTED_VALUE"""),"sopa23ainds@cmrit.ac.in")</f>
        <v>sopa23ainds@cmrit.ac.in</v>
      </c>
      <c r="C858" s="174" t="str">
        <f>IFERROR(__xludf.DUMMYFUNCTION("""COMPUTED_VALUE"""),"SOWMYA U PAI")</f>
        <v>SOWMYA U PAI</v>
      </c>
      <c r="D858" s="155" t="str">
        <f>IFERROR(__xludf.DUMMYFUNCTION("""COMPUTED_VALUE"""),"1CR23AD122")</f>
        <v>1CR23AD122</v>
      </c>
      <c r="E858" s="563">
        <f>IFERROR(__xludf.DUMMYFUNCTION("""COMPUTED_VALUE"""),8.762086116E9)</f>
        <v>8762086116</v>
      </c>
      <c r="F858" s="155" t="str">
        <f>IFERROR(__xludf.DUMMYFUNCTION("""COMPUTED_VALUE"""),"AIDS")</f>
        <v>AIDS</v>
      </c>
      <c r="G858" s="158"/>
      <c r="H858" s="559">
        <f>IFERROR(__xludf.DUMMYFUNCTION("""COMPUTED_VALUE"""),70.0)</f>
        <v>70</v>
      </c>
      <c r="I858" s="559">
        <f>IFERROR(__xludf.DUMMYFUNCTION("""COMPUTED_VALUE"""),80.0)</f>
        <v>80</v>
      </c>
      <c r="J858" s="559">
        <f>IFERROR(__xludf.DUMMYFUNCTION("""COMPUTED_VALUE"""),77.0)</f>
        <v>77</v>
      </c>
      <c r="K858" s="559">
        <f>IFERROR(__xludf.DUMMYFUNCTION("""COMPUTED_VALUE"""),78.0)</f>
        <v>78</v>
      </c>
      <c r="L858" s="560">
        <f>IFERROR(__xludf.DUMMYFUNCTION("""COMPUTED_VALUE"""),50.0)</f>
        <v>50</v>
      </c>
      <c r="M858" s="561">
        <f>IFERROR(__xludf.DUMMYFUNCTION("""COMPUTED_VALUE"""),33.0)</f>
        <v>33</v>
      </c>
      <c r="N858" s="561">
        <f>IFERROR(__xludf.DUMMYFUNCTION("""COMPUTED_VALUE"""),50.0)</f>
        <v>50</v>
      </c>
      <c r="O858" s="560"/>
      <c r="P858" s="562">
        <f>IFERROR(__xludf.DUMMYFUNCTION("""COMPUTED_VALUE"""),80.0)</f>
        <v>80</v>
      </c>
      <c r="Q858" s="562">
        <f>IFERROR(__xludf.DUMMYFUNCTION("""COMPUTED_VALUE"""),73.0)</f>
        <v>73</v>
      </c>
      <c r="R858" s="562">
        <f>IFERROR(__xludf.DUMMYFUNCTION("""COMPUTED_VALUE"""),92.0)</f>
        <v>92</v>
      </c>
      <c r="S858" s="562"/>
      <c r="T858" s="217">
        <f>IFERROR(__xludf.DUMMYFUNCTION("""COMPUTED_VALUE"""),14.0)</f>
        <v>14</v>
      </c>
      <c r="U858" s="217">
        <f>IFERROR(__xludf.DUMMYFUNCTION("""COMPUTED_VALUE"""),24.0)</f>
        <v>24</v>
      </c>
      <c r="V858" s="217"/>
      <c r="W858" s="217">
        <f>IFERROR(__xludf.DUMMYFUNCTION("""COMPUTED_VALUE"""),76.0)</f>
        <v>76</v>
      </c>
      <c r="X858" s="217">
        <f>IFERROR(__xludf.DUMMYFUNCTION("""COMPUTED_VALUE"""),80.0)</f>
        <v>80</v>
      </c>
      <c r="Y858" s="217"/>
      <c r="Z858" s="217"/>
      <c r="AA858" s="481">
        <f>IFERROR(__xludf.DUMMYFUNCTION("""COMPUTED_VALUE"""),14.0)</f>
        <v>14</v>
      </c>
      <c r="AB858" s="481">
        <f>IFERROR(__xludf.DUMMYFUNCTION("""COMPUTED_VALUE"""),65.0)</f>
        <v>65</v>
      </c>
      <c r="AC858" s="481">
        <f>IFERROR(__xludf.DUMMYFUNCTION("""COMPUTED_VALUE"""),89.0)</f>
        <v>89</v>
      </c>
      <c r="AD858" s="481">
        <f>IFERROR(__xludf.DUMMYFUNCTION("""COMPUTED_VALUE"""),65.0)</f>
        <v>65</v>
      </c>
      <c r="AE858" s="481">
        <f>IFERROR(__xludf.DUMMYFUNCTION("""COMPUTED_VALUE"""),70.0)</f>
        <v>70</v>
      </c>
      <c r="AF858" s="481"/>
      <c r="AG858" s="481">
        <f>IFERROR(__xludf.DUMMYFUNCTION("""COMPUTED_VALUE"""),71.0)</f>
        <v>71</v>
      </c>
      <c r="AH858" s="481"/>
      <c r="AI858" s="158"/>
      <c r="AJ858" s="158"/>
      <c r="AK858" s="133">
        <f>IFERROR(__xludf.DUMMYFUNCTION("""COMPUTED_VALUE"""),4.0)</f>
        <v>4</v>
      </c>
      <c r="AL858" s="133">
        <f>IFERROR(__xludf.DUMMYFUNCTION("""COMPUTED_VALUE"""),1.0)</f>
        <v>1</v>
      </c>
      <c r="AM858" s="133">
        <f>IFERROR(__xludf.DUMMYFUNCTION("""COMPUTED_VALUE"""),3.0)</f>
        <v>3</v>
      </c>
      <c r="AN858" s="133" t="str">
        <f>IFERROR(__xludf.DUMMYFUNCTION("""COMPUTED_VALUE"""),"3.5")</f>
        <v>3.5</v>
      </c>
      <c r="AO858" s="133">
        <f>IFERROR(__xludf.DUMMYFUNCTION("""COMPUTED_VALUE"""),3.0)</f>
        <v>3</v>
      </c>
      <c r="AP858" s="155" t="s">
        <v>3715</v>
      </c>
    </row>
    <row r="859">
      <c r="A859" s="155">
        <f>IFERROR(__xludf.DUMMYFUNCTION("""COMPUTED_VALUE"""),123.0)</f>
        <v>123</v>
      </c>
      <c r="B859" s="155" t="str">
        <f>IFERROR(__xludf.DUMMYFUNCTION("""COMPUTED_VALUE"""),"spg23ainds@cmrit.ac.in")</f>
        <v>spg23ainds@cmrit.ac.in</v>
      </c>
      <c r="C859" s="174" t="str">
        <f>IFERROR(__xludf.DUMMYFUNCTION("""COMPUTED_VALUE"""),"Spandana G ")</f>
        <v>Spandana G </v>
      </c>
      <c r="D859" s="155" t="str">
        <f>IFERROR(__xludf.DUMMYFUNCTION("""COMPUTED_VALUE"""),"1CR23AD123")</f>
        <v>1CR23AD123</v>
      </c>
      <c r="E859" s="563">
        <f>IFERROR(__xludf.DUMMYFUNCTION("""COMPUTED_VALUE"""),8.310910542E9)</f>
        <v>8310910542</v>
      </c>
      <c r="F859" s="155" t="str">
        <f>IFERROR(__xludf.DUMMYFUNCTION("""COMPUTED_VALUE"""),"AIDS")</f>
        <v>AIDS</v>
      </c>
      <c r="G859" s="158"/>
      <c r="H859" s="559">
        <f>IFERROR(__xludf.DUMMYFUNCTION("""COMPUTED_VALUE"""),62.0)</f>
        <v>62</v>
      </c>
      <c r="I859" s="559">
        <f>IFERROR(__xludf.DUMMYFUNCTION("""COMPUTED_VALUE"""),63.0)</f>
        <v>63</v>
      </c>
      <c r="J859" s="559">
        <f>IFERROR(__xludf.DUMMYFUNCTION("""COMPUTED_VALUE"""),38.0)</f>
        <v>38</v>
      </c>
      <c r="K859" s="559">
        <f>IFERROR(__xludf.DUMMYFUNCTION("""COMPUTED_VALUE"""),70.0)</f>
        <v>70</v>
      </c>
      <c r="L859" s="560">
        <f>IFERROR(__xludf.DUMMYFUNCTION("""COMPUTED_VALUE"""),13.0)</f>
        <v>13</v>
      </c>
      <c r="M859" s="561">
        <f>IFERROR(__xludf.DUMMYFUNCTION("""COMPUTED_VALUE"""),0.0)</f>
        <v>0</v>
      </c>
      <c r="N859" s="561">
        <f>IFERROR(__xludf.DUMMYFUNCTION("""COMPUTED_VALUE"""),0.0)</f>
        <v>0</v>
      </c>
      <c r="O859" s="560"/>
      <c r="P859" s="562">
        <f>IFERROR(__xludf.DUMMYFUNCTION("""COMPUTED_VALUE"""),0.0)</f>
        <v>0</v>
      </c>
      <c r="Q859" s="562">
        <f>IFERROR(__xludf.DUMMYFUNCTION("""COMPUTED_VALUE"""),0.0)</f>
        <v>0</v>
      </c>
      <c r="R859" s="562">
        <f>IFERROR(__xludf.DUMMYFUNCTION("""COMPUTED_VALUE"""),0.0)</f>
        <v>0</v>
      </c>
      <c r="S859" s="562"/>
      <c r="T859" s="217">
        <f>IFERROR(__xludf.DUMMYFUNCTION("""COMPUTED_VALUE"""),11.0)</f>
        <v>11</v>
      </c>
      <c r="U859" s="217"/>
      <c r="V859" s="217">
        <f>IFERROR(__xludf.DUMMYFUNCTION("""COMPUTED_VALUE"""),80.0)</f>
        <v>80</v>
      </c>
      <c r="W859" s="217"/>
      <c r="X859" s="217">
        <f>IFERROR(__xludf.DUMMYFUNCTION("""COMPUTED_VALUE"""),80.0)</f>
        <v>80</v>
      </c>
      <c r="Y859" s="217"/>
      <c r="Z859" s="217"/>
      <c r="AA859" s="481">
        <f>IFERROR(__xludf.DUMMYFUNCTION("""COMPUTED_VALUE"""),0.0)</f>
        <v>0</v>
      </c>
      <c r="AB859" s="481">
        <f>IFERROR(__xludf.DUMMYFUNCTION("""COMPUTED_VALUE"""),30.0)</f>
        <v>30</v>
      </c>
      <c r="AC859" s="481">
        <f>IFERROR(__xludf.DUMMYFUNCTION("""COMPUTED_VALUE"""),5.0)</f>
        <v>5</v>
      </c>
      <c r="AD859" s="481">
        <f>IFERROR(__xludf.DUMMYFUNCTION("""COMPUTED_VALUE"""),6.0)</f>
        <v>6</v>
      </c>
      <c r="AE859" s="481">
        <f>IFERROR(__xludf.DUMMYFUNCTION("""COMPUTED_VALUE"""),10.0)</f>
        <v>10</v>
      </c>
      <c r="AF859" s="481"/>
      <c r="AG859" s="481">
        <f>IFERROR(__xludf.DUMMYFUNCTION("""COMPUTED_VALUE"""),0.0)</f>
        <v>0</v>
      </c>
      <c r="AH859" s="481"/>
      <c r="AI859" s="158"/>
      <c r="AJ859" s="158"/>
      <c r="AK859" s="133">
        <f>IFERROR(__xludf.DUMMYFUNCTION("""COMPUTED_VALUE"""),0.0)</f>
        <v>0</v>
      </c>
      <c r="AL859" s="133">
        <f>IFERROR(__xludf.DUMMYFUNCTION("""COMPUTED_VALUE"""),0.0)</f>
        <v>0</v>
      </c>
      <c r="AM859" s="133">
        <f>IFERROR(__xludf.DUMMYFUNCTION("""COMPUTED_VALUE"""),3.0)</f>
        <v>3</v>
      </c>
      <c r="AN859" s="133" t="str">
        <f>IFERROR(__xludf.DUMMYFUNCTION("""COMPUTED_VALUE"""),"0")</f>
        <v>0</v>
      </c>
      <c r="AO859" s="133">
        <f>IFERROR(__xludf.DUMMYFUNCTION("""COMPUTED_VALUE"""),0.0)</f>
        <v>0</v>
      </c>
      <c r="AP859" s="155" t="s">
        <v>3715</v>
      </c>
    </row>
    <row r="860">
      <c r="A860" s="155">
        <f>IFERROR(__xludf.DUMMYFUNCTION("""COMPUTED_VALUE"""),124.0)</f>
        <v>124</v>
      </c>
      <c r="B860" s="155" t="str">
        <f>IFERROR(__xludf.DUMMYFUNCTION("""COMPUTED_VALUE"""),"srcy23ainds@cmrit.ac.in")</f>
        <v>srcy23ainds@cmrit.ac.in</v>
      </c>
      <c r="C860" s="174" t="str">
        <f>IFERROR(__xludf.DUMMYFUNCTION("""COMPUTED_VALUE"""),"Sreeman C Y")</f>
        <v>Sreeman C Y</v>
      </c>
      <c r="D860" s="155" t="str">
        <f>IFERROR(__xludf.DUMMYFUNCTION("""COMPUTED_VALUE"""),"1CR23AD124")</f>
        <v>1CR23AD124</v>
      </c>
      <c r="E860" s="563">
        <f>IFERROR(__xludf.DUMMYFUNCTION("""COMPUTED_VALUE"""),8.748852111E9)</f>
        <v>8748852111</v>
      </c>
      <c r="F860" s="155" t="str">
        <f>IFERROR(__xludf.DUMMYFUNCTION("""COMPUTED_VALUE"""),"AIDS")</f>
        <v>AIDS</v>
      </c>
      <c r="G860" s="158"/>
      <c r="H860" s="559">
        <f>IFERROR(__xludf.DUMMYFUNCTION("""COMPUTED_VALUE"""),71.0)</f>
        <v>71</v>
      </c>
      <c r="I860" s="559">
        <f>IFERROR(__xludf.DUMMYFUNCTION("""COMPUTED_VALUE"""),80.0)</f>
        <v>80</v>
      </c>
      <c r="J860" s="559">
        <f>IFERROR(__xludf.DUMMYFUNCTION("""COMPUTED_VALUE"""),70.0)</f>
        <v>70</v>
      </c>
      <c r="K860" s="559">
        <f>IFERROR(__xludf.DUMMYFUNCTION("""COMPUTED_VALUE"""),70.0)</f>
        <v>70</v>
      </c>
      <c r="L860" s="560">
        <f>IFERROR(__xludf.DUMMYFUNCTION("""COMPUTED_VALUE"""),50.0)</f>
        <v>50</v>
      </c>
      <c r="M860" s="561">
        <f>IFERROR(__xludf.DUMMYFUNCTION("""COMPUTED_VALUE"""),30.0)</f>
        <v>30</v>
      </c>
      <c r="N860" s="561">
        <f>IFERROR(__xludf.DUMMYFUNCTION("""COMPUTED_VALUE"""),50.0)</f>
        <v>50</v>
      </c>
      <c r="O860" s="560"/>
      <c r="P860" s="562">
        <f>IFERROR(__xludf.DUMMYFUNCTION("""COMPUTED_VALUE"""),75.0)</f>
        <v>75</v>
      </c>
      <c r="Q860" s="562">
        <f>IFERROR(__xludf.DUMMYFUNCTION("""COMPUTED_VALUE"""),50.0)</f>
        <v>50</v>
      </c>
      <c r="R860" s="562">
        <f>IFERROR(__xludf.DUMMYFUNCTION("""COMPUTED_VALUE"""),81.0)</f>
        <v>81</v>
      </c>
      <c r="S860" s="562"/>
      <c r="T860" s="217">
        <f>IFERROR(__xludf.DUMMYFUNCTION("""COMPUTED_VALUE"""),12.0)</f>
        <v>12</v>
      </c>
      <c r="U860" s="217">
        <f>IFERROR(__xludf.DUMMYFUNCTION("""COMPUTED_VALUE"""),24.0)</f>
        <v>24</v>
      </c>
      <c r="V860" s="217">
        <f>IFERROR(__xludf.DUMMYFUNCTION("""COMPUTED_VALUE"""),78.0)</f>
        <v>78</v>
      </c>
      <c r="W860" s="217">
        <f>IFERROR(__xludf.DUMMYFUNCTION("""COMPUTED_VALUE"""),80.0)</f>
        <v>80</v>
      </c>
      <c r="X860" s="217">
        <f>IFERROR(__xludf.DUMMYFUNCTION("""COMPUTED_VALUE"""),76.0)</f>
        <v>76</v>
      </c>
      <c r="Y860" s="217"/>
      <c r="Z860" s="217"/>
      <c r="AA860" s="481">
        <f>IFERROR(__xludf.DUMMYFUNCTION("""COMPUTED_VALUE"""),78.0)</f>
        <v>78</v>
      </c>
      <c r="AB860" s="481">
        <f>IFERROR(__xludf.DUMMYFUNCTION("""COMPUTED_VALUE"""),100.0)</f>
        <v>100</v>
      </c>
      <c r="AC860" s="481">
        <f>IFERROR(__xludf.DUMMYFUNCTION("""COMPUTED_VALUE"""),83.0)</f>
        <v>83</v>
      </c>
      <c r="AD860" s="481">
        <f>IFERROR(__xludf.DUMMYFUNCTION("""COMPUTED_VALUE"""),53.0)</f>
        <v>53</v>
      </c>
      <c r="AE860" s="481">
        <f>IFERROR(__xludf.DUMMYFUNCTION("""COMPUTED_VALUE"""),75.0)</f>
        <v>75</v>
      </c>
      <c r="AF860" s="481"/>
      <c r="AG860" s="481">
        <f>IFERROR(__xludf.DUMMYFUNCTION("""COMPUTED_VALUE"""),71.0)</f>
        <v>71</v>
      </c>
      <c r="AH860" s="481"/>
      <c r="AI860" s="158"/>
      <c r="AJ860" s="158"/>
      <c r="AK860" s="133">
        <f>IFERROR(__xludf.DUMMYFUNCTION("""COMPUTED_VALUE"""),4.0)</f>
        <v>4</v>
      </c>
      <c r="AL860" s="133">
        <f>IFERROR(__xludf.DUMMYFUNCTION("""COMPUTED_VALUE"""),1.0)</f>
        <v>1</v>
      </c>
      <c r="AM860" s="133">
        <f>IFERROR(__xludf.DUMMYFUNCTION("""COMPUTED_VALUE"""),3.0)</f>
        <v>3</v>
      </c>
      <c r="AN860" s="133" t="str">
        <f>IFERROR(__xludf.DUMMYFUNCTION("""COMPUTED_VALUE"""),"3.5")</f>
        <v>3.5</v>
      </c>
      <c r="AO860" s="133">
        <f>IFERROR(__xludf.DUMMYFUNCTION("""COMPUTED_VALUE"""),3.0)</f>
        <v>3</v>
      </c>
      <c r="AP860" s="155" t="s">
        <v>3715</v>
      </c>
    </row>
    <row r="861">
      <c r="A861" s="155">
        <f>IFERROR(__xludf.DUMMYFUNCTION("""COMPUTED_VALUE"""),125.0)</f>
        <v>125</v>
      </c>
      <c r="B861" s="155" t="str">
        <f>IFERROR(__xludf.DUMMYFUNCTION("""COMPUTED_VALUE"""),"sum23ainds@cmrit.ac.in")</f>
        <v>sum23ainds@cmrit.ac.in</v>
      </c>
      <c r="C861" s="174" t="str">
        <f>IFERROR(__xludf.DUMMYFUNCTION("""COMPUTED_VALUE"""),"Suchithra M")</f>
        <v>Suchithra M</v>
      </c>
      <c r="D861" s="155" t="str">
        <f>IFERROR(__xludf.DUMMYFUNCTION("""COMPUTED_VALUE"""),"1CR23AD125")</f>
        <v>1CR23AD125</v>
      </c>
      <c r="E861" s="563">
        <f>IFERROR(__xludf.DUMMYFUNCTION("""COMPUTED_VALUE"""),9.035683966E9)</f>
        <v>9035683966</v>
      </c>
      <c r="F861" s="155" t="str">
        <f>IFERROR(__xludf.DUMMYFUNCTION("""COMPUTED_VALUE"""),"AIDS")</f>
        <v>AIDS</v>
      </c>
      <c r="G861" s="158"/>
      <c r="H861" s="559">
        <f>IFERROR(__xludf.DUMMYFUNCTION("""COMPUTED_VALUE"""),74.0)</f>
        <v>74</v>
      </c>
      <c r="I861" s="559">
        <f>IFERROR(__xludf.DUMMYFUNCTION("""COMPUTED_VALUE"""),74.0)</f>
        <v>74</v>
      </c>
      <c r="J861" s="559">
        <f>IFERROR(__xludf.DUMMYFUNCTION("""COMPUTED_VALUE"""),39.0)</f>
        <v>39</v>
      </c>
      <c r="K861" s="559">
        <f>IFERROR(__xludf.DUMMYFUNCTION("""COMPUTED_VALUE"""),70.0)</f>
        <v>70</v>
      </c>
      <c r="L861" s="560">
        <f>IFERROR(__xludf.DUMMYFUNCTION("""COMPUTED_VALUE"""),9.0)</f>
        <v>9</v>
      </c>
      <c r="M861" s="561">
        <f>IFERROR(__xludf.DUMMYFUNCTION("""COMPUTED_VALUE"""),13.0)</f>
        <v>13</v>
      </c>
      <c r="N861" s="561">
        <f>IFERROR(__xludf.DUMMYFUNCTION("""COMPUTED_VALUE"""),0.0)</f>
        <v>0</v>
      </c>
      <c r="O861" s="560"/>
      <c r="P861" s="562">
        <f>IFERROR(__xludf.DUMMYFUNCTION("""COMPUTED_VALUE"""),77.0)</f>
        <v>77</v>
      </c>
      <c r="Q861" s="562">
        <f>IFERROR(__xludf.DUMMYFUNCTION("""COMPUTED_VALUE"""),50.0)</f>
        <v>50</v>
      </c>
      <c r="R861" s="562">
        <f>IFERROR(__xludf.DUMMYFUNCTION("""COMPUTED_VALUE"""),50.0)</f>
        <v>50</v>
      </c>
      <c r="S861" s="562"/>
      <c r="T861" s="217">
        <f>IFERROR(__xludf.DUMMYFUNCTION("""COMPUTED_VALUE"""),15.0)</f>
        <v>15</v>
      </c>
      <c r="U861" s="217">
        <f>IFERROR(__xludf.DUMMYFUNCTION("""COMPUTED_VALUE"""),7.0)</f>
        <v>7</v>
      </c>
      <c r="V861" s="217">
        <f>IFERROR(__xludf.DUMMYFUNCTION("""COMPUTED_VALUE"""),88.0)</f>
        <v>88</v>
      </c>
      <c r="W861" s="217">
        <f>IFERROR(__xludf.DUMMYFUNCTION("""COMPUTED_VALUE"""),72.0)</f>
        <v>72</v>
      </c>
      <c r="X861" s="217">
        <f>IFERROR(__xludf.DUMMYFUNCTION("""COMPUTED_VALUE"""),80.0)</f>
        <v>80</v>
      </c>
      <c r="Y861" s="217"/>
      <c r="Z861" s="217"/>
      <c r="AA861" s="481">
        <f>IFERROR(__xludf.DUMMYFUNCTION("""COMPUTED_VALUE"""),2.0)</f>
        <v>2</v>
      </c>
      <c r="AB861" s="481">
        <f>IFERROR(__xludf.DUMMYFUNCTION("""COMPUTED_VALUE"""),31.0)</f>
        <v>31</v>
      </c>
      <c r="AC861" s="481">
        <f>IFERROR(__xludf.DUMMYFUNCTION("""COMPUTED_VALUE"""),25.0)</f>
        <v>25</v>
      </c>
      <c r="AD861" s="481">
        <f>IFERROR(__xludf.DUMMYFUNCTION("""COMPUTED_VALUE"""),36.0)</f>
        <v>36</v>
      </c>
      <c r="AE861" s="481">
        <f>IFERROR(__xludf.DUMMYFUNCTION("""COMPUTED_VALUE"""),10.0)</f>
        <v>10</v>
      </c>
      <c r="AF861" s="481"/>
      <c r="AG861" s="481">
        <f>IFERROR(__xludf.DUMMYFUNCTION("""COMPUTED_VALUE"""),41.0)</f>
        <v>41</v>
      </c>
      <c r="AH861" s="481"/>
      <c r="AI861" s="158"/>
      <c r="AJ861" s="158"/>
      <c r="AK861" s="133">
        <f>IFERROR(__xludf.DUMMYFUNCTION("""COMPUTED_VALUE"""),2.0)</f>
        <v>2</v>
      </c>
      <c r="AL861" s="133">
        <f>IFERROR(__xludf.DUMMYFUNCTION("""COMPUTED_VALUE"""),0.0)</f>
        <v>0</v>
      </c>
      <c r="AM861" s="133">
        <f>IFERROR(__xludf.DUMMYFUNCTION("""COMPUTED_VALUE"""),0.0)</f>
        <v>0</v>
      </c>
      <c r="AN861" s="133" t="str">
        <f>IFERROR(__xludf.DUMMYFUNCTION("""COMPUTED_VALUE"""),"0")</f>
        <v>0</v>
      </c>
      <c r="AO861" s="133">
        <f>IFERROR(__xludf.DUMMYFUNCTION("""COMPUTED_VALUE"""),3.0)</f>
        <v>3</v>
      </c>
      <c r="AP861" s="155" t="s">
        <v>3715</v>
      </c>
    </row>
    <row r="862">
      <c r="A862" s="155">
        <f>IFERROR(__xludf.DUMMYFUNCTION("""COMPUTED_VALUE"""),126.0)</f>
        <v>126</v>
      </c>
      <c r="B862" s="155" t="str">
        <f>IFERROR(__xludf.DUMMYFUNCTION("""COMPUTED_VALUE"""),"such23ainds@cmrit.ac.in")</f>
        <v>such23ainds@cmrit.ac.in</v>
      </c>
      <c r="C862" s="174" t="str">
        <f>IFERROR(__xludf.DUMMYFUNCTION("""COMPUTED_VALUE"""),"SUDIP CHOHAN")</f>
        <v>SUDIP CHOHAN</v>
      </c>
      <c r="D862" s="155" t="str">
        <f>IFERROR(__xludf.DUMMYFUNCTION("""COMPUTED_VALUE"""),"1CR23AD126")</f>
        <v>1CR23AD126</v>
      </c>
      <c r="E862" s="563">
        <f>IFERROR(__xludf.DUMMYFUNCTION("""COMPUTED_VALUE"""),8.017967926E9)</f>
        <v>8017967926</v>
      </c>
      <c r="F862" s="155" t="str">
        <f>IFERROR(__xludf.DUMMYFUNCTION("""COMPUTED_VALUE"""),"AIDS")</f>
        <v>AIDS</v>
      </c>
      <c r="G862" s="158"/>
      <c r="H862" s="559">
        <f>IFERROR(__xludf.DUMMYFUNCTION("""COMPUTED_VALUE"""),65.0)</f>
        <v>65</v>
      </c>
      <c r="I862" s="559">
        <f>IFERROR(__xludf.DUMMYFUNCTION("""COMPUTED_VALUE"""),70.0)</f>
        <v>70</v>
      </c>
      <c r="J862" s="559">
        <f>IFERROR(__xludf.DUMMYFUNCTION("""COMPUTED_VALUE"""),39.0)</f>
        <v>39</v>
      </c>
      <c r="K862" s="559">
        <f>IFERROR(__xludf.DUMMYFUNCTION("""COMPUTED_VALUE"""),70.0)</f>
        <v>70</v>
      </c>
      <c r="L862" s="560">
        <f>IFERROR(__xludf.DUMMYFUNCTION("""COMPUTED_VALUE"""),40.0)</f>
        <v>40</v>
      </c>
      <c r="M862" s="561">
        <f>IFERROR(__xludf.DUMMYFUNCTION("""COMPUTED_VALUE"""),29.0)</f>
        <v>29</v>
      </c>
      <c r="N862" s="561">
        <f>IFERROR(__xludf.DUMMYFUNCTION("""COMPUTED_VALUE"""),12.0)</f>
        <v>12</v>
      </c>
      <c r="O862" s="560"/>
      <c r="P862" s="562">
        <f>IFERROR(__xludf.DUMMYFUNCTION("""COMPUTED_VALUE"""),0.0)</f>
        <v>0</v>
      </c>
      <c r="Q862" s="562">
        <f>IFERROR(__xludf.DUMMYFUNCTION("""COMPUTED_VALUE"""),0.0)</f>
        <v>0</v>
      </c>
      <c r="R862" s="562">
        <f>IFERROR(__xludf.DUMMYFUNCTION("""COMPUTED_VALUE"""),0.0)</f>
        <v>0</v>
      </c>
      <c r="S862" s="562"/>
      <c r="T862" s="217">
        <f>IFERROR(__xludf.DUMMYFUNCTION("""COMPUTED_VALUE"""),12.0)</f>
        <v>12</v>
      </c>
      <c r="U862" s="217">
        <f>IFERROR(__xludf.DUMMYFUNCTION("""COMPUTED_VALUE"""),23.0)</f>
        <v>23</v>
      </c>
      <c r="V862" s="217">
        <f>IFERROR(__xludf.DUMMYFUNCTION("""COMPUTED_VALUE"""),86.0)</f>
        <v>86</v>
      </c>
      <c r="W862" s="217">
        <f>IFERROR(__xludf.DUMMYFUNCTION("""COMPUTED_VALUE"""),76.0)</f>
        <v>76</v>
      </c>
      <c r="X862" s="217">
        <f>IFERROR(__xludf.DUMMYFUNCTION("""COMPUTED_VALUE"""),90.0)</f>
        <v>90</v>
      </c>
      <c r="Y862" s="217"/>
      <c r="Z862" s="217"/>
      <c r="AA862" s="481">
        <f>IFERROR(__xludf.DUMMYFUNCTION("""COMPUTED_VALUE"""),12.0)</f>
        <v>12</v>
      </c>
      <c r="AB862" s="481">
        <f>IFERROR(__xludf.DUMMYFUNCTION("""COMPUTED_VALUE"""),86.0)</f>
        <v>86</v>
      </c>
      <c r="AC862" s="481">
        <f>IFERROR(__xludf.DUMMYFUNCTION("""COMPUTED_VALUE"""),97.0)</f>
        <v>97</v>
      </c>
      <c r="AD862" s="481">
        <f>IFERROR(__xludf.DUMMYFUNCTION("""COMPUTED_VALUE"""),52.0)</f>
        <v>52</v>
      </c>
      <c r="AE862" s="481">
        <f>IFERROR(__xludf.DUMMYFUNCTION("""COMPUTED_VALUE"""),26.0)</f>
        <v>26</v>
      </c>
      <c r="AF862" s="481"/>
      <c r="AG862" s="481">
        <f>IFERROR(__xludf.DUMMYFUNCTION("""COMPUTED_VALUE"""),40.0)</f>
        <v>40</v>
      </c>
      <c r="AH862" s="481"/>
      <c r="AI862" s="158"/>
      <c r="AJ862" s="158"/>
      <c r="AK862" s="133">
        <f>IFERROR(__xludf.DUMMYFUNCTION("""COMPUTED_VALUE"""),2.0)</f>
        <v>2</v>
      </c>
      <c r="AL862" s="133">
        <f>IFERROR(__xludf.DUMMYFUNCTION("""COMPUTED_VALUE"""),0.0)</f>
        <v>0</v>
      </c>
      <c r="AM862" s="133">
        <f>IFERROR(__xludf.DUMMYFUNCTION("""COMPUTED_VALUE"""),3.0)</f>
        <v>3</v>
      </c>
      <c r="AN862" s="133" t="str">
        <f>IFERROR(__xludf.DUMMYFUNCTION("""COMPUTED_VALUE"""),"3")</f>
        <v>3</v>
      </c>
      <c r="AO862" s="133">
        <f>IFERROR(__xludf.DUMMYFUNCTION("""COMPUTED_VALUE"""),0.0)</f>
        <v>0</v>
      </c>
      <c r="AP862" s="155" t="s">
        <v>3715</v>
      </c>
    </row>
    <row r="863">
      <c r="A863" s="155">
        <f>IFERROR(__xludf.DUMMYFUNCTION("""COMPUTED_VALUE"""),127.0)</f>
        <v>127</v>
      </c>
      <c r="B863" s="155" t="str">
        <f>IFERROR(__xludf.DUMMYFUNCTION("""COMPUTED_VALUE"""),"suth23ainds@cmrit.ac.in")</f>
        <v>suth23ainds@cmrit.ac.in</v>
      </c>
      <c r="C863" s="174" t="str">
        <f>IFERROR(__xludf.DUMMYFUNCTION("""COMPUTED_VALUE"""),"SUJAL THAKUR ")</f>
        <v>SUJAL THAKUR </v>
      </c>
      <c r="D863" s="155" t="str">
        <f>IFERROR(__xludf.DUMMYFUNCTION("""COMPUTED_VALUE"""),"1CR23AD127")</f>
        <v>1CR23AD127</v>
      </c>
      <c r="E863" s="563">
        <f>IFERROR(__xludf.DUMMYFUNCTION("""COMPUTED_VALUE"""),9.065662073E9)</f>
        <v>9065662073</v>
      </c>
      <c r="F863" s="155" t="str">
        <f>IFERROR(__xludf.DUMMYFUNCTION("""COMPUTED_VALUE"""),"AIDS")</f>
        <v>AIDS</v>
      </c>
      <c r="G863" s="158"/>
      <c r="H863" s="559">
        <f>IFERROR(__xludf.DUMMYFUNCTION("""COMPUTED_VALUE"""),70.0)</f>
        <v>70</v>
      </c>
      <c r="I863" s="559">
        <f>IFERROR(__xludf.DUMMYFUNCTION("""COMPUTED_VALUE"""),70.0)</f>
        <v>70</v>
      </c>
      <c r="J863" s="559">
        <f>IFERROR(__xludf.DUMMYFUNCTION("""COMPUTED_VALUE"""),61.0)</f>
        <v>61</v>
      </c>
      <c r="K863" s="559">
        <f>IFERROR(__xludf.DUMMYFUNCTION("""COMPUTED_VALUE"""),70.0)</f>
        <v>70</v>
      </c>
      <c r="L863" s="560">
        <f>IFERROR(__xludf.DUMMYFUNCTION("""COMPUTED_VALUE"""),16.0)</f>
        <v>16</v>
      </c>
      <c r="M863" s="561">
        <f>IFERROR(__xludf.DUMMYFUNCTION("""COMPUTED_VALUE"""),0.0)</f>
        <v>0</v>
      </c>
      <c r="N863" s="561">
        <f>IFERROR(__xludf.DUMMYFUNCTION("""COMPUTED_VALUE"""),17.0)</f>
        <v>17</v>
      </c>
      <c r="O863" s="560"/>
      <c r="P863" s="562">
        <f>IFERROR(__xludf.DUMMYFUNCTION("""COMPUTED_VALUE"""),83.0)</f>
        <v>83</v>
      </c>
      <c r="Q863" s="562">
        <f>IFERROR(__xludf.DUMMYFUNCTION("""COMPUTED_VALUE"""),0.0)</f>
        <v>0</v>
      </c>
      <c r="R863" s="562">
        <f>IFERROR(__xludf.DUMMYFUNCTION("""COMPUTED_VALUE"""),0.0)</f>
        <v>0</v>
      </c>
      <c r="S863" s="562"/>
      <c r="T863" s="217">
        <f>IFERROR(__xludf.DUMMYFUNCTION("""COMPUTED_VALUE"""),17.0)</f>
        <v>17</v>
      </c>
      <c r="U863" s="217">
        <f>IFERROR(__xludf.DUMMYFUNCTION("""COMPUTED_VALUE"""),22.0)</f>
        <v>22</v>
      </c>
      <c r="V863" s="217">
        <f>IFERROR(__xludf.DUMMYFUNCTION("""COMPUTED_VALUE"""),86.0)</f>
        <v>86</v>
      </c>
      <c r="W863" s="217">
        <f>IFERROR(__xludf.DUMMYFUNCTION("""COMPUTED_VALUE"""),80.0)</f>
        <v>80</v>
      </c>
      <c r="X863" s="217">
        <f>IFERROR(__xludf.DUMMYFUNCTION("""COMPUTED_VALUE"""),88.0)</f>
        <v>88</v>
      </c>
      <c r="Y863" s="217"/>
      <c r="Z863" s="217"/>
      <c r="AA863" s="481">
        <f>IFERROR(__xludf.DUMMYFUNCTION("""COMPUTED_VALUE"""),12.0)</f>
        <v>12</v>
      </c>
      <c r="AB863" s="481">
        <f>IFERROR(__xludf.DUMMYFUNCTION("""COMPUTED_VALUE"""),53.0)</f>
        <v>53</v>
      </c>
      <c r="AC863" s="481">
        <f>IFERROR(__xludf.DUMMYFUNCTION("""COMPUTED_VALUE"""),0.0)</f>
        <v>0</v>
      </c>
      <c r="AD863" s="481">
        <f>IFERROR(__xludf.DUMMYFUNCTION("""COMPUTED_VALUE"""),11.0)</f>
        <v>11</v>
      </c>
      <c r="AE863" s="481">
        <f>IFERROR(__xludf.DUMMYFUNCTION("""COMPUTED_VALUE"""),10.0)</f>
        <v>10</v>
      </c>
      <c r="AF863" s="481"/>
      <c r="AG863" s="481">
        <f>IFERROR(__xludf.DUMMYFUNCTION("""COMPUTED_VALUE"""),71.0)</f>
        <v>71</v>
      </c>
      <c r="AH863" s="481"/>
      <c r="AI863" s="158"/>
      <c r="AJ863" s="158"/>
      <c r="AK863" s="133">
        <f>IFERROR(__xludf.DUMMYFUNCTION("""COMPUTED_VALUE"""),2.0)</f>
        <v>2</v>
      </c>
      <c r="AL863" s="133">
        <f>IFERROR(__xludf.DUMMYFUNCTION("""COMPUTED_VALUE"""),0.0)</f>
        <v>0</v>
      </c>
      <c r="AM863" s="133">
        <f>IFERROR(__xludf.DUMMYFUNCTION("""COMPUTED_VALUE"""),3.0)</f>
        <v>3</v>
      </c>
      <c r="AN863" s="133" t="str">
        <f>IFERROR(__xludf.DUMMYFUNCTION("""COMPUTED_VALUE"""),"2")</f>
        <v>2</v>
      </c>
      <c r="AO863" s="133">
        <f>IFERROR(__xludf.DUMMYFUNCTION("""COMPUTED_VALUE"""),1.0)</f>
        <v>1</v>
      </c>
      <c r="AP863" s="155" t="s">
        <v>3715</v>
      </c>
    </row>
    <row r="864">
      <c r="A864" s="155">
        <f>IFERROR(__xludf.DUMMYFUNCTION("""COMPUTED_VALUE"""),128.0)</f>
        <v>128</v>
      </c>
      <c r="B864" s="155" t="str">
        <f>IFERROR(__xludf.DUMMYFUNCTION("""COMPUTED_VALUE"""),"sush23ainds@cmrit.ac.in")</f>
        <v>sush23ainds@cmrit.ac.in</v>
      </c>
      <c r="C864" s="174" t="str">
        <f>IFERROR(__xludf.DUMMYFUNCTION("""COMPUTED_VALUE"""),"SUMIT KUMAR SHUKLA")</f>
        <v>SUMIT KUMAR SHUKLA</v>
      </c>
      <c r="D864" s="155" t="str">
        <f>IFERROR(__xludf.DUMMYFUNCTION("""COMPUTED_VALUE"""),"1CR23AD128")</f>
        <v>1CR23AD128</v>
      </c>
      <c r="E864" s="563">
        <f>IFERROR(__xludf.DUMMYFUNCTION("""COMPUTED_VALUE"""),8.637088429E9)</f>
        <v>8637088429</v>
      </c>
      <c r="F864" s="155" t="str">
        <f>IFERROR(__xludf.DUMMYFUNCTION("""COMPUTED_VALUE"""),"AIDS")</f>
        <v>AIDS</v>
      </c>
      <c r="G864" s="158"/>
      <c r="H864" s="559">
        <f>IFERROR(__xludf.DUMMYFUNCTION("""COMPUTED_VALUE"""),81.0)</f>
        <v>81</v>
      </c>
      <c r="I864" s="559">
        <f>IFERROR(__xludf.DUMMYFUNCTION("""COMPUTED_VALUE"""),87.0)</f>
        <v>87</v>
      </c>
      <c r="J864" s="559">
        <f>IFERROR(__xludf.DUMMYFUNCTION("""COMPUTED_VALUE"""),74.0)</f>
        <v>74</v>
      </c>
      <c r="K864" s="559">
        <f>IFERROR(__xludf.DUMMYFUNCTION("""COMPUTED_VALUE"""),70.0)</f>
        <v>70</v>
      </c>
      <c r="L864" s="560">
        <f>IFERROR(__xludf.DUMMYFUNCTION("""COMPUTED_VALUE"""),50.0)</f>
        <v>50</v>
      </c>
      <c r="M864" s="561">
        <f>IFERROR(__xludf.DUMMYFUNCTION("""COMPUTED_VALUE"""),44.0)</f>
        <v>44</v>
      </c>
      <c r="N864" s="561">
        <f>IFERROR(__xludf.DUMMYFUNCTION("""COMPUTED_VALUE"""),50.0)</f>
        <v>50</v>
      </c>
      <c r="O864" s="560"/>
      <c r="P864" s="562">
        <f>IFERROR(__xludf.DUMMYFUNCTION("""COMPUTED_VALUE"""),73.0)</f>
        <v>73</v>
      </c>
      <c r="Q864" s="562">
        <f>IFERROR(__xludf.DUMMYFUNCTION("""COMPUTED_VALUE"""),50.0)</f>
        <v>50</v>
      </c>
      <c r="R864" s="562">
        <f>IFERROR(__xludf.DUMMYFUNCTION("""COMPUTED_VALUE"""),97.0)</f>
        <v>97</v>
      </c>
      <c r="S864" s="562"/>
      <c r="T864" s="217">
        <f>IFERROR(__xludf.DUMMYFUNCTION("""COMPUTED_VALUE"""),14.0)</f>
        <v>14</v>
      </c>
      <c r="U864" s="217">
        <f>IFERROR(__xludf.DUMMYFUNCTION("""COMPUTED_VALUE"""),19.0)</f>
        <v>19</v>
      </c>
      <c r="V864" s="217">
        <f>IFERROR(__xludf.DUMMYFUNCTION("""COMPUTED_VALUE"""),88.0)</f>
        <v>88</v>
      </c>
      <c r="W864" s="217">
        <f>IFERROR(__xludf.DUMMYFUNCTION("""COMPUTED_VALUE"""),80.0)</f>
        <v>80</v>
      </c>
      <c r="X864" s="217"/>
      <c r="Y864" s="217"/>
      <c r="Z864" s="217"/>
      <c r="AA864" s="481">
        <f>IFERROR(__xludf.DUMMYFUNCTION("""COMPUTED_VALUE"""),14.0)</f>
        <v>14</v>
      </c>
      <c r="AB864" s="481">
        <f>IFERROR(__xludf.DUMMYFUNCTION("""COMPUTED_VALUE"""),67.0)</f>
        <v>67</v>
      </c>
      <c r="AC864" s="481">
        <f>IFERROR(__xludf.DUMMYFUNCTION("""COMPUTED_VALUE"""),97.0)</f>
        <v>97</v>
      </c>
      <c r="AD864" s="481">
        <f>IFERROR(__xludf.DUMMYFUNCTION("""COMPUTED_VALUE"""),51.0)</f>
        <v>51</v>
      </c>
      <c r="AE864" s="481">
        <f>IFERROR(__xludf.DUMMYFUNCTION("""COMPUTED_VALUE"""),24.0)</f>
        <v>24</v>
      </c>
      <c r="AF864" s="481"/>
      <c r="AG864" s="481">
        <f>IFERROR(__xludf.DUMMYFUNCTION("""COMPUTED_VALUE"""),28.0)</f>
        <v>28</v>
      </c>
      <c r="AH864" s="481"/>
      <c r="AI864" s="158"/>
      <c r="AJ864" s="158"/>
      <c r="AK864" s="133">
        <f>IFERROR(__xludf.DUMMYFUNCTION("""COMPUTED_VALUE"""),4.0)</f>
        <v>4</v>
      </c>
      <c r="AL864" s="133">
        <f>IFERROR(__xludf.DUMMYFUNCTION("""COMPUTED_VALUE"""),1.0)</f>
        <v>1</v>
      </c>
      <c r="AM864" s="133">
        <f>IFERROR(__xludf.DUMMYFUNCTION("""COMPUTED_VALUE"""),3.0)</f>
        <v>3</v>
      </c>
      <c r="AN864" s="133" t="str">
        <f>IFERROR(__xludf.DUMMYFUNCTION("""COMPUTED_VALUE"""),"3")</f>
        <v>3</v>
      </c>
      <c r="AO864" s="133">
        <f>IFERROR(__xludf.DUMMYFUNCTION("""COMPUTED_VALUE"""),3.0)</f>
        <v>3</v>
      </c>
      <c r="AP864" s="155" t="s">
        <v>3715</v>
      </c>
    </row>
    <row r="865">
      <c r="A865" s="155">
        <f>IFERROR(__xludf.DUMMYFUNCTION("""COMPUTED_VALUE"""),129.0)</f>
        <v>129</v>
      </c>
      <c r="B865" s="155" t="str">
        <f>IFERROR(__xludf.DUMMYFUNCTION("""COMPUTED_VALUE"""),"syob23ainds@cmrit.ac.in")</f>
        <v>syob23ainds@cmrit.ac.in</v>
      </c>
      <c r="C865" s="174" t="str">
        <f>IFERROR(__xludf.DUMMYFUNCTION("""COMPUTED_VALUE"""),"SYED OBEDULLAH SHOAIB")</f>
        <v>SYED OBEDULLAH SHOAIB</v>
      </c>
      <c r="D865" s="155" t="str">
        <f>IFERROR(__xludf.DUMMYFUNCTION("""COMPUTED_VALUE"""),"1CR23AD129")</f>
        <v>1CR23AD129</v>
      </c>
      <c r="E865" s="563">
        <f>IFERROR(__xludf.DUMMYFUNCTION("""COMPUTED_VALUE"""),9.986115867E9)</f>
        <v>9986115867</v>
      </c>
      <c r="F865" s="155" t="str">
        <f>IFERROR(__xludf.DUMMYFUNCTION("""COMPUTED_VALUE"""),"AIDS")</f>
        <v>AIDS</v>
      </c>
      <c r="G865" s="158"/>
      <c r="H865" s="559">
        <f>IFERROR(__xludf.DUMMYFUNCTION("""COMPUTED_VALUE"""),68.0)</f>
        <v>68</v>
      </c>
      <c r="I865" s="559">
        <f>IFERROR(__xludf.DUMMYFUNCTION("""COMPUTED_VALUE"""),72.0)</f>
        <v>72</v>
      </c>
      <c r="J865" s="559">
        <f>IFERROR(__xludf.DUMMYFUNCTION("""COMPUTED_VALUE"""),38.0)</f>
        <v>38</v>
      </c>
      <c r="K865" s="559">
        <f>IFERROR(__xludf.DUMMYFUNCTION("""COMPUTED_VALUE"""),70.0)</f>
        <v>70</v>
      </c>
      <c r="L865" s="560">
        <f>IFERROR(__xludf.DUMMYFUNCTION("""COMPUTED_VALUE"""),3.0)</f>
        <v>3</v>
      </c>
      <c r="M865" s="561">
        <f>IFERROR(__xludf.DUMMYFUNCTION("""COMPUTED_VALUE"""),25.0)</f>
        <v>25</v>
      </c>
      <c r="N865" s="561">
        <f>IFERROR(__xludf.DUMMYFUNCTION("""COMPUTED_VALUE"""),18.0)</f>
        <v>18</v>
      </c>
      <c r="O865" s="560"/>
      <c r="P865" s="562">
        <f>IFERROR(__xludf.DUMMYFUNCTION("""COMPUTED_VALUE"""),75.0)</f>
        <v>75</v>
      </c>
      <c r="Q865" s="562">
        <f>IFERROR(__xludf.DUMMYFUNCTION("""COMPUTED_VALUE"""),0.0)</f>
        <v>0</v>
      </c>
      <c r="R865" s="562">
        <f>IFERROR(__xludf.DUMMYFUNCTION("""COMPUTED_VALUE"""),0.0)</f>
        <v>0</v>
      </c>
      <c r="S865" s="562"/>
      <c r="T865" s="217">
        <f>IFERROR(__xludf.DUMMYFUNCTION("""COMPUTED_VALUE"""),13.0)</f>
        <v>13</v>
      </c>
      <c r="U865" s="217">
        <f>IFERROR(__xludf.DUMMYFUNCTION("""COMPUTED_VALUE"""),23.0)</f>
        <v>23</v>
      </c>
      <c r="V865" s="217">
        <f>IFERROR(__xludf.DUMMYFUNCTION("""COMPUTED_VALUE"""),80.0)</f>
        <v>80</v>
      </c>
      <c r="W865" s="217">
        <f>IFERROR(__xludf.DUMMYFUNCTION("""COMPUTED_VALUE"""),72.0)</f>
        <v>72</v>
      </c>
      <c r="X865" s="217">
        <f>IFERROR(__xludf.DUMMYFUNCTION("""COMPUTED_VALUE"""),56.0)</f>
        <v>56</v>
      </c>
      <c r="Y865" s="217"/>
      <c r="Z865" s="217"/>
      <c r="AA865" s="481">
        <f>IFERROR(__xludf.DUMMYFUNCTION("""COMPUTED_VALUE"""),0.0)</f>
        <v>0</v>
      </c>
      <c r="AB865" s="481">
        <f>IFERROR(__xludf.DUMMYFUNCTION("""COMPUTED_VALUE"""),58.0)</f>
        <v>58</v>
      </c>
      <c r="AC865" s="481">
        <f>IFERROR(__xludf.DUMMYFUNCTION("""COMPUTED_VALUE"""),52.0)</f>
        <v>52</v>
      </c>
      <c r="AD865" s="481">
        <f>IFERROR(__xludf.DUMMYFUNCTION("""COMPUTED_VALUE"""),3.0)</f>
        <v>3</v>
      </c>
      <c r="AE865" s="481">
        <f>IFERROR(__xludf.DUMMYFUNCTION("""COMPUTED_VALUE"""),10.0)</f>
        <v>10</v>
      </c>
      <c r="AF865" s="481"/>
      <c r="AG865" s="481">
        <f>IFERROR(__xludf.DUMMYFUNCTION("""COMPUTED_VALUE"""),0.0)</f>
        <v>0</v>
      </c>
      <c r="AH865" s="481"/>
      <c r="AI865" s="158"/>
      <c r="AJ865" s="158"/>
      <c r="AK865" s="133">
        <f>IFERROR(__xludf.DUMMYFUNCTION("""COMPUTED_VALUE"""),2.0)</f>
        <v>2</v>
      </c>
      <c r="AL865" s="133">
        <f>IFERROR(__xludf.DUMMYFUNCTION("""COMPUTED_VALUE"""),0.0)</f>
        <v>0</v>
      </c>
      <c r="AM865" s="133">
        <f>IFERROR(__xludf.DUMMYFUNCTION("""COMPUTED_VALUE"""),3.0)</f>
        <v>3</v>
      </c>
      <c r="AN865" s="133" t="str">
        <f>IFERROR(__xludf.DUMMYFUNCTION("""COMPUTED_VALUE"""),"2")</f>
        <v>2</v>
      </c>
      <c r="AO865" s="133">
        <f>IFERROR(__xludf.DUMMYFUNCTION("""COMPUTED_VALUE"""),1.0)</f>
        <v>1</v>
      </c>
      <c r="AP865" s="155" t="s">
        <v>3715</v>
      </c>
    </row>
    <row r="866">
      <c r="A866" s="155">
        <f>IFERROR(__xludf.DUMMYFUNCTION("""COMPUTED_VALUE"""),130.0)</f>
        <v>130</v>
      </c>
      <c r="B866" s="155" t="str">
        <f>IFERROR(__xludf.DUMMYFUNCTION("""COMPUTED_VALUE"""),"tabr23ainds@cmrit.ac.in")</f>
        <v>tabr23ainds@cmrit.ac.in</v>
      </c>
      <c r="C866" s="174" t="str">
        <f>IFERROR(__xludf.DUMMYFUNCTION("""COMPUTED_VALUE"""),"TARUN B REDDY")</f>
        <v>TARUN B REDDY</v>
      </c>
      <c r="D866" s="155" t="str">
        <f>IFERROR(__xludf.DUMMYFUNCTION("""COMPUTED_VALUE"""),"1CR23AD130")</f>
        <v>1CR23AD130</v>
      </c>
      <c r="E866" s="563">
        <f>IFERROR(__xludf.DUMMYFUNCTION("""COMPUTED_VALUE"""),7.892185559E9)</f>
        <v>7892185559</v>
      </c>
      <c r="F866" s="155" t="str">
        <f>IFERROR(__xludf.DUMMYFUNCTION("""COMPUTED_VALUE"""),"AIDS")</f>
        <v>AIDS</v>
      </c>
      <c r="G866" s="158"/>
      <c r="H866" s="559">
        <f>IFERROR(__xludf.DUMMYFUNCTION("""COMPUTED_VALUE"""),77.0)</f>
        <v>77</v>
      </c>
      <c r="I866" s="559">
        <f>IFERROR(__xludf.DUMMYFUNCTION("""COMPUTED_VALUE"""),87.0)</f>
        <v>87</v>
      </c>
      <c r="J866" s="559">
        <f>IFERROR(__xludf.DUMMYFUNCTION("""COMPUTED_VALUE"""),67.0)</f>
        <v>67</v>
      </c>
      <c r="K866" s="559">
        <f>IFERROR(__xludf.DUMMYFUNCTION("""COMPUTED_VALUE"""),70.0)</f>
        <v>70</v>
      </c>
      <c r="L866" s="560">
        <f>IFERROR(__xludf.DUMMYFUNCTION("""COMPUTED_VALUE"""),50.0)</f>
        <v>50</v>
      </c>
      <c r="M866" s="561">
        <f>IFERROR(__xludf.DUMMYFUNCTION("""COMPUTED_VALUE"""),50.0)</f>
        <v>50</v>
      </c>
      <c r="N866" s="561">
        <f>IFERROR(__xludf.DUMMYFUNCTION("""COMPUTED_VALUE"""),21.0)</f>
        <v>21</v>
      </c>
      <c r="O866" s="560"/>
      <c r="P866" s="562">
        <f>IFERROR(__xludf.DUMMYFUNCTION("""COMPUTED_VALUE"""),73.0)</f>
        <v>73</v>
      </c>
      <c r="Q866" s="562">
        <f>IFERROR(__xludf.DUMMYFUNCTION("""COMPUTED_VALUE"""),50.0)</f>
        <v>50</v>
      </c>
      <c r="R866" s="562">
        <f>IFERROR(__xludf.DUMMYFUNCTION("""COMPUTED_VALUE"""),97.0)</f>
        <v>97</v>
      </c>
      <c r="S866" s="562"/>
      <c r="T866" s="217">
        <f>IFERROR(__xludf.DUMMYFUNCTION("""COMPUTED_VALUE"""),11.0)</f>
        <v>11</v>
      </c>
      <c r="U866" s="217">
        <f>IFERROR(__xludf.DUMMYFUNCTION("""COMPUTED_VALUE"""),23.0)</f>
        <v>23</v>
      </c>
      <c r="V866" s="217">
        <f>IFERROR(__xludf.DUMMYFUNCTION("""COMPUTED_VALUE"""),82.0)</f>
        <v>82</v>
      </c>
      <c r="W866" s="217">
        <f>IFERROR(__xludf.DUMMYFUNCTION("""COMPUTED_VALUE"""),70.0)</f>
        <v>70</v>
      </c>
      <c r="X866" s="217">
        <f>IFERROR(__xludf.DUMMYFUNCTION("""COMPUTED_VALUE"""),82.0)</f>
        <v>82</v>
      </c>
      <c r="Y866" s="217"/>
      <c r="Z866" s="217"/>
      <c r="AA866" s="481">
        <f>IFERROR(__xludf.DUMMYFUNCTION("""COMPUTED_VALUE"""),62.0)</f>
        <v>62</v>
      </c>
      <c r="AB866" s="481">
        <f>IFERROR(__xludf.DUMMYFUNCTION("""COMPUTED_VALUE"""),67.0)</f>
        <v>67</v>
      </c>
      <c r="AC866" s="481">
        <f>IFERROR(__xludf.DUMMYFUNCTION("""COMPUTED_VALUE"""),77.0)</f>
        <v>77</v>
      </c>
      <c r="AD866" s="481">
        <f>IFERROR(__xludf.DUMMYFUNCTION("""COMPUTED_VALUE"""),12.0)</f>
        <v>12</v>
      </c>
      <c r="AE866" s="481">
        <f>IFERROR(__xludf.DUMMYFUNCTION("""COMPUTED_VALUE"""),10.0)</f>
        <v>10</v>
      </c>
      <c r="AF866" s="481"/>
      <c r="AG866" s="481">
        <f>IFERROR(__xludf.DUMMYFUNCTION("""COMPUTED_VALUE"""),71.0)</f>
        <v>71</v>
      </c>
      <c r="AH866" s="481"/>
      <c r="AI866" s="158"/>
      <c r="AJ866" s="158"/>
      <c r="AK866" s="133">
        <f>IFERROR(__xludf.DUMMYFUNCTION("""COMPUTED_VALUE"""),2.0)</f>
        <v>2</v>
      </c>
      <c r="AL866" s="133">
        <f>IFERROR(__xludf.DUMMYFUNCTION("""COMPUTED_VALUE"""),2.0)</f>
        <v>2</v>
      </c>
      <c r="AM866" s="133">
        <f>IFERROR(__xludf.DUMMYFUNCTION("""COMPUTED_VALUE"""),3.0)</f>
        <v>3</v>
      </c>
      <c r="AN866" s="133" t="str">
        <f>IFERROR(__xludf.DUMMYFUNCTION("""COMPUTED_VALUE"""),"3")</f>
        <v>3</v>
      </c>
      <c r="AO866" s="133">
        <f>IFERROR(__xludf.DUMMYFUNCTION("""COMPUTED_VALUE"""),3.0)</f>
        <v>3</v>
      </c>
      <c r="AP866" s="155" t="s">
        <v>3715</v>
      </c>
    </row>
    <row r="867">
      <c r="A867" s="155">
        <f>IFERROR(__xludf.DUMMYFUNCTION("""COMPUTED_VALUE"""),131.0)</f>
        <v>131</v>
      </c>
      <c r="B867" s="155" t="str">
        <f>IFERROR(__xludf.DUMMYFUNCTION("""COMPUTED_VALUE"""),"tad23ainds@cmrit.ac.in")</f>
        <v>tad23ainds@cmrit.ac.in</v>
      </c>
      <c r="C867" s="174" t="str">
        <f>IFERROR(__xludf.DUMMYFUNCTION("""COMPUTED_VALUE"""),"Tarun Gowda D")</f>
        <v>Tarun Gowda D</v>
      </c>
      <c r="D867" s="155" t="str">
        <f>IFERROR(__xludf.DUMMYFUNCTION("""COMPUTED_VALUE"""),"1CR23AD131")</f>
        <v>1CR23AD131</v>
      </c>
      <c r="E867" s="563">
        <f>IFERROR(__xludf.DUMMYFUNCTION("""COMPUTED_VALUE"""),9.38099524E9)</f>
        <v>9380995240</v>
      </c>
      <c r="F867" s="155" t="str">
        <f>IFERROR(__xludf.DUMMYFUNCTION("""COMPUTED_VALUE"""),"AIDS")</f>
        <v>AIDS</v>
      </c>
      <c r="G867" s="158"/>
      <c r="H867" s="559">
        <f>IFERROR(__xludf.DUMMYFUNCTION("""COMPUTED_VALUE"""),74.0)</f>
        <v>74</v>
      </c>
      <c r="I867" s="559">
        <f>IFERROR(__xludf.DUMMYFUNCTION("""COMPUTED_VALUE"""),81.0)</f>
        <v>81</v>
      </c>
      <c r="J867" s="559">
        <f>IFERROR(__xludf.DUMMYFUNCTION("""COMPUTED_VALUE"""),73.0)</f>
        <v>73</v>
      </c>
      <c r="K867" s="559">
        <f>IFERROR(__xludf.DUMMYFUNCTION("""COMPUTED_VALUE"""),70.0)</f>
        <v>70</v>
      </c>
      <c r="L867" s="560">
        <f>IFERROR(__xludf.DUMMYFUNCTION("""COMPUTED_VALUE"""),22.0)</f>
        <v>22</v>
      </c>
      <c r="M867" s="561">
        <f>IFERROR(__xludf.DUMMYFUNCTION("""COMPUTED_VALUE"""),50.0)</f>
        <v>50</v>
      </c>
      <c r="N867" s="561">
        <f>IFERROR(__xludf.DUMMYFUNCTION("""COMPUTED_VALUE"""),18.0)</f>
        <v>18</v>
      </c>
      <c r="O867" s="560"/>
      <c r="P867" s="562">
        <f>IFERROR(__xludf.DUMMYFUNCTION("""COMPUTED_VALUE"""),50.0)</f>
        <v>50</v>
      </c>
      <c r="Q867" s="562">
        <f>IFERROR(__xludf.DUMMYFUNCTION("""COMPUTED_VALUE"""),50.0)</f>
        <v>50</v>
      </c>
      <c r="R867" s="562">
        <f>IFERROR(__xludf.DUMMYFUNCTION("""COMPUTED_VALUE"""),50.0)</f>
        <v>50</v>
      </c>
      <c r="S867" s="562"/>
      <c r="T867" s="217">
        <f>IFERROR(__xludf.DUMMYFUNCTION("""COMPUTED_VALUE"""),12.0)</f>
        <v>12</v>
      </c>
      <c r="U867" s="217">
        <f>IFERROR(__xludf.DUMMYFUNCTION("""COMPUTED_VALUE"""),21.0)</f>
        <v>21</v>
      </c>
      <c r="V867" s="217">
        <f>IFERROR(__xludf.DUMMYFUNCTION("""COMPUTED_VALUE"""),86.0)</f>
        <v>86</v>
      </c>
      <c r="W867" s="217">
        <f>IFERROR(__xludf.DUMMYFUNCTION("""COMPUTED_VALUE"""),74.0)</f>
        <v>74</v>
      </c>
      <c r="X867" s="217">
        <f>IFERROR(__xludf.DUMMYFUNCTION("""COMPUTED_VALUE"""),82.0)</f>
        <v>82</v>
      </c>
      <c r="Y867" s="217"/>
      <c r="Z867" s="217"/>
      <c r="AA867" s="481">
        <f>IFERROR(__xludf.DUMMYFUNCTION("""COMPUTED_VALUE"""),16.0)</f>
        <v>16</v>
      </c>
      <c r="AB867" s="481">
        <f>IFERROR(__xludf.DUMMYFUNCTION("""COMPUTED_VALUE"""),98.0)</f>
        <v>98</v>
      </c>
      <c r="AC867" s="481">
        <f>IFERROR(__xludf.DUMMYFUNCTION("""COMPUTED_VALUE"""),74.0)</f>
        <v>74</v>
      </c>
      <c r="AD867" s="481">
        <f>IFERROR(__xludf.DUMMYFUNCTION("""COMPUTED_VALUE"""),51.0)</f>
        <v>51</v>
      </c>
      <c r="AE867" s="481">
        <f>IFERROR(__xludf.DUMMYFUNCTION("""COMPUTED_VALUE"""),70.0)</f>
        <v>70</v>
      </c>
      <c r="AF867" s="481"/>
      <c r="AG867" s="481">
        <f>IFERROR(__xludf.DUMMYFUNCTION("""COMPUTED_VALUE"""),23.0)</f>
        <v>23</v>
      </c>
      <c r="AH867" s="481"/>
      <c r="AI867" s="158"/>
      <c r="AJ867" s="158"/>
      <c r="AK867" s="133">
        <f>IFERROR(__xludf.DUMMYFUNCTION("""COMPUTED_VALUE"""),4.0)</f>
        <v>4</v>
      </c>
      <c r="AL867" s="133">
        <f>IFERROR(__xludf.DUMMYFUNCTION("""COMPUTED_VALUE"""),0.0)</f>
        <v>0</v>
      </c>
      <c r="AM867" s="133">
        <f>IFERROR(__xludf.DUMMYFUNCTION("""COMPUTED_VALUE"""),3.0)</f>
        <v>3</v>
      </c>
      <c r="AN867" s="133" t="str">
        <f>IFERROR(__xludf.DUMMYFUNCTION("""COMPUTED_VALUE"""),"3.5")</f>
        <v>3.5</v>
      </c>
      <c r="AO867" s="133">
        <f>IFERROR(__xludf.DUMMYFUNCTION("""COMPUTED_VALUE"""),3.0)</f>
        <v>3</v>
      </c>
      <c r="AP867" s="155" t="s">
        <v>3715</v>
      </c>
    </row>
    <row r="868">
      <c r="A868" s="155">
        <f>IFERROR(__xludf.DUMMYFUNCTION("""COMPUTED_VALUE"""),132.0)</f>
        <v>132</v>
      </c>
      <c r="B868" s="155" t="str">
        <f>IFERROR(__xludf.DUMMYFUNCTION("""COMPUTED_VALUE"""),"ujs23ainds@cmrit.ac.in")</f>
        <v>ujs23ainds@cmrit.ac.in</v>
      </c>
      <c r="C868" s="174" t="str">
        <f>IFERROR(__xludf.DUMMYFUNCTION("""COMPUTED_VALUE"""),"UJWAL S")</f>
        <v>UJWAL S</v>
      </c>
      <c r="D868" s="155" t="str">
        <f>IFERROR(__xludf.DUMMYFUNCTION("""COMPUTED_VALUE"""),"1CR23AD132")</f>
        <v>1CR23AD132</v>
      </c>
      <c r="E868" s="563">
        <f>IFERROR(__xludf.DUMMYFUNCTION("""COMPUTED_VALUE"""),8.123865601E9)</f>
        <v>8123865601</v>
      </c>
      <c r="F868" s="155" t="str">
        <f>IFERROR(__xludf.DUMMYFUNCTION("""COMPUTED_VALUE"""),"AIDS")</f>
        <v>AIDS</v>
      </c>
      <c r="G868" s="158"/>
      <c r="H868" s="559">
        <f>IFERROR(__xludf.DUMMYFUNCTION("""COMPUTED_VALUE"""),70.0)</f>
        <v>70</v>
      </c>
      <c r="I868" s="559">
        <f>IFERROR(__xludf.DUMMYFUNCTION("""COMPUTED_VALUE"""),70.0)</f>
        <v>70</v>
      </c>
      <c r="J868" s="559">
        <f>IFERROR(__xludf.DUMMYFUNCTION("""COMPUTED_VALUE"""),15.0)</f>
        <v>15</v>
      </c>
      <c r="K868" s="559">
        <f>IFERROR(__xludf.DUMMYFUNCTION("""COMPUTED_VALUE"""),70.0)</f>
        <v>70</v>
      </c>
      <c r="L868" s="560">
        <f>IFERROR(__xludf.DUMMYFUNCTION("""COMPUTED_VALUE"""),50.0)</f>
        <v>50</v>
      </c>
      <c r="M868" s="561">
        <f>IFERROR(__xludf.DUMMYFUNCTION("""COMPUTED_VALUE"""),50.0)</f>
        <v>50</v>
      </c>
      <c r="N868" s="561">
        <f>IFERROR(__xludf.DUMMYFUNCTION("""COMPUTED_VALUE"""),11.0)</f>
        <v>11</v>
      </c>
      <c r="O868" s="560"/>
      <c r="P868" s="562">
        <f>IFERROR(__xludf.DUMMYFUNCTION("""COMPUTED_VALUE"""),50.0)</f>
        <v>50</v>
      </c>
      <c r="Q868" s="562">
        <f>IFERROR(__xludf.DUMMYFUNCTION("""COMPUTED_VALUE"""),0.0)</f>
        <v>0</v>
      </c>
      <c r="R868" s="562">
        <f>IFERROR(__xludf.DUMMYFUNCTION("""COMPUTED_VALUE"""),0.0)</f>
        <v>0</v>
      </c>
      <c r="S868" s="562"/>
      <c r="T868" s="217">
        <f>IFERROR(__xludf.DUMMYFUNCTION("""COMPUTED_VALUE"""),12.0)</f>
        <v>12</v>
      </c>
      <c r="U868" s="217">
        <f>IFERROR(__xludf.DUMMYFUNCTION("""COMPUTED_VALUE"""),25.0)</f>
        <v>25</v>
      </c>
      <c r="V868" s="217">
        <f>IFERROR(__xludf.DUMMYFUNCTION("""COMPUTED_VALUE"""),80.0)</f>
        <v>80</v>
      </c>
      <c r="W868" s="217">
        <f>IFERROR(__xludf.DUMMYFUNCTION("""COMPUTED_VALUE"""),68.0)</f>
        <v>68</v>
      </c>
      <c r="X868" s="217">
        <f>IFERROR(__xludf.DUMMYFUNCTION("""COMPUTED_VALUE"""),92.0)</f>
        <v>92</v>
      </c>
      <c r="Y868" s="217"/>
      <c r="Z868" s="217"/>
      <c r="AA868" s="481">
        <f>IFERROR(__xludf.DUMMYFUNCTION("""COMPUTED_VALUE"""),0.0)</f>
        <v>0</v>
      </c>
      <c r="AB868" s="481">
        <f>IFERROR(__xludf.DUMMYFUNCTION("""COMPUTED_VALUE"""),43.0)</f>
        <v>43</v>
      </c>
      <c r="AC868" s="481">
        <f>IFERROR(__xludf.DUMMYFUNCTION("""COMPUTED_VALUE"""),70.0)</f>
        <v>70</v>
      </c>
      <c r="AD868" s="481">
        <f>IFERROR(__xludf.DUMMYFUNCTION("""COMPUTED_VALUE"""),6.0)</f>
        <v>6</v>
      </c>
      <c r="AE868" s="481">
        <f>IFERROR(__xludf.DUMMYFUNCTION("""COMPUTED_VALUE"""),12.0)</f>
        <v>12</v>
      </c>
      <c r="AF868" s="481"/>
      <c r="AG868" s="481">
        <f>IFERROR(__xludf.DUMMYFUNCTION("""COMPUTED_VALUE"""),18.0)</f>
        <v>18</v>
      </c>
      <c r="AH868" s="481"/>
      <c r="AI868" s="158"/>
      <c r="AJ868" s="158"/>
      <c r="AK868" s="133">
        <f>IFERROR(__xludf.DUMMYFUNCTION("""COMPUTED_VALUE"""),2.0)</f>
        <v>2</v>
      </c>
      <c r="AL868" s="133">
        <f>IFERROR(__xludf.DUMMYFUNCTION("""COMPUTED_VALUE"""),2.0)</f>
        <v>2</v>
      </c>
      <c r="AM868" s="133">
        <f>IFERROR(__xludf.DUMMYFUNCTION("""COMPUTED_VALUE"""),3.0)</f>
        <v>3</v>
      </c>
      <c r="AN868" s="133" t="str">
        <f>IFERROR(__xludf.DUMMYFUNCTION("""COMPUTED_VALUE"""),"0")</f>
        <v>0</v>
      </c>
      <c r="AO868" s="133">
        <f>IFERROR(__xludf.DUMMYFUNCTION("""COMPUTED_VALUE"""),1.0)</f>
        <v>1</v>
      </c>
      <c r="AP868" s="155" t="s">
        <v>3715</v>
      </c>
    </row>
    <row r="869">
      <c r="A869" s="155">
        <f>IFERROR(__xludf.DUMMYFUNCTION("""COMPUTED_VALUE"""),133.0)</f>
        <v>133</v>
      </c>
      <c r="B869" s="155" t="str">
        <f>IFERROR(__xludf.DUMMYFUNCTION("""COMPUTED_VALUE"""),"vmsa23ainds@cmrit.ac.in")</f>
        <v>vmsa23ainds@cmrit.ac.in</v>
      </c>
      <c r="C869" s="174" t="str">
        <f>IFERROR(__xludf.DUMMYFUNCTION("""COMPUTED_VALUE"""),"V M Sai Harini")</f>
        <v>V M Sai Harini</v>
      </c>
      <c r="D869" s="155" t="str">
        <f>IFERROR(__xludf.DUMMYFUNCTION("""COMPUTED_VALUE"""),"1CR23AD133")</f>
        <v>1CR23AD133</v>
      </c>
      <c r="E869" s="563">
        <f>IFERROR(__xludf.DUMMYFUNCTION("""COMPUTED_VALUE"""),7.89953859E9)</f>
        <v>7899538590</v>
      </c>
      <c r="F869" s="155" t="str">
        <f>IFERROR(__xludf.DUMMYFUNCTION("""COMPUTED_VALUE"""),"AIDS")</f>
        <v>AIDS</v>
      </c>
      <c r="G869" s="158"/>
      <c r="H869" s="559">
        <f>IFERROR(__xludf.DUMMYFUNCTION("""COMPUTED_VALUE"""),70.0)</f>
        <v>70</v>
      </c>
      <c r="I869" s="559">
        <f>IFERROR(__xludf.DUMMYFUNCTION("""COMPUTED_VALUE"""),84.0)</f>
        <v>84</v>
      </c>
      <c r="J869" s="559">
        <f>IFERROR(__xludf.DUMMYFUNCTION("""COMPUTED_VALUE"""),70.0)</f>
        <v>70</v>
      </c>
      <c r="K869" s="559">
        <f>IFERROR(__xludf.DUMMYFUNCTION("""COMPUTED_VALUE"""),70.0)</f>
        <v>70</v>
      </c>
      <c r="L869" s="560">
        <f>IFERROR(__xludf.DUMMYFUNCTION("""COMPUTED_VALUE"""),50.0)</f>
        <v>50</v>
      </c>
      <c r="M869" s="561">
        <f>IFERROR(__xludf.DUMMYFUNCTION("""COMPUTED_VALUE"""),21.0)</f>
        <v>21</v>
      </c>
      <c r="N869" s="561">
        <f>IFERROR(__xludf.DUMMYFUNCTION("""COMPUTED_VALUE"""),0.0)</f>
        <v>0</v>
      </c>
      <c r="O869" s="560"/>
      <c r="P869" s="562">
        <f>IFERROR(__xludf.DUMMYFUNCTION("""COMPUTED_VALUE"""),75.0)</f>
        <v>75</v>
      </c>
      <c r="Q869" s="562">
        <f>IFERROR(__xludf.DUMMYFUNCTION("""COMPUTED_VALUE"""),61.0)</f>
        <v>61</v>
      </c>
      <c r="R869" s="562">
        <f>IFERROR(__xludf.DUMMYFUNCTION("""COMPUTED_VALUE"""),97.0)</f>
        <v>97</v>
      </c>
      <c r="S869" s="562"/>
      <c r="T869" s="217">
        <f>IFERROR(__xludf.DUMMYFUNCTION("""COMPUTED_VALUE"""),15.0)</f>
        <v>15</v>
      </c>
      <c r="U869" s="217">
        <f>IFERROR(__xludf.DUMMYFUNCTION("""COMPUTED_VALUE"""),17.0)</f>
        <v>17</v>
      </c>
      <c r="V869" s="217">
        <f>IFERROR(__xludf.DUMMYFUNCTION("""COMPUTED_VALUE"""),88.0)</f>
        <v>88</v>
      </c>
      <c r="W869" s="217">
        <f>IFERROR(__xludf.DUMMYFUNCTION("""COMPUTED_VALUE"""),72.0)</f>
        <v>72</v>
      </c>
      <c r="X869" s="217">
        <f>IFERROR(__xludf.DUMMYFUNCTION("""COMPUTED_VALUE"""),86.0)</f>
        <v>86</v>
      </c>
      <c r="Y869" s="217"/>
      <c r="Z869" s="217"/>
      <c r="AA869" s="481">
        <f>IFERROR(__xludf.DUMMYFUNCTION("""COMPUTED_VALUE"""),0.0)</f>
        <v>0</v>
      </c>
      <c r="AB869" s="481">
        <f>IFERROR(__xludf.DUMMYFUNCTION("""COMPUTED_VALUE"""),90.0)</f>
        <v>90</v>
      </c>
      <c r="AC869" s="481">
        <f>IFERROR(__xludf.DUMMYFUNCTION("""COMPUTED_VALUE"""),100.0)</f>
        <v>100</v>
      </c>
      <c r="AD869" s="481">
        <f>IFERROR(__xludf.DUMMYFUNCTION("""COMPUTED_VALUE"""),13.0)</f>
        <v>13</v>
      </c>
      <c r="AE869" s="481">
        <f>IFERROR(__xludf.DUMMYFUNCTION("""COMPUTED_VALUE"""),15.0)</f>
        <v>15</v>
      </c>
      <c r="AF869" s="481"/>
      <c r="AG869" s="481">
        <f>IFERROR(__xludf.DUMMYFUNCTION("""COMPUTED_VALUE"""),70.0)</f>
        <v>70</v>
      </c>
      <c r="AH869" s="481"/>
      <c r="AI869" s="158"/>
      <c r="AJ869" s="158"/>
      <c r="AK869" s="133">
        <f>IFERROR(__xludf.DUMMYFUNCTION("""COMPUTED_VALUE"""),4.0)</f>
        <v>4</v>
      </c>
      <c r="AL869" s="133">
        <f>IFERROR(__xludf.DUMMYFUNCTION("""COMPUTED_VALUE"""),1.0)</f>
        <v>1</v>
      </c>
      <c r="AM869" s="133">
        <f>IFERROR(__xludf.DUMMYFUNCTION("""COMPUTED_VALUE"""),3.0)</f>
        <v>3</v>
      </c>
      <c r="AN869" s="133" t="str">
        <f>IFERROR(__xludf.DUMMYFUNCTION("""COMPUTED_VALUE"""),"3")</f>
        <v>3</v>
      </c>
      <c r="AO869" s="133">
        <f>IFERROR(__xludf.DUMMYFUNCTION("""COMPUTED_VALUE"""),3.0)</f>
        <v>3</v>
      </c>
      <c r="AP869" s="155" t="s">
        <v>3715</v>
      </c>
    </row>
    <row r="870">
      <c r="A870" s="155">
        <f>IFERROR(__xludf.DUMMYFUNCTION("""COMPUTED_VALUE"""),134.0)</f>
        <v>134</v>
      </c>
      <c r="B870" s="155" t="str">
        <f>IFERROR(__xludf.DUMMYFUNCTION("""COMPUTED_VALUE"""),"vana23ainds@cmrit.ac.in")</f>
        <v>vana23ainds@cmrit.ac.in</v>
      </c>
      <c r="C870" s="174" t="str">
        <f>IFERROR(__xludf.DUMMYFUNCTION("""COMPUTED_VALUE"""),"Varsha C Naik")</f>
        <v>Varsha C Naik</v>
      </c>
      <c r="D870" s="155" t="str">
        <f>IFERROR(__xludf.DUMMYFUNCTION("""COMPUTED_VALUE"""),"1CR23AD134")</f>
        <v>1CR23AD134</v>
      </c>
      <c r="E870" s="563">
        <f>IFERROR(__xludf.DUMMYFUNCTION("""COMPUTED_VALUE"""),7.349098402E9)</f>
        <v>7349098402</v>
      </c>
      <c r="F870" s="155" t="str">
        <f>IFERROR(__xludf.DUMMYFUNCTION("""COMPUTED_VALUE"""),"AIDS")</f>
        <v>AIDS</v>
      </c>
      <c r="G870" s="158"/>
      <c r="H870" s="559">
        <f>IFERROR(__xludf.DUMMYFUNCTION("""COMPUTED_VALUE"""),70.0)</f>
        <v>70</v>
      </c>
      <c r="I870" s="559">
        <f>IFERROR(__xludf.DUMMYFUNCTION("""COMPUTED_VALUE"""),78.0)</f>
        <v>78</v>
      </c>
      <c r="J870" s="559">
        <f>IFERROR(__xludf.DUMMYFUNCTION("""COMPUTED_VALUE"""),70.0)</f>
        <v>70</v>
      </c>
      <c r="K870" s="559">
        <f>IFERROR(__xludf.DUMMYFUNCTION("""COMPUTED_VALUE"""),70.0)</f>
        <v>70</v>
      </c>
      <c r="L870" s="560">
        <f>IFERROR(__xludf.DUMMYFUNCTION("""COMPUTED_VALUE"""),50.0)</f>
        <v>50</v>
      </c>
      <c r="M870" s="561">
        <f>IFERROR(__xludf.DUMMYFUNCTION("""COMPUTED_VALUE"""),50.0)</f>
        <v>50</v>
      </c>
      <c r="N870" s="561">
        <f>IFERROR(__xludf.DUMMYFUNCTION("""COMPUTED_VALUE"""),50.0)</f>
        <v>50</v>
      </c>
      <c r="O870" s="560"/>
      <c r="P870" s="562">
        <f>IFERROR(__xludf.DUMMYFUNCTION("""COMPUTED_VALUE"""),73.0)</f>
        <v>73</v>
      </c>
      <c r="Q870" s="562">
        <f>IFERROR(__xludf.DUMMYFUNCTION("""COMPUTED_VALUE"""),72.0)</f>
        <v>72</v>
      </c>
      <c r="R870" s="562">
        <f>IFERROR(__xludf.DUMMYFUNCTION("""COMPUTED_VALUE"""),95.0)</f>
        <v>95</v>
      </c>
      <c r="S870" s="562"/>
      <c r="T870" s="217">
        <f>IFERROR(__xludf.DUMMYFUNCTION("""COMPUTED_VALUE"""),11.0)</f>
        <v>11</v>
      </c>
      <c r="U870" s="217">
        <f>IFERROR(__xludf.DUMMYFUNCTION("""COMPUTED_VALUE"""),20.0)</f>
        <v>20</v>
      </c>
      <c r="V870" s="217">
        <f>IFERROR(__xludf.DUMMYFUNCTION("""COMPUTED_VALUE"""),82.0)</f>
        <v>82</v>
      </c>
      <c r="W870" s="217">
        <f>IFERROR(__xludf.DUMMYFUNCTION("""COMPUTED_VALUE"""),86.0)</f>
        <v>86</v>
      </c>
      <c r="X870" s="217">
        <f>IFERROR(__xludf.DUMMYFUNCTION("""COMPUTED_VALUE"""),78.0)</f>
        <v>78</v>
      </c>
      <c r="Y870" s="217"/>
      <c r="Z870" s="217"/>
      <c r="AA870" s="481">
        <f>IFERROR(__xludf.DUMMYFUNCTION("""COMPUTED_VALUE"""),28.0)</f>
        <v>28</v>
      </c>
      <c r="AB870" s="481">
        <f>IFERROR(__xludf.DUMMYFUNCTION("""COMPUTED_VALUE"""),83.0)</f>
        <v>83</v>
      </c>
      <c r="AC870" s="481">
        <f>IFERROR(__xludf.DUMMYFUNCTION("""COMPUTED_VALUE"""),42.0)</f>
        <v>42</v>
      </c>
      <c r="AD870" s="481">
        <f>IFERROR(__xludf.DUMMYFUNCTION("""COMPUTED_VALUE"""),80.0)</f>
        <v>80</v>
      </c>
      <c r="AE870" s="481">
        <f>IFERROR(__xludf.DUMMYFUNCTION("""COMPUTED_VALUE"""),80.0)</f>
        <v>80</v>
      </c>
      <c r="AF870" s="481"/>
      <c r="AG870" s="481">
        <f>IFERROR(__xludf.DUMMYFUNCTION("""COMPUTED_VALUE"""),76.0)</f>
        <v>76</v>
      </c>
      <c r="AH870" s="481"/>
      <c r="AI870" s="158"/>
      <c r="AJ870" s="158"/>
      <c r="AK870" s="133">
        <f>IFERROR(__xludf.DUMMYFUNCTION("""COMPUTED_VALUE"""),4.0)</f>
        <v>4</v>
      </c>
      <c r="AL870" s="133">
        <f>IFERROR(__xludf.DUMMYFUNCTION("""COMPUTED_VALUE"""),3.0)</f>
        <v>3</v>
      </c>
      <c r="AM870" s="133">
        <f>IFERROR(__xludf.DUMMYFUNCTION("""COMPUTED_VALUE"""),3.0)</f>
        <v>3</v>
      </c>
      <c r="AN870" s="133" t="str">
        <f>IFERROR(__xludf.DUMMYFUNCTION("""COMPUTED_VALUE"""),"3.5")</f>
        <v>3.5</v>
      </c>
      <c r="AO870" s="133">
        <f>IFERROR(__xludf.DUMMYFUNCTION("""COMPUTED_VALUE"""),3.0)</f>
        <v>3</v>
      </c>
      <c r="AP870" s="155" t="s">
        <v>3715</v>
      </c>
    </row>
    <row r="871">
      <c r="A871" s="155">
        <f>IFERROR(__xludf.DUMMYFUNCTION("""COMPUTED_VALUE"""),135.0)</f>
        <v>135</v>
      </c>
      <c r="B871" s="155" t="str">
        <f>IFERROR(__xludf.DUMMYFUNCTION("""COMPUTED_VALUE"""),"val23ainds@cmrit.ac.in")</f>
        <v>val23ainds@cmrit.ac.in</v>
      </c>
      <c r="C871" s="174" t="str">
        <f>IFERROR(__xludf.DUMMYFUNCTION("""COMPUTED_VALUE"""),"VARSHINI L")</f>
        <v>VARSHINI L</v>
      </c>
      <c r="D871" s="155" t="str">
        <f>IFERROR(__xludf.DUMMYFUNCTION("""COMPUTED_VALUE"""),"1CR23AD135")</f>
        <v>1CR23AD135</v>
      </c>
      <c r="E871" s="563">
        <f>IFERROR(__xludf.DUMMYFUNCTION("""COMPUTED_VALUE"""),8.217468602E9)</f>
        <v>8217468602</v>
      </c>
      <c r="F871" s="155" t="str">
        <f>IFERROR(__xludf.DUMMYFUNCTION("""COMPUTED_VALUE"""),"AIDS")</f>
        <v>AIDS</v>
      </c>
      <c r="G871" s="158"/>
      <c r="H871" s="559">
        <f>IFERROR(__xludf.DUMMYFUNCTION("""COMPUTED_VALUE"""),70.0)</f>
        <v>70</v>
      </c>
      <c r="I871" s="559">
        <f>IFERROR(__xludf.DUMMYFUNCTION("""COMPUTED_VALUE"""),81.0)</f>
        <v>81</v>
      </c>
      <c r="J871" s="559">
        <f>IFERROR(__xludf.DUMMYFUNCTION("""COMPUTED_VALUE"""),75.0)</f>
        <v>75</v>
      </c>
      <c r="K871" s="559">
        <f>IFERROR(__xludf.DUMMYFUNCTION("""COMPUTED_VALUE"""),77.0)</f>
        <v>77</v>
      </c>
      <c r="L871" s="560">
        <f>IFERROR(__xludf.DUMMYFUNCTION("""COMPUTED_VALUE"""),50.0)</f>
        <v>50</v>
      </c>
      <c r="M871" s="561">
        <f>IFERROR(__xludf.DUMMYFUNCTION("""COMPUTED_VALUE"""),50.0)</f>
        <v>50</v>
      </c>
      <c r="N871" s="561">
        <f>IFERROR(__xludf.DUMMYFUNCTION("""COMPUTED_VALUE"""),27.0)</f>
        <v>27</v>
      </c>
      <c r="O871" s="560"/>
      <c r="P871" s="562">
        <f>IFERROR(__xludf.DUMMYFUNCTION("""COMPUTED_VALUE"""),80.0)</f>
        <v>80</v>
      </c>
      <c r="Q871" s="562">
        <f>IFERROR(__xludf.DUMMYFUNCTION("""COMPUTED_VALUE"""),72.0)</f>
        <v>72</v>
      </c>
      <c r="R871" s="562">
        <f>IFERROR(__xludf.DUMMYFUNCTION("""COMPUTED_VALUE"""),92.0)</f>
        <v>92</v>
      </c>
      <c r="S871" s="562"/>
      <c r="T871" s="217">
        <f>IFERROR(__xludf.DUMMYFUNCTION("""COMPUTED_VALUE"""),11.0)</f>
        <v>11</v>
      </c>
      <c r="U871" s="217">
        <f>IFERROR(__xludf.DUMMYFUNCTION("""COMPUTED_VALUE"""),21.0)</f>
        <v>21</v>
      </c>
      <c r="V871" s="217">
        <f>IFERROR(__xludf.DUMMYFUNCTION("""COMPUTED_VALUE"""),94.0)</f>
        <v>94</v>
      </c>
      <c r="W871" s="217">
        <f>IFERROR(__xludf.DUMMYFUNCTION("""COMPUTED_VALUE"""),68.0)</f>
        <v>68</v>
      </c>
      <c r="X871" s="217">
        <f>IFERROR(__xludf.DUMMYFUNCTION("""COMPUTED_VALUE"""),74.0)</f>
        <v>74</v>
      </c>
      <c r="Y871" s="217"/>
      <c r="Z871" s="217"/>
      <c r="AA871" s="481">
        <f>IFERROR(__xludf.DUMMYFUNCTION("""COMPUTED_VALUE"""),66.0)</f>
        <v>66</v>
      </c>
      <c r="AB871" s="481">
        <f>IFERROR(__xludf.DUMMYFUNCTION("""COMPUTED_VALUE"""),87.0)</f>
        <v>87</v>
      </c>
      <c r="AC871" s="481">
        <f>IFERROR(__xludf.DUMMYFUNCTION("""COMPUTED_VALUE"""),57.0)</f>
        <v>57</v>
      </c>
      <c r="AD871" s="481">
        <f>IFERROR(__xludf.DUMMYFUNCTION("""COMPUTED_VALUE"""),11.0)</f>
        <v>11</v>
      </c>
      <c r="AE871" s="481">
        <f>IFERROR(__xludf.DUMMYFUNCTION("""COMPUTED_VALUE"""),19.0)</f>
        <v>19</v>
      </c>
      <c r="AF871" s="481"/>
      <c r="AG871" s="481">
        <f>IFERROR(__xludf.DUMMYFUNCTION("""COMPUTED_VALUE"""),83.0)</f>
        <v>83</v>
      </c>
      <c r="AH871" s="481"/>
      <c r="AI871" s="158"/>
      <c r="AJ871" s="158"/>
      <c r="AK871" s="133">
        <f>IFERROR(__xludf.DUMMYFUNCTION("""COMPUTED_VALUE"""),4.0)</f>
        <v>4</v>
      </c>
      <c r="AL871" s="133">
        <f>IFERROR(__xludf.DUMMYFUNCTION("""COMPUTED_VALUE"""),2.0)</f>
        <v>2</v>
      </c>
      <c r="AM871" s="133">
        <f>IFERROR(__xludf.DUMMYFUNCTION("""COMPUTED_VALUE"""),3.0)</f>
        <v>3</v>
      </c>
      <c r="AN871" s="133" t="str">
        <f>IFERROR(__xludf.DUMMYFUNCTION("""COMPUTED_VALUE"""),"2")</f>
        <v>2</v>
      </c>
      <c r="AO871" s="133">
        <f>IFERROR(__xludf.DUMMYFUNCTION("""COMPUTED_VALUE"""),3.0)</f>
        <v>3</v>
      </c>
      <c r="AP871" s="155" t="s">
        <v>3715</v>
      </c>
    </row>
    <row r="872">
      <c r="A872" s="155">
        <f>IFERROR(__xludf.DUMMYFUNCTION("""COMPUTED_VALUE"""),136.0)</f>
        <v>136</v>
      </c>
      <c r="B872" s="155" t="str">
        <f>IFERROR(__xludf.DUMMYFUNCTION("""COMPUTED_VALUE"""),"veuv23ainds@cmrit.ac.in")</f>
        <v>veuv23ainds@cmrit.ac.in</v>
      </c>
      <c r="C872" s="174" t="str">
        <f>IFERROR(__xludf.DUMMYFUNCTION("""COMPUTED_VALUE"""),"Vedraj U V")</f>
        <v>Vedraj U V</v>
      </c>
      <c r="D872" s="155" t="str">
        <f>IFERROR(__xludf.DUMMYFUNCTION("""COMPUTED_VALUE"""),"1CR23AD136")</f>
        <v>1CR23AD136</v>
      </c>
      <c r="E872" s="563">
        <f>IFERROR(__xludf.DUMMYFUNCTION("""COMPUTED_VALUE"""),8.43158607E9)</f>
        <v>8431586070</v>
      </c>
      <c r="F872" s="155" t="str">
        <f>IFERROR(__xludf.DUMMYFUNCTION("""COMPUTED_VALUE"""),"AIDS")</f>
        <v>AIDS</v>
      </c>
      <c r="G872" s="158"/>
      <c r="H872" s="559">
        <f>IFERROR(__xludf.DUMMYFUNCTION("""COMPUTED_VALUE"""),74.0)</f>
        <v>74</v>
      </c>
      <c r="I872" s="559">
        <f>IFERROR(__xludf.DUMMYFUNCTION("""COMPUTED_VALUE"""),83.0)</f>
        <v>83</v>
      </c>
      <c r="J872" s="559">
        <f>IFERROR(__xludf.DUMMYFUNCTION("""COMPUTED_VALUE"""),76.0)</f>
        <v>76</v>
      </c>
      <c r="K872" s="559">
        <f>IFERROR(__xludf.DUMMYFUNCTION("""COMPUTED_VALUE"""),81.0)</f>
        <v>81</v>
      </c>
      <c r="L872" s="560">
        <f>IFERROR(__xludf.DUMMYFUNCTION("""COMPUTED_VALUE"""),61.0)</f>
        <v>61</v>
      </c>
      <c r="M872" s="561">
        <f>IFERROR(__xludf.DUMMYFUNCTION("""COMPUTED_VALUE"""),50.0)</f>
        <v>50</v>
      </c>
      <c r="N872" s="561">
        <f>IFERROR(__xludf.DUMMYFUNCTION("""COMPUTED_VALUE"""),59.0)</f>
        <v>59</v>
      </c>
      <c r="O872" s="560"/>
      <c r="P872" s="562">
        <f>IFERROR(__xludf.DUMMYFUNCTION("""COMPUTED_VALUE"""),75.0)</f>
        <v>75</v>
      </c>
      <c r="Q872" s="562">
        <f>IFERROR(__xludf.DUMMYFUNCTION("""COMPUTED_VALUE"""),50.0)</f>
        <v>50</v>
      </c>
      <c r="R872" s="562">
        <f>IFERROR(__xludf.DUMMYFUNCTION("""COMPUTED_VALUE"""),81.0)</f>
        <v>81</v>
      </c>
      <c r="S872" s="562"/>
      <c r="T872" s="217">
        <f>IFERROR(__xludf.DUMMYFUNCTION("""COMPUTED_VALUE"""),15.0)</f>
        <v>15</v>
      </c>
      <c r="U872" s="217">
        <f>IFERROR(__xludf.DUMMYFUNCTION("""COMPUTED_VALUE"""),20.0)</f>
        <v>20</v>
      </c>
      <c r="V872" s="217">
        <f>IFERROR(__xludf.DUMMYFUNCTION("""COMPUTED_VALUE"""),80.0)</f>
        <v>80</v>
      </c>
      <c r="W872" s="217">
        <f>IFERROR(__xludf.DUMMYFUNCTION("""COMPUTED_VALUE"""),86.0)</f>
        <v>86</v>
      </c>
      <c r="X872" s="217">
        <f>IFERROR(__xludf.DUMMYFUNCTION("""COMPUTED_VALUE"""),68.0)</f>
        <v>68</v>
      </c>
      <c r="Y872" s="217"/>
      <c r="Z872" s="217"/>
      <c r="AA872" s="481">
        <f>IFERROR(__xludf.DUMMYFUNCTION("""COMPUTED_VALUE"""),16.0)</f>
        <v>16</v>
      </c>
      <c r="AB872" s="481">
        <f>IFERROR(__xludf.DUMMYFUNCTION("""COMPUTED_VALUE"""),100.0)</f>
        <v>100</v>
      </c>
      <c r="AC872" s="481">
        <f>IFERROR(__xludf.DUMMYFUNCTION("""COMPUTED_VALUE"""),99.0)</f>
        <v>99</v>
      </c>
      <c r="AD872" s="481">
        <f>IFERROR(__xludf.DUMMYFUNCTION("""COMPUTED_VALUE"""),100.0)</f>
        <v>100</v>
      </c>
      <c r="AE872" s="481">
        <f>IFERROR(__xludf.DUMMYFUNCTION("""COMPUTED_VALUE"""),74.0)</f>
        <v>74</v>
      </c>
      <c r="AF872" s="481"/>
      <c r="AG872" s="481">
        <f>IFERROR(__xludf.DUMMYFUNCTION("""COMPUTED_VALUE"""),77.0)</f>
        <v>77</v>
      </c>
      <c r="AH872" s="481"/>
      <c r="AI872" s="158"/>
      <c r="AJ872" s="158"/>
      <c r="AK872" s="133">
        <f>IFERROR(__xludf.DUMMYFUNCTION("""COMPUTED_VALUE"""),4.0)</f>
        <v>4</v>
      </c>
      <c r="AL872" s="133">
        <f>IFERROR(__xludf.DUMMYFUNCTION("""COMPUTED_VALUE"""),3.0)</f>
        <v>3</v>
      </c>
      <c r="AM872" s="133">
        <f>IFERROR(__xludf.DUMMYFUNCTION("""COMPUTED_VALUE"""),3.0)</f>
        <v>3</v>
      </c>
      <c r="AN872" s="133" t="str">
        <f>IFERROR(__xludf.DUMMYFUNCTION("""COMPUTED_VALUE"""),"3.5")</f>
        <v>3.5</v>
      </c>
      <c r="AO872" s="133">
        <f>IFERROR(__xludf.DUMMYFUNCTION("""COMPUTED_VALUE"""),3.0)</f>
        <v>3</v>
      </c>
      <c r="AP872" s="155" t="s">
        <v>3715</v>
      </c>
    </row>
    <row r="873">
      <c r="A873" s="155">
        <f>IFERROR(__xludf.DUMMYFUNCTION("""COMPUTED_VALUE"""),137.0)</f>
        <v>137</v>
      </c>
      <c r="B873" s="155" t="str">
        <f>IFERROR(__xludf.DUMMYFUNCTION("""COMPUTED_VALUE"""),"vikc23ainds@cmrit.ac.in")</f>
        <v>vikc23ainds@cmrit.ac.in</v>
      </c>
      <c r="C873" s="174" t="str">
        <f>IFERROR(__xludf.DUMMYFUNCTION("""COMPUTED_VALUE"""),"VINEETH K C")</f>
        <v>VINEETH K C</v>
      </c>
      <c r="D873" s="155" t="str">
        <f>IFERROR(__xludf.DUMMYFUNCTION("""COMPUTED_VALUE"""),"1CR23AD137")</f>
        <v>1CR23AD137</v>
      </c>
      <c r="E873" s="563">
        <f>IFERROR(__xludf.DUMMYFUNCTION("""COMPUTED_VALUE"""),9.019998139E9)</f>
        <v>9019998139</v>
      </c>
      <c r="F873" s="155" t="str">
        <f>IFERROR(__xludf.DUMMYFUNCTION("""COMPUTED_VALUE"""),"AIDS")</f>
        <v>AIDS</v>
      </c>
      <c r="G873" s="158"/>
      <c r="H873" s="559">
        <f>IFERROR(__xludf.DUMMYFUNCTION("""COMPUTED_VALUE"""),71.0)</f>
        <v>71</v>
      </c>
      <c r="I873" s="559">
        <f>IFERROR(__xludf.DUMMYFUNCTION("""COMPUTED_VALUE"""),76.0)</f>
        <v>76</v>
      </c>
      <c r="J873" s="559">
        <f>IFERROR(__xludf.DUMMYFUNCTION("""COMPUTED_VALUE"""),75.0)</f>
        <v>75</v>
      </c>
      <c r="K873" s="559">
        <f>IFERROR(__xludf.DUMMYFUNCTION("""COMPUTED_VALUE"""),74.0)</f>
        <v>74</v>
      </c>
      <c r="L873" s="560">
        <f>IFERROR(__xludf.DUMMYFUNCTION("""COMPUTED_VALUE"""),40.0)</f>
        <v>40</v>
      </c>
      <c r="M873" s="561">
        <f>IFERROR(__xludf.DUMMYFUNCTION("""COMPUTED_VALUE"""),50.0)</f>
        <v>50</v>
      </c>
      <c r="N873" s="561">
        <f>IFERROR(__xludf.DUMMYFUNCTION("""COMPUTED_VALUE"""),21.0)</f>
        <v>21</v>
      </c>
      <c r="O873" s="560"/>
      <c r="P873" s="562">
        <f>IFERROR(__xludf.DUMMYFUNCTION("""COMPUTED_VALUE"""),80.0)</f>
        <v>80</v>
      </c>
      <c r="Q873" s="562">
        <f>IFERROR(__xludf.DUMMYFUNCTION("""COMPUTED_VALUE"""),50.0)</f>
        <v>50</v>
      </c>
      <c r="R873" s="562">
        <f>IFERROR(__xludf.DUMMYFUNCTION("""COMPUTED_VALUE"""),88.0)</f>
        <v>88</v>
      </c>
      <c r="S873" s="562"/>
      <c r="T873" s="217">
        <f>IFERROR(__xludf.DUMMYFUNCTION("""COMPUTED_VALUE"""),14.0)</f>
        <v>14</v>
      </c>
      <c r="U873" s="217">
        <f>IFERROR(__xludf.DUMMYFUNCTION("""COMPUTED_VALUE"""),24.0)</f>
        <v>24</v>
      </c>
      <c r="V873" s="217">
        <f>IFERROR(__xludf.DUMMYFUNCTION("""COMPUTED_VALUE"""),76.0)</f>
        <v>76</v>
      </c>
      <c r="W873" s="217">
        <f>IFERROR(__xludf.DUMMYFUNCTION("""COMPUTED_VALUE"""),78.0)</f>
        <v>78</v>
      </c>
      <c r="X873" s="217">
        <f>IFERROR(__xludf.DUMMYFUNCTION("""COMPUTED_VALUE"""),56.0)</f>
        <v>56</v>
      </c>
      <c r="Y873" s="217"/>
      <c r="Z873" s="217"/>
      <c r="AA873" s="481">
        <f>IFERROR(__xludf.DUMMYFUNCTION("""COMPUTED_VALUE"""),0.0)</f>
        <v>0</v>
      </c>
      <c r="AB873" s="481">
        <f>IFERROR(__xludf.DUMMYFUNCTION("""COMPUTED_VALUE"""),90.0)</f>
        <v>90</v>
      </c>
      <c r="AC873" s="481">
        <f>IFERROR(__xludf.DUMMYFUNCTION("""COMPUTED_VALUE"""),97.0)</f>
        <v>97</v>
      </c>
      <c r="AD873" s="481">
        <f>IFERROR(__xludf.DUMMYFUNCTION("""COMPUTED_VALUE"""),75.0)</f>
        <v>75</v>
      </c>
      <c r="AE873" s="481">
        <f>IFERROR(__xludf.DUMMYFUNCTION("""COMPUTED_VALUE"""),65.0)</f>
        <v>65</v>
      </c>
      <c r="AF873" s="481"/>
      <c r="AG873" s="481">
        <f>IFERROR(__xludf.DUMMYFUNCTION("""COMPUTED_VALUE"""),40.0)</f>
        <v>40</v>
      </c>
      <c r="AH873" s="481"/>
      <c r="AI873" s="158"/>
      <c r="AJ873" s="158"/>
      <c r="AK873" s="133">
        <f>IFERROR(__xludf.DUMMYFUNCTION("""COMPUTED_VALUE"""),4.0)</f>
        <v>4</v>
      </c>
      <c r="AL873" s="133">
        <f>IFERROR(__xludf.DUMMYFUNCTION("""COMPUTED_VALUE"""),0.0)</f>
        <v>0</v>
      </c>
      <c r="AM873" s="133">
        <f>IFERROR(__xludf.DUMMYFUNCTION("""COMPUTED_VALUE"""),3.0)</f>
        <v>3</v>
      </c>
      <c r="AN873" s="133" t="str">
        <f>IFERROR(__xludf.DUMMYFUNCTION("""COMPUTED_VALUE"""),"3")</f>
        <v>3</v>
      </c>
      <c r="AO873" s="133">
        <f>IFERROR(__xludf.DUMMYFUNCTION("""COMPUTED_VALUE"""),3.0)</f>
        <v>3</v>
      </c>
      <c r="AP873" s="155" t="s">
        <v>3715</v>
      </c>
    </row>
    <row r="874">
      <c r="A874" s="155">
        <f>IFERROR(__xludf.DUMMYFUNCTION("""COMPUTED_VALUE"""),138.0)</f>
        <v>138</v>
      </c>
      <c r="B874" s="155" t="str">
        <f>IFERROR(__xludf.DUMMYFUNCTION("""COMPUTED_VALUE"""),"vikh23ainds@cmrit.ac.in")</f>
        <v>vikh23ainds@cmrit.ac.in</v>
      </c>
      <c r="C874" s="174" t="str">
        <f>IFERROR(__xludf.DUMMYFUNCTION("""COMPUTED_VALUE"""),"VISHWAS KHANDELWAL")</f>
        <v>VISHWAS KHANDELWAL</v>
      </c>
      <c r="D874" s="155" t="str">
        <f>IFERROR(__xludf.DUMMYFUNCTION("""COMPUTED_VALUE"""),"1CR23AD138")</f>
        <v>1CR23AD138</v>
      </c>
      <c r="E874" s="563">
        <f>IFERROR(__xludf.DUMMYFUNCTION("""COMPUTED_VALUE"""),7.878808123E9)</f>
        <v>7878808123</v>
      </c>
      <c r="F874" s="155" t="str">
        <f>IFERROR(__xludf.DUMMYFUNCTION("""COMPUTED_VALUE"""),"AIDS")</f>
        <v>AIDS</v>
      </c>
      <c r="G874" s="158"/>
      <c r="H874" s="559">
        <f>IFERROR(__xludf.DUMMYFUNCTION("""COMPUTED_VALUE"""),81.0)</f>
        <v>81</v>
      </c>
      <c r="I874" s="559">
        <f>IFERROR(__xludf.DUMMYFUNCTION("""COMPUTED_VALUE"""),86.0)</f>
        <v>86</v>
      </c>
      <c r="J874" s="559">
        <f>IFERROR(__xludf.DUMMYFUNCTION("""COMPUTED_VALUE"""),72.0)</f>
        <v>72</v>
      </c>
      <c r="K874" s="559">
        <f>IFERROR(__xludf.DUMMYFUNCTION("""COMPUTED_VALUE"""),38.0)</f>
        <v>38</v>
      </c>
      <c r="L874" s="560">
        <f>IFERROR(__xludf.DUMMYFUNCTION("""COMPUTED_VALUE"""),50.0)</f>
        <v>50</v>
      </c>
      <c r="M874" s="561">
        <f>IFERROR(__xludf.DUMMYFUNCTION("""COMPUTED_VALUE"""),50.0)</f>
        <v>50</v>
      </c>
      <c r="N874" s="561">
        <f>IFERROR(__xludf.DUMMYFUNCTION("""COMPUTED_VALUE"""),21.0)</f>
        <v>21</v>
      </c>
      <c r="O874" s="560"/>
      <c r="P874" s="562">
        <f>IFERROR(__xludf.DUMMYFUNCTION("""COMPUTED_VALUE"""),80.0)</f>
        <v>80</v>
      </c>
      <c r="Q874" s="562">
        <f>IFERROR(__xludf.DUMMYFUNCTION("""COMPUTED_VALUE"""),89.0)</f>
        <v>89</v>
      </c>
      <c r="R874" s="562">
        <f>IFERROR(__xludf.DUMMYFUNCTION("""COMPUTED_VALUE"""),50.0)</f>
        <v>50</v>
      </c>
      <c r="S874" s="562"/>
      <c r="T874" s="217">
        <f>IFERROR(__xludf.DUMMYFUNCTION("""COMPUTED_VALUE"""),16.0)</f>
        <v>16</v>
      </c>
      <c r="U874" s="217">
        <f>IFERROR(__xludf.DUMMYFUNCTION("""COMPUTED_VALUE"""),23.0)</f>
        <v>23</v>
      </c>
      <c r="V874" s="217">
        <f>IFERROR(__xludf.DUMMYFUNCTION("""COMPUTED_VALUE"""),94.0)</f>
        <v>94</v>
      </c>
      <c r="W874" s="217">
        <f>IFERROR(__xludf.DUMMYFUNCTION("""COMPUTED_VALUE"""),78.0)</f>
        <v>78</v>
      </c>
      <c r="X874" s="217">
        <f>IFERROR(__xludf.DUMMYFUNCTION("""COMPUTED_VALUE"""),76.0)</f>
        <v>76</v>
      </c>
      <c r="Y874" s="217"/>
      <c r="Z874" s="217"/>
      <c r="AA874" s="481">
        <f>IFERROR(__xludf.DUMMYFUNCTION("""COMPUTED_VALUE"""),84.0)</f>
        <v>84</v>
      </c>
      <c r="AB874" s="481">
        <f>IFERROR(__xludf.DUMMYFUNCTION("""COMPUTED_VALUE"""),65.0)</f>
        <v>65</v>
      </c>
      <c r="AC874" s="481">
        <f>IFERROR(__xludf.DUMMYFUNCTION("""COMPUTED_VALUE"""),34.0)</f>
        <v>34</v>
      </c>
      <c r="AD874" s="481">
        <f>IFERROR(__xludf.DUMMYFUNCTION("""COMPUTED_VALUE"""),80.0)</f>
        <v>80</v>
      </c>
      <c r="AE874" s="481">
        <f>IFERROR(__xludf.DUMMYFUNCTION("""COMPUTED_VALUE"""),95.0)</f>
        <v>95</v>
      </c>
      <c r="AF874" s="481"/>
      <c r="AG874" s="481">
        <f>IFERROR(__xludf.DUMMYFUNCTION("""COMPUTED_VALUE"""),70.0)</f>
        <v>70</v>
      </c>
      <c r="AH874" s="481"/>
      <c r="AI874" s="158"/>
      <c r="AJ874" s="158"/>
      <c r="AK874" s="133">
        <f>IFERROR(__xludf.DUMMYFUNCTION("""COMPUTED_VALUE"""),3.0)</f>
        <v>3</v>
      </c>
      <c r="AL874" s="133">
        <f>IFERROR(__xludf.DUMMYFUNCTION("""COMPUTED_VALUE"""),2.0)</f>
        <v>2</v>
      </c>
      <c r="AM874" s="133">
        <f>IFERROR(__xludf.DUMMYFUNCTION("""COMPUTED_VALUE"""),3.0)</f>
        <v>3</v>
      </c>
      <c r="AN874" s="133" t="str">
        <f>IFERROR(__xludf.DUMMYFUNCTION("""COMPUTED_VALUE"""),"3.5")</f>
        <v>3.5</v>
      </c>
      <c r="AO874" s="133">
        <f>IFERROR(__xludf.DUMMYFUNCTION("""COMPUTED_VALUE"""),3.0)</f>
        <v>3</v>
      </c>
      <c r="AP874" s="155" t="s">
        <v>3715</v>
      </c>
    </row>
    <row r="875">
      <c r="A875" s="155">
        <f>IFERROR(__xludf.DUMMYFUNCTION("""COMPUTED_VALUE"""),139.0)</f>
        <v>139</v>
      </c>
      <c r="B875" s="155" t="str">
        <f>IFERROR(__xludf.DUMMYFUNCTION("""COMPUTED_VALUE"""),"viku23ainds@cmrit.ac.in")</f>
        <v>viku23ainds@cmrit.ac.in</v>
      </c>
      <c r="C875" s="174" t="str">
        <f>IFERROR(__xludf.DUMMYFUNCTION("""COMPUTED_VALUE"""),"VIVEK KUMAR")</f>
        <v>VIVEK KUMAR</v>
      </c>
      <c r="D875" s="155" t="str">
        <f>IFERROR(__xludf.DUMMYFUNCTION("""COMPUTED_VALUE"""),"1CR23AD139")</f>
        <v>1CR23AD139</v>
      </c>
      <c r="E875" s="563">
        <f>IFERROR(__xludf.DUMMYFUNCTION("""COMPUTED_VALUE"""),9.570970912E9)</f>
        <v>9570970912</v>
      </c>
      <c r="F875" s="155" t="str">
        <f>IFERROR(__xludf.DUMMYFUNCTION("""COMPUTED_VALUE"""),"AIDS")</f>
        <v>AIDS</v>
      </c>
      <c r="G875" s="158"/>
      <c r="H875" s="559">
        <f>IFERROR(__xludf.DUMMYFUNCTION("""COMPUTED_VALUE"""),69.0)</f>
        <v>69</v>
      </c>
      <c r="I875" s="559">
        <f>IFERROR(__xludf.DUMMYFUNCTION("""COMPUTED_VALUE"""),74.0)</f>
        <v>74</v>
      </c>
      <c r="J875" s="559">
        <f>IFERROR(__xludf.DUMMYFUNCTION("""COMPUTED_VALUE"""),47.0)</f>
        <v>47</v>
      </c>
      <c r="K875" s="559">
        <f>IFERROR(__xludf.DUMMYFUNCTION("""COMPUTED_VALUE"""),70.0)</f>
        <v>70</v>
      </c>
      <c r="L875" s="560">
        <f>IFERROR(__xludf.DUMMYFUNCTION("""COMPUTED_VALUE"""),50.0)</f>
        <v>50</v>
      </c>
      <c r="M875" s="561">
        <f>IFERROR(__xludf.DUMMYFUNCTION("""COMPUTED_VALUE"""),15.0)</f>
        <v>15</v>
      </c>
      <c r="N875" s="561">
        <f>IFERROR(__xludf.DUMMYFUNCTION("""COMPUTED_VALUE"""),15.0)</f>
        <v>15</v>
      </c>
      <c r="O875" s="560"/>
      <c r="P875" s="562">
        <f>IFERROR(__xludf.DUMMYFUNCTION("""COMPUTED_VALUE"""),73.0)</f>
        <v>73</v>
      </c>
      <c r="Q875" s="562">
        <f>IFERROR(__xludf.DUMMYFUNCTION("""COMPUTED_VALUE"""),0.0)</f>
        <v>0</v>
      </c>
      <c r="R875" s="562">
        <f>IFERROR(__xludf.DUMMYFUNCTION("""COMPUTED_VALUE"""),0.0)</f>
        <v>0</v>
      </c>
      <c r="S875" s="562"/>
      <c r="T875" s="217">
        <f>IFERROR(__xludf.DUMMYFUNCTION("""COMPUTED_VALUE"""),20.0)</f>
        <v>20</v>
      </c>
      <c r="U875" s="217">
        <f>IFERROR(__xludf.DUMMYFUNCTION("""COMPUTED_VALUE"""),24.0)</f>
        <v>24</v>
      </c>
      <c r="V875" s="217">
        <f>IFERROR(__xludf.DUMMYFUNCTION("""COMPUTED_VALUE"""),68.0)</f>
        <v>68</v>
      </c>
      <c r="W875" s="217"/>
      <c r="X875" s="217"/>
      <c r="Y875" s="217"/>
      <c r="Z875" s="217"/>
      <c r="AA875" s="481">
        <f>IFERROR(__xludf.DUMMYFUNCTION("""COMPUTED_VALUE"""),0.0)</f>
        <v>0</v>
      </c>
      <c r="AB875" s="481">
        <f>IFERROR(__xludf.DUMMYFUNCTION("""COMPUTED_VALUE"""),45.0)</f>
        <v>45</v>
      </c>
      <c r="AC875" s="481">
        <f>IFERROR(__xludf.DUMMYFUNCTION("""COMPUTED_VALUE"""),43.0)</f>
        <v>43</v>
      </c>
      <c r="AD875" s="481">
        <f>IFERROR(__xludf.DUMMYFUNCTION("""COMPUTED_VALUE"""),2.0)</f>
        <v>2</v>
      </c>
      <c r="AE875" s="481">
        <f>IFERROR(__xludf.DUMMYFUNCTION("""COMPUTED_VALUE"""),13.0)</f>
        <v>13</v>
      </c>
      <c r="AF875" s="481"/>
      <c r="AG875" s="481">
        <f>IFERROR(__xludf.DUMMYFUNCTION("""COMPUTED_VALUE"""),0.0)</f>
        <v>0</v>
      </c>
      <c r="AH875" s="481"/>
      <c r="AI875" s="158"/>
      <c r="AJ875" s="158"/>
      <c r="AK875" s="133">
        <f>IFERROR(__xludf.DUMMYFUNCTION("""COMPUTED_VALUE"""),2.0)</f>
        <v>2</v>
      </c>
      <c r="AL875" s="133">
        <f>IFERROR(__xludf.DUMMYFUNCTION("""COMPUTED_VALUE"""),1.0)</f>
        <v>1</v>
      </c>
      <c r="AM875" s="133">
        <f>IFERROR(__xludf.DUMMYFUNCTION("""COMPUTED_VALUE"""),3.0)</f>
        <v>3</v>
      </c>
      <c r="AN875" s="133" t="str">
        <f>IFERROR(__xludf.DUMMYFUNCTION("""COMPUTED_VALUE"""),"0")</f>
        <v>0</v>
      </c>
      <c r="AO875" s="133">
        <f>IFERROR(__xludf.DUMMYFUNCTION("""COMPUTED_VALUE"""),1.0)</f>
        <v>1</v>
      </c>
      <c r="AP875" s="155" t="s">
        <v>3715</v>
      </c>
    </row>
    <row r="876">
      <c r="A876" s="155">
        <f>IFERROR(__xludf.DUMMYFUNCTION("""COMPUTED_VALUE"""),140.0)</f>
        <v>140</v>
      </c>
      <c r="B876" s="155" t="str">
        <f>IFERROR(__xludf.DUMMYFUNCTION("""COMPUTED_VALUE"""),"yaro23ainds@cmrit.ac.in")</f>
        <v>yaro23ainds@cmrit.ac.in</v>
      </c>
      <c r="C876" s="174" t="str">
        <f>IFERROR(__xludf.DUMMYFUNCTION("""COMPUTED_VALUE"""),"YADAMA ROHITH")</f>
        <v>YADAMA ROHITH</v>
      </c>
      <c r="D876" s="155" t="str">
        <f>IFERROR(__xludf.DUMMYFUNCTION("""COMPUTED_VALUE"""),"1CR23AD140")</f>
        <v>1CR23AD140</v>
      </c>
      <c r="E876" s="563">
        <f>IFERROR(__xludf.DUMMYFUNCTION("""COMPUTED_VALUE"""),6.30037209E9)</f>
        <v>6300372090</v>
      </c>
      <c r="F876" s="155" t="str">
        <f>IFERROR(__xludf.DUMMYFUNCTION("""COMPUTED_VALUE"""),"AIDS")</f>
        <v>AIDS</v>
      </c>
      <c r="G876" s="158"/>
      <c r="H876" s="559">
        <f>IFERROR(__xludf.DUMMYFUNCTION("""COMPUTED_VALUE"""),80.0)</f>
        <v>80</v>
      </c>
      <c r="I876" s="559">
        <f>IFERROR(__xludf.DUMMYFUNCTION("""COMPUTED_VALUE"""),87.0)</f>
        <v>87</v>
      </c>
      <c r="J876" s="559">
        <f>IFERROR(__xludf.DUMMYFUNCTION("""COMPUTED_VALUE"""),70.0)</f>
        <v>70</v>
      </c>
      <c r="K876" s="559">
        <f>IFERROR(__xludf.DUMMYFUNCTION("""COMPUTED_VALUE"""),70.0)</f>
        <v>70</v>
      </c>
      <c r="L876" s="560">
        <f>IFERROR(__xludf.DUMMYFUNCTION("""COMPUTED_VALUE"""),59.0)</f>
        <v>59</v>
      </c>
      <c r="M876" s="561">
        <f>IFERROR(__xludf.DUMMYFUNCTION("""COMPUTED_VALUE"""),50.0)</f>
        <v>50</v>
      </c>
      <c r="N876" s="561">
        <f>IFERROR(__xludf.DUMMYFUNCTION("""COMPUTED_VALUE"""),20.0)</f>
        <v>20</v>
      </c>
      <c r="O876" s="560"/>
      <c r="P876" s="562">
        <f>IFERROR(__xludf.DUMMYFUNCTION("""COMPUTED_VALUE"""),85.0)</f>
        <v>85</v>
      </c>
      <c r="Q876" s="562">
        <f>IFERROR(__xludf.DUMMYFUNCTION("""COMPUTED_VALUE"""),0.0)</f>
        <v>0</v>
      </c>
      <c r="R876" s="562">
        <f>IFERROR(__xludf.DUMMYFUNCTION("""COMPUTED_VALUE"""),0.0)</f>
        <v>0</v>
      </c>
      <c r="S876" s="562"/>
      <c r="T876" s="217">
        <f>IFERROR(__xludf.DUMMYFUNCTION("""COMPUTED_VALUE"""),15.0)</f>
        <v>15</v>
      </c>
      <c r="U876" s="217">
        <f>IFERROR(__xludf.DUMMYFUNCTION("""COMPUTED_VALUE"""),22.0)</f>
        <v>22</v>
      </c>
      <c r="V876" s="217">
        <f>IFERROR(__xludf.DUMMYFUNCTION("""COMPUTED_VALUE"""),86.0)</f>
        <v>86</v>
      </c>
      <c r="W876" s="217">
        <f>IFERROR(__xludf.DUMMYFUNCTION("""COMPUTED_VALUE"""),70.0)</f>
        <v>70</v>
      </c>
      <c r="X876" s="217"/>
      <c r="Y876" s="217"/>
      <c r="Z876" s="217"/>
      <c r="AA876" s="481">
        <f>IFERROR(__xludf.DUMMYFUNCTION("""COMPUTED_VALUE"""),60.0)</f>
        <v>60</v>
      </c>
      <c r="AB876" s="481">
        <f>IFERROR(__xludf.DUMMYFUNCTION("""COMPUTED_VALUE"""),95.0)</f>
        <v>95</v>
      </c>
      <c r="AC876" s="481">
        <f>IFERROR(__xludf.DUMMYFUNCTION("""COMPUTED_VALUE"""),0.0)</f>
        <v>0</v>
      </c>
      <c r="AD876" s="481">
        <f>IFERROR(__xludf.DUMMYFUNCTION("""COMPUTED_VALUE"""),100.0)</f>
        <v>100</v>
      </c>
      <c r="AE876" s="481">
        <f>IFERROR(__xludf.DUMMYFUNCTION("""COMPUTED_VALUE"""),60.0)</f>
        <v>60</v>
      </c>
      <c r="AF876" s="481"/>
      <c r="AG876" s="481">
        <f>IFERROR(__xludf.DUMMYFUNCTION("""COMPUTED_VALUE"""),10.0)</f>
        <v>10</v>
      </c>
      <c r="AH876" s="481"/>
      <c r="AI876" s="158"/>
      <c r="AJ876" s="158"/>
      <c r="AK876" s="133">
        <f>IFERROR(__xludf.DUMMYFUNCTION("""COMPUTED_VALUE"""),4.0)</f>
        <v>4</v>
      </c>
      <c r="AL876" s="133">
        <f>IFERROR(__xludf.DUMMYFUNCTION("""COMPUTED_VALUE"""),2.0)</f>
        <v>2</v>
      </c>
      <c r="AM876" s="133">
        <f>IFERROR(__xludf.DUMMYFUNCTION("""COMPUTED_VALUE"""),3.0)</f>
        <v>3</v>
      </c>
      <c r="AN876" s="133" t="str">
        <f>IFERROR(__xludf.DUMMYFUNCTION("""COMPUTED_VALUE"""),"3")</f>
        <v>3</v>
      </c>
      <c r="AO876" s="133">
        <f>IFERROR(__xludf.DUMMYFUNCTION("""COMPUTED_VALUE"""),1.0)</f>
        <v>1</v>
      </c>
      <c r="AP876" s="155" t="s">
        <v>3715</v>
      </c>
    </row>
    <row r="877">
      <c r="A877" s="155">
        <f>IFERROR(__xludf.DUMMYFUNCTION("""COMPUTED_VALUE"""),141.0)</f>
        <v>141</v>
      </c>
      <c r="B877" s="155" t="str">
        <f>IFERROR(__xludf.DUMMYFUNCTION("""COMPUTED_VALUE"""),"yade23ainds@cmrit.ac.in")</f>
        <v>yade23ainds@cmrit.ac.in</v>
      </c>
      <c r="C877" s="174" t="str">
        <f>IFERROR(__xludf.DUMMYFUNCTION("""COMPUTED_VALUE"""),"Yashwant Dev")</f>
        <v>Yashwant Dev</v>
      </c>
      <c r="D877" s="155" t="str">
        <f>IFERROR(__xludf.DUMMYFUNCTION("""COMPUTED_VALUE"""),"1CR23AD141")</f>
        <v>1CR23AD141</v>
      </c>
      <c r="E877" s="563">
        <f>IFERROR(__xludf.DUMMYFUNCTION("""COMPUTED_VALUE"""),7.87741625E9)</f>
        <v>7877416250</v>
      </c>
      <c r="F877" s="155" t="str">
        <f>IFERROR(__xludf.DUMMYFUNCTION("""COMPUTED_VALUE"""),"AIDS")</f>
        <v>AIDS</v>
      </c>
      <c r="G877" s="158"/>
      <c r="H877" s="559">
        <f>IFERROR(__xludf.DUMMYFUNCTION("""COMPUTED_VALUE"""),72.0)</f>
        <v>72</v>
      </c>
      <c r="I877" s="559">
        <f>IFERROR(__xludf.DUMMYFUNCTION("""COMPUTED_VALUE"""),83.0)</f>
        <v>83</v>
      </c>
      <c r="J877" s="559">
        <f>IFERROR(__xludf.DUMMYFUNCTION("""COMPUTED_VALUE"""),73.0)</f>
        <v>73</v>
      </c>
      <c r="K877" s="559">
        <f>IFERROR(__xludf.DUMMYFUNCTION("""COMPUTED_VALUE"""),70.0)</f>
        <v>70</v>
      </c>
      <c r="L877" s="560">
        <f>IFERROR(__xludf.DUMMYFUNCTION("""COMPUTED_VALUE"""),50.0)</f>
        <v>50</v>
      </c>
      <c r="M877" s="561">
        <f>IFERROR(__xludf.DUMMYFUNCTION("""COMPUTED_VALUE"""),17.0)</f>
        <v>17</v>
      </c>
      <c r="N877" s="561">
        <f>IFERROR(__xludf.DUMMYFUNCTION("""COMPUTED_VALUE"""),9.0)</f>
        <v>9</v>
      </c>
      <c r="O877" s="560"/>
      <c r="P877" s="562">
        <f>IFERROR(__xludf.DUMMYFUNCTION("""COMPUTED_VALUE"""),73.0)</f>
        <v>73</v>
      </c>
      <c r="Q877" s="562">
        <f>IFERROR(__xludf.DUMMYFUNCTION("""COMPUTED_VALUE"""),0.0)</f>
        <v>0</v>
      </c>
      <c r="R877" s="562">
        <f>IFERROR(__xludf.DUMMYFUNCTION("""COMPUTED_VALUE"""),0.0)</f>
        <v>0</v>
      </c>
      <c r="S877" s="562"/>
      <c r="T877" s="217">
        <f>IFERROR(__xludf.DUMMYFUNCTION("""COMPUTED_VALUE"""),11.0)</f>
        <v>11</v>
      </c>
      <c r="U877" s="217">
        <f>IFERROR(__xludf.DUMMYFUNCTION("""COMPUTED_VALUE"""),21.0)</f>
        <v>21</v>
      </c>
      <c r="V877" s="217">
        <f>IFERROR(__xludf.DUMMYFUNCTION("""COMPUTED_VALUE"""),74.0)</f>
        <v>74</v>
      </c>
      <c r="W877" s="217"/>
      <c r="X877" s="217"/>
      <c r="Y877" s="217"/>
      <c r="Z877" s="217"/>
      <c r="AA877" s="481">
        <f>IFERROR(__xludf.DUMMYFUNCTION("""COMPUTED_VALUE"""),48.0)</f>
        <v>48</v>
      </c>
      <c r="AB877" s="481">
        <f>IFERROR(__xludf.DUMMYFUNCTION("""COMPUTED_VALUE"""),93.0)</f>
        <v>93</v>
      </c>
      <c r="AC877" s="481">
        <f>IFERROR(__xludf.DUMMYFUNCTION("""COMPUTED_VALUE"""),43.0)</f>
        <v>43</v>
      </c>
      <c r="AD877" s="481">
        <f>IFERROR(__xludf.DUMMYFUNCTION("""COMPUTED_VALUE"""),2.0)</f>
        <v>2</v>
      </c>
      <c r="AE877" s="481">
        <f>IFERROR(__xludf.DUMMYFUNCTION("""COMPUTED_VALUE"""),10.0)</f>
        <v>10</v>
      </c>
      <c r="AF877" s="481"/>
      <c r="AG877" s="481">
        <f>IFERROR(__xludf.DUMMYFUNCTION("""COMPUTED_VALUE"""),0.0)</f>
        <v>0</v>
      </c>
      <c r="AH877" s="481"/>
      <c r="AI877" s="158"/>
      <c r="AJ877" s="158"/>
      <c r="AK877" s="133">
        <f>IFERROR(__xludf.DUMMYFUNCTION("""COMPUTED_VALUE"""),4.0)</f>
        <v>4</v>
      </c>
      <c r="AL877" s="133">
        <f>IFERROR(__xludf.DUMMYFUNCTION("""COMPUTED_VALUE"""),1.0)</f>
        <v>1</v>
      </c>
      <c r="AM877" s="133">
        <f>IFERROR(__xludf.DUMMYFUNCTION("""COMPUTED_VALUE"""),3.0)</f>
        <v>3</v>
      </c>
      <c r="AN877" s="133" t="str">
        <f>IFERROR(__xludf.DUMMYFUNCTION("""COMPUTED_VALUE"""),"2")</f>
        <v>2</v>
      </c>
      <c r="AO877" s="133">
        <f>IFERROR(__xludf.DUMMYFUNCTION("""COMPUTED_VALUE"""),1.0)</f>
        <v>1</v>
      </c>
      <c r="AP877" s="155" t="s">
        <v>3715</v>
      </c>
    </row>
    <row r="878">
      <c r="A878" s="155">
        <f>IFERROR(__xludf.DUMMYFUNCTION("""COMPUTED_VALUE"""),142.0)</f>
        <v>142</v>
      </c>
      <c r="B878" s="155" t="str">
        <f>IFERROR(__xludf.DUMMYFUNCTION("""COMPUTED_VALUE"""),"yovi23ainds@cmrit.ac.in")</f>
        <v>yovi23ainds@cmrit.ac.in</v>
      </c>
      <c r="C878" s="174" t="str">
        <f>IFERROR(__xludf.DUMMYFUNCTION("""COMPUTED_VALUE"""),"YOGITHA VIMALKANTH")</f>
        <v>YOGITHA VIMALKANTH</v>
      </c>
      <c r="D878" s="155" t="str">
        <f>IFERROR(__xludf.DUMMYFUNCTION("""COMPUTED_VALUE"""),"1CR23AD142")</f>
        <v>1CR23AD142</v>
      </c>
      <c r="E878" s="563">
        <f>IFERROR(__xludf.DUMMYFUNCTION("""COMPUTED_VALUE"""),8.310352035E9)</f>
        <v>8310352035</v>
      </c>
      <c r="F878" s="155" t="str">
        <f>IFERROR(__xludf.DUMMYFUNCTION("""COMPUTED_VALUE"""),"AIDS")</f>
        <v>AIDS</v>
      </c>
      <c r="G878" s="158"/>
      <c r="H878" s="559">
        <f>IFERROR(__xludf.DUMMYFUNCTION("""COMPUTED_VALUE"""),69.0)</f>
        <v>69</v>
      </c>
      <c r="I878" s="559">
        <f>IFERROR(__xludf.DUMMYFUNCTION("""COMPUTED_VALUE"""),78.0)</f>
        <v>78</v>
      </c>
      <c r="J878" s="559">
        <f>IFERROR(__xludf.DUMMYFUNCTION("""COMPUTED_VALUE"""),70.0)</f>
        <v>70</v>
      </c>
      <c r="K878" s="559">
        <f>IFERROR(__xludf.DUMMYFUNCTION("""COMPUTED_VALUE"""),58.0)</f>
        <v>58</v>
      </c>
      <c r="L878" s="560">
        <f>IFERROR(__xludf.DUMMYFUNCTION("""COMPUTED_VALUE"""),22.0)</f>
        <v>22</v>
      </c>
      <c r="M878" s="561">
        <f>IFERROR(__xludf.DUMMYFUNCTION("""COMPUTED_VALUE"""),10.0)</f>
        <v>10</v>
      </c>
      <c r="N878" s="561">
        <f>IFERROR(__xludf.DUMMYFUNCTION("""COMPUTED_VALUE"""),0.0)</f>
        <v>0</v>
      </c>
      <c r="O878" s="560"/>
      <c r="P878" s="562">
        <f>IFERROR(__xludf.DUMMYFUNCTION("""COMPUTED_VALUE"""),0.0)</f>
        <v>0</v>
      </c>
      <c r="Q878" s="562">
        <f>IFERROR(__xludf.DUMMYFUNCTION("""COMPUTED_VALUE"""),0.0)</f>
        <v>0</v>
      </c>
      <c r="R878" s="562">
        <f>IFERROR(__xludf.DUMMYFUNCTION("""COMPUTED_VALUE"""),0.0)</f>
        <v>0</v>
      </c>
      <c r="S878" s="562"/>
      <c r="T878" s="217">
        <f>IFERROR(__xludf.DUMMYFUNCTION("""COMPUTED_VALUE"""),13.0)</f>
        <v>13</v>
      </c>
      <c r="U878" s="217">
        <f>IFERROR(__xludf.DUMMYFUNCTION("""COMPUTED_VALUE"""),18.0)</f>
        <v>18</v>
      </c>
      <c r="V878" s="217">
        <f>IFERROR(__xludf.DUMMYFUNCTION("""COMPUTED_VALUE"""),76.0)</f>
        <v>76</v>
      </c>
      <c r="W878" s="217">
        <f>IFERROR(__xludf.DUMMYFUNCTION("""COMPUTED_VALUE"""),74.0)</f>
        <v>74</v>
      </c>
      <c r="X878" s="217">
        <f>IFERROR(__xludf.DUMMYFUNCTION("""COMPUTED_VALUE"""),80.0)</f>
        <v>80</v>
      </c>
      <c r="Y878" s="217"/>
      <c r="Z878" s="217"/>
      <c r="AA878" s="481">
        <f>IFERROR(__xludf.DUMMYFUNCTION("""COMPUTED_VALUE"""),2.0)</f>
        <v>2</v>
      </c>
      <c r="AB878" s="481">
        <f>IFERROR(__xludf.DUMMYFUNCTION("""COMPUTED_VALUE"""),79.0)</f>
        <v>79</v>
      </c>
      <c r="AC878" s="481">
        <f>IFERROR(__xludf.DUMMYFUNCTION("""COMPUTED_VALUE"""),5.0)</f>
        <v>5</v>
      </c>
      <c r="AD878" s="481">
        <f>IFERROR(__xludf.DUMMYFUNCTION("""COMPUTED_VALUE"""),0.0)</f>
        <v>0</v>
      </c>
      <c r="AE878" s="481">
        <f>IFERROR(__xludf.DUMMYFUNCTION("""COMPUTED_VALUE"""),10.0)</f>
        <v>10</v>
      </c>
      <c r="AF878" s="481"/>
      <c r="AG878" s="481">
        <f>IFERROR(__xludf.DUMMYFUNCTION("""COMPUTED_VALUE"""),0.0)</f>
        <v>0</v>
      </c>
      <c r="AH878" s="481"/>
      <c r="AI878" s="158"/>
      <c r="AJ878" s="158"/>
      <c r="AK878" s="133">
        <f>IFERROR(__xludf.DUMMYFUNCTION("""COMPUTED_VALUE"""),3.0)</f>
        <v>3</v>
      </c>
      <c r="AL878" s="133">
        <f>IFERROR(__xludf.DUMMYFUNCTION("""COMPUTED_VALUE"""),0.0)</f>
        <v>0</v>
      </c>
      <c r="AM878" s="133">
        <f>IFERROR(__xludf.DUMMYFUNCTION("""COMPUTED_VALUE"""),3.0)</f>
        <v>3</v>
      </c>
      <c r="AN878" s="133" t="str">
        <f>IFERROR(__xludf.DUMMYFUNCTION("""COMPUTED_VALUE"""),"2")</f>
        <v>2</v>
      </c>
      <c r="AO878" s="133">
        <f>IFERROR(__xludf.DUMMYFUNCTION("""COMPUTED_VALUE"""),0.0)</f>
        <v>0</v>
      </c>
      <c r="AP878" s="155" t="s">
        <v>3715</v>
      </c>
    </row>
    <row r="879">
      <c r="A879" s="155">
        <f>IFERROR(__xludf.DUMMYFUNCTION("""COMPUTED_VALUE"""),143.0)</f>
        <v>143</v>
      </c>
      <c r="B879" s="155" t="str">
        <f>IFERROR(__xludf.DUMMYFUNCTION("""COMPUTED_VALUE"""),"yus23ainds@cmrit.ac.in")</f>
        <v>yus23ainds@cmrit.ac.in</v>
      </c>
      <c r="C879" s="174" t="str">
        <f>IFERROR(__xludf.DUMMYFUNCTION("""COMPUTED_VALUE"""),"YUVARAJ.S")</f>
        <v>YUVARAJ.S</v>
      </c>
      <c r="D879" s="155" t="str">
        <f>IFERROR(__xludf.DUMMYFUNCTION("""COMPUTED_VALUE"""),"1CR23AD143")</f>
        <v>1CR23AD143</v>
      </c>
      <c r="E879" s="563">
        <f>IFERROR(__xludf.DUMMYFUNCTION("""COMPUTED_VALUE"""),8.792857152E9)</f>
        <v>8792857152</v>
      </c>
      <c r="F879" s="155" t="str">
        <f>IFERROR(__xludf.DUMMYFUNCTION("""COMPUTED_VALUE"""),"AIDS")</f>
        <v>AIDS</v>
      </c>
      <c r="G879" s="158"/>
      <c r="H879" s="559">
        <f>IFERROR(__xludf.DUMMYFUNCTION("""COMPUTED_VALUE"""),70.0)</f>
        <v>70</v>
      </c>
      <c r="I879" s="559">
        <f>IFERROR(__xludf.DUMMYFUNCTION("""COMPUTED_VALUE"""),75.0)</f>
        <v>75</v>
      </c>
      <c r="J879" s="559">
        <f>IFERROR(__xludf.DUMMYFUNCTION("""COMPUTED_VALUE"""),76.0)</f>
        <v>76</v>
      </c>
      <c r="K879" s="559">
        <f>IFERROR(__xludf.DUMMYFUNCTION("""COMPUTED_VALUE"""),77.0)</f>
        <v>77</v>
      </c>
      <c r="L879" s="560">
        <f>IFERROR(__xludf.DUMMYFUNCTION("""COMPUTED_VALUE"""),50.0)</f>
        <v>50</v>
      </c>
      <c r="M879" s="561">
        <f>IFERROR(__xludf.DUMMYFUNCTION("""COMPUTED_VALUE"""),35.0)</f>
        <v>35</v>
      </c>
      <c r="N879" s="561">
        <f>IFERROR(__xludf.DUMMYFUNCTION("""COMPUTED_VALUE"""),22.0)</f>
        <v>22</v>
      </c>
      <c r="O879" s="560"/>
      <c r="P879" s="562">
        <f>IFERROR(__xludf.DUMMYFUNCTION("""COMPUTED_VALUE"""),0.0)</f>
        <v>0</v>
      </c>
      <c r="Q879" s="562">
        <f>IFERROR(__xludf.DUMMYFUNCTION("""COMPUTED_VALUE"""),0.0)</f>
        <v>0</v>
      </c>
      <c r="R879" s="562">
        <f>IFERROR(__xludf.DUMMYFUNCTION("""COMPUTED_VALUE"""),0.0)</f>
        <v>0</v>
      </c>
      <c r="S879" s="562"/>
      <c r="T879" s="217">
        <f>IFERROR(__xludf.DUMMYFUNCTION("""COMPUTED_VALUE"""),5.0)</f>
        <v>5</v>
      </c>
      <c r="U879" s="217">
        <f>IFERROR(__xludf.DUMMYFUNCTION("""COMPUTED_VALUE"""),18.0)</f>
        <v>18</v>
      </c>
      <c r="V879" s="217">
        <f>IFERROR(__xludf.DUMMYFUNCTION("""COMPUTED_VALUE"""),66.0)</f>
        <v>66</v>
      </c>
      <c r="W879" s="217">
        <f>IFERROR(__xludf.DUMMYFUNCTION("""COMPUTED_VALUE"""),68.0)</f>
        <v>68</v>
      </c>
      <c r="X879" s="217">
        <f>IFERROR(__xludf.DUMMYFUNCTION("""COMPUTED_VALUE"""),78.0)</f>
        <v>78</v>
      </c>
      <c r="Y879" s="217"/>
      <c r="Z879" s="217"/>
      <c r="AA879" s="481">
        <f>IFERROR(__xludf.DUMMYFUNCTION("""COMPUTED_VALUE"""),0.0)</f>
        <v>0</v>
      </c>
      <c r="AB879" s="481">
        <f>IFERROR(__xludf.DUMMYFUNCTION("""COMPUTED_VALUE"""),94.0)</f>
        <v>94</v>
      </c>
      <c r="AC879" s="481">
        <f>IFERROR(__xludf.DUMMYFUNCTION("""COMPUTED_VALUE"""),0.0)</f>
        <v>0</v>
      </c>
      <c r="AD879" s="481">
        <f>IFERROR(__xludf.DUMMYFUNCTION("""COMPUTED_VALUE"""),2.0)</f>
        <v>2</v>
      </c>
      <c r="AE879" s="481">
        <f>IFERROR(__xludf.DUMMYFUNCTION("""COMPUTED_VALUE"""),10.0)</f>
        <v>10</v>
      </c>
      <c r="AF879" s="481"/>
      <c r="AG879" s="481">
        <f>IFERROR(__xludf.DUMMYFUNCTION("""COMPUTED_VALUE"""),0.0)</f>
        <v>0</v>
      </c>
      <c r="AH879" s="481"/>
      <c r="AI879" s="158"/>
      <c r="AJ879" s="158"/>
      <c r="AK879" s="133">
        <f>IFERROR(__xludf.DUMMYFUNCTION("""COMPUTED_VALUE"""),4.0)</f>
        <v>4</v>
      </c>
      <c r="AL879" s="133">
        <f>IFERROR(__xludf.DUMMYFUNCTION("""COMPUTED_VALUE"""),1.0)</f>
        <v>1</v>
      </c>
      <c r="AM879" s="133">
        <f>IFERROR(__xludf.DUMMYFUNCTION("""COMPUTED_VALUE"""),3.0)</f>
        <v>3</v>
      </c>
      <c r="AN879" s="133" t="str">
        <f>IFERROR(__xludf.DUMMYFUNCTION("""COMPUTED_VALUE"""),"2")</f>
        <v>2</v>
      </c>
      <c r="AO879" s="133">
        <f>IFERROR(__xludf.DUMMYFUNCTION("""COMPUTED_VALUE"""),0.0)</f>
        <v>0</v>
      </c>
      <c r="AP879" s="155" t="s">
        <v>3715</v>
      </c>
    </row>
    <row r="880">
      <c r="A880" s="155">
        <f>IFERROR(__xludf.DUMMYFUNCTION("""COMPUTED_VALUE"""),155.0)</f>
        <v>155</v>
      </c>
      <c r="B880" s="155" t="str">
        <f>IFERROR(__xludf.DUMMYFUNCTION("""COMPUTED_VALUE"""),"sija23aids@cmrit.ac.in")</f>
        <v>sija23aids@cmrit.ac.in</v>
      </c>
      <c r="C880" s="174" t="str">
        <f>IFERROR(__xludf.DUMMYFUNCTION("""COMPUTED_VALUE"""),"Sivaani Janaswamy")</f>
        <v>Sivaani Janaswamy</v>
      </c>
      <c r="D880" s="155" t="str">
        <f>IFERROR(__xludf.DUMMYFUNCTION("""COMPUTED_VALUE"""),"1CR23AD144")</f>
        <v>1CR23AD144</v>
      </c>
      <c r="E880" s="563">
        <f>IFERROR(__xludf.DUMMYFUNCTION("""COMPUTED_VALUE"""),9.901588777E9)</f>
        <v>9901588777</v>
      </c>
      <c r="F880" s="155" t="str">
        <f>IFERROR(__xludf.DUMMYFUNCTION("""COMPUTED_VALUE"""),"AIDS")</f>
        <v>AIDS</v>
      </c>
      <c r="G880" s="158"/>
      <c r="H880" s="559">
        <f>IFERROR(__xludf.DUMMYFUNCTION("""COMPUTED_VALUE"""),86.0)</f>
        <v>86</v>
      </c>
      <c r="I880" s="559">
        <f>IFERROR(__xludf.DUMMYFUNCTION("""COMPUTED_VALUE"""),90.0)</f>
        <v>90</v>
      </c>
      <c r="J880" s="559">
        <f>IFERROR(__xludf.DUMMYFUNCTION("""COMPUTED_VALUE"""),70.0)</f>
        <v>70</v>
      </c>
      <c r="K880" s="559">
        <f>IFERROR(__xludf.DUMMYFUNCTION("""COMPUTED_VALUE"""),70.0)</f>
        <v>70</v>
      </c>
      <c r="L880" s="560">
        <f>IFERROR(__xludf.DUMMYFUNCTION("""COMPUTED_VALUE"""),50.0)</f>
        <v>50</v>
      </c>
      <c r="M880" s="561">
        <f>IFERROR(__xludf.DUMMYFUNCTION("""COMPUTED_VALUE"""),24.0)</f>
        <v>24</v>
      </c>
      <c r="N880" s="561">
        <f>IFERROR(__xludf.DUMMYFUNCTION("""COMPUTED_VALUE"""),50.0)</f>
        <v>50</v>
      </c>
      <c r="O880" s="560"/>
      <c r="P880" s="562">
        <f>IFERROR(__xludf.DUMMYFUNCTION("""COMPUTED_VALUE"""),70.0)</f>
        <v>70</v>
      </c>
      <c r="Q880" s="562">
        <f>IFERROR(__xludf.DUMMYFUNCTION("""COMPUTED_VALUE"""),50.0)</f>
        <v>50</v>
      </c>
      <c r="R880" s="562">
        <f>IFERROR(__xludf.DUMMYFUNCTION("""COMPUTED_VALUE"""),84.0)</f>
        <v>84</v>
      </c>
      <c r="S880" s="562"/>
      <c r="T880" s="217">
        <f>IFERROR(__xludf.DUMMYFUNCTION("""COMPUTED_VALUE"""),13.0)</f>
        <v>13</v>
      </c>
      <c r="U880" s="217">
        <f>IFERROR(__xludf.DUMMYFUNCTION("""COMPUTED_VALUE"""),15.0)</f>
        <v>15</v>
      </c>
      <c r="V880" s="217">
        <f>IFERROR(__xludf.DUMMYFUNCTION("""COMPUTED_VALUE"""),80.0)</f>
        <v>80</v>
      </c>
      <c r="W880" s="217">
        <f>IFERROR(__xludf.DUMMYFUNCTION("""COMPUTED_VALUE"""),82.0)</f>
        <v>82</v>
      </c>
      <c r="X880" s="217">
        <f>IFERROR(__xludf.DUMMYFUNCTION("""COMPUTED_VALUE"""),74.0)</f>
        <v>74</v>
      </c>
      <c r="Y880" s="217"/>
      <c r="Z880" s="217"/>
      <c r="AA880" s="481">
        <f>IFERROR(__xludf.DUMMYFUNCTION("""COMPUTED_VALUE"""),88.0)</f>
        <v>88</v>
      </c>
      <c r="AB880" s="481">
        <f>IFERROR(__xludf.DUMMYFUNCTION("""COMPUTED_VALUE"""),100.0)</f>
        <v>100</v>
      </c>
      <c r="AC880" s="481">
        <f>IFERROR(__xludf.DUMMYFUNCTION("""COMPUTED_VALUE"""),98.0)</f>
        <v>98</v>
      </c>
      <c r="AD880" s="481">
        <f>IFERROR(__xludf.DUMMYFUNCTION("""COMPUTED_VALUE"""),80.0)</f>
        <v>80</v>
      </c>
      <c r="AE880" s="481">
        <f>IFERROR(__xludf.DUMMYFUNCTION("""COMPUTED_VALUE"""),85.0)</f>
        <v>85</v>
      </c>
      <c r="AF880" s="481"/>
      <c r="AG880" s="481">
        <f>IFERROR(__xludf.DUMMYFUNCTION("""COMPUTED_VALUE"""),86.0)</f>
        <v>86</v>
      </c>
      <c r="AH880" s="481"/>
      <c r="AI880" s="158"/>
      <c r="AJ880" s="158"/>
      <c r="AK880" s="133">
        <f>IFERROR(__xludf.DUMMYFUNCTION("""COMPUTED_VALUE"""),4.0)</f>
        <v>4</v>
      </c>
      <c r="AL880" s="133">
        <f>IFERROR(__xludf.DUMMYFUNCTION("""COMPUTED_VALUE"""),1.0)</f>
        <v>1</v>
      </c>
      <c r="AM880" s="133">
        <f>IFERROR(__xludf.DUMMYFUNCTION("""COMPUTED_VALUE"""),3.0)</f>
        <v>3</v>
      </c>
      <c r="AN880" s="133" t="str">
        <f>IFERROR(__xludf.DUMMYFUNCTION("""COMPUTED_VALUE"""),"3.5")</f>
        <v>3.5</v>
      </c>
      <c r="AO880" s="133">
        <f>IFERROR(__xludf.DUMMYFUNCTION("""COMPUTED_VALUE"""),3.0)</f>
        <v>3</v>
      </c>
      <c r="AP880" s="155" t="s">
        <v>3715</v>
      </c>
    </row>
    <row r="881">
      <c r="A881" s="155">
        <f>IFERROR(__xludf.DUMMYFUNCTION("""COMPUTED_VALUE"""),111.0)</f>
        <v>111</v>
      </c>
      <c r="B881" s="155" t="str">
        <f>IFERROR(__xludf.DUMMYFUNCTION("""COMPUTED_VALUE"""),"mars23ece@cmrit.ac.in")</f>
        <v>mars23ece@cmrit.ac.in</v>
      </c>
      <c r="C881" s="174" t="str">
        <f>IFERROR(__xludf.DUMMYFUNCTION("""COMPUTED_VALUE"""),"Mahesh Surya R S")</f>
        <v>Mahesh Surya R S</v>
      </c>
      <c r="D881" s="155" t="str">
        <f>IFERROR(__xludf.DUMMYFUNCTION("""COMPUTED_VALUE"""),"1CR23AD145")</f>
        <v>1CR23AD145</v>
      </c>
      <c r="E881" s="563">
        <f>IFERROR(__xludf.DUMMYFUNCTION("""COMPUTED_VALUE"""),9.945326848E9)</f>
        <v>9945326848</v>
      </c>
      <c r="F881" s="155" t="str">
        <f>IFERROR(__xludf.DUMMYFUNCTION("""COMPUTED_VALUE"""),"ECE")</f>
        <v>ECE</v>
      </c>
      <c r="G881" s="158"/>
      <c r="H881" s="559">
        <f>IFERROR(__xludf.DUMMYFUNCTION("""COMPUTED_VALUE"""),0.0)</f>
        <v>0</v>
      </c>
      <c r="I881" s="559">
        <f>IFERROR(__xludf.DUMMYFUNCTION("""COMPUTED_VALUE"""),0.0)</f>
        <v>0</v>
      </c>
      <c r="J881" s="559">
        <f>IFERROR(__xludf.DUMMYFUNCTION("""COMPUTED_VALUE"""),40.0)</f>
        <v>40</v>
      </c>
      <c r="K881" s="559">
        <f>IFERROR(__xludf.DUMMYFUNCTION("""COMPUTED_VALUE"""),0.0)</f>
        <v>0</v>
      </c>
      <c r="L881" s="560">
        <f>IFERROR(__xludf.DUMMYFUNCTION("""COMPUTED_VALUE"""),20.0)</f>
        <v>20</v>
      </c>
      <c r="M881" s="561">
        <f>IFERROR(__xludf.DUMMYFUNCTION("""COMPUTED_VALUE"""),50.0)</f>
        <v>50</v>
      </c>
      <c r="N881" s="561">
        <f>IFERROR(__xludf.DUMMYFUNCTION("""COMPUTED_VALUE"""),7.0)</f>
        <v>7</v>
      </c>
      <c r="O881" s="560"/>
      <c r="P881" s="562">
        <f>IFERROR(__xludf.DUMMYFUNCTION("""COMPUTED_VALUE"""),0.0)</f>
        <v>0</v>
      </c>
      <c r="Q881" s="562">
        <f>IFERROR(__xludf.DUMMYFUNCTION("""COMPUTED_VALUE"""),0.0)</f>
        <v>0</v>
      </c>
      <c r="R881" s="562">
        <f>IFERROR(__xludf.DUMMYFUNCTION("""COMPUTED_VALUE"""),0.0)</f>
        <v>0</v>
      </c>
      <c r="S881" s="562"/>
      <c r="T881" s="217">
        <f>IFERROR(__xludf.DUMMYFUNCTION("""COMPUTED_VALUE"""),14.0)</f>
        <v>14</v>
      </c>
      <c r="U881" s="217">
        <f>IFERROR(__xludf.DUMMYFUNCTION("""COMPUTED_VALUE"""),15.0)</f>
        <v>15</v>
      </c>
      <c r="V881" s="217">
        <f>IFERROR(__xludf.DUMMYFUNCTION("""COMPUTED_VALUE"""),0.0)</f>
        <v>0</v>
      </c>
      <c r="W881" s="217"/>
      <c r="X881" s="217"/>
      <c r="Y881" s="217"/>
      <c r="Z881" s="217"/>
      <c r="AA881" s="481"/>
      <c r="AB881" s="481">
        <f>IFERROR(__xludf.DUMMYFUNCTION("""COMPUTED_VALUE"""),93.0)</f>
        <v>93</v>
      </c>
      <c r="AC881" s="481">
        <f>IFERROR(__xludf.DUMMYFUNCTION("""COMPUTED_VALUE"""),70.0)</f>
        <v>70</v>
      </c>
      <c r="AD881" s="481"/>
      <c r="AE881" s="481">
        <f>IFERROR(__xludf.DUMMYFUNCTION("""COMPUTED_VALUE"""),10.0)</f>
        <v>10</v>
      </c>
      <c r="AF881" s="481"/>
      <c r="AG881" s="481">
        <f>IFERROR(__xludf.DUMMYFUNCTION("""COMPUTED_VALUE"""),0.0)</f>
        <v>0</v>
      </c>
      <c r="AH881" s="481"/>
      <c r="AI881" s="158"/>
      <c r="AJ881" s="158"/>
      <c r="AK881" s="133">
        <f>IFERROR(__xludf.DUMMYFUNCTION("""COMPUTED_VALUE"""),0.0)</f>
        <v>0</v>
      </c>
      <c r="AL881" s="133">
        <f>IFERROR(__xludf.DUMMYFUNCTION("""COMPUTED_VALUE"""),0.0)</f>
        <v>0</v>
      </c>
      <c r="AM881" s="133">
        <f>IFERROR(__xludf.DUMMYFUNCTION("""COMPUTED_VALUE"""),3.0)</f>
        <v>3</v>
      </c>
      <c r="AN881" s="133" t="str">
        <f>IFERROR(__xludf.DUMMYFUNCTION("""COMPUTED_VALUE"""),"3")</f>
        <v>3</v>
      </c>
      <c r="AO881" s="133">
        <f>IFERROR(__xludf.DUMMYFUNCTION("""COMPUTED_VALUE"""),0.0)</f>
        <v>0</v>
      </c>
      <c r="AP881" s="155" t="s">
        <v>3715</v>
      </c>
    </row>
    <row r="882">
      <c r="A882" s="155">
        <f>IFERROR(__xludf.DUMMYFUNCTION("""COMPUTED_VALUE"""),149.0)</f>
        <v>149</v>
      </c>
      <c r="B882" s="155" t="str">
        <f>IFERROR(__xludf.DUMMYFUNCTION("""COMPUTED_VALUE"""),"anjum.aids24le@cmrit.ac.in")</f>
        <v>anjum.aids24le@cmrit.ac.in</v>
      </c>
      <c r="C882" s="174" t="str">
        <f>IFERROR(__xludf.DUMMYFUNCTION("""COMPUTED_VALUE"""),"ANJUM AFSANA")</f>
        <v>ANJUM AFSANA</v>
      </c>
      <c r="D882" s="155" t="str">
        <f>IFERROR(__xludf.DUMMYFUNCTION("""COMPUTED_VALUE"""),"1CR24AD400")</f>
        <v>1CR24AD400</v>
      </c>
      <c r="E882" s="563">
        <f>IFERROR(__xludf.DUMMYFUNCTION("""COMPUTED_VALUE"""),9.019540745E9)</f>
        <v>9019540745</v>
      </c>
      <c r="F882" s="155"/>
      <c r="G882" s="158"/>
      <c r="H882" s="559">
        <f>IFERROR(__xludf.DUMMYFUNCTION("""COMPUTED_VALUE"""),70.0)</f>
        <v>70</v>
      </c>
      <c r="I882" s="559">
        <f>IFERROR(__xludf.DUMMYFUNCTION("""COMPUTED_VALUE"""),70.0)</f>
        <v>70</v>
      </c>
      <c r="J882" s="559">
        <f>IFERROR(__xludf.DUMMYFUNCTION("""COMPUTED_VALUE"""),70.0)</f>
        <v>70</v>
      </c>
      <c r="K882" s="559">
        <f>IFERROR(__xludf.DUMMYFUNCTION("""COMPUTED_VALUE"""),84.0)</f>
        <v>84</v>
      </c>
      <c r="L882" s="560">
        <f>IFERROR(__xludf.DUMMYFUNCTION("""COMPUTED_VALUE"""),34.0)</f>
        <v>34</v>
      </c>
      <c r="M882" s="561">
        <f>IFERROR(__xludf.DUMMYFUNCTION("""COMPUTED_VALUE"""),50.0)</f>
        <v>50</v>
      </c>
      <c r="N882" s="561">
        <f>IFERROR(__xludf.DUMMYFUNCTION("""COMPUTED_VALUE"""),1.25)</f>
        <v>1.25</v>
      </c>
      <c r="O882" s="560"/>
      <c r="P882" s="562">
        <f>IFERROR(__xludf.DUMMYFUNCTION("""COMPUTED_VALUE"""),0.0)</f>
        <v>0</v>
      </c>
      <c r="Q882" s="562">
        <f>IFERROR(__xludf.DUMMYFUNCTION("""COMPUTED_VALUE"""),0.0)</f>
        <v>0</v>
      </c>
      <c r="R882" s="562">
        <f>IFERROR(__xludf.DUMMYFUNCTION("""COMPUTED_VALUE"""),0.0)</f>
        <v>0</v>
      </c>
      <c r="S882" s="562"/>
      <c r="T882" s="217"/>
      <c r="U882" s="217"/>
      <c r="V882" s="217">
        <f>IFERROR(__xludf.DUMMYFUNCTION("""COMPUTED_VALUE"""),84.0)</f>
        <v>84</v>
      </c>
      <c r="W882" s="217">
        <f>IFERROR(__xludf.DUMMYFUNCTION("""COMPUTED_VALUE"""),68.0)</f>
        <v>68</v>
      </c>
      <c r="X882" s="217">
        <f>IFERROR(__xludf.DUMMYFUNCTION("""COMPUTED_VALUE"""),68.0)</f>
        <v>68</v>
      </c>
      <c r="Y882" s="217"/>
      <c r="Z882" s="217"/>
      <c r="AA882" s="481"/>
      <c r="AB882" s="481">
        <f>IFERROR(__xludf.DUMMYFUNCTION("""COMPUTED_VALUE"""),58.0)</f>
        <v>58</v>
      </c>
      <c r="AC882" s="481">
        <f>IFERROR(__xludf.DUMMYFUNCTION("""COMPUTED_VALUE"""),58.0)</f>
        <v>58</v>
      </c>
      <c r="AD882" s="481">
        <f>IFERROR(__xludf.DUMMYFUNCTION("""COMPUTED_VALUE"""),1.0)</f>
        <v>1</v>
      </c>
      <c r="AE882" s="481">
        <f>IFERROR(__xludf.DUMMYFUNCTION("""COMPUTED_VALUE"""),60.0)</f>
        <v>60</v>
      </c>
      <c r="AF882" s="481"/>
      <c r="AG882" s="481">
        <f>IFERROR(__xludf.DUMMYFUNCTION("""COMPUTED_VALUE"""),24.0)</f>
        <v>24</v>
      </c>
      <c r="AH882" s="481"/>
      <c r="AI882" s="158"/>
      <c r="AJ882" s="158"/>
      <c r="AK882" s="133">
        <f>IFERROR(__xludf.DUMMYFUNCTION("""COMPUTED_VALUE"""),4.0)</f>
        <v>4</v>
      </c>
      <c r="AL882" s="133">
        <f>IFERROR(__xludf.DUMMYFUNCTION("""COMPUTED_VALUE"""),0.0)</f>
        <v>0</v>
      </c>
      <c r="AM882" s="133">
        <f>IFERROR(__xludf.DUMMYFUNCTION("""COMPUTED_VALUE"""),0.0)</f>
        <v>0</v>
      </c>
      <c r="AN882" s="133" t="str">
        <f>IFERROR(__xludf.DUMMYFUNCTION("""COMPUTED_VALUE"""),"2")</f>
        <v>2</v>
      </c>
      <c r="AO882" s="133">
        <f>IFERROR(__xludf.DUMMYFUNCTION("""COMPUTED_VALUE"""),0.0)</f>
        <v>0</v>
      </c>
      <c r="AP882" s="155" t="s">
        <v>3715</v>
      </c>
    </row>
    <row r="883">
      <c r="A883" s="155">
        <f>IFERROR(__xludf.DUMMYFUNCTION("""COMPUTED_VALUE"""),150.0)</f>
        <v>150</v>
      </c>
      <c r="B883" s="155" t="str">
        <f>IFERROR(__xludf.DUMMYFUNCTION("""COMPUTED_VALUE"""),"charan.aids24le@cmrit.ac.in")</f>
        <v>charan.aids24le@cmrit.ac.in</v>
      </c>
      <c r="C883" s="174" t="str">
        <f>IFERROR(__xludf.DUMMYFUNCTION("""COMPUTED_VALUE"""),"CHARAN P. R.")</f>
        <v>CHARAN P. R.</v>
      </c>
      <c r="D883" s="155" t="str">
        <f>IFERROR(__xludf.DUMMYFUNCTION("""COMPUTED_VALUE"""),"1CR24AD401")</f>
        <v>1CR24AD401</v>
      </c>
      <c r="E883" s="563">
        <f>IFERROR(__xludf.DUMMYFUNCTION("""COMPUTED_VALUE"""),8.10550981E9)</f>
        <v>8105509810</v>
      </c>
      <c r="F883" s="155"/>
      <c r="G883" s="158"/>
      <c r="H883" s="559">
        <f>IFERROR(__xludf.DUMMYFUNCTION("""COMPUTED_VALUE"""),84.0)</f>
        <v>84</v>
      </c>
      <c r="I883" s="559">
        <f>IFERROR(__xludf.DUMMYFUNCTION("""COMPUTED_VALUE"""),88.0)</f>
        <v>88</v>
      </c>
      <c r="J883" s="559">
        <f>IFERROR(__xludf.DUMMYFUNCTION("""COMPUTED_VALUE"""),80.5)</f>
        <v>80.5</v>
      </c>
      <c r="K883" s="559">
        <f>IFERROR(__xludf.DUMMYFUNCTION("""COMPUTED_VALUE"""),74.0)</f>
        <v>74</v>
      </c>
      <c r="L883" s="560">
        <f>IFERROR(__xludf.DUMMYFUNCTION("""COMPUTED_VALUE"""),68.0)</f>
        <v>68</v>
      </c>
      <c r="M883" s="561">
        <f>IFERROR(__xludf.DUMMYFUNCTION("""COMPUTED_VALUE"""),18.0)</f>
        <v>18</v>
      </c>
      <c r="N883" s="561">
        <f>IFERROR(__xludf.DUMMYFUNCTION("""COMPUTED_VALUE"""),0.0)</f>
        <v>0</v>
      </c>
      <c r="O883" s="560"/>
      <c r="P883" s="562">
        <f>IFERROR(__xludf.DUMMYFUNCTION("""COMPUTED_VALUE"""),75.0)</f>
        <v>75</v>
      </c>
      <c r="Q883" s="562">
        <f>IFERROR(__xludf.DUMMYFUNCTION("""COMPUTED_VALUE"""),62.0)</f>
        <v>62</v>
      </c>
      <c r="R883" s="562">
        <f>IFERROR(__xludf.DUMMYFUNCTION("""COMPUTED_VALUE"""),70.0)</f>
        <v>70</v>
      </c>
      <c r="S883" s="562"/>
      <c r="T883" s="217"/>
      <c r="U883" s="217"/>
      <c r="V883" s="217">
        <f>IFERROR(__xludf.DUMMYFUNCTION("""COMPUTED_VALUE"""),90.0)</f>
        <v>90</v>
      </c>
      <c r="W883" s="217">
        <f>IFERROR(__xludf.DUMMYFUNCTION("""COMPUTED_VALUE"""),82.0)</f>
        <v>82</v>
      </c>
      <c r="X883" s="217">
        <f>IFERROR(__xludf.DUMMYFUNCTION("""COMPUTED_VALUE"""),80.0)</f>
        <v>80</v>
      </c>
      <c r="Y883" s="217"/>
      <c r="Z883" s="217"/>
      <c r="AA883" s="481"/>
      <c r="AB883" s="481">
        <f>IFERROR(__xludf.DUMMYFUNCTION("""COMPUTED_VALUE"""),63.0)</f>
        <v>63</v>
      </c>
      <c r="AC883" s="481">
        <f>IFERROR(__xludf.DUMMYFUNCTION("""COMPUTED_VALUE"""),63.0)</f>
        <v>63</v>
      </c>
      <c r="AD883" s="481">
        <f>IFERROR(__xludf.DUMMYFUNCTION("""COMPUTED_VALUE"""),27.0)</f>
        <v>27</v>
      </c>
      <c r="AE883" s="481">
        <f>IFERROR(__xludf.DUMMYFUNCTION("""COMPUTED_VALUE"""),98.0)</f>
        <v>98</v>
      </c>
      <c r="AF883" s="481"/>
      <c r="AG883" s="481">
        <f>IFERROR(__xludf.DUMMYFUNCTION("""COMPUTED_VALUE"""),70.0)</f>
        <v>70</v>
      </c>
      <c r="AH883" s="481"/>
      <c r="AI883" s="158"/>
      <c r="AJ883" s="158"/>
      <c r="AK883" s="133">
        <f>IFERROR(__xludf.DUMMYFUNCTION("""COMPUTED_VALUE"""),4.0)</f>
        <v>4</v>
      </c>
      <c r="AL883" s="133">
        <f>IFERROR(__xludf.DUMMYFUNCTION("""COMPUTED_VALUE"""),1.0)</f>
        <v>1</v>
      </c>
      <c r="AM883" s="133">
        <f>IFERROR(__xludf.DUMMYFUNCTION("""COMPUTED_VALUE"""),0.0)</f>
        <v>0</v>
      </c>
      <c r="AN883" s="133" t="str">
        <f>IFERROR(__xludf.DUMMYFUNCTION("""COMPUTED_VALUE"""),"3.5")</f>
        <v>3.5</v>
      </c>
      <c r="AO883" s="133">
        <f>IFERROR(__xludf.DUMMYFUNCTION("""COMPUTED_VALUE"""),3.0)</f>
        <v>3</v>
      </c>
      <c r="AP883" s="155" t="s">
        <v>3715</v>
      </c>
    </row>
    <row r="884">
      <c r="A884" s="155">
        <f>IFERROR(__xludf.DUMMYFUNCTION("""COMPUTED_VALUE"""),144.0)</f>
        <v>144</v>
      </c>
      <c r="B884" s="155" t="str">
        <f>IFERROR(__xludf.DUMMYFUNCTION("""COMPUTED_VALUE"""),"kadhiravan.aids24le@cmrit.ac.in")</f>
        <v>kadhiravan.aids24le@cmrit.ac.in</v>
      </c>
      <c r="C884" s="174" t="str">
        <f>IFERROR(__xludf.DUMMYFUNCTION("""COMPUTED_VALUE"""),"KADHIRAVAN A")</f>
        <v>KADHIRAVAN A</v>
      </c>
      <c r="D884" s="155" t="str">
        <f>IFERROR(__xludf.DUMMYFUNCTION("""COMPUTED_VALUE"""),"1CR24AD402")</f>
        <v>1CR24AD402</v>
      </c>
      <c r="E884" s="563">
        <f>IFERROR(__xludf.DUMMYFUNCTION("""COMPUTED_VALUE"""),8.123200985E9)</f>
        <v>8123200985</v>
      </c>
      <c r="F884" s="155"/>
      <c r="G884" s="158"/>
      <c r="H884" s="559">
        <f>IFERROR(__xludf.DUMMYFUNCTION("""COMPUTED_VALUE"""),96.0)</f>
        <v>96</v>
      </c>
      <c r="I884" s="559">
        <f>IFERROR(__xludf.DUMMYFUNCTION("""COMPUTED_VALUE"""),92.0)</f>
        <v>92</v>
      </c>
      <c r="J884" s="559">
        <f>IFERROR(__xludf.DUMMYFUNCTION("""COMPUTED_VALUE"""),82.0)</f>
        <v>82</v>
      </c>
      <c r="K884" s="559">
        <f>IFERROR(__xludf.DUMMYFUNCTION("""COMPUTED_VALUE"""),70.0)</f>
        <v>70</v>
      </c>
      <c r="L884" s="560">
        <f>IFERROR(__xludf.DUMMYFUNCTION("""COMPUTED_VALUE"""),71.0)</f>
        <v>71</v>
      </c>
      <c r="M884" s="561">
        <f>IFERROR(__xludf.DUMMYFUNCTION("""COMPUTED_VALUE"""),50.0)</f>
        <v>50</v>
      </c>
      <c r="N884" s="561">
        <f>IFERROR(__xludf.DUMMYFUNCTION("""COMPUTED_VALUE"""),50.0)</f>
        <v>50</v>
      </c>
      <c r="O884" s="560"/>
      <c r="P884" s="562">
        <f>IFERROR(__xludf.DUMMYFUNCTION("""COMPUTED_VALUE"""),50.0)</f>
        <v>50</v>
      </c>
      <c r="Q884" s="562">
        <f>IFERROR(__xludf.DUMMYFUNCTION("""COMPUTED_VALUE"""),50.0)</f>
        <v>50</v>
      </c>
      <c r="R884" s="562">
        <f>IFERROR(__xludf.DUMMYFUNCTION("""COMPUTED_VALUE"""),79.0)</f>
        <v>79</v>
      </c>
      <c r="S884" s="562"/>
      <c r="T884" s="217"/>
      <c r="U884" s="217"/>
      <c r="V884" s="217">
        <f>IFERROR(__xludf.DUMMYFUNCTION("""COMPUTED_VALUE"""),86.0)</f>
        <v>86</v>
      </c>
      <c r="W884" s="217">
        <f>IFERROR(__xludf.DUMMYFUNCTION("""COMPUTED_VALUE"""),76.0)</f>
        <v>76</v>
      </c>
      <c r="X884" s="217">
        <f>IFERROR(__xludf.DUMMYFUNCTION("""COMPUTED_VALUE"""),78.0)</f>
        <v>78</v>
      </c>
      <c r="Y884" s="217"/>
      <c r="Z884" s="217"/>
      <c r="AA884" s="481"/>
      <c r="AB884" s="481">
        <f>IFERROR(__xludf.DUMMYFUNCTION("""COMPUTED_VALUE"""),70.0)</f>
        <v>70</v>
      </c>
      <c r="AC884" s="481">
        <f>IFERROR(__xludf.DUMMYFUNCTION("""COMPUTED_VALUE"""),70.0)</f>
        <v>70</v>
      </c>
      <c r="AD884" s="481">
        <f>IFERROR(__xludf.DUMMYFUNCTION("""COMPUTED_VALUE"""),42.0)</f>
        <v>42</v>
      </c>
      <c r="AE884" s="481">
        <f>IFERROR(__xludf.DUMMYFUNCTION("""COMPUTED_VALUE"""),20.0)</f>
        <v>20</v>
      </c>
      <c r="AF884" s="481"/>
      <c r="AG884" s="481">
        <f>IFERROR(__xludf.DUMMYFUNCTION("""COMPUTED_VALUE"""),83.0)</f>
        <v>83</v>
      </c>
      <c r="AH884" s="481"/>
      <c r="AI884" s="158"/>
      <c r="AJ884" s="158"/>
      <c r="AK884" s="133">
        <f>IFERROR(__xludf.DUMMYFUNCTION("""COMPUTED_VALUE"""),4.0)</f>
        <v>4</v>
      </c>
      <c r="AL884" s="133">
        <f>IFERROR(__xludf.DUMMYFUNCTION("""COMPUTED_VALUE"""),3.0)</f>
        <v>3</v>
      </c>
      <c r="AM884" s="133">
        <f>IFERROR(__xludf.DUMMYFUNCTION("""COMPUTED_VALUE"""),0.0)</f>
        <v>0</v>
      </c>
      <c r="AN884" s="133" t="str">
        <f>IFERROR(__xludf.DUMMYFUNCTION("""COMPUTED_VALUE"""),"3")</f>
        <v>3</v>
      </c>
      <c r="AO884" s="133">
        <f>IFERROR(__xludf.DUMMYFUNCTION("""COMPUTED_VALUE"""),3.0)</f>
        <v>3</v>
      </c>
      <c r="AP884" s="155" t="s">
        <v>3715</v>
      </c>
    </row>
    <row r="885">
      <c r="A885" s="155">
        <f>IFERROR(__xludf.DUMMYFUNCTION("""COMPUTED_VALUE"""),146.0)</f>
        <v>146</v>
      </c>
      <c r="B885" s="155" t="str">
        <f>IFERROR(__xludf.DUMMYFUNCTION("""COMPUTED_VALUE"""),"karankumar.aids24le@cmrit.ac.in ")</f>
        <v>karankumar.aids24le@cmrit.ac.in </v>
      </c>
      <c r="C885" s="174" t="str">
        <f>IFERROR(__xludf.DUMMYFUNCTION("""COMPUTED_VALUE"""),"KARAN KUMAR V.")</f>
        <v>KARAN KUMAR V.</v>
      </c>
      <c r="D885" s="155" t="str">
        <f>IFERROR(__xludf.DUMMYFUNCTION("""COMPUTED_VALUE"""),"1CR24AD403")</f>
        <v>1CR24AD403</v>
      </c>
      <c r="E885" s="563">
        <f>IFERROR(__xludf.DUMMYFUNCTION("""COMPUTED_VALUE"""),7.899945033E9)</f>
        <v>7899945033</v>
      </c>
      <c r="F885" s="155"/>
      <c r="G885" s="158"/>
      <c r="H885" s="559">
        <f>IFERROR(__xludf.DUMMYFUNCTION("""COMPUTED_VALUE"""),40.0)</f>
        <v>40</v>
      </c>
      <c r="I885" s="559">
        <f>IFERROR(__xludf.DUMMYFUNCTION("""COMPUTED_VALUE"""),92.0)</f>
        <v>92</v>
      </c>
      <c r="J885" s="559">
        <f>IFERROR(__xludf.DUMMYFUNCTION("""COMPUTED_VALUE"""),72.0)</f>
        <v>72</v>
      </c>
      <c r="K885" s="559">
        <f>IFERROR(__xludf.DUMMYFUNCTION("""COMPUTED_VALUE"""),59.0)</f>
        <v>59</v>
      </c>
      <c r="L885" s="560">
        <f>IFERROR(__xludf.DUMMYFUNCTION("""COMPUTED_VALUE"""),21.0)</f>
        <v>21</v>
      </c>
      <c r="M885" s="561">
        <f>IFERROR(__xludf.DUMMYFUNCTION("""COMPUTED_VALUE"""),50.0)</f>
        <v>50</v>
      </c>
      <c r="N885" s="561"/>
      <c r="O885" s="560"/>
      <c r="P885" s="562">
        <f>IFERROR(__xludf.DUMMYFUNCTION("""COMPUTED_VALUE"""),0.0)</f>
        <v>0</v>
      </c>
      <c r="Q885" s="562">
        <f>IFERROR(__xludf.DUMMYFUNCTION("""COMPUTED_VALUE"""),0.0)</f>
        <v>0</v>
      </c>
      <c r="R885" s="562">
        <f>IFERROR(__xludf.DUMMYFUNCTION("""COMPUTED_VALUE"""),0.0)</f>
        <v>0</v>
      </c>
      <c r="S885" s="562"/>
      <c r="T885" s="217"/>
      <c r="U885" s="217"/>
      <c r="V885" s="217">
        <f>IFERROR(__xludf.DUMMYFUNCTION("""COMPUTED_VALUE"""),84.0)</f>
        <v>84</v>
      </c>
      <c r="W885" s="217">
        <f>IFERROR(__xludf.DUMMYFUNCTION("""COMPUTED_VALUE"""),72.0)</f>
        <v>72</v>
      </c>
      <c r="X885" s="217">
        <f>IFERROR(__xludf.DUMMYFUNCTION("""COMPUTED_VALUE"""),86.0)</f>
        <v>86</v>
      </c>
      <c r="Y885" s="217"/>
      <c r="Z885" s="217"/>
      <c r="AA885" s="481"/>
      <c r="AB885" s="481">
        <f>IFERROR(__xludf.DUMMYFUNCTION("""COMPUTED_VALUE"""),15.0)</f>
        <v>15</v>
      </c>
      <c r="AC885" s="481">
        <f>IFERROR(__xludf.DUMMYFUNCTION("""COMPUTED_VALUE"""),15.0)</f>
        <v>15</v>
      </c>
      <c r="AD885" s="481">
        <f>IFERROR(__xludf.DUMMYFUNCTION("""COMPUTED_VALUE"""),0.0)</f>
        <v>0</v>
      </c>
      <c r="AE885" s="481">
        <f>IFERROR(__xludf.DUMMYFUNCTION("""COMPUTED_VALUE"""),10.0)</f>
        <v>10</v>
      </c>
      <c r="AF885" s="481"/>
      <c r="AG885" s="481">
        <f>IFERROR(__xludf.DUMMYFUNCTION("""COMPUTED_VALUE"""),31.0)</f>
        <v>31</v>
      </c>
      <c r="AH885" s="481"/>
      <c r="AI885" s="158"/>
      <c r="AJ885" s="158"/>
      <c r="AK885" s="133">
        <f>IFERROR(__xludf.DUMMYFUNCTION("""COMPUTED_VALUE"""),0.0)</f>
        <v>0</v>
      </c>
      <c r="AL885" s="133">
        <f>IFERROR(__xludf.DUMMYFUNCTION("""COMPUTED_VALUE"""),0.0)</f>
        <v>0</v>
      </c>
      <c r="AM885" s="133">
        <f>IFERROR(__xludf.DUMMYFUNCTION("""COMPUTED_VALUE"""),0.0)</f>
        <v>0</v>
      </c>
      <c r="AN885" s="133" t="str">
        <f>IFERROR(__xludf.DUMMYFUNCTION("""COMPUTED_VALUE"""),"0")</f>
        <v>0</v>
      </c>
      <c r="AO885" s="133">
        <f>IFERROR(__xludf.DUMMYFUNCTION("""COMPUTED_VALUE"""),0.0)</f>
        <v>0</v>
      </c>
      <c r="AP885" s="155" t="s">
        <v>3715</v>
      </c>
    </row>
    <row r="886">
      <c r="A886" s="155">
        <f>IFERROR(__xludf.DUMMYFUNCTION("""COMPUTED_VALUE"""),151.0)</f>
        <v>151</v>
      </c>
      <c r="B886" s="155" t="str">
        <f>IFERROR(__xludf.DUMMYFUNCTION("""COMPUTED_VALUE"""),"kenneth.aids24le@cmrit.ac.in")</f>
        <v>kenneth.aids24le@cmrit.ac.in</v>
      </c>
      <c r="C886" s="174" t="str">
        <f>IFERROR(__xludf.DUMMYFUNCTION("""COMPUTED_VALUE"""),"KENNETH DOMNIC")</f>
        <v>KENNETH DOMNIC</v>
      </c>
      <c r="D886" s="155" t="str">
        <f>IFERROR(__xludf.DUMMYFUNCTION("""COMPUTED_VALUE"""),"1CR24AD404")</f>
        <v>1CR24AD404</v>
      </c>
      <c r="E886" s="563">
        <f>IFERROR(__xludf.DUMMYFUNCTION("""COMPUTED_VALUE"""),9.916201591E9)</f>
        <v>9916201591</v>
      </c>
      <c r="F886" s="155"/>
      <c r="G886" s="158"/>
      <c r="H886" s="559">
        <f>IFERROR(__xludf.DUMMYFUNCTION("""COMPUTED_VALUE"""),84.0)</f>
        <v>84</v>
      </c>
      <c r="I886" s="559">
        <f>IFERROR(__xludf.DUMMYFUNCTION("""COMPUTED_VALUE"""),84.0)</f>
        <v>84</v>
      </c>
      <c r="J886" s="559">
        <f>IFERROR(__xludf.DUMMYFUNCTION("""COMPUTED_VALUE"""),79.0)</f>
        <v>79</v>
      </c>
      <c r="K886" s="559">
        <f>IFERROR(__xludf.DUMMYFUNCTION("""COMPUTED_VALUE"""),70.0)</f>
        <v>70</v>
      </c>
      <c r="L886" s="560">
        <f>IFERROR(__xludf.DUMMYFUNCTION("""COMPUTED_VALUE"""),61.0)</f>
        <v>61</v>
      </c>
      <c r="M886" s="561">
        <f>IFERROR(__xludf.DUMMYFUNCTION("""COMPUTED_VALUE"""),50.0)</f>
        <v>50</v>
      </c>
      <c r="N886" s="561">
        <f>IFERROR(__xludf.DUMMYFUNCTION("""COMPUTED_VALUE"""),0.0)</f>
        <v>0</v>
      </c>
      <c r="O886" s="560"/>
      <c r="P886" s="562">
        <f>IFERROR(__xludf.DUMMYFUNCTION("""COMPUTED_VALUE"""),75.0)</f>
        <v>75</v>
      </c>
      <c r="Q886" s="562">
        <f>IFERROR(__xludf.DUMMYFUNCTION("""COMPUTED_VALUE"""),50.0)</f>
        <v>50</v>
      </c>
      <c r="R886" s="562">
        <f>IFERROR(__xludf.DUMMYFUNCTION("""COMPUTED_VALUE"""),70.0)</f>
        <v>70</v>
      </c>
      <c r="S886" s="562"/>
      <c r="T886" s="217"/>
      <c r="U886" s="217"/>
      <c r="V886" s="217">
        <f>IFERROR(__xludf.DUMMYFUNCTION("""COMPUTED_VALUE"""),94.0)</f>
        <v>94</v>
      </c>
      <c r="W886" s="217">
        <f>IFERROR(__xludf.DUMMYFUNCTION("""COMPUTED_VALUE"""),82.0)</f>
        <v>82</v>
      </c>
      <c r="X886" s="217">
        <f>IFERROR(__xludf.DUMMYFUNCTION("""COMPUTED_VALUE"""),90.0)</f>
        <v>90</v>
      </c>
      <c r="Y886" s="217"/>
      <c r="Z886" s="217"/>
      <c r="AA886" s="481"/>
      <c r="AB886" s="481">
        <f>IFERROR(__xludf.DUMMYFUNCTION("""COMPUTED_VALUE"""),58.0)</f>
        <v>58</v>
      </c>
      <c r="AC886" s="481">
        <f>IFERROR(__xludf.DUMMYFUNCTION("""COMPUTED_VALUE"""),60.0)</f>
        <v>60</v>
      </c>
      <c r="AD886" s="481">
        <f>IFERROR(__xludf.DUMMYFUNCTION("""COMPUTED_VALUE"""),43.0)</f>
        <v>43</v>
      </c>
      <c r="AE886" s="481">
        <f>IFERROR(__xludf.DUMMYFUNCTION("""COMPUTED_VALUE"""),98.0)</f>
        <v>98</v>
      </c>
      <c r="AF886" s="481"/>
      <c r="AG886" s="481">
        <f>IFERROR(__xludf.DUMMYFUNCTION("""COMPUTED_VALUE"""),71.0)</f>
        <v>71</v>
      </c>
      <c r="AH886" s="481"/>
      <c r="AI886" s="158"/>
      <c r="AJ886" s="158"/>
      <c r="AK886" s="133">
        <f>IFERROR(__xludf.DUMMYFUNCTION("""COMPUTED_VALUE"""),4.0)</f>
        <v>4</v>
      </c>
      <c r="AL886" s="133">
        <f>IFERROR(__xludf.DUMMYFUNCTION("""COMPUTED_VALUE"""),2.0)</f>
        <v>2</v>
      </c>
      <c r="AM886" s="133">
        <f>IFERROR(__xludf.DUMMYFUNCTION("""COMPUTED_VALUE"""),0.0)</f>
        <v>0</v>
      </c>
      <c r="AN886" s="133" t="str">
        <f>IFERROR(__xludf.DUMMYFUNCTION("""COMPUTED_VALUE"""),"3.5")</f>
        <v>3.5</v>
      </c>
      <c r="AO886" s="133">
        <f>IFERROR(__xludf.DUMMYFUNCTION("""COMPUTED_VALUE"""),3.0)</f>
        <v>3</v>
      </c>
      <c r="AP886" s="155" t="s">
        <v>3715</v>
      </c>
    </row>
    <row r="887">
      <c r="A887" s="155">
        <f>IFERROR(__xludf.DUMMYFUNCTION("""COMPUTED_VALUE"""),145.0)</f>
        <v>145</v>
      </c>
      <c r="B887" s="155" t="str">
        <f>IFERROR(__xludf.DUMMYFUNCTION("""COMPUTED_VALUE"""),"raj.aids24le@cmrit.ac.in")</f>
        <v>raj.aids24le@cmrit.ac.in</v>
      </c>
      <c r="C887" s="174" t="str">
        <f>IFERROR(__xludf.DUMMYFUNCTION("""COMPUTED_VALUE"""),"MANOJ N RAJ")</f>
        <v>MANOJ N RAJ</v>
      </c>
      <c r="D887" s="155" t="str">
        <f>IFERROR(__xludf.DUMMYFUNCTION("""COMPUTED_VALUE"""),"1CR24AD405")</f>
        <v>1CR24AD405</v>
      </c>
      <c r="E887" s="563">
        <f>IFERROR(__xludf.DUMMYFUNCTION("""COMPUTED_VALUE"""),9.353624649E9)</f>
        <v>9353624649</v>
      </c>
      <c r="F887" s="155"/>
      <c r="G887" s="158"/>
      <c r="H887" s="559">
        <f>IFERROR(__xludf.DUMMYFUNCTION("""COMPUTED_VALUE"""),65.0)</f>
        <v>65</v>
      </c>
      <c r="I887" s="559">
        <f>IFERROR(__xludf.DUMMYFUNCTION("""COMPUTED_VALUE"""),84.0)</f>
        <v>84</v>
      </c>
      <c r="J887" s="559">
        <f>IFERROR(__xludf.DUMMYFUNCTION("""COMPUTED_VALUE"""),70.0)</f>
        <v>70</v>
      </c>
      <c r="K887" s="559">
        <f>IFERROR(__xludf.DUMMYFUNCTION("""COMPUTED_VALUE"""),41.0)</f>
        <v>41</v>
      </c>
      <c r="L887" s="560">
        <f>IFERROR(__xludf.DUMMYFUNCTION("""COMPUTED_VALUE"""),19.0)</f>
        <v>19</v>
      </c>
      <c r="M887" s="561">
        <f>IFERROR(__xludf.DUMMYFUNCTION("""COMPUTED_VALUE"""),8.0)</f>
        <v>8</v>
      </c>
      <c r="N887" s="561">
        <f>IFERROR(__xludf.DUMMYFUNCTION("""COMPUTED_VALUE"""),0.0)</f>
        <v>0</v>
      </c>
      <c r="O887" s="560"/>
      <c r="P887" s="562">
        <f>IFERROR(__xludf.DUMMYFUNCTION("""COMPUTED_VALUE"""),0.0)</f>
        <v>0</v>
      </c>
      <c r="Q887" s="562">
        <f>IFERROR(__xludf.DUMMYFUNCTION("""COMPUTED_VALUE"""),0.0)</f>
        <v>0</v>
      </c>
      <c r="R887" s="562">
        <f>IFERROR(__xludf.DUMMYFUNCTION("""COMPUTED_VALUE"""),0.0)</f>
        <v>0</v>
      </c>
      <c r="S887" s="562"/>
      <c r="T887" s="217"/>
      <c r="U887" s="217"/>
      <c r="V887" s="217">
        <f>IFERROR(__xludf.DUMMYFUNCTION("""COMPUTED_VALUE"""),66.0)</f>
        <v>66</v>
      </c>
      <c r="W887" s="217">
        <f>IFERROR(__xludf.DUMMYFUNCTION("""COMPUTED_VALUE"""),62.0)</f>
        <v>62</v>
      </c>
      <c r="X887" s="217">
        <f>IFERROR(__xludf.DUMMYFUNCTION("""COMPUTED_VALUE"""),78.0)</f>
        <v>78</v>
      </c>
      <c r="Y887" s="217"/>
      <c r="Z887" s="217"/>
      <c r="AA887" s="481"/>
      <c r="AB887" s="481">
        <f>IFERROR(__xludf.DUMMYFUNCTION("""COMPUTED_VALUE"""),38.0)</f>
        <v>38</v>
      </c>
      <c r="AC887" s="481">
        <f>IFERROR(__xludf.DUMMYFUNCTION("""COMPUTED_VALUE"""),38.0)</f>
        <v>38</v>
      </c>
      <c r="AD887" s="481">
        <f>IFERROR(__xludf.DUMMYFUNCTION("""COMPUTED_VALUE"""),1.0)</f>
        <v>1</v>
      </c>
      <c r="AE887" s="481">
        <f>IFERROR(__xludf.DUMMYFUNCTION("""COMPUTED_VALUE"""),10.0)</f>
        <v>10</v>
      </c>
      <c r="AF887" s="481"/>
      <c r="AG887" s="481">
        <f>IFERROR(__xludf.DUMMYFUNCTION("""COMPUTED_VALUE"""),0.0)</f>
        <v>0</v>
      </c>
      <c r="AH887" s="481"/>
      <c r="AI887" s="158"/>
      <c r="AJ887" s="158"/>
      <c r="AK887" s="133">
        <f>IFERROR(__xludf.DUMMYFUNCTION("""COMPUTED_VALUE"""),3.0)</f>
        <v>3</v>
      </c>
      <c r="AL887" s="133">
        <f>IFERROR(__xludf.DUMMYFUNCTION("""COMPUTED_VALUE"""),0.0)</f>
        <v>0</v>
      </c>
      <c r="AM887" s="133">
        <f>IFERROR(__xludf.DUMMYFUNCTION("""COMPUTED_VALUE"""),0.0)</f>
        <v>0</v>
      </c>
      <c r="AN887" s="133" t="str">
        <f>IFERROR(__xludf.DUMMYFUNCTION("""COMPUTED_VALUE"""),"0")</f>
        <v>0</v>
      </c>
      <c r="AO887" s="133">
        <f>IFERROR(__xludf.DUMMYFUNCTION("""COMPUTED_VALUE"""),0.0)</f>
        <v>0</v>
      </c>
      <c r="AP887" s="155" t="s">
        <v>3715</v>
      </c>
    </row>
    <row r="888">
      <c r="A888" s="155">
        <f>IFERROR(__xludf.DUMMYFUNCTION("""COMPUTED_VALUE"""),156.0)</f>
        <v>156</v>
      </c>
      <c r="B888" s="155" t="str">
        <f>IFERROR(__xludf.DUMMYFUNCTION("""COMPUTED_VALUE"""),"sunagar.aids24le@cmrit.ac.in")</f>
        <v>sunagar.aids24le@cmrit.ac.in</v>
      </c>
      <c r="C888" s="174" t="str">
        <f>IFERROR(__xludf.DUMMYFUNCTION("""COMPUTED_VALUE"""),"Manoj Sunagar")</f>
        <v>Manoj Sunagar</v>
      </c>
      <c r="D888" s="155" t="str">
        <f>IFERROR(__xludf.DUMMYFUNCTION("""COMPUTED_VALUE"""),"1CR24AD406")</f>
        <v>1CR24AD406</v>
      </c>
      <c r="E888" s="563">
        <f>IFERROR(__xludf.DUMMYFUNCTION("""COMPUTED_VALUE"""),6.360287432E9)</f>
        <v>6360287432</v>
      </c>
      <c r="F888" s="155"/>
      <c r="G888" s="158"/>
      <c r="H888" s="559">
        <f>IFERROR(__xludf.DUMMYFUNCTION("""COMPUTED_VALUE"""),96.0)</f>
        <v>96</v>
      </c>
      <c r="I888" s="559">
        <f>IFERROR(__xludf.DUMMYFUNCTION("""COMPUTED_VALUE"""),88.0)</f>
        <v>88</v>
      </c>
      <c r="J888" s="559">
        <f>IFERROR(__xludf.DUMMYFUNCTION("""COMPUTED_VALUE"""),73.0)</f>
        <v>73</v>
      </c>
      <c r="K888" s="559">
        <f>IFERROR(__xludf.DUMMYFUNCTION("""COMPUTED_VALUE"""),55.0)</f>
        <v>55</v>
      </c>
      <c r="L888" s="560">
        <f>IFERROR(__xludf.DUMMYFUNCTION("""COMPUTED_VALUE"""),75.0)</f>
        <v>75</v>
      </c>
      <c r="M888" s="561">
        <f>IFERROR(__xludf.DUMMYFUNCTION("""COMPUTED_VALUE"""),8.0)</f>
        <v>8</v>
      </c>
      <c r="N888" s="561">
        <f>IFERROR(__xludf.DUMMYFUNCTION("""COMPUTED_VALUE"""),0.0)</f>
        <v>0</v>
      </c>
      <c r="O888" s="560"/>
      <c r="P888" s="562">
        <f>IFERROR(__xludf.DUMMYFUNCTION("""COMPUTED_VALUE"""),0.0)</f>
        <v>0</v>
      </c>
      <c r="Q888" s="562">
        <f>IFERROR(__xludf.DUMMYFUNCTION("""COMPUTED_VALUE"""),0.0)</f>
        <v>0</v>
      </c>
      <c r="R888" s="562">
        <f>IFERROR(__xludf.DUMMYFUNCTION("""COMPUTED_VALUE"""),0.0)</f>
        <v>0</v>
      </c>
      <c r="S888" s="562"/>
      <c r="T888" s="217"/>
      <c r="U888" s="217"/>
      <c r="V888" s="217">
        <f>IFERROR(__xludf.DUMMYFUNCTION("""COMPUTED_VALUE"""),72.0)</f>
        <v>72</v>
      </c>
      <c r="W888" s="217">
        <f>IFERROR(__xludf.DUMMYFUNCTION("""COMPUTED_VALUE"""),90.0)</f>
        <v>90</v>
      </c>
      <c r="X888" s="217">
        <f>IFERROR(__xludf.DUMMYFUNCTION("""COMPUTED_VALUE"""),76.0)</f>
        <v>76</v>
      </c>
      <c r="Y888" s="217"/>
      <c r="Z888" s="217"/>
      <c r="AA888" s="481"/>
      <c r="AB888" s="481">
        <f>IFERROR(__xludf.DUMMYFUNCTION("""COMPUTED_VALUE"""),2.0)</f>
        <v>2</v>
      </c>
      <c r="AC888" s="481">
        <f>IFERROR(__xludf.DUMMYFUNCTION("""COMPUTED_VALUE"""),2.0)</f>
        <v>2</v>
      </c>
      <c r="AD888" s="481">
        <f>IFERROR(__xludf.DUMMYFUNCTION("""COMPUTED_VALUE"""),90.0)</f>
        <v>90</v>
      </c>
      <c r="AE888" s="481">
        <f>IFERROR(__xludf.DUMMYFUNCTION("""COMPUTED_VALUE"""),10.0)</f>
        <v>10</v>
      </c>
      <c r="AF888" s="481"/>
      <c r="AG888" s="481">
        <f>IFERROR(__xludf.DUMMYFUNCTION("""COMPUTED_VALUE"""),73.0)</f>
        <v>73</v>
      </c>
      <c r="AH888" s="481"/>
      <c r="AI888" s="158"/>
      <c r="AJ888" s="158"/>
      <c r="AK888" s="133">
        <f>IFERROR(__xludf.DUMMYFUNCTION("""COMPUTED_VALUE"""),3.0)</f>
        <v>3</v>
      </c>
      <c r="AL888" s="133">
        <f>IFERROR(__xludf.DUMMYFUNCTION("""COMPUTED_VALUE"""),1.0)</f>
        <v>1</v>
      </c>
      <c r="AM888" s="133">
        <f>IFERROR(__xludf.DUMMYFUNCTION("""COMPUTED_VALUE"""),0.0)</f>
        <v>0</v>
      </c>
      <c r="AN888" s="133" t="str">
        <f>IFERROR(__xludf.DUMMYFUNCTION("""COMPUTED_VALUE"""),"0")</f>
        <v>0</v>
      </c>
      <c r="AO888" s="133">
        <f>IFERROR(__xludf.DUMMYFUNCTION("""COMPUTED_VALUE"""),0.0)</f>
        <v>0</v>
      </c>
      <c r="AP888" s="155" t="s">
        <v>3715</v>
      </c>
    </row>
    <row r="889">
      <c r="A889" s="155">
        <f>IFERROR(__xludf.DUMMYFUNCTION("""COMPUTED_VALUE"""),148.0)</f>
        <v>148</v>
      </c>
      <c r="B889" s="155" t="str">
        <f>IFERROR(__xludf.DUMMYFUNCTION("""COMPUTED_VALUE"""),"prashant.aids24le@cmrit.ac.in ")</f>
        <v>prashant.aids24le@cmrit.ac.in </v>
      </c>
      <c r="C889" s="174" t="str">
        <f>IFERROR(__xludf.DUMMYFUNCTION("""COMPUTED_VALUE"""),"PRASHANTH")</f>
        <v>PRASHANTH</v>
      </c>
      <c r="D889" s="155" t="str">
        <f>IFERROR(__xludf.DUMMYFUNCTION("""COMPUTED_VALUE"""),"1CR24AD407")</f>
        <v>1CR24AD407</v>
      </c>
      <c r="E889" s="563">
        <f>IFERROR(__xludf.DUMMYFUNCTION("""COMPUTED_VALUE"""),9.538854664E9)</f>
        <v>9538854664</v>
      </c>
      <c r="F889" s="155"/>
      <c r="G889" s="158"/>
      <c r="H889" s="559">
        <f>IFERROR(__xludf.DUMMYFUNCTION("""COMPUTED_VALUE"""),32.0)</f>
        <v>32</v>
      </c>
      <c r="I889" s="559">
        <f>IFERROR(__xludf.DUMMYFUNCTION("""COMPUTED_VALUE"""),76.0)</f>
        <v>76</v>
      </c>
      <c r="J889" s="559">
        <f>IFERROR(__xludf.DUMMYFUNCTION("""COMPUTED_VALUE"""),30.0)</f>
        <v>30</v>
      </c>
      <c r="K889" s="559">
        <f>IFERROR(__xludf.DUMMYFUNCTION("""COMPUTED_VALUE"""),54.0)</f>
        <v>54</v>
      </c>
      <c r="L889" s="560">
        <f>IFERROR(__xludf.DUMMYFUNCTION("""COMPUTED_VALUE"""),25.0)</f>
        <v>25</v>
      </c>
      <c r="M889" s="561">
        <f>IFERROR(__xludf.DUMMYFUNCTION("""COMPUTED_VALUE"""),50.0)</f>
        <v>50</v>
      </c>
      <c r="N889" s="561"/>
      <c r="O889" s="560"/>
      <c r="P889" s="562">
        <f>IFERROR(__xludf.DUMMYFUNCTION("""COMPUTED_VALUE"""),0.0)</f>
        <v>0</v>
      </c>
      <c r="Q889" s="562">
        <f>IFERROR(__xludf.DUMMYFUNCTION("""COMPUTED_VALUE"""),0.0)</f>
        <v>0</v>
      </c>
      <c r="R889" s="562">
        <f>IFERROR(__xludf.DUMMYFUNCTION("""COMPUTED_VALUE"""),0.0)</f>
        <v>0</v>
      </c>
      <c r="S889" s="562"/>
      <c r="T889" s="217"/>
      <c r="U889" s="217"/>
      <c r="V889" s="217">
        <f>IFERROR(__xludf.DUMMYFUNCTION("""COMPUTED_VALUE"""),76.0)</f>
        <v>76</v>
      </c>
      <c r="W889" s="217">
        <f>IFERROR(__xludf.DUMMYFUNCTION("""COMPUTED_VALUE"""),76.0)</f>
        <v>76</v>
      </c>
      <c r="X889" s="217">
        <f>IFERROR(__xludf.DUMMYFUNCTION("""COMPUTED_VALUE"""),88.0)</f>
        <v>88</v>
      </c>
      <c r="Y889" s="217"/>
      <c r="Z889" s="217"/>
      <c r="AA889" s="481"/>
      <c r="AB889" s="481">
        <f>IFERROR(__xludf.DUMMYFUNCTION("""COMPUTED_VALUE"""),50.0)</f>
        <v>50</v>
      </c>
      <c r="AC889" s="481">
        <f>IFERROR(__xludf.DUMMYFUNCTION("""COMPUTED_VALUE"""),50.0)</f>
        <v>50</v>
      </c>
      <c r="AD889" s="481">
        <f>IFERROR(__xludf.DUMMYFUNCTION("""COMPUTED_VALUE"""),0.0)</f>
        <v>0</v>
      </c>
      <c r="AE889" s="481">
        <f>IFERROR(__xludf.DUMMYFUNCTION("""COMPUTED_VALUE"""),10.0)</f>
        <v>10</v>
      </c>
      <c r="AF889" s="481"/>
      <c r="AG889" s="481">
        <f>IFERROR(__xludf.DUMMYFUNCTION("""COMPUTED_VALUE"""),57.0)</f>
        <v>57</v>
      </c>
      <c r="AH889" s="481"/>
      <c r="AI889" s="158"/>
      <c r="AJ889" s="158"/>
      <c r="AK889" s="133">
        <f>IFERROR(__xludf.DUMMYFUNCTION("""COMPUTED_VALUE"""),0.0)</f>
        <v>0</v>
      </c>
      <c r="AL889" s="133">
        <f>IFERROR(__xludf.DUMMYFUNCTION("""COMPUTED_VALUE"""),0.0)</f>
        <v>0</v>
      </c>
      <c r="AM889" s="133">
        <f>IFERROR(__xludf.DUMMYFUNCTION("""COMPUTED_VALUE"""),0.0)</f>
        <v>0</v>
      </c>
      <c r="AN889" s="133" t="str">
        <f>IFERROR(__xludf.DUMMYFUNCTION("""COMPUTED_VALUE"""),"2")</f>
        <v>2</v>
      </c>
      <c r="AO889" s="133">
        <f>IFERROR(__xludf.DUMMYFUNCTION("""COMPUTED_VALUE"""),0.0)</f>
        <v>0</v>
      </c>
      <c r="AP889" s="155" t="s">
        <v>3715</v>
      </c>
    </row>
    <row r="890">
      <c r="A890" s="155">
        <f>IFERROR(__xludf.DUMMYFUNCTION("""COMPUTED_VALUE"""),147.0)</f>
        <v>147</v>
      </c>
      <c r="B890" s="155" t="str">
        <f>IFERROR(__xludf.DUMMYFUNCTION("""COMPUTED_VALUE"""),"rinesh.aids24le@cmrit.ac.in")</f>
        <v>rinesh.aids24le@cmrit.ac.in</v>
      </c>
      <c r="C890" s="174" t="str">
        <f>IFERROR(__xludf.DUMMYFUNCTION("""COMPUTED_VALUE"""),"RINESH A. R.")</f>
        <v>RINESH A. R.</v>
      </c>
      <c r="D890" s="155" t="str">
        <f>IFERROR(__xludf.DUMMYFUNCTION("""COMPUTED_VALUE"""),"1CR24AD408")</f>
        <v>1CR24AD408</v>
      </c>
      <c r="E890" s="563">
        <f>IFERROR(__xludf.DUMMYFUNCTION("""COMPUTED_VALUE"""),8.861003568E9)</f>
        <v>8861003568</v>
      </c>
      <c r="F890" s="155"/>
      <c r="G890" s="158"/>
      <c r="H890" s="559">
        <f>IFERROR(__xludf.DUMMYFUNCTION("""COMPUTED_VALUE"""),48.0)</f>
        <v>48</v>
      </c>
      <c r="I890" s="559">
        <f>IFERROR(__xludf.DUMMYFUNCTION("""COMPUTED_VALUE"""),92.0)</f>
        <v>92</v>
      </c>
      <c r="J890" s="559">
        <f>IFERROR(__xludf.DUMMYFUNCTION("""COMPUTED_VALUE"""),0.0)</f>
        <v>0</v>
      </c>
      <c r="K890" s="559">
        <f>IFERROR(__xludf.DUMMYFUNCTION("""COMPUTED_VALUE"""),63.0)</f>
        <v>63</v>
      </c>
      <c r="L890" s="560">
        <f>IFERROR(__xludf.DUMMYFUNCTION("""COMPUTED_VALUE"""),21.0)</f>
        <v>21</v>
      </c>
      <c r="M890" s="561">
        <f>IFERROR(__xludf.DUMMYFUNCTION("""COMPUTED_VALUE"""),50.0)</f>
        <v>50</v>
      </c>
      <c r="N890" s="561">
        <f>IFERROR(__xludf.DUMMYFUNCTION("""COMPUTED_VALUE"""),4.75)</f>
        <v>4.75</v>
      </c>
      <c r="O890" s="560"/>
      <c r="P890" s="562">
        <f>IFERROR(__xludf.DUMMYFUNCTION("""COMPUTED_VALUE"""),0.0)</f>
        <v>0</v>
      </c>
      <c r="Q890" s="562">
        <f>IFERROR(__xludf.DUMMYFUNCTION("""COMPUTED_VALUE"""),50.0)</f>
        <v>50</v>
      </c>
      <c r="R890" s="562">
        <f>IFERROR(__xludf.DUMMYFUNCTION("""COMPUTED_VALUE"""),0.0)</f>
        <v>0</v>
      </c>
      <c r="S890" s="562"/>
      <c r="T890" s="217"/>
      <c r="U890" s="217"/>
      <c r="V890" s="217">
        <f>IFERROR(__xludf.DUMMYFUNCTION("""COMPUTED_VALUE"""),80.0)</f>
        <v>80</v>
      </c>
      <c r="W890" s="217">
        <f>IFERROR(__xludf.DUMMYFUNCTION("""COMPUTED_VALUE"""),84.0)</f>
        <v>84</v>
      </c>
      <c r="X890" s="217">
        <f>IFERROR(__xludf.DUMMYFUNCTION("""COMPUTED_VALUE"""),88.0)</f>
        <v>88</v>
      </c>
      <c r="Y890" s="217"/>
      <c r="Z890" s="217"/>
      <c r="AA890" s="481"/>
      <c r="AB890" s="481">
        <f>IFERROR(__xludf.DUMMYFUNCTION("""COMPUTED_VALUE"""),1.0)</f>
        <v>1</v>
      </c>
      <c r="AC890" s="481">
        <f>IFERROR(__xludf.DUMMYFUNCTION("""COMPUTED_VALUE"""),1.0)</f>
        <v>1</v>
      </c>
      <c r="AD890" s="481">
        <f>IFERROR(__xludf.DUMMYFUNCTION("""COMPUTED_VALUE"""),60.0)</f>
        <v>60</v>
      </c>
      <c r="AE890" s="481">
        <f>IFERROR(__xludf.DUMMYFUNCTION("""COMPUTED_VALUE"""),10.0)</f>
        <v>10</v>
      </c>
      <c r="AF890" s="481"/>
      <c r="AG890" s="481">
        <f>IFERROR(__xludf.DUMMYFUNCTION("""COMPUTED_VALUE"""),30.0)</f>
        <v>30</v>
      </c>
      <c r="AH890" s="481"/>
      <c r="AI890" s="158"/>
      <c r="AJ890" s="158"/>
      <c r="AK890" s="133">
        <f>IFERROR(__xludf.DUMMYFUNCTION("""COMPUTED_VALUE"""),0.0)</f>
        <v>0</v>
      </c>
      <c r="AL890" s="133">
        <f>IFERROR(__xludf.DUMMYFUNCTION("""COMPUTED_VALUE"""),0.0)</f>
        <v>0</v>
      </c>
      <c r="AM890" s="133">
        <f>IFERROR(__xludf.DUMMYFUNCTION("""COMPUTED_VALUE"""),0.0)</f>
        <v>0</v>
      </c>
      <c r="AN890" s="133" t="str">
        <f>IFERROR(__xludf.DUMMYFUNCTION("""COMPUTED_VALUE"""),"0")</f>
        <v>0</v>
      </c>
      <c r="AO890" s="133">
        <f>IFERROR(__xludf.DUMMYFUNCTION("""COMPUTED_VALUE"""),0.0)</f>
        <v>0</v>
      </c>
      <c r="AP890" s="155" t="s">
        <v>3715</v>
      </c>
    </row>
    <row r="891">
      <c r="A891" s="155">
        <f>IFERROR(__xludf.DUMMYFUNCTION("""COMPUTED_VALUE"""),154.0)</f>
        <v>154</v>
      </c>
      <c r="B891" s="155" t="str">
        <f>IFERROR(__xludf.DUMMYFUNCTION("""COMPUTED_VALUE"""),"sudeep.aids241e@cmrit.ac.in ")</f>
        <v>sudeep.aids241e@cmrit.ac.in </v>
      </c>
      <c r="C891" s="174" t="str">
        <f>IFERROR(__xludf.DUMMYFUNCTION("""COMPUTED_VALUE"""),"SUNDEEP PATIL")</f>
        <v>SUNDEEP PATIL</v>
      </c>
      <c r="D891" s="155" t="str">
        <f>IFERROR(__xludf.DUMMYFUNCTION("""COMPUTED_VALUE"""),"1CR24AD409")</f>
        <v>1CR24AD409</v>
      </c>
      <c r="E891" s="563">
        <f>IFERROR(__xludf.DUMMYFUNCTION("""COMPUTED_VALUE"""),8.217420047E9)</f>
        <v>8217420047</v>
      </c>
      <c r="F891" s="155"/>
      <c r="G891" s="158"/>
      <c r="H891" s="559">
        <f>IFERROR(__xludf.DUMMYFUNCTION("""COMPUTED_VALUE"""),0.0)</f>
        <v>0</v>
      </c>
      <c r="I891" s="559">
        <f>IFERROR(__xludf.DUMMYFUNCTION("""COMPUTED_VALUE"""),0.0)</f>
        <v>0</v>
      </c>
      <c r="J891" s="559">
        <f>IFERROR(__xludf.DUMMYFUNCTION("""COMPUTED_VALUE"""),85.0)</f>
        <v>85</v>
      </c>
      <c r="K891" s="559">
        <f>IFERROR(__xludf.DUMMYFUNCTION("""COMPUTED_VALUE"""),52.0)</f>
        <v>52</v>
      </c>
      <c r="L891" s="560">
        <f>IFERROR(__xludf.DUMMYFUNCTION("""COMPUTED_VALUE"""),50.0)</f>
        <v>50</v>
      </c>
      <c r="M891" s="561">
        <f>IFERROR(__xludf.DUMMYFUNCTION("""COMPUTED_VALUE"""),3.0)</f>
        <v>3</v>
      </c>
      <c r="N891" s="561"/>
      <c r="O891" s="560"/>
      <c r="P891" s="562">
        <f>IFERROR(__xludf.DUMMYFUNCTION("""COMPUTED_VALUE"""),0.0)</f>
        <v>0</v>
      </c>
      <c r="Q891" s="562">
        <f>IFERROR(__xludf.DUMMYFUNCTION("""COMPUTED_VALUE"""),0.0)</f>
        <v>0</v>
      </c>
      <c r="R891" s="562">
        <f>IFERROR(__xludf.DUMMYFUNCTION("""COMPUTED_VALUE"""),0.0)</f>
        <v>0</v>
      </c>
      <c r="S891" s="562"/>
      <c r="T891" s="217"/>
      <c r="U891" s="217"/>
      <c r="V891" s="217">
        <f>IFERROR(__xludf.DUMMYFUNCTION("""COMPUTED_VALUE"""),82.0)</f>
        <v>82</v>
      </c>
      <c r="W891" s="217">
        <f>IFERROR(__xludf.DUMMYFUNCTION("""COMPUTED_VALUE"""),78.0)</f>
        <v>78</v>
      </c>
      <c r="X891" s="217">
        <f>IFERROR(__xludf.DUMMYFUNCTION("""COMPUTED_VALUE"""),84.0)</f>
        <v>84</v>
      </c>
      <c r="Y891" s="217"/>
      <c r="Z891" s="217"/>
      <c r="AA891" s="481"/>
      <c r="AB891" s="481">
        <f>IFERROR(__xludf.DUMMYFUNCTION("""COMPUTED_VALUE"""),0.0)</f>
        <v>0</v>
      </c>
      <c r="AC891" s="481">
        <f>IFERROR(__xludf.DUMMYFUNCTION("""COMPUTED_VALUE"""),0.0)</f>
        <v>0</v>
      </c>
      <c r="AD891" s="481">
        <f>IFERROR(__xludf.DUMMYFUNCTION("""COMPUTED_VALUE"""),0.0)</f>
        <v>0</v>
      </c>
      <c r="AE891" s="481">
        <f>IFERROR(__xludf.DUMMYFUNCTION("""COMPUTED_VALUE"""),10.0)</f>
        <v>10</v>
      </c>
      <c r="AF891" s="481"/>
      <c r="AG891" s="481">
        <f>IFERROR(__xludf.DUMMYFUNCTION("""COMPUTED_VALUE"""),0.0)</f>
        <v>0</v>
      </c>
      <c r="AH891" s="481"/>
      <c r="AI891" s="158"/>
      <c r="AJ891" s="158"/>
      <c r="AK891" s="133">
        <f>IFERROR(__xludf.DUMMYFUNCTION("""COMPUTED_VALUE"""),0.0)</f>
        <v>0</v>
      </c>
      <c r="AL891" s="133">
        <f>IFERROR(__xludf.DUMMYFUNCTION("""COMPUTED_VALUE"""),1.0)</f>
        <v>1</v>
      </c>
      <c r="AM891" s="133">
        <f>IFERROR(__xludf.DUMMYFUNCTION("""COMPUTED_VALUE"""),0.0)</f>
        <v>0</v>
      </c>
      <c r="AN891" s="133" t="str">
        <f>IFERROR(__xludf.DUMMYFUNCTION("""COMPUTED_VALUE"""),"0")</f>
        <v>0</v>
      </c>
      <c r="AO891" s="133">
        <f>IFERROR(__xludf.DUMMYFUNCTION("""COMPUTED_VALUE"""),0.0)</f>
        <v>0</v>
      </c>
      <c r="AP891" s="155" t="s">
        <v>3715</v>
      </c>
    </row>
    <row r="892">
      <c r="A892" s="155">
        <f>IFERROR(__xludf.DUMMYFUNCTION("""COMPUTED_VALUE"""),153.0)</f>
        <v>153</v>
      </c>
      <c r="B892" s="155" t="str">
        <f>IFERROR(__xludf.DUMMYFUNCTION("""COMPUTED_VALUE"""),"tanveer.aids24le@cmrit.ac.in")</f>
        <v>tanveer.aids24le@cmrit.ac.in</v>
      </c>
      <c r="C892" s="174" t="str">
        <f>IFERROR(__xludf.DUMMYFUNCTION("""COMPUTED_VALUE"""),"TANVEER AHMED")</f>
        <v>TANVEER AHMED</v>
      </c>
      <c r="D892" s="155" t="str">
        <f>IFERROR(__xludf.DUMMYFUNCTION("""COMPUTED_VALUE"""),"1CR24AD410")</f>
        <v>1CR24AD410</v>
      </c>
      <c r="E892" s="563">
        <f>IFERROR(__xludf.DUMMYFUNCTION("""COMPUTED_VALUE"""),9.902774236E9)</f>
        <v>9902774236</v>
      </c>
      <c r="F892" s="155"/>
      <c r="G892" s="158"/>
      <c r="H892" s="559">
        <f>IFERROR(__xludf.DUMMYFUNCTION("""COMPUTED_VALUE"""),60.0)</f>
        <v>60</v>
      </c>
      <c r="I892" s="559">
        <f>IFERROR(__xludf.DUMMYFUNCTION("""COMPUTED_VALUE"""),44.0)</f>
        <v>44</v>
      </c>
      <c r="J892" s="559">
        <f>IFERROR(__xludf.DUMMYFUNCTION("""COMPUTED_VALUE"""),22.0)</f>
        <v>22</v>
      </c>
      <c r="K892" s="559">
        <f>IFERROR(__xludf.DUMMYFUNCTION("""COMPUTED_VALUE"""),14.0)</f>
        <v>14</v>
      </c>
      <c r="L892" s="560">
        <f>IFERROR(__xludf.DUMMYFUNCTION("""COMPUTED_VALUE"""),0.0)</f>
        <v>0</v>
      </c>
      <c r="M892" s="561">
        <f>IFERROR(__xludf.DUMMYFUNCTION("""COMPUTED_VALUE"""),0.0)</f>
        <v>0</v>
      </c>
      <c r="N892" s="561">
        <f>IFERROR(__xludf.DUMMYFUNCTION("""COMPUTED_VALUE"""),0.0)</f>
        <v>0</v>
      </c>
      <c r="O892" s="560"/>
      <c r="P892" s="562">
        <f>IFERROR(__xludf.DUMMYFUNCTION("""COMPUTED_VALUE"""),0.0)</f>
        <v>0</v>
      </c>
      <c r="Q892" s="562">
        <f>IFERROR(__xludf.DUMMYFUNCTION("""COMPUTED_VALUE"""),0.0)</f>
        <v>0</v>
      </c>
      <c r="R892" s="562">
        <f>IFERROR(__xludf.DUMMYFUNCTION("""COMPUTED_VALUE"""),0.0)</f>
        <v>0</v>
      </c>
      <c r="S892" s="562"/>
      <c r="T892" s="217"/>
      <c r="U892" s="217"/>
      <c r="V892" s="217"/>
      <c r="W892" s="217"/>
      <c r="X892" s="217">
        <f>IFERROR(__xludf.DUMMYFUNCTION("""COMPUTED_VALUE"""),78.0)</f>
        <v>78</v>
      </c>
      <c r="Y892" s="217"/>
      <c r="Z892" s="217"/>
      <c r="AA892" s="481"/>
      <c r="AB892" s="481">
        <f>IFERROR(__xludf.DUMMYFUNCTION("""COMPUTED_VALUE"""),0.0)</f>
        <v>0</v>
      </c>
      <c r="AC892" s="481">
        <f>IFERROR(__xludf.DUMMYFUNCTION("""COMPUTED_VALUE"""),0.0)</f>
        <v>0</v>
      </c>
      <c r="AD892" s="481">
        <f>IFERROR(__xludf.DUMMYFUNCTION("""COMPUTED_VALUE"""),0.0)</f>
        <v>0</v>
      </c>
      <c r="AE892" s="481">
        <f>IFERROR(__xludf.DUMMYFUNCTION("""COMPUTED_VALUE"""),10.0)</f>
        <v>10</v>
      </c>
      <c r="AF892" s="481"/>
      <c r="AG892" s="481">
        <f>IFERROR(__xludf.DUMMYFUNCTION("""COMPUTED_VALUE"""),10.0)</f>
        <v>10</v>
      </c>
      <c r="AH892" s="481"/>
      <c r="AI892" s="158"/>
      <c r="AJ892" s="158"/>
      <c r="AK892" s="133">
        <f>IFERROR(__xludf.DUMMYFUNCTION("""COMPUTED_VALUE"""),0.0)</f>
        <v>0</v>
      </c>
      <c r="AL892" s="133">
        <f>IFERROR(__xludf.DUMMYFUNCTION("""COMPUTED_VALUE"""),0.0)</f>
        <v>0</v>
      </c>
      <c r="AM892" s="133">
        <f>IFERROR(__xludf.DUMMYFUNCTION("""COMPUTED_VALUE"""),0.0)</f>
        <v>0</v>
      </c>
      <c r="AN892" s="133" t="str">
        <f>IFERROR(__xludf.DUMMYFUNCTION("""COMPUTED_VALUE"""),"0")</f>
        <v>0</v>
      </c>
      <c r="AO892" s="133">
        <f>IFERROR(__xludf.DUMMYFUNCTION("""COMPUTED_VALUE"""),0.0)</f>
        <v>0</v>
      </c>
      <c r="AP892" s="155"/>
    </row>
    <row r="893">
      <c r="A893" s="155">
        <f>IFERROR(__xludf.DUMMYFUNCTION("""COMPUTED_VALUE"""),152.0)</f>
        <v>152</v>
      </c>
      <c r="B893" s="155" t="str">
        <f>IFERROR(__xludf.DUMMYFUNCTION("""COMPUTED_VALUE"""),"varun.aids24le@cmrit.ac.in")</f>
        <v>varun.aids24le@cmrit.ac.in</v>
      </c>
      <c r="C893" s="174" t="str">
        <f>IFERROR(__xludf.DUMMYFUNCTION("""COMPUTED_VALUE"""),"VARUN N.")</f>
        <v>VARUN N.</v>
      </c>
      <c r="D893" s="155" t="str">
        <f>IFERROR(__xludf.DUMMYFUNCTION("""COMPUTED_VALUE"""),"1CR24AD411")</f>
        <v>1CR24AD411</v>
      </c>
      <c r="E893" s="563">
        <f>IFERROR(__xludf.DUMMYFUNCTION("""COMPUTED_VALUE"""),6.360064359E9)</f>
        <v>6360064359</v>
      </c>
      <c r="F893" s="155"/>
      <c r="G893" s="158"/>
      <c r="H893" s="559">
        <f>IFERROR(__xludf.DUMMYFUNCTION("""COMPUTED_VALUE"""),0.0)</f>
        <v>0</v>
      </c>
      <c r="I893" s="559">
        <f>IFERROR(__xludf.DUMMYFUNCTION("""COMPUTED_VALUE"""),0.0)</f>
        <v>0</v>
      </c>
      <c r="J893" s="559">
        <f>IFERROR(__xludf.DUMMYFUNCTION("""COMPUTED_VALUE"""),53.0)</f>
        <v>53</v>
      </c>
      <c r="K893" s="559">
        <f>IFERROR(__xludf.DUMMYFUNCTION("""COMPUTED_VALUE"""),36.0)</f>
        <v>36</v>
      </c>
      <c r="L893" s="560">
        <f>IFERROR(__xludf.DUMMYFUNCTION("""COMPUTED_VALUE"""),0.0)</f>
        <v>0</v>
      </c>
      <c r="M893" s="561">
        <f>IFERROR(__xludf.DUMMYFUNCTION("""COMPUTED_VALUE"""),9.0)</f>
        <v>9</v>
      </c>
      <c r="N893" s="561">
        <f>IFERROR(__xludf.DUMMYFUNCTION("""COMPUTED_VALUE"""),0.0)</f>
        <v>0</v>
      </c>
      <c r="O893" s="560"/>
      <c r="P893" s="562">
        <f>IFERROR(__xludf.DUMMYFUNCTION("""COMPUTED_VALUE"""),0.0)</f>
        <v>0</v>
      </c>
      <c r="Q893" s="562">
        <f>IFERROR(__xludf.DUMMYFUNCTION("""COMPUTED_VALUE"""),0.0)</f>
        <v>0</v>
      </c>
      <c r="R893" s="562">
        <f>IFERROR(__xludf.DUMMYFUNCTION("""COMPUTED_VALUE"""),0.0)</f>
        <v>0</v>
      </c>
      <c r="S893" s="562"/>
      <c r="T893" s="217"/>
      <c r="U893" s="217"/>
      <c r="V893" s="217">
        <f>IFERROR(__xludf.DUMMYFUNCTION("""COMPUTED_VALUE"""),78.0)</f>
        <v>78</v>
      </c>
      <c r="W893" s="217">
        <f>IFERROR(__xludf.DUMMYFUNCTION("""COMPUTED_VALUE"""),30.0)</f>
        <v>30</v>
      </c>
      <c r="X893" s="217">
        <f>IFERROR(__xludf.DUMMYFUNCTION("""COMPUTED_VALUE"""),70.0)</f>
        <v>70</v>
      </c>
      <c r="Y893" s="217"/>
      <c r="Z893" s="217"/>
      <c r="AA893" s="481"/>
      <c r="AB893" s="481">
        <f>IFERROR(__xludf.DUMMYFUNCTION("""COMPUTED_VALUE"""),0.0)</f>
        <v>0</v>
      </c>
      <c r="AC893" s="481">
        <f>IFERROR(__xludf.DUMMYFUNCTION("""COMPUTED_VALUE"""),0.0)</f>
        <v>0</v>
      </c>
      <c r="AD893" s="481">
        <f>IFERROR(__xludf.DUMMYFUNCTION("""COMPUTED_VALUE"""),0.0)</f>
        <v>0</v>
      </c>
      <c r="AE893" s="481">
        <f>IFERROR(__xludf.DUMMYFUNCTION("""COMPUTED_VALUE"""),10.0)</f>
        <v>10</v>
      </c>
      <c r="AF893" s="481"/>
      <c r="AG893" s="481">
        <f>IFERROR(__xludf.DUMMYFUNCTION("""COMPUTED_VALUE"""),0.0)</f>
        <v>0</v>
      </c>
      <c r="AH893" s="481"/>
      <c r="AI893" s="158"/>
      <c r="AJ893" s="158"/>
      <c r="AK893" s="133">
        <f>IFERROR(__xludf.DUMMYFUNCTION("""COMPUTED_VALUE"""),0.0)</f>
        <v>0</v>
      </c>
      <c r="AL893" s="133">
        <f>IFERROR(__xludf.DUMMYFUNCTION("""COMPUTED_VALUE"""),0.0)</f>
        <v>0</v>
      </c>
      <c r="AM893" s="133">
        <f>IFERROR(__xludf.DUMMYFUNCTION("""COMPUTED_VALUE"""),0.0)</f>
        <v>0</v>
      </c>
      <c r="AN893" s="133" t="str">
        <f>IFERROR(__xludf.DUMMYFUNCTION("""COMPUTED_VALUE"""),"0")</f>
        <v>0</v>
      </c>
      <c r="AO893" s="133">
        <f>IFERROR(__xludf.DUMMYFUNCTION("""COMPUTED_VALUE"""),0.0)</f>
        <v>0</v>
      </c>
      <c r="AP893" s="155" t="s">
        <v>3736</v>
      </c>
    </row>
    <row r="894">
      <c r="A894" s="155">
        <f>IFERROR(__xludf.DUMMYFUNCTION("""COMPUTED_VALUE"""),1.0)</f>
        <v>1</v>
      </c>
      <c r="B894" s="155" t="str">
        <f>IFERROR(__xludf.DUMMYFUNCTION("""COMPUTED_VALUE"""),"hada22ece@cmrit.ac.in")</f>
        <v>hada22ece@cmrit.ac.in</v>
      </c>
      <c r="C894" s="174" t="str">
        <f>IFERROR(__xludf.DUMMYFUNCTION("""COMPUTED_VALUE"""),"HARI OM KUMAR DAS")</f>
        <v>HARI OM KUMAR DAS</v>
      </c>
      <c r="D894" s="155" t="str">
        <f>IFERROR(__xludf.DUMMYFUNCTION("""COMPUTED_VALUE"""),"1CR22EC082")</f>
        <v>1CR22EC082</v>
      </c>
      <c r="E894" s="563">
        <f>IFERROR(__xludf.DUMMYFUNCTION("""COMPUTED_VALUE"""),7.667857334E9)</f>
        <v>7667857334</v>
      </c>
      <c r="F894" s="155" t="str">
        <f>IFERROR(__xludf.DUMMYFUNCTION("""COMPUTED_VALUE"""),"ECE")</f>
        <v>ECE</v>
      </c>
      <c r="G894" s="158" t="str">
        <f>IFERROR(__xludf.DUMMYFUNCTION("""COMPUTED_VALUE"""),"2022 Batch Readmission")</f>
        <v>2022 Batch Readmission</v>
      </c>
      <c r="H894" s="559">
        <f>IFERROR(__xludf.DUMMYFUNCTION("""COMPUTED_VALUE"""),74.0)</f>
        <v>74</v>
      </c>
      <c r="I894" s="559">
        <f>IFERROR(__xludf.DUMMYFUNCTION("""COMPUTED_VALUE"""),76.0)</f>
        <v>76</v>
      </c>
      <c r="J894" s="559">
        <f>IFERROR(__xludf.DUMMYFUNCTION("""COMPUTED_VALUE"""),70.0)</f>
        <v>70</v>
      </c>
      <c r="K894" s="559">
        <f>IFERROR(__xludf.DUMMYFUNCTION("""COMPUTED_VALUE"""),70.0)</f>
        <v>70</v>
      </c>
      <c r="L894" s="560">
        <f>IFERROR(__xludf.DUMMYFUNCTION("""COMPUTED_VALUE"""),44.0)</f>
        <v>44</v>
      </c>
      <c r="M894" s="561">
        <f>IFERROR(__xludf.DUMMYFUNCTION("""COMPUTED_VALUE"""),13.0)</f>
        <v>13</v>
      </c>
      <c r="N894" s="561">
        <f>IFERROR(__xludf.DUMMYFUNCTION("""COMPUTED_VALUE"""),26.25)</f>
        <v>26.25</v>
      </c>
      <c r="O894" s="560"/>
      <c r="P894" s="562">
        <f>IFERROR(__xludf.DUMMYFUNCTION("""COMPUTED_VALUE"""),80.0)</f>
        <v>80</v>
      </c>
      <c r="Q894" s="562">
        <f>IFERROR(__xludf.DUMMYFUNCTION("""COMPUTED_VALUE"""),79.0)</f>
        <v>79</v>
      </c>
      <c r="R894" s="562">
        <f>IFERROR(__xludf.DUMMYFUNCTION("""COMPUTED_VALUE"""),83.0)</f>
        <v>83</v>
      </c>
      <c r="S894" s="562"/>
      <c r="T894" s="217"/>
      <c r="U894" s="217"/>
      <c r="V894" s="217"/>
      <c r="W894" s="217">
        <f>IFERROR(__xludf.DUMMYFUNCTION("""COMPUTED_VALUE"""),86.0)</f>
        <v>86</v>
      </c>
      <c r="X894" s="217">
        <f>IFERROR(__xludf.DUMMYFUNCTION("""COMPUTED_VALUE"""),78.0)</f>
        <v>78</v>
      </c>
      <c r="Y894" s="217"/>
      <c r="Z894" s="217"/>
      <c r="AA894" s="481"/>
      <c r="AB894" s="481"/>
      <c r="AC894" s="481">
        <f>IFERROR(__xludf.DUMMYFUNCTION("""COMPUTED_VALUE"""),32.0)</f>
        <v>32</v>
      </c>
      <c r="AD894" s="481"/>
      <c r="AE894" s="481">
        <f>IFERROR(__xludf.DUMMYFUNCTION("""COMPUTED_VALUE"""),70.0)</f>
        <v>70</v>
      </c>
      <c r="AF894" s="481"/>
      <c r="AG894" s="481"/>
      <c r="AH894" s="481"/>
      <c r="AI894" s="158"/>
      <c r="AJ894" s="158"/>
      <c r="AK894" s="133">
        <f>IFERROR(__xludf.DUMMYFUNCTION("""COMPUTED_VALUE"""),4.0)</f>
        <v>4</v>
      </c>
      <c r="AL894" s="133">
        <f>IFERROR(__xludf.DUMMYFUNCTION("""COMPUTED_VALUE"""),0.0)</f>
        <v>0</v>
      </c>
      <c r="AM894" s="133">
        <f>IFERROR(__xludf.DUMMYFUNCTION("""COMPUTED_VALUE"""),0.0)</f>
        <v>0</v>
      </c>
      <c r="AN894" s="133" t="str">
        <f>IFERROR(__xludf.DUMMYFUNCTION("""COMPUTED_VALUE"""),"0")</f>
        <v>0</v>
      </c>
      <c r="AO894" s="133">
        <f>IFERROR(__xludf.DUMMYFUNCTION("""COMPUTED_VALUE"""),3.0)</f>
        <v>3</v>
      </c>
      <c r="AP894" s="155"/>
    </row>
    <row r="895">
      <c r="A895" s="155">
        <f>IFERROR(__xludf.DUMMYFUNCTION("""COMPUTED_VALUE"""),2.0)</f>
        <v>2</v>
      </c>
      <c r="B895" s="155" t="str">
        <f>IFERROR(__xludf.DUMMYFUNCTION("""COMPUTED_VALUE"""),"hada22ece@cmrit.ac.in")</f>
        <v>hada22ece@cmrit.ac.in</v>
      </c>
      <c r="C895" s="174" t="str">
        <f>IFERROR(__xludf.DUMMYFUNCTION("""COMPUTED_VALUE""")," Mohammed  Shoaib")</f>
        <v> Mohammed  Shoaib</v>
      </c>
      <c r="D895" s="155" t="str">
        <f>IFERROR(__xludf.DUMMYFUNCTION("""COMPUTED_VALUE"""),"1CR22EC144")</f>
        <v>1CR22EC144</v>
      </c>
      <c r="E895" s="563">
        <f>IFERROR(__xludf.DUMMYFUNCTION("""COMPUTED_VALUE"""),9.108412159E9)</f>
        <v>9108412159</v>
      </c>
      <c r="F895" s="155" t="str">
        <f>IFERROR(__xludf.DUMMYFUNCTION("""COMPUTED_VALUE"""),"ECE")</f>
        <v>ECE</v>
      </c>
      <c r="G895" s="158" t="str">
        <f>IFERROR(__xludf.DUMMYFUNCTION("""COMPUTED_VALUE"""),"2022 Batch Readmission")</f>
        <v>2022 Batch Readmission</v>
      </c>
      <c r="H895" s="559">
        <f>IFERROR(__xludf.DUMMYFUNCTION("""COMPUTED_VALUE"""),0.0)</f>
        <v>0</v>
      </c>
      <c r="I895" s="559">
        <f>IFERROR(__xludf.DUMMYFUNCTION("""COMPUTED_VALUE"""),0.0)</f>
        <v>0</v>
      </c>
      <c r="J895" s="559">
        <f>IFERROR(__xludf.DUMMYFUNCTION("""COMPUTED_VALUE"""),0.0)</f>
        <v>0</v>
      </c>
      <c r="K895" s="559">
        <f>IFERROR(__xludf.DUMMYFUNCTION("""COMPUTED_VALUE"""),0.0)</f>
        <v>0</v>
      </c>
      <c r="L895" s="560">
        <f>IFERROR(__xludf.DUMMYFUNCTION("""COMPUTED_VALUE"""),0.0)</f>
        <v>0</v>
      </c>
      <c r="M895" s="561">
        <f>IFERROR(__xludf.DUMMYFUNCTION("""COMPUTED_VALUE"""),0.0)</f>
        <v>0</v>
      </c>
      <c r="N895" s="561">
        <f>IFERROR(__xludf.DUMMYFUNCTION("""COMPUTED_VALUE"""),26.25)</f>
        <v>26.25</v>
      </c>
      <c r="O895" s="560"/>
      <c r="P895" s="562">
        <f>IFERROR(__xludf.DUMMYFUNCTION("""COMPUTED_VALUE"""),0.0)</f>
        <v>0</v>
      </c>
      <c r="Q895" s="562">
        <f>IFERROR(__xludf.DUMMYFUNCTION("""COMPUTED_VALUE"""),0.0)</f>
        <v>0</v>
      </c>
      <c r="R895" s="562">
        <f>IFERROR(__xludf.DUMMYFUNCTION("""COMPUTED_VALUE"""),0.0)</f>
        <v>0</v>
      </c>
      <c r="S895" s="562"/>
      <c r="T895" s="217"/>
      <c r="U895" s="217"/>
      <c r="V895" s="217"/>
      <c r="W895" s="217">
        <f>IFERROR(__xludf.DUMMYFUNCTION("""COMPUTED_VALUE"""),0.0)</f>
        <v>0</v>
      </c>
      <c r="X895" s="217"/>
      <c r="Y895" s="217"/>
      <c r="Z895" s="217"/>
      <c r="AA895" s="481"/>
      <c r="AB895" s="481"/>
      <c r="AC895" s="481">
        <f>IFERROR(__xludf.DUMMYFUNCTION("""COMPUTED_VALUE"""),0.0)</f>
        <v>0</v>
      </c>
      <c r="AD895" s="481"/>
      <c r="AE895" s="481">
        <f>IFERROR(__xludf.DUMMYFUNCTION("""COMPUTED_VALUE"""),10.0)</f>
        <v>10</v>
      </c>
      <c r="AF895" s="481"/>
      <c r="AG895" s="481"/>
      <c r="AH895" s="481"/>
      <c r="AI895" s="158"/>
      <c r="AJ895" s="158"/>
      <c r="AK895" s="133">
        <f>IFERROR(__xludf.DUMMYFUNCTION("""COMPUTED_VALUE"""),0.0)</f>
        <v>0</v>
      </c>
      <c r="AL895" s="133">
        <f>IFERROR(__xludf.DUMMYFUNCTION("""COMPUTED_VALUE"""),0.0)</f>
        <v>0</v>
      </c>
      <c r="AM895" s="133">
        <f>IFERROR(__xludf.DUMMYFUNCTION("""COMPUTED_VALUE"""),0.0)</f>
        <v>0</v>
      </c>
      <c r="AN895" s="133" t="str">
        <f>IFERROR(__xludf.DUMMYFUNCTION("""COMPUTED_VALUE"""),"0")</f>
        <v>0</v>
      </c>
      <c r="AO895" s="133">
        <f>IFERROR(__xludf.DUMMYFUNCTION("""COMPUTED_VALUE"""),0.0)</f>
        <v>0</v>
      </c>
      <c r="AP895" s="155"/>
    </row>
    <row r="896">
      <c r="A896" s="155">
        <f>IFERROR(__xludf.DUMMYFUNCTION("""COMPUTED_VALUE"""),3.0)</f>
        <v>3</v>
      </c>
      <c r="B896" s="155" t="str">
        <f>IFERROR(__xludf.DUMMYFUNCTION("""COMPUTED_VALUE"""),"abku23ece@cmrit.ac.in")</f>
        <v>abku23ece@cmrit.ac.in</v>
      </c>
      <c r="C896" s="174" t="str">
        <f>IFERROR(__xludf.DUMMYFUNCTION("""COMPUTED_VALUE"""),"ABHIJEET KUMAR")</f>
        <v>ABHIJEET KUMAR</v>
      </c>
      <c r="D896" s="155" t="str">
        <f>IFERROR(__xludf.DUMMYFUNCTION("""COMPUTED_VALUE"""),"1CR23EC001")</f>
        <v>1CR23EC001</v>
      </c>
      <c r="E896" s="563">
        <f>IFERROR(__xludf.DUMMYFUNCTION("""COMPUTED_VALUE"""),7.903405918E9)</f>
        <v>7903405918</v>
      </c>
      <c r="F896" s="155" t="str">
        <f>IFERROR(__xludf.DUMMYFUNCTION("""COMPUTED_VALUE"""),"ECE")</f>
        <v>ECE</v>
      </c>
      <c r="G896" s="158"/>
      <c r="H896" s="559">
        <f>IFERROR(__xludf.DUMMYFUNCTION("""COMPUTED_VALUE"""),87.0)</f>
        <v>87</v>
      </c>
      <c r="I896" s="559">
        <f>IFERROR(__xludf.DUMMYFUNCTION("""COMPUTED_VALUE"""),74.0)</f>
        <v>74</v>
      </c>
      <c r="J896" s="559">
        <f>IFERROR(__xludf.DUMMYFUNCTION("""COMPUTED_VALUE"""),70.0)</f>
        <v>70</v>
      </c>
      <c r="K896" s="559">
        <f>IFERROR(__xludf.DUMMYFUNCTION("""COMPUTED_VALUE"""),70.0)</f>
        <v>70</v>
      </c>
      <c r="L896" s="560">
        <f>IFERROR(__xludf.DUMMYFUNCTION("""COMPUTED_VALUE"""),67.0)</f>
        <v>67</v>
      </c>
      <c r="M896" s="561">
        <f>IFERROR(__xludf.DUMMYFUNCTION("""COMPUTED_VALUE"""),52.0)</f>
        <v>52</v>
      </c>
      <c r="N896" s="561">
        <f>IFERROR(__xludf.DUMMYFUNCTION("""COMPUTED_VALUE"""),57.0)</f>
        <v>57</v>
      </c>
      <c r="O896" s="560"/>
      <c r="P896" s="562">
        <f>IFERROR(__xludf.DUMMYFUNCTION("""COMPUTED_VALUE"""),75.0)</f>
        <v>75</v>
      </c>
      <c r="Q896" s="562">
        <f>IFERROR(__xludf.DUMMYFUNCTION("""COMPUTED_VALUE"""),73.0)</f>
        <v>73</v>
      </c>
      <c r="R896" s="562">
        <f>IFERROR(__xludf.DUMMYFUNCTION("""COMPUTED_VALUE"""),88.0)</f>
        <v>88</v>
      </c>
      <c r="S896" s="562"/>
      <c r="T896" s="217">
        <f>IFERROR(__xludf.DUMMYFUNCTION("""COMPUTED_VALUE"""),19.0)</f>
        <v>19</v>
      </c>
      <c r="U896" s="217">
        <f>IFERROR(__xludf.DUMMYFUNCTION("""COMPUTED_VALUE"""),17.0)</f>
        <v>17</v>
      </c>
      <c r="V896" s="217">
        <f>IFERROR(__xludf.DUMMYFUNCTION("""COMPUTED_VALUE"""),58.0)</f>
        <v>58</v>
      </c>
      <c r="W896" s="217">
        <f>IFERROR(__xludf.DUMMYFUNCTION("""COMPUTED_VALUE"""),78.0)</f>
        <v>78</v>
      </c>
      <c r="X896" s="217">
        <f>IFERROR(__xludf.DUMMYFUNCTION("""COMPUTED_VALUE"""),66.0)</f>
        <v>66</v>
      </c>
      <c r="Y896" s="217"/>
      <c r="Z896" s="217"/>
      <c r="AA896" s="481">
        <f>IFERROR(__xludf.DUMMYFUNCTION("""COMPUTED_VALUE"""),0.0)</f>
        <v>0</v>
      </c>
      <c r="AB896" s="481">
        <f>IFERROR(__xludf.DUMMYFUNCTION("""COMPUTED_VALUE"""),61.0)</f>
        <v>61</v>
      </c>
      <c r="AC896" s="481">
        <f>IFERROR(__xludf.DUMMYFUNCTION("""COMPUTED_VALUE"""),70.0)</f>
        <v>70</v>
      </c>
      <c r="AD896" s="481"/>
      <c r="AE896" s="481">
        <f>IFERROR(__xludf.DUMMYFUNCTION("""COMPUTED_VALUE"""),50.0)</f>
        <v>50</v>
      </c>
      <c r="AF896" s="481"/>
      <c r="AG896" s="481"/>
      <c r="AH896" s="481">
        <f>IFERROR(__xludf.DUMMYFUNCTION("""COMPUTED_VALUE"""),72.0)</f>
        <v>72</v>
      </c>
      <c r="AI896" s="158"/>
      <c r="AJ896" s="158"/>
      <c r="AK896" s="133">
        <f>IFERROR(__xludf.DUMMYFUNCTION("""COMPUTED_VALUE"""),4.0)</f>
        <v>4</v>
      </c>
      <c r="AL896" s="133">
        <f>IFERROR(__xludf.DUMMYFUNCTION("""COMPUTED_VALUE"""),3.0)</f>
        <v>3</v>
      </c>
      <c r="AM896" s="133">
        <f>IFERROR(__xludf.DUMMYFUNCTION("""COMPUTED_VALUE"""),3.0)</f>
        <v>3</v>
      </c>
      <c r="AN896" s="133" t="str">
        <f>IFERROR(__xludf.DUMMYFUNCTION("""COMPUTED_VALUE"""),"3")</f>
        <v>3</v>
      </c>
      <c r="AO896" s="133">
        <f>IFERROR(__xludf.DUMMYFUNCTION("""COMPUTED_VALUE"""),3.0)</f>
        <v>3</v>
      </c>
      <c r="AP896" s="155"/>
    </row>
    <row r="897">
      <c r="A897" s="155">
        <f>IFERROR(__xludf.DUMMYFUNCTION("""COMPUTED_VALUE"""),4.0)</f>
        <v>4</v>
      </c>
      <c r="B897" s="155" t="str">
        <f>IFERROR(__xludf.DUMMYFUNCTION("""COMPUTED_VALUE"""),"abvr23ece@cmrit.ac.in")</f>
        <v>abvr23ece@cmrit.ac.in</v>
      </c>
      <c r="C897" s="174" t="str">
        <f>IFERROR(__xludf.DUMMYFUNCTION("""COMPUTED_VALUE"""),"ABHIJITH V R")</f>
        <v>ABHIJITH V R</v>
      </c>
      <c r="D897" s="155" t="str">
        <f>IFERROR(__xludf.DUMMYFUNCTION("""COMPUTED_VALUE"""),"1CR23EC002")</f>
        <v>1CR23EC002</v>
      </c>
      <c r="E897" s="563">
        <f>IFERROR(__xludf.DUMMYFUNCTION("""COMPUTED_VALUE"""),7.411294173E9)</f>
        <v>7411294173</v>
      </c>
      <c r="F897" s="155" t="str">
        <f>IFERROR(__xludf.DUMMYFUNCTION("""COMPUTED_VALUE"""),"ECE")</f>
        <v>ECE</v>
      </c>
      <c r="G897" s="158"/>
      <c r="H897" s="559">
        <f>IFERROR(__xludf.DUMMYFUNCTION("""COMPUTED_VALUE"""),84.0)</f>
        <v>84</v>
      </c>
      <c r="I897" s="559">
        <f>IFERROR(__xludf.DUMMYFUNCTION("""COMPUTED_VALUE"""),73.0)</f>
        <v>73</v>
      </c>
      <c r="J897" s="559">
        <f>IFERROR(__xludf.DUMMYFUNCTION("""COMPUTED_VALUE"""),70.0)</f>
        <v>70</v>
      </c>
      <c r="K897" s="559">
        <f>IFERROR(__xludf.DUMMYFUNCTION("""COMPUTED_VALUE"""),70.0)</f>
        <v>70</v>
      </c>
      <c r="L897" s="560">
        <f>IFERROR(__xludf.DUMMYFUNCTION("""COMPUTED_VALUE"""),20.0)</f>
        <v>20</v>
      </c>
      <c r="M897" s="561">
        <f>IFERROR(__xludf.DUMMYFUNCTION("""COMPUTED_VALUE"""),44.0)</f>
        <v>44</v>
      </c>
      <c r="N897" s="561">
        <f>IFERROR(__xludf.DUMMYFUNCTION("""COMPUTED_VALUE"""),41.0)</f>
        <v>41</v>
      </c>
      <c r="O897" s="560"/>
      <c r="P897" s="562">
        <f>IFERROR(__xludf.DUMMYFUNCTION("""COMPUTED_VALUE"""),76.0)</f>
        <v>76</v>
      </c>
      <c r="Q897" s="562">
        <f>IFERROR(__xludf.DUMMYFUNCTION("""COMPUTED_VALUE"""),50.0)</f>
        <v>50</v>
      </c>
      <c r="R897" s="562">
        <f>IFERROR(__xludf.DUMMYFUNCTION("""COMPUTED_VALUE"""),0.0)</f>
        <v>0</v>
      </c>
      <c r="S897" s="562"/>
      <c r="T897" s="217">
        <f>IFERROR(__xludf.DUMMYFUNCTION("""COMPUTED_VALUE"""),15.0)</f>
        <v>15</v>
      </c>
      <c r="U897" s="217">
        <f>IFERROR(__xludf.DUMMYFUNCTION("""COMPUTED_VALUE"""),16.0)</f>
        <v>16</v>
      </c>
      <c r="V897" s="217">
        <f>IFERROR(__xludf.DUMMYFUNCTION("""COMPUTED_VALUE"""),72.0)</f>
        <v>72</v>
      </c>
      <c r="W897" s="217"/>
      <c r="X897" s="217">
        <f>IFERROR(__xludf.DUMMYFUNCTION("""COMPUTED_VALUE"""),76.0)</f>
        <v>76</v>
      </c>
      <c r="Y897" s="217"/>
      <c r="Z897" s="217"/>
      <c r="AA897" s="481">
        <f>IFERROR(__xludf.DUMMYFUNCTION("""COMPUTED_VALUE"""),0.0)</f>
        <v>0</v>
      </c>
      <c r="AB897" s="481">
        <f>IFERROR(__xludf.DUMMYFUNCTION("""COMPUTED_VALUE"""),69.0)</f>
        <v>69</v>
      </c>
      <c r="AC897" s="481">
        <f>IFERROR(__xludf.DUMMYFUNCTION("""COMPUTED_VALUE"""),26.0)</f>
        <v>26</v>
      </c>
      <c r="AD897" s="481"/>
      <c r="AE897" s="481">
        <f>IFERROR(__xludf.DUMMYFUNCTION("""COMPUTED_VALUE"""),60.0)</f>
        <v>60</v>
      </c>
      <c r="AF897" s="481"/>
      <c r="AG897" s="481"/>
      <c r="AH897" s="481">
        <f>IFERROR(__xludf.DUMMYFUNCTION("""COMPUTED_VALUE"""),62.0)</f>
        <v>62</v>
      </c>
      <c r="AI897" s="158"/>
      <c r="AJ897" s="158"/>
      <c r="AK897" s="133">
        <f>IFERROR(__xludf.DUMMYFUNCTION("""COMPUTED_VALUE"""),4.0)</f>
        <v>4</v>
      </c>
      <c r="AL897" s="133">
        <f>IFERROR(__xludf.DUMMYFUNCTION("""COMPUTED_VALUE"""),0.0)</f>
        <v>0</v>
      </c>
      <c r="AM897" s="133">
        <f>IFERROR(__xludf.DUMMYFUNCTION("""COMPUTED_VALUE"""),2.0)</f>
        <v>2</v>
      </c>
      <c r="AN897" s="133" t="str">
        <f>IFERROR(__xludf.DUMMYFUNCTION("""COMPUTED_VALUE"""),"2")</f>
        <v>2</v>
      </c>
      <c r="AO897" s="133">
        <f>IFERROR(__xludf.DUMMYFUNCTION("""COMPUTED_VALUE"""),2.0)</f>
        <v>2</v>
      </c>
      <c r="AP897" s="155"/>
    </row>
    <row r="898">
      <c r="A898" s="155">
        <f>IFERROR(__xludf.DUMMYFUNCTION("""COMPUTED_VALUE"""),5.0)</f>
        <v>5</v>
      </c>
      <c r="B898" s="155" t="str">
        <f>IFERROR(__xludf.DUMMYFUNCTION("""COMPUTED_VALUE"""),"abjo23ece@cmrit.ac.in")</f>
        <v>abjo23ece@cmrit.ac.in</v>
      </c>
      <c r="C898" s="174" t="str">
        <f>IFERROR(__xludf.DUMMYFUNCTION("""COMPUTED_VALUE"""),"Abhinish Joshi")</f>
        <v>Abhinish Joshi</v>
      </c>
      <c r="D898" s="155" t="str">
        <f>IFERROR(__xludf.DUMMYFUNCTION("""COMPUTED_VALUE"""),"1CR23EC003")</f>
        <v>1CR23EC003</v>
      </c>
      <c r="E898" s="563"/>
      <c r="F898" s="155" t="str">
        <f>IFERROR(__xludf.DUMMYFUNCTION("""COMPUTED_VALUE"""),"ECE")</f>
        <v>ECE</v>
      </c>
      <c r="G898" s="158"/>
      <c r="H898" s="559">
        <f>IFERROR(__xludf.DUMMYFUNCTION("""COMPUTED_VALUE"""),81.0)</f>
        <v>81</v>
      </c>
      <c r="I898" s="559">
        <f>IFERROR(__xludf.DUMMYFUNCTION("""COMPUTED_VALUE"""),74.0)</f>
        <v>74</v>
      </c>
      <c r="J898" s="559">
        <f>IFERROR(__xludf.DUMMYFUNCTION("""COMPUTED_VALUE"""),51.0)</f>
        <v>51</v>
      </c>
      <c r="K898" s="559">
        <f>IFERROR(__xludf.DUMMYFUNCTION("""COMPUTED_VALUE"""),70.0)</f>
        <v>70</v>
      </c>
      <c r="L898" s="560">
        <f>IFERROR(__xludf.DUMMYFUNCTION("""COMPUTED_VALUE"""),41.0)</f>
        <v>41</v>
      </c>
      <c r="M898" s="561">
        <f>IFERROR(__xludf.DUMMYFUNCTION("""COMPUTED_VALUE"""),27.0)</f>
        <v>27</v>
      </c>
      <c r="N898" s="561">
        <f>IFERROR(__xludf.DUMMYFUNCTION("""COMPUTED_VALUE"""),0.0)</f>
        <v>0</v>
      </c>
      <c r="O898" s="560"/>
      <c r="P898" s="562">
        <f>IFERROR(__xludf.DUMMYFUNCTION("""COMPUTED_VALUE"""),70.0)</f>
        <v>70</v>
      </c>
      <c r="Q898" s="562">
        <f>IFERROR(__xludf.DUMMYFUNCTION("""COMPUTED_VALUE"""),0.0)</f>
        <v>0</v>
      </c>
      <c r="R898" s="562">
        <f>IFERROR(__xludf.DUMMYFUNCTION("""COMPUTED_VALUE"""),0.0)</f>
        <v>0</v>
      </c>
      <c r="S898" s="562"/>
      <c r="T898" s="217">
        <f>IFERROR(__xludf.DUMMYFUNCTION("""COMPUTED_VALUE"""),18.0)</f>
        <v>18</v>
      </c>
      <c r="U898" s="217">
        <f>IFERROR(__xludf.DUMMYFUNCTION("""COMPUTED_VALUE"""),18.0)</f>
        <v>18</v>
      </c>
      <c r="V898" s="217">
        <f>IFERROR(__xludf.DUMMYFUNCTION("""COMPUTED_VALUE"""),56.0)</f>
        <v>56</v>
      </c>
      <c r="W898" s="217">
        <f>IFERROR(__xludf.DUMMYFUNCTION("""COMPUTED_VALUE"""),66.0)</f>
        <v>66</v>
      </c>
      <c r="X898" s="217">
        <f>IFERROR(__xludf.DUMMYFUNCTION("""COMPUTED_VALUE"""),56.0)</f>
        <v>56</v>
      </c>
      <c r="Y898" s="217"/>
      <c r="Z898" s="217"/>
      <c r="AA898" s="481">
        <f>IFERROR(__xludf.DUMMYFUNCTION("""COMPUTED_VALUE"""),100.0)</f>
        <v>100</v>
      </c>
      <c r="AB898" s="481">
        <f>IFERROR(__xludf.DUMMYFUNCTION("""COMPUTED_VALUE"""),87.0)</f>
        <v>87</v>
      </c>
      <c r="AC898" s="481">
        <f>IFERROR(__xludf.DUMMYFUNCTION("""COMPUTED_VALUE"""),0.0)</f>
        <v>0</v>
      </c>
      <c r="AD898" s="481"/>
      <c r="AE898" s="481">
        <f>IFERROR(__xludf.DUMMYFUNCTION("""COMPUTED_VALUE"""),10.0)</f>
        <v>10</v>
      </c>
      <c r="AF898" s="481"/>
      <c r="AG898" s="481"/>
      <c r="AH898" s="481">
        <f>IFERROR(__xludf.DUMMYFUNCTION("""COMPUTED_VALUE"""),0.0)</f>
        <v>0</v>
      </c>
      <c r="AI898" s="158"/>
      <c r="AJ898" s="158"/>
      <c r="AK898" s="133">
        <f>IFERROR(__xludf.DUMMYFUNCTION("""COMPUTED_VALUE"""),2.0)</f>
        <v>2</v>
      </c>
      <c r="AL898" s="133">
        <f>IFERROR(__xludf.DUMMYFUNCTION("""COMPUTED_VALUE"""),0.0)</f>
        <v>0</v>
      </c>
      <c r="AM898" s="133">
        <f>IFERROR(__xludf.DUMMYFUNCTION("""COMPUTED_VALUE"""),3.0)</f>
        <v>3</v>
      </c>
      <c r="AN898" s="133" t="str">
        <f>IFERROR(__xludf.DUMMYFUNCTION("""COMPUTED_VALUE"""),"2")</f>
        <v>2</v>
      </c>
      <c r="AO898" s="133">
        <f>IFERROR(__xludf.DUMMYFUNCTION("""COMPUTED_VALUE"""),1.0)</f>
        <v>1</v>
      </c>
      <c r="AP898" s="155"/>
    </row>
    <row r="899">
      <c r="A899" s="155">
        <f>IFERROR(__xludf.DUMMYFUNCTION("""COMPUTED_VALUE"""),6.0)</f>
        <v>6</v>
      </c>
      <c r="B899" s="155" t="str">
        <f>IFERROR(__xludf.DUMMYFUNCTION("""COMPUTED_VALUE"""),"abbm23ece@cmrit.ac.in")</f>
        <v>abbm23ece@cmrit.ac.in</v>
      </c>
      <c r="C899" s="174" t="str">
        <f>IFERROR(__xludf.DUMMYFUNCTION("""COMPUTED_VALUE"""),"Abhishek B M")</f>
        <v>Abhishek B M</v>
      </c>
      <c r="D899" s="155" t="str">
        <f>IFERROR(__xludf.DUMMYFUNCTION("""COMPUTED_VALUE"""),"1CR23EC004")</f>
        <v>1CR23EC004</v>
      </c>
      <c r="E899" s="563">
        <f>IFERROR(__xludf.DUMMYFUNCTION("""COMPUTED_VALUE"""),9.141017167E9)</f>
        <v>9141017167</v>
      </c>
      <c r="F899" s="155" t="str">
        <f>IFERROR(__xludf.DUMMYFUNCTION("""COMPUTED_VALUE"""),"ECE")</f>
        <v>ECE</v>
      </c>
      <c r="G899" s="158"/>
      <c r="H899" s="559">
        <f>IFERROR(__xludf.DUMMYFUNCTION("""COMPUTED_VALUE"""),77.0)</f>
        <v>77</v>
      </c>
      <c r="I899" s="559">
        <f>IFERROR(__xludf.DUMMYFUNCTION("""COMPUTED_VALUE"""),80.0)</f>
        <v>80</v>
      </c>
      <c r="J899" s="559">
        <f>IFERROR(__xludf.DUMMYFUNCTION("""COMPUTED_VALUE"""),60.0)</f>
        <v>60</v>
      </c>
      <c r="K899" s="559">
        <f>IFERROR(__xludf.DUMMYFUNCTION("""COMPUTED_VALUE"""),40.0)</f>
        <v>40</v>
      </c>
      <c r="L899" s="560">
        <f>IFERROR(__xludf.DUMMYFUNCTION("""COMPUTED_VALUE"""),46.0)</f>
        <v>46</v>
      </c>
      <c r="M899" s="561">
        <f>IFERROR(__xludf.DUMMYFUNCTION("""COMPUTED_VALUE"""),0.0)</f>
        <v>0</v>
      </c>
      <c r="N899" s="561">
        <f>IFERROR(__xludf.DUMMYFUNCTION("""COMPUTED_VALUE"""),0.0)</f>
        <v>0</v>
      </c>
      <c r="O899" s="560"/>
      <c r="P899" s="562">
        <f>IFERROR(__xludf.DUMMYFUNCTION("""COMPUTED_VALUE"""),0.0)</f>
        <v>0</v>
      </c>
      <c r="Q899" s="562">
        <f>IFERROR(__xludf.DUMMYFUNCTION("""COMPUTED_VALUE"""),0.0)</f>
        <v>0</v>
      </c>
      <c r="R899" s="562">
        <f>IFERROR(__xludf.DUMMYFUNCTION("""COMPUTED_VALUE"""),0.0)</f>
        <v>0</v>
      </c>
      <c r="S899" s="562"/>
      <c r="T899" s="217">
        <f>IFERROR(__xludf.DUMMYFUNCTION("""COMPUTED_VALUE"""),15.0)</f>
        <v>15</v>
      </c>
      <c r="U899" s="217">
        <f>IFERROR(__xludf.DUMMYFUNCTION("""COMPUTED_VALUE"""),18.0)</f>
        <v>18</v>
      </c>
      <c r="V899" s="217">
        <f>IFERROR(__xludf.DUMMYFUNCTION("""COMPUTED_VALUE"""),44.0)</f>
        <v>44</v>
      </c>
      <c r="W899" s="217">
        <f>IFERROR(__xludf.DUMMYFUNCTION("""COMPUTED_VALUE"""),62.0)</f>
        <v>62</v>
      </c>
      <c r="X899" s="217">
        <f>IFERROR(__xludf.DUMMYFUNCTION("""COMPUTED_VALUE"""),74.0)</f>
        <v>74</v>
      </c>
      <c r="Y899" s="217"/>
      <c r="Z899" s="217"/>
      <c r="AA899" s="481">
        <f>IFERROR(__xludf.DUMMYFUNCTION("""COMPUTED_VALUE"""),4.0)</f>
        <v>4</v>
      </c>
      <c r="AB899" s="481">
        <f>IFERROR(__xludf.DUMMYFUNCTION("""COMPUTED_VALUE"""),63.0)</f>
        <v>63</v>
      </c>
      <c r="AC899" s="481">
        <f>IFERROR(__xludf.DUMMYFUNCTION("""COMPUTED_VALUE"""),0.0)</f>
        <v>0</v>
      </c>
      <c r="AD899" s="481"/>
      <c r="AE899" s="481">
        <f>IFERROR(__xludf.DUMMYFUNCTION("""COMPUTED_VALUE"""),10.0)</f>
        <v>10</v>
      </c>
      <c r="AF899" s="481"/>
      <c r="AG899" s="481"/>
      <c r="AH899" s="481"/>
      <c r="AI899" s="158"/>
      <c r="AJ899" s="158"/>
      <c r="AK899" s="133">
        <f>IFERROR(__xludf.DUMMYFUNCTION("""COMPUTED_VALUE"""),2.0)</f>
        <v>2</v>
      </c>
      <c r="AL899" s="133">
        <f>IFERROR(__xludf.DUMMYFUNCTION("""COMPUTED_VALUE"""),0.0)</f>
        <v>0</v>
      </c>
      <c r="AM899" s="133">
        <f>IFERROR(__xludf.DUMMYFUNCTION("""COMPUTED_VALUE"""),3.0)</f>
        <v>3</v>
      </c>
      <c r="AN899" s="133" t="str">
        <f>IFERROR(__xludf.DUMMYFUNCTION("""COMPUTED_VALUE"""),"2")</f>
        <v>2</v>
      </c>
      <c r="AO899" s="133">
        <f>IFERROR(__xludf.DUMMYFUNCTION("""COMPUTED_VALUE"""),0.0)</f>
        <v>0</v>
      </c>
      <c r="AP899" s="155"/>
    </row>
    <row r="900">
      <c r="A900" s="155">
        <f>IFERROR(__xludf.DUMMYFUNCTION("""COMPUTED_VALUE"""),7.0)</f>
        <v>7</v>
      </c>
      <c r="B900" s="155" t="str">
        <f>IFERROR(__xludf.DUMMYFUNCTION("""COMPUTED_VALUE"""),"abbh23ece@cmrit.ac.in")</f>
        <v>abbh23ece@cmrit.ac.in</v>
      </c>
      <c r="C900" s="174" t="str">
        <f>IFERROR(__xludf.DUMMYFUNCTION("""COMPUTED_VALUE"""),"Abhishek Bhujabali Siddoji")</f>
        <v>Abhishek Bhujabali Siddoji</v>
      </c>
      <c r="D900" s="155" t="str">
        <f>IFERROR(__xludf.DUMMYFUNCTION("""COMPUTED_VALUE"""),"1CR23EC005")</f>
        <v>1CR23EC005</v>
      </c>
      <c r="E900" s="563">
        <f>IFERROR(__xludf.DUMMYFUNCTION("""COMPUTED_VALUE"""),9.008684422E9)</f>
        <v>9008684422</v>
      </c>
      <c r="F900" s="155" t="str">
        <f>IFERROR(__xludf.DUMMYFUNCTION("""COMPUTED_VALUE"""),"ECE")</f>
        <v>ECE</v>
      </c>
      <c r="G900" s="158"/>
      <c r="H900" s="559">
        <f>IFERROR(__xludf.DUMMYFUNCTION("""COMPUTED_VALUE"""),73.0)</f>
        <v>73</v>
      </c>
      <c r="I900" s="559">
        <f>IFERROR(__xludf.DUMMYFUNCTION("""COMPUTED_VALUE"""),72.0)</f>
        <v>72</v>
      </c>
      <c r="J900" s="559">
        <f>IFERROR(__xludf.DUMMYFUNCTION("""COMPUTED_VALUE"""),70.0)</f>
        <v>70</v>
      </c>
      <c r="K900" s="559">
        <f>IFERROR(__xludf.DUMMYFUNCTION("""COMPUTED_VALUE"""),70.0)</f>
        <v>70</v>
      </c>
      <c r="L900" s="560">
        <f>IFERROR(__xludf.DUMMYFUNCTION("""COMPUTED_VALUE"""),50.0)</f>
        <v>50</v>
      </c>
      <c r="M900" s="561">
        <f>IFERROR(__xludf.DUMMYFUNCTION("""COMPUTED_VALUE"""),5.0)</f>
        <v>5</v>
      </c>
      <c r="N900" s="561">
        <f>IFERROR(__xludf.DUMMYFUNCTION("""COMPUTED_VALUE"""),12.0)</f>
        <v>12</v>
      </c>
      <c r="O900" s="560"/>
      <c r="P900" s="562">
        <f>IFERROR(__xludf.DUMMYFUNCTION("""COMPUTED_VALUE"""),0.0)</f>
        <v>0</v>
      </c>
      <c r="Q900" s="562">
        <f>IFERROR(__xludf.DUMMYFUNCTION("""COMPUTED_VALUE"""),0.0)</f>
        <v>0</v>
      </c>
      <c r="R900" s="562">
        <f>IFERROR(__xludf.DUMMYFUNCTION("""COMPUTED_VALUE"""),0.0)</f>
        <v>0</v>
      </c>
      <c r="S900" s="562"/>
      <c r="T900" s="217">
        <f>IFERROR(__xludf.DUMMYFUNCTION("""COMPUTED_VALUE"""),19.0)</f>
        <v>19</v>
      </c>
      <c r="U900" s="217">
        <f>IFERROR(__xludf.DUMMYFUNCTION("""COMPUTED_VALUE"""),21.0)</f>
        <v>21</v>
      </c>
      <c r="V900" s="217">
        <f>IFERROR(__xludf.DUMMYFUNCTION("""COMPUTED_VALUE"""),34.0)</f>
        <v>34</v>
      </c>
      <c r="W900" s="217">
        <f>IFERROR(__xludf.DUMMYFUNCTION("""COMPUTED_VALUE"""),74.0)</f>
        <v>74</v>
      </c>
      <c r="X900" s="217">
        <f>IFERROR(__xludf.DUMMYFUNCTION("""COMPUTED_VALUE"""),74.0)</f>
        <v>74</v>
      </c>
      <c r="Y900" s="217"/>
      <c r="Z900" s="217"/>
      <c r="AA900" s="481">
        <f>IFERROR(__xludf.DUMMYFUNCTION("""COMPUTED_VALUE"""),60.0)</f>
        <v>60</v>
      </c>
      <c r="AB900" s="481">
        <f>IFERROR(__xludf.DUMMYFUNCTION("""COMPUTED_VALUE"""),100.0)</f>
        <v>100</v>
      </c>
      <c r="AC900" s="481">
        <f>IFERROR(__xludf.DUMMYFUNCTION("""COMPUTED_VALUE"""),61.0)</f>
        <v>61</v>
      </c>
      <c r="AD900" s="481"/>
      <c r="AE900" s="481">
        <f>IFERROR(__xludf.DUMMYFUNCTION("""COMPUTED_VALUE"""),20.0)</f>
        <v>20</v>
      </c>
      <c r="AF900" s="481"/>
      <c r="AG900" s="481"/>
      <c r="AH900" s="481"/>
      <c r="AI900" s="158"/>
      <c r="AJ900" s="158"/>
      <c r="AK900" s="133">
        <f>IFERROR(__xludf.DUMMYFUNCTION("""COMPUTED_VALUE"""),4.0)</f>
        <v>4</v>
      </c>
      <c r="AL900" s="133">
        <f>IFERROR(__xludf.DUMMYFUNCTION("""COMPUTED_VALUE"""),1.0)</f>
        <v>1</v>
      </c>
      <c r="AM900" s="133">
        <f>IFERROR(__xludf.DUMMYFUNCTION("""COMPUTED_VALUE"""),3.0)</f>
        <v>3</v>
      </c>
      <c r="AN900" s="133" t="str">
        <f>IFERROR(__xludf.DUMMYFUNCTION("""COMPUTED_VALUE"""),"3")</f>
        <v>3</v>
      </c>
      <c r="AO900" s="133">
        <f>IFERROR(__xludf.DUMMYFUNCTION("""COMPUTED_VALUE"""),0.0)</f>
        <v>0</v>
      </c>
      <c r="AP900" s="155"/>
    </row>
    <row r="901">
      <c r="A901" s="155">
        <f>IFERROR(__xludf.DUMMYFUNCTION("""COMPUTED_VALUE"""),8.0)</f>
        <v>8</v>
      </c>
      <c r="B901" s="155" t="str">
        <f>IFERROR(__xludf.DUMMYFUNCTION("""COMPUTED_VALUE"""),"aci23ece@cmrit.ac.in")</f>
        <v>aci23ece@cmrit.ac.in</v>
      </c>
      <c r="C901" s="174" t="str">
        <f>IFERROR(__xludf.DUMMYFUNCTION("""COMPUTED_VALUE"""),"ACHYUTH I HUGAR")</f>
        <v>ACHYUTH I HUGAR</v>
      </c>
      <c r="D901" s="155" t="str">
        <f>IFERROR(__xludf.DUMMYFUNCTION("""COMPUTED_VALUE"""),"1CR23EC006")</f>
        <v>1CR23EC006</v>
      </c>
      <c r="E901" s="563">
        <f>IFERROR(__xludf.DUMMYFUNCTION("""COMPUTED_VALUE"""),7.019415329E9)</f>
        <v>7019415329</v>
      </c>
      <c r="F901" s="155" t="str">
        <f>IFERROR(__xludf.DUMMYFUNCTION("""COMPUTED_VALUE"""),"ECE")</f>
        <v>ECE</v>
      </c>
      <c r="G901" s="158"/>
      <c r="H901" s="559">
        <f>IFERROR(__xludf.DUMMYFUNCTION("""COMPUTED_VALUE"""),72.0)</f>
        <v>72</v>
      </c>
      <c r="I901" s="559">
        <f>IFERROR(__xludf.DUMMYFUNCTION("""COMPUTED_VALUE"""),71.0)</f>
        <v>71</v>
      </c>
      <c r="J901" s="559">
        <f>IFERROR(__xludf.DUMMYFUNCTION("""COMPUTED_VALUE"""),70.0)</f>
        <v>70</v>
      </c>
      <c r="K901" s="559">
        <f>IFERROR(__xludf.DUMMYFUNCTION("""COMPUTED_VALUE"""),70.0)</f>
        <v>70</v>
      </c>
      <c r="L901" s="560">
        <f>IFERROR(__xludf.DUMMYFUNCTION("""COMPUTED_VALUE"""),52.0)</f>
        <v>52</v>
      </c>
      <c r="M901" s="561">
        <f>IFERROR(__xludf.DUMMYFUNCTION("""COMPUTED_VALUE"""),6.0)</f>
        <v>6</v>
      </c>
      <c r="N901" s="561">
        <f>IFERROR(__xludf.DUMMYFUNCTION("""COMPUTED_VALUE"""),15.0)</f>
        <v>15</v>
      </c>
      <c r="O901" s="560"/>
      <c r="P901" s="562">
        <f>IFERROR(__xludf.DUMMYFUNCTION("""COMPUTED_VALUE"""),0.0)</f>
        <v>0</v>
      </c>
      <c r="Q901" s="562">
        <f>IFERROR(__xludf.DUMMYFUNCTION("""COMPUTED_VALUE"""),0.0)</f>
        <v>0</v>
      </c>
      <c r="R901" s="562">
        <f>IFERROR(__xludf.DUMMYFUNCTION("""COMPUTED_VALUE"""),0.0)</f>
        <v>0</v>
      </c>
      <c r="S901" s="562"/>
      <c r="T901" s="217">
        <f>IFERROR(__xludf.DUMMYFUNCTION("""COMPUTED_VALUE"""),13.0)</f>
        <v>13</v>
      </c>
      <c r="U901" s="217">
        <f>IFERROR(__xludf.DUMMYFUNCTION("""COMPUTED_VALUE"""),16.0)</f>
        <v>16</v>
      </c>
      <c r="V901" s="217">
        <f>IFERROR(__xludf.DUMMYFUNCTION("""COMPUTED_VALUE"""),46.0)</f>
        <v>46</v>
      </c>
      <c r="W901" s="217">
        <f>IFERROR(__xludf.DUMMYFUNCTION("""COMPUTED_VALUE"""),78.0)</f>
        <v>78</v>
      </c>
      <c r="X901" s="217">
        <f>IFERROR(__xludf.DUMMYFUNCTION("""COMPUTED_VALUE"""),76.0)</f>
        <v>76</v>
      </c>
      <c r="Y901" s="217"/>
      <c r="Z901" s="217"/>
      <c r="AA901" s="481">
        <f>IFERROR(__xludf.DUMMYFUNCTION("""COMPUTED_VALUE"""),68.0)</f>
        <v>68</v>
      </c>
      <c r="AB901" s="481">
        <f>IFERROR(__xludf.DUMMYFUNCTION("""COMPUTED_VALUE"""),51.0)</f>
        <v>51</v>
      </c>
      <c r="AC901" s="481">
        <f>IFERROR(__xludf.DUMMYFUNCTION("""COMPUTED_VALUE"""),0.0)</f>
        <v>0</v>
      </c>
      <c r="AD901" s="481"/>
      <c r="AE901" s="481">
        <f>IFERROR(__xludf.DUMMYFUNCTION("""COMPUTED_VALUE"""),10.0)</f>
        <v>10</v>
      </c>
      <c r="AF901" s="481"/>
      <c r="AG901" s="481"/>
      <c r="AH901" s="481"/>
      <c r="AI901" s="158"/>
      <c r="AJ901" s="158"/>
      <c r="AK901" s="133">
        <f>IFERROR(__xludf.DUMMYFUNCTION("""COMPUTED_VALUE"""),4.0)</f>
        <v>4</v>
      </c>
      <c r="AL901" s="133">
        <f>IFERROR(__xludf.DUMMYFUNCTION("""COMPUTED_VALUE"""),1.0)</f>
        <v>1</v>
      </c>
      <c r="AM901" s="133">
        <f>IFERROR(__xludf.DUMMYFUNCTION("""COMPUTED_VALUE"""),3.0)</f>
        <v>3</v>
      </c>
      <c r="AN901" s="133" t="str">
        <f>IFERROR(__xludf.DUMMYFUNCTION("""COMPUTED_VALUE"""),"2")</f>
        <v>2</v>
      </c>
      <c r="AO901" s="133">
        <f>IFERROR(__xludf.DUMMYFUNCTION("""COMPUTED_VALUE"""),0.0)</f>
        <v>0</v>
      </c>
      <c r="AP901" s="155"/>
    </row>
    <row r="902">
      <c r="A902" s="155">
        <f>IFERROR(__xludf.DUMMYFUNCTION("""COMPUTED_VALUE"""),9.0)</f>
        <v>9</v>
      </c>
      <c r="B902" s="155" t="str">
        <f>IFERROR(__xludf.DUMMYFUNCTION("""COMPUTED_VALUE"""),"adar23ece@cmrit.ac.in")</f>
        <v>adar23ece@cmrit.ac.in</v>
      </c>
      <c r="C902" s="174" t="str">
        <f>IFERROR(__xludf.DUMMYFUNCTION("""COMPUTED_VALUE"""),"ADARSH")</f>
        <v>ADARSH</v>
      </c>
      <c r="D902" s="155" t="str">
        <f>IFERROR(__xludf.DUMMYFUNCTION("""COMPUTED_VALUE"""),"1CR23EC007")</f>
        <v>1CR23EC007</v>
      </c>
      <c r="E902" s="563">
        <f>IFERROR(__xludf.DUMMYFUNCTION("""COMPUTED_VALUE"""),8.61893135E9)</f>
        <v>8618931350</v>
      </c>
      <c r="F902" s="155" t="str">
        <f>IFERROR(__xludf.DUMMYFUNCTION("""COMPUTED_VALUE"""),"ECE")</f>
        <v>ECE</v>
      </c>
      <c r="G902" s="158"/>
      <c r="H902" s="559">
        <f>IFERROR(__xludf.DUMMYFUNCTION("""COMPUTED_VALUE"""),80.0)</f>
        <v>80</v>
      </c>
      <c r="I902" s="559">
        <f>IFERROR(__xludf.DUMMYFUNCTION("""COMPUTED_VALUE"""),73.0)</f>
        <v>73</v>
      </c>
      <c r="J902" s="559">
        <f>IFERROR(__xludf.DUMMYFUNCTION("""COMPUTED_VALUE"""),64.0)</f>
        <v>64</v>
      </c>
      <c r="K902" s="559">
        <f>IFERROR(__xludf.DUMMYFUNCTION("""COMPUTED_VALUE"""),70.0)</f>
        <v>70</v>
      </c>
      <c r="L902" s="560">
        <f>IFERROR(__xludf.DUMMYFUNCTION("""COMPUTED_VALUE"""),33.0)</f>
        <v>33</v>
      </c>
      <c r="M902" s="561">
        <f>IFERROR(__xludf.DUMMYFUNCTION("""COMPUTED_VALUE"""),20.0)</f>
        <v>20</v>
      </c>
      <c r="N902" s="561">
        <f>IFERROR(__xludf.DUMMYFUNCTION("""COMPUTED_VALUE"""),0.0)</f>
        <v>0</v>
      </c>
      <c r="O902" s="560"/>
      <c r="P902" s="562">
        <f>IFERROR(__xludf.DUMMYFUNCTION("""COMPUTED_VALUE"""),0.0)</f>
        <v>0</v>
      </c>
      <c r="Q902" s="562">
        <f>IFERROR(__xludf.DUMMYFUNCTION("""COMPUTED_VALUE"""),0.0)</f>
        <v>0</v>
      </c>
      <c r="R902" s="562">
        <f>IFERROR(__xludf.DUMMYFUNCTION("""COMPUTED_VALUE"""),87.0)</f>
        <v>87</v>
      </c>
      <c r="S902" s="562"/>
      <c r="T902" s="217">
        <f>IFERROR(__xludf.DUMMYFUNCTION("""COMPUTED_VALUE"""),19.0)</f>
        <v>19</v>
      </c>
      <c r="U902" s="217">
        <f>IFERROR(__xludf.DUMMYFUNCTION("""COMPUTED_VALUE"""),19.0)</f>
        <v>19</v>
      </c>
      <c r="V902" s="217">
        <f>IFERROR(__xludf.DUMMYFUNCTION("""COMPUTED_VALUE"""),58.0)</f>
        <v>58</v>
      </c>
      <c r="W902" s="217">
        <f>IFERROR(__xludf.DUMMYFUNCTION("""COMPUTED_VALUE"""),72.0)</f>
        <v>72</v>
      </c>
      <c r="X902" s="217">
        <f>IFERROR(__xludf.DUMMYFUNCTION("""COMPUTED_VALUE"""),76.0)</f>
        <v>76</v>
      </c>
      <c r="Y902" s="217"/>
      <c r="Z902" s="217"/>
      <c r="AA902" s="481">
        <f>IFERROR(__xludf.DUMMYFUNCTION("""COMPUTED_VALUE"""),30.0)</f>
        <v>30</v>
      </c>
      <c r="AB902" s="481">
        <f>IFERROR(__xludf.DUMMYFUNCTION("""COMPUTED_VALUE"""),44.0)</f>
        <v>44</v>
      </c>
      <c r="AC902" s="481">
        <f>IFERROR(__xludf.DUMMYFUNCTION("""COMPUTED_VALUE"""),20.0)</f>
        <v>20</v>
      </c>
      <c r="AD902" s="481"/>
      <c r="AE902" s="481">
        <f>IFERROR(__xludf.DUMMYFUNCTION("""COMPUTED_VALUE"""),10.0)</f>
        <v>10</v>
      </c>
      <c r="AF902" s="481"/>
      <c r="AG902" s="481"/>
      <c r="AH902" s="481"/>
      <c r="AI902" s="158"/>
      <c r="AJ902" s="158"/>
      <c r="AK902" s="133">
        <f>IFERROR(__xludf.DUMMYFUNCTION("""COMPUTED_VALUE"""),2.0)</f>
        <v>2</v>
      </c>
      <c r="AL902" s="133">
        <f>IFERROR(__xludf.DUMMYFUNCTION("""COMPUTED_VALUE"""),0.0)</f>
        <v>0</v>
      </c>
      <c r="AM902" s="133">
        <f>IFERROR(__xludf.DUMMYFUNCTION("""COMPUTED_VALUE"""),3.0)</f>
        <v>3</v>
      </c>
      <c r="AN902" s="133" t="str">
        <f>IFERROR(__xludf.DUMMYFUNCTION("""COMPUTED_VALUE"""),"0")</f>
        <v>0</v>
      </c>
      <c r="AO902" s="133">
        <f>IFERROR(__xludf.DUMMYFUNCTION("""COMPUTED_VALUE"""),0.0)</f>
        <v>0</v>
      </c>
      <c r="AP902" s="155"/>
    </row>
    <row r="903">
      <c r="A903" s="155">
        <f>IFERROR(__xludf.DUMMYFUNCTION("""COMPUTED_VALUE"""),10.0)</f>
        <v>10</v>
      </c>
      <c r="B903" s="155" t="str">
        <f>IFERROR(__xludf.DUMMYFUNCTION("""COMPUTED_VALUE"""),"adna23ece@cmrit.ac.in")</f>
        <v>adna23ece@cmrit.ac.in</v>
      </c>
      <c r="C903" s="174" t="str">
        <f>IFERROR(__xludf.DUMMYFUNCTION("""COMPUTED_VALUE"""),"ADITYA NATH")</f>
        <v>ADITYA NATH</v>
      </c>
      <c r="D903" s="155" t="str">
        <f>IFERROR(__xludf.DUMMYFUNCTION("""COMPUTED_VALUE"""),"1CR23EC009")</f>
        <v>1CR23EC009</v>
      </c>
      <c r="E903" s="563">
        <f>IFERROR(__xludf.DUMMYFUNCTION("""COMPUTED_VALUE"""),9.353288057E9)</f>
        <v>9353288057</v>
      </c>
      <c r="F903" s="155" t="str">
        <f>IFERROR(__xludf.DUMMYFUNCTION("""COMPUTED_VALUE"""),"ECE")</f>
        <v>ECE</v>
      </c>
      <c r="G903" s="158"/>
      <c r="H903" s="559">
        <f>IFERROR(__xludf.DUMMYFUNCTION("""COMPUTED_VALUE"""),83.0)</f>
        <v>83</v>
      </c>
      <c r="I903" s="559">
        <f>IFERROR(__xludf.DUMMYFUNCTION("""COMPUTED_VALUE"""),79.0)</f>
        <v>79</v>
      </c>
      <c r="J903" s="559">
        <f>IFERROR(__xludf.DUMMYFUNCTION("""COMPUTED_VALUE"""),61.0)</f>
        <v>61</v>
      </c>
      <c r="K903" s="559">
        <f>IFERROR(__xludf.DUMMYFUNCTION("""COMPUTED_VALUE"""),70.0)</f>
        <v>70</v>
      </c>
      <c r="L903" s="560">
        <f>IFERROR(__xludf.DUMMYFUNCTION("""COMPUTED_VALUE"""),29.0)</f>
        <v>29</v>
      </c>
      <c r="M903" s="561">
        <f>IFERROR(__xludf.DUMMYFUNCTION("""COMPUTED_VALUE"""),15.0)</f>
        <v>15</v>
      </c>
      <c r="N903" s="561">
        <f>IFERROR(__xludf.DUMMYFUNCTION("""COMPUTED_VALUE"""),6.0)</f>
        <v>6</v>
      </c>
      <c r="O903" s="560"/>
      <c r="P903" s="562">
        <f>IFERROR(__xludf.DUMMYFUNCTION("""COMPUTED_VALUE"""),0.0)</f>
        <v>0</v>
      </c>
      <c r="Q903" s="562">
        <f>IFERROR(__xludf.DUMMYFUNCTION("""COMPUTED_VALUE"""),50.0)</f>
        <v>50</v>
      </c>
      <c r="R903" s="562">
        <f>IFERROR(__xludf.DUMMYFUNCTION("""COMPUTED_VALUE"""),0.0)</f>
        <v>0</v>
      </c>
      <c r="S903" s="562"/>
      <c r="T903" s="217">
        <f>IFERROR(__xludf.DUMMYFUNCTION("""COMPUTED_VALUE"""),21.0)</f>
        <v>21</v>
      </c>
      <c r="U903" s="217">
        <f>IFERROR(__xludf.DUMMYFUNCTION("""COMPUTED_VALUE"""),17.0)</f>
        <v>17</v>
      </c>
      <c r="V903" s="217">
        <f>IFERROR(__xludf.DUMMYFUNCTION("""COMPUTED_VALUE"""),52.0)</f>
        <v>52</v>
      </c>
      <c r="W903" s="217">
        <f>IFERROR(__xludf.DUMMYFUNCTION("""COMPUTED_VALUE"""),76.0)</f>
        <v>76</v>
      </c>
      <c r="X903" s="217">
        <f>IFERROR(__xludf.DUMMYFUNCTION("""COMPUTED_VALUE"""),74.0)</f>
        <v>74</v>
      </c>
      <c r="Y903" s="217"/>
      <c r="Z903" s="217"/>
      <c r="AA903" s="481">
        <f>IFERROR(__xludf.DUMMYFUNCTION("""COMPUTED_VALUE"""),12.0)</f>
        <v>12</v>
      </c>
      <c r="AB903" s="481">
        <f>IFERROR(__xludf.DUMMYFUNCTION("""COMPUTED_VALUE"""),75.0)</f>
        <v>75</v>
      </c>
      <c r="AC903" s="481">
        <f>IFERROR(__xludf.DUMMYFUNCTION("""COMPUTED_VALUE"""),20.0)</f>
        <v>20</v>
      </c>
      <c r="AD903" s="481"/>
      <c r="AE903" s="481">
        <f>IFERROR(__xludf.DUMMYFUNCTION("""COMPUTED_VALUE"""),20.0)</f>
        <v>20</v>
      </c>
      <c r="AF903" s="481"/>
      <c r="AG903" s="481"/>
      <c r="AH903" s="481"/>
      <c r="AI903" s="158"/>
      <c r="AJ903" s="158"/>
      <c r="AK903" s="133">
        <f>IFERROR(__xludf.DUMMYFUNCTION("""COMPUTED_VALUE"""),2.0)</f>
        <v>2</v>
      </c>
      <c r="AL903" s="133">
        <f>IFERROR(__xludf.DUMMYFUNCTION("""COMPUTED_VALUE"""),0.0)</f>
        <v>0</v>
      </c>
      <c r="AM903" s="133">
        <f>IFERROR(__xludf.DUMMYFUNCTION("""COMPUTED_VALUE"""),3.0)</f>
        <v>3</v>
      </c>
      <c r="AN903" s="133" t="str">
        <f>IFERROR(__xludf.DUMMYFUNCTION("""COMPUTED_VALUE"""),"2")</f>
        <v>2</v>
      </c>
      <c r="AO903" s="133">
        <f>IFERROR(__xludf.DUMMYFUNCTION("""COMPUTED_VALUE"""),0.0)</f>
        <v>0</v>
      </c>
      <c r="AP903" s="155"/>
    </row>
    <row r="904">
      <c r="A904" s="155">
        <f>IFERROR(__xludf.DUMMYFUNCTION("""COMPUTED_VALUE"""),11.0)</f>
        <v>11</v>
      </c>
      <c r="B904" s="155" t="str">
        <f>IFERROR(__xludf.DUMMYFUNCTION("""COMPUTED_VALUE"""),"air23ece@cmrit.ac.in")</f>
        <v>air23ece@cmrit.ac.in</v>
      </c>
      <c r="C904" s="174" t="str">
        <f>IFERROR(__xludf.DUMMYFUNCTION("""COMPUTED_VALUE"""),"Aishwarya R")</f>
        <v>Aishwarya R</v>
      </c>
      <c r="D904" s="155" t="str">
        <f>IFERROR(__xludf.DUMMYFUNCTION("""COMPUTED_VALUE"""),"1CR23EC010")</f>
        <v>1CR23EC010</v>
      </c>
      <c r="E904" s="563">
        <f>IFERROR(__xludf.DUMMYFUNCTION("""COMPUTED_VALUE"""),9.148702526E9)</f>
        <v>9148702526</v>
      </c>
      <c r="F904" s="155" t="str">
        <f>IFERROR(__xludf.DUMMYFUNCTION("""COMPUTED_VALUE"""),"ECE")</f>
        <v>ECE</v>
      </c>
      <c r="G904" s="158"/>
      <c r="H904" s="559">
        <f>IFERROR(__xludf.DUMMYFUNCTION("""COMPUTED_VALUE"""),83.0)</f>
        <v>83</v>
      </c>
      <c r="I904" s="559">
        <f>IFERROR(__xludf.DUMMYFUNCTION("""COMPUTED_VALUE"""),83.0)</f>
        <v>83</v>
      </c>
      <c r="J904" s="559">
        <f>IFERROR(__xludf.DUMMYFUNCTION("""COMPUTED_VALUE"""),79.0)</f>
        <v>79</v>
      </c>
      <c r="K904" s="559">
        <f>IFERROR(__xludf.DUMMYFUNCTION("""COMPUTED_VALUE"""),76.0)</f>
        <v>76</v>
      </c>
      <c r="L904" s="560">
        <f>IFERROR(__xludf.DUMMYFUNCTION("""COMPUTED_VALUE"""),50.0)</f>
        <v>50</v>
      </c>
      <c r="M904" s="561">
        <f>IFERROR(__xludf.DUMMYFUNCTION("""COMPUTED_VALUE"""),50.0)</f>
        <v>50</v>
      </c>
      <c r="N904" s="561">
        <f>IFERROR(__xludf.DUMMYFUNCTION("""COMPUTED_VALUE"""),50.0)</f>
        <v>50</v>
      </c>
      <c r="O904" s="560"/>
      <c r="P904" s="562">
        <f>IFERROR(__xludf.DUMMYFUNCTION("""COMPUTED_VALUE"""),75.0)</f>
        <v>75</v>
      </c>
      <c r="Q904" s="562">
        <f>IFERROR(__xludf.DUMMYFUNCTION("""COMPUTED_VALUE"""),58.0)</f>
        <v>58</v>
      </c>
      <c r="R904" s="562">
        <f>IFERROR(__xludf.DUMMYFUNCTION("""COMPUTED_VALUE"""),79.0)</f>
        <v>79</v>
      </c>
      <c r="S904" s="562"/>
      <c r="T904" s="217">
        <f>IFERROR(__xludf.DUMMYFUNCTION("""COMPUTED_VALUE"""),13.0)</f>
        <v>13</v>
      </c>
      <c r="U904" s="217">
        <f>IFERROR(__xludf.DUMMYFUNCTION("""COMPUTED_VALUE"""),18.0)</f>
        <v>18</v>
      </c>
      <c r="V904" s="217">
        <f>IFERROR(__xludf.DUMMYFUNCTION("""COMPUTED_VALUE"""),72.0)</f>
        <v>72</v>
      </c>
      <c r="W904" s="217">
        <f>IFERROR(__xludf.DUMMYFUNCTION("""COMPUTED_VALUE"""),76.0)</f>
        <v>76</v>
      </c>
      <c r="X904" s="217">
        <f>IFERROR(__xludf.DUMMYFUNCTION("""COMPUTED_VALUE"""),78.0)</f>
        <v>78</v>
      </c>
      <c r="Y904" s="217"/>
      <c r="Z904" s="217"/>
      <c r="AA904" s="481">
        <f>IFERROR(__xludf.DUMMYFUNCTION("""COMPUTED_VALUE"""),67.0)</f>
        <v>67</v>
      </c>
      <c r="AB904" s="481">
        <f>IFERROR(__xludf.DUMMYFUNCTION("""COMPUTED_VALUE"""),83.0)</f>
        <v>83</v>
      </c>
      <c r="AC904" s="481">
        <f>IFERROR(__xludf.DUMMYFUNCTION("""COMPUTED_VALUE"""),70.0)</f>
        <v>70</v>
      </c>
      <c r="AD904" s="481"/>
      <c r="AE904" s="481">
        <f>IFERROR(__xludf.DUMMYFUNCTION("""COMPUTED_VALUE"""),70.0)</f>
        <v>70</v>
      </c>
      <c r="AF904" s="481"/>
      <c r="AG904" s="481"/>
      <c r="AH904" s="481">
        <f>IFERROR(__xludf.DUMMYFUNCTION("""COMPUTED_VALUE"""),76.0)</f>
        <v>76</v>
      </c>
      <c r="AI904" s="158"/>
      <c r="AJ904" s="158"/>
      <c r="AK904" s="133">
        <f>IFERROR(__xludf.DUMMYFUNCTION("""COMPUTED_VALUE"""),4.0)</f>
        <v>4</v>
      </c>
      <c r="AL904" s="133">
        <f>IFERROR(__xludf.DUMMYFUNCTION("""COMPUTED_VALUE"""),3.0)</f>
        <v>3</v>
      </c>
      <c r="AM904" s="133">
        <f>IFERROR(__xludf.DUMMYFUNCTION("""COMPUTED_VALUE"""),3.0)</f>
        <v>3</v>
      </c>
      <c r="AN904" s="133" t="str">
        <f>IFERROR(__xludf.DUMMYFUNCTION("""COMPUTED_VALUE"""),"3.5")</f>
        <v>3.5</v>
      </c>
      <c r="AO904" s="133">
        <f>IFERROR(__xludf.DUMMYFUNCTION("""COMPUTED_VALUE"""),3.0)</f>
        <v>3</v>
      </c>
      <c r="AP904" s="155"/>
    </row>
    <row r="905">
      <c r="A905" s="155">
        <f>IFERROR(__xludf.DUMMYFUNCTION("""COMPUTED_VALUE"""),12.0)</f>
        <v>12</v>
      </c>
      <c r="B905" s="155" t="str">
        <f>IFERROR(__xludf.DUMMYFUNCTION("""COMPUTED_VALUE"""),"akh23ece@cmrit.ac.in")</f>
        <v>akh23ece@cmrit.ac.in</v>
      </c>
      <c r="C905" s="174" t="str">
        <f>IFERROR(__xludf.DUMMYFUNCTION("""COMPUTED_VALUE"""),"AKHILA H")</f>
        <v>AKHILA H</v>
      </c>
      <c r="D905" s="155" t="str">
        <f>IFERROR(__xludf.DUMMYFUNCTION("""COMPUTED_VALUE"""),"1CR23EC011")</f>
        <v>1CR23EC011</v>
      </c>
      <c r="E905" s="563">
        <f>IFERROR(__xludf.DUMMYFUNCTION("""COMPUTED_VALUE"""),9.740918352E9)</f>
        <v>9740918352</v>
      </c>
      <c r="F905" s="155" t="str">
        <f>IFERROR(__xludf.DUMMYFUNCTION("""COMPUTED_VALUE"""),"ECE")</f>
        <v>ECE</v>
      </c>
      <c r="G905" s="158"/>
      <c r="H905" s="559">
        <f>IFERROR(__xludf.DUMMYFUNCTION("""COMPUTED_VALUE"""),84.0)</f>
        <v>84</v>
      </c>
      <c r="I905" s="559">
        <f>IFERROR(__xludf.DUMMYFUNCTION("""COMPUTED_VALUE"""),85.0)</f>
        <v>85</v>
      </c>
      <c r="J905" s="559">
        <f>IFERROR(__xludf.DUMMYFUNCTION("""COMPUTED_VALUE"""),74.0)</f>
        <v>74</v>
      </c>
      <c r="K905" s="559">
        <f>IFERROR(__xludf.DUMMYFUNCTION("""COMPUTED_VALUE"""),89.0)</f>
        <v>89</v>
      </c>
      <c r="L905" s="560">
        <f>IFERROR(__xludf.DUMMYFUNCTION("""COMPUTED_VALUE"""),53.0)</f>
        <v>53</v>
      </c>
      <c r="M905" s="561">
        <f>IFERROR(__xludf.DUMMYFUNCTION("""COMPUTED_VALUE"""),50.0)</f>
        <v>50</v>
      </c>
      <c r="N905" s="561">
        <f>IFERROR(__xludf.DUMMYFUNCTION("""COMPUTED_VALUE"""),50.0)</f>
        <v>50</v>
      </c>
      <c r="O905" s="560"/>
      <c r="P905" s="562">
        <f>IFERROR(__xludf.DUMMYFUNCTION("""COMPUTED_VALUE"""),75.0)</f>
        <v>75</v>
      </c>
      <c r="Q905" s="562">
        <f>IFERROR(__xludf.DUMMYFUNCTION("""COMPUTED_VALUE"""),87.0)</f>
        <v>87</v>
      </c>
      <c r="R905" s="562">
        <f>IFERROR(__xludf.DUMMYFUNCTION("""COMPUTED_VALUE"""),90.0)</f>
        <v>90</v>
      </c>
      <c r="S905" s="562"/>
      <c r="T905" s="217">
        <f>IFERROR(__xludf.DUMMYFUNCTION("""COMPUTED_VALUE"""),16.0)</f>
        <v>16</v>
      </c>
      <c r="U905" s="217">
        <f>IFERROR(__xludf.DUMMYFUNCTION("""COMPUTED_VALUE"""),19.0)</f>
        <v>19</v>
      </c>
      <c r="V905" s="217">
        <f>IFERROR(__xludf.DUMMYFUNCTION("""COMPUTED_VALUE"""),76.0)</f>
        <v>76</v>
      </c>
      <c r="W905" s="217">
        <f>IFERROR(__xludf.DUMMYFUNCTION("""COMPUTED_VALUE"""),78.0)</f>
        <v>78</v>
      </c>
      <c r="X905" s="217">
        <f>IFERROR(__xludf.DUMMYFUNCTION("""COMPUTED_VALUE"""),76.0)</f>
        <v>76</v>
      </c>
      <c r="Y905" s="217"/>
      <c r="Z905" s="217"/>
      <c r="AA905" s="481">
        <f>IFERROR(__xludf.DUMMYFUNCTION("""COMPUTED_VALUE"""),80.0)</f>
        <v>80</v>
      </c>
      <c r="AB905" s="481">
        <f>IFERROR(__xludf.DUMMYFUNCTION("""COMPUTED_VALUE"""),100.0)</f>
        <v>100</v>
      </c>
      <c r="AC905" s="481">
        <f>IFERROR(__xludf.DUMMYFUNCTION("""COMPUTED_VALUE"""),69.0)</f>
        <v>69</v>
      </c>
      <c r="AD905" s="481"/>
      <c r="AE905" s="481">
        <f>IFERROR(__xludf.DUMMYFUNCTION("""COMPUTED_VALUE"""),87.0)</f>
        <v>87</v>
      </c>
      <c r="AF905" s="481"/>
      <c r="AG905" s="481"/>
      <c r="AH905" s="481">
        <f>IFERROR(__xludf.DUMMYFUNCTION("""COMPUTED_VALUE"""),79.0)</f>
        <v>79</v>
      </c>
      <c r="AI905" s="158"/>
      <c r="AJ905" s="158"/>
      <c r="AK905" s="133">
        <f>IFERROR(__xludf.DUMMYFUNCTION("""COMPUTED_VALUE"""),4.0)</f>
        <v>4</v>
      </c>
      <c r="AL905" s="133">
        <f>IFERROR(__xludf.DUMMYFUNCTION("""COMPUTED_VALUE"""),3.0)</f>
        <v>3</v>
      </c>
      <c r="AM905" s="133">
        <f>IFERROR(__xludf.DUMMYFUNCTION("""COMPUTED_VALUE"""),3.0)</f>
        <v>3</v>
      </c>
      <c r="AN905" s="133" t="str">
        <f>IFERROR(__xludf.DUMMYFUNCTION("""COMPUTED_VALUE"""),"3.5")</f>
        <v>3.5</v>
      </c>
      <c r="AO905" s="133">
        <f>IFERROR(__xludf.DUMMYFUNCTION("""COMPUTED_VALUE"""),3.0)</f>
        <v>3</v>
      </c>
      <c r="AP905" s="155"/>
    </row>
    <row r="906">
      <c r="A906" s="155">
        <f>IFERROR(__xludf.DUMMYFUNCTION("""COMPUTED_VALUE"""),13.0)</f>
        <v>13</v>
      </c>
      <c r="B906" s="155" t="str">
        <f>IFERROR(__xludf.DUMMYFUNCTION("""COMPUTED_VALUE"""),"akm23ece@cmrit.ac.in")</f>
        <v>akm23ece@cmrit.ac.in</v>
      </c>
      <c r="C906" s="174" t="str">
        <f>IFERROR(__xludf.DUMMYFUNCTION("""COMPUTED_VALUE"""),"AKSHAYA. M")</f>
        <v>AKSHAYA. M</v>
      </c>
      <c r="D906" s="155" t="str">
        <f>IFERROR(__xludf.DUMMYFUNCTION("""COMPUTED_VALUE"""),"1CR23EC012")</f>
        <v>1CR23EC012</v>
      </c>
      <c r="E906" s="563">
        <f>IFERROR(__xludf.DUMMYFUNCTION("""COMPUTED_VALUE"""),7.892523938E9)</f>
        <v>7892523938</v>
      </c>
      <c r="F906" s="155" t="str">
        <f>IFERROR(__xludf.DUMMYFUNCTION("""COMPUTED_VALUE"""),"ECE")</f>
        <v>ECE</v>
      </c>
      <c r="G906" s="158"/>
      <c r="H906" s="559">
        <f>IFERROR(__xludf.DUMMYFUNCTION("""COMPUTED_VALUE"""),84.0)</f>
        <v>84</v>
      </c>
      <c r="I906" s="559">
        <f>IFERROR(__xludf.DUMMYFUNCTION("""COMPUTED_VALUE"""),84.0)</f>
        <v>84</v>
      </c>
      <c r="J906" s="559">
        <f>IFERROR(__xludf.DUMMYFUNCTION("""COMPUTED_VALUE"""),70.0)</f>
        <v>70</v>
      </c>
      <c r="K906" s="559">
        <f>IFERROR(__xludf.DUMMYFUNCTION("""COMPUTED_VALUE"""),70.0)</f>
        <v>70</v>
      </c>
      <c r="L906" s="560">
        <f>IFERROR(__xludf.DUMMYFUNCTION("""COMPUTED_VALUE"""),50.0)</f>
        <v>50</v>
      </c>
      <c r="M906" s="561">
        <f>IFERROR(__xludf.DUMMYFUNCTION("""COMPUTED_VALUE"""),10.0)</f>
        <v>10</v>
      </c>
      <c r="N906" s="561">
        <f>IFERROR(__xludf.DUMMYFUNCTION("""COMPUTED_VALUE"""),6.0)</f>
        <v>6</v>
      </c>
      <c r="O906" s="560"/>
      <c r="P906" s="562">
        <f>IFERROR(__xludf.DUMMYFUNCTION("""COMPUTED_VALUE"""),76.0)</f>
        <v>76</v>
      </c>
      <c r="Q906" s="562">
        <f>IFERROR(__xludf.DUMMYFUNCTION("""COMPUTED_VALUE"""),50.0)</f>
        <v>50</v>
      </c>
      <c r="R906" s="562">
        <f>IFERROR(__xludf.DUMMYFUNCTION("""COMPUTED_VALUE"""),50.0)</f>
        <v>50</v>
      </c>
      <c r="S906" s="562"/>
      <c r="T906" s="217">
        <f>IFERROR(__xludf.DUMMYFUNCTION("""COMPUTED_VALUE"""),20.0)</f>
        <v>20</v>
      </c>
      <c r="U906" s="217">
        <f>IFERROR(__xludf.DUMMYFUNCTION("""COMPUTED_VALUE"""),15.0)</f>
        <v>15</v>
      </c>
      <c r="V906" s="217">
        <f>IFERROR(__xludf.DUMMYFUNCTION("""COMPUTED_VALUE"""),42.0)</f>
        <v>42</v>
      </c>
      <c r="W906" s="217">
        <f>IFERROR(__xludf.DUMMYFUNCTION("""COMPUTED_VALUE"""),74.0)</f>
        <v>74</v>
      </c>
      <c r="X906" s="217">
        <f>IFERROR(__xludf.DUMMYFUNCTION("""COMPUTED_VALUE"""),68.0)</f>
        <v>68</v>
      </c>
      <c r="Y906" s="217"/>
      <c r="Z906" s="217"/>
      <c r="AA906" s="481">
        <f>IFERROR(__xludf.DUMMYFUNCTION("""COMPUTED_VALUE"""),50.0)</f>
        <v>50</v>
      </c>
      <c r="AB906" s="481">
        <f>IFERROR(__xludf.DUMMYFUNCTION("""COMPUTED_VALUE"""),83.0)</f>
        <v>83</v>
      </c>
      <c r="AC906" s="481">
        <f>IFERROR(__xludf.DUMMYFUNCTION("""COMPUTED_VALUE"""),36.0)</f>
        <v>36</v>
      </c>
      <c r="AD906" s="481"/>
      <c r="AE906" s="481">
        <f>IFERROR(__xludf.DUMMYFUNCTION("""COMPUTED_VALUE"""),20.0)</f>
        <v>20</v>
      </c>
      <c r="AF906" s="481"/>
      <c r="AG906" s="481"/>
      <c r="AH906" s="481">
        <f>IFERROR(__xludf.DUMMYFUNCTION("""COMPUTED_VALUE"""),15.0)</f>
        <v>15</v>
      </c>
      <c r="AI906" s="158"/>
      <c r="AJ906" s="158"/>
      <c r="AK906" s="133">
        <f>IFERROR(__xludf.DUMMYFUNCTION("""COMPUTED_VALUE"""),4.0)</f>
        <v>4</v>
      </c>
      <c r="AL906" s="133">
        <f>IFERROR(__xludf.DUMMYFUNCTION("""COMPUTED_VALUE"""),1.0)</f>
        <v>1</v>
      </c>
      <c r="AM906" s="133">
        <f>IFERROR(__xludf.DUMMYFUNCTION("""COMPUTED_VALUE"""),3.0)</f>
        <v>3</v>
      </c>
      <c r="AN906" s="133" t="str">
        <f>IFERROR(__xludf.DUMMYFUNCTION("""COMPUTED_VALUE"""),"2")</f>
        <v>2</v>
      </c>
      <c r="AO906" s="133">
        <f>IFERROR(__xludf.DUMMYFUNCTION("""COMPUTED_VALUE"""),3.0)</f>
        <v>3</v>
      </c>
      <c r="AP906" s="155" t="s">
        <v>3736</v>
      </c>
    </row>
    <row r="907">
      <c r="A907" s="155">
        <f>IFERROR(__xludf.DUMMYFUNCTION("""COMPUTED_VALUE"""),14.0)</f>
        <v>14</v>
      </c>
      <c r="B907" s="155" t="str">
        <f>IFERROR(__xludf.DUMMYFUNCTION("""COMPUTED_VALUE"""),"alra23ece@cmrit.ac.in")</f>
        <v>alra23ece@cmrit.ac.in</v>
      </c>
      <c r="C907" s="174" t="str">
        <f>IFERROR(__xludf.DUMMYFUNCTION("""COMPUTED_VALUE"""),"ALAPATI RAGA KEERTHANA")</f>
        <v>ALAPATI RAGA KEERTHANA</v>
      </c>
      <c r="D907" s="155" t="str">
        <f>IFERROR(__xludf.DUMMYFUNCTION("""COMPUTED_VALUE"""),"1CR23EC013")</f>
        <v>1CR23EC013</v>
      </c>
      <c r="E907" s="563">
        <f>IFERROR(__xludf.DUMMYFUNCTION("""COMPUTED_VALUE"""),9.901414756E9)</f>
        <v>9901414756</v>
      </c>
      <c r="F907" s="155" t="str">
        <f>IFERROR(__xludf.DUMMYFUNCTION("""COMPUTED_VALUE"""),"ECE")</f>
        <v>ECE</v>
      </c>
      <c r="G907" s="158"/>
      <c r="H907" s="559">
        <f>IFERROR(__xludf.DUMMYFUNCTION("""COMPUTED_VALUE"""),86.0)</f>
        <v>86</v>
      </c>
      <c r="I907" s="559">
        <f>IFERROR(__xludf.DUMMYFUNCTION("""COMPUTED_VALUE"""),87.0)</f>
        <v>87</v>
      </c>
      <c r="J907" s="559">
        <f>IFERROR(__xludf.DUMMYFUNCTION("""COMPUTED_VALUE"""),79.0)</f>
        <v>79</v>
      </c>
      <c r="K907" s="559">
        <f>IFERROR(__xludf.DUMMYFUNCTION("""COMPUTED_VALUE"""),83.0)</f>
        <v>83</v>
      </c>
      <c r="L907" s="560">
        <f>IFERROR(__xludf.DUMMYFUNCTION("""COMPUTED_VALUE"""),69.0)</f>
        <v>69</v>
      </c>
      <c r="M907" s="561">
        <f>IFERROR(__xludf.DUMMYFUNCTION("""COMPUTED_VALUE"""),50.0)</f>
        <v>50</v>
      </c>
      <c r="N907" s="561">
        <f>IFERROR(__xludf.DUMMYFUNCTION("""COMPUTED_VALUE"""),50.0)</f>
        <v>50</v>
      </c>
      <c r="O907" s="560"/>
      <c r="P907" s="562">
        <f>IFERROR(__xludf.DUMMYFUNCTION("""COMPUTED_VALUE"""),75.0)</f>
        <v>75</v>
      </c>
      <c r="Q907" s="562">
        <f>IFERROR(__xludf.DUMMYFUNCTION("""COMPUTED_VALUE"""),87.0)</f>
        <v>87</v>
      </c>
      <c r="R907" s="562">
        <f>IFERROR(__xludf.DUMMYFUNCTION("""COMPUTED_VALUE"""),91.0)</f>
        <v>91</v>
      </c>
      <c r="S907" s="562"/>
      <c r="T907" s="217">
        <f>IFERROR(__xludf.DUMMYFUNCTION("""COMPUTED_VALUE"""),13.0)</f>
        <v>13</v>
      </c>
      <c r="U907" s="217">
        <f>IFERROR(__xludf.DUMMYFUNCTION("""COMPUTED_VALUE"""),19.0)</f>
        <v>19</v>
      </c>
      <c r="V907" s="217">
        <f>IFERROR(__xludf.DUMMYFUNCTION("""COMPUTED_VALUE"""),76.0)</f>
        <v>76</v>
      </c>
      <c r="W907" s="217">
        <f>IFERROR(__xludf.DUMMYFUNCTION("""COMPUTED_VALUE"""),70.0)</f>
        <v>70</v>
      </c>
      <c r="X907" s="217">
        <f>IFERROR(__xludf.DUMMYFUNCTION("""COMPUTED_VALUE"""),72.0)</f>
        <v>72</v>
      </c>
      <c r="Y907" s="217"/>
      <c r="Z907" s="217"/>
      <c r="AA907" s="481">
        <f>IFERROR(__xludf.DUMMYFUNCTION("""COMPUTED_VALUE"""),100.0)</f>
        <v>100</v>
      </c>
      <c r="AB907" s="481">
        <f>IFERROR(__xludf.DUMMYFUNCTION("""COMPUTED_VALUE"""),100.0)</f>
        <v>100</v>
      </c>
      <c r="AC907" s="481">
        <f>IFERROR(__xludf.DUMMYFUNCTION("""COMPUTED_VALUE"""),79.0)</f>
        <v>79</v>
      </c>
      <c r="AD907" s="481"/>
      <c r="AE907" s="481">
        <f>IFERROR(__xludf.DUMMYFUNCTION("""COMPUTED_VALUE"""),74.0)</f>
        <v>74</v>
      </c>
      <c r="AF907" s="481"/>
      <c r="AG907" s="481"/>
      <c r="AH907" s="481">
        <f>IFERROR(__xludf.DUMMYFUNCTION("""COMPUTED_VALUE"""),86.0)</f>
        <v>86</v>
      </c>
      <c r="AI907" s="158"/>
      <c r="AJ907" s="158"/>
      <c r="AK907" s="133">
        <f>IFERROR(__xludf.DUMMYFUNCTION("""COMPUTED_VALUE"""),4.0)</f>
        <v>4</v>
      </c>
      <c r="AL907" s="133">
        <f>IFERROR(__xludf.DUMMYFUNCTION("""COMPUTED_VALUE"""),3.0)</f>
        <v>3</v>
      </c>
      <c r="AM907" s="133">
        <f>IFERROR(__xludf.DUMMYFUNCTION("""COMPUTED_VALUE"""),3.0)</f>
        <v>3</v>
      </c>
      <c r="AN907" s="133" t="str">
        <f>IFERROR(__xludf.DUMMYFUNCTION("""COMPUTED_VALUE"""),"3.5")</f>
        <v>3.5</v>
      </c>
      <c r="AO907" s="133">
        <f>IFERROR(__xludf.DUMMYFUNCTION("""COMPUTED_VALUE"""),3.0)</f>
        <v>3</v>
      </c>
      <c r="AP907" s="155" t="s">
        <v>3736</v>
      </c>
    </row>
    <row r="908">
      <c r="A908" s="155">
        <f>IFERROR(__xludf.DUMMYFUNCTION("""COMPUTED_VALUE"""),15.0)</f>
        <v>15</v>
      </c>
      <c r="B908" s="155" t="str">
        <f>IFERROR(__xludf.DUMMYFUNCTION("""COMPUTED_VALUE"""),"amb23ece@cmrit.ac.in")</f>
        <v>amb23ece@cmrit.ac.in</v>
      </c>
      <c r="C908" s="174" t="str">
        <f>IFERROR(__xludf.DUMMYFUNCTION("""COMPUTED_VALUE"""),"AMBIKA")</f>
        <v>AMBIKA</v>
      </c>
      <c r="D908" s="155" t="str">
        <f>IFERROR(__xludf.DUMMYFUNCTION("""COMPUTED_VALUE"""),"1CR23EC014")</f>
        <v>1CR23EC014</v>
      </c>
      <c r="E908" s="563">
        <f>IFERROR(__xludf.DUMMYFUNCTION("""COMPUTED_VALUE"""),8.050189002E9)</f>
        <v>8050189002</v>
      </c>
      <c r="F908" s="155" t="str">
        <f>IFERROR(__xludf.DUMMYFUNCTION("""COMPUTED_VALUE"""),"ECE")</f>
        <v>ECE</v>
      </c>
      <c r="G908" s="158"/>
      <c r="H908" s="559">
        <f>IFERROR(__xludf.DUMMYFUNCTION("""COMPUTED_VALUE"""),76.0)</f>
        <v>76</v>
      </c>
      <c r="I908" s="559">
        <f>IFERROR(__xludf.DUMMYFUNCTION("""COMPUTED_VALUE"""),82.0)</f>
        <v>82</v>
      </c>
      <c r="J908" s="559">
        <f>IFERROR(__xludf.DUMMYFUNCTION("""COMPUTED_VALUE"""),70.0)</f>
        <v>70</v>
      </c>
      <c r="K908" s="559">
        <f>IFERROR(__xludf.DUMMYFUNCTION("""COMPUTED_VALUE"""),70.0)</f>
        <v>70</v>
      </c>
      <c r="L908" s="560">
        <f>IFERROR(__xludf.DUMMYFUNCTION("""COMPUTED_VALUE"""),57.0)</f>
        <v>57</v>
      </c>
      <c r="M908" s="561">
        <f>IFERROR(__xludf.DUMMYFUNCTION("""COMPUTED_VALUE"""),50.0)</f>
        <v>50</v>
      </c>
      <c r="N908" s="561">
        <f>IFERROR(__xludf.DUMMYFUNCTION("""COMPUTED_VALUE"""),5.0)</f>
        <v>5</v>
      </c>
      <c r="O908" s="560"/>
      <c r="P908" s="562">
        <f>IFERROR(__xludf.DUMMYFUNCTION("""COMPUTED_VALUE"""),76.0)</f>
        <v>76</v>
      </c>
      <c r="Q908" s="562">
        <f>IFERROR(__xludf.DUMMYFUNCTION("""COMPUTED_VALUE"""),56.0)</f>
        <v>56</v>
      </c>
      <c r="R908" s="562">
        <f>IFERROR(__xludf.DUMMYFUNCTION("""COMPUTED_VALUE"""),50.0)</f>
        <v>50</v>
      </c>
      <c r="S908" s="562"/>
      <c r="T908" s="217">
        <f>IFERROR(__xludf.DUMMYFUNCTION("""COMPUTED_VALUE"""),12.0)</f>
        <v>12</v>
      </c>
      <c r="U908" s="217">
        <f>IFERROR(__xludf.DUMMYFUNCTION("""COMPUTED_VALUE"""),21.0)</f>
        <v>21</v>
      </c>
      <c r="V908" s="217">
        <f>IFERROR(__xludf.DUMMYFUNCTION("""COMPUTED_VALUE"""),48.0)</f>
        <v>48</v>
      </c>
      <c r="W908" s="217">
        <f>IFERROR(__xludf.DUMMYFUNCTION("""COMPUTED_VALUE"""),82.0)</f>
        <v>82</v>
      </c>
      <c r="X908" s="217">
        <f>IFERROR(__xludf.DUMMYFUNCTION("""COMPUTED_VALUE"""),74.0)</f>
        <v>74</v>
      </c>
      <c r="Y908" s="217"/>
      <c r="Z908" s="217"/>
      <c r="AA908" s="481">
        <f>IFERROR(__xludf.DUMMYFUNCTION("""COMPUTED_VALUE"""),0.0)</f>
        <v>0</v>
      </c>
      <c r="AB908" s="481">
        <f>IFERROR(__xludf.DUMMYFUNCTION("""COMPUTED_VALUE"""),71.0)</f>
        <v>71</v>
      </c>
      <c r="AC908" s="481">
        <f>IFERROR(__xludf.DUMMYFUNCTION("""COMPUTED_VALUE"""),60.0)</f>
        <v>60</v>
      </c>
      <c r="AD908" s="481"/>
      <c r="AE908" s="481">
        <f>IFERROR(__xludf.DUMMYFUNCTION("""COMPUTED_VALUE"""),12.0)</f>
        <v>12</v>
      </c>
      <c r="AF908" s="481"/>
      <c r="AG908" s="481"/>
      <c r="AH908" s="481"/>
      <c r="AI908" s="158"/>
      <c r="AJ908" s="158"/>
      <c r="AK908" s="133">
        <f>IFERROR(__xludf.DUMMYFUNCTION("""COMPUTED_VALUE"""),4.0)</f>
        <v>4</v>
      </c>
      <c r="AL908" s="133">
        <f>IFERROR(__xludf.DUMMYFUNCTION("""COMPUTED_VALUE"""),2.0)</f>
        <v>2</v>
      </c>
      <c r="AM908" s="133">
        <f>IFERROR(__xludf.DUMMYFUNCTION("""COMPUTED_VALUE"""),3.0)</f>
        <v>3</v>
      </c>
      <c r="AN908" s="133" t="str">
        <f>IFERROR(__xludf.DUMMYFUNCTION("""COMPUTED_VALUE"""),"3")</f>
        <v>3</v>
      </c>
      <c r="AO908" s="133">
        <f>IFERROR(__xludf.DUMMYFUNCTION("""COMPUTED_VALUE"""),3.0)</f>
        <v>3</v>
      </c>
      <c r="AP908" s="155" t="s">
        <v>3736</v>
      </c>
    </row>
    <row r="909">
      <c r="A909" s="155">
        <f>IFERROR(__xludf.DUMMYFUNCTION("""COMPUTED_VALUE"""),16.0)</f>
        <v>16</v>
      </c>
      <c r="B909" s="155" t="str">
        <f>IFERROR(__xludf.DUMMYFUNCTION("""COMPUTED_VALUE"""),"ana23ece@cmrit.ac.in")</f>
        <v>ana23ece@cmrit.ac.in</v>
      </c>
      <c r="C909" s="174" t="str">
        <f>IFERROR(__xludf.DUMMYFUNCTION("""COMPUTED_VALUE"""),"ANAND")</f>
        <v>ANAND</v>
      </c>
      <c r="D909" s="155" t="str">
        <f>IFERROR(__xludf.DUMMYFUNCTION("""COMPUTED_VALUE"""),"1CR23EC015")</f>
        <v>1CR23EC015</v>
      </c>
      <c r="E909" s="563">
        <f>IFERROR(__xludf.DUMMYFUNCTION("""COMPUTED_VALUE"""),7.022495834E9)</f>
        <v>7022495834</v>
      </c>
      <c r="F909" s="155" t="str">
        <f>IFERROR(__xludf.DUMMYFUNCTION("""COMPUTED_VALUE"""),"ECE")</f>
        <v>ECE</v>
      </c>
      <c r="G909" s="158"/>
      <c r="H909" s="559">
        <f>IFERROR(__xludf.DUMMYFUNCTION("""COMPUTED_VALUE"""),77.0)</f>
        <v>77</v>
      </c>
      <c r="I909" s="559">
        <f>IFERROR(__xludf.DUMMYFUNCTION("""COMPUTED_VALUE"""),74.0)</f>
        <v>74</v>
      </c>
      <c r="J909" s="559">
        <f>IFERROR(__xludf.DUMMYFUNCTION("""COMPUTED_VALUE"""),53.0)</f>
        <v>53</v>
      </c>
      <c r="K909" s="559">
        <f>IFERROR(__xludf.DUMMYFUNCTION("""COMPUTED_VALUE"""),52.0)</f>
        <v>52</v>
      </c>
      <c r="L909" s="560">
        <f>IFERROR(__xludf.DUMMYFUNCTION("""COMPUTED_VALUE"""),50.0)</f>
        <v>50</v>
      </c>
      <c r="M909" s="561">
        <f>IFERROR(__xludf.DUMMYFUNCTION("""COMPUTED_VALUE"""),11.0)</f>
        <v>11</v>
      </c>
      <c r="N909" s="561">
        <f>IFERROR(__xludf.DUMMYFUNCTION("""COMPUTED_VALUE"""),50.0)</f>
        <v>50</v>
      </c>
      <c r="O909" s="560"/>
      <c r="P909" s="562">
        <f>IFERROR(__xludf.DUMMYFUNCTION("""COMPUTED_VALUE"""),70.0)</f>
        <v>70</v>
      </c>
      <c r="Q909" s="562">
        <f>IFERROR(__xludf.DUMMYFUNCTION("""COMPUTED_VALUE"""),50.0)</f>
        <v>50</v>
      </c>
      <c r="R909" s="562">
        <f>IFERROR(__xludf.DUMMYFUNCTION("""COMPUTED_VALUE"""),84.0)</f>
        <v>84</v>
      </c>
      <c r="S909" s="562"/>
      <c r="T909" s="217">
        <f>IFERROR(__xludf.DUMMYFUNCTION("""COMPUTED_VALUE"""),18.0)</f>
        <v>18</v>
      </c>
      <c r="U909" s="217">
        <f>IFERROR(__xludf.DUMMYFUNCTION("""COMPUTED_VALUE"""),18.0)</f>
        <v>18</v>
      </c>
      <c r="V909" s="217">
        <f>IFERROR(__xludf.DUMMYFUNCTION("""COMPUTED_VALUE"""),44.0)</f>
        <v>44</v>
      </c>
      <c r="W909" s="217">
        <f>IFERROR(__xludf.DUMMYFUNCTION("""COMPUTED_VALUE"""),78.0)</f>
        <v>78</v>
      </c>
      <c r="X909" s="217">
        <f>IFERROR(__xludf.DUMMYFUNCTION("""COMPUTED_VALUE"""),74.0)</f>
        <v>74</v>
      </c>
      <c r="Y909" s="217"/>
      <c r="Z909" s="217"/>
      <c r="AA909" s="481">
        <f>IFERROR(__xludf.DUMMYFUNCTION("""COMPUTED_VALUE"""),9.0)</f>
        <v>9</v>
      </c>
      <c r="AB909" s="481">
        <f>IFERROR(__xludf.DUMMYFUNCTION("""COMPUTED_VALUE"""),62.0)</f>
        <v>62</v>
      </c>
      <c r="AC909" s="481">
        <f>IFERROR(__xludf.DUMMYFUNCTION("""COMPUTED_VALUE"""),0.0)</f>
        <v>0</v>
      </c>
      <c r="AD909" s="481"/>
      <c r="AE909" s="481">
        <f>IFERROR(__xludf.DUMMYFUNCTION("""COMPUTED_VALUE"""),20.0)</f>
        <v>20</v>
      </c>
      <c r="AF909" s="481"/>
      <c r="AG909" s="481"/>
      <c r="AH909" s="481"/>
      <c r="AI909" s="158"/>
      <c r="AJ909" s="158"/>
      <c r="AK909" s="133">
        <f>IFERROR(__xludf.DUMMYFUNCTION("""COMPUTED_VALUE"""),2.0)</f>
        <v>2</v>
      </c>
      <c r="AL909" s="133">
        <f>IFERROR(__xludf.DUMMYFUNCTION("""COMPUTED_VALUE"""),1.0)</f>
        <v>1</v>
      </c>
      <c r="AM909" s="133">
        <f>IFERROR(__xludf.DUMMYFUNCTION("""COMPUTED_VALUE"""),3.0)</f>
        <v>3</v>
      </c>
      <c r="AN909" s="133" t="str">
        <f>IFERROR(__xludf.DUMMYFUNCTION("""COMPUTED_VALUE"""),"2")</f>
        <v>2</v>
      </c>
      <c r="AO909" s="133">
        <f>IFERROR(__xludf.DUMMYFUNCTION("""COMPUTED_VALUE"""),3.0)</f>
        <v>3</v>
      </c>
      <c r="AP909" s="155" t="s">
        <v>3736</v>
      </c>
    </row>
    <row r="910">
      <c r="A910" s="155">
        <f>IFERROR(__xludf.DUMMYFUNCTION("""COMPUTED_VALUE"""),17.0)</f>
        <v>17</v>
      </c>
      <c r="B910" s="155" t="str">
        <f>IFERROR(__xludf.DUMMYFUNCTION("""COMPUTED_VALUE"""),"anpr23ece@cmrit.ac.in")</f>
        <v>anpr23ece@cmrit.ac.in</v>
      </c>
      <c r="C910" s="174" t="str">
        <f>IFERROR(__xludf.DUMMYFUNCTION("""COMPUTED_VALUE"""),"ANKITHA PRADHAN ")</f>
        <v>ANKITHA PRADHAN </v>
      </c>
      <c r="D910" s="155" t="str">
        <f>IFERROR(__xludf.DUMMYFUNCTION("""COMPUTED_VALUE"""),"1CR23EC016")</f>
        <v>1CR23EC016</v>
      </c>
      <c r="E910" s="563">
        <f>IFERROR(__xludf.DUMMYFUNCTION("""COMPUTED_VALUE"""),8.088959535E9)</f>
        <v>8088959535</v>
      </c>
      <c r="F910" s="155" t="str">
        <f>IFERROR(__xludf.DUMMYFUNCTION("""COMPUTED_VALUE"""),"ECE")</f>
        <v>ECE</v>
      </c>
      <c r="G910" s="158"/>
      <c r="H910" s="559">
        <f>IFERROR(__xludf.DUMMYFUNCTION("""COMPUTED_VALUE"""),82.0)</f>
        <v>82</v>
      </c>
      <c r="I910" s="559">
        <f>IFERROR(__xludf.DUMMYFUNCTION("""COMPUTED_VALUE"""),84.0)</f>
        <v>84</v>
      </c>
      <c r="J910" s="559">
        <f>IFERROR(__xludf.DUMMYFUNCTION("""COMPUTED_VALUE"""),76.0)</f>
        <v>76</v>
      </c>
      <c r="K910" s="559">
        <f>IFERROR(__xludf.DUMMYFUNCTION("""COMPUTED_VALUE"""),83.0)</f>
        <v>83</v>
      </c>
      <c r="L910" s="560">
        <f>IFERROR(__xludf.DUMMYFUNCTION("""COMPUTED_VALUE"""),18.0)</f>
        <v>18</v>
      </c>
      <c r="M910" s="561">
        <f>IFERROR(__xludf.DUMMYFUNCTION("""COMPUTED_VALUE"""),34.0)</f>
        <v>34</v>
      </c>
      <c r="N910" s="561">
        <f>IFERROR(__xludf.DUMMYFUNCTION("""COMPUTED_VALUE"""),7.0)</f>
        <v>7</v>
      </c>
      <c r="O910" s="560"/>
      <c r="P910" s="562">
        <f>IFERROR(__xludf.DUMMYFUNCTION("""COMPUTED_VALUE"""),79.0)</f>
        <v>79</v>
      </c>
      <c r="Q910" s="562">
        <f>IFERROR(__xludf.DUMMYFUNCTION("""COMPUTED_VALUE"""),73.0)</f>
        <v>73</v>
      </c>
      <c r="R910" s="562">
        <f>IFERROR(__xludf.DUMMYFUNCTION("""COMPUTED_VALUE"""),90.0)</f>
        <v>90</v>
      </c>
      <c r="S910" s="562"/>
      <c r="T910" s="217">
        <f>IFERROR(__xludf.DUMMYFUNCTION("""COMPUTED_VALUE"""),12.0)</f>
        <v>12</v>
      </c>
      <c r="U910" s="217">
        <f>IFERROR(__xludf.DUMMYFUNCTION("""COMPUTED_VALUE"""),21.0)</f>
        <v>21</v>
      </c>
      <c r="V910" s="217">
        <f>IFERROR(__xludf.DUMMYFUNCTION("""COMPUTED_VALUE"""),60.0)</f>
        <v>60</v>
      </c>
      <c r="W910" s="217">
        <f>IFERROR(__xludf.DUMMYFUNCTION("""COMPUTED_VALUE"""),78.0)</f>
        <v>78</v>
      </c>
      <c r="X910" s="217">
        <f>IFERROR(__xludf.DUMMYFUNCTION("""COMPUTED_VALUE"""),66.0)</f>
        <v>66</v>
      </c>
      <c r="Y910" s="217"/>
      <c r="Z910" s="217"/>
      <c r="AA910" s="481">
        <f>IFERROR(__xludf.DUMMYFUNCTION("""COMPUTED_VALUE"""),82.0)</f>
        <v>82</v>
      </c>
      <c r="AB910" s="481">
        <f>IFERROR(__xludf.DUMMYFUNCTION("""COMPUTED_VALUE"""),95.0)</f>
        <v>95</v>
      </c>
      <c r="AC910" s="481">
        <f>IFERROR(__xludf.DUMMYFUNCTION("""COMPUTED_VALUE"""),52.0)</f>
        <v>52</v>
      </c>
      <c r="AD910" s="481"/>
      <c r="AE910" s="481">
        <f>IFERROR(__xludf.DUMMYFUNCTION("""COMPUTED_VALUE"""),10.0)</f>
        <v>10</v>
      </c>
      <c r="AF910" s="481"/>
      <c r="AG910" s="481">
        <f>IFERROR(__xludf.DUMMYFUNCTION("""COMPUTED_VALUE"""),91.0)</f>
        <v>91</v>
      </c>
      <c r="AH910" s="481"/>
      <c r="AI910" s="158"/>
      <c r="AJ910" s="158"/>
      <c r="AK910" s="133">
        <f>IFERROR(__xludf.DUMMYFUNCTION("""COMPUTED_VALUE"""),4.0)</f>
        <v>4</v>
      </c>
      <c r="AL910" s="133">
        <f>IFERROR(__xludf.DUMMYFUNCTION("""COMPUTED_VALUE"""),0.0)</f>
        <v>0</v>
      </c>
      <c r="AM910" s="133">
        <f>IFERROR(__xludf.DUMMYFUNCTION("""COMPUTED_VALUE"""),3.0)</f>
        <v>3</v>
      </c>
      <c r="AN910" s="133" t="str">
        <f>IFERROR(__xludf.DUMMYFUNCTION("""COMPUTED_VALUE"""),"2")</f>
        <v>2</v>
      </c>
      <c r="AO910" s="133">
        <f>IFERROR(__xludf.DUMMYFUNCTION("""COMPUTED_VALUE"""),3.0)</f>
        <v>3</v>
      </c>
      <c r="AP910" s="155" t="s">
        <v>3736</v>
      </c>
    </row>
    <row r="911">
      <c r="A911" s="155">
        <f>IFERROR(__xludf.DUMMYFUNCTION("""COMPUTED_VALUE"""),18.0)</f>
        <v>18</v>
      </c>
      <c r="B911" s="155" t="str">
        <f>IFERROR(__xludf.DUMMYFUNCTION("""COMPUTED_VALUE"""),"anan23ece@cmrit.ac.in")</f>
        <v>anan23ece@cmrit.ac.in</v>
      </c>
      <c r="C911" s="174" t="str">
        <f>IFERROR(__xludf.DUMMYFUNCTION("""COMPUTED_VALUE"""),"ANSEL VIVIAN REGO ")</f>
        <v>ANSEL VIVIAN REGO </v>
      </c>
      <c r="D911" s="155" t="str">
        <f>IFERROR(__xludf.DUMMYFUNCTION("""COMPUTED_VALUE"""),"1CR23EC017")</f>
        <v>1CR23EC017</v>
      </c>
      <c r="E911" s="563">
        <f>IFERROR(__xludf.DUMMYFUNCTION("""COMPUTED_VALUE"""),8.310922399E9)</f>
        <v>8310922399</v>
      </c>
      <c r="F911" s="155" t="str">
        <f>IFERROR(__xludf.DUMMYFUNCTION("""COMPUTED_VALUE"""),"ECE")</f>
        <v>ECE</v>
      </c>
      <c r="G911" s="158"/>
      <c r="H911" s="559">
        <f>IFERROR(__xludf.DUMMYFUNCTION("""COMPUTED_VALUE"""),86.0)</f>
        <v>86</v>
      </c>
      <c r="I911" s="559">
        <f>IFERROR(__xludf.DUMMYFUNCTION("""COMPUTED_VALUE"""),88.0)</f>
        <v>88</v>
      </c>
      <c r="J911" s="559">
        <f>IFERROR(__xludf.DUMMYFUNCTION("""COMPUTED_VALUE"""),84.0)</f>
        <v>84</v>
      </c>
      <c r="K911" s="559">
        <f>IFERROR(__xludf.DUMMYFUNCTION("""COMPUTED_VALUE"""),81.0)</f>
        <v>81</v>
      </c>
      <c r="L911" s="560">
        <f>IFERROR(__xludf.DUMMYFUNCTION("""COMPUTED_VALUE"""),58.0)</f>
        <v>58</v>
      </c>
      <c r="M911" s="561">
        <f>IFERROR(__xludf.DUMMYFUNCTION("""COMPUTED_VALUE"""),47.0)</f>
        <v>47</v>
      </c>
      <c r="N911" s="561">
        <f>IFERROR(__xludf.DUMMYFUNCTION("""COMPUTED_VALUE"""),55.0)</f>
        <v>55</v>
      </c>
      <c r="O911" s="560"/>
      <c r="P911" s="562">
        <f>IFERROR(__xludf.DUMMYFUNCTION("""COMPUTED_VALUE"""),79.0)</f>
        <v>79</v>
      </c>
      <c r="Q911" s="562">
        <f>IFERROR(__xludf.DUMMYFUNCTION("""COMPUTED_VALUE"""),57.0)</f>
        <v>57</v>
      </c>
      <c r="R911" s="562">
        <f>IFERROR(__xludf.DUMMYFUNCTION("""COMPUTED_VALUE"""),93.0)</f>
        <v>93</v>
      </c>
      <c r="S911" s="562"/>
      <c r="T911" s="217">
        <f>IFERROR(__xludf.DUMMYFUNCTION("""COMPUTED_VALUE"""),12.0)</f>
        <v>12</v>
      </c>
      <c r="U911" s="217">
        <f>IFERROR(__xludf.DUMMYFUNCTION("""COMPUTED_VALUE"""),20.0)</f>
        <v>20</v>
      </c>
      <c r="V911" s="217">
        <f>IFERROR(__xludf.DUMMYFUNCTION("""COMPUTED_VALUE"""),52.0)</f>
        <v>52</v>
      </c>
      <c r="W911" s="217">
        <f>IFERROR(__xludf.DUMMYFUNCTION("""COMPUTED_VALUE"""),62.0)</f>
        <v>62</v>
      </c>
      <c r="X911" s="217">
        <f>IFERROR(__xludf.DUMMYFUNCTION("""COMPUTED_VALUE"""),74.0)</f>
        <v>74</v>
      </c>
      <c r="Y911" s="217"/>
      <c r="Z911" s="217"/>
      <c r="AA911" s="481">
        <f>IFERROR(__xludf.DUMMYFUNCTION("""COMPUTED_VALUE"""),94.0)</f>
        <v>94</v>
      </c>
      <c r="AB911" s="481">
        <f>IFERROR(__xludf.DUMMYFUNCTION("""COMPUTED_VALUE"""),95.0)</f>
        <v>95</v>
      </c>
      <c r="AC911" s="481">
        <f>IFERROR(__xludf.DUMMYFUNCTION("""COMPUTED_VALUE"""),88.0)</f>
        <v>88</v>
      </c>
      <c r="AD911" s="481"/>
      <c r="AE911" s="481">
        <f>IFERROR(__xludf.DUMMYFUNCTION("""COMPUTED_VALUE"""),73.0)</f>
        <v>73</v>
      </c>
      <c r="AF911" s="481"/>
      <c r="AG911" s="481"/>
      <c r="AH911" s="481">
        <f>IFERROR(__xludf.DUMMYFUNCTION("""COMPUTED_VALUE"""),86.0)</f>
        <v>86</v>
      </c>
      <c r="AI911" s="158"/>
      <c r="AJ911" s="158"/>
      <c r="AK911" s="133">
        <f>IFERROR(__xludf.DUMMYFUNCTION("""COMPUTED_VALUE"""),4.0)</f>
        <v>4</v>
      </c>
      <c r="AL911" s="133">
        <f>IFERROR(__xludf.DUMMYFUNCTION("""COMPUTED_VALUE"""),1.0)</f>
        <v>1</v>
      </c>
      <c r="AM911" s="133">
        <f>IFERROR(__xludf.DUMMYFUNCTION("""COMPUTED_VALUE"""),3.0)</f>
        <v>3</v>
      </c>
      <c r="AN911" s="133" t="str">
        <f>IFERROR(__xludf.DUMMYFUNCTION("""COMPUTED_VALUE"""),"3.5")</f>
        <v>3.5</v>
      </c>
      <c r="AO911" s="133">
        <f>IFERROR(__xludf.DUMMYFUNCTION("""COMPUTED_VALUE"""),3.0)</f>
        <v>3</v>
      </c>
      <c r="AP911" s="155" t="s">
        <v>3736</v>
      </c>
    </row>
    <row r="912">
      <c r="A912" s="155">
        <f>IFERROR(__xludf.DUMMYFUNCTION("""COMPUTED_VALUE"""),19.0)</f>
        <v>19</v>
      </c>
      <c r="B912" s="155" t="str">
        <f>IFERROR(__xludf.DUMMYFUNCTION("""COMPUTED_VALUE"""),"anka23ece@cmrit.ac.in")</f>
        <v>anka23ece@cmrit.ac.in</v>
      </c>
      <c r="C912" s="174" t="str">
        <f>IFERROR(__xludf.DUMMYFUNCTION("""COMPUTED_VALUE"""),"ANSH PRATAP SINGH KACHHWAH")</f>
        <v>ANSH PRATAP SINGH KACHHWAH</v>
      </c>
      <c r="D912" s="155" t="str">
        <f>IFERROR(__xludf.DUMMYFUNCTION("""COMPUTED_VALUE"""),"1CR23EC018")</f>
        <v>1CR23EC018</v>
      </c>
      <c r="E912" s="563">
        <f>IFERROR(__xludf.DUMMYFUNCTION("""COMPUTED_VALUE"""),7.676970536E9)</f>
        <v>7676970536</v>
      </c>
      <c r="F912" s="155" t="str">
        <f>IFERROR(__xludf.DUMMYFUNCTION("""COMPUTED_VALUE"""),"ECE")</f>
        <v>ECE</v>
      </c>
      <c r="G912" s="158"/>
      <c r="H912" s="559">
        <f>IFERROR(__xludf.DUMMYFUNCTION("""COMPUTED_VALUE"""),77.0)</f>
        <v>77</v>
      </c>
      <c r="I912" s="559">
        <f>IFERROR(__xludf.DUMMYFUNCTION("""COMPUTED_VALUE"""),83.0)</f>
        <v>83</v>
      </c>
      <c r="J912" s="559">
        <f>IFERROR(__xludf.DUMMYFUNCTION("""COMPUTED_VALUE"""),70.0)</f>
        <v>70</v>
      </c>
      <c r="K912" s="559">
        <f>IFERROR(__xludf.DUMMYFUNCTION("""COMPUTED_VALUE"""),70.0)</f>
        <v>70</v>
      </c>
      <c r="L912" s="560">
        <f>IFERROR(__xludf.DUMMYFUNCTION("""COMPUTED_VALUE"""),50.0)</f>
        <v>50</v>
      </c>
      <c r="M912" s="561">
        <f>IFERROR(__xludf.DUMMYFUNCTION("""COMPUTED_VALUE"""),42.0)</f>
        <v>42</v>
      </c>
      <c r="N912" s="561">
        <f>IFERROR(__xludf.DUMMYFUNCTION("""COMPUTED_VALUE"""),53.0)</f>
        <v>53</v>
      </c>
      <c r="O912" s="560"/>
      <c r="P912" s="562">
        <f>IFERROR(__xludf.DUMMYFUNCTION("""COMPUTED_VALUE"""),70.0)</f>
        <v>70</v>
      </c>
      <c r="Q912" s="562">
        <f>IFERROR(__xludf.DUMMYFUNCTION("""COMPUTED_VALUE"""),73.0)</f>
        <v>73</v>
      </c>
      <c r="R912" s="562">
        <f>IFERROR(__xludf.DUMMYFUNCTION("""COMPUTED_VALUE"""),50.0)</f>
        <v>50</v>
      </c>
      <c r="S912" s="562"/>
      <c r="T912" s="217">
        <f>IFERROR(__xludf.DUMMYFUNCTION("""COMPUTED_VALUE"""),16.0)</f>
        <v>16</v>
      </c>
      <c r="U912" s="217">
        <f>IFERROR(__xludf.DUMMYFUNCTION("""COMPUTED_VALUE"""),14.0)</f>
        <v>14</v>
      </c>
      <c r="V912" s="217">
        <f>IFERROR(__xludf.DUMMYFUNCTION("""COMPUTED_VALUE"""),48.0)</f>
        <v>48</v>
      </c>
      <c r="W912" s="217">
        <f>IFERROR(__xludf.DUMMYFUNCTION("""COMPUTED_VALUE"""),76.0)</f>
        <v>76</v>
      </c>
      <c r="X912" s="217">
        <f>IFERROR(__xludf.DUMMYFUNCTION("""COMPUTED_VALUE"""),66.0)</f>
        <v>66</v>
      </c>
      <c r="Y912" s="217"/>
      <c r="Z912" s="217"/>
      <c r="AA912" s="481">
        <f>IFERROR(__xludf.DUMMYFUNCTION("""COMPUTED_VALUE"""),4.0)</f>
        <v>4</v>
      </c>
      <c r="AB912" s="481">
        <f>IFERROR(__xludf.DUMMYFUNCTION("""COMPUTED_VALUE"""),71.0)</f>
        <v>71</v>
      </c>
      <c r="AC912" s="481">
        <f>IFERROR(__xludf.DUMMYFUNCTION("""COMPUTED_VALUE"""),67.0)</f>
        <v>67</v>
      </c>
      <c r="AD912" s="481"/>
      <c r="AE912" s="481">
        <f>IFERROR(__xludf.DUMMYFUNCTION("""COMPUTED_VALUE"""),22.0)</f>
        <v>22</v>
      </c>
      <c r="AF912" s="481"/>
      <c r="AG912" s="481"/>
      <c r="AH912" s="481"/>
      <c r="AI912" s="158"/>
      <c r="AJ912" s="158"/>
      <c r="AK912" s="133">
        <f>IFERROR(__xludf.DUMMYFUNCTION("""COMPUTED_VALUE"""),4.0)</f>
        <v>4</v>
      </c>
      <c r="AL912" s="133">
        <f>IFERROR(__xludf.DUMMYFUNCTION("""COMPUTED_VALUE"""),1.0)</f>
        <v>1</v>
      </c>
      <c r="AM912" s="133">
        <f>IFERROR(__xludf.DUMMYFUNCTION("""COMPUTED_VALUE"""),3.0)</f>
        <v>3</v>
      </c>
      <c r="AN912" s="133" t="str">
        <f>IFERROR(__xludf.DUMMYFUNCTION("""COMPUTED_VALUE"""),"3")</f>
        <v>3</v>
      </c>
      <c r="AO912" s="133">
        <f>IFERROR(__xludf.DUMMYFUNCTION("""COMPUTED_VALUE"""),3.0)</f>
        <v>3</v>
      </c>
      <c r="AP912" s="155" t="s">
        <v>3736</v>
      </c>
    </row>
    <row r="913">
      <c r="A913" s="155">
        <f>IFERROR(__xludf.DUMMYFUNCTION("""COMPUTED_VALUE"""),20.0)</f>
        <v>20</v>
      </c>
      <c r="B913" s="155" t="str">
        <f>IFERROR(__xludf.DUMMYFUNCTION("""COMPUTED_VALUE"""),"ansj23ece@cmrit.ac.in")</f>
        <v>ansj23ece@cmrit.ac.in</v>
      </c>
      <c r="C913" s="174" t="str">
        <f>IFERROR(__xludf.DUMMYFUNCTION("""COMPUTED_VALUE"""),"ANU SHREE S J")</f>
        <v>ANU SHREE S J</v>
      </c>
      <c r="D913" s="155" t="str">
        <f>IFERROR(__xludf.DUMMYFUNCTION("""COMPUTED_VALUE"""),"1CR23EC019")</f>
        <v>1CR23EC019</v>
      </c>
      <c r="E913" s="563">
        <f>IFERROR(__xludf.DUMMYFUNCTION("""COMPUTED_VALUE"""),9.148139205E9)</f>
        <v>9148139205</v>
      </c>
      <c r="F913" s="155" t="str">
        <f>IFERROR(__xludf.DUMMYFUNCTION("""COMPUTED_VALUE"""),"ECE")</f>
        <v>ECE</v>
      </c>
      <c r="G913" s="158"/>
      <c r="H913" s="559">
        <f>IFERROR(__xludf.DUMMYFUNCTION("""COMPUTED_VALUE"""),81.0)</f>
        <v>81</v>
      </c>
      <c r="I913" s="559">
        <f>IFERROR(__xludf.DUMMYFUNCTION("""COMPUTED_VALUE"""),91.0)</f>
        <v>91</v>
      </c>
      <c r="J913" s="559">
        <f>IFERROR(__xludf.DUMMYFUNCTION("""COMPUTED_VALUE"""),83.0)</f>
        <v>83</v>
      </c>
      <c r="K913" s="559">
        <f>IFERROR(__xludf.DUMMYFUNCTION("""COMPUTED_VALUE"""),82.0)</f>
        <v>82</v>
      </c>
      <c r="L913" s="560">
        <f>IFERROR(__xludf.DUMMYFUNCTION("""COMPUTED_VALUE"""),52.0)</f>
        <v>52</v>
      </c>
      <c r="M913" s="561">
        <f>IFERROR(__xludf.DUMMYFUNCTION("""COMPUTED_VALUE"""),50.0)</f>
        <v>50</v>
      </c>
      <c r="N913" s="561">
        <f>IFERROR(__xludf.DUMMYFUNCTION("""COMPUTED_VALUE"""),53.0)</f>
        <v>53</v>
      </c>
      <c r="O913" s="560"/>
      <c r="P913" s="562">
        <f>IFERROR(__xludf.DUMMYFUNCTION("""COMPUTED_VALUE"""),78.0)</f>
        <v>78</v>
      </c>
      <c r="Q913" s="562">
        <f>IFERROR(__xludf.DUMMYFUNCTION("""COMPUTED_VALUE"""),87.0)</f>
        <v>87</v>
      </c>
      <c r="R913" s="562">
        <f>IFERROR(__xludf.DUMMYFUNCTION("""COMPUTED_VALUE"""),90.0)</f>
        <v>90</v>
      </c>
      <c r="S913" s="562"/>
      <c r="T913" s="217">
        <f>IFERROR(__xludf.DUMMYFUNCTION("""COMPUTED_VALUE"""),19.0)</f>
        <v>19</v>
      </c>
      <c r="U913" s="217">
        <f>IFERROR(__xludf.DUMMYFUNCTION("""COMPUTED_VALUE"""),19.0)</f>
        <v>19</v>
      </c>
      <c r="V913" s="217">
        <f>IFERROR(__xludf.DUMMYFUNCTION("""COMPUTED_VALUE"""),76.0)</f>
        <v>76</v>
      </c>
      <c r="W913" s="217">
        <f>IFERROR(__xludf.DUMMYFUNCTION("""COMPUTED_VALUE"""),78.0)</f>
        <v>78</v>
      </c>
      <c r="X913" s="217">
        <f>IFERROR(__xludf.DUMMYFUNCTION("""COMPUTED_VALUE"""),72.0)</f>
        <v>72</v>
      </c>
      <c r="Y913" s="217"/>
      <c r="Z913" s="217"/>
      <c r="AA913" s="481">
        <f>IFERROR(__xludf.DUMMYFUNCTION("""COMPUTED_VALUE"""),100.0)</f>
        <v>100</v>
      </c>
      <c r="AB913" s="481">
        <f>IFERROR(__xludf.DUMMYFUNCTION("""COMPUTED_VALUE"""),86.0)</f>
        <v>86</v>
      </c>
      <c r="AC913" s="481">
        <f>IFERROR(__xludf.DUMMYFUNCTION("""COMPUTED_VALUE"""),93.0)</f>
        <v>93</v>
      </c>
      <c r="AD913" s="481"/>
      <c r="AE913" s="481">
        <f>IFERROR(__xludf.DUMMYFUNCTION("""COMPUTED_VALUE"""),89.0)</f>
        <v>89</v>
      </c>
      <c r="AF913" s="481"/>
      <c r="AG913" s="481"/>
      <c r="AH913" s="481">
        <f>IFERROR(__xludf.DUMMYFUNCTION("""COMPUTED_VALUE"""),82.0)</f>
        <v>82</v>
      </c>
      <c r="AI913" s="158"/>
      <c r="AJ913" s="158"/>
      <c r="AK913" s="133">
        <f>IFERROR(__xludf.DUMMYFUNCTION("""COMPUTED_VALUE"""),4.0)</f>
        <v>4</v>
      </c>
      <c r="AL913" s="133">
        <f>IFERROR(__xludf.DUMMYFUNCTION("""COMPUTED_VALUE"""),3.0)</f>
        <v>3</v>
      </c>
      <c r="AM913" s="133">
        <f>IFERROR(__xludf.DUMMYFUNCTION("""COMPUTED_VALUE"""),3.0)</f>
        <v>3</v>
      </c>
      <c r="AN913" s="133" t="str">
        <f>IFERROR(__xludf.DUMMYFUNCTION("""COMPUTED_VALUE"""),"3.5")</f>
        <v>3.5</v>
      </c>
      <c r="AO913" s="133">
        <f>IFERROR(__xludf.DUMMYFUNCTION("""COMPUTED_VALUE"""),3.0)</f>
        <v>3</v>
      </c>
      <c r="AP913" s="155" t="s">
        <v>3736</v>
      </c>
    </row>
    <row r="914">
      <c r="A914" s="155">
        <f>IFERROR(__xludf.DUMMYFUNCTION("""COMPUTED_VALUE"""),21.0)</f>
        <v>21</v>
      </c>
      <c r="B914" s="155" t="str">
        <f>IFERROR(__xludf.DUMMYFUNCTION("""COMPUTED_VALUE"""),"ansr23ece@cmrit.ac.in")</f>
        <v>ansr23ece@cmrit.ac.in</v>
      </c>
      <c r="C914" s="174" t="str">
        <f>IFERROR(__xludf.DUMMYFUNCTION("""COMPUTED_VALUE"""),"ANUBHAV SRIVASTVA")</f>
        <v>ANUBHAV SRIVASTVA</v>
      </c>
      <c r="D914" s="155" t="str">
        <f>IFERROR(__xludf.DUMMYFUNCTION("""COMPUTED_VALUE"""),"1CR23EC020")</f>
        <v>1CR23EC020</v>
      </c>
      <c r="E914" s="563">
        <f>IFERROR(__xludf.DUMMYFUNCTION("""COMPUTED_VALUE"""),9.430809118E9)</f>
        <v>9430809118</v>
      </c>
      <c r="F914" s="155" t="str">
        <f>IFERROR(__xludf.DUMMYFUNCTION("""COMPUTED_VALUE"""),"ECE")</f>
        <v>ECE</v>
      </c>
      <c r="G914" s="158"/>
      <c r="H914" s="559">
        <f>IFERROR(__xludf.DUMMYFUNCTION("""COMPUTED_VALUE"""),84.0)</f>
        <v>84</v>
      </c>
      <c r="I914" s="559">
        <f>IFERROR(__xludf.DUMMYFUNCTION("""COMPUTED_VALUE"""),86.0)</f>
        <v>86</v>
      </c>
      <c r="J914" s="559">
        <f>IFERROR(__xludf.DUMMYFUNCTION("""COMPUTED_VALUE"""),70.0)</f>
        <v>70</v>
      </c>
      <c r="K914" s="559">
        <f>IFERROR(__xludf.DUMMYFUNCTION("""COMPUTED_VALUE"""),70.0)</f>
        <v>70</v>
      </c>
      <c r="L914" s="560">
        <f>IFERROR(__xludf.DUMMYFUNCTION("""COMPUTED_VALUE"""),50.0)</f>
        <v>50</v>
      </c>
      <c r="M914" s="561">
        <f>IFERROR(__xludf.DUMMYFUNCTION("""COMPUTED_VALUE"""),50.0)</f>
        <v>50</v>
      </c>
      <c r="N914" s="561">
        <f>IFERROR(__xludf.DUMMYFUNCTION("""COMPUTED_VALUE"""),50.0)</f>
        <v>50</v>
      </c>
      <c r="O914" s="560"/>
      <c r="P914" s="562">
        <f>IFERROR(__xludf.DUMMYFUNCTION("""COMPUTED_VALUE"""),70.0)</f>
        <v>70</v>
      </c>
      <c r="Q914" s="562">
        <f>IFERROR(__xludf.DUMMYFUNCTION("""COMPUTED_VALUE"""),73.0)</f>
        <v>73</v>
      </c>
      <c r="R914" s="562">
        <f>IFERROR(__xludf.DUMMYFUNCTION("""COMPUTED_VALUE"""),94.0)</f>
        <v>94</v>
      </c>
      <c r="S914" s="562"/>
      <c r="T914" s="217">
        <f>IFERROR(__xludf.DUMMYFUNCTION("""COMPUTED_VALUE"""),17.0)</f>
        <v>17</v>
      </c>
      <c r="U914" s="217">
        <f>IFERROR(__xludf.DUMMYFUNCTION("""COMPUTED_VALUE"""),19.0)</f>
        <v>19</v>
      </c>
      <c r="V914" s="217">
        <f>IFERROR(__xludf.DUMMYFUNCTION("""COMPUTED_VALUE"""),72.0)</f>
        <v>72</v>
      </c>
      <c r="W914" s="217">
        <f>IFERROR(__xludf.DUMMYFUNCTION("""COMPUTED_VALUE"""),80.0)</f>
        <v>80</v>
      </c>
      <c r="X914" s="217">
        <f>IFERROR(__xludf.DUMMYFUNCTION("""COMPUTED_VALUE"""),80.0)</f>
        <v>80</v>
      </c>
      <c r="Y914" s="217"/>
      <c r="Z914" s="217"/>
      <c r="AA914" s="481">
        <f>IFERROR(__xludf.DUMMYFUNCTION("""COMPUTED_VALUE"""),66.0)</f>
        <v>66</v>
      </c>
      <c r="AB914" s="481">
        <f>IFERROR(__xludf.DUMMYFUNCTION("""COMPUTED_VALUE"""),90.0)</f>
        <v>90</v>
      </c>
      <c r="AC914" s="481">
        <f>IFERROR(__xludf.DUMMYFUNCTION("""COMPUTED_VALUE"""),70.0)</f>
        <v>70</v>
      </c>
      <c r="AD914" s="481"/>
      <c r="AE914" s="481">
        <f>IFERROR(__xludf.DUMMYFUNCTION("""COMPUTED_VALUE"""),70.0)</f>
        <v>70</v>
      </c>
      <c r="AF914" s="481"/>
      <c r="AG914" s="481">
        <f>IFERROR(__xludf.DUMMYFUNCTION("""COMPUTED_VALUE"""),94.0)</f>
        <v>94</v>
      </c>
      <c r="AH914" s="481"/>
      <c r="AI914" s="158"/>
      <c r="AJ914" s="158"/>
      <c r="AK914" s="133">
        <f>IFERROR(__xludf.DUMMYFUNCTION("""COMPUTED_VALUE"""),4.0)</f>
        <v>4</v>
      </c>
      <c r="AL914" s="133">
        <f>IFERROR(__xludf.DUMMYFUNCTION("""COMPUTED_VALUE"""),3.0)</f>
        <v>3</v>
      </c>
      <c r="AM914" s="133">
        <f>IFERROR(__xludf.DUMMYFUNCTION("""COMPUTED_VALUE"""),3.0)</f>
        <v>3</v>
      </c>
      <c r="AN914" s="133" t="str">
        <f>IFERROR(__xludf.DUMMYFUNCTION("""COMPUTED_VALUE"""),"3.5")</f>
        <v>3.5</v>
      </c>
      <c r="AO914" s="133">
        <f>IFERROR(__xludf.DUMMYFUNCTION("""COMPUTED_VALUE"""),3.0)</f>
        <v>3</v>
      </c>
      <c r="AP914" s="155" t="s">
        <v>3736</v>
      </c>
    </row>
    <row r="915">
      <c r="A915" s="155">
        <f>IFERROR(__xludf.DUMMYFUNCTION("""COMPUTED_VALUE"""),22.0)</f>
        <v>22</v>
      </c>
      <c r="B915" s="155" t="str">
        <f>IFERROR(__xludf.DUMMYFUNCTION("""COMPUTED_VALUE"""),"apm23ece@cmrit.ac.in")</f>
        <v>apm23ece@cmrit.ac.in</v>
      </c>
      <c r="C915" s="174" t="str">
        <f>IFERROR(__xludf.DUMMYFUNCTION("""COMPUTED_VALUE"""),"Apeksha M")</f>
        <v>Apeksha M</v>
      </c>
      <c r="D915" s="155" t="str">
        <f>IFERROR(__xludf.DUMMYFUNCTION("""COMPUTED_VALUE"""),"1CR23EC021")</f>
        <v>1CR23EC021</v>
      </c>
      <c r="E915" s="563">
        <f>IFERROR(__xludf.DUMMYFUNCTION("""COMPUTED_VALUE"""),6.363968072E9)</f>
        <v>6363968072</v>
      </c>
      <c r="F915" s="155" t="str">
        <f>IFERROR(__xludf.DUMMYFUNCTION("""COMPUTED_VALUE"""),"ECE")</f>
        <v>ECE</v>
      </c>
      <c r="G915" s="158"/>
      <c r="H915" s="559">
        <f>IFERROR(__xludf.DUMMYFUNCTION("""COMPUTED_VALUE"""),86.0)</f>
        <v>86</v>
      </c>
      <c r="I915" s="559">
        <f>IFERROR(__xludf.DUMMYFUNCTION("""COMPUTED_VALUE"""),83.0)</f>
        <v>83</v>
      </c>
      <c r="J915" s="559">
        <f>IFERROR(__xludf.DUMMYFUNCTION("""COMPUTED_VALUE"""),70.0)</f>
        <v>70</v>
      </c>
      <c r="K915" s="559">
        <f>IFERROR(__xludf.DUMMYFUNCTION("""COMPUTED_VALUE"""),70.0)</f>
        <v>70</v>
      </c>
      <c r="L915" s="560">
        <f>IFERROR(__xludf.DUMMYFUNCTION("""COMPUTED_VALUE"""),50.0)</f>
        <v>50</v>
      </c>
      <c r="M915" s="561">
        <f>IFERROR(__xludf.DUMMYFUNCTION("""COMPUTED_VALUE"""),50.0)</f>
        <v>50</v>
      </c>
      <c r="N915" s="561">
        <f>IFERROR(__xludf.DUMMYFUNCTION("""COMPUTED_VALUE"""),50.0)</f>
        <v>50</v>
      </c>
      <c r="O915" s="560"/>
      <c r="P915" s="562">
        <f>IFERROR(__xludf.DUMMYFUNCTION("""COMPUTED_VALUE"""),70.0)</f>
        <v>70</v>
      </c>
      <c r="Q915" s="562">
        <f>IFERROR(__xludf.DUMMYFUNCTION("""COMPUTED_VALUE"""),56.0)</f>
        <v>56</v>
      </c>
      <c r="R915" s="562">
        <f>IFERROR(__xludf.DUMMYFUNCTION("""COMPUTED_VALUE"""),81.0)</f>
        <v>81</v>
      </c>
      <c r="S915" s="562"/>
      <c r="T915" s="217">
        <f>IFERROR(__xludf.DUMMYFUNCTION("""COMPUTED_VALUE"""),17.0)</f>
        <v>17</v>
      </c>
      <c r="U915" s="217">
        <f>IFERROR(__xludf.DUMMYFUNCTION("""COMPUTED_VALUE"""),20.0)</f>
        <v>20</v>
      </c>
      <c r="V915" s="217">
        <f>IFERROR(__xludf.DUMMYFUNCTION("""COMPUTED_VALUE"""),50.0)</f>
        <v>50</v>
      </c>
      <c r="W915" s="217">
        <f>IFERROR(__xludf.DUMMYFUNCTION("""COMPUTED_VALUE"""),74.0)</f>
        <v>74</v>
      </c>
      <c r="X915" s="217">
        <f>IFERROR(__xludf.DUMMYFUNCTION("""COMPUTED_VALUE"""),76.0)</f>
        <v>76</v>
      </c>
      <c r="Y915" s="217"/>
      <c r="Z915" s="217"/>
      <c r="AA915" s="481">
        <f>IFERROR(__xludf.DUMMYFUNCTION("""COMPUTED_VALUE"""),36.0)</f>
        <v>36</v>
      </c>
      <c r="AB915" s="481">
        <f>IFERROR(__xludf.DUMMYFUNCTION("""COMPUTED_VALUE"""),85.0)</f>
        <v>85</v>
      </c>
      <c r="AC915" s="481">
        <f>IFERROR(__xludf.DUMMYFUNCTION("""COMPUTED_VALUE"""),80.0)</f>
        <v>80</v>
      </c>
      <c r="AD915" s="481"/>
      <c r="AE915" s="481">
        <f>IFERROR(__xludf.DUMMYFUNCTION("""COMPUTED_VALUE"""),71.0)</f>
        <v>71</v>
      </c>
      <c r="AF915" s="481"/>
      <c r="AG915" s="481"/>
      <c r="AH915" s="481"/>
      <c r="AI915" s="158"/>
      <c r="AJ915" s="158"/>
      <c r="AK915" s="133">
        <f>IFERROR(__xludf.DUMMYFUNCTION("""COMPUTED_VALUE"""),4.0)</f>
        <v>4</v>
      </c>
      <c r="AL915" s="133">
        <f>IFERROR(__xludf.DUMMYFUNCTION("""COMPUTED_VALUE"""),3.0)</f>
        <v>3</v>
      </c>
      <c r="AM915" s="133">
        <f>IFERROR(__xludf.DUMMYFUNCTION("""COMPUTED_VALUE"""),3.0)</f>
        <v>3</v>
      </c>
      <c r="AN915" s="133" t="str">
        <f>IFERROR(__xludf.DUMMYFUNCTION("""COMPUTED_VALUE"""),"3.5")</f>
        <v>3.5</v>
      </c>
      <c r="AO915" s="133">
        <f>IFERROR(__xludf.DUMMYFUNCTION("""COMPUTED_VALUE"""),3.0)</f>
        <v>3</v>
      </c>
      <c r="AP915" s="155" t="s">
        <v>3736</v>
      </c>
    </row>
    <row r="916">
      <c r="A916" s="155">
        <f>IFERROR(__xludf.DUMMYFUNCTION("""COMPUTED_VALUE"""),23.0)</f>
        <v>23</v>
      </c>
      <c r="B916" s="155" t="str">
        <f>IFERROR(__xludf.DUMMYFUNCTION("""COMPUTED_VALUE"""),"ark23ece@cmrit.ac.in")</f>
        <v>ark23ece@cmrit.ac.in</v>
      </c>
      <c r="C916" s="174" t="str">
        <f>IFERROR(__xludf.DUMMYFUNCTION("""COMPUTED_VALUE"""),"Arbiya K")</f>
        <v>Arbiya K</v>
      </c>
      <c r="D916" s="155" t="str">
        <f>IFERROR(__xludf.DUMMYFUNCTION("""COMPUTED_VALUE"""),"1CR23EC022")</f>
        <v>1CR23EC022</v>
      </c>
      <c r="E916" s="563">
        <f>IFERROR(__xludf.DUMMYFUNCTION("""COMPUTED_VALUE"""),9.980794943E9)</f>
        <v>9980794943</v>
      </c>
      <c r="F916" s="155" t="str">
        <f>IFERROR(__xludf.DUMMYFUNCTION("""COMPUTED_VALUE"""),"ECE")</f>
        <v>ECE</v>
      </c>
      <c r="G916" s="158"/>
      <c r="H916" s="559">
        <f>IFERROR(__xludf.DUMMYFUNCTION("""COMPUTED_VALUE"""),76.0)</f>
        <v>76</v>
      </c>
      <c r="I916" s="559">
        <f>IFERROR(__xludf.DUMMYFUNCTION("""COMPUTED_VALUE"""),76.0)</f>
        <v>76</v>
      </c>
      <c r="J916" s="559">
        <f>IFERROR(__xludf.DUMMYFUNCTION("""COMPUTED_VALUE"""),62.0)</f>
        <v>62</v>
      </c>
      <c r="K916" s="559">
        <f>IFERROR(__xludf.DUMMYFUNCTION("""COMPUTED_VALUE"""),70.0)</f>
        <v>70</v>
      </c>
      <c r="L916" s="560">
        <f>IFERROR(__xludf.DUMMYFUNCTION("""COMPUTED_VALUE"""),32.0)</f>
        <v>32</v>
      </c>
      <c r="M916" s="561">
        <f>IFERROR(__xludf.DUMMYFUNCTION("""COMPUTED_VALUE"""),7.0)</f>
        <v>7</v>
      </c>
      <c r="N916" s="561">
        <f>IFERROR(__xludf.DUMMYFUNCTION("""COMPUTED_VALUE"""),30.0)</f>
        <v>30</v>
      </c>
      <c r="O916" s="560"/>
      <c r="P916" s="562">
        <f>IFERROR(__xludf.DUMMYFUNCTION("""COMPUTED_VALUE"""),75.0)</f>
        <v>75</v>
      </c>
      <c r="Q916" s="562">
        <f>IFERROR(__xludf.DUMMYFUNCTION("""COMPUTED_VALUE"""),56.0)</f>
        <v>56</v>
      </c>
      <c r="R916" s="562">
        <f>IFERROR(__xludf.DUMMYFUNCTION("""COMPUTED_VALUE"""),50.0)</f>
        <v>50</v>
      </c>
      <c r="S916" s="562"/>
      <c r="T916" s="217">
        <f>IFERROR(__xludf.DUMMYFUNCTION("""COMPUTED_VALUE"""),11.0)</f>
        <v>11</v>
      </c>
      <c r="U916" s="217">
        <f>IFERROR(__xludf.DUMMYFUNCTION("""COMPUTED_VALUE"""),21.0)</f>
        <v>21</v>
      </c>
      <c r="V916" s="217">
        <f>IFERROR(__xludf.DUMMYFUNCTION("""COMPUTED_VALUE"""),36.0)</f>
        <v>36</v>
      </c>
      <c r="W916" s="217">
        <f>IFERROR(__xludf.DUMMYFUNCTION("""COMPUTED_VALUE"""),80.0)</f>
        <v>80</v>
      </c>
      <c r="X916" s="217">
        <f>IFERROR(__xludf.DUMMYFUNCTION("""COMPUTED_VALUE"""),82.0)</f>
        <v>82</v>
      </c>
      <c r="Y916" s="217"/>
      <c r="Z916" s="217"/>
      <c r="AA916" s="481">
        <f>IFERROR(__xludf.DUMMYFUNCTION("""COMPUTED_VALUE"""),60.0)</f>
        <v>60</v>
      </c>
      <c r="AB916" s="481">
        <f>IFERROR(__xludf.DUMMYFUNCTION("""COMPUTED_VALUE"""),80.0)</f>
        <v>80</v>
      </c>
      <c r="AC916" s="481">
        <f>IFERROR(__xludf.DUMMYFUNCTION("""COMPUTED_VALUE"""),1.0)</f>
        <v>1</v>
      </c>
      <c r="AD916" s="481"/>
      <c r="AE916" s="481">
        <f>IFERROR(__xludf.DUMMYFUNCTION("""COMPUTED_VALUE"""),70.0)</f>
        <v>70</v>
      </c>
      <c r="AF916" s="481"/>
      <c r="AG916" s="481"/>
      <c r="AH916" s="481">
        <f>IFERROR(__xludf.DUMMYFUNCTION("""COMPUTED_VALUE"""),75.0)</f>
        <v>75</v>
      </c>
      <c r="AI916" s="158"/>
      <c r="AJ916" s="158"/>
      <c r="AK916" s="133">
        <f>IFERROR(__xludf.DUMMYFUNCTION("""COMPUTED_VALUE"""),2.0)</f>
        <v>2</v>
      </c>
      <c r="AL916" s="133">
        <f>IFERROR(__xludf.DUMMYFUNCTION("""COMPUTED_VALUE"""),0.0)</f>
        <v>0</v>
      </c>
      <c r="AM916" s="133">
        <f>IFERROR(__xludf.DUMMYFUNCTION("""COMPUTED_VALUE"""),3.0)</f>
        <v>3</v>
      </c>
      <c r="AN916" s="133" t="str">
        <f>IFERROR(__xludf.DUMMYFUNCTION("""COMPUTED_VALUE"""),"2")</f>
        <v>2</v>
      </c>
      <c r="AO916" s="133">
        <f>IFERROR(__xludf.DUMMYFUNCTION("""COMPUTED_VALUE"""),3.0)</f>
        <v>3</v>
      </c>
      <c r="AP916" s="155" t="s">
        <v>3736</v>
      </c>
    </row>
    <row r="917">
      <c r="A917" s="155">
        <f>IFERROR(__xludf.DUMMYFUNCTION("""COMPUTED_VALUE"""),24.0)</f>
        <v>24</v>
      </c>
      <c r="B917" s="155" t="str">
        <f>IFERROR(__xludf.DUMMYFUNCTION("""COMPUTED_VALUE"""),"ard23ece@cmrit.ac.in")</f>
        <v>ard23ece@cmrit.ac.in</v>
      </c>
      <c r="C917" s="174" t="str">
        <f>IFERROR(__xludf.DUMMYFUNCTION("""COMPUTED_VALUE"""),"ARJUN.D")</f>
        <v>ARJUN.D</v>
      </c>
      <c r="D917" s="155" t="str">
        <f>IFERROR(__xludf.DUMMYFUNCTION("""COMPUTED_VALUE"""),"1CR23EC023")</f>
        <v>1CR23EC023</v>
      </c>
      <c r="E917" s="563">
        <f>IFERROR(__xludf.DUMMYFUNCTION("""COMPUTED_VALUE"""),7.975120547E9)</f>
        <v>7975120547</v>
      </c>
      <c r="F917" s="155" t="str">
        <f>IFERROR(__xludf.DUMMYFUNCTION("""COMPUTED_VALUE"""),"ECE")</f>
        <v>ECE</v>
      </c>
      <c r="G917" s="158"/>
      <c r="H917" s="559">
        <f>IFERROR(__xludf.DUMMYFUNCTION("""COMPUTED_VALUE"""),76.0)</f>
        <v>76</v>
      </c>
      <c r="I917" s="559">
        <f>IFERROR(__xludf.DUMMYFUNCTION("""COMPUTED_VALUE"""),78.0)</f>
        <v>78</v>
      </c>
      <c r="J917" s="559">
        <f>IFERROR(__xludf.DUMMYFUNCTION("""COMPUTED_VALUE"""),33.0)</f>
        <v>33</v>
      </c>
      <c r="K917" s="559">
        <f>IFERROR(__xludf.DUMMYFUNCTION("""COMPUTED_VALUE"""),6.0)</f>
        <v>6</v>
      </c>
      <c r="L917" s="560">
        <f>IFERROR(__xludf.DUMMYFUNCTION("""COMPUTED_VALUE"""),10.0)</f>
        <v>10</v>
      </c>
      <c r="M917" s="561">
        <f>IFERROR(__xludf.DUMMYFUNCTION("""COMPUTED_VALUE"""),11.0)</f>
        <v>11</v>
      </c>
      <c r="N917" s="561">
        <f>IFERROR(__xludf.DUMMYFUNCTION("""COMPUTED_VALUE"""),0.0)</f>
        <v>0</v>
      </c>
      <c r="O917" s="560"/>
      <c r="P917" s="562">
        <f>IFERROR(__xludf.DUMMYFUNCTION("""COMPUTED_VALUE"""),0.0)</f>
        <v>0</v>
      </c>
      <c r="Q917" s="562">
        <f>IFERROR(__xludf.DUMMYFUNCTION("""COMPUTED_VALUE"""),0.0)</f>
        <v>0</v>
      </c>
      <c r="R917" s="562">
        <f>IFERROR(__xludf.DUMMYFUNCTION("""COMPUTED_VALUE"""),0.0)</f>
        <v>0</v>
      </c>
      <c r="S917" s="562"/>
      <c r="T917" s="217">
        <f>IFERROR(__xludf.DUMMYFUNCTION("""COMPUTED_VALUE"""),21.0)</f>
        <v>21</v>
      </c>
      <c r="U917" s="217"/>
      <c r="V917" s="217">
        <f>IFERROR(__xludf.DUMMYFUNCTION("""COMPUTED_VALUE"""),46.0)</f>
        <v>46</v>
      </c>
      <c r="W917" s="217">
        <f>IFERROR(__xludf.DUMMYFUNCTION("""COMPUTED_VALUE"""),74.0)</f>
        <v>74</v>
      </c>
      <c r="X917" s="217"/>
      <c r="Y917" s="217"/>
      <c r="Z917" s="217"/>
      <c r="AA917" s="481">
        <f>IFERROR(__xludf.DUMMYFUNCTION("""COMPUTED_VALUE"""),0.0)</f>
        <v>0</v>
      </c>
      <c r="AB917" s="481">
        <f>IFERROR(__xludf.DUMMYFUNCTION("""COMPUTED_VALUE"""),31.0)</f>
        <v>31</v>
      </c>
      <c r="AC917" s="481">
        <f>IFERROR(__xludf.DUMMYFUNCTION("""COMPUTED_VALUE"""),0.0)</f>
        <v>0</v>
      </c>
      <c r="AD917" s="481"/>
      <c r="AE917" s="481">
        <f>IFERROR(__xludf.DUMMYFUNCTION("""COMPUTED_VALUE"""),10.0)</f>
        <v>10</v>
      </c>
      <c r="AF917" s="481"/>
      <c r="AG917" s="481"/>
      <c r="AH917" s="481"/>
      <c r="AI917" s="158"/>
      <c r="AJ917" s="158"/>
      <c r="AK917" s="133">
        <f>IFERROR(__xludf.DUMMYFUNCTION("""COMPUTED_VALUE"""),2.0)</f>
        <v>2</v>
      </c>
      <c r="AL917" s="133">
        <f>IFERROR(__xludf.DUMMYFUNCTION("""COMPUTED_VALUE"""),0.0)</f>
        <v>0</v>
      </c>
      <c r="AM917" s="133">
        <f>IFERROR(__xludf.DUMMYFUNCTION("""COMPUTED_VALUE"""),0.0)</f>
        <v>0</v>
      </c>
      <c r="AN917" s="133" t="str">
        <f>IFERROR(__xludf.DUMMYFUNCTION("""COMPUTED_VALUE"""),"0")</f>
        <v>0</v>
      </c>
      <c r="AO917" s="133">
        <f>IFERROR(__xludf.DUMMYFUNCTION("""COMPUTED_VALUE"""),0.0)</f>
        <v>0</v>
      </c>
      <c r="AP917" s="155" t="s">
        <v>3736</v>
      </c>
    </row>
    <row r="918">
      <c r="A918" s="155">
        <f>IFERROR(__xludf.DUMMYFUNCTION("""COMPUTED_VALUE"""),25.0)</f>
        <v>25</v>
      </c>
      <c r="B918" s="155" t="str">
        <f>IFERROR(__xludf.DUMMYFUNCTION("""COMPUTED_VALUE"""),"arna23ece@cmrit.ac.in")</f>
        <v>arna23ece@cmrit.ac.in</v>
      </c>
      <c r="C918" s="174" t="str">
        <f>IFERROR(__xludf.DUMMYFUNCTION("""COMPUTED_VALUE"""),"ARJUN M NATH ")</f>
        <v>ARJUN M NATH </v>
      </c>
      <c r="D918" s="155" t="str">
        <f>IFERROR(__xludf.DUMMYFUNCTION("""COMPUTED_VALUE"""),"1CR23EC024")</f>
        <v>1CR23EC024</v>
      </c>
      <c r="E918" s="563">
        <f>IFERROR(__xludf.DUMMYFUNCTION("""COMPUTED_VALUE"""),9.108686857E9)</f>
        <v>9108686857</v>
      </c>
      <c r="F918" s="155" t="str">
        <f>IFERROR(__xludf.DUMMYFUNCTION("""COMPUTED_VALUE"""),"ECE")</f>
        <v>ECE</v>
      </c>
      <c r="G918" s="158"/>
      <c r="H918" s="559">
        <f>IFERROR(__xludf.DUMMYFUNCTION("""COMPUTED_VALUE"""),80.0)</f>
        <v>80</v>
      </c>
      <c r="I918" s="559">
        <f>IFERROR(__xludf.DUMMYFUNCTION("""COMPUTED_VALUE"""),82.0)</f>
        <v>82</v>
      </c>
      <c r="J918" s="559">
        <f>IFERROR(__xludf.DUMMYFUNCTION("""COMPUTED_VALUE"""),44.0)</f>
        <v>44</v>
      </c>
      <c r="K918" s="559">
        <f>IFERROR(__xludf.DUMMYFUNCTION("""COMPUTED_VALUE"""),70.0)</f>
        <v>70</v>
      </c>
      <c r="L918" s="560">
        <f>IFERROR(__xludf.DUMMYFUNCTION("""COMPUTED_VALUE"""),8.0)</f>
        <v>8</v>
      </c>
      <c r="M918" s="561">
        <f>IFERROR(__xludf.DUMMYFUNCTION("""COMPUTED_VALUE"""),0.0)</f>
        <v>0</v>
      </c>
      <c r="N918" s="561">
        <f>IFERROR(__xludf.DUMMYFUNCTION("""COMPUTED_VALUE"""),0.0)</f>
        <v>0</v>
      </c>
      <c r="O918" s="560"/>
      <c r="P918" s="562">
        <f>IFERROR(__xludf.DUMMYFUNCTION("""COMPUTED_VALUE"""),0.0)</f>
        <v>0</v>
      </c>
      <c r="Q918" s="562">
        <f>IFERROR(__xludf.DUMMYFUNCTION("""COMPUTED_VALUE"""),0.0)</f>
        <v>0</v>
      </c>
      <c r="R918" s="562">
        <f>IFERROR(__xludf.DUMMYFUNCTION("""COMPUTED_VALUE"""),0.0)</f>
        <v>0</v>
      </c>
      <c r="S918" s="562"/>
      <c r="T918" s="217">
        <f>IFERROR(__xludf.DUMMYFUNCTION("""COMPUTED_VALUE"""),10.0)</f>
        <v>10</v>
      </c>
      <c r="U918" s="217">
        <f>IFERROR(__xludf.DUMMYFUNCTION("""COMPUTED_VALUE"""),14.0)</f>
        <v>14</v>
      </c>
      <c r="V918" s="217">
        <f>IFERROR(__xludf.DUMMYFUNCTION("""COMPUTED_VALUE"""),42.0)</f>
        <v>42</v>
      </c>
      <c r="W918" s="217">
        <f>IFERROR(__xludf.DUMMYFUNCTION("""COMPUTED_VALUE"""),0.0)</f>
        <v>0</v>
      </c>
      <c r="X918" s="217">
        <f>IFERROR(__xludf.DUMMYFUNCTION("""COMPUTED_VALUE"""),68.0)</f>
        <v>68</v>
      </c>
      <c r="Y918" s="217"/>
      <c r="Z918" s="217"/>
      <c r="AA918" s="481">
        <f>IFERROR(__xludf.DUMMYFUNCTION("""COMPUTED_VALUE"""),48.0)</f>
        <v>48</v>
      </c>
      <c r="AB918" s="481">
        <f>IFERROR(__xludf.DUMMYFUNCTION("""COMPUTED_VALUE"""),37.0)</f>
        <v>37</v>
      </c>
      <c r="AC918" s="481">
        <f>IFERROR(__xludf.DUMMYFUNCTION("""COMPUTED_VALUE"""),0.0)</f>
        <v>0</v>
      </c>
      <c r="AD918" s="481"/>
      <c r="AE918" s="481">
        <f>IFERROR(__xludf.DUMMYFUNCTION("""COMPUTED_VALUE"""),10.0)</f>
        <v>10</v>
      </c>
      <c r="AF918" s="481"/>
      <c r="AG918" s="481"/>
      <c r="AH918" s="481"/>
      <c r="AI918" s="158"/>
      <c r="AJ918" s="158"/>
      <c r="AK918" s="133">
        <f>IFERROR(__xludf.DUMMYFUNCTION("""COMPUTED_VALUE"""),2.0)</f>
        <v>2</v>
      </c>
      <c r="AL918" s="133">
        <f>IFERROR(__xludf.DUMMYFUNCTION("""COMPUTED_VALUE"""),0.0)</f>
        <v>0</v>
      </c>
      <c r="AM918" s="133">
        <f>IFERROR(__xludf.DUMMYFUNCTION("""COMPUTED_VALUE"""),2.0)</f>
        <v>2</v>
      </c>
      <c r="AN918" s="133" t="str">
        <f>IFERROR(__xludf.DUMMYFUNCTION("""COMPUTED_VALUE"""),"0")</f>
        <v>0</v>
      </c>
      <c r="AO918" s="133">
        <f>IFERROR(__xludf.DUMMYFUNCTION("""COMPUTED_VALUE"""),0.0)</f>
        <v>0</v>
      </c>
      <c r="AP918" s="155" t="s">
        <v>3736</v>
      </c>
    </row>
    <row r="919">
      <c r="A919" s="155">
        <f>IFERROR(__xludf.DUMMYFUNCTION("""COMPUTED_VALUE"""),26.0)</f>
        <v>26</v>
      </c>
      <c r="B919" s="155" t="str">
        <f>IFERROR(__xludf.DUMMYFUNCTION("""COMPUTED_VALUE"""),"ars23ece@cmrit.ac.in")</f>
        <v>ars23ece@cmrit.ac.in</v>
      </c>
      <c r="C919" s="174" t="str">
        <f>IFERROR(__xludf.DUMMYFUNCTION("""COMPUTED_VALUE"""),"ARNIYA S")</f>
        <v>ARNIYA S</v>
      </c>
      <c r="D919" s="155" t="str">
        <f>IFERROR(__xludf.DUMMYFUNCTION("""COMPUTED_VALUE"""),"1CR23EC025")</f>
        <v>1CR23EC025</v>
      </c>
      <c r="E919" s="563">
        <f>IFERROR(__xludf.DUMMYFUNCTION("""COMPUTED_VALUE"""),9.611238486E9)</f>
        <v>9611238486</v>
      </c>
      <c r="F919" s="155" t="str">
        <f>IFERROR(__xludf.DUMMYFUNCTION("""COMPUTED_VALUE"""),"ECE")</f>
        <v>ECE</v>
      </c>
      <c r="G919" s="158"/>
      <c r="H919" s="559">
        <f>IFERROR(__xludf.DUMMYFUNCTION("""COMPUTED_VALUE"""),88.0)</f>
        <v>88</v>
      </c>
      <c r="I919" s="559">
        <f>IFERROR(__xludf.DUMMYFUNCTION("""COMPUTED_VALUE"""),95.0)</f>
        <v>95</v>
      </c>
      <c r="J919" s="559">
        <f>IFERROR(__xludf.DUMMYFUNCTION("""COMPUTED_VALUE"""),88.0)</f>
        <v>88</v>
      </c>
      <c r="K919" s="559">
        <f>IFERROR(__xludf.DUMMYFUNCTION("""COMPUTED_VALUE"""),88.0)</f>
        <v>88</v>
      </c>
      <c r="L919" s="560">
        <f>IFERROR(__xludf.DUMMYFUNCTION("""COMPUTED_VALUE"""),75.0)</f>
        <v>75</v>
      </c>
      <c r="M919" s="561">
        <f>IFERROR(__xludf.DUMMYFUNCTION("""COMPUTED_VALUE"""),61.0)</f>
        <v>61</v>
      </c>
      <c r="N919" s="561">
        <f>IFERROR(__xludf.DUMMYFUNCTION("""COMPUTED_VALUE"""),61.0)</f>
        <v>61</v>
      </c>
      <c r="O919" s="560"/>
      <c r="P919" s="562">
        <f>IFERROR(__xludf.DUMMYFUNCTION("""COMPUTED_VALUE"""),75.0)</f>
        <v>75</v>
      </c>
      <c r="Q919" s="562">
        <f>IFERROR(__xludf.DUMMYFUNCTION("""COMPUTED_VALUE"""),87.0)</f>
        <v>87</v>
      </c>
      <c r="R919" s="562">
        <f>IFERROR(__xludf.DUMMYFUNCTION("""COMPUTED_VALUE"""),91.0)</f>
        <v>91</v>
      </c>
      <c r="S919" s="562"/>
      <c r="T919" s="217">
        <f>IFERROR(__xludf.DUMMYFUNCTION("""COMPUTED_VALUE"""),11.0)</f>
        <v>11</v>
      </c>
      <c r="U919" s="217">
        <f>IFERROR(__xludf.DUMMYFUNCTION("""COMPUTED_VALUE"""),19.0)</f>
        <v>19</v>
      </c>
      <c r="V919" s="217">
        <f>IFERROR(__xludf.DUMMYFUNCTION("""COMPUTED_VALUE"""),76.0)</f>
        <v>76</v>
      </c>
      <c r="W919" s="217">
        <f>IFERROR(__xludf.DUMMYFUNCTION("""COMPUTED_VALUE"""),78.0)</f>
        <v>78</v>
      </c>
      <c r="X919" s="217">
        <f>IFERROR(__xludf.DUMMYFUNCTION("""COMPUTED_VALUE"""),78.0)</f>
        <v>78</v>
      </c>
      <c r="Y919" s="217"/>
      <c r="Z919" s="217"/>
      <c r="AA919" s="481">
        <f>IFERROR(__xludf.DUMMYFUNCTION("""COMPUTED_VALUE"""),100.0)</f>
        <v>100</v>
      </c>
      <c r="AB919" s="481">
        <f>IFERROR(__xludf.DUMMYFUNCTION("""COMPUTED_VALUE"""),100.0)</f>
        <v>100</v>
      </c>
      <c r="AC919" s="481">
        <f>IFERROR(__xludf.DUMMYFUNCTION("""COMPUTED_VALUE"""),94.0)</f>
        <v>94</v>
      </c>
      <c r="AD919" s="481"/>
      <c r="AE919" s="481">
        <f>IFERROR(__xludf.DUMMYFUNCTION("""COMPUTED_VALUE"""),86.0)</f>
        <v>86</v>
      </c>
      <c r="AF919" s="481"/>
      <c r="AG919" s="481">
        <f>IFERROR(__xludf.DUMMYFUNCTION("""COMPUTED_VALUE"""),90.0)</f>
        <v>90</v>
      </c>
      <c r="AH919" s="481"/>
      <c r="AI919" s="158"/>
      <c r="AJ919" s="158"/>
      <c r="AK919" s="133">
        <f>IFERROR(__xludf.DUMMYFUNCTION("""COMPUTED_VALUE"""),4.0)</f>
        <v>4</v>
      </c>
      <c r="AL919" s="133">
        <f>IFERROR(__xludf.DUMMYFUNCTION("""COMPUTED_VALUE"""),3.0)</f>
        <v>3</v>
      </c>
      <c r="AM919" s="133">
        <f>IFERROR(__xludf.DUMMYFUNCTION("""COMPUTED_VALUE"""),3.0)</f>
        <v>3</v>
      </c>
      <c r="AN919" s="133" t="str">
        <f>IFERROR(__xludf.DUMMYFUNCTION("""COMPUTED_VALUE"""),"3.5")</f>
        <v>3.5</v>
      </c>
      <c r="AO919" s="133">
        <f>IFERROR(__xludf.DUMMYFUNCTION("""COMPUTED_VALUE"""),3.0)</f>
        <v>3</v>
      </c>
      <c r="AP919" s="155" t="s">
        <v>3736</v>
      </c>
    </row>
    <row r="920">
      <c r="A920" s="155">
        <f>IFERROR(__xludf.DUMMYFUNCTION("""COMPUTED_VALUE"""),27.0)</f>
        <v>27</v>
      </c>
      <c r="B920" s="155" t="str">
        <f>IFERROR(__xludf.DUMMYFUNCTION("""COMPUTED_VALUE"""),"assi23ece@cmrit.ac.in")</f>
        <v>assi23ece@cmrit.ac.in</v>
      </c>
      <c r="C920" s="174" t="str">
        <f>IFERROR(__xludf.DUMMYFUNCTION("""COMPUTED_VALUE"""),"ASHISH SINGH")</f>
        <v>ASHISH SINGH</v>
      </c>
      <c r="D920" s="155" t="str">
        <f>IFERROR(__xludf.DUMMYFUNCTION("""COMPUTED_VALUE"""),"1CR23EC026")</f>
        <v>1CR23EC026</v>
      </c>
      <c r="E920" s="563">
        <f>IFERROR(__xludf.DUMMYFUNCTION("""COMPUTED_VALUE"""),8.320888083E9)</f>
        <v>8320888083</v>
      </c>
      <c r="F920" s="155" t="str">
        <f>IFERROR(__xludf.DUMMYFUNCTION("""COMPUTED_VALUE"""),"ECE")</f>
        <v>ECE</v>
      </c>
      <c r="G920" s="158"/>
      <c r="H920" s="559">
        <f>IFERROR(__xludf.DUMMYFUNCTION("""COMPUTED_VALUE"""),86.0)</f>
        <v>86</v>
      </c>
      <c r="I920" s="559">
        <f>IFERROR(__xludf.DUMMYFUNCTION("""COMPUTED_VALUE"""),80.0)</f>
        <v>80</v>
      </c>
      <c r="J920" s="559">
        <f>IFERROR(__xludf.DUMMYFUNCTION("""COMPUTED_VALUE"""),70.0)</f>
        <v>70</v>
      </c>
      <c r="K920" s="559">
        <f>IFERROR(__xludf.DUMMYFUNCTION("""COMPUTED_VALUE"""),71.0)</f>
        <v>71</v>
      </c>
      <c r="L920" s="560">
        <f>IFERROR(__xludf.DUMMYFUNCTION("""COMPUTED_VALUE"""),38.0)</f>
        <v>38</v>
      </c>
      <c r="M920" s="561">
        <f>IFERROR(__xludf.DUMMYFUNCTION("""COMPUTED_VALUE"""),20.0)</f>
        <v>20</v>
      </c>
      <c r="N920" s="561">
        <f>IFERROR(__xludf.DUMMYFUNCTION("""COMPUTED_VALUE"""),6.0)</f>
        <v>6</v>
      </c>
      <c r="O920" s="560"/>
      <c r="P920" s="562">
        <f>IFERROR(__xludf.DUMMYFUNCTION("""COMPUTED_VALUE"""),78.0)</f>
        <v>78</v>
      </c>
      <c r="Q920" s="562">
        <f>IFERROR(__xludf.DUMMYFUNCTION("""COMPUTED_VALUE"""),0.0)</f>
        <v>0</v>
      </c>
      <c r="R920" s="562">
        <f>IFERROR(__xludf.DUMMYFUNCTION("""COMPUTED_VALUE"""),34.0)</f>
        <v>34</v>
      </c>
      <c r="S920" s="562"/>
      <c r="T920" s="217">
        <f>IFERROR(__xludf.DUMMYFUNCTION("""COMPUTED_VALUE"""),14.0)</f>
        <v>14</v>
      </c>
      <c r="U920" s="217">
        <f>IFERROR(__xludf.DUMMYFUNCTION("""COMPUTED_VALUE"""),17.0)</f>
        <v>17</v>
      </c>
      <c r="V920" s="217">
        <f>IFERROR(__xludf.DUMMYFUNCTION("""COMPUTED_VALUE"""),58.0)</f>
        <v>58</v>
      </c>
      <c r="W920" s="217">
        <f>IFERROR(__xludf.DUMMYFUNCTION("""COMPUTED_VALUE"""),68.0)</f>
        <v>68</v>
      </c>
      <c r="X920" s="217">
        <f>IFERROR(__xludf.DUMMYFUNCTION("""COMPUTED_VALUE"""),66.0)</f>
        <v>66</v>
      </c>
      <c r="Y920" s="217"/>
      <c r="Z920" s="217"/>
      <c r="AA920" s="481">
        <f>IFERROR(__xludf.DUMMYFUNCTION("""COMPUTED_VALUE"""),24.0)</f>
        <v>24</v>
      </c>
      <c r="AB920" s="481">
        <f>IFERROR(__xludf.DUMMYFUNCTION("""COMPUTED_VALUE"""),100.0)</f>
        <v>100</v>
      </c>
      <c r="AC920" s="481">
        <f>IFERROR(__xludf.DUMMYFUNCTION("""COMPUTED_VALUE"""),54.0)</f>
        <v>54</v>
      </c>
      <c r="AD920" s="481"/>
      <c r="AE920" s="481">
        <f>IFERROR(__xludf.DUMMYFUNCTION("""COMPUTED_VALUE"""),14.0)</f>
        <v>14</v>
      </c>
      <c r="AF920" s="481"/>
      <c r="AG920" s="481">
        <f>IFERROR(__xludf.DUMMYFUNCTION("""COMPUTED_VALUE"""),70.0)</f>
        <v>70</v>
      </c>
      <c r="AH920" s="481"/>
      <c r="AI920" s="158"/>
      <c r="AJ920" s="158"/>
      <c r="AK920" s="133">
        <f>IFERROR(__xludf.DUMMYFUNCTION("""COMPUTED_VALUE"""),4.0)</f>
        <v>4</v>
      </c>
      <c r="AL920" s="133">
        <f>IFERROR(__xludf.DUMMYFUNCTION("""COMPUTED_VALUE"""),0.0)</f>
        <v>0</v>
      </c>
      <c r="AM920" s="133">
        <f>IFERROR(__xludf.DUMMYFUNCTION("""COMPUTED_VALUE"""),3.0)</f>
        <v>3</v>
      </c>
      <c r="AN920" s="133" t="str">
        <f>IFERROR(__xludf.DUMMYFUNCTION("""COMPUTED_VALUE"""),"2")</f>
        <v>2</v>
      </c>
      <c r="AO920" s="133">
        <f>IFERROR(__xludf.DUMMYFUNCTION("""COMPUTED_VALUE"""),1.0)</f>
        <v>1</v>
      </c>
      <c r="AP920" s="155" t="s">
        <v>3736</v>
      </c>
    </row>
    <row r="921">
      <c r="A921" s="155">
        <f>IFERROR(__xludf.DUMMYFUNCTION("""COMPUTED_VALUE"""),28.0)</f>
        <v>28</v>
      </c>
      <c r="B921" s="155" t="str">
        <f>IFERROR(__xludf.DUMMYFUNCTION("""COMPUTED_VALUE"""),"ayh23ece@cmrit.ac.in")</f>
        <v>ayh23ece@cmrit.ac.in</v>
      </c>
      <c r="C921" s="174" t="str">
        <f>IFERROR(__xludf.DUMMYFUNCTION("""COMPUTED_VALUE"""),"AYUSH KUMAR")</f>
        <v>AYUSH KUMAR</v>
      </c>
      <c r="D921" s="155" t="str">
        <f>IFERROR(__xludf.DUMMYFUNCTION("""COMPUTED_VALUE"""),"1CR23EC027")</f>
        <v>1CR23EC027</v>
      </c>
      <c r="E921" s="563">
        <f>IFERROR(__xludf.DUMMYFUNCTION("""COMPUTED_VALUE"""),8.871744291E9)</f>
        <v>8871744291</v>
      </c>
      <c r="F921" s="155" t="str">
        <f>IFERROR(__xludf.DUMMYFUNCTION("""COMPUTED_VALUE"""),"ECE")</f>
        <v>ECE</v>
      </c>
      <c r="G921" s="158"/>
      <c r="H921" s="559">
        <f>IFERROR(__xludf.DUMMYFUNCTION("""COMPUTED_VALUE"""),82.0)</f>
        <v>82</v>
      </c>
      <c r="I921" s="559">
        <f>IFERROR(__xludf.DUMMYFUNCTION("""COMPUTED_VALUE"""),87.0)</f>
        <v>87</v>
      </c>
      <c r="J921" s="559">
        <f>IFERROR(__xludf.DUMMYFUNCTION("""COMPUTED_VALUE"""),70.0)</f>
        <v>70</v>
      </c>
      <c r="K921" s="559">
        <f>IFERROR(__xludf.DUMMYFUNCTION("""COMPUTED_VALUE"""),77.0)</f>
        <v>77</v>
      </c>
      <c r="L921" s="560">
        <f>IFERROR(__xludf.DUMMYFUNCTION("""COMPUTED_VALUE"""),75.0)</f>
        <v>75</v>
      </c>
      <c r="M921" s="561">
        <f>IFERROR(__xludf.DUMMYFUNCTION("""COMPUTED_VALUE"""),50.0)</f>
        <v>50</v>
      </c>
      <c r="N921" s="561">
        <f>IFERROR(__xludf.DUMMYFUNCTION("""COMPUTED_VALUE"""),50.0)</f>
        <v>50</v>
      </c>
      <c r="O921" s="560"/>
      <c r="P921" s="562">
        <f>IFERROR(__xludf.DUMMYFUNCTION("""COMPUTED_VALUE"""),95.0)</f>
        <v>95</v>
      </c>
      <c r="Q921" s="562">
        <f>IFERROR(__xludf.DUMMYFUNCTION("""COMPUTED_VALUE"""),50.0)</f>
        <v>50</v>
      </c>
      <c r="R921" s="562">
        <f>IFERROR(__xludf.DUMMYFUNCTION("""COMPUTED_VALUE"""),59.0)</f>
        <v>59</v>
      </c>
      <c r="S921" s="562"/>
      <c r="T921" s="217">
        <f>IFERROR(__xludf.DUMMYFUNCTION("""COMPUTED_VALUE"""),12.0)</f>
        <v>12</v>
      </c>
      <c r="U921" s="217">
        <f>IFERROR(__xludf.DUMMYFUNCTION("""COMPUTED_VALUE"""),18.0)</f>
        <v>18</v>
      </c>
      <c r="V921" s="217">
        <f>IFERROR(__xludf.DUMMYFUNCTION("""COMPUTED_VALUE"""),62.0)</f>
        <v>62</v>
      </c>
      <c r="W921" s="217">
        <f>IFERROR(__xludf.DUMMYFUNCTION("""COMPUTED_VALUE"""),70.0)</f>
        <v>70</v>
      </c>
      <c r="X921" s="217">
        <f>IFERROR(__xludf.DUMMYFUNCTION("""COMPUTED_VALUE"""),66.0)</f>
        <v>66</v>
      </c>
      <c r="Y921" s="217"/>
      <c r="Z921" s="217"/>
      <c r="AA921" s="481">
        <f>IFERROR(__xludf.DUMMYFUNCTION("""COMPUTED_VALUE"""),4.0)</f>
        <v>4</v>
      </c>
      <c r="AB921" s="481">
        <f>IFERROR(__xludf.DUMMYFUNCTION("""COMPUTED_VALUE"""),63.0)</f>
        <v>63</v>
      </c>
      <c r="AC921" s="481">
        <f>IFERROR(__xludf.DUMMYFUNCTION("""COMPUTED_VALUE"""),60.0)</f>
        <v>60</v>
      </c>
      <c r="AD921" s="481"/>
      <c r="AE921" s="481">
        <f>IFERROR(__xludf.DUMMYFUNCTION("""COMPUTED_VALUE"""),70.0)</f>
        <v>70</v>
      </c>
      <c r="AF921" s="481"/>
      <c r="AG921" s="481"/>
      <c r="AH921" s="481"/>
      <c r="AI921" s="158"/>
      <c r="AJ921" s="158"/>
      <c r="AK921" s="133">
        <f>IFERROR(__xludf.DUMMYFUNCTION("""COMPUTED_VALUE"""),4.0)</f>
        <v>4</v>
      </c>
      <c r="AL921" s="133">
        <f>IFERROR(__xludf.DUMMYFUNCTION("""COMPUTED_VALUE"""),3.0)</f>
        <v>3</v>
      </c>
      <c r="AM921" s="133">
        <f>IFERROR(__xludf.DUMMYFUNCTION("""COMPUTED_VALUE"""),3.0)</f>
        <v>3</v>
      </c>
      <c r="AN921" s="133" t="str">
        <f>IFERROR(__xludf.DUMMYFUNCTION("""COMPUTED_VALUE"""),"3.5")</f>
        <v>3.5</v>
      </c>
      <c r="AO921" s="133">
        <f>IFERROR(__xludf.DUMMYFUNCTION("""COMPUTED_VALUE"""),3.0)</f>
        <v>3</v>
      </c>
      <c r="AP921" s="155" t="s">
        <v>3736</v>
      </c>
    </row>
    <row r="922">
      <c r="A922" s="155">
        <f>IFERROR(__xludf.DUMMYFUNCTION("""COMPUTED_VALUE"""),29.0)</f>
        <v>29</v>
      </c>
      <c r="B922" s="155" t="str">
        <f>IFERROR(__xludf.DUMMYFUNCTION("""COMPUTED_VALUE"""),"ayku23ece@cmrit.ac.in")</f>
        <v>ayku23ece@cmrit.ac.in</v>
      </c>
      <c r="C922" s="174" t="str">
        <f>IFERROR(__xludf.DUMMYFUNCTION("""COMPUTED_VALUE"""),"AYUSH KUMAR ")</f>
        <v>AYUSH KUMAR </v>
      </c>
      <c r="D922" s="155" t="str">
        <f>IFERROR(__xludf.DUMMYFUNCTION("""COMPUTED_VALUE"""),"1CR23EC028")</f>
        <v>1CR23EC028</v>
      </c>
      <c r="E922" s="563">
        <f>IFERROR(__xludf.DUMMYFUNCTION("""COMPUTED_VALUE"""),8.317423479E9)</f>
        <v>8317423479</v>
      </c>
      <c r="F922" s="155" t="str">
        <f>IFERROR(__xludf.DUMMYFUNCTION("""COMPUTED_VALUE"""),"ECE")</f>
        <v>ECE</v>
      </c>
      <c r="G922" s="158"/>
      <c r="H922" s="559">
        <f>IFERROR(__xludf.DUMMYFUNCTION("""COMPUTED_VALUE"""),76.0)</f>
        <v>76</v>
      </c>
      <c r="I922" s="559">
        <f>IFERROR(__xludf.DUMMYFUNCTION("""COMPUTED_VALUE"""),75.0)</f>
        <v>75</v>
      </c>
      <c r="J922" s="559">
        <f>IFERROR(__xludf.DUMMYFUNCTION("""COMPUTED_VALUE"""),70.0)</f>
        <v>70</v>
      </c>
      <c r="K922" s="559">
        <f>IFERROR(__xludf.DUMMYFUNCTION("""COMPUTED_VALUE"""),73.0)</f>
        <v>73</v>
      </c>
      <c r="L922" s="560">
        <f>IFERROR(__xludf.DUMMYFUNCTION("""COMPUTED_VALUE"""),50.0)</f>
        <v>50</v>
      </c>
      <c r="M922" s="561">
        <f>IFERROR(__xludf.DUMMYFUNCTION("""COMPUTED_VALUE"""),4.0)</f>
        <v>4</v>
      </c>
      <c r="N922" s="561">
        <f>IFERROR(__xludf.DUMMYFUNCTION("""COMPUTED_VALUE"""),50.0)</f>
        <v>50</v>
      </c>
      <c r="O922" s="560"/>
      <c r="P922" s="562">
        <f>IFERROR(__xludf.DUMMYFUNCTION("""COMPUTED_VALUE"""),79.0)</f>
        <v>79</v>
      </c>
      <c r="Q922" s="562">
        <f>IFERROR(__xludf.DUMMYFUNCTION("""COMPUTED_VALUE"""),50.0)</f>
        <v>50</v>
      </c>
      <c r="R922" s="562">
        <f>IFERROR(__xludf.DUMMYFUNCTION("""COMPUTED_VALUE"""),34.0)</f>
        <v>34</v>
      </c>
      <c r="S922" s="562"/>
      <c r="T922" s="217">
        <f>IFERROR(__xludf.DUMMYFUNCTION("""COMPUTED_VALUE"""),10.0)</f>
        <v>10</v>
      </c>
      <c r="U922" s="217">
        <f>IFERROR(__xludf.DUMMYFUNCTION("""COMPUTED_VALUE"""),16.0)</f>
        <v>16</v>
      </c>
      <c r="V922" s="217">
        <f>IFERROR(__xludf.DUMMYFUNCTION("""COMPUTED_VALUE"""),40.0)</f>
        <v>40</v>
      </c>
      <c r="W922" s="217">
        <f>IFERROR(__xludf.DUMMYFUNCTION("""COMPUTED_VALUE"""),74.0)</f>
        <v>74</v>
      </c>
      <c r="X922" s="217">
        <f>IFERROR(__xludf.DUMMYFUNCTION("""COMPUTED_VALUE"""),64.0)</f>
        <v>64</v>
      </c>
      <c r="Y922" s="217"/>
      <c r="Z922" s="217"/>
      <c r="AA922" s="481">
        <f>IFERROR(__xludf.DUMMYFUNCTION("""COMPUTED_VALUE"""),51.0)</f>
        <v>51</v>
      </c>
      <c r="AB922" s="481">
        <f>IFERROR(__xludf.DUMMYFUNCTION("""COMPUTED_VALUE"""),68.0)</f>
        <v>68</v>
      </c>
      <c r="AC922" s="481">
        <f>IFERROR(__xludf.DUMMYFUNCTION("""COMPUTED_VALUE"""),47.0)</f>
        <v>47</v>
      </c>
      <c r="AD922" s="481"/>
      <c r="AE922" s="481">
        <f>IFERROR(__xludf.DUMMYFUNCTION("""COMPUTED_VALUE"""),13.0)</f>
        <v>13</v>
      </c>
      <c r="AF922" s="481"/>
      <c r="AG922" s="481"/>
      <c r="AH922" s="481"/>
      <c r="AI922" s="158"/>
      <c r="AJ922" s="158"/>
      <c r="AK922" s="133">
        <f>IFERROR(__xludf.DUMMYFUNCTION("""COMPUTED_VALUE"""),4.0)</f>
        <v>4</v>
      </c>
      <c r="AL922" s="133">
        <f>IFERROR(__xludf.DUMMYFUNCTION("""COMPUTED_VALUE"""),1.0)</f>
        <v>1</v>
      </c>
      <c r="AM922" s="133">
        <f>IFERROR(__xludf.DUMMYFUNCTION("""COMPUTED_VALUE"""),3.0)</f>
        <v>3</v>
      </c>
      <c r="AN922" s="133" t="str">
        <f>IFERROR(__xludf.DUMMYFUNCTION("""COMPUTED_VALUE"""),"2")</f>
        <v>2</v>
      </c>
      <c r="AO922" s="133">
        <f>IFERROR(__xludf.DUMMYFUNCTION("""COMPUTED_VALUE"""),2.0)</f>
        <v>2</v>
      </c>
      <c r="AP922" s="155" t="s">
        <v>3736</v>
      </c>
    </row>
    <row r="923">
      <c r="A923" s="155">
        <f>IFERROR(__xludf.DUMMYFUNCTION("""COMPUTED_VALUE"""),30.0)</f>
        <v>30</v>
      </c>
      <c r="B923" s="155" t="str">
        <f>IFERROR(__xludf.DUMMYFUNCTION("""COMPUTED_VALUE"""),"aych23ece@cmrit.ac.in")</f>
        <v>aych23ece@cmrit.ac.in</v>
      </c>
      <c r="C923" s="174" t="str">
        <f>IFERROR(__xludf.DUMMYFUNCTION("""COMPUTED_VALUE"""),"AYUSHI CHANDEL")</f>
        <v>AYUSHI CHANDEL</v>
      </c>
      <c r="D923" s="155" t="str">
        <f>IFERROR(__xludf.DUMMYFUNCTION("""COMPUTED_VALUE"""),"1CR23EC029")</f>
        <v>1CR23EC029</v>
      </c>
      <c r="E923" s="563">
        <f>IFERROR(__xludf.DUMMYFUNCTION("""COMPUTED_VALUE"""),6.387028153E9)</f>
        <v>6387028153</v>
      </c>
      <c r="F923" s="155" t="str">
        <f>IFERROR(__xludf.DUMMYFUNCTION("""COMPUTED_VALUE"""),"ECE")</f>
        <v>ECE</v>
      </c>
      <c r="G923" s="158"/>
      <c r="H923" s="559">
        <f>IFERROR(__xludf.DUMMYFUNCTION("""COMPUTED_VALUE"""),86.0)</f>
        <v>86</v>
      </c>
      <c r="I923" s="559">
        <f>IFERROR(__xludf.DUMMYFUNCTION("""COMPUTED_VALUE"""),86.0)</f>
        <v>86</v>
      </c>
      <c r="J923" s="559">
        <f>IFERROR(__xludf.DUMMYFUNCTION("""COMPUTED_VALUE"""),72.0)</f>
        <v>72</v>
      </c>
      <c r="K923" s="559">
        <f>IFERROR(__xludf.DUMMYFUNCTION("""COMPUTED_VALUE"""),87.0)</f>
        <v>87</v>
      </c>
      <c r="L923" s="560">
        <f>IFERROR(__xludf.DUMMYFUNCTION("""COMPUTED_VALUE"""),62.0)</f>
        <v>62</v>
      </c>
      <c r="M923" s="561">
        <f>IFERROR(__xludf.DUMMYFUNCTION("""COMPUTED_VALUE"""),50.0)</f>
        <v>50</v>
      </c>
      <c r="N923" s="561">
        <f>IFERROR(__xludf.DUMMYFUNCTION("""COMPUTED_VALUE"""),50.0)</f>
        <v>50</v>
      </c>
      <c r="O923" s="560"/>
      <c r="P923" s="562">
        <f>IFERROR(__xludf.DUMMYFUNCTION("""COMPUTED_VALUE"""),78.0)</f>
        <v>78</v>
      </c>
      <c r="Q923" s="562">
        <f>IFERROR(__xludf.DUMMYFUNCTION("""COMPUTED_VALUE"""),73.0)</f>
        <v>73</v>
      </c>
      <c r="R923" s="562">
        <f>IFERROR(__xludf.DUMMYFUNCTION("""COMPUTED_VALUE"""),79.0)</f>
        <v>79</v>
      </c>
      <c r="S923" s="562"/>
      <c r="T923" s="217">
        <f>IFERROR(__xludf.DUMMYFUNCTION("""COMPUTED_VALUE"""),19.0)</f>
        <v>19</v>
      </c>
      <c r="U923" s="217">
        <f>IFERROR(__xludf.DUMMYFUNCTION("""COMPUTED_VALUE"""),22.0)</f>
        <v>22</v>
      </c>
      <c r="V923" s="217">
        <f>IFERROR(__xludf.DUMMYFUNCTION("""COMPUTED_VALUE"""),52.0)</f>
        <v>52</v>
      </c>
      <c r="W923" s="217">
        <f>IFERROR(__xludf.DUMMYFUNCTION("""COMPUTED_VALUE"""),82.0)</f>
        <v>82</v>
      </c>
      <c r="X923" s="217">
        <f>IFERROR(__xludf.DUMMYFUNCTION("""COMPUTED_VALUE"""),58.0)</f>
        <v>58</v>
      </c>
      <c r="Y923" s="217"/>
      <c r="Z923" s="217"/>
      <c r="AA923" s="481">
        <f>IFERROR(__xludf.DUMMYFUNCTION("""COMPUTED_VALUE"""),12.0)</f>
        <v>12</v>
      </c>
      <c r="AB923" s="481">
        <f>IFERROR(__xludf.DUMMYFUNCTION("""COMPUTED_VALUE"""),66.0)</f>
        <v>66</v>
      </c>
      <c r="AC923" s="481">
        <f>IFERROR(__xludf.DUMMYFUNCTION("""COMPUTED_VALUE"""),41.0)</f>
        <v>41</v>
      </c>
      <c r="AD923" s="481">
        <f>IFERROR(__xludf.DUMMYFUNCTION("""COMPUTED_VALUE"""),90.0)</f>
        <v>90</v>
      </c>
      <c r="AE923" s="481">
        <f>IFERROR(__xludf.DUMMYFUNCTION("""COMPUTED_VALUE"""),51.0)</f>
        <v>51</v>
      </c>
      <c r="AF923" s="481"/>
      <c r="AG923" s="481">
        <f>IFERROR(__xludf.DUMMYFUNCTION("""COMPUTED_VALUE"""),74.0)</f>
        <v>74</v>
      </c>
      <c r="AH923" s="481"/>
      <c r="AI923" s="158"/>
      <c r="AJ923" s="158"/>
      <c r="AK923" s="133">
        <f>IFERROR(__xludf.DUMMYFUNCTION("""COMPUTED_VALUE"""),4.0)</f>
        <v>4</v>
      </c>
      <c r="AL923" s="133">
        <f>IFERROR(__xludf.DUMMYFUNCTION("""COMPUTED_VALUE"""),3.0)</f>
        <v>3</v>
      </c>
      <c r="AM923" s="133">
        <f>IFERROR(__xludf.DUMMYFUNCTION("""COMPUTED_VALUE"""),3.0)</f>
        <v>3</v>
      </c>
      <c r="AN923" s="133" t="str">
        <f>IFERROR(__xludf.DUMMYFUNCTION("""COMPUTED_VALUE"""),"3")</f>
        <v>3</v>
      </c>
      <c r="AO923" s="133">
        <f>IFERROR(__xludf.DUMMYFUNCTION("""COMPUTED_VALUE"""),3.0)</f>
        <v>3</v>
      </c>
      <c r="AP923" s="155" t="s">
        <v>3736</v>
      </c>
    </row>
    <row r="924">
      <c r="A924" s="155">
        <f>IFERROR(__xludf.DUMMYFUNCTION("""COMPUTED_VALUE"""),31.0)</f>
        <v>31</v>
      </c>
      <c r="B924" s="155" t="str">
        <f>IFERROR(__xludf.DUMMYFUNCTION("""COMPUTED_VALUE"""),"aygu23ece@cmrit.ac.in")</f>
        <v>aygu23ece@cmrit.ac.in</v>
      </c>
      <c r="C924" s="174" t="str">
        <f>IFERROR(__xludf.DUMMYFUNCTION("""COMPUTED_VALUE"""),"Ayushi Gupta")</f>
        <v>Ayushi Gupta</v>
      </c>
      <c r="D924" s="155" t="str">
        <f>IFERROR(__xludf.DUMMYFUNCTION("""COMPUTED_VALUE"""),"1CR23EC030")</f>
        <v>1CR23EC030</v>
      </c>
      <c r="E924" s="563">
        <f>IFERROR(__xludf.DUMMYFUNCTION("""COMPUTED_VALUE"""),8.904599227E9)</f>
        <v>8904599227</v>
      </c>
      <c r="F924" s="155" t="str">
        <f>IFERROR(__xludf.DUMMYFUNCTION("""COMPUTED_VALUE"""),"ECE")</f>
        <v>ECE</v>
      </c>
      <c r="G924" s="158"/>
      <c r="H924" s="559">
        <f>IFERROR(__xludf.DUMMYFUNCTION("""COMPUTED_VALUE"""),73.0)</f>
        <v>73</v>
      </c>
      <c r="I924" s="559">
        <f>IFERROR(__xludf.DUMMYFUNCTION("""COMPUTED_VALUE"""),80.0)</f>
        <v>80</v>
      </c>
      <c r="J924" s="559">
        <f>IFERROR(__xludf.DUMMYFUNCTION("""COMPUTED_VALUE"""),32.0)</f>
        <v>32</v>
      </c>
      <c r="K924" s="559">
        <f>IFERROR(__xludf.DUMMYFUNCTION("""COMPUTED_VALUE"""),19.0)</f>
        <v>19</v>
      </c>
      <c r="L924" s="560">
        <f>IFERROR(__xludf.DUMMYFUNCTION("""COMPUTED_VALUE"""),43.0)</f>
        <v>43</v>
      </c>
      <c r="M924" s="561">
        <f>IFERROR(__xludf.DUMMYFUNCTION("""COMPUTED_VALUE"""),15.0)</f>
        <v>15</v>
      </c>
      <c r="N924" s="561">
        <f>IFERROR(__xludf.DUMMYFUNCTION("""COMPUTED_VALUE"""),0.0)</f>
        <v>0</v>
      </c>
      <c r="O924" s="560"/>
      <c r="P924" s="562">
        <f>IFERROR(__xludf.DUMMYFUNCTION("""COMPUTED_VALUE"""),0.0)</f>
        <v>0</v>
      </c>
      <c r="Q924" s="562">
        <f>IFERROR(__xludf.DUMMYFUNCTION("""COMPUTED_VALUE"""),0.0)</f>
        <v>0</v>
      </c>
      <c r="R924" s="562">
        <f>IFERROR(__xludf.DUMMYFUNCTION("""COMPUTED_VALUE"""),0.0)</f>
        <v>0</v>
      </c>
      <c r="S924" s="562"/>
      <c r="T924" s="217">
        <f>IFERROR(__xludf.DUMMYFUNCTION("""COMPUTED_VALUE"""),10.0)</f>
        <v>10</v>
      </c>
      <c r="U924" s="217">
        <f>IFERROR(__xludf.DUMMYFUNCTION("""COMPUTED_VALUE"""),12.0)</f>
        <v>12</v>
      </c>
      <c r="V924" s="217">
        <f>IFERROR(__xludf.DUMMYFUNCTION("""COMPUTED_VALUE"""),0.0)</f>
        <v>0</v>
      </c>
      <c r="W924" s="217">
        <f>IFERROR(__xludf.DUMMYFUNCTION("""COMPUTED_VALUE"""),0.0)</f>
        <v>0</v>
      </c>
      <c r="X924" s="217"/>
      <c r="Y924" s="217"/>
      <c r="Z924" s="217"/>
      <c r="AA924" s="481">
        <f>IFERROR(__xludf.DUMMYFUNCTION("""COMPUTED_VALUE"""),4.0)</f>
        <v>4</v>
      </c>
      <c r="AB924" s="481">
        <f>IFERROR(__xludf.DUMMYFUNCTION("""COMPUTED_VALUE"""),61.0)</f>
        <v>61</v>
      </c>
      <c r="AC924" s="481">
        <f>IFERROR(__xludf.DUMMYFUNCTION("""COMPUTED_VALUE"""),0.0)</f>
        <v>0</v>
      </c>
      <c r="AD924" s="481"/>
      <c r="AE924" s="481">
        <f>IFERROR(__xludf.DUMMYFUNCTION("""COMPUTED_VALUE"""),10.0)</f>
        <v>10</v>
      </c>
      <c r="AF924" s="481"/>
      <c r="AG924" s="481"/>
      <c r="AH924" s="481">
        <f>IFERROR(__xludf.DUMMYFUNCTION("""COMPUTED_VALUE"""),0.0)</f>
        <v>0</v>
      </c>
      <c r="AI924" s="158"/>
      <c r="AJ924" s="158"/>
      <c r="AK924" s="133">
        <f>IFERROR(__xludf.DUMMYFUNCTION("""COMPUTED_VALUE"""),2.0)</f>
        <v>2</v>
      </c>
      <c r="AL924" s="133">
        <f>IFERROR(__xludf.DUMMYFUNCTION("""COMPUTED_VALUE"""),0.0)</f>
        <v>0</v>
      </c>
      <c r="AM924" s="133">
        <f>IFERROR(__xludf.DUMMYFUNCTION("""COMPUTED_VALUE"""),2.0)</f>
        <v>2</v>
      </c>
      <c r="AN924" s="133" t="str">
        <f>IFERROR(__xludf.DUMMYFUNCTION("""COMPUTED_VALUE"""),"2")</f>
        <v>2</v>
      </c>
      <c r="AO924" s="133">
        <f>IFERROR(__xludf.DUMMYFUNCTION("""COMPUTED_VALUE"""),0.0)</f>
        <v>0</v>
      </c>
      <c r="AP924" s="155" t="s">
        <v>3736</v>
      </c>
    </row>
    <row r="925">
      <c r="A925" s="155">
        <f>IFERROR(__xludf.DUMMYFUNCTION("""COMPUTED_VALUE"""),32.0)</f>
        <v>32</v>
      </c>
      <c r="B925" s="155" t="str">
        <f>IFERROR(__xludf.DUMMYFUNCTION("""COMPUTED_VALUE"""),"ayha23ece@cmrit.ac.in")</f>
        <v>ayha23ece@cmrit.ac.in</v>
      </c>
      <c r="C925" s="174" t="str">
        <f>IFERROR(__xludf.DUMMYFUNCTION("""COMPUTED_VALUE"""),"AYYA HARSHITH RAM")</f>
        <v>AYYA HARSHITH RAM</v>
      </c>
      <c r="D925" s="155" t="str">
        <f>IFERROR(__xludf.DUMMYFUNCTION("""COMPUTED_VALUE"""),"1CR23EC031")</f>
        <v>1CR23EC031</v>
      </c>
      <c r="E925" s="563">
        <f>IFERROR(__xludf.DUMMYFUNCTION("""COMPUTED_VALUE"""),7.396002067E9)</f>
        <v>7396002067</v>
      </c>
      <c r="F925" s="155" t="str">
        <f>IFERROR(__xludf.DUMMYFUNCTION("""COMPUTED_VALUE"""),"ECE")</f>
        <v>ECE</v>
      </c>
      <c r="G925" s="158"/>
      <c r="H925" s="559">
        <f>IFERROR(__xludf.DUMMYFUNCTION("""COMPUTED_VALUE"""),79.0)</f>
        <v>79</v>
      </c>
      <c r="I925" s="559">
        <f>IFERROR(__xludf.DUMMYFUNCTION("""COMPUTED_VALUE"""),82.0)</f>
        <v>82</v>
      </c>
      <c r="J925" s="559">
        <f>IFERROR(__xludf.DUMMYFUNCTION("""COMPUTED_VALUE"""),24.0)</f>
        <v>24</v>
      </c>
      <c r="K925" s="559">
        <f>IFERROR(__xludf.DUMMYFUNCTION("""COMPUTED_VALUE"""),29.0)</f>
        <v>29</v>
      </c>
      <c r="L925" s="560">
        <f>IFERROR(__xludf.DUMMYFUNCTION("""COMPUTED_VALUE"""),50.0)</f>
        <v>50</v>
      </c>
      <c r="M925" s="561">
        <f>IFERROR(__xludf.DUMMYFUNCTION("""COMPUTED_VALUE"""),0.0)</f>
        <v>0</v>
      </c>
      <c r="N925" s="561">
        <f>IFERROR(__xludf.DUMMYFUNCTION("""COMPUTED_VALUE"""),11.0)</f>
        <v>11</v>
      </c>
      <c r="O925" s="560"/>
      <c r="P925" s="562">
        <f>IFERROR(__xludf.DUMMYFUNCTION("""COMPUTED_VALUE"""),75.0)</f>
        <v>75</v>
      </c>
      <c r="Q925" s="562">
        <f>IFERROR(__xludf.DUMMYFUNCTION("""COMPUTED_VALUE"""),50.0)</f>
        <v>50</v>
      </c>
      <c r="R925" s="562">
        <f>IFERROR(__xludf.DUMMYFUNCTION("""COMPUTED_VALUE"""),0.0)</f>
        <v>0</v>
      </c>
      <c r="S925" s="562"/>
      <c r="T925" s="217">
        <f>IFERROR(__xludf.DUMMYFUNCTION("""COMPUTED_VALUE"""),10.0)</f>
        <v>10</v>
      </c>
      <c r="U925" s="217">
        <f>IFERROR(__xludf.DUMMYFUNCTION("""COMPUTED_VALUE"""),21.0)</f>
        <v>21</v>
      </c>
      <c r="V925" s="217">
        <f>IFERROR(__xludf.DUMMYFUNCTION("""COMPUTED_VALUE"""),50.0)</f>
        <v>50</v>
      </c>
      <c r="W925" s="217">
        <f>IFERROR(__xludf.DUMMYFUNCTION("""COMPUTED_VALUE"""),0.0)</f>
        <v>0</v>
      </c>
      <c r="X925" s="217"/>
      <c r="Y925" s="217"/>
      <c r="Z925" s="217"/>
      <c r="AA925" s="481">
        <f>IFERROR(__xludf.DUMMYFUNCTION("""COMPUTED_VALUE"""),54.0)</f>
        <v>54</v>
      </c>
      <c r="AB925" s="481">
        <f>IFERROR(__xludf.DUMMYFUNCTION("""COMPUTED_VALUE"""),71.0)</f>
        <v>71</v>
      </c>
      <c r="AC925" s="481">
        <f>IFERROR(__xludf.DUMMYFUNCTION("""COMPUTED_VALUE"""),90.0)</f>
        <v>90</v>
      </c>
      <c r="AD925" s="481"/>
      <c r="AE925" s="481">
        <f>IFERROR(__xludf.DUMMYFUNCTION("""COMPUTED_VALUE"""),10.0)</f>
        <v>10</v>
      </c>
      <c r="AF925" s="481"/>
      <c r="AG925" s="481"/>
      <c r="AH925" s="481"/>
      <c r="AI925" s="158"/>
      <c r="AJ925" s="158"/>
      <c r="AK925" s="133">
        <f>IFERROR(__xludf.DUMMYFUNCTION("""COMPUTED_VALUE"""),2.0)</f>
        <v>2</v>
      </c>
      <c r="AL925" s="133">
        <f>IFERROR(__xludf.DUMMYFUNCTION("""COMPUTED_VALUE"""),1.0)</f>
        <v>1</v>
      </c>
      <c r="AM925" s="133">
        <f>IFERROR(__xludf.DUMMYFUNCTION("""COMPUTED_VALUE"""),2.0)</f>
        <v>2</v>
      </c>
      <c r="AN925" s="133" t="str">
        <f>IFERROR(__xludf.DUMMYFUNCTION("""COMPUTED_VALUE"""),"3")</f>
        <v>3</v>
      </c>
      <c r="AO925" s="133">
        <f>IFERROR(__xludf.DUMMYFUNCTION("""COMPUTED_VALUE"""),2.0)</f>
        <v>2</v>
      </c>
      <c r="AP925" s="155" t="s">
        <v>3736</v>
      </c>
    </row>
    <row r="926">
      <c r="A926" s="155">
        <f>IFERROR(__xludf.DUMMYFUNCTION("""COMPUTED_VALUE"""),33.0)</f>
        <v>33</v>
      </c>
      <c r="B926" s="155" t="str">
        <f>IFERROR(__xludf.DUMMYFUNCTION("""COMPUTED_VALUE"""),"bde23ece@cmrit.ac.in")</f>
        <v>bde23ece@cmrit.ac.in</v>
      </c>
      <c r="C926" s="174" t="str">
        <f>IFERROR(__xludf.DUMMYFUNCTION("""COMPUTED_VALUE"""),"B DEEKSHAA")</f>
        <v>B DEEKSHAA</v>
      </c>
      <c r="D926" s="155" t="str">
        <f>IFERROR(__xludf.DUMMYFUNCTION("""COMPUTED_VALUE"""),"1CR23EC032")</f>
        <v>1CR23EC032</v>
      </c>
      <c r="E926" s="563">
        <f>IFERROR(__xludf.DUMMYFUNCTION("""COMPUTED_VALUE"""),9.448517221E9)</f>
        <v>9448517221</v>
      </c>
      <c r="F926" s="155" t="str">
        <f>IFERROR(__xludf.DUMMYFUNCTION("""COMPUTED_VALUE"""),"ECE")</f>
        <v>ECE</v>
      </c>
      <c r="G926" s="158"/>
      <c r="H926" s="559">
        <f>IFERROR(__xludf.DUMMYFUNCTION("""COMPUTED_VALUE"""),79.0)</f>
        <v>79</v>
      </c>
      <c r="I926" s="559">
        <f>IFERROR(__xludf.DUMMYFUNCTION("""COMPUTED_VALUE"""),86.0)</f>
        <v>86</v>
      </c>
      <c r="J926" s="559">
        <f>IFERROR(__xludf.DUMMYFUNCTION("""COMPUTED_VALUE"""),82.0)</f>
        <v>82</v>
      </c>
      <c r="K926" s="559">
        <f>IFERROR(__xludf.DUMMYFUNCTION("""COMPUTED_VALUE"""),80.0)</f>
        <v>80</v>
      </c>
      <c r="L926" s="560">
        <f>IFERROR(__xludf.DUMMYFUNCTION("""COMPUTED_VALUE"""),71.0)</f>
        <v>71</v>
      </c>
      <c r="M926" s="561">
        <f>IFERROR(__xludf.DUMMYFUNCTION("""COMPUTED_VALUE"""),50.0)</f>
        <v>50</v>
      </c>
      <c r="N926" s="561">
        <f>IFERROR(__xludf.DUMMYFUNCTION("""COMPUTED_VALUE"""),40.0)</f>
        <v>40</v>
      </c>
      <c r="O926" s="560"/>
      <c r="P926" s="562">
        <f>IFERROR(__xludf.DUMMYFUNCTION("""COMPUTED_VALUE"""),75.0)</f>
        <v>75</v>
      </c>
      <c r="Q926" s="562">
        <f>IFERROR(__xludf.DUMMYFUNCTION("""COMPUTED_VALUE"""),87.0)</f>
        <v>87</v>
      </c>
      <c r="R926" s="562">
        <f>IFERROR(__xludf.DUMMYFUNCTION("""COMPUTED_VALUE"""),90.0)</f>
        <v>90</v>
      </c>
      <c r="S926" s="562"/>
      <c r="T926" s="217">
        <f>IFERROR(__xludf.DUMMYFUNCTION("""COMPUTED_VALUE"""),21.0)</f>
        <v>21</v>
      </c>
      <c r="U926" s="217">
        <f>IFERROR(__xludf.DUMMYFUNCTION("""COMPUTED_VALUE"""),19.0)</f>
        <v>19</v>
      </c>
      <c r="V926" s="217">
        <f>IFERROR(__xludf.DUMMYFUNCTION("""COMPUTED_VALUE"""),76.0)</f>
        <v>76</v>
      </c>
      <c r="W926" s="217">
        <f>IFERROR(__xludf.DUMMYFUNCTION("""COMPUTED_VALUE"""),76.0)</f>
        <v>76</v>
      </c>
      <c r="X926" s="217">
        <f>IFERROR(__xludf.DUMMYFUNCTION("""COMPUTED_VALUE"""),78.0)</f>
        <v>78</v>
      </c>
      <c r="Y926" s="217"/>
      <c r="Z926" s="217"/>
      <c r="AA926" s="481">
        <f>IFERROR(__xludf.DUMMYFUNCTION("""COMPUTED_VALUE"""),55.0)</f>
        <v>55</v>
      </c>
      <c r="AB926" s="481">
        <f>IFERROR(__xludf.DUMMYFUNCTION("""COMPUTED_VALUE"""),95.0)</f>
        <v>95</v>
      </c>
      <c r="AC926" s="481">
        <f>IFERROR(__xludf.DUMMYFUNCTION("""COMPUTED_VALUE"""),78.0)</f>
        <v>78</v>
      </c>
      <c r="AD926" s="481"/>
      <c r="AE926" s="481">
        <f>IFERROR(__xludf.DUMMYFUNCTION("""COMPUTED_VALUE"""),76.0)</f>
        <v>76</v>
      </c>
      <c r="AF926" s="481"/>
      <c r="AG926" s="481"/>
      <c r="AH926" s="481">
        <f>IFERROR(__xludf.DUMMYFUNCTION("""COMPUTED_VALUE"""),85.0)</f>
        <v>85</v>
      </c>
      <c r="AI926" s="158"/>
      <c r="AJ926" s="158"/>
      <c r="AK926" s="133">
        <f>IFERROR(__xludf.DUMMYFUNCTION("""COMPUTED_VALUE"""),4.0)</f>
        <v>4</v>
      </c>
      <c r="AL926" s="133">
        <f>IFERROR(__xludf.DUMMYFUNCTION("""COMPUTED_VALUE"""),2.0)</f>
        <v>2</v>
      </c>
      <c r="AM926" s="133">
        <f>IFERROR(__xludf.DUMMYFUNCTION("""COMPUTED_VALUE"""),3.0)</f>
        <v>3</v>
      </c>
      <c r="AN926" s="133" t="str">
        <f>IFERROR(__xludf.DUMMYFUNCTION("""COMPUTED_VALUE"""),"3.5")</f>
        <v>3.5</v>
      </c>
      <c r="AO926" s="133">
        <f>IFERROR(__xludf.DUMMYFUNCTION("""COMPUTED_VALUE"""),3.0)</f>
        <v>3</v>
      </c>
      <c r="AP926" s="155" t="s">
        <v>3736</v>
      </c>
    </row>
    <row r="927">
      <c r="A927" s="155">
        <f>IFERROR(__xludf.DUMMYFUNCTION("""COMPUTED_VALUE"""),34.0)</f>
        <v>34</v>
      </c>
      <c r="B927" s="155" t="str">
        <f>IFERROR(__xludf.DUMMYFUNCTION("""COMPUTED_VALUE"""),"bdh23ece@cmrit.ac.in")</f>
        <v>bdh23ece@cmrit.ac.in</v>
      </c>
      <c r="C927" s="174" t="str">
        <f>IFERROR(__xludf.DUMMYFUNCTION("""COMPUTED_VALUE"""),"B Dharani")</f>
        <v>B Dharani</v>
      </c>
      <c r="D927" s="155" t="str">
        <f>IFERROR(__xludf.DUMMYFUNCTION("""COMPUTED_VALUE"""),"1CR23EC033")</f>
        <v>1CR23EC033</v>
      </c>
      <c r="E927" s="563">
        <f>IFERROR(__xludf.DUMMYFUNCTION("""COMPUTED_VALUE"""),6.362341099E9)</f>
        <v>6362341099</v>
      </c>
      <c r="F927" s="155" t="str">
        <f>IFERROR(__xludf.DUMMYFUNCTION("""COMPUTED_VALUE"""),"ECE")</f>
        <v>ECE</v>
      </c>
      <c r="G927" s="158"/>
      <c r="H927" s="559">
        <f>IFERROR(__xludf.DUMMYFUNCTION("""COMPUTED_VALUE"""),74.0)</f>
        <v>74</v>
      </c>
      <c r="I927" s="559">
        <f>IFERROR(__xludf.DUMMYFUNCTION("""COMPUTED_VALUE"""),74.0)</f>
        <v>74</v>
      </c>
      <c r="J927" s="559">
        <f>IFERROR(__xludf.DUMMYFUNCTION("""COMPUTED_VALUE"""),70.0)</f>
        <v>70</v>
      </c>
      <c r="K927" s="559">
        <f>IFERROR(__xludf.DUMMYFUNCTION("""COMPUTED_VALUE"""),70.0)</f>
        <v>70</v>
      </c>
      <c r="L927" s="560">
        <f>IFERROR(__xludf.DUMMYFUNCTION("""COMPUTED_VALUE"""),50.0)</f>
        <v>50</v>
      </c>
      <c r="M927" s="561">
        <f>IFERROR(__xludf.DUMMYFUNCTION("""COMPUTED_VALUE"""),50.0)</f>
        <v>50</v>
      </c>
      <c r="N927" s="561">
        <f>IFERROR(__xludf.DUMMYFUNCTION("""COMPUTED_VALUE"""),5.0)</f>
        <v>5</v>
      </c>
      <c r="O927" s="560"/>
      <c r="P927" s="562">
        <f>IFERROR(__xludf.DUMMYFUNCTION("""COMPUTED_VALUE"""),50.0)</f>
        <v>50</v>
      </c>
      <c r="Q927" s="562">
        <f>IFERROR(__xludf.DUMMYFUNCTION("""COMPUTED_VALUE"""),56.0)</f>
        <v>56</v>
      </c>
      <c r="R927" s="562">
        <f>IFERROR(__xludf.DUMMYFUNCTION("""COMPUTED_VALUE"""),50.0)</f>
        <v>50</v>
      </c>
      <c r="S927" s="562"/>
      <c r="T927" s="217">
        <f>IFERROR(__xludf.DUMMYFUNCTION("""COMPUTED_VALUE"""),21.0)</f>
        <v>21</v>
      </c>
      <c r="U927" s="217">
        <f>IFERROR(__xludf.DUMMYFUNCTION("""COMPUTED_VALUE"""),15.0)</f>
        <v>15</v>
      </c>
      <c r="V927" s="217">
        <f>IFERROR(__xludf.DUMMYFUNCTION("""COMPUTED_VALUE"""),66.0)</f>
        <v>66</v>
      </c>
      <c r="W927" s="217">
        <f>IFERROR(__xludf.DUMMYFUNCTION("""COMPUTED_VALUE"""),80.0)</f>
        <v>80</v>
      </c>
      <c r="X927" s="217">
        <f>IFERROR(__xludf.DUMMYFUNCTION("""COMPUTED_VALUE"""),74.0)</f>
        <v>74</v>
      </c>
      <c r="Y927" s="217"/>
      <c r="Z927" s="217"/>
      <c r="AA927" s="481">
        <f>IFERROR(__xludf.DUMMYFUNCTION("""COMPUTED_VALUE"""),62.0)</f>
        <v>62</v>
      </c>
      <c r="AB927" s="481">
        <f>IFERROR(__xludf.DUMMYFUNCTION("""COMPUTED_VALUE"""),85.0)</f>
        <v>85</v>
      </c>
      <c r="AC927" s="481">
        <f>IFERROR(__xludf.DUMMYFUNCTION("""COMPUTED_VALUE"""),60.0)</f>
        <v>60</v>
      </c>
      <c r="AD927" s="481"/>
      <c r="AE927" s="481">
        <f>IFERROR(__xludf.DUMMYFUNCTION("""COMPUTED_VALUE"""),13.0)</f>
        <v>13</v>
      </c>
      <c r="AF927" s="481"/>
      <c r="AG927" s="481"/>
      <c r="AH927" s="481"/>
      <c r="AI927" s="158"/>
      <c r="AJ927" s="158"/>
      <c r="AK927" s="133">
        <f>IFERROR(__xludf.DUMMYFUNCTION("""COMPUTED_VALUE"""),4.0)</f>
        <v>4</v>
      </c>
      <c r="AL927" s="133">
        <f>IFERROR(__xludf.DUMMYFUNCTION("""COMPUTED_VALUE"""),2.0)</f>
        <v>2</v>
      </c>
      <c r="AM927" s="133">
        <f>IFERROR(__xludf.DUMMYFUNCTION("""COMPUTED_VALUE"""),3.0)</f>
        <v>3</v>
      </c>
      <c r="AN927" s="133" t="str">
        <f>IFERROR(__xludf.DUMMYFUNCTION("""COMPUTED_VALUE"""),"3")</f>
        <v>3</v>
      </c>
      <c r="AO927" s="133">
        <f>IFERROR(__xludf.DUMMYFUNCTION("""COMPUTED_VALUE"""),3.0)</f>
        <v>3</v>
      </c>
      <c r="AP927" s="155" t="s">
        <v>3736</v>
      </c>
    </row>
    <row r="928">
      <c r="A928" s="155">
        <f>IFERROR(__xludf.DUMMYFUNCTION("""COMPUTED_VALUE"""),35.0)</f>
        <v>35</v>
      </c>
      <c r="B928" s="155" t="str">
        <f>IFERROR(__xludf.DUMMYFUNCTION("""COMPUTED_VALUE"""),"bte23ece@cmrit.ac.in")</f>
        <v>bte23ece@cmrit.ac.in</v>
      </c>
      <c r="C928" s="174" t="str">
        <f>IFERROR(__xludf.DUMMYFUNCTION("""COMPUTED_VALUE"""),"B TEJASHWINI")</f>
        <v>B TEJASHWINI</v>
      </c>
      <c r="D928" s="155" t="str">
        <f>IFERROR(__xludf.DUMMYFUNCTION("""COMPUTED_VALUE"""),"1CR23EC034")</f>
        <v>1CR23EC034</v>
      </c>
      <c r="E928" s="563">
        <f>IFERROR(__xludf.DUMMYFUNCTION("""COMPUTED_VALUE"""),6.364430134E9)</f>
        <v>6364430134</v>
      </c>
      <c r="F928" s="155" t="str">
        <f>IFERROR(__xludf.DUMMYFUNCTION("""COMPUTED_VALUE"""),"ECE")</f>
        <v>ECE</v>
      </c>
      <c r="G928" s="158"/>
      <c r="H928" s="559">
        <f>IFERROR(__xludf.DUMMYFUNCTION("""COMPUTED_VALUE"""),76.0)</f>
        <v>76</v>
      </c>
      <c r="I928" s="559">
        <f>IFERROR(__xludf.DUMMYFUNCTION("""COMPUTED_VALUE"""),76.0)</f>
        <v>76</v>
      </c>
      <c r="J928" s="559">
        <f>IFERROR(__xludf.DUMMYFUNCTION("""COMPUTED_VALUE"""),70.0)</f>
        <v>70</v>
      </c>
      <c r="K928" s="559">
        <f>IFERROR(__xludf.DUMMYFUNCTION("""COMPUTED_VALUE"""),71.0)</f>
        <v>71</v>
      </c>
      <c r="L928" s="560">
        <f>IFERROR(__xludf.DUMMYFUNCTION("""COMPUTED_VALUE"""),71.0)</f>
        <v>71</v>
      </c>
      <c r="M928" s="561">
        <f>IFERROR(__xludf.DUMMYFUNCTION("""COMPUTED_VALUE"""),50.0)</f>
        <v>50</v>
      </c>
      <c r="N928" s="561">
        <f>IFERROR(__xludf.DUMMYFUNCTION("""COMPUTED_VALUE"""),25.0)</f>
        <v>25</v>
      </c>
      <c r="O928" s="560"/>
      <c r="P928" s="562">
        <f>IFERROR(__xludf.DUMMYFUNCTION("""COMPUTED_VALUE"""),76.0)</f>
        <v>76</v>
      </c>
      <c r="Q928" s="562">
        <f>IFERROR(__xludf.DUMMYFUNCTION("""COMPUTED_VALUE"""),57.0)</f>
        <v>57</v>
      </c>
      <c r="R928" s="562">
        <f>IFERROR(__xludf.DUMMYFUNCTION("""COMPUTED_VALUE"""),79.0)</f>
        <v>79</v>
      </c>
      <c r="S928" s="562"/>
      <c r="T928" s="217">
        <f>IFERROR(__xludf.DUMMYFUNCTION("""COMPUTED_VALUE"""),15.0)</f>
        <v>15</v>
      </c>
      <c r="U928" s="217">
        <f>IFERROR(__xludf.DUMMYFUNCTION("""COMPUTED_VALUE"""),20.0)</f>
        <v>20</v>
      </c>
      <c r="V928" s="217">
        <f>IFERROR(__xludf.DUMMYFUNCTION("""COMPUTED_VALUE"""),46.0)</f>
        <v>46</v>
      </c>
      <c r="W928" s="217">
        <f>IFERROR(__xludf.DUMMYFUNCTION("""COMPUTED_VALUE"""),78.0)</f>
        <v>78</v>
      </c>
      <c r="X928" s="217">
        <f>IFERROR(__xludf.DUMMYFUNCTION("""COMPUTED_VALUE"""),80.0)</f>
        <v>80</v>
      </c>
      <c r="Y928" s="217"/>
      <c r="Z928" s="217"/>
      <c r="AA928" s="481">
        <f>IFERROR(__xludf.DUMMYFUNCTION("""COMPUTED_VALUE"""),75.0)</f>
        <v>75</v>
      </c>
      <c r="AB928" s="481">
        <f>IFERROR(__xludf.DUMMYFUNCTION("""COMPUTED_VALUE"""),75.0)</f>
        <v>75</v>
      </c>
      <c r="AC928" s="481">
        <f>IFERROR(__xludf.DUMMYFUNCTION("""COMPUTED_VALUE"""),70.0)</f>
        <v>70</v>
      </c>
      <c r="AD928" s="481"/>
      <c r="AE928" s="481">
        <f>IFERROR(__xludf.DUMMYFUNCTION("""COMPUTED_VALUE"""),10.0)</f>
        <v>10</v>
      </c>
      <c r="AF928" s="481"/>
      <c r="AG928" s="481">
        <f>IFERROR(__xludf.DUMMYFUNCTION("""COMPUTED_VALUE"""),85.0)</f>
        <v>85</v>
      </c>
      <c r="AH928" s="481"/>
      <c r="AI928" s="158"/>
      <c r="AJ928" s="158"/>
      <c r="AK928" s="133">
        <f>IFERROR(__xludf.DUMMYFUNCTION("""COMPUTED_VALUE"""),4.0)</f>
        <v>4</v>
      </c>
      <c r="AL928" s="133">
        <f>IFERROR(__xludf.DUMMYFUNCTION("""COMPUTED_VALUE"""),2.0)</f>
        <v>2</v>
      </c>
      <c r="AM928" s="133">
        <f>IFERROR(__xludf.DUMMYFUNCTION("""COMPUTED_VALUE"""),3.0)</f>
        <v>3</v>
      </c>
      <c r="AN928" s="133" t="str">
        <f>IFERROR(__xludf.DUMMYFUNCTION("""COMPUTED_VALUE"""),"3")</f>
        <v>3</v>
      </c>
      <c r="AO928" s="133">
        <f>IFERROR(__xludf.DUMMYFUNCTION("""COMPUTED_VALUE"""),3.0)</f>
        <v>3</v>
      </c>
      <c r="AP928" s="155" t="s">
        <v>3736</v>
      </c>
    </row>
    <row r="929">
      <c r="A929" s="155">
        <f>IFERROR(__xludf.DUMMYFUNCTION("""COMPUTED_VALUE"""),36.0)</f>
        <v>36</v>
      </c>
      <c r="B929" s="155" t="str">
        <f>IFERROR(__xludf.DUMMYFUNCTION("""COMPUTED_VALUE"""),"bhga23ece@cmrit.ac.in")</f>
        <v>bhga23ece@cmrit.ac.in</v>
      </c>
      <c r="C929" s="174" t="str">
        <f>IFERROR(__xludf.DUMMYFUNCTION("""COMPUTED_VALUE"""),"Bharthi H Ganji")</f>
        <v>Bharthi H Ganji</v>
      </c>
      <c r="D929" s="155" t="str">
        <f>IFERROR(__xludf.DUMMYFUNCTION("""COMPUTED_VALUE"""),"1CR23EC035")</f>
        <v>1CR23EC035</v>
      </c>
      <c r="E929" s="563">
        <f>IFERROR(__xludf.DUMMYFUNCTION("""COMPUTED_VALUE"""),8.884000769E9)</f>
        <v>8884000769</v>
      </c>
      <c r="F929" s="155" t="str">
        <f>IFERROR(__xludf.DUMMYFUNCTION("""COMPUTED_VALUE"""),"ECE")</f>
        <v>ECE</v>
      </c>
      <c r="G929" s="158"/>
      <c r="H929" s="559">
        <f>IFERROR(__xludf.DUMMYFUNCTION("""COMPUTED_VALUE"""),82.0)</f>
        <v>82</v>
      </c>
      <c r="I929" s="559">
        <f>IFERROR(__xludf.DUMMYFUNCTION("""COMPUTED_VALUE"""),80.0)</f>
        <v>80</v>
      </c>
      <c r="J929" s="559">
        <f>IFERROR(__xludf.DUMMYFUNCTION("""COMPUTED_VALUE"""),70.0)</f>
        <v>70</v>
      </c>
      <c r="K929" s="559">
        <f>IFERROR(__xludf.DUMMYFUNCTION("""COMPUTED_VALUE"""),70.0)</f>
        <v>70</v>
      </c>
      <c r="L929" s="560">
        <f>IFERROR(__xludf.DUMMYFUNCTION("""COMPUTED_VALUE"""),50.0)</f>
        <v>50</v>
      </c>
      <c r="M929" s="561">
        <f>IFERROR(__xludf.DUMMYFUNCTION("""COMPUTED_VALUE"""),50.0)</f>
        <v>50</v>
      </c>
      <c r="N929" s="561">
        <f>IFERROR(__xludf.DUMMYFUNCTION("""COMPUTED_VALUE"""),50.0)</f>
        <v>50</v>
      </c>
      <c r="O929" s="560"/>
      <c r="P929" s="562">
        <f>IFERROR(__xludf.DUMMYFUNCTION("""COMPUTED_VALUE"""),70.0)</f>
        <v>70</v>
      </c>
      <c r="Q929" s="562">
        <f>IFERROR(__xludf.DUMMYFUNCTION("""COMPUTED_VALUE"""),58.0)</f>
        <v>58</v>
      </c>
      <c r="R929" s="562">
        <f>IFERROR(__xludf.DUMMYFUNCTION("""COMPUTED_VALUE"""),84.0)</f>
        <v>84</v>
      </c>
      <c r="S929" s="562"/>
      <c r="T929" s="217">
        <f>IFERROR(__xludf.DUMMYFUNCTION("""COMPUTED_VALUE"""),12.0)</f>
        <v>12</v>
      </c>
      <c r="U929" s="217">
        <f>IFERROR(__xludf.DUMMYFUNCTION("""COMPUTED_VALUE"""),18.0)</f>
        <v>18</v>
      </c>
      <c r="V929" s="217">
        <f>IFERROR(__xludf.DUMMYFUNCTION("""COMPUTED_VALUE"""),64.0)</f>
        <v>64</v>
      </c>
      <c r="W929" s="217">
        <f>IFERROR(__xludf.DUMMYFUNCTION("""COMPUTED_VALUE"""),78.0)</f>
        <v>78</v>
      </c>
      <c r="X929" s="217">
        <f>IFERROR(__xludf.DUMMYFUNCTION("""COMPUTED_VALUE"""),80.0)</f>
        <v>80</v>
      </c>
      <c r="Y929" s="217"/>
      <c r="Z929" s="217"/>
      <c r="AA929" s="481">
        <f>IFERROR(__xludf.DUMMYFUNCTION("""COMPUTED_VALUE"""),61.0)</f>
        <v>61</v>
      </c>
      <c r="AB929" s="481">
        <f>IFERROR(__xludf.DUMMYFUNCTION("""COMPUTED_VALUE"""),87.0)</f>
        <v>87</v>
      </c>
      <c r="AC929" s="481">
        <f>IFERROR(__xludf.DUMMYFUNCTION("""COMPUTED_VALUE"""),100.0)</f>
        <v>100</v>
      </c>
      <c r="AD929" s="481"/>
      <c r="AE929" s="481">
        <f>IFERROR(__xludf.DUMMYFUNCTION("""COMPUTED_VALUE"""),17.0)</f>
        <v>17</v>
      </c>
      <c r="AF929" s="481"/>
      <c r="AG929" s="481"/>
      <c r="AH929" s="481"/>
      <c r="AI929" s="158"/>
      <c r="AJ929" s="158"/>
      <c r="AK929" s="133">
        <f>IFERROR(__xludf.DUMMYFUNCTION("""COMPUTED_VALUE"""),4.0)</f>
        <v>4</v>
      </c>
      <c r="AL929" s="133">
        <f>IFERROR(__xludf.DUMMYFUNCTION("""COMPUTED_VALUE"""),3.0)</f>
        <v>3</v>
      </c>
      <c r="AM929" s="133">
        <f>IFERROR(__xludf.DUMMYFUNCTION("""COMPUTED_VALUE"""),3.0)</f>
        <v>3</v>
      </c>
      <c r="AN929" s="133" t="str">
        <f>IFERROR(__xludf.DUMMYFUNCTION("""COMPUTED_VALUE"""),"3")</f>
        <v>3</v>
      </c>
      <c r="AO929" s="133">
        <f>IFERROR(__xludf.DUMMYFUNCTION("""COMPUTED_VALUE"""),3.0)</f>
        <v>3</v>
      </c>
      <c r="AP929" s="155" t="s">
        <v>3736</v>
      </c>
    </row>
    <row r="930">
      <c r="A930" s="155">
        <f>IFERROR(__xludf.DUMMYFUNCTION("""COMPUTED_VALUE"""),37.0)</f>
        <v>37</v>
      </c>
      <c r="B930" s="155" t="str">
        <f>IFERROR(__xludf.DUMMYFUNCTION("""COMPUTED_VALUE"""),"bhba23ece@cmrit.ac.in")</f>
        <v>bhba23ece@cmrit.ac.in</v>
      </c>
      <c r="C930" s="174" t="str">
        <f>IFERROR(__xludf.DUMMYFUNCTION("""COMPUTED_VALUE"""),"Bhumika B Basarkod")</f>
        <v>Bhumika B Basarkod</v>
      </c>
      <c r="D930" s="155" t="str">
        <f>IFERROR(__xludf.DUMMYFUNCTION("""COMPUTED_VALUE"""),"1CR23EC036")</f>
        <v>1CR23EC036</v>
      </c>
      <c r="E930" s="563">
        <f>IFERROR(__xludf.DUMMYFUNCTION("""COMPUTED_VALUE"""),8.088743817E9)</f>
        <v>8088743817</v>
      </c>
      <c r="F930" s="155" t="str">
        <f>IFERROR(__xludf.DUMMYFUNCTION("""COMPUTED_VALUE"""),"ECE")</f>
        <v>ECE</v>
      </c>
      <c r="G930" s="158"/>
      <c r="H930" s="559">
        <f>IFERROR(__xludf.DUMMYFUNCTION("""COMPUTED_VALUE"""),73.0)</f>
        <v>73</v>
      </c>
      <c r="I930" s="559">
        <f>IFERROR(__xludf.DUMMYFUNCTION("""COMPUTED_VALUE"""),72.0)</f>
        <v>72</v>
      </c>
      <c r="J930" s="559">
        <f>IFERROR(__xludf.DUMMYFUNCTION("""COMPUTED_VALUE"""),70.0)</f>
        <v>70</v>
      </c>
      <c r="K930" s="559">
        <f>IFERROR(__xludf.DUMMYFUNCTION("""COMPUTED_VALUE"""),51.0)</f>
        <v>51</v>
      </c>
      <c r="L930" s="560">
        <f>IFERROR(__xludf.DUMMYFUNCTION("""COMPUTED_VALUE"""),50.0)</f>
        <v>50</v>
      </c>
      <c r="M930" s="561">
        <f>IFERROR(__xludf.DUMMYFUNCTION("""COMPUTED_VALUE"""),50.0)</f>
        <v>50</v>
      </c>
      <c r="N930" s="561">
        <f>IFERROR(__xludf.DUMMYFUNCTION("""COMPUTED_VALUE"""),50.0)</f>
        <v>50</v>
      </c>
      <c r="O930" s="560"/>
      <c r="P930" s="562">
        <f>IFERROR(__xludf.DUMMYFUNCTION("""COMPUTED_VALUE"""),80.0)</f>
        <v>80</v>
      </c>
      <c r="Q930" s="562">
        <f>IFERROR(__xludf.DUMMYFUNCTION("""COMPUTED_VALUE"""),56.0)</f>
        <v>56</v>
      </c>
      <c r="R930" s="562">
        <f>IFERROR(__xludf.DUMMYFUNCTION("""COMPUTED_VALUE"""),87.0)</f>
        <v>87</v>
      </c>
      <c r="S930" s="562"/>
      <c r="T930" s="217">
        <f>IFERROR(__xludf.DUMMYFUNCTION("""COMPUTED_VALUE"""),10.0)</f>
        <v>10</v>
      </c>
      <c r="U930" s="217">
        <f>IFERROR(__xludf.DUMMYFUNCTION("""COMPUTED_VALUE"""),16.0)</f>
        <v>16</v>
      </c>
      <c r="V930" s="217">
        <f>IFERROR(__xludf.DUMMYFUNCTION("""COMPUTED_VALUE"""),56.0)</f>
        <v>56</v>
      </c>
      <c r="W930" s="217">
        <f>IFERROR(__xludf.DUMMYFUNCTION("""COMPUTED_VALUE"""),76.0)</f>
        <v>76</v>
      </c>
      <c r="X930" s="217">
        <f>IFERROR(__xludf.DUMMYFUNCTION("""COMPUTED_VALUE"""),64.0)</f>
        <v>64</v>
      </c>
      <c r="Y930" s="217"/>
      <c r="Z930" s="217"/>
      <c r="AA930" s="481">
        <f>IFERROR(__xludf.DUMMYFUNCTION("""COMPUTED_VALUE"""),46.4)</f>
        <v>46.4</v>
      </c>
      <c r="AB930" s="481">
        <f>IFERROR(__xludf.DUMMYFUNCTION("""COMPUTED_VALUE"""),76.0)</f>
        <v>76</v>
      </c>
      <c r="AC930" s="481">
        <f>IFERROR(__xludf.DUMMYFUNCTION("""COMPUTED_VALUE"""),70.0)</f>
        <v>70</v>
      </c>
      <c r="AD930" s="481"/>
      <c r="AE930" s="481">
        <f>IFERROR(__xludf.DUMMYFUNCTION("""COMPUTED_VALUE"""),40.0)</f>
        <v>40</v>
      </c>
      <c r="AF930" s="481"/>
      <c r="AG930" s="481"/>
      <c r="AH930" s="481"/>
      <c r="AI930" s="158"/>
      <c r="AJ930" s="158"/>
      <c r="AK930" s="133">
        <f>IFERROR(__xludf.DUMMYFUNCTION("""COMPUTED_VALUE"""),3.0)</f>
        <v>3</v>
      </c>
      <c r="AL930" s="133">
        <f>IFERROR(__xludf.DUMMYFUNCTION("""COMPUTED_VALUE"""),3.0)</f>
        <v>3</v>
      </c>
      <c r="AM930" s="133">
        <f>IFERROR(__xludf.DUMMYFUNCTION("""COMPUTED_VALUE"""),3.0)</f>
        <v>3</v>
      </c>
      <c r="AN930" s="133" t="str">
        <f>IFERROR(__xludf.DUMMYFUNCTION("""COMPUTED_VALUE"""),"3")</f>
        <v>3</v>
      </c>
      <c r="AO930" s="133">
        <f>IFERROR(__xludf.DUMMYFUNCTION("""COMPUTED_VALUE"""),3.0)</f>
        <v>3</v>
      </c>
      <c r="AP930" s="155" t="s">
        <v>3736</v>
      </c>
    </row>
    <row r="931">
      <c r="A931" s="155">
        <f>IFERROR(__xludf.DUMMYFUNCTION("""COMPUTED_VALUE"""),38.0)</f>
        <v>38</v>
      </c>
      <c r="B931" s="155" t="str">
        <f>IFERROR(__xludf.DUMMYFUNCTION("""COMPUTED_VALUE"""),"bhna23ece@cmrit.ac.in")</f>
        <v>bhna23ece@cmrit.ac.in</v>
      </c>
      <c r="C931" s="174" t="str">
        <f>IFERROR(__xludf.DUMMYFUNCTION("""COMPUTED_VALUE"""),"BHUVAN M NAYAKARU")</f>
        <v>BHUVAN M NAYAKARU</v>
      </c>
      <c r="D931" s="155" t="str">
        <f>IFERROR(__xludf.DUMMYFUNCTION("""COMPUTED_VALUE"""),"1CR23EC037")</f>
        <v>1CR23EC037</v>
      </c>
      <c r="E931" s="563">
        <f>IFERROR(__xludf.DUMMYFUNCTION("""COMPUTED_VALUE"""),9.4830936E9)</f>
        <v>9483093600</v>
      </c>
      <c r="F931" s="155" t="str">
        <f>IFERROR(__xludf.DUMMYFUNCTION("""COMPUTED_VALUE"""),"ECE")</f>
        <v>ECE</v>
      </c>
      <c r="G931" s="158"/>
      <c r="H931" s="559">
        <f>IFERROR(__xludf.DUMMYFUNCTION("""COMPUTED_VALUE"""),76.0)</f>
        <v>76</v>
      </c>
      <c r="I931" s="559">
        <f>IFERROR(__xludf.DUMMYFUNCTION("""COMPUTED_VALUE"""),71.0)</f>
        <v>71</v>
      </c>
      <c r="J931" s="559">
        <f>IFERROR(__xludf.DUMMYFUNCTION("""COMPUTED_VALUE"""),27.0)</f>
        <v>27</v>
      </c>
      <c r="K931" s="559">
        <f>IFERROR(__xludf.DUMMYFUNCTION("""COMPUTED_VALUE"""),37.0)</f>
        <v>37</v>
      </c>
      <c r="L931" s="560">
        <f>IFERROR(__xludf.DUMMYFUNCTION("""COMPUTED_VALUE"""),33.0)</f>
        <v>33</v>
      </c>
      <c r="M931" s="561">
        <f>IFERROR(__xludf.DUMMYFUNCTION("""COMPUTED_VALUE"""),5.0)</f>
        <v>5</v>
      </c>
      <c r="N931" s="561">
        <f>IFERROR(__xludf.DUMMYFUNCTION("""COMPUTED_VALUE"""),5.0)</f>
        <v>5</v>
      </c>
      <c r="O931" s="560"/>
      <c r="P931" s="562">
        <f>IFERROR(__xludf.DUMMYFUNCTION("""COMPUTED_VALUE"""),0.0)</f>
        <v>0</v>
      </c>
      <c r="Q931" s="562">
        <f>IFERROR(__xludf.DUMMYFUNCTION("""COMPUTED_VALUE"""),0.0)</f>
        <v>0</v>
      </c>
      <c r="R931" s="562">
        <f>IFERROR(__xludf.DUMMYFUNCTION("""COMPUTED_VALUE"""),0.0)</f>
        <v>0</v>
      </c>
      <c r="S931" s="562"/>
      <c r="T931" s="217">
        <f>IFERROR(__xludf.DUMMYFUNCTION("""COMPUTED_VALUE"""),21.0)</f>
        <v>21</v>
      </c>
      <c r="U931" s="217">
        <f>IFERROR(__xludf.DUMMYFUNCTION("""COMPUTED_VALUE"""),18.0)</f>
        <v>18</v>
      </c>
      <c r="V931" s="217">
        <f>IFERROR(__xludf.DUMMYFUNCTION("""COMPUTED_VALUE"""),46.0)</f>
        <v>46</v>
      </c>
      <c r="W931" s="217">
        <f>IFERROR(__xludf.DUMMYFUNCTION("""COMPUTED_VALUE"""),82.0)</f>
        <v>82</v>
      </c>
      <c r="X931" s="217">
        <f>IFERROR(__xludf.DUMMYFUNCTION("""COMPUTED_VALUE"""),68.0)</f>
        <v>68</v>
      </c>
      <c r="Y931" s="217"/>
      <c r="Z931" s="217"/>
      <c r="AA931" s="481">
        <f>IFERROR(__xludf.DUMMYFUNCTION("""COMPUTED_VALUE"""),26.0)</f>
        <v>26</v>
      </c>
      <c r="AB931" s="481">
        <f>IFERROR(__xludf.DUMMYFUNCTION("""COMPUTED_VALUE"""),23.0)</f>
        <v>23</v>
      </c>
      <c r="AC931" s="481">
        <f>IFERROR(__xludf.DUMMYFUNCTION("""COMPUTED_VALUE"""),70.0)</f>
        <v>70</v>
      </c>
      <c r="AD931" s="481"/>
      <c r="AE931" s="481">
        <f>IFERROR(__xludf.DUMMYFUNCTION("""COMPUTED_VALUE"""),10.0)</f>
        <v>10</v>
      </c>
      <c r="AF931" s="481"/>
      <c r="AG931" s="481"/>
      <c r="AH931" s="481"/>
      <c r="AI931" s="158"/>
      <c r="AJ931" s="158"/>
      <c r="AK931" s="133">
        <f>IFERROR(__xludf.DUMMYFUNCTION("""COMPUTED_VALUE"""),2.0)</f>
        <v>2</v>
      </c>
      <c r="AL931" s="133">
        <f>IFERROR(__xludf.DUMMYFUNCTION("""COMPUTED_VALUE"""),0.0)</f>
        <v>0</v>
      </c>
      <c r="AM931" s="133">
        <f>IFERROR(__xludf.DUMMYFUNCTION("""COMPUTED_VALUE"""),3.0)</f>
        <v>3</v>
      </c>
      <c r="AN931" s="133" t="str">
        <f>IFERROR(__xludf.DUMMYFUNCTION("""COMPUTED_VALUE"""),"0")</f>
        <v>0</v>
      </c>
      <c r="AO931" s="133">
        <f>IFERROR(__xludf.DUMMYFUNCTION("""COMPUTED_VALUE"""),0.0)</f>
        <v>0</v>
      </c>
      <c r="AP931" s="155" t="s">
        <v>3736</v>
      </c>
    </row>
    <row r="932">
      <c r="A932" s="155">
        <f>IFERROR(__xludf.DUMMYFUNCTION("""COMPUTED_VALUE"""),39.0)</f>
        <v>39</v>
      </c>
      <c r="B932" s="155" t="str">
        <f>IFERROR(__xludf.DUMMYFUNCTION("""COMPUTED_VALUE"""),"bhk23ece@cmrit.ac.in")</f>
        <v>bhk23ece@cmrit.ac.in</v>
      </c>
      <c r="C932" s="174" t="str">
        <f>IFERROR(__xludf.DUMMYFUNCTION("""COMPUTED_VALUE"""),"BHUVANESHWAR K")</f>
        <v>BHUVANESHWAR K</v>
      </c>
      <c r="D932" s="155" t="str">
        <f>IFERROR(__xludf.DUMMYFUNCTION("""COMPUTED_VALUE"""),"1CR23EC038")</f>
        <v>1CR23EC038</v>
      </c>
      <c r="E932" s="563">
        <f>IFERROR(__xludf.DUMMYFUNCTION("""COMPUTED_VALUE"""),9.110465952E9)</f>
        <v>9110465952</v>
      </c>
      <c r="F932" s="155" t="str">
        <f>IFERROR(__xludf.DUMMYFUNCTION("""COMPUTED_VALUE"""),"ECE")</f>
        <v>ECE</v>
      </c>
      <c r="G932" s="158"/>
      <c r="H932" s="559">
        <f>IFERROR(__xludf.DUMMYFUNCTION("""COMPUTED_VALUE"""),72.0)</f>
        <v>72</v>
      </c>
      <c r="I932" s="559">
        <f>IFERROR(__xludf.DUMMYFUNCTION("""COMPUTED_VALUE"""),75.0)</f>
        <v>75</v>
      </c>
      <c r="J932" s="559">
        <f>IFERROR(__xludf.DUMMYFUNCTION("""COMPUTED_VALUE"""),49.0)</f>
        <v>49</v>
      </c>
      <c r="K932" s="559">
        <f>IFERROR(__xludf.DUMMYFUNCTION("""COMPUTED_VALUE"""),70.0)</f>
        <v>70</v>
      </c>
      <c r="L932" s="560">
        <f>IFERROR(__xludf.DUMMYFUNCTION("""COMPUTED_VALUE"""),40.0)</f>
        <v>40</v>
      </c>
      <c r="M932" s="561">
        <f>IFERROR(__xludf.DUMMYFUNCTION("""COMPUTED_VALUE"""),14.0)</f>
        <v>14</v>
      </c>
      <c r="N932" s="561">
        <f>IFERROR(__xludf.DUMMYFUNCTION("""COMPUTED_VALUE"""),0.0)</f>
        <v>0</v>
      </c>
      <c r="O932" s="560"/>
      <c r="P932" s="562">
        <f>IFERROR(__xludf.DUMMYFUNCTION("""COMPUTED_VALUE"""),0.0)</f>
        <v>0</v>
      </c>
      <c r="Q932" s="562">
        <f>IFERROR(__xludf.DUMMYFUNCTION("""COMPUTED_VALUE"""),0.0)</f>
        <v>0</v>
      </c>
      <c r="R932" s="562">
        <f>IFERROR(__xludf.DUMMYFUNCTION("""COMPUTED_VALUE"""),0.0)</f>
        <v>0</v>
      </c>
      <c r="S932" s="562"/>
      <c r="T932" s="217">
        <f>IFERROR(__xludf.DUMMYFUNCTION("""COMPUTED_VALUE"""),11.0)</f>
        <v>11</v>
      </c>
      <c r="U932" s="217">
        <f>IFERROR(__xludf.DUMMYFUNCTION("""COMPUTED_VALUE"""),18.0)</f>
        <v>18</v>
      </c>
      <c r="V932" s="217">
        <f>IFERROR(__xludf.DUMMYFUNCTION("""COMPUTED_VALUE"""),36.0)</f>
        <v>36</v>
      </c>
      <c r="W932" s="217">
        <f>IFERROR(__xludf.DUMMYFUNCTION("""COMPUTED_VALUE"""),76.0)</f>
        <v>76</v>
      </c>
      <c r="X932" s="217">
        <f>IFERROR(__xludf.DUMMYFUNCTION("""COMPUTED_VALUE"""),78.0)</f>
        <v>78</v>
      </c>
      <c r="Y932" s="217"/>
      <c r="Z932" s="217"/>
      <c r="AA932" s="481">
        <f>IFERROR(__xludf.DUMMYFUNCTION("""COMPUTED_VALUE"""),0.0)</f>
        <v>0</v>
      </c>
      <c r="AB932" s="481">
        <f>IFERROR(__xludf.DUMMYFUNCTION("""COMPUTED_VALUE"""),48.0)</f>
        <v>48</v>
      </c>
      <c r="AC932" s="481">
        <f>IFERROR(__xludf.DUMMYFUNCTION("""COMPUTED_VALUE"""),2.0)</f>
        <v>2</v>
      </c>
      <c r="AD932" s="481"/>
      <c r="AE932" s="481">
        <f>IFERROR(__xludf.DUMMYFUNCTION("""COMPUTED_VALUE"""),11.0)</f>
        <v>11</v>
      </c>
      <c r="AF932" s="481"/>
      <c r="AG932" s="481"/>
      <c r="AH932" s="481"/>
      <c r="AI932" s="158"/>
      <c r="AJ932" s="158"/>
      <c r="AK932" s="133">
        <f>IFERROR(__xludf.DUMMYFUNCTION("""COMPUTED_VALUE"""),2.0)</f>
        <v>2</v>
      </c>
      <c r="AL932" s="133">
        <f>IFERROR(__xludf.DUMMYFUNCTION("""COMPUTED_VALUE"""),0.0)</f>
        <v>0</v>
      </c>
      <c r="AM932" s="133">
        <f>IFERROR(__xludf.DUMMYFUNCTION("""COMPUTED_VALUE"""),3.0)</f>
        <v>3</v>
      </c>
      <c r="AN932" s="133" t="str">
        <f>IFERROR(__xludf.DUMMYFUNCTION("""COMPUTED_VALUE"""),"0")</f>
        <v>0</v>
      </c>
      <c r="AO932" s="133">
        <f>IFERROR(__xludf.DUMMYFUNCTION("""COMPUTED_VALUE"""),0.0)</f>
        <v>0</v>
      </c>
      <c r="AP932" s="155" t="s">
        <v>3736</v>
      </c>
    </row>
    <row r="933">
      <c r="A933" s="155">
        <f>IFERROR(__xludf.DUMMYFUNCTION("""COMPUTED_VALUE"""),40.0)</f>
        <v>40</v>
      </c>
      <c r="B933" s="155" t="str">
        <f>IFERROR(__xludf.DUMMYFUNCTION("""COMPUTED_VALUE"""),"biku23ece@cmrit.ac.in")</f>
        <v>biku23ece@cmrit.ac.in</v>
      </c>
      <c r="C933" s="174" t="str">
        <f>IFERROR(__xludf.DUMMYFUNCTION("""COMPUTED_VALUE"""),"BISWAS KUMAR PATEL")</f>
        <v>BISWAS KUMAR PATEL</v>
      </c>
      <c r="D933" s="155" t="str">
        <f>IFERROR(__xludf.DUMMYFUNCTION("""COMPUTED_VALUE"""),"1CR23EC039")</f>
        <v>1CR23EC039</v>
      </c>
      <c r="E933" s="563">
        <f>IFERROR(__xludf.DUMMYFUNCTION("""COMPUTED_VALUE"""),9.801311364E9)</f>
        <v>9801311364</v>
      </c>
      <c r="F933" s="155" t="str">
        <f>IFERROR(__xludf.DUMMYFUNCTION("""COMPUTED_VALUE"""),"ECE")</f>
        <v>ECE</v>
      </c>
      <c r="G933" s="158"/>
      <c r="H933" s="559">
        <f>IFERROR(__xludf.DUMMYFUNCTION("""COMPUTED_VALUE"""),84.0)</f>
        <v>84</v>
      </c>
      <c r="I933" s="559">
        <f>IFERROR(__xludf.DUMMYFUNCTION("""COMPUTED_VALUE"""),84.0)</f>
        <v>84</v>
      </c>
      <c r="J933" s="559">
        <f>IFERROR(__xludf.DUMMYFUNCTION("""COMPUTED_VALUE"""),70.0)</f>
        <v>70</v>
      </c>
      <c r="K933" s="559">
        <f>IFERROR(__xludf.DUMMYFUNCTION("""COMPUTED_VALUE"""),48.0)</f>
        <v>48</v>
      </c>
      <c r="L933" s="560">
        <f>IFERROR(__xludf.DUMMYFUNCTION("""COMPUTED_VALUE"""),58.0)</f>
        <v>58</v>
      </c>
      <c r="M933" s="561">
        <f>IFERROR(__xludf.DUMMYFUNCTION("""COMPUTED_VALUE"""),50.0)</f>
        <v>50</v>
      </c>
      <c r="N933" s="561">
        <f>IFERROR(__xludf.DUMMYFUNCTION("""COMPUTED_VALUE"""),18.0)</f>
        <v>18</v>
      </c>
      <c r="O933" s="560"/>
      <c r="P933" s="562">
        <f>IFERROR(__xludf.DUMMYFUNCTION("""COMPUTED_VALUE"""),50.0)</f>
        <v>50</v>
      </c>
      <c r="Q933" s="562">
        <f>IFERROR(__xludf.DUMMYFUNCTION("""COMPUTED_VALUE"""),50.0)</f>
        <v>50</v>
      </c>
      <c r="R933" s="562">
        <f>IFERROR(__xludf.DUMMYFUNCTION("""COMPUTED_VALUE"""),95.0)</f>
        <v>95</v>
      </c>
      <c r="S933" s="562"/>
      <c r="T933" s="217">
        <f>IFERROR(__xludf.DUMMYFUNCTION("""COMPUTED_VALUE"""),14.0)</f>
        <v>14</v>
      </c>
      <c r="U933" s="217">
        <f>IFERROR(__xludf.DUMMYFUNCTION("""COMPUTED_VALUE"""),16.0)</f>
        <v>16</v>
      </c>
      <c r="V933" s="217">
        <f>IFERROR(__xludf.DUMMYFUNCTION("""COMPUTED_VALUE"""),62.0)</f>
        <v>62</v>
      </c>
      <c r="W933" s="217">
        <f>IFERROR(__xludf.DUMMYFUNCTION("""COMPUTED_VALUE"""),54.0)</f>
        <v>54</v>
      </c>
      <c r="X933" s="217"/>
      <c r="Y933" s="217"/>
      <c r="Z933" s="217"/>
      <c r="AA933" s="481">
        <f>IFERROR(__xludf.DUMMYFUNCTION("""COMPUTED_VALUE"""),19.0)</f>
        <v>19</v>
      </c>
      <c r="AB933" s="481">
        <f>IFERROR(__xludf.DUMMYFUNCTION("""COMPUTED_VALUE"""),90.0)</f>
        <v>90</v>
      </c>
      <c r="AC933" s="481">
        <f>IFERROR(__xludf.DUMMYFUNCTION("""COMPUTED_VALUE"""),30.0)</f>
        <v>30</v>
      </c>
      <c r="AD933" s="481"/>
      <c r="AE933" s="481">
        <f>IFERROR(__xludf.DUMMYFUNCTION("""COMPUTED_VALUE"""),12.0)</f>
        <v>12</v>
      </c>
      <c r="AF933" s="481"/>
      <c r="AG933" s="481"/>
      <c r="AH933" s="481"/>
      <c r="AI933" s="158"/>
      <c r="AJ933" s="158"/>
      <c r="AK933" s="133">
        <f>IFERROR(__xludf.DUMMYFUNCTION("""COMPUTED_VALUE"""),3.0)</f>
        <v>3</v>
      </c>
      <c r="AL933" s="133">
        <f>IFERROR(__xludf.DUMMYFUNCTION("""COMPUTED_VALUE"""),2.0)</f>
        <v>2</v>
      </c>
      <c r="AM933" s="133">
        <f>IFERROR(__xludf.DUMMYFUNCTION("""COMPUTED_VALUE"""),3.0)</f>
        <v>3</v>
      </c>
      <c r="AN933" s="133" t="str">
        <f>IFERROR(__xludf.DUMMYFUNCTION("""COMPUTED_VALUE"""),"2")</f>
        <v>2</v>
      </c>
      <c r="AO933" s="133">
        <f>IFERROR(__xludf.DUMMYFUNCTION("""COMPUTED_VALUE"""),3.0)</f>
        <v>3</v>
      </c>
      <c r="AP933" s="155" t="s">
        <v>3736</v>
      </c>
    </row>
    <row r="934">
      <c r="A934" s="155">
        <f>IFERROR(__xludf.DUMMYFUNCTION("""COMPUTED_VALUE"""),41.0)</f>
        <v>41</v>
      </c>
      <c r="B934" s="155" t="str">
        <f>IFERROR(__xludf.DUMMYFUNCTION("""COMPUTED_VALUE"""),"bomo23ece@cmrit.ac.in")</f>
        <v>bomo23ece@cmrit.ac.in</v>
      </c>
      <c r="C934" s="174" t="str">
        <f>IFERROR(__xludf.DUMMYFUNCTION("""COMPUTED_VALUE"""),"BOMMISETTY MONIKA")</f>
        <v>BOMMISETTY MONIKA</v>
      </c>
      <c r="D934" s="155" t="str">
        <f>IFERROR(__xludf.DUMMYFUNCTION("""COMPUTED_VALUE"""),"1CR23EC040")</f>
        <v>1CR23EC040</v>
      </c>
      <c r="E934" s="563">
        <f>IFERROR(__xludf.DUMMYFUNCTION("""COMPUTED_VALUE"""),7.013374355E9)</f>
        <v>7013374355</v>
      </c>
      <c r="F934" s="155" t="str">
        <f>IFERROR(__xludf.DUMMYFUNCTION("""COMPUTED_VALUE"""),"ECE")</f>
        <v>ECE</v>
      </c>
      <c r="G934" s="158"/>
      <c r="H934" s="559">
        <f>IFERROR(__xludf.DUMMYFUNCTION("""COMPUTED_VALUE"""),88.0)</f>
        <v>88</v>
      </c>
      <c r="I934" s="559">
        <f>IFERROR(__xludf.DUMMYFUNCTION("""COMPUTED_VALUE"""),91.0)</f>
        <v>91</v>
      </c>
      <c r="J934" s="559">
        <f>IFERROR(__xludf.DUMMYFUNCTION("""COMPUTED_VALUE"""),81.0)</f>
        <v>81</v>
      </c>
      <c r="K934" s="559">
        <f>IFERROR(__xludf.DUMMYFUNCTION("""COMPUTED_VALUE"""),76.0)</f>
        <v>76</v>
      </c>
      <c r="L934" s="560">
        <f>IFERROR(__xludf.DUMMYFUNCTION("""COMPUTED_VALUE"""),88.0)</f>
        <v>88</v>
      </c>
      <c r="M934" s="561">
        <f>IFERROR(__xludf.DUMMYFUNCTION("""COMPUTED_VALUE"""),50.0)</f>
        <v>50</v>
      </c>
      <c r="N934" s="561">
        <f>IFERROR(__xludf.DUMMYFUNCTION("""COMPUTED_VALUE"""),52.0)</f>
        <v>52</v>
      </c>
      <c r="O934" s="560"/>
      <c r="P934" s="562">
        <f>IFERROR(__xludf.DUMMYFUNCTION("""COMPUTED_VALUE"""),76.0)</f>
        <v>76</v>
      </c>
      <c r="Q934" s="562">
        <f>IFERROR(__xludf.DUMMYFUNCTION("""COMPUTED_VALUE"""),56.0)</f>
        <v>56</v>
      </c>
      <c r="R934" s="562">
        <f>IFERROR(__xludf.DUMMYFUNCTION("""COMPUTED_VALUE"""),83.0)</f>
        <v>83</v>
      </c>
      <c r="S934" s="562"/>
      <c r="T934" s="217">
        <f>IFERROR(__xludf.DUMMYFUNCTION("""COMPUTED_VALUE"""),11.0)</f>
        <v>11</v>
      </c>
      <c r="U934" s="217">
        <f>IFERROR(__xludf.DUMMYFUNCTION("""COMPUTED_VALUE"""),22.0)</f>
        <v>22</v>
      </c>
      <c r="V934" s="217">
        <f>IFERROR(__xludf.DUMMYFUNCTION("""COMPUTED_VALUE"""),56.0)</f>
        <v>56</v>
      </c>
      <c r="W934" s="217">
        <f>IFERROR(__xludf.DUMMYFUNCTION("""COMPUTED_VALUE"""),82.0)</f>
        <v>82</v>
      </c>
      <c r="X934" s="217">
        <f>IFERROR(__xludf.DUMMYFUNCTION("""COMPUTED_VALUE"""),68.0)</f>
        <v>68</v>
      </c>
      <c r="Y934" s="217"/>
      <c r="Z934" s="217"/>
      <c r="AA934" s="481">
        <f>IFERROR(__xludf.DUMMYFUNCTION("""COMPUTED_VALUE"""),80.0)</f>
        <v>80</v>
      </c>
      <c r="AB934" s="481">
        <f>IFERROR(__xludf.DUMMYFUNCTION("""COMPUTED_VALUE"""),83.0)</f>
        <v>83</v>
      </c>
      <c r="AC934" s="481">
        <f>IFERROR(__xludf.DUMMYFUNCTION("""COMPUTED_VALUE"""),77.0)</f>
        <v>77</v>
      </c>
      <c r="AD934" s="481"/>
      <c r="AE934" s="481">
        <f>IFERROR(__xludf.DUMMYFUNCTION("""COMPUTED_VALUE"""),22.0)</f>
        <v>22</v>
      </c>
      <c r="AF934" s="481"/>
      <c r="AG934" s="481">
        <f>IFERROR(__xludf.DUMMYFUNCTION("""COMPUTED_VALUE"""),92.0)</f>
        <v>92</v>
      </c>
      <c r="AH934" s="481"/>
      <c r="AI934" s="158"/>
      <c r="AJ934" s="158"/>
      <c r="AK934" s="133">
        <f>IFERROR(__xludf.DUMMYFUNCTION("""COMPUTED_VALUE"""),4.0)</f>
        <v>4</v>
      </c>
      <c r="AL934" s="133">
        <f>IFERROR(__xludf.DUMMYFUNCTION("""COMPUTED_VALUE"""),3.0)</f>
        <v>3</v>
      </c>
      <c r="AM934" s="133">
        <f>IFERROR(__xludf.DUMMYFUNCTION("""COMPUTED_VALUE"""),3.0)</f>
        <v>3</v>
      </c>
      <c r="AN934" s="133" t="str">
        <f>IFERROR(__xludf.DUMMYFUNCTION("""COMPUTED_VALUE"""),"3")</f>
        <v>3</v>
      </c>
      <c r="AO934" s="133">
        <f>IFERROR(__xludf.DUMMYFUNCTION("""COMPUTED_VALUE"""),3.0)</f>
        <v>3</v>
      </c>
      <c r="AP934" s="155" t="s">
        <v>3736</v>
      </c>
    </row>
    <row r="935">
      <c r="A935" s="155">
        <f>IFERROR(__xludf.DUMMYFUNCTION("""COMPUTED_VALUE"""),42.0)</f>
        <v>42</v>
      </c>
      <c r="B935" s="155" t="str">
        <f>IFERROR(__xludf.DUMMYFUNCTION("""COMPUTED_VALUE"""),"cvye23ece@cmrit.ac.in")</f>
        <v>cvye23ece@cmrit.ac.in</v>
      </c>
      <c r="C935" s="174" t="str">
        <f>IFERROR(__xludf.DUMMYFUNCTION("""COMPUTED_VALUE"""),"C V YETHIN ")</f>
        <v>C V YETHIN </v>
      </c>
      <c r="D935" s="155" t="str">
        <f>IFERROR(__xludf.DUMMYFUNCTION("""COMPUTED_VALUE"""),"1CR23EC041")</f>
        <v>1CR23EC041</v>
      </c>
      <c r="E935" s="563">
        <f>IFERROR(__xludf.DUMMYFUNCTION("""COMPUTED_VALUE"""),7.67634224E9)</f>
        <v>7676342240</v>
      </c>
      <c r="F935" s="155" t="str">
        <f>IFERROR(__xludf.DUMMYFUNCTION("""COMPUTED_VALUE"""),"ECE")</f>
        <v>ECE</v>
      </c>
      <c r="G935" s="158"/>
      <c r="H935" s="559">
        <f>IFERROR(__xludf.DUMMYFUNCTION("""COMPUTED_VALUE"""),84.0)</f>
        <v>84</v>
      </c>
      <c r="I935" s="559">
        <f>IFERROR(__xludf.DUMMYFUNCTION("""COMPUTED_VALUE"""),75.0)</f>
        <v>75</v>
      </c>
      <c r="J935" s="559">
        <f>IFERROR(__xludf.DUMMYFUNCTION("""COMPUTED_VALUE"""),70.0)</f>
        <v>70</v>
      </c>
      <c r="K935" s="559">
        <f>IFERROR(__xludf.DUMMYFUNCTION("""COMPUTED_VALUE"""),70.0)</f>
        <v>70</v>
      </c>
      <c r="L935" s="560">
        <f>IFERROR(__xludf.DUMMYFUNCTION("""COMPUTED_VALUE"""),59.0)</f>
        <v>59</v>
      </c>
      <c r="M935" s="561">
        <f>IFERROR(__xludf.DUMMYFUNCTION("""COMPUTED_VALUE"""),11.0)</f>
        <v>11</v>
      </c>
      <c r="N935" s="561">
        <f>IFERROR(__xludf.DUMMYFUNCTION("""COMPUTED_VALUE"""),0.0)</f>
        <v>0</v>
      </c>
      <c r="O935" s="560"/>
      <c r="P935" s="562">
        <f>IFERROR(__xludf.DUMMYFUNCTION("""COMPUTED_VALUE"""),50.0)</f>
        <v>50</v>
      </c>
      <c r="Q935" s="562">
        <f>IFERROR(__xludf.DUMMYFUNCTION("""COMPUTED_VALUE"""),50.0)</f>
        <v>50</v>
      </c>
      <c r="R935" s="562">
        <f>IFERROR(__xludf.DUMMYFUNCTION("""COMPUTED_VALUE"""),0.0)</f>
        <v>0</v>
      </c>
      <c r="S935" s="562"/>
      <c r="T935" s="217">
        <f>IFERROR(__xludf.DUMMYFUNCTION("""COMPUTED_VALUE"""),17.0)</f>
        <v>17</v>
      </c>
      <c r="U935" s="217">
        <f>IFERROR(__xludf.DUMMYFUNCTION("""COMPUTED_VALUE"""),19.0)</f>
        <v>19</v>
      </c>
      <c r="V935" s="217">
        <f>IFERROR(__xludf.DUMMYFUNCTION("""COMPUTED_VALUE"""),58.0)</f>
        <v>58</v>
      </c>
      <c r="W935" s="217">
        <f>IFERROR(__xludf.DUMMYFUNCTION("""COMPUTED_VALUE"""),60.0)</f>
        <v>60</v>
      </c>
      <c r="X935" s="217">
        <f>IFERROR(__xludf.DUMMYFUNCTION("""COMPUTED_VALUE"""),76.0)</f>
        <v>76</v>
      </c>
      <c r="Y935" s="217"/>
      <c r="Z935" s="217"/>
      <c r="AA935" s="481">
        <f>IFERROR(__xludf.DUMMYFUNCTION("""COMPUTED_VALUE"""),69.0)</f>
        <v>69</v>
      </c>
      <c r="AB935" s="481">
        <f>IFERROR(__xludf.DUMMYFUNCTION("""COMPUTED_VALUE"""),69.0)</f>
        <v>69</v>
      </c>
      <c r="AC935" s="481">
        <f>IFERROR(__xludf.DUMMYFUNCTION("""COMPUTED_VALUE"""),78.0)</f>
        <v>78</v>
      </c>
      <c r="AD935" s="481"/>
      <c r="AE935" s="481">
        <f>IFERROR(__xludf.DUMMYFUNCTION("""COMPUTED_VALUE"""),30.0)</f>
        <v>30</v>
      </c>
      <c r="AF935" s="481"/>
      <c r="AG935" s="481"/>
      <c r="AH935" s="481"/>
      <c r="AI935" s="158"/>
      <c r="AJ935" s="158"/>
      <c r="AK935" s="133">
        <f>IFERROR(__xludf.DUMMYFUNCTION("""COMPUTED_VALUE"""),4.0)</f>
        <v>4</v>
      </c>
      <c r="AL935" s="133">
        <f>IFERROR(__xludf.DUMMYFUNCTION("""COMPUTED_VALUE"""),1.0)</f>
        <v>1</v>
      </c>
      <c r="AM935" s="133">
        <f>IFERROR(__xludf.DUMMYFUNCTION("""COMPUTED_VALUE"""),3.0)</f>
        <v>3</v>
      </c>
      <c r="AN935" s="133" t="str">
        <f>IFERROR(__xludf.DUMMYFUNCTION("""COMPUTED_VALUE"""),"3")</f>
        <v>3</v>
      </c>
      <c r="AO935" s="133">
        <f>IFERROR(__xludf.DUMMYFUNCTION("""COMPUTED_VALUE"""),2.0)</f>
        <v>2</v>
      </c>
      <c r="AP935" s="155" t="s">
        <v>3736</v>
      </c>
    </row>
    <row r="936">
      <c r="A936" s="155">
        <f>IFERROR(__xludf.DUMMYFUNCTION("""COMPUTED_VALUE"""),43.0)</f>
        <v>43</v>
      </c>
      <c r="B936" s="155" t="str">
        <f>IFERROR(__xludf.DUMMYFUNCTION("""COMPUTED_VALUE"""),"chbm23ece@cmrit.ac.in")</f>
        <v>chbm23ece@cmrit.ac.in</v>
      </c>
      <c r="C936" s="174" t="str">
        <f>IFERROR(__xludf.DUMMYFUNCTION("""COMPUTED_VALUE"""),"Chandana B M")</f>
        <v>Chandana B M</v>
      </c>
      <c r="D936" s="155" t="str">
        <f>IFERROR(__xludf.DUMMYFUNCTION("""COMPUTED_VALUE"""),"1CR23EC042")</f>
        <v>1CR23EC042</v>
      </c>
      <c r="E936" s="563">
        <f>IFERROR(__xludf.DUMMYFUNCTION("""COMPUTED_VALUE"""),7.349501896E9)</f>
        <v>7349501896</v>
      </c>
      <c r="F936" s="155" t="str">
        <f>IFERROR(__xludf.DUMMYFUNCTION("""COMPUTED_VALUE"""),"ECE")</f>
        <v>ECE</v>
      </c>
      <c r="G936" s="158"/>
      <c r="H936" s="559">
        <f>IFERROR(__xludf.DUMMYFUNCTION("""COMPUTED_VALUE"""),83.0)</f>
        <v>83</v>
      </c>
      <c r="I936" s="559">
        <f>IFERROR(__xludf.DUMMYFUNCTION("""COMPUTED_VALUE"""),85.0)</f>
        <v>85</v>
      </c>
      <c r="J936" s="559">
        <f>IFERROR(__xludf.DUMMYFUNCTION("""COMPUTED_VALUE"""),76.0)</f>
        <v>76</v>
      </c>
      <c r="K936" s="559">
        <f>IFERROR(__xludf.DUMMYFUNCTION("""COMPUTED_VALUE"""),74.0)</f>
        <v>74</v>
      </c>
      <c r="L936" s="560">
        <f>IFERROR(__xludf.DUMMYFUNCTION("""COMPUTED_VALUE"""),50.0)</f>
        <v>50</v>
      </c>
      <c r="M936" s="561">
        <f>IFERROR(__xludf.DUMMYFUNCTION("""COMPUTED_VALUE"""),50.0)</f>
        <v>50</v>
      </c>
      <c r="N936" s="561">
        <f>IFERROR(__xludf.DUMMYFUNCTION("""COMPUTED_VALUE"""),50.0)</f>
        <v>50</v>
      </c>
      <c r="O936" s="560"/>
      <c r="P936" s="562">
        <f>IFERROR(__xludf.DUMMYFUNCTION("""COMPUTED_VALUE"""),75.0)</f>
        <v>75</v>
      </c>
      <c r="Q936" s="562">
        <f>IFERROR(__xludf.DUMMYFUNCTION("""COMPUTED_VALUE"""),60.0)</f>
        <v>60</v>
      </c>
      <c r="R936" s="562">
        <f>IFERROR(__xludf.DUMMYFUNCTION("""COMPUTED_VALUE"""),82.0)</f>
        <v>82</v>
      </c>
      <c r="S936" s="562"/>
      <c r="T936" s="217">
        <f>IFERROR(__xludf.DUMMYFUNCTION("""COMPUTED_VALUE"""),20.0)</f>
        <v>20</v>
      </c>
      <c r="U936" s="217">
        <f>IFERROR(__xludf.DUMMYFUNCTION("""COMPUTED_VALUE"""),21.0)</f>
        <v>21</v>
      </c>
      <c r="V936" s="217">
        <f>IFERROR(__xludf.DUMMYFUNCTION("""COMPUTED_VALUE"""),64.0)</f>
        <v>64</v>
      </c>
      <c r="W936" s="217">
        <f>IFERROR(__xludf.DUMMYFUNCTION("""COMPUTED_VALUE"""),74.0)</f>
        <v>74</v>
      </c>
      <c r="X936" s="217">
        <f>IFERROR(__xludf.DUMMYFUNCTION("""COMPUTED_VALUE"""),70.0)</f>
        <v>70</v>
      </c>
      <c r="Y936" s="217"/>
      <c r="Z936" s="217"/>
      <c r="AA936" s="481">
        <f>IFERROR(__xludf.DUMMYFUNCTION("""COMPUTED_VALUE"""),70.0)</f>
        <v>70</v>
      </c>
      <c r="AB936" s="481">
        <f>IFERROR(__xludf.DUMMYFUNCTION("""COMPUTED_VALUE"""),69.0)</f>
        <v>69</v>
      </c>
      <c r="AC936" s="481">
        <f>IFERROR(__xludf.DUMMYFUNCTION("""COMPUTED_VALUE"""),70.0)</f>
        <v>70</v>
      </c>
      <c r="AD936" s="481"/>
      <c r="AE936" s="481">
        <f>IFERROR(__xludf.DUMMYFUNCTION("""COMPUTED_VALUE"""),70.0)</f>
        <v>70</v>
      </c>
      <c r="AF936" s="481"/>
      <c r="AG936" s="481">
        <f>IFERROR(__xludf.DUMMYFUNCTION("""COMPUTED_VALUE"""),85.0)</f>
        <v>85</v>
      </c>
      <c r="AH936" s="481"/>
      <c r="AI936" s="158"/>
      <c r="AJ936" s="158"/>
      <c r="AK936" s="133">
        <f>IFERROR(__xludf.DUMMYFUNCTION("""COMPUTED_VALUE"""),4.0)</f>
        <v>4</v>
      </c>
      <c r="AL936" s="133">
        <f>IFERROR(__xludf.DUMMYFUNCTION("""COMPUTED_VALUE"""),3.0)</f>
        <v>3</v>
      </c>
      <c r="AM936" s="133">
        <f>IFERROR(__xludf.DUMMYFUNCTION("""COMPUTED_VALUE"""),3.0)</f>
        <v>3</v>
      </c>
      <c r="AN936" s="133" t="str">
        <f>IFERROR(__xludf.DUMMYFUNCTION("""COMPUTED_VALUE"""),"3.5")</f>
        <v>3.5</v>
      </c>
      <c r="AO936" s="133">
        <f>IFERROR(__xludf.DUMMYFUNCTION("""COMPUTED_VALUE"""),3.0)</f>
        <v>3</v>
      </c>
      <c r="AP936" s="155" t="s">
        <v>3736</v>
      </c>
    </row>
    <row r="937">
      <c r="A937" s="155">
        <f>IFERROR(__xludf.DUMMYFUNCTION("""COMPUTED_VALUE"""),44.0)</f>
        <v>44</v>
      </c>
      <c r="B937" s="155" t="str">
        <f>IFERROR(__xludf.DUMMYFUNCTION("""COMPUTED_VALUE"""),"cha23ece@cmrit.ac.in")</f>
        <v>cha23ece@cmrit.ac.in</v>
      </c>
      <c r="C937" s="174" t="str">
        <f>IFERROR(__xludf.DUMMYFUNCTION("""COMPUTED_VALUE"""),"CHANDRASHEKAR")</f>
        <v>CHANDRASHEKAR</v>
      </c>
      <c r="D937" s="155" t="str">
        <f>IFERROR(__xludf.DUMMYFUNCTION("""COMPUTED_VALUE"""),"1CR23EC043")</f>
        <v>1CR23EC043</v>
      </c>
      <c r="E937" s="563">
        <f>IFERROR(__xludf.DUMMYFUNCTION("""COMPUTED_VALUE"""),8.050513686E9)</f>
        <v>8050513686</v>
      </c>
      <c r="F937" s="155" t="str">
        <f>IFERROR(__xludf.DUMMYFUNCTION("""COMPUTED_VALUE"""),"ECE")</f>
        <v>ECE</v>
      </c>
      <c r="G937" s="158"/>
      <c r="H937" s="559">
        <f>IFERROR(__xludf.DUMMYFUNCTION("""COMPUTED_VALUE"""),70.0)</f>
        <v>70</v>
      </c>
      <c r="I937" s="559">
        <f>IFERROR(__xludf.DUMMYFUNCTION("""COMPUTED_VALUE"""),75.0)</f>
        <v>75</v>
      </c>
      <c r="J937" s="559">
        <f>IFERROR(__xludf.DUMMYFUNCTION("""COMPUTED_VALUE"""),70.0)</f>
        <v>70</v>
      </c>
      <c r="K937" s="559">
        <f>IFERROR(__xludf.DUMMYFUNCTION("""COMPUTED_VALUE"""),70.0)</f>
        <v>70</v>
      </c>
      <c r="L937" s="560">
        <f>IFERROR(__xludf.DUMMYFUNCTION("""COMPUTED_VALUE"""),50.0)</f>
        <v>50</v>
      </c>
      <c r="M937" s="561">
        <f>IFERROR(__xludf.DUMMYFUNCTION("""COMPUTED_VALUE"""),50.0)</f>
        <v>50</v>
      </c>
      <c r="N937" s="561">
        <f>IFERROR(__xludf.DUMMYFUNCTION("""COMPUTED_VALUE"""),30.0)</f>
        <v>30</v>
      </c>
      <c r="O937" s="560"/>
      <c r="P937" s="562">
        <f>IFERROR(__xludf.DUMMYFUNCTION("""COMPUTED_VALUE"""),70.0)</f>
        <v>70</v>
      </c>
      <c r="Q937" s="562">
        <f>IFERROR(__xludf.DUMMYFUNCTION("""COMPUTED_VALUE"""),58.0)</f>
        <v>58</v>
      </c>
      <c r="R937" s="562">
        <f>IFERROR(__xludf.DUMMYFUNCTION("""COMPUTED_VALUE"""),0.0)</f>
        <v>0</v>
      </c>
      <c r="S937" s="562"/>
      <c r="T937" s="217">
        <f>IFERROR(__xludf.DUMMYFUNCTION("""COMPUTED_VALUE"""),10.0)</f>
        <v>10</v>
      </c>
      <c r="U937" s="217">
        <f>IFERROR(__xludf.DUMMYFUNCTION("""COMPUTED_VALUE"""),18.0)</f>
        <v>18</v>
      </c>
      <c r="V937" s="217">
        <f>IFERROR(__xludf.DUMMYFUNCTION("""COMPUTED_VALUE"""),52.0)</f>
        <v>52</v>
      </c>
      <c r="W937" s="217">
        <f>IFERROR(__xludf.DUMMYFUNCTION("""COMPUTED_VALUE"""),72.0)</f>
        <v>72</v>
      </c>
      <c r="X937" s="217">
        <f>IFERROR(__xludf.DUMMYFUNCTION("""COMPUTED_VALUE"""),72.0)</f>
        <v>72</v>
      </c>
      <c r="Y937" s="217"/>
      <c r="Z937" s="217"/>
      <c r="AA937" s="481">
        <f>IFERROR(__xludf.DUMMYFUNCTION("""COMPUTED_VALUE"""),53.0)</f>
        <v>53</v>
      </c>
      <c r="AB937" s="481">
        <f>IFERROR(__xludf.DUMMYFUNCTION("""COMPUTED_VALUE"""),61.0)</f>
        <v>61</v>
      </c>
      <c r="AC937" s="481">
        <f>IFERROR(__xludf.DUMMYFUNCTION("""COMPUTED_VALUE"""),65.0)</f>
        <v>65</v>
      </c>
      <c r="AD937" s="481"/>
      <c r="AE937" s="481">
        <f>IFERROR(__xludf.DUMMYFUNCTION("""COMPUTED_VALUE"""),70.0)</f>
        <v>70</v>
      </c>
      <c r="AF937" s="481"/>
      <c r="AG937" s="481"/>
      <c r="AH937" s="481"/>
      <c r="AI937" s="158"/>
      <c r="AJ937" s="158"/>
      <c r="AK937" s="133">
        <f>IFERROR(__xludf.DUMMYFUNCTION("""COMPUTED_VALUE"""),4.0)</f>
        <v>4</v>
      </c>
      <c r="AL937" s="133">
        <f>IFERROR(__xludf.DUMMYFUNCTION("""COMPUTED_VALUE"""),2.0)</f>
        <v>2</v>
      </c>
      <c r="AM937" s="133">
        <f>IFERROR(__xludf.DUMMYFUNCTION("""COMPUTED_VALUE"""),3.0)</f>
        <v>3</v>
      </c>
      <c r="AN937" s="133" t="str">
        <f>IFERROR(__xludf.DUMMYFUNCTION("""COMPUTED_VALUE"""),"3.5")</f>
        <v>3.5</v>
      </c>
      <c r="AO937" s="133">
        <f>IFERROR(__xludf.DUMMYFUNCTION("""COMPUTED_VALUE"""),2.0)</f>
        <v>2</v>
      </c>
      <c r="AP937" s="155" t="s">
        <v>3736</v>
      </c>
    </row>
    <row r="938">
      <c r="A938" s="155">
        <f>IFERROR(__xludf.DUMMYFUNCTION("""COMPUTED_VALUE"""),45.0)</f>
        <v>45</v>
      </c>
      <c r="B938" s="155" t="str">
        <f>IFERROR(__xludf.DUMMYFUNCTION("""COMPUTED_VALUE"""),"chal23ece@cmrit.ac.in")</f>
        <v>chal23ece@cmrit.ac.in</v>
      </c>
      <c r="C938" s="174" t="str">
        <f>IFERROR(__xludf.DUMMYFUNCTION("""COMPUTED_VALUE"""),"Charan Gowda A L")</f>
        <v>Charan Gowda A L</v>
      </c>
      <c r="D938" s="155" t="str">
        <f>IFERROR(__xludf.DUMMYFUNCTION("""COMPUTED_VALUE"""),"1CR23EC044")</f>
        <v>1CR23EC044</v>
      </c>
      <c r="E938" s="563">
        <f>IFERROR(__xludf.DUMMYFUNCTION("""COMPUTED_VALUE"""),9.113613514E9)</f>
        <v>9113613514</v>
      </c>
      <c r="F938" s="155" t="str">
        <f>IFERROR(__xludf.DUMMYFUNCTION("""COMPUTED_VALUE"""),"ECE")</f>
        <v>ECE</v>
      </c>
      <c r="G938" s="158"/>
      <c r="H938" s="559">
        <f>IFERROR(__xludf.DUMMYFUNCTION("""COMPUTED_VALUE"""),75.0)</f>
        <v>75</v>
      </c>
      <c r="I938" s="559">
        <f>IFERROR(__xludf.DUMMYFUNCTION("""COMPUTED_VALUE"""),72.0)</f>
        <v>72</v>
      </c>
      <c r="J938" s="559">
        <f>IFERROR(__xludf.DUMMYFUNCTION("""COMPUTED_VALUE"""),71.0)</f>
        <v>71</v>
      </c>
      <c r="K938" s="559">
        <f>IFERROR(__xludf.DUMMYFUNCTION("""COMPUTED_VALUE"""),76.0)</f>
        <v>76</v>
      </c>
      <c r="L938" s="560">
        <f>IFERROR(__xludf.DUMMYFUNCTION("""COMPUTED_VALUE"""),50.0)</f>
        <v>50</v>
      </c>
      <c r="M938" s="561">
        <f>IFERROR(__xludf.DUMMYFUNCTION("""COMPUTED_VALUE"""),50.0)</f>
        <v>50</v>
      </c>
      <c r="N938" s="561">
        <f>IFERROR(__xludf.DUMMYFUNCTION("""COMPUTED_VALUE"""),50.0)</f>
        <v>50</v>
      </c>
      <c r="O938" s="560"/>
      <c r="P938" s="562">
        <f>IFERROR(__xludf.DUMMYFUNCTION("""COMPUTED_VALUE"""),72.0)</f>
        <v>72</v>
      </c>
      <c r="Q938" s="562">
        <f>IFERROR(__xludf.DUMMYFUNCTION("""COMPUTED_VALUE"""),58.0)</f>
        <v>58</v>
      </c>
      <c r="R938" s="562">
        <f>IFERROR(__xludf.DUMMYFUNCTION("""COMPUTED_VALUE"""),82.0)</f>
        <v>82</v>
      </c>
      <c r="S938" s="562"/>
      <c r="T938" s="217">
        <f>IFERROR(__xludf.DUMMYFUNCTION("""COMPUTED_VALUE"""),21.0)</f>
        <v>21</v>
      </c>
      <c r="U938" s="217">
        <f>IFERROR(__xludf.DUMMYFUNCTION("""COMPUTED_VALUE"""),20.0)</f>
        <v>20</v>
      </c>
      <c r="V938" s="217">
        <f>IFERROR(__xludf.DUMMYFUNCTION("""COMPUTED_VALUE"""),64.0)</f>
        <v>64</v>
      </c>
      <c r="W938" s="217">
        <f>IFERROR(__xludf.DUMMYFUNCTION("""COMPUTED_VALUE"""),88.0)</f>
        <v>88</v>
      </c>
      <c r="X938" s="217">
        <f>IFERROR(__xludf.DUMMYFUNCTION("""COMPUTED_VALUE"""),78.0)</f>
        <v>78</v>
      </c>
      <c r="Y938" s="217"/>
      <c r="Z938" s="217"/>
      <c r="AA938" s="481">
        <f>IFERROR(__xludf.DUMMYFUNCTION("""COMPUTED_VALUE"""),100.0)</f>
        <v>100</v>
      </c>
      <c r="AB938" s="481">
        <f>IFERROR(__xludf.DUMMYFUNCTION("""COMPUTED_VALUE"""),98.0)</f>
        <v>98</v>
      </c>
      <c r="AC938" s="481">
        <f>IFERROR(__xludf.DUMMYFUNCTION("""COMPUTED_VALUE"""),100.0)</f>
        <v>100</v>
      </c>
      <c r="AD938" s="481"/>
      <c r="AE938" s="481">
        <f>IFERROR(__xludf.DUMMYFUNCTION("""COMPUTED_VALUE"""),70.0)</f>
        <v>70</v>
      </c>
      <c r="AF938" s="481"/>
      <c r="AG938" s="481">
        <f>IFERROR(__xludf.DUMMYFUNCTION("""COMPUTED_VALUE"""),93.0)</f>
        <v>93</v>
      </c>
      <c r="AH938" s="481"/>
      <c r="AI938" s="158"/>
      <c r="AJ938" s="158"/>
      <c r="AK938" s="133">
        <f>IFERROR(__xludf.DUMMYFUNCTION("""COMPUTED_VALUE"""),4.0)</f>
        <v>4</v>
      </c>
      <c r="AL938" s="133">
        <f>IFERROR(__xludf.DUMMYFUNCTION("""COMPUTED_VALUE"""),3.0)</f>
        <v>3</v>
      </c>
      <c r="AM938" s="133">
        <f>IFERROR(__xludf.DUMMYFUNCTION("""COMPUTED_VALUE"""),3.0)</f>
        <v>3</v>
      </c>
      <c r="AN938" s="133" t="str">
        <f>IFERROR(__xludf.DUMMYFUNCTION("""COMPUTED_VALUE"""),"3.5")</f>
        <v>3.5</v>
      </c>
      <c r="AO938" s="133">
        <f>IFERROR(__xludf.DUMMYFUNCTION("""COMPUTED_VALUE"""),3.0)</f>
        <v>3</v>
      </c>
      <c r="AP938" s="155" t="s">
        <v>3736</v>
      </c>
    </row>
    <row r="939">
      <c r="A939" s="155">
        <f>IFERROR(__xludf.DUMMYFUNCTION("""COMPUTED_VALUE"""),46.0)</f>
        <v>46</v>
      </c>
      <c r="B939" s="155" t="str">
        <f>IFERROR(__xludf.DUMMYFUNCTION("""COMPUTED_VALUE"""),"chsr23ece@cmrit.ac.in")</f>
        <v>chsr23ece@cmrit.ac.in</v>
      </c>
      <c r="C939" s="174" t="str">
        <f>IFERROR(__xludf.DUMMYFUNCTION("""COMPUTED_VALUE"""),"CHARAN SREEVASU J")</f>
        <v>CHARAN SREEVASU J</v>
      </c>
      <c r="D939" s="155" t="str">
        <f>IFERROR(__xludf.DUMMYFUNCTION("""COMPUTED_VALUE"""),"1CR23EC045")</f>
        <v>1CR23EC045</v>
      </c>
      <c r="E939" s="563">
        <f>IFERROR(__xludf.DUMMYFUNCTION("""COMPUTED_VALUE"""),7.019561753E9)</f>
        <v>7019561753</v>
      </c>
      <c r="F939" s="155" t="str">
        <f>IFERROR(__xludf.DUMMYFUNCTION("""COMPUTED_VALUE"""),"ECE")</f>
        <v>ECE</v>
      </c>
      <c r="G939" s="158"/>
      <c r="H939" s="559">
        <f>IFERROR(__xludf.DUMMYFUNCTION("""COMPUTED_VALUE"""),80.0)</f>
        <v>80</v>
      </c>
      <c r="I939" s="559">
        <f>IFERROR(__xludf.DUMMYFUNCTION("""COMPUTED_VALUE"""),85.0)</f>
        <v>85</v>
      </c>
      <c r="J939" s="559">
        <f>IFERROR(__xludf.DUMMYFUNCTION("""COMPUTED_VALUE"""),70.0)</f>
        <v>70</v>
      </c>
      <c r="K939" s="559">
        <f>IFERROR(__xludf.DUMMYFUNCTION("""COMPUTED_VALUE"""),79.0)</f>
        <v>79</v>
      </c>
      <c r="L939" s="560">
        <f>IFERROR(__xludf.DUMMYFUNCTION("""COMPUTED_VALUE"""),50.0)</f>
        <v>50</v>
      </c>
      <c r="M939" s="561">
        <f>IFERROR(__xludf.DUMMYFUNCTION("""COMPUTED_VALUE"""),50.0)</f>
        <v>50</v>
      </c>
      <c r="N939" s="561">
        <f>IFERROR(__xludf.DUMMYFUNCTION("""COMPUTED_VALUE"""),50.0)</f>
        <v>50</v>
      </c>
      <c r="O939" s="560"/>
      <c r="P939" s="562">
        <f>IFERROR(__xludf.DUMMYFUNCTION("""COMPUTED_VALUE"""),79.0)</f>
        <v>79</v>
      </c>
      <c r="Q939" s="562">
        <f>IFERROR(__xludf.DUMMYFUNCTION("""COMPUTED_VALUE"""),87.0)</f>
        <v>87</v>
      </c>
      <c r="R939" s="562">
        <f>IFERROR(__xludf.DUMMYFUNCTION("""COMPUTED_VALUE"""),90.0)</f>
        <v>90</v>
      </c>
      <c r="S939" s="562"/>
      <c r="T939" s="217">
        <f>IFERROR(__xludf.DUMMYFUNCTION("""COMPUTED_VALUE"""),10.0)</f>
        <v>10</v>
      </c>
      <c r="U939" s="217">
        <f>IFERROR(__xludf.DUMMYFUNCTION("""COMPUTED_VALUE"""),19.0)</f>
        <v>19</v>
      </c>
      <c r="V939" s="217">
        <f>IFERROR(__xludf.DUMMYFUNCTION("""COMPUTED_VALUE"""),60.0)</f>
        <v>60</v>
      </c>
      <c r="W939" s="217">
        <f>IFERROR(__xludf.DUMMYFUNCTION("""COMPUTED_VALUE"""),84.0)</f>
        <v>84</v>
      </c>
      <c r="X939" s="217">
        <f>IFERROR(__xludf.DUMMYFUNCTION("""COMPUTED_VALUE"""),80.0)</f>
        <v>80</v>
      </c>
      <c r="Y939" s="217"/>
      <c r="Z939" s="217"/>
      <c r="AA939" s="481">
        <f>IFERROR(__xludf.DUMMYFUNCTION("""COMPUTED_VALUE"""),90.0)</f>
        <v>90</v>
      </c>
      <c r="AB939" s="481">
        <f>IFERROR(__xludf.DUMMYFUNCTION("""COMPUTED_VALUE"""),87.0)</f>
        <v>87</v>
      </c>
      <c r="AC939" s="481">
        <f>IFERROR(__xludf.DUMMYFUNCTION("""COMPUTED_VALUE"""),61.0)</f>
        <v>61</v>
      </c>
      <c r="AD939" s="481"/>
      <c r="AE939" s="481">
        <f>IFERROR(__xludf.DUMMYFUNCTION("""COMPUTED_VALUE"""),70.0)</f>
        <v>70</v>
      </c>
      <c r="AF939" s="481"/>
      <c r="AG939" s="481">
        <f>IFERROR(__xludf.DUMMYFUNCTION("""COMPUTED_VALUE"""),77.0)</f>
        <v>77</v>
      </c>
      <c r="AH939" s="481"/>
      <c r="AI939" s="158"/>
      <c r="AJ939" s="158"/>
      <c r="AK939" s="133">
        <f>IFERROR(__xludf.DUMMYFUNCTION("""COMPUTED_VALUE"""),4.0)</f>
        <v>4</v>
      </c>
      <c r="AL939" s="133">
        <f>IFERROR(__xludf.DUMMYFUNCTION("""COMPUTED_VALUE"""),3.0)</f>
        <v>3</v>
      </c>
      <c r="AM939" s="133">
        <f>IFERROR(__xludf.DUMMYFUNCTION("""COMPUTED_VALUE"""),3.0)</f>
        <v>3</v>
      </c>
      <c r="AN939" s="133" t="str">
        <f>IFERROR(__xludf.DUMMYFUNCTION("""COMPUTED_VALUE"""),"3.5")</f>
        <v>3.5</v>
      </c>
      <c r="AO939" s="133">
        <f>IFERROR(__xludf.DUMMYFUNCTION("""COMPUTED_VALUE"""),3.0)</f>
        <v>3</v>
      </c>
      <c r="AP939" s="155" t="s">
        <v>3736</v>
      </c>
    </row>
    <row r="940">
      <c r="A940" s="155">
        <f>IFERROR(__xludf.DUMMYFUNCTION("""COMPUTED_VALUE"""),47.0)</f>
        <v>47</v>
      </c>
      <c r="B940" s="155" t="str">
        <f>IFERROR(__xludf.DUMMYFUNCTION("""COMPUTED_VALUE"""),"chsa23ece@cmrit.ac.in")</f>
        <v>chsa23ece@cmrit.ac.in</v>
      </c>
      <c r="C940" s="174" t="str">
        <f>IFERROR(__xludf.DUMMYFUNCTION("""COMPUTED_VALUE"""),"CHERUKUMUDI SREE SATWIK")</f>
        <v>CHERUKUMUDI SREE SATWIK</v>
      </c>
      <c r="D940" s="155" t="str">
        <f>IFERROR(__xludf.DUMMYFUNCTION("""COMPUTED_VALUE"""),"1CR23EC046")</f>
        <v>1CR23EC046</v>
      </c>
      <c r="E940" s="563">
        <f>IFERROR(__xludf.DUMMYFUNCTION("""COMPUTED_VALUE"""),9.392650525E9)</f>
        <v>9392650525</v>
      </c>
      <c r="F940" s="155" t="str">
        <f>IFERROR(__xludf.DUMMYFUNCTION("""COMPUTED_VALUE"""),"ECE")</f>
        <v>ECE</v>
      </c>
      <c r="G940" s="158"/>
      <c r="H940" s="559">
        <f>IFERROR(__xludf.DUMMYFUNCTION("""COMPUTED_VALUE"""),79.0)</f>
        <v>79</v>
      </c>
      <c r="I940" s="559">
        <f>IFERROR(__xludf.DUMMYFUNCTION("""COMPUTED_VALUE"""),76.0)</f>
        <v>76</v>
      </c>
      <c r="J940" s="559">
        <f>IFERROR(__xludf.DUMMYFUNCTION("""COMPUTED_VALUE"""),74.0)</f>
        <v>74</v>
      </c>
      <c r="K940" s="559">
        <f>IFERROR(__xludf.DUMMYFUNCTION("""COMPUTED_VALUE"""),72.0)</f>
        <v>72</v>
      </c>
      <c r="L940" s="560">
        <f>IFERROR(__xludf.DUMMYFUNCTION("""COMPUTED_VALUE"""),65.0)</f>
        <v>65</v>
      </c>
      <c r="M940" s="561">
        <f>IFERROR(__xludf.DUMMYFUNCTION("""COMPUTED_VALUE"""),25.0)</f>
        <v>25</v>
      </c>
      <c r="N940" s="561">
        <f>IFERROR(__xludf.DUMMYFUNCTION("""COMPUTED_VALUE"""),11.0)</f>
        <v>11</v>
      </c>
      <c r="O940" s="560"/>
      <c r="P940" s="562">
        <f>IFERROR(__xludf.DUMMYFUNCTION("""COMPUTED_VALUE"""),76.0)</f>
        <v>76</v>
      </c>
      <c r="Q940" s="562">
        <f>IFERROR(__xludf.DUMMYFUNCTION("""COMPUTED_VALUE"""),56.0)</f>
        <v>56</v>
      </c>
      <c r="R940" s="562">
        <f>IFERROR(__xludf.DUMMYFUNCTION("""COMPUTED_VALUE"""),0.0)</f>
        <v>0</v>
      </c>
      <c r="S940" s="562"/>
      <c r="T940" s="217">
        <f>IFERROR(__xludf.DUMMYFUNCTION("""COMPUTED_VALUE"""),21.0)</f>
        <v>21</v>
      </c>
      <c r="U940" s="217">
        <f>IFERROR(__xludf.DUMMYFUNCTION("""COMPUTED_VALUE"""),18.0)</f>
        <v>18</v>
      </c>
      <c r="V940" s="217">
        <f>IFERROR(__xludf.DUMMYFUNCTION("""COMPUTED_VALUE"""),56.0)</f>
        <v>56</v>
      </c>
      <c r="W940" s="217">
        <f>IFERROR(__xludf.DUMMYFUNCTION("""COMPUTED_VALUE"""),80.0)</f>
        <v>80</v>
      </c>
      <c r="X940" s="217">
        <f>IFERROR(__xludf.DUMMYFUNCTION("""COMPUTED_VALUE"""),70.0)</f>
        <v>70</v>
      </c>
      <c r="Y940" s="217"/>
      <c r="Z940" s="217"/>
      <c r="AA940" s="481">
        <f>IFERROR(__xludf.DUMMYFUNCTION("""COMPUTED_VALUE"""),63.0)</f>
        <v>63</v>
      </c>
      <c r="AB940" s="481">
        <f>IFERROR(__xludf.DUMMYFUNCTION("""COMPUTED_VALUE"""),75.0)</f>
        <v>75</v>
      </c>
      <c r="AC940" s="481">
        <f>IFERROR(__xludf.DUMMYFUNCTION("""COMPUTED_VALUE"""),70.0)</f>
        <v>70</v>
      </c>
      <c r="AD940" s="481"/>
      <c r="AE940" s="481">
        <f>IFERROR(__xludf.DUMMYFUNCTION("""COMPUTED_VALUE"""),10.0)</f>
        <v>10</v>
      </c>
      <c r="AF940" s="481"/>
      <c r="AG940" s="481"/>
      <c r="AH940" s="481"/>
      <c r="AI940" s="158"/>
      <c r="AJ940" s="158"/>
      <c r="AK940" s="133">
        <f>IFERROR(__xludf.DUMMYFUNCTION("""COMPUTED_VALUE"""),4.0)</f>
        <v>4</v>
      </c>
      <c r="AL940" s="133">
        <f>IFERROR(__xludf.DUMMYFUNCTION("""COMPUTED_VALUE"""),1.0)</f>
        <v>1</v>
      </c>
      <c r="AM940" s="133">
        <f>IFERROR(__xludf.DUMMYFUNCTION("""COMPUTED_VALUE"""),3.0)</f>
        <v>3</v>
      </c>
      <c r="AN940" s="133" t="str">
        <f>IFERROR(__xludf.DUMMYFUNCTION("""COMPUTED_VALUE"""),"3")</f>
        <v>3</v>
      </c>
      <c r="AO940" s="133">
        <f>IFERROR(__xludf.DUMMYFUNCTION("""COMPUTED_VALUE"""),2.0)</f>
        <v>2</v>
      </c>
      <c r="AP940" s="155" t="s">
        <v>3736</v>
      </c>
    </row>
    <row r="941">
      <c r="A941" s="155">
        <f>IFERROR(__xludf.DUMMYFUNCTION("""COMPUTED_VALUE"""),48.0)</f>
        <v>48</v>
      </c>
      <c r="B941" s="155" t="str">
        <f>IFERROR(__xludf.DUMMYFUNCTION("""COMPUTED_VALUE"""),"chsu23ece@cmrit.ac.in")</f>
        <v>chsu23ece@cmrit.ac.in</v>
      </c>
      <c r="C941" s="174" t="str">
        <f>IFERROR(__xludf.DUMMYFUNCTION("""COMPUTED_VALUE"""),"Chinmay Sukant Naik")</f>
        <v>Chinmay Sukant Naik</v>
      </c>
      <c r="D941" s="155" t="str">
        <f>IFERROR(__xludf.DUMMYFUNCTION("""COMPUTED_VALUE"""),"1CR23EC047")</f>
        <v>1CR23EC047</v>
      </c>
      <c r="E941" s="563">
        <f>IFERROR(__xludf.DUMMYFUNCTION("""COMPUTED_VALUE"""),9.738058065E9)</f>
        <v>9738058065</v>
      </c>
      <c r="F941" s="155" t="str">
        <f>IFERROR(__xludf.DUMMYFUNCTION("""COMPUTED_VALUE"""),"ECE")</f>
        <v>ECE</v>
      </c>
      <c r="G941" s="158"/>
      <c r="H941" s="559">
        <f>IFERROR(__xludf.DUMMYFUNCTION("""COMPUTED_VALUE"""),86.0)</f>
        <v>86</v>
      </c>
      <c r="I941" s="559">
        <f>IFERROR(__xludf.DUMMYFUNCTION("""COMPUTED_VALUE"""),83.0)</f>
        <v>83</v>
      </c>
      <c r="J941" s="559">
        <f>IFERROR(__xludf.DUMMYFUNCTION("""COMPUTED_VALUE"""),71.0)</f>
        <v>71</v>
      </c>
      <c r="K941" s="559">
        <f>IFERROR(__xludf.DUMMYFUNCTION("""COMPUTED_VALUE"""),70.0)</f>
        <v>70</v>
      </c>
      <c r="L941" s="560">
        <f>IFERROR(__xludf.DUMMYFUNCTION("""COMPUTED_VALUE"""),52.0)</f>
        <v>52</v>
      </c>
      <c r="M941" s="561">
        <f>IFERROR(__xludf.DUMMYFUNCTION("""COMPUTED_VALUE"""),3.0)</f>
        <v>3</v>
      </c>
      <c r="N941" s="561">
        <f>IFERROR(__xludf.DUMMYFUNCTION("""COMPUTED_VALUE"""),22.0)</f>
        <v>22</v>
      </c>
      <c r="O941" s="560"/>
      <c r="P941" s="562">
        <f>IFERROR(__xludf.DUMMYFUNCTION("""COMPUTED_VALUE"""),95.0)</f>
        <v>95</v>
      </c>
      <c r="Q941" s="562">
        <f>IFERROR(__xludf.DUMMYFUNCTION("""COMPUTED_VALUE"""),50.0)</f>
        <v>50</v>
      </c>
      <c r="R941" s="562">
        <f>IFERROR(__xludf.DUMMYFUNCTION("""COMPUTED_VALUE"""),62.0)</f>
        <v>62</v>
      </c>
      <c r="S941" s="562"/>
      <c r="T941" s="217">
        <f>IFERROR(__xludf.DUMMYFUNCTION("""COMPUTED_VALUE"""),10.0)</f>
        <v>10</v>
      </c>
      <c r="U941" s="217">
        <f>IFERROR(__xludf.DUMMYFUNCTION("""COMPUTED_VALUE"""),20.0)</f>
        <v>20</v>
      </c>
      <c r="V941" s="217">
        <f>IFERROR(__xludf.DUMMYFUNCTION("""COMPUTED_VALUE"""),48.0)</f>
        <v>48</v>
      </c>
      <c r="W941" s="217">
        <f>IFERROR(__xludf.DUMMYFUNCTION("""COMPUTED_VALUE"""),82.0)</f>
        <v>82</v>
      </c>
      <c r="X941" s="217">
        <f>IFERROR(__xludf.DUMMYFUNCTION("""COMPUTED_VALUE"""),70.0)</f>
        <v>70</v>
      </c>
      <c r="Y941" s="217"/>
      <c r="Z941" s="217"/>
      <c r="AA941" s="481">
        <f>IFERROR(__xludf.DUMMYFUNCTION("""COMPUTED_VALUE"""),14.0)</f>
        <v>14</v>
      </c>
      <c r="AB941" s="481">
        <f>IFERROR(__xludf.DUMMYFUNCTION("""COMPUTED_VALUE"""),83.0)</f>
        <v>83</v>
      </c>
      <c r="AC941" s="481">
        <f>IFERROR(__xludf.DUMMYFUNCTION("""COMPUTED_VALUE"""),60.0)</f>
        <v>60</v>
      </c>
      <c r="AD941" s="481"/>
      <c r="AE941" s="481">
        <f>IFERROR(__xludf.DUMMYFUNCTION("""COMPUTED_VALUE"""),30.0)</f>
        <v>30</v>
      </c>
      <c r="AF941" s="481"/>
      <c r="AG941" s="481">
        <f>IFERROR(__xludf.DUMMYFUNCTION("""COMPUTED_VALUE"""),74.0)</f>
        <v>74</v>
      </c>
      <c r="AH941" s="481"/>
      <c r="AI941" s="158"/>
      <c r="AJ941" s="158"/>
      <c r="AK941" s="133">
        <f>IFERROR(__xludf.DUMMYFUNCTION("""COMPUTED_VALUE"""),4.0)</f>
        <v>4</v>
      </c>
      <c r="AL941" s="133">
        <f>IFERROR(__xludf.DUMMYFUNCTION("""COMPUTED_VALUE"""),1.0)</f>
        <v>1</v>
      </c>
      <c r="AM941" s="133">
        <f>IFERROR(__xludf.DUMMYFUNCTION("""COMPUTED_VALUE"""),3.0)</f>
        <v>3</v>
      </c>
      <c r="AN941" s="133" t="str">
        <f>IFERROR(__xludf.DUMMYFUNCTION("""COMPUTED_VALUE"""),"3")</f>
        <v>3</v>
      </c>
      <c r="AO941" s="133">
        <f>IFERROR(__xludf.DUMMYFUNCTION("""COMPUTED_VALUE"""),3.0)</f>
        <v>3</v>
      </c>
      <c r="AP941" s="155" t="s">
        <v>3736</v>
      </c>
    </row>
    <row r="942">
      <c r="A942" s="155">
        <f>IFERROR(__xludf.DUMMYFUNCTION("""COMPUTED_VALUE"""),49.0)</f>
        <v>49</v>
      </c>
      <c r="B942" s="155" t="str">
        <f>IFERROR(__xludf.DUMMYFUNCTION("""COMPUTED_VALUE"""),"chch23ece@cmrit.ac.in")</f>
        <v>chch23ece@cmrit.ac.in</v>
      </c>
      <c r="C942" s="174" t="str">
        <f>IFERROR(__xludf.DUMMYFUNCTION("""COMPUTED_VALUE"""),"CHIRANTH V")</f>
        <v>CHIRANTH V</v>
      </c>
      <c r="D942" s="155" t="str">
        <f>IFERROR(__xludf.DUMMYFUNCTION("""COMPUTED_VALUE"""),"1CR23EC048")</f>
        <v>1CR23EC048</v>
      </c>
      <c r="E942" s="563">
        <f>IFERROR(__xludf.DUMMYFUNCTION("""COMPUTED_VALUE"""),7.89200717E9)</f>
        <v>7892007170</v>
      </c>
      <c r="F942" s="155" t="str">
        <f>IFERROR(__xludf.DUMMYFUNCTION("""COMPUTED_VALUE"""),"ECE")</f>
        <v>ECE</v>
      </c>
      <c r="G942" s="158"/>
      <c r="H942" s="559">
        <f>IFERROR(__xludf.DUMMYFUNCTION("""COMPUTED_VALUE"""),78.0)</f>
        <v>78</v>
      </c>
      <c r="I942" s="559">
        <f>IFERROR(__xludf.DUMMYFUNCTION("""COMPUTED_VALUE"""),72.0)</f>
        <v>72</v>
      </c>
      <c r="J942" s="559">
        <f>IFERROR(__xludf.DUMMYFUNCTION("""COMPUTED_VALUE"""),70.0)</f>
        <v>70</v>
      </c>
      <c r="K942" s="559">
        <f>IFERROR(__xludf.DUMMYFUNCTION("""COMPUTED_VALUE"""),70.0)</f>
        <v>70</v>
      </c>
      <c r="L942" s="560">
        <f>IFERROR(__xludf.DUMMYFUNCTION("""COMPUTED_VALUE"""),50.0)</f>
        <v>50</v>
      </c>
      <c r="M942" s="561">
        <f>IFERROR(__xludf.DUMMYFUNCTION("""COMPUTED_VALUE"""),50.0)</f>
        <v>50</v>
      </c>
      <c r="N942" s="561">
        <f>IFERROR(__xludf.DUMMYFUNCTION("""COMPUTED_VALUE"""),50.0)</f>
        <v>50</v>
      </c>
      <c r="O942" s="560"/>
      <c r="P942" s="562">
        <f>IFERROR(__xludf.DUMMYFUNCTION("""COMPUTED_VALUE"""),73.0)</f>
        <v>73</v>
      </c>
      <c r="Q942" s="562">
        <f>IFERROR(__xludf.DUMMYFUNCTION("""COMPUTED_VALUE"""),50.0)</f>
        <v>50</v>
      </c>
      <c r="R942" s="562">
        <f>IFERROR(__xludf.DUMMYFUNCTION("""COMPUTED_VALUE"""),0.0)</f>
        <v>0</v>
      </c>
      <c r="S942" s="562"/>
      <c r="T942" s="217">
        <f>IFERROR(__xludf.DUMMYFUNCTION("""COMPUTED_VALUE"""),16.0)</f>
        <v>16</v>
      </c>
      <c r="U942" s="217">
        <f>IFERROR(__xludf.DUMMYFUNCTION("""COMPUTED_VALUE"""),18.0)</f>
        <v>18</v>
      </c>
      <c r="V942" s="217">
        <f>IFERROR(__xludf.DUMMYFUNCTION("""COMPUTED_VALUE"""),50.0)</f>
        <v>50</v>
      </c>
      <c r="W942" s="217"/>
      <c r="X942" s="217">
        <f>IFERROR(__xludf.DUMMYFUNCTION("""COMPUTED_VALUE"""),78.0)</f>
        <v>78</v>
      </c>
      <c r="Y942" s="217"/>
      <c r="Z942" s="217"/>
      <c r="AA942" s="481">
        <f>IFERROR(__xludf.DUMMYFUNCTION("""COMPUTED_VALUE"""),82.0)</f>
        <v>82</v>
      </c>
      <c r="AB942" s="481">
        <f>IFERROR(__xludf.DUMMYFUNCTION("""COMPUTED_VALUE"""),83.0)</f>
        <v>83</v>
      </c>
      <c r="AC942" s="481">
        <f>IFERROR(__xludf.DUMMYFUNCTION("""COMPUTED_VALUE"""),100.0)</f>
        <v>100</v>
      </c>
      <c r="AD942" s="481"/>
      <c r="AE942" s="481">
        <f>IFERROR(__xludf.DUMMYFUNCTION("""COMPUTED_VALUE"""),70.0)</f>
        <v>70</v>
      </c>
      <c r="AF942" s="481"/>
      <c r="AG942" s="481"/>
      <c r="AH942" s="481"/>
      <c r="AI942" s="158"/>
      <c r="AJ942" s="158"/>
      <c r="AK942" s="133">
        <f>IFERROR(__xludf.DUMMYFUNCTION("""COMPUTED_VALUE"""),4.0)</f>
        <v>4</v>
      </c>
      <c r="AL942" s="133">
        <f>IFERROR(__xludf.DUMMYFUNCTION("""COMPUTED_VALUE"""),3.0)</f>
        <v>3</v>
      </c>
      <c r="AM942" s="133">
        <f>IFERROR(__xludf.DUMMYFUNCTION("""COMPUTED_VALUE"""),2.0)</f>
        <v>2</v>
      </c>
      <c r="AN942" s="133" t="str">
        <f>IFERROR(__xludf.DUMMYFUNCTION("""COMPUTED_VALUE"""),"3.5")</f>
        <v>3.5</v>
      </c>
      <c r="AO942" s="133">
        <f>IFERROR(__xludf.DUMMYFUNCTION("""COMPUTED_VALUE"""),2.0)</f>
        <v>2</v>
      </c>
      <c r="AP942" s="155" t="s">
        <v>3736</v>
      </c>
    </row>
    <row r="943">
      <c r="A943" s="155">
        <f>IFERROR(__xludf.DUMMYFUNCTION("""COMPUTED_VALUE"""),50.0)</f>
        <v>50</v>
      </c>
      <c r="B943" s="155" t="str">
        <f>IFERROR(__xludf.DUMMYFUNCTION("""COMPUTED_VALUE"""),"dsr23ece@cmrit.ac.in")</f>
        <v>dsr23ece@cmrit.ac.in</v>
      </c>
      <c r="C943" s="174" t="str">
        <f>IFERROR(__xludf.DUMMYFUNCTION("""COMPUTED_VALUE"""),"D SRINIDHI")</f>
        <v>D SRINIDHI</v>
      </c>
      <c r="D943" s="155" t="str">
        <f>IFERROR(__xludf.DUMMYFUNCTION("""COMPUTED_VALUE"""),"1CR23EC049")</f>
        <v>1CR23EC049</v>
      </c>
      <c r="E943" s="563">
        <f>IFERROR(__xludf.DUMMYFUNCTION("""COMPUTED_VALUE"""),9.902073343E9)</f>
        <v>9902073343</v>
      </c>
      <c r="F943" s="155" t="str">
        <f>IFERROR(__xludf.DUMMYFUNCTION("""COMPUTED_VALUE"""),"ECE")</f>
        <v>ECE</v>
      </c>
      <c r="G943" s="158"/>
      <c r="H943" s="559">
        <f>IFERROR(__xludf.DUMMYFUNCTION("""COMPUTED_VALUE"""),84.0)</f>
        <v>84</v>
      </c>
      <c r="I943" s="559">
        <f>IFERROR(__xludf.DUMMYFUNCTION("""COMPUTED_VALUE"""),83.0)</f>
        <v>83</v>
      </c>
      <c r="J943" s="559">
        <f>IFERROR(__xludf.DUMMYFUNCTION("""COMPUTED_VALUE"""),70.0)</f>
        <v>70</v>
      </c>
      <c r="K943" s="559">
        <f>IFERROR(__xludf.DUMMYFUNCTION("""COMPUTED_VALUE"""),70.0)</f>
        <v>70</v>
      </c>
      <c r="L943" s="560">
        <f>IFERROR(__xludf.DUMMYFUNCTION("""COMPUTED_VALUE"""),66.0)</f>
        <v>66</v>
      </c>
      <c r="M943" s="561">
        <f>IFERROR(__xludf.DUMMYFUNCTION("""COMPUTED_VALUE"""),50.0)</f>
        <v>50</v>
      </c>
      <c r="N943" s="561">
        <f>IFERROR(__xludf.DUMMYFUNCTION("""COMPUTED_VALUE"""),6.0)</f>
        <v>6</v>
      </c>
      <c r="O943" s="560"/>
      <c r="P943" s="562">
        <f>IFERROR(__xludf.DUMMYFUNCTION("""COMPUTED_VALUE"""),70.0)</f>
        <v>70</v>
      </c>
      <c r="Q943" s="562">
        <f>IFERROR(__xludf.DUMMYFUNCTION("""COMPUTED_VALUE"""),50.0)</f>
        <v>50</v>
      </c>
      <c r="R943" s="562">
        <f>IFERROR(__xludf.DUMMYFUNCTION("""COMPUTED_VALUE"""),82.0)</f>
        <v>82</v>
      </c>
      <c r="S943" s="562"/>
      <c r="T943" s="217">
        <f>IFERROR(__xludf.DUMMYFUNCTION("""COMPUTED_VALUE"""),10.0)</f>
        <v>10</v>
      </c>
      <c r="U943" s="217">
        <f>IFERROR(__xludf.DUMMYFUNCTION("""COMPUTED_VALUE"""),17.0)</f>
        <v>17</v>
      </c>
      <c r="V943" s="217">
        <f>IFERROR(__xludf.DUMMYFUNCTION("""COMPUTED_VALUE"""),62.0)</f>
        <v>62</v>
      </c>
      <c r="W943" s="217">
        <f>IFERROR(__xludf.DUMMYFUNCTION("""COMPUTED_VALUE"""),86.0)</f>
        <v>86</v>
      </c>
      <c r="X943" s="217">
        <f>IFERROR(__xludf.DUMMYFUNCTION("""COMPUTED_VALUE"""),80.0)</f>
        <v>80</v>
      </c>
      <c r="Y943" s="217"/>
      <c r="Z943" s="217"/>
      <c r="AA943" s="481">
        <f>IFERROR(__xludf.DUMMYFUNCTION("""COMPUTED_VALUE"""),80.0)</f>
        <v>80</v>
      </c>
      <c r="AB943" s="481">
        <f>IFERROR(__xludf.DUMMYFUNCTION("""COMPUTED_VALUE"""),100.0)</f>
        <v>100</v>
      </c>
      <c r="AC943" s="481">
        <f>IFERROR(__xludf.DUMMYFUNCTION("""COMPUTED_VALUE"""),83.0)</f>
        <v>83</v>
      </c>
      <c r="AD943" s="481"/>
      <c r="AE943" s="481">
        <f>IFERROR(__xludf.DUMMYFUNCTION("""COMPUTED_VALUE"""),70.0)</f>
        <v>70</v>
      </c>
      <c r="AF943" s="481"/>
      <c r="AG943" s="481"/>
      <c r="AH943" s="481"/>
      <c r="AI943" s="158"/>
      <c r="AJ943" s="158"/>
      <c r="AK943" s="133">
        <f>IFERROR(__xludf.DUMMYFUNCTION("""COMPUTED_VALUE"""),4.0)</f>
        <v>4</v>
      </c>
      <c r="AL943" s="133">
        <f>IFERROR(__xludf.DUMMYFUNCTION("""COMPUTED_VALUE"""),2.0)</f>
        <v>2</v>
      </c>
      <c r="AM943" s="133">
        <f>IFERROR(__xludf.DUMMYFUNCTION("""COMPUTED_VALUE"""),3.0)</f>
        <v>3</v>
      </c>
      <c r="AN943" s="133" t="str">
        <f>IFERROR(__xludf.DUMMYFUNCTION("""COMPUTED_VALUE"""),"3.5")</f>
        <v>3.5</v>
      </c>
      <c r="AO943" s="133">
        <f>IFERROR(__xludf.DUMMYFUNCTION("""COMPUTED_VALUE"""),3.0)</f>
        <v>3</v>
      </c>
      <c r="AP943" s="155" t="s">
        <v>3736</v>
      </c>
    </row>
    <row r="944">
      <c r="A944" s="155">
        <f>IFERROR(__xludf.DUMMYFUNCTION("""COMPUTED_VALUE"""),51.0)</f>
        <v>51</v>
      </c>
      <c r="B944" s="155" t="str">
        <f>IFERROR(__xludf.DUMMYFUNCTION("""COMPUTED_VALUE"""),"dajo23ece@cmrit.ac.in")</f>
        <v>dajo23ece@cmrit.ac.in</v>
      </c>
      <c r="C944" s="174" t="str">
        <f>IFERROR(__xludf.DUMMYFUNCTION("""COMPUTED_VALUE"""),"DANIYA MARY JOHN")</f>
        <v>DANIYA MARY JOHN</v>
      </c>
      <c r="D944" s="155" t="str">
        <f>IFERROR(__xludf.DUMMYFUNCTION("""COMPUTED_VALUE"""),"1CR23EC050")</f>
        <v>1CR23EC050</v>
      </c>
      <c r="E944" s="563">
        <f>IFERROR(__xludf.DUMMYFUNCTION("""COMPUTED_VALUE"""),9.535173412E9)</f>
        <v>9535173412</v>
      </c>
      <c r="F944" s="155" t="str">
        <f>IFERROR(__xludf.DUMMYFUNCTION("""COMPUTED_VALUE"""),"ECE")</f>
        <v>ECE</v>
      </c>
      <c r="G944" s="158"/>
      <c r="H944" s="559">
        <f>IFERROR(__xludf.DUMMYFUNCTION("""COMPUTED_VALUE"""),85.0)</f>
        <v>85</v>
      </c>
      <c r="I944" s="559">
        <f>IFERROR(__xludf.DUMMYFUNCTION("""COMPUTED_VALUE"""),85.0)</f>
        <v>85</v>
      </c>
      <c r="J944" s="559">
        <f>IFERROR(__xludf.DUMMYFUNCTION("""COMPUTED_VALUE"""),76.0)</f>
        <v>76</v>
      </c>
      <c r="K944" s="559">
        <f>IFERROR(__xludf.DUMMYFUNCTION("""COMPUTED_VALUE"""),70.0)</f>
        <v>70</v>
      </c>
      <c r="L944" s="560">
        <f>IFERROR(__xludf.DUMMYFUNCTION("""COMPUTED_VALUE"""),54.0)</f>
        <v>54</v>
      </c>
      <c r="M944" s="561">
        <f>IFERROR(__xludf.DUMMYFUNCTION("""COMPUTED_VALUE"""),19.0)</f>
        <v>19</v>
      </c>
      <c r="N944" s="561">
        <f>IFERROR(__xludf.DUMMYFUNCTION("""COMPUTED_VALUE"""),50.0)</f>
        <v>50</v>
      </c>
      <c r="O944" s="560"/>
      <c r="P944" s="562">
        <f>IFERROR(__xludf.DUMMYFUNCTION("""COMPUTED_VALUE"""),78.0)</f>
        <v>78</v>
      </c>
      <c r="Q944" s="562">
        <f>IFERROR(__xludf.DUMMYFUNCTION("""COMPUTED_VALUE"""),57.0)</f>
        <v>57</v>
      </c>
      <c r="R944" s="562">
        <f>IFERROR(__xludf.DUMMYFUNCTION("""COMPUTED_VALUE"""),95.0)</f>
        <v>95</v>
      </c>
      <c r="S944" s="562"/>
      <c r="T944" s="217">
        <f>IFERROR(__xludf.DUMMYFUNCTION("""COMPUTED_VALUE"""),23.0)</f>
        <v>23</v>
      </c>
      <c r="U944" s="217">
        <f>IFERROR(__xludf.DUMMYFUNCTION("""COMPUTED_VALUE"""),16.0)</f>
        <v>16</v>
      </c>
      <c r="V944" s="217">
        <f>IFERROR(__xludf.DUMMYFUNCTION("""COMPUTED_VALUE"""),76.0)</f>
        <v>76</v>
      </c>
      <c r="W944" s="217">
        <f>IFERROR(__xludf.DUMMYFUNCTION("""COMPUTED_VALUE"""),84.0)</f>
        <v>84</v>
      </c>
      <c r="X944" s="217">
        <f>IFERROR(__xludf.DUMMYFUNCTION("""COMPUTED_VALUE"""),70.0)</f>
        <v>70</v>
      </c>
      <c r="Y944" s="217"/>
      <c r="Z944" s="217"/>
      <c r="AA944" s="481">
        <f>IFERROR(__xludf.DUMMYFUNCTION("""COMPUTED_VALUE"""),97.0)</f>
        <v>97</v>
      </c>
      <c r="AB944" s="481">
        <f>IFERROR(__xludf.DUMMYFUNCTION("""COMPUTED_VALUE"""),100.0)</f>
        <v>100</v>
      </c>
      <c r="AC944" s="481">
        <f>IFERROR(__xludf.DUMMYFUNCTION("""COMPUTED_VALUE"""),98.0)</f>
        <v>98</v>
      </c>
      <c r="AD944" s="481"/>
      <c r="AE944" s="481">
        <f>IFERROR(__xludf.DUMMYFUNCTION("""COMPUTED_VALUE"""),53.0)</f>
        <v>53</v>
      </c>
      <c r="AF944" s="481"/>
      <c r="AG944" s="481">
        <f>IFERROR(__xludf.DUMMYFUNCTION("""COMPUTED_VALUE"""),88.0)</f>
        <v>88</v>
      </c>
      <c r="AH944" s="481"/>
      <c r="AI944" s="158"/>
      <c r="AJ944" s="158"/>
      <c r="AK944" s="133">
        <f>IFERROR(__xludf.DUMMYFUNCTION("""COMPUTED_VALUE"""),4.0)</f>
        <v>4</v>
      </c>
      <c r="AL944" s="133">
        <f>IFERROR(__xludf.DUMMYFUNCTION("""COMPUTED_VALUE"""),1.0)</f>
        <v>1</v>
      </c>
      <c r="AM944" s="133">
        <f>IFERROR(__xludf.DUMMYFUNCTION("""COMPUTED_VALUE"""),3.0)</f>
        <v>3</v>
      </c>
      <c r="AN944" s="133" t="str">
        <f>IFERROR(__xludf.DUMMYFUNCTION("""COMPUTED_VALUE"""),"3")</f>
        <v>3</v>
      </c>
      <c r="AO944" s="133">
        <f>IFERROR(__xludf.DUMMYFUNCTION("""COMPUTED_VALUE"""),3.0)</f>
        <v>3</v>
      </c>
      <c r="AP944" s="155" t="s">
        <v>3736</v>
      </c>
    </row>
    <row r="945">
      <c r="A945" s="155">
        <f>IFERROR(__xludf.DUMMYFUNCTION("""COMPUTED_VALUE"""),52.0)</f>
        <v>52</v>
      </c>
      <c r="B945" s="155" t="str">
        <f>IFERROR(__xludf.DUMMYFUNCTION("""COMPUTED_VALUE"""),"daba23ece@cmrit.ac.in")</f>
        <v>daba23ece@cmrit.ac.in</v>
      </c>
      <c r="C945" s="174" t="str">
        <f>IFERROR(__xludf.DUMMYFUNCTION("""COMPUTED_VALUE"""),"DARSHAN BARMA")</f>
        <v>DARSHAN BARMA</v>
      </c>
      <c r="D945" s="155" t="str">
        <f>IFERROR(__xludf.DUMMYFUNCTION("""COMPUTED_VALUE"""),"1CR23EC051")</f>
        <v>1CR23EC051</v>
      </c>
      <c r="E945" s="563">
        <f>IFERROR(__xludf.DUMMYFUNCTION("""COMPUTED_VALUE"""),8.971687618E9)</f>
        <v>8971687618</v>
      </c>
      <c r="F945" s="155" t="str">
        <f>IFERROR(__xludf.DUMMYFUNCTION("""COMPUTED_VALUE"""),"ECE")</f>
        <v>ECE</v>
      </c>
      <c r="G945" s="158"/>
      <c r="H945" s="559">
        <f>IFERROR(__xludf.DUMMYFUNCTION("""COMPUTED_VALUE"""),82.0)</f>
        <v>82</v>
      </c>
      <c r="I945" s="559">
        <f>IFERROR(__xludf.DUMMYFUNCTION("""COMPUTED_VALUE"""),81.0)</f>
        <v>81</v>
      </c>
      <c r="J945" s="559">
        <f>IFERROR(__xludf.DUMMYFUNCTION("""COMPUTED_VALUE"""),62.0)</f>
        <v>62</v>
      </c>
      <c r="K945" s="559">
        <f>IFERROR(__xludf.DUMMYFUNCTION("""COMPUTED_VALUE"""),70.0)</f>
        <v>70</v>
      </c>
      <c r="L945" s="560">
        <f>IFERROR(__xludf.DUMMYFUNCTION("""COMPUTED_VALUE"""),48.0)</f>
        <v>48</v>
      </c>
      <c r="M945" s="561">
        <f>IFERROR(__xludf.DUMMYFUNCTION("""COMPUTED_VALUE"""),20.0)</f>
        <v>20</v>
      </c>
      <c r="N945" s="561">
        <f>IFERROR(__xludf.DUMMYFUNCTION("""COMPUTED_VALUE"""),0.0)</f>
        <v>0</v>
      </c>
      <c r="O945" s="560"/>
      <c r="P945" s="562">
        <f>IFERROR(__xludf.DUMMYFUNCTION("""COMPUTED_VALUE"""),50.0)</f>
        <v>50</v>
      </c>
      <c r="Q945" s="562">
        <f>IFERROR(__xludf.DUMMYFUNCTION("""COMPUTED_VALUE"""),50.0)</f>
        <v>50</v>
      </c>
      <c r="R945" s="562">
        <f>IFERROR(__xludf.DUMMYFUNCTION("""COMPUTED_VALUE"""),50.0)</f>
        <v>50</v>
      </c>
      <c r="S945" s="562"/>
      <c r="T945" s="217">
        <f>IFERROR(__xludf.DUMMYFUNCTION("""COMPUTED_VALUE"""),17.0)</f>
        <v>17</v>
      </c>
      <c r="U945" s="217">
        <f>IFERROR(__xludf.DUMMYFUNCTION("""COMPUTED_VALUE"""),20.0)</f>
        <v>20</v>
      </c>
      <c r="V945" s="217">
        <f>IFERROR(__xludf.DUMMYFUNCTION("""COMPUTED_VALUE"""),54.0)</f>
        <v>54</v>
      </c>
      <c r="W945" s="217">
        <f>IFERROR(__xludf.DUMMYFUNCTION("""COMPUTED_VALUE"""),64.0)</f>
        <v>64</v>
      </c>
      <c r="X945" s="217">
        <f>IFERROR(__xludf.DUMMYFUNCTION("""COMPUTED_VALUE"""),72.0)</f>
        <v>72</v>
      </c>
      <c r="Y945" s="217"/>
      <c r="Z945" s="217"/>
      <c r="AA945" s="481">
        <f>IFERROR(__xludf.DUMMYFUNCTION("""COMPUTED_VALUE"""),100.0)</f>
        <v>100</v>
      </c>
      <c r="AB945" s="481">
        <f>IFERROR(__xludf.DUMMYFUNCTION("""COMPUTED_VALUE"""),100.0)</f>
        <v>100</v>
      </c>
      <c r="AC945" s="481">
        <f>IFERROR(__xludf.DUMMYFUNCTION("""COMPUTED_VALUE"""),93.0)</f>
        <v>93</v>
      </c>
      <c r="AD945" s="481"/>
      <c r="AE945" s="481">
        <f>IFERROR(__xludf.DUMMYFUNCTION("""COMPUTED_VALUE"""),30.0)</f>
        <v>30</v>
      </c>
      <c r="AF945" s="481"/>
      <c r="AG945" s="481"/>
      <c r="AH945" s="481"/>
      <c r="AI945" s="158"/>
      <c r="AJ945" s="158"/>
      <c r="AK945" s="133">
        <f>IFERROR(__xludf.DUMMYFUNCTION("""COMPUTED_VALUE"""),2.0)</f>
        <v>2</v>
      </c>
      <c r="AL945" s="133">
        <f>IFERROR(__xludf.DUMMYFUNCTION("""COMPUTED_VALUE"""),0.0)</f>
        <v>0</v>
      </c>
      <c r="AM945" s="133">
        <f>IFERROR(__xludf.DUMMYFUNCTION("""COMPUTED_VALUE"""),3.0)</f>
        <v>3</v>
      </c>
      <c r="AN945" s="133" t="str">
        <f>IFERROR(__xludf.DUMMYFUNCTION("""COMPUTED_VALUE"""),"3")</f>
        <v>3</v>
      </c>
      <c r="AO945" s="133">
        <f>IFERROR(__xludf.DUMMYFUNCTION("""COMPUTED_VALUE"""),3.0)</f>
        <v>3</v>
      </c>
      <c r="AP945" s="155" t="s">
        <v>3736</v>
      </c>
    </row>
    <row r="946">
      <c r="A946" s="155">
        <f>IFERROR(__xludf.DUMMYFUNCTION("""COMPUTED_VALUE"""),53.0)</f>
        <v>53</v>
      </c>
      <c r="B946" s="155" t="str">
        <f>IFERROR(__xludf.DUMMYFUNCTION("""COMPUTED_VALUE"""),"deng23ece@cmrit.ac.in")</f>
        <v>deng23ece@cmrit.ac.in</v>
      </c>
      <c r="C946" s="174" t="str">
        <f>IFERROR(__xludf.DUMMYFUNCTION("""COMPUTED_VALUE"""),"Deeksha N G")</f>
        <v>Deeksha N G</v>
      </c>
      <c r="D946" s="155" t="str">
        <f>IFERROR(__xludf.DUMMYFUNCTION("""COMPUTED_VALUE"""),"1CR23EC052")</f>
        <v>1CR23EC052</v>
      </c>
      <c r="E946" s="563">
        <f>IFERROR(__xludf.DUMMYFUNCTION("""COMPUTED_VALUE"""),9.48220105E9)</f>
        <v>9482201050</v>
      </c>
      <c r="F946" s="155" t="str">
        <f>IFERROR(__xludf.DUMMYFUNCTION("""COMPUTED_VALUE"""),"ECE")</f>
        <v>ECE</v>
      </c>
      <c r="G946" s="158"/>
      <c r="H946" s="559">
        <f>IFERROR(__xludf.DUMMYFUNCTION("""COMPUTED_VALUE"""),79.0)</f>
        <v>79</v>
      </c>
      <c r="I946" s="559">
        <f>IFERROR(__xludf.DUMMYFUNCTION("""COMPUTED_VALUE"""),89.0)</f>
        <v>89</v>
      </c>
      <c r="J946" s="559">
        <f>IFERROR(__xludf.DUMMYFUNCTION("""COMPUTED_VALUE"""),71.0)</f>
        <v>71</v>
      </c>
      <c r="K946" s="559">
        <f>IFERROR(__xludf.DUMMYFUNCTION("""COMPUTED_VALUE"""),72.0)</f>
        <v>72</v>
      </c>
      <c r="L946" s="560">
        <f>IFERROR(__xludf.DUMMYFUNCTION("""COMPUTED_VALUE"""),50.0)</f>
        <v>50</v>
      </c>
      <c r="M946" s="561">
        <f>IFERROR(__xludf.DUMMYFUNCTION("""COMPUTED_VALUE"""),50.0)</f>
        <v>50</v>
      </c>
      <c r="N946" s="561">
        <f>IFERROR(__xludf.DUMMYFUNCTION("""COMPUTED_VALUE"""),50.0)</f>
        <v>50</v>
      </c>
      <c r="O946" s="560"/>
      <c r="P946" s="562">
        <f>IFERROR(__xludf.DUMMYFUNCTION("""COMPUTED_VALUE"""),50.0)</f>
        <v>50</v>
      </c>
      <c r="Q946" s="562">
        <f>IFERROR(__xludf.DUMMYFUNCTION("""COMPUTED_VALUE"""),57.0)</f>
        <v>57</v>
      </c>
      <c r="R946" s="562">
        <f>IFERROR(__xludf.DUMMYFUNCTION("""COMPUTED_VALUE"""),69.0)</f>
        <v>69</v>
      </c>
      <c r="S946" s="562"/>
      <c r="T946" s="217">
        <f>IFERROR(__xludf.DUMMYFUNCTION("""COMPUTED_VALUE"""),21.0)</f>
        <v>21</v>
      </c>
      <c r="U946" s="217">
        <f>IFERROR(__xludf.DUMMYFUNCTION("""COMPUTED_VALUE"""),20.0)</f>
        <v>20</v>
      </c>
      <c r="V946" s="217">
        <f>IFERROR(__xludf.DUMMYFUNCTION("""COMPUTED_VALUE"""),64.0)</f>
        <v>64</v>
      </c>
      <c r="W946" s="217">
        <f>IFERROR(__xludf.DUMMYFUNCTION("""COMPUTED_VALUE"""),86.0)</f>
        <v>86</v>
      </c>
      <c r="X946" s="217">
        <f>IFERROR(__xludf.DUMMYFUNCTION("""COMPUTED_VALUE"""),70.0)</f>
        <v>70</v>
      </c>
      <c r="Y946" s="217"/>
      <c r="Z946" s="217"/>
      <c r="AA946" s="481">
        <f>IFERROR(__xludf.DUMMYFUNCTION("""COMPUTED_VALUE"""),94.0)</f>
        <v>94</v>
      </c>
      <c r="AB946" s="481">
        <f>IFERROR(__xludf.DUMMYFUNCTION("""COMPUTED_VALUE"""),100.0)</f>
        <v>100</v>
      </c>
      <c r="AC946" s="481">
        <f>IFERROR(__xludf.DUMMYFUNCTION("""COMPUTED_VALUE"""),83.0)</f>
        <v>83</v>
      </c>
      <c r="AD946" s="481"/>
      <c r="AE946" s="481">
        <f>IFERROR(__xludf.DUMMYFUNCTION("""COMPUTED_VALUE"""),40.0)</f>
        <v>40</v>
      </c>
      <c r="AF946" s="481"/>
      <c r="AG946" s="481">
        <f>IFERROR(__xludf.DUMMYFUNCTION("""COMPUTED_VALUE"""),87.0)</f>
        <v>87</v>
      </c>
      <c r="AH946" s="481"/>
      <c r="AI946" s="158"/>
      <c r="AJ946" s="158"/>
      <c r="AK946" s="133">
        <f>IFERROR(__xludf.DUMMYFUNCTION("""COMPUTED_VALUE"""),4.0)</f>
        <v>4</v>
      </c>
      <c r="AL946" s="133">
        <f>IFERROR(__xludf.DUMMYFUNCTION("""COMPUTED_VALUE"""),3.0)</f>
        <v>3</v>
      </c>
      <c r="AM946" s="133">
        <f>IFERROR(__xludf.DUMMYFUNCTION("""COMPUTED_VALUE"""),3.0)</f>
        <v>3</v>
      </c>
      <c r="AN946" s="133" t="str">
        <f>IFERROR(__xludf.DUMMYFUNCTION("""COMPUTED_VALUE"""),"3")</f>
        <v>3</v>
      </c>
      <c r="AO946" s="133">
        <f>IFERROR(__xludf.DUMMYFUNCTION("""COMPUTED_VALUE"""),3.0)</f>
        <v>3</v>
      </c>
      <c r="AP946" s="155" t="s">
        <v>3736</v>
      </c>
    </row>
    <row r="947">
      <c r="A947" s="155">
        <f>IFERROR(__xludf.DUMMYFUNCTION("""COMPUTED_VALUE"""),54.0)</f>
        <v>54</v>
      </c>
      <c r="B947" s="155" t="str">
        <f>IFERROR(__xludf.DUMMYFUNCTION("""COMPUTED_VALUE"""),"demo23ece@cmrit.ac.in")</f>
        <v>demo23ece@cmrit.ac.in</v>
      </c>
      <c r="C947" s="174" t="str">
        <f>IFERROR(__xludf.DUMMYFUNCTION("""COMPUTED_VALUE"""),"Devanshi Mohan")</f>
        <v>Devanshi Mohan</v>
      </c>
      <c r="D947" s="155" t="str">
        <f>IFERROR(__xludf.DUMMYFUNCTION("""COMPUTED_VALUE"""),"1CR23EC053")</f>
        <v>1CR23EC053</v>
      </c>
      <c r="E947" s="563">
        <f>IFERROR(__xludf.DUMMYFUNCTION("""COMPUTED_VALUE"""),9.919191707E9)</f>
        <v>9919191707</v>
      </c>
      <c r="F947" s="155" t="str">
        <f>IFERROR(__xludf.DUMMYFUNCTION("""COMPUTED_VALUE"""),"ECE")</f>
        <v>ECE</v>
      </c>
      <c r="G947" s="158"/>
      <c r="H947" s="559">
        <f>IFERROR(__xludf.DUMMYFUNCTION("""COMPUTED_VALUE"""),91.0)</f>
        <v>91</v>
      </c>
      <c r="I947" s="559">
        <f>IFERROR(__xludf.DUMMYFUNCTION("""COMPUTED_VALUE"""),91.0)</f>
        <v>91</v>
      </c>
      <c r="J947" s="559">
        <f>IFERROR(__xludf.DUMMYFUNCTION("""COMPUTED_VALUE"""),87.0)</f>
        <v>87</v>
      </c>
      <c r="K947" s="559">
        <f>IFERROR(__xludf.DUMMYFUNCTION("""COMPUTED_VALUE"""),72.0)</f>
        <v>72</v>
      </c>
      <c r="L947" s="560">
        <f>IFERROR(__xludf.DUMMYFUNCTION("""COMPUTED_VALUE"""),70.0)</f>
        <v>70</v>
      </c>
      <c r="M947" s="561">
        <f>IFERROR(__xludf.DUMMYFUNCTION("""COMPUTED_VALUE"""),50.0)</f>
        <v>50</v>
      </c>
      <c r="N947" s="561">
        <f>IFERROR(__xludf.DUMMYFUNCTION("""COMPUTED_VALUE"""),58.0)</f>
        <v>58</v>
      </c>
      <c r="O947" s="560"/>
      <c r="P947" s="562">
        <f>IFERROR(__xludf.DUMMYFUNCTION("""COMPUTED_VALUE"""),70.0)</f>
        <v>70</v>
      </c>
      <c r="Q947" s="562">
        <f>IFERROR(__xludf.DUMMYFUNCTION("""COMPUTED_VALUE"""),50.0)</f>
        <v>50</v>
      </c>
      <c r="R947" s="562">
        <f>IFERROR(__xludf.DUMMYFUNCTION("""COMPUTED_VALUE"""),91.0)</f>
        <v>91</v>
      </c>
      <c r="S947" s="562"/>
      <c r="T947" s="217">
        <f>IFERROR(__xludf.DUMMYFUNCTION("""COMPUTED_VALUE"""),20.0)</f>
        <v>20</v>
      </c>
      <c r="U947" s="217">
        <f>IFERROR(__xludf.DUMMYFUNCTION("""COMPUTED_VALUE"""),21.0)</f>
        <v>21</v>
      </c>
      <c r="V947" s="217">
        <f>IFERROR(__xludf.DUMMYFUNCTION("""COMPUTED_VALUE"""),42.0)</f>
        <v>42</v>
      </c>
      <c r="W947" s="217">
        <f>IFERROR(__xludf.DUMMYFUNCTION("""COMPUTED_VALUE"""),86.0)</f>
        <v>86</v>
      </c>
      <c r="X947" s="217">
        <f>IFERROR(__xludf.DUMMYFUNCTION("""COMPUTED_VALUE"""),74.0)</f>
        <v>74</v>
      </c>
      <c r="Y947" s="217"/>
      <c r="Z947" s="217"/>
      <c r="AA947" s="481">
        <f>IFERROR(__xludf.DUMMYFUNCTION("""COMPUTED_VALUE"""),68.0)</f>
        <v>68</v>
      </c>
      <c r="AB947" s="481">
        <f>IFERROR(__xludf.DUMMYFUNCTION("""COMPUTED_VALUE"""),100.0)</f>
        <v>100</v>
      </c>
      <c r="AC947" s="481">
        <f>IFERROR(__xludf.DUMMYFUNCTION("""COMPUTED_VALUE"""),83.0)</f>
        <v>83</v>
      </c>
      <c r="AD947" s="481"/>
      <c r="AE947" s="481">
        <f>IFERROR(__xludf.DUMMYFUNCTION("""COMPUTED_VALUE"""),70.0)</f>
        <v>70</v>
      </c>
      <c r="AF947" s="481"/>
      <c r="AG947" s="481">
        <f>IFERROR(__xludf.DUMMYFUNCTION("""COMPUTED_VALUE"""),70.0)</f>
        <v>70</v>
      </c>
      <c r="AH947" s="481"/>
      <c r="AI947" s="158"/>
      <c r="AJ947" s="158"/>
      <c r="AK947" s="133">
        <f>IFERROR(__xludf.DUMMYFUNCTION("""COMPUTED_VALUE"""),4.0)</f>
        <v>4</v>
      </c>
      <c r="AL947" s="133">
        <f>IFERROR(__xludf.DUMMYFUNCTION("""COMPUTED_VALUE"""),3.0)</f>
        <v>3</v>
      </c>
      <c r="AM947" s="133">
        <f>IFERROR(__xludf.DUMMYFUNCTION("""COMPUTED_VALUE"""),3.0)</f>
        <v>3</v>
      </c>
      <c r="AN947" s="133" t="str">
        <f>IFERROR(__xludf.DUMMYFUNCTION("""COMPUTED_VALUE"""),"3.5")</f>
        <v>3.5</v>
      </c>
      <c r="AO947" s="133">
        <f>IFERROR(__xludf.DUMMYFUNCTION("""COMPUTED_VALUE"""),3.0)</f>
        <v>3</v>
      </c>
      <c r="AP947" s="155" t="s">
        <v>3736</v>
      </c>
    </row>
    <row r="948">
      <c r="A948" s="155">
        <f>IFERROR(__xludf.DUMMYFUNCTION("""COMPUTED_VALUE"""),55.0)</f>
        <v>55</v>
      </c>
      <c r="B948" s="155" t="str">
        <f>IFERROR(__xludf.DUMMYFUNCTION("""COMPUTED_VALUE"""),"dude23ece@cmrit.ac.in")</f>
        <v>dude23ece@cmrit.ac.in</v>
      </c>
      <c r="C948" s="174" t="str">
        <f>IFERROR(__xludf.DUMMYFUNCTION("""COMPUTED_VALUE"""),"DURGADEEPIKA.M")</f>
        <v>DURGADEEPIKA.M</v>
      </c>
      <c r="D948" s="155" t="str">
        <f>IFERROR(__xludf.DUMMYFUNCTION("""COMPUTED_VALUE"""),"1CR23EC055")</f>
        <v>1CR23EC055</v>
      </c>
      <c r="E948" s="563">
        <f>IFERROR(__xludf.DUMMYFUNCTION("""COMPUTED_VALUE"""),9.902104544E9)</f>
        <v>9902104544</v>
      </c>
      <c r="F948" s="155" t="str">
        <f>IFERROR(__xludf.DUMMYFUNCTION("""COMPUTED_VALUE"""),"ECE")</f>
        <v>ECE</v>
      </c>
      <c r="G948" s="158"/>
      <c r="H948" s="559">
        <f>IFERROR(__xludf.DUMMYFUNCTION("""COMPUTED_VALUE"""),76.0)</f>
        <v>76</v>
      </c>
      <c r="I948" s="559">
        <f>IFERROR(__xludf.DUMMYFUNCTION("""COMPUTED_VALUE"""),73.0)</f>
        <v>73</v>
      </c>
      <c r="J948" s="559">
        <f>IFERROR(__xludf.DUMMYFUNCTION("""COMPUTED_VALUE"""),67.0)</f>
        <v>67</v>
      </c>
      <c r="K948" s="559">
        <f>IFERROR(__xludf.DUMMYFUNCTION("""COMPUTED_VALUE"""),70.0)</f>
        <v>70</v>
      </c>
      <c r="L948" s="560">
        <f>IFERROR(__xludf.DUMMYFUNCTION("""COMPUTED_VALUE"""),31.0)</f>
        <v>31</v>
      </c>
      <c r="M948" s="561">
        <f>IFERROR(__xludf.DUMMYFUNCTION("""COMPUTED_VALUE"""),50.0)</f>
        <v>50</v>
      </c>
      <c r="N948" s="561">
        <f>IFERROR(__xludf.DUMMYFUNCTION("""COMPUTED_VALUE"""),50.0)</f>
        <v>50</v>
      </c>
      <c r="O948" s="560"/>
      <c r="P948" s="562">
        <f>IFERROR(__xludf.DUMMYFUNCTION("""COMPUTED_VALUE"""),0.0)</f>
        <v>0</v>
      </c>
      <c r="Q948" s="562">
        <f>IFERROR(__xludf.DUMMYFUNCTION("""COMPUTED_VALUE"""),57.0)</f>
        <v>57</v>
      </c>
      <c r="R948" s="562">
        <f>IFERROR(__xludf.DUMMYFUNCTION("""COMPUTED_VALUE"""),34.0)</f>
        <v>34</v>
      </c>
      <c r="S948" s="562"/>
      <c r="T948" s="217">
        <f>IFERROR(__xludf.DUMMYFUNCTION("""COMPUTED_VALUE"""),11.0)</f>
        <v>11</v>
      </c>
      <c r="U948" s="217">
        <f>IFERROR(__xludf.DUMMYFUNCTION("""COMPUTED_VALUE"""),17.0)</f>
        <v>17</v>
      </c>
      <c r="V948" s="217">
        <f>IFERROR(__xludf.DUMMYFUNCTION("""COMPUTED_VALUE"""),42.0)</f>
        <v>42</v>
      </c>
      <c r="W948" s="217">
        <f>IFERROR(__xludf.DUMMYFUNCTION("""COMPUTED_VALUE"""),78.0)</f>
        <v>78</v>
      </c>
      <c r="X948" s="217">
        <f>IFERROR(__xludf.DUMMYFUNCTION("""COMPUTED_VALUE"""),76.0)</f>
        <v>76</v>
      </c>
      <c r="Y948" s="217"/>
      <c r="Z948" s="217"/>
      <c r="AA948" s="481">
        <f>IFERROR(__xludf.DUMMYFUNCTION("""COMPUTED_VALUE"""),0.0)</f>
        <v>0</v>
      </c>
      <c r="AB948" s="481">
        <f>IFERROR(__xludf.DUMMYFUNCTION("""COMPUTED_VALUE"""),77.0)</f>
        <v>77</v>
      </c>
      <c r="AC948" s="481">
        <f>IFERROR(__xludf.DUMMYFUNCTION("""COMPUTED_VALUE"""),0.0)</f>
        <v>0</v>
      </c>
      <c r="AD948" s="481"/>
      <c r="AE948" s="481">
        <f>IFERROR(__xludf.DUMMYFUNCTION("""COMPUTED_VALUE"""),10.0)</f>
        <v>10</v>
      </c>
      <c r="AF948" s="481"/>
      <c r="AG948" s="481"/>
      <c r="AH948" s="481">
        <f>IFERROR(__xludf.DUMMYFUNCTION("""COMPUTED_VALUE"""),85.0)</f>
        <v>85</v>
      </c>
      <c r="AI948" s="158"/>
      <c r="AJ948" s="158"/>
      <c r="AK948" s="133">
        <f>IFERROR(__xludf.DUMMYFUNCTION("""COMPUTED_VALUE"""),2.0)</f>
        <v>2</v>
      </c>
      <c r="AL948" s="133">
        <f>IFERROR(__xludf.DUMMYFUNCTION("""COMPUTED_VALUE"""),0.0)</f>
        <v>0</v>
      </c>
      <c r="AM948" s="133">
        <f>IFERROR(__xludf.DUMMYFUNCTION("""COMPUTED_VALUE"""),3.0)</f>
        <v>3</v>
      </c>
      <c r="AN948" s="133" t="str">
        <f>IFERROR(__xludf.DUMMYFUNCTION("""COMPUTED_VALUE"""),"2")</f>
        <v>2</v>
      </c>
      <c r="AO948" s="133">
        <f>IFERROR(__xludf.DUMMYFUNCTION("""COMPUTED_VALUE"""),0.0)</f>
        <v>0</v>
      </c>
      <c r="AP948" s="155" t="s">
        <v>3736</v>
      </c>
    </row>
    <row r="949">
      <c r="A949" s="155">
        <f>IFERROR(__xludf.DUMMYFUNCTION("""COMPUTED_VALUE"""),56.0)</f>
        <v>56</v>
      </c>
      <c r="B949" s="155" t="str">
        <f>IFERROR(__xludf.DUMMYFUNCTION("""COMPUTED_VALUE"""),"faah23ece@cmrit.ac.in")</f>
        <v>faah23ece@cmrit.ac.in</v>
      </c>
      <c r="C949" s="174" t="str">
        <f>IFERROR(__xludf.DUMMYFUNCTION("""COMPUTED_VALUE"""),"FAIZAN AHMAD")</f>
        <v>FAIZAN AHMAD</v>
      </c>
      <c r="D949" s="155" t="str">
        <f>IFERROR(__xludf.DUMMYFUNCTION("""COMPUTED_VALUE"""),"1CR23EC056")</f>
        <v>1CR23EC056</v>
      </c>
      <c r="E949" s="563">
        <f>IFERROR(__xludf.DUMMYFUNCTION("""COMPUTED_VALUE"""),7.619417199E9)</f>
        <v>7619417199</v>
      </c>
      <c r="F949" s="155" t="str">
        <f>IFERROR(__xludf.DUMMYFUNCTION("""COMPUTED_VALUE"""),"ECE")</f>
        <v>ECE</v>
      </c>
      <c r="G949" s="158"/>
      <c r="H949" s="559">
        <f>IFERROR(__xludf.DUMMYFUNCTION("""COMPUTED_VALUE"""),87.0)</f>
        <v>87</v>
      </c>
      <c r="I949" s="559">
        <f>IFERROR(__xludf.DUMMYFUNCTION("""COMPUTED_VALUE"""),88.0)</f>
        <v>88</v>
      </c>
      <c r="J949" s="559">
        <f>IFERROR(__xludf.DUMMYFUNCTION("""COMPUTED_VALUE"""),43.0)</f>
        <v>43</v>
      </c>
      <c r="K949" s="559">
        <f>IFERROR(__xludf.DUMMYFUNCTION("""COMPUTED_VALUE"""),14.0)</f>
        <v>14</v>
      </c>
      <c r="L949" s="560">
        <f>IFERROR(__xludf.DUMMYFUNCTION("""COMPUTED_VALUE"""),50.0)</f>
        <v>50</v>
      </c>
      <c r="M949" s="561">
        <f>IFERROR(__xludf.DUMMYFUNCTION("""COMPUTED_VALUE"""),50.0)</f>
        <v>50</v>
      </c>
      <c r="N949" s="561">
        <f>IFERROR(__xludf.DUMMYFUNCTION("""COMPUTED_VALUE"""),0.0)</f>
        <v>0</v>
      </c>
      <c r="O949" s="560"/>
      <c r="P949" s="562">
        <f>IFERROR(__xludf.DUMMYFUNCTION("""COMPUTED_VALUE"""),0.0)</f>
        <v>0</v>
      </c>
      <c r="Q949" s="562">
        <f>IFERROR(__xludf.DUMMYFUNCTION("""COMPUTED_VALUE"""),0.0)</f>
        <v>0</v>
      </c>
      <c r="R949" s="562">
        <f>IFERROR(__xludf.DUMMYFUNCTION("""COMPUTED_VALUE"""),0.0)</f>
        <v>0</v>
      </c>
      <c r="S949" s="562"/>
      <c r="T949" s="217">
        <f>IFERROR(__xludf.DUMMYFUNCTION("""COMPUTED_VALUE"""),21.0)</f>
        <v>21</v>
      </c>
      <c r="U949" s="217">
        <f>IFERROR(__xludf.DUMMYFUNCTION("""COMPUTED_VALUE"""),14.0)</f>
        <v>14</v>
      </c>
      <c r="V949" s="217">
        <f>IFERROR(__xludf.DUMMYFUNCTION("""COMPUTED_VALUE"""),50.0)</f>
        <v>50</v>
      </c>
      <c r="W949" s="217">
        <f>IFERROR(__xludf.DUMMYFUNCTION("""COMPUTED_VALUE"""),76.0)</f>
        <v>76</v>
      </c>
      <c r="X949" s="217">
        <f>IFERROR(__xludf.DUMMYFUNCTION("""COMPUTED_VALUE"""),80.0)</f>
        <v>80</v>
      </c>
      <c r="Y949" s="217"/>
      <c r="Z949" s="217"/>
      <c r="AA949" s="481">
        <f>IFERROR(__xludf.DUMMYFUNCTION("""COMPUTED_VALUE"""),3.0)</f>
        <v>3</v>
      </c>
      <c r="AB949" s="481">
        <f>IFERROR(__xludf.DUMMYFUNCTION("""COMPUTED_VALUE"""),45.0)</f>
        <v>45</v>
      </c>
      <c r="AC949" s="481">
        <f>IFERROR(__xludf.DUMMYFUNCTION("""COMPUTED_VALUE"""),23.0)</f>
        <v>23</v>
      </c>
      <c r="AD949" s="481"/>
      <c r="AE949" s="481">
        <f>IFERROR(__xludf.DUMMYFUNCTION("""COMPUTED_VALUE"""),10.0)</f>
        <v>10</v>
      </c>
      <c r="AF949" s="481"/>
      <c r="AG949" s="481"/>
      <c r="AH949" s="481">
        <f>IFERROR(__xludf.DUMMYFUNCTION("""COMPUTED_VALUE"""),0.0)</f>
        <v>0</v>
      </c>
      <c r="AI949" s="158"/>
      <c r="AJ949" s="158"/>
      <c r="AK949" s="133">
        <f>IFERROR(__xludf.DUMMYFUNCTION("""COMPUTED_VALUE"""),2.0)</f>
        <v>2</v>
      </c>
      <c r="AL949" s="133">
        <f>IFERROR(__xludf.DUMMYFUNCTION("""COMPUTED_VALUE"""),2.0)</f>
        <v>2</v>
      </c>
      <c r="AM949" s="133">
        <f>IFERROR(__xludf.DUMMYFUNCTION("""COMPUTED_VALUE"""),3.0)</f>
        <v>3</v>
      </c>
      <c r="AN949" s="133" t="str">
        <f>IFERROR(__xludf.DUMMYFUNCTION("""COMPUTED_VALUE"""),"0")</f>
        <v>0</v>
      </c>
      <c r="AO949" s="133">
        <f>IFERROR(__xludf.DUMMYFUNCTION("""COMPUTED_VALUE"""),0.0)</f>
        <v>0</v>
      </c>
      <c r="AP949" s="155" t="s">
        <v>3736</v>
      </c>
    </row>
    <row r="950">
      <c r="A950" s="155">
        <f>IFERROR(__xludf.DUMMYFUNCTION("""COMPUTED_VALUE"""),57.0)</f>
        <v>57</v>
      </c>
      <c r="B950" s="155" t="str">
        <f>IFERROR(__xludf.DUMMYFUNCTION("""COMPUTED_VALUE"""),"faas23ece@cmrit.ac.in")</f>
        <v>faas23ece@cmrit.ac.in</v>
      </c>
      <c r="C950" s="174" t="str">
        <f>IFERROR(__xludf.DUMMYFUNCTION("""COMPUTED_VALUE"""),"FALAK ASHISH MEHTA")</f>
        <v>FALAK ASHISH MEHTA</v>
      </c>
      <c r="D950" s="155" t="str">
        <f>IFERROR(__xludf.DUMMYFUNCTION("""COMPUTED_VALUE"""),"1CR23EC057")</f>
        <v>1CR23EC057</v>
      </c>
      <c r="E950" s="563">
        <f>IFERROR(__xludf.DUMMYFUNCTION("""COMPUTED_VALUE"""),8.310506103E9)</f>
        <v>8310506103</v>
      </c>
      <c r="F950" s="155" t="str">
        <f>IFERROR(__xludf.DUMMYFUNCTION("""COMPUTED_VALUE"""),"ECE")</f>
        <v>ECE</v>
      </c>
      <c r="G950" s="158"/>
      <c r="H950" s="559">
        <f>IFERROR(__xludf.DUMMYFUNCTION("""COMPUTED_VALUE"""),87.0)</f>
        <v>87</v>
      </c>
      <c r="I950" s="559">
        <f>IFERROR(__xludf.DUMMYFUNCTION("""COMPUTED_VALUE"""),80.0)</f>
        <v>80</v>
      </c>
      <c r="J950" s="559">
        <f>IFERROR(__xludf.DUMMYFUNCTION("""COMPUTED_VALUE"""),70.0)</f>
        <v>70</v>
      </c>
      <c r="K950" s="559">
        <f>IFERROR(__xludf.DUMMYFUNCTION("""COMPUTED_VALUE"""),77.0)</f>
        <v>77</v>
      </c>
      <c r="L950" s="560">
        <f>IFERROR(__xludf.DUMMYFUNCTION("""COMPUTED_VALUE"""),50.0)</f>
        <v>50</v>
      </c>
      <c r="M950" s="561">
        <f>IFERROR(__xludf.DUMMYFUNCTION("""COMPUTED_VALUE"""),6.0)</f>
        <v>6</v>
      </c>
      <c r="N950" s="561">
        <f>IFERROR(__xludf.DUMMYFUNCTION("""COMPUTED_VALUE"""),15.0)</f>
        <v>15</v>
      </c>
      <c r="O950" s="560"/>
      <c r="P950" s="562">
        <f>IFERROR(__xludf.DUMMYFUNCTION("""COMPUTED_VALUE"""),79.0)</f>
        <v>79</v>
      </c>
      <c r="Q950" s="562">
        <f>IFERROR(__xludf.DUMMYFUNCTION("""COMPUTED_VALUE"""),73.0)</f>
        <v>73</v>
      </c>
      <c r="R950" s="562">
        <f>IFERROR(__xludf.DUMMYFUNCTION("""COMPUTED_VALUE"""),86.0)</f>
        <v>86</v>
      </c>
      <c r="S950" s="562"/>
      <c r="T950" s="217">
        <f>IFERROR(__xludf.DUMMYFUNCTION("""COMPUTED_VALUE"""),10.0)</f>
        <v>10</v>
      </c>
      <c r="U950" s="217">
        <f>IFERROR(__xludf.DUMMYFUNCTION("""COMPUTED_VALUE"""),21.0)</f>
        <v>21</v>
      </c>
      <c r="V950" s="217">
        <f>IFERROR(__xludf.DUMMYFUNCTION("""COMPUTED_VALUE"""),56.0)</f>
        <v>56</v>
      </c>
      <c r="W950" s="217">
        <f>IFERROR(__xludf.DUMMYFUNCTION("""COMPUTED_VALUE"""),86.0)</f>
        <v>86</v>
      </c>
      <c r="X950" s="217"/>
      <c r="Y950" s="217"/>
      <c r="Z950" s="217"/>
      <c r="AA950" s="481">
        <f>IFERROR(__xludf.DUMMYFUNCTION("""COMPUTED_VALUE"""),50.0)</f>
        <v>50</v>
      </c>
      <c r="AB950" s="481">
        <f>IFERROR(__xludf.DUMMYFUNCTION("""COMPUTED_VALUE"""),81.0)</f>
        <v>81</v>
      </c>
      <c r="AC950" s="481">
        <f>IFERROR(__xludf.DUMMYFUNCTION("""COMPUTED_VALUE"""),70.0)</f>
        <v>70</v>
      </c>
      <c r="AD950" s="481"/>
      <c r="AE950" s="481">
        <f>IFERROR(__xludf.DUMMYFUNCTION("""COMPUTED_VALUE"""),55.0)</f>
        <v>55</v>
      </c>
      <c r="AF950" s="481"/>
      <c r="AG950" s="481"/>
      <c r="AH950" s="481"/>
      <c r="AI950" s="158"/>
      <c r="AJ950" s="158"/>
      <c r="AK950" s="133">
        <f>IFERROR(__xludf.DUMMYFUNCTION("""COMPUTED_VALUE"""),4.0)</f>
        <v>4</v>
      </c>
      <c r="AL950" s="133">
        <f>IFERROR(__xludf.DUMMYFUNCTION("""COMPUTED_VALUE"""),1.0)</f>
        <v>1</v>
      </c>
      <c r="AM950" s="133">
        <f>IFERROR(__xludf.DUMMYFUNCTION("""COMPUTED_VALUE"""),3.0)</f>
        <v>3</v>
      </c>
      <c r="AN950" s="133" t="str">
        <f>IFERROR(__xludf.DUMMYFUNCTION("""COMPUTED_VALUE"""),"3")</f>
        <v>3</v>
      </c>
      <c r="AO950" s="133">
        <f>IFERROR(__xludf.DUMMYFUNCTION("""COMPUTED_VALUE"""),3.0)</f>
        <v>3</v>
      </c>
      <c r="AP950" s="155" t="s">
        <v>3736</v>
      </c>
    </row>
    <row r="951">
      <c r="A951" s="155">
        <f>IFERROR(__xludf.DUMMYFUNCTION("""COMPUTED_VALUE"""),58.0)</f>
        <v>58</v>
      </c>
      <c r="B951" s="155" t="str">
        <f>IFERROR(__xludf.DUMMYFUNCTION("""COMPUTED_VALUE"""),"gmsa23ece@cmrit.ac.in")</f>
        <v>gmsa23ece@cmrit.ac.in</v>
      </c>
      <c r="C951" s="174" t="str">
        <f>IFERROR(__xludf.DUMMYFUNCTION("""COMPUTED_VALUE"""),"G M Sanjay")</f>
        <v>G M Sanjay</v>
      </c>
      <c r="D951" s="155" t="str">
        <f>IFERROR(__xludf.DUMMYFUNCTION("""COMPUTED_VALUE"""),"1CR23EC058")</f>
        <v>1CR23EC058</v>
      </c>
      <c r="E951" s="563">
        <f>IFERROR(__xludf.DUMMYFUNCTION("""COMPUTED_VALUE"""),7.777800999E9)</f>
        <v>7777800999</v>
      </c>
      <c r="F951" s="155" t="str">
        <f>IFERROR(__xludf.DUMMYFUNCTION("""COMPUTED_VALUE"""),"ECE")</f>
        <v>ECE</v>
      </c>
      <c r="G951" s="158"/>
      <c r="H951" s="559">
        <f>IFERROR(__xludf.DUMMYFUNCTION("""COMPUTED_VALUE"""),79.0)</f>
        <v>79</v>
      </c>
      <c r="I951" s="559">
        <f>IFERROR(__xludf.DUMMYFUNCTION("""COMPUTED_VALUE"""),80.0)</f>
        <v>80</v>
      </c>
      <c r="J951" s="559">
        <f>IFERROR(__xludf.DUMMYFUNCTION("""COMPUTED_VALUE"""),72.0)</f>
        <v>72</v>
      </c>
      <c r="K951" s="559">
        <f>IFERROR(__xludf.DUMMYFUNCTION("""COMPUTED_VALUE"""),70.0)</f>
        <v>70</v>
      </c>
      <c r="L951" s="560">
        <f>IFERROR(__xludf.DUMMYFUNCTION("""COMPUTED_VALUE"""),50.0)</f>
        <v>50</v>
      </c>
      <c r="M951" s="561">
        <f>IFERROR(__xludf.DUMMYFUNCTION("""COMPUTED_VALUE"""),7.0)</f>
        <v>7</v>
      </c>
      <c r="N951" s="561">
        <f>IFERROR(__xludf.DUMMYFUNCTION("""COMPUTED_VALUE"""),50.0)</f>
        <v>50</v>
      </c>
      <c r="O951" s="560"/>
      <c r="P951" s="562">
        <f>IFERROR(__xludf.DUMMYFUNCTION("""COMPUTED_VALUE"""),50.0)</f>
        <v>50</v>
      </c>
      <c r="Q951" s="562">
        <f>IFERROR(__xludf.DUMMYFUNCTION("""COMPUTED_VALUE"""),57.0)</f>
        <v>57</v>
      </c>
      <c r="R951" s="562">
        <f>IFERROR(__xludf.DUMMYFUNCTION("""COMPUTED_VALUE"""),85.0)</f>
        <v>85</v>
      </c>
      <c r="S951" s="562"/>
      <c r="T951" s="217">
        <f>IFERROR(__xludf.DUMMYFUNCTION("""COMPUTED_VALUE"""),14.0)</f>
        <v>14</v>
      </c>
      <c r="U951" s="217">
        <f>IFERROR(__xludf.DUMMYFUNCTION("""COMPUTED_VALUE"""),20.0)</f>
        <v>20</v>
      </c>
      <c r="V951" s="217">
        <f>IFERROR(__xludf.DUMMYFUNCTION("""COMPUTED_VALUE"""),42.0)</f>
        <v>42</v>
      </c>
      <c r="W951" s="217">
        <f>IFERROR(__xludf.DUMMYFUNCTION("""COMPUTED_VALUE"""),78.0)</f>
        <v>78</v>
      </c>
      <c r="X951" s="217">
        <f>IFERROR(__xludf.DUMMYFUNCTION("""COMPUTED_VALUE"""),68.0)</f>
        <v>68</v>
      </c>
      <c r="Y951" s="217"/>
      <c r="Z951" s="217"/>
      <c r="AA951" s="481">
        <f>IFERROR(__xludf.DUMMYFUNCTION("""COMPUTED_VALUE"""),86.0)</f>
        <v>86</v>
      </c>
      <c r="AB951" s="481">
        <f>IFERROR(__xludf.DUMMYFUNCTION("""COMPUTED_VALUE"""),100.0)</f>
        <v>100</v>
      </c>
      <c r="AC951" s="481">
        <f>IFERROR(__xludf.DUMMYFUNCTION("""COMPUTED_VALUE"""),60.0)</f>
        <v>60</v>
      </c>
      <c r="AD951" s="481"/>
      <c r="AE951" s="481">
        <f>IFERROR(__xludf.DUMMYFUNCTION("""COMPUTED_VALUE"""),60.0)</f>
        <v>60</v>
      </c>
      <c r="AF951" s="481"/>
      <c r="AG951" s="481">
        <f>IFERROR(__xludf.DUMMYFUNCTION("""COMPUTED_VALUE"""),82.0)</f>
        <v>82</v>
      </c>
      <c r="AH951" s="481"/>
      <c r="AI951" s="158"/>
      <c r="AJ951" s="158"/>
      <c r="AK951" s="133">
        <f>IFERROR(__xludf.DUMMYFUNCTION("""COMPUTED_VALUE"""),4.0)</f>
        <v>4</v>
      </c>
      <c r="AL951" s="133">
        <f>IFERROR(__xludf.DUMMYFUNCTION("""COMPUTED_VALUE"""),1.0)</f>
        <v>1</v>
      </c>
      <c r="AM951" s="133">
        <f>IFERROR(__xludf.DUMMYFUNCTION("""COMPUTED_VALUE"""),3.0)</f>
        <v>3</v>
      </c>
      <c r="AN951" s="133" t="str">
        <f>IFERROR(__xludf.DUMMYFUNCTION("""COMPUTED_VALUE"""),"3")</f>
        <v>3</v>
      </c>
      <c r="AO951" s="133">
        <f>IFERROR(__xludf.DUMMYFUNCTION("""COMPUTED_VALUE"""),3.0)</f>
        <v>3</v>
      </c>
      <c r="AP951" s="155" t="s">
        <v>3736</v>
      </c>
    </row>
    <row r="952">
      <c r="A952" s="155">
        <f>IFERROR(__xludf.DUMMYFUNCTION("""COMPUTED_VALUE"""),59.0)</f>
        <v>59</v>
      </c>
      <c r="B952" s="155" t="str">
        <f>IFERROR(__xludf.DUMMYFUNCTION("""COMPUTED_VALUE"""),"gaja23ece@cmrit.ac.in")</f>
        <v>gaja23ece@cmrit.ac.in</v>
      </c>
      <c r="C952" s="174" t="str">
        <f>IFERROR(__xludf.DUMMYFUNCTION("""COMPUTED_VALUE"""),"GAGAN JAYPRAKASH")</f>
        <v>GAGAN JAYPRAKASH</v>
      </c>
      <c r="D952" s="155" t="str">
        <f>IFERROR(__xludf.DUMMYFUNCTION("""COMPUTED_VALUE"""),"1CR23EC059")</f>
        <v>1CR23EC059</v>
      </c>
      <c r="E952" s="563">
        <f>IFERROR(__xludf.DUMMYFUNCTION("""COMPUTED_VALUE"""),9.741979789E9)</f>
        <v>9741979789</v>
      </c>
      <c r="F952" s="155" t="str">
        <f>IFERROR(__xludf.DUMMYFUNCTION("""COMPUTED_VALUE"""),"ECE")</f>
        <v>ECE</v>
      </c>
      <c r="G952" s="158"/>
      <c r="H952" s="559">
        <f>IFERROR(__xludf.DUMMYFUNCTION("""COMPUTED_VALUE"""),82.0)</f>
        <v>82</v>
      </c>
      <c r="I952" s="559">
        <f>IFERROR(__xludf.DUMMYFUNCTION("""COMPUTED_VALUE"""),86.0)</f>
        <v>86</v>
      </c>
      <c r="J952" s="559">
        <f>IFERROR(__xludf.DUMMYFUNCTION("""COMPUTED_VALUE"""),70.0)</f>
        <v>70</v>
      </c>
      <c r="K952" s="559">
        <f>IFERROR(__xludf.DUMMYFUNCTION("""COMPUTED_VALUE"""),84.0)</f>
        <v>84</v>
      </c>
      <c r="L952" s="560">
        <f>IFERROR(__xludf.DUMMYFUNCTION("""COMPUTED_VALUE"""),61.0)</f>
        <v>61</v>
      </c>
      <c r="M952" s="561">
        <f>IFERROR(__xludf.DUMMYFUNCTION("""COMPUTED_VALUE"""),16.0)</f>
        <v>16</v>
      </c>
      <c r="N952" s="561">
        <f>IFERROR(__xludf.DUMMYFUNCTION("""COMPUTED_VALUE"""),0.0)</f>
        <v>0</v>
      </c>
      <c r="O952" s="560"/>
      <c r="P952" s="562">
        <f>IFERROR(__xludf.DUMMYFUNCTION("""COMPUTED_VALUE"""),50.0)</f>
        <v>50</v>
      </c>
      <c r="Q952" s="562">
        <f>IFERROR(__xludf.DUMMYFUNCTION("""COMPUTED_VALUE"""),50.0)</f>
        <v>50</v>
      </c>
      <c r="R952" s="562">
        <f>IFERROR(__xludf.DUMMYFUNCTION("""COMPUTED_VALUE"""),50.0)</f>
        <v>50</v>
      </c>
      <c r="S952" s="562"/>
      <c r="T952" s="217">
        <f>IFERROR(__xludf.DUMMYFUNCTION("""COMPUTED_VALUE"""),19.0)</f>
        <v>19</v>
      </c>
      <c r="U952" s="217">
        <f>IFERROR(__xludf.DUMMYFUNCTION("""COMPUTED_VALUE"""),19.0)</f>
        <v>19</v>
      </c>
      <c r="V952" s="217">
        <f>IFERROR(__xludf.DUMMYFUNCTION("""COMPUTED_VALUE"""),52.0)</f>
        <v>52</v>
      </c>
      <c r="W952" s="217">
        <f>IFERROR(__xludf.DUMMYFUNCTION("""COMPUTED_VALUE"""),76.0)</f>
        <v>76</v>
      </c>
      <c r="X952" s="217">
        <f>IFERROR(__xludf.DUMMYFUNCTION("""COMPUTED_VALUE"""),78.0)</f>
        <v>78</v>
      </c>
      <c r="Y952" s="217"/>
      <c r="Z952" s="217"/>
      <c r="AA952" s="481">
        <f>IFERROR(__xludf.DUMMYFUNCTION("""COMPUTED_VALUE"""),94.0)</f>
        <v>94</v>
      </c>
      <c r="AB952" s="481">
        <f>IFERROR(__xludf.DUMMYFUNCTION("""COMPUTED_VALUE"""),73.0)</f>
        <v>73</v>
      </c>
      <c r="AC952" s="481">
        <f>IFERROR(__xludf.DUMMYFUNCTION("""COMPUTED_VALUE"""),97.0)</f>
        <v>97</v>
      </c>
      <c r="AD952" s="481"/>
      <c r="AE952" s="481">
        <f>IFERROR(__xludf.DUMMYFUNCTION("""COMPUTED_VALUE"""),75.0)</f>
        <v>75</v>
      </c>
      <c r="AF952" s="481"/>
      <c r="AG952" s="481"/>
      <c r="AH952" s="481"/>
      <c r="AI952" s="158"/>
      <c r="AJ952" s="158"/>
      <c r="AK952" s="133">
        <f>IFERROR(__xludf.DUMMYFUNCTION("""COMPUTED_VALUE"""),4.0)</f>
        <v>4</v>
      </c>
      <c r="AL952" s="133">
        <f>IFERROR(__xludf.DUMMYFUNCTION("""COMPUTED_VALUE"""),1.0)</f>
        <v>1</v>
      </c>
      <c r="AM952" s="133">
        <f>IFERROR(__xludf.DUMMYFUNCTION("""COMPUTED_VALUE"""),3.0)</f>
        <v>3</v>
      </c>
      <c r="AN952" s="133" t="str">
        <f>IFERROR(__xludf.DUMMYFUNCTION("""COMPUTED_VALUE"""),"3.5")</f>
        <v>3.5</v>
      </c>
      <c r="AO952" s="133">
        <f>IFERROR(__xludf.DUMMYFUNCTION("""COMPUTED_VALUE"""),3.0)</f>
        <v>3</v>
      </c>
      <c r="AP952" s="155" t="s">
        <v>3736</v>
      </c>
    </row>
    <row r="953">
      <c r="A953" s="155">
        <f>IFERROR(__xludf.DUMMYFUNCTION("""COMPUTED_VALUE"""),60.0)</f>
        <v>60</v>
      </c>
      <c r="B953" s="155" t="str">
        <f>IFERROR(__xludf.DUMMYFUNCTION("""COMPUTED_VALUE"""),"gas23ece@cmrit.ac.in")</f>
        <v>gas23ece@cmrit.ac.in</v>
      </c>
      <c r="C953" s="174" t="str">
        <f>IFERROR(__xludf.DUMMYFUNCTION("""COMPUTED_VALUE"""),"Gagan S")</f>
        <v>Gagan S</v>
      </c>
      <c r="D953" s="155" t="str">
        <f>IFERROR(__xludf.DUMMYFUNCTION("""COMPUTED_VALUE"""),"1CR23EC060")</f>
        <v>1CR23EC060</v>
      </c>
      <c r="E953" s="563">
        <f>IFERROR(__xludf.DUMMYFUNCTION("""COMPUTED_VALUE"""),9.113569438E9)</f>
        <v>9113569438</v>
      </c>
      <c r="F953" s="155" t="str">
        <f>IFERROR(__xludf.DUMMYFUNCTION("""COMPUTED_VALUE"""),"ECE")</f>
        <v>ECE</v>
      </c>
      <c r="G953" s="158"/>
      <c r="H953" s="559">
        <f>IFERROR(__xludf.DUMMYFUNCTION("""COMPUTED_VALUE"""),79.0)</f>
        <v>79</v>
      </c>
      <c r="I953" s="559">
        <f>IFERROR(__xludf.DUMMYFUNCTION("""COMPUTED_VALUE"""),81.0)</f>
        <v>81</v>
      </c>
      <c r="J953" s="559">
        <f>IFERROR(__xludf.DUMMYFUNCTION("""COMPUTED_VALUE"""),70.0)</f>
        <v>70</v>
      </c>
      <c r="K953" s="559">
        <f>IFERROR(__xludf.DUMMYFUNCTION("""COMPUTED_VALUE"""),70.0)</f>
        <v>70</v>
      </c>
      <c r="L953" s="560">
        <f>IFERROR(__xludf.DUMMYFUNCTION("""COMPUTED_VALUE"""),50.0)</f>
        <v>50</v>
      </c>
      <c r="M953" s="561">
        <f>IFERROR(__xludf.DUMMYFUNCTION("""COMPUTED_VALUE"""),50.0)</f>
        <v>50</v>
      </c>
      <c r="N953" s="561">
        <f>IFERROR(__xludf.DUMMYFUNCTION("""COMPUTED_VALUE"""),18.0)</f>
        <v>18</v>
      </c>
      <c r="O953" s="560"/>
      <c r="P953" s="562">
        <f>IFERROR(__xludf.DUMMYFUNCTION("""COMPUTED_VALUE"""),73.0)</f>
        <v>73</v>
      </c>
      <c r="Q953" s="562">
        <f>IFERROR(__xludf.DUMMYFUNCTION("""COMPUTED_VALUE"""),58.0)</f>
        <v>58</v>
      </c>
      <c r="R953" s="562">
        <f>IFERROR(__xludf.DUMMYFUNCTION("""COMPUTED_VALUE"""),0.0)</f>
        <v>0</v>
      </c>
      <c r="S953" s="562"/>
      <c r="T953" s="217">
        <f>IFERROR(__xludf.DUMMYFUNCTION("""COMPUTED_VALUE"""),11.0)</f>
        <v>11</v>
      </c>
      <c r="U953" s="217">
        <f>IFERROR(__xludf.DUMMYFUNCTION("""COMPUTED_VALUE"""),19.0)</f>
        <v>19</v>
      </c>
      <c r="V953" s="217">
        <f>IFERROR(__xludf.DUMMYFUNCTION("""COMPUTED_VALUE"""),64.0)</f>
        <v>64</v>
      </c>
      <c r="W953" s="217">
        <f>IFERROR(__xludf.DUMMYFUNCTION("""COMPUTED_VALUE"""),80.0)</f>
        <v>80</v>
      </c>
      <c r="X953" s="217">
        <f>IFERROR(__xludf.DUMMYFUNCTION("""COMPUTED_VALUE"""),74.0)</f>
        <v>74</v>
      </c>
      <c r="Y953" s="217"/>
      <c r="Z953" s="217"/>
      <c r="AA953" s="481">
        <f>IFERROR(__xludf.DUMMYFUNCTION("""COMPUTED_VALUE"""),66.0)</f>
        <v>66</v>
      </c>
      <c r="AB953" s="481">
        <f>IFERROR(__xludf.DUMMYFUNCTION("""COMPUTED_VALUE"""),57.0)</f>
        <v>57</v>
      </c>
      <c r="AC953" s="481">
        <f>IFERROR(__xludf.DUMMYFUNCTION("""COMPUTED_VALUE"""),100.0)</f>
        <v>100</v>
      </c>
      <c r="AD953" s="481"/>
      <c r="AE953" s="481">
        <f>IFERROR(__xludf.DUMMYFUNCTION("""COMPUTED_VALUE"""),10.0)</f>
        <v>10</v>
      </c>
      <c r="AF953" s="481"/>
      <c r="AG953" s="481"/>
      <c r="AH953" s="481"/>
      <c r="AI953" s="158"/>
      <c r="AJ953" s="158"/>
      <c r="AK953" s="133">
        <f>IFERROR(__xludf.DUMMYFUNCTION("""COMPUTED_VALUE"""),4.0)</f>
        <v>4</v>
      </c>
      <c r="AL953" s="133">
        <f>IFERROR(__xludf.DUMMYFUNCTION("""COMPUTED_VALUE"""),2.0)</f>
        <v>2</v>
      </c>
      <c r="AM953" s="133">
        <f>IFERROR(__xludf.DUMMYFUNCTION("""COMPUTED_VALUE"""),3.0)</f>
        <v>3</v>
      </c>
      <c r="AN953" s="133" t="str">
        <f>IFERROR(__xludf.DUMMYFUNCTION("""COMPUTED_VALUE"""),"3")</f>
        <v>3</v>
      </c>
      <c r="AO953" s="133">
        <f>IFERROR(__xludf.DUMMYFUNCTION("""COMPUTED_VALUE"""),2.0)</f>
        <v>2</v>
      </c>
      <c r="AP953" s="155" t="s">
        <v>3736</v>
      </c>
    </row>
    <row r="954">
      <c r="A954" s="155">
        <f>IFERROR(__xludf.DUMMYFUNCTION("""COMPUTED_VALUE"""),61.0)</f>
        <v>61</v>
      </c>
      <c r="B954" s="155" t="str">
        <f>IFERROR(__xludf.DUMMYFUNCTION("""COMPUTED_VALUE"""),"gahm23ece@cmrit.ac.in")</f>
        <v>gahm23ece@cmrit.ac.in</v>
      </c>
      <c r="C954" s="174" t="str">
        <f>IFERROR(__xludf.DUMMYFUNCTION("""COMPUTED_VALUE"""),"Gaganashree H M")</f>
        <v>Gaganashree H M</v>
      </c>
      <c r="D954" s="155" t="str">
        <f>IFERROR(__xludf.DUMMYFUNCTION("""COMPUTED_VALUE"""),"1CR23EC061")</f>
        <v>1CR23EC061</v>
      </c>
      <c r="E954" s="563">
        <f>IFERROR(__xludf.DUMMYFUNCTION("""COMPUTED_VALUE"""),7.975834034E9)</f>
        <v>7975834034</v>
      </c>
      <c r="F954" s="155" t="str">
        <f>IFERROR(__xludf.DUMMYFUNCTION("""COMPUTED_VALUE"""),"ECE")</f>
        <v>ECE</v>
      </c>
      <c r="G954" s="158"/>
      <c r="H954" s="559">
        <f>IFERROR(__xludf.DUMMYFUNCTION("""COMPUTED_VALUE"""),76.0)</f>
        <v>76</v>
      </c>
      <c r="I954" s="559">
        <f>IFERROR(__xludf.DUMMYFUNCTION("""COMPUTED_VALUE"""),76.0)</f>
        <v>76</v>
      </c>
      <c r="J954" s="559">
        <f>IFERROR(__xludf.DUMMYFUNCTION("""COMPUTED_VALUE"""),70.0)</f>
        <v>70</v>
      </c>
      <c r="K954" s="559">
        <f>IFERROR(__xludf.DUMMYFUNCTION("""COMPUTED_VALUE"""),75.0)</f>
        <v>75</v>
      </c>
      <c r="L954" s="560">
        <f>IFERROR(__xludf.DUMMYFUNCTION("""COMPUTED_VALUE"""),50.0)</f>
        <v>50</v>
      </c>
      <c r="M954" s="561">
        <f>IFERROR(__xludf.DUMMYFUNCTION("""COMPUTED_VALUE"""),50.0)</f>
        <v>50</v>
      </c>
      <c r="N954" s="561">
        <f>IFERROR(__xludf.DUMMYFUNCTION("""COMPUTED_VALUE"""),22.0)</f>
        <v>22</v>
      </c>
      <c r="O954" s="560"/>
      <c r="P954" s="562">
        <f>IFERROR(__xludf.DUMMYFUNCTION("""COMPUTED_VALUE"""),79.0)</f>
        <v>79</v>
      </c>
      <c r="Q954" s="562">
        <f>IFERROR(__xludf.DUMMYFUNCTION("""COMPUTED_VALUE"""),60.0)</f>
        <v>60</v>
      </c>
      <c r="R954" s="562">
        <f>IFERROR(__xludf.DUMMYFUNCTION("""COMPUTED_VALUE"""),85.0)</f>
        <v>85</v>
      </c>
      <c r="S954" s="562"/>
      <c r="T954" s="217">
        <f>IFERROR(__xludf.DUMMYFUNCTION("""COMPUTED_VALUE"""),20.0)</f>
        <v>20</v>
      </c>
      <c r="U954" s="217">
        <f>IFERROR(__xludf.DUMMYFUNCTION("""COMPUTED_VALUE"""),18.0)</f>
        <v>18</v>
      </c>
      <c r="V954" s="217">
        <f>IFERROR(__xludf.DUMMYFUNCTION("""COMPUTED_VALUE"""),72.0)</f>
        <v>72</v>
      </c>
      <c r="W954" s="217">
        <f>IFERROR(__xludf.DUMMYFUNCTION("""COMPUTED_VALUE"""),80.0)</f>
        <v>80</v>
      </c>
      <c r="X954" s="217">
        <f>IFERROR(__xludf.DUMMYFUNCTION("""COMPUTED_VALUE"""),78.0)</f>
        <v>78</v>
      </c>
      <c r="Y954" s="217"/>
      <c r="Z954" s="217"/>
      <c r="AA954" s="481">
        <f>IFERROR(__xludf.DUMMYFUNCTION("""COMPUTED_VALUE"""),68.0)</f>
        <v>68</v>
      </c>
      <c r="AB954" s="481">
        <f>IFERROR(__xludf.DUMMYFUNCTION("""COMPUTED_VALUE"""),80.0)</f>
        <v>80</v>
      </c>
      <c r="AC954" s="481">
        <f>IFERROR(__xludf.DUMMYFUNCTION("""COMPUTED_VALUE"""),70.0)</f>
        <v>70</v>
      </c>
      <c r="AD954" s="481"/>
      <c r="AE954" s="481">
        <f>IFERROR(__xludf.DUMMYFUNCTION("""COMPUTED_VALUE"""),70.0)</f>
        <v>70</v>
      </c>
      <c r="AF954" s="481"/>
      <c r="AG954" s="481"/>
      <c r="AH954" s="481">
        <f>IFERROR(__xludf.DUMMYFUNCTION("""COMPUTED_VALUE"""),83.0)</f>
        <v>83</v>
      </c>
      <c r="AI954" s="158"/>
      <c r="AJ954" s="158"/>
      <c r="AK954" s="133">
        <f>IFERROR(__xludf.DUMMYFUNCTION("""COMPUTED_VALUE"""),4.0)</f>
        <v>4</v>
      </c>
      <c r="AL954" s="133">
        <f>IFERROR(__xludf.DUMMYFUNCTION("""COMPUTED_VALUE"""),2.0)</f>
        <v>2</v>
      </c>
      <c r="AM954" s="133">
        <f>IFERROR(__xludf.DUMMYFUNCTION("""COMPUTED_VALUE"""),3.0)</f>
        <v>3</v>
      </c>
      <c r="AN954" s="133" t="str">
        <f>IFERROR(__xludf.DUMMYFUNCTION("""COMPUTED_VALUE"""),"3.5")</f>
        <v>3.5</v>
      </c>
      <c r="AO954" s="133">
        <f>IFERROR(__xludf.DUMMYFUNCTION("""COMPUTED_VALUE"""),3.0)</f>
        <v>3</v>
      </c>
      <c r="AP954" s="155" t="s">
        <v>3736</v>
      </c>
    </row>
    <row r="955">
      <c r="A955" s="155">
        <f>IFERROR(__xludf.DUMMYFUNCTION("""COMPUTED_VALUE"""),62.0)</f>
        <v>62</v>
      </c>
      <c r="B955" s="155" t="str">
        <f>IFERROR(__xludf.DUMMYFUNCTION("""COMPUTED_VALUE"""),"gaan23ece@cmrit.ac.in")</f>
        <v>gaan23ece@cmrit.ac.in</v>
      </c>
      <c r="C955" s="174" t="str">
        <f>IFERROR(__xludf.DUMMYFUNCTION("""COMPUTED_VALUE"""),"GAURAV KUMAR ANCHAL")</f>
        <v>GAURAV KUMAR ANCHAL</v>
      </c>
      <c r="D955" s="155" t="str">
        <f>IFERROR(__xludf.DUMMYFUNCTION("""COMPUTED_VALUE"""),"1CR23EC062")</f>
        <v>1CR23EC062</v>
      </c>
      <c r="E955" s="563">
        <f>IFERROR(__xludf.DUMMYFUNCTION("""COMPUTED_VALUE"""),6.306488527E9)</f>
        <v>6306488527</v>
      </c>
      <c r="F955" s="155" t="str">
        <f>IFERROR(__xludf.DUMMYFUNCTION("""COMPUTED_VALUE"""),"ECE")</f>
        <v>ECE</v>
      </c>
      <c r="G955" s="158"/>
      <c r="H955" s="559">
        <f>IFERROR(__xludf.DUMMYFUNCTION("""COMPUTED_VALUE"""),85.0)</f>
        <v>85</v>
      </c>
      <c r="I955" s="559">
        <f>IFERROR(__xludf.DUMMYFUNCTION("""COMPUTED_VALUE"""),79.0)</f>
        <v>79</v>
      </c>
      <c r="J955" s="559">
        <f>IFERROR(__xludf.DUMMYFUNCTION("""COMPUTED_VALUE"""),70.0)</f>
        <v>70</v>
      </c>
      <c r="K955" s="559">
        <f>IFERROR(__xludf.DUMMYFUNCTION("""COMPUTED_VALUE"""),70.0)</f>
        <v>70</v>
      </c>
      <c r="L955" s="560">
        <f>IFERROR(__xludf.DUMMYFUNCTION("""COMPUTED_VALUE"""),50.0)</f>
        <v>50</v>
      </c>
      <c r="M955" s="561">
        <f>IFERROR(__xludf.DUMMYFUNCTION("""COMPUTED_VALUE"""),0.0)</f>
        <v>0</v>
      </c>
      <c r="N955" s="561">
        <f>IFERROR(__xludf.DUMMYFUNCTION("""COMPUTED_VALUE"""),25.0)</f>
        <v>25</v>
      </c>
      <c r="O955" s="560"/>
      <c r="P955" s="562">
        <f>IFERROR(__xludf.DUMMYFUNCTION("""COMPUTED_VALUE"""),0.0)</f>
        <v>0</v>
      </c>
      <c r="Q955" s="562">
        <f>IFERROR(__xludf.DUMMYFUNCTION("""COMPUTED_VALUE"""),50.0)</f>
        <v>50</v>
      </c>
      <c r="R955" s="562">
        <f>IFERROR(__xludf.DUMMYFUNCTION("""COMPUTED_VALUE"""),92.0)</f>
        <v>92</v>
      </c>
      <c r="S955" s="562"/>
      <c r="T955" s="217">
        <f>IFERROR(__xludf.DUMMYFUNCTION("""COMPUTED_VALUE"""),12.0)</f>
        <v>12</v>
      </c>
      <c r="U955" s="217">
        <f>IFERROR(__xludf.DUMMYFUNCTION("""COMPUTED_VALUE"""),16.0)</f>
        <v>16</v>
      </c>
      <c r="V955" s="217">
        <f>IFERROR(__xludf.DUMMYFUNCTION("""COMPUTED_VALUE"""),44.0)</f>
        <v>44</v>
      </c>
      <c r="W955" s="217">
        <f>IFERROR(__xludf.DUMMYFUNCTION("""COMPUTED_VALUE"""),74.0)</f>
        <v>74</v>
      </c>
      <c r="X955" s="217">
        <f>IFERROR(__xludf.DUMMYFUNCTION("""COMPUTED_VALUE"""),54.0)</f>
        <v>54</v>
      </c>
      <c r="Y955" s="217"/>
      <c r="Z955" s="217"/>
      <c r="AA955" s="481">
        <f>IFERROR(__xludf.DUMMYFUNCTION("""COMPUTED_VALUE"""),51.0)</f>
        <v>51</v>
      </c>
      <c r="AB955" s="481">
        <f>IFERROR(__xludf.DUMMYFUNCTION("""COMPUTED_VALUE"""),88.0)</f>
        <v>88</v>
      </c>
      <c r="AC955" s="481">
        <f>IFERROR(__xludf.DUMMYFUNCTION("""COMPUTED_VALUE"""),70.0)</f>
        <v>70</v>
      </c>
      <c r="AD955" s="481"/>
      <c r="AE955" s="481">
        <f>IFERROR(__xludf.DUMMYFUNCTION("""COMPUTED_VALUE"""),26.0)</f>
        <v>26</v>
      </c>
      <c r="AF955" s="481"/>
      <c r="AG955" s="481"/>
      <c r="AH955" s="481"/>
      <c r="AI955" s="158"/>
      <c r="AJ955" s="158"/>
      <c r="AK955" s="133">
        <f>IFERROR(__xludf.DUMMYFUNCTION("""COMPUTED_VALUE"""),4.0)</f>
        <v>4</v>
      </c>
      <c r="AL955" s="133">
        <f>IFERROR(__xludf.DUMMYFUNCTION("""COMPUTED_VALUE"""),1.0)</f>
        <v>1</v>
      </c>
      <c r="AM955" s="133">
        <f>IFERROR(__xludf.DUMMYFUNCTION("""COMPUTED_VALUE"""),3.0)</f>
        <v>3</v>
      </c>
      <c r="AN955" s="133" t="str">
        <f>IFERROR(__xludf.DUMMYFUNCTION("""COMPUTED_VALUE"""),"3")</f>
        <v>3</v>
      </c>
      <c r="AO955" s="133">
        <f>IFERROR(__xludf.DUMMYFUNCTION("""COMPUTED_VALUE"""),0.0)</f>
        <v>0</v>
      </c>
      <c r="AP955" s="155" t="s">
        <v>3736</v>
      </c>
    </row>
    <row r="956">
      <c r="A956" s="155">
        <f>IFERROR(__xludf.DUMMYFUNCTION("""COMPUTED_VALUE"""),63.0)</f>
        <v>63</v>
      </c>
      <c r="B956" s="155" t="str">
        <f>IFERROR(__xludf.DUMMYFUNCTION("""COMPUTED_VALUE"""),"goud23ece@cmrit.ac.in")</f>
        <v>goud23ece@cmrit.ac.in</v>
      </c>
      <c r="C956" s="174" t="str">
        <f>IFERROR(__xludf.DUMMYFUNCTION("""COMPUTED_VALUE"""),"GOLLAPALLI UDAYA SANKAR")</f>
        <v>GOLLAPALLI UDAYA SANKAR</v>
      </c>
      <c r="D956" s="155" t="str">
        <f>IFERROR(__xludf.DUMMYFUNCTION("""COMPUTED_VALUE"""),"1CR23EC063")</f>
        <v>1CR23EC063</v>
      </c>
      <c r="E956" s="563">
        <f>IFERROR(__xludf.DUMMYFUNCTION("""COMPUTED_VALUE"""),9.866426289E9)</f>
        <v>9866426289</v>
      </c>
      <c r="F956" s="155" t="str">
        <f>IFERROR(__xludf.DUMMYFUNCTION("""COMPUTED_VALUE"""),"ECE")</f>
        <v>ECE</v>
      </c>
      <c r="G956" s="158"/>
      <c r="H956" s="559">
        <f>IFERROR(__xludf.DUMMYFUNCTION("""COMPUTED_VALUE"""),77.0)</f>
        <v>77</v>
      </c>
      <c r="I956" s="559">
        <f>IFERROR(__xludf.DUMMYFUNCTION("""COMPUTED_VALUE"""),68.0)</f>
        <v>68</v>
      </c>
      <c r="J956" s="559">
        <f>IFERROR(__xludf.DUMMYFUNCTION("""COMPUTED_VALUE"""),45.0)</f>
        <v>45</v>
      </c>
      <c r="K956" s="559">
        <f>IFERROR(__xludf.DUMMYFUNCTION("""COMPUTED_VALUE"""),14.0)</f>
        <v>14</v>
      </c>
      <c r="L956" s="560">
        <f>IFERROR(__xludf.DUMMYFUNCTION("""COMPUTED_VALUE"""),31.0)</f>
        <v>31</v>
      </c>
      <c r="M956" s="561">
        <f>IFERROR(__xludf.DUMMYFUNCTION("""COMPUTED_VALUE"""),18.0)</f>
        <v>18</v>
      </c>
      <c r="N956" s="561">
        <f>IFERROR(__xludf.DUMMYFUNCTION("""COMPUTED_VALUE"""),4.0)</f>
        <v>4</v>
      </c>
      <c r="O956" s="560"/>
      <c r="P956" s="562">
        <f>IFERROR(__xludf.DUMMYFUNCTION("""COMPUTED_VALUE"""),0.0)</f>
        <v>0</v>
      </c>
      <c r="Q956" s="562">
        <f>IFERROR(__xludf.DUMMYFUNCTION("""COMPUTED_VALUE"""),0.0)</f>
        <v>0</v>
      </c>
      <c r="R956" s="562">
        <f>IFERROR(__xludf.DUMMYFUNCTION("""COMPUTED_VALUE"""),0.0)</f>
        <v>0</v>
      </c>
      <c r="S956" s="562"/>
      <c r="T956" s="217">
        <f>IFERROR(__xludf.DUMMYFUNCTION("""COMPUTED_VALUE"""),10.0)</f>
        <v>10</v>
      </c>
      <c r="U956" s="217">
        <f>IFERROR(__xludf.DUMMYFUNCTION("""COMPUTED_VALUE"""),14.0)</f>
        <v>14</v>
      </c>
      <c r="V956" s="217">
        <f>IFERROR(__xludf.DUMMYFUNCTION("""COMPUTED_VALUE"""),32.0)</f>
        <v>32</v>
      </c>
      <c r="W956" s="217">
        <f>IFERROR(__xludf.DUMMYFUNCTION("""COMPUTED_VALUE"""),60.0)</f>
        <v>60</v>
      </c>
      <c r="X956" s="217">
        <f>IFERROR(__xludf.DUMMYFUNCTION("""COMPUTED_VALUE"""),72.0)</f>
        <v>72</v>
      </c>
      <c r="Y956" s="217"/>
      <c r="Z956" s="217"/>
      <c r="AA956" s="481">
        <f>IFERROR(__xludf.DUMMYFUNCTION("""COMPUTED_VALUE"""),0.0)</f>
        <v>0</v>
      </c>
      <c r="AB956" s="481">
        <f>IFERROR(__xludf.DUMMYFUNCTION("""COMPUTED_VALUE"""),37.5)</f>
        <v>37.5</v>
      </c>
      <c r="AC956" s="481">
        <f>IFERROR(__xludf.DUMMYFUNCTION("""COMPUTED_VALUE"""),0.0)</f>
        <v>0</v>
      </c>
      <c r="AD956" s="481"/>
      <c r="AE956" s="481">
        <f>IFERROR(__xludf.DUMMYFUNCTION("""COMPUTED_VALUE"""),10.0)</f>
        <v>10</v>
      </c>
      <c r="AF956" s="481"/>
      <c r="AG956" s="481"/>
      <c r="AH956" s="481"/>
      <c r="AI956" s="158"/>
      <c r="AJ956" s="158"/>
      <c r="AK956" s="133">
        <f>IFERROR(__xludf.DUMMYFUNCTION("""COMPUTED_VALUE"""),2.0)</f>
        <v>2</v>
      </c>
      <c r="AL956" s="133">
        <f>IFERROR(__xludf.DUMMYFUNCTION("""COMPUTED_VALUE"""),0.0)</f>
        <v>0</v>
      </c>
      <c r="AM956" s="133">
        <f>IFERROR(__xludf.DUMMYFUNCTION("""COMPUTED_VALUE"""),3.0)</f>
        <v>3</v>
      </c>
      <c r="AN956" s="133" t="str">
        <f>IFERROR(__xludf.DUMMYFUNCTION("""COMPUTED_VALUE"""),"0")</f>
        <v>0</v>
      </c>
      <c r="AO956" s="133">
        <f>IFERROR(__xludf.DUMMYFUNCTION("""COMPUTED_VALUE"""),0.0)</f>
        <v>0</v>
      </c>
      <c r="AP956" s="155" t="s">
        <v>3736</v>
      </c>
    </row>
    <row r="957">
      <c r="A957" s="155">
        <f>IFERROR(__xludf.DUMMYFUNCTION("""COMPUTED_VALUE"""),64.0)</f>
        <v>64</v>
      </c>
      <c r="B957" s="155" t="str">
        <f>IFERROR(__xludf.DUMMYFUNCTION("""COMPUTED_VALUE"""),"gome23ece@cmrit.ac.in")</f>
        <v>gome23ece@cmrit.ac.in</v>
      </c>
      <c r="C957" s="174" t="str">
        <f>IFERROR(__xludf.DUMMYFUNCTION("""COMPUTED_VALUE"""),"GOURI G MENON")</f>
        <v>GOURI G MENON</v>
      </c>
      <c r="D957" s="155" t="str">
        <f>IFERROR(__xludf.DUMMYFUNCTION("""COMPUTED_VALUE"""),"1CR23EC064")</f>
        <v>1CR23EC064</v>
      </c>
      <c r="E957" s="563">
        <f>IFERROR(__xludf.DUMMYFUNCTION("""COMPUTED_VALUE"""),9.074858983E9)</f>
        <v>9074858983</v>
      </c>
      <c r="F957" s="155" t="str">
        <f>IFERROR(__xludf.DUMMYFUNCTION("""COMPUTED_VALUE"""),"ECE")</f>
        <v>ECE</v>
      </c>
      <c r="G957" s="158"/>
      <c r="H957" s="559">
        <f>IFERROR(__xludf.DUMMYFUNCTION("""COMPUTED_VALUE"""),88.0)</f>
        <v>88</v>
      </c>
      <c r="I957" s="559">
        <f>IFERROR(__xludf.DUMMYFUNCTION("""COMPUTED_VALUE"""),83.0)</f>
        <v>83</v>
      </c>
      <c r="J957" s="559">
        <f>IFERROR(__xludf.DUMMYFUNCTION("""COMPUTED_VALUE"""),70.0)</f>
        <v>70</v>
      </c>
      <c r="K957" s="559">
        <f>IFERROR(__xludf.DUMMYFUNCTION("""COMPUTED_VALUE"""),70.0)</f>
        <v>70</v>
      </c>
      <c r="L957" s="560">
        <f>IFERROR(__xludf.DUMMYFUNCTION("""COMPUTED_VALUE"""),53.0)</f>
        <v>53</v>
      </c>
      <c r="M957" s="561">
        <f>IFERROR(__xludf.DUMMYFUNCTION("""COMPUTED_VALUE"""),50.0)</f>
        <v>50</v>
      </c>
      <c r="N957" s="561">
        <f>IFERROR(__xludf.DUMMYFUNCTION("""COMPUTED_VALUE"""),50.0)</f>
        <v>50</v>
      </c>
      <c r="O957" s="560"/>
      <c r="P957" s="562">
        <f>IFERROR(__xludf.DUMMYFUNCTION("""COMPUTED_VALUE"""),79.0)</f>
        <v>79</v>
      </c>
      <c r="Q957" s="562">
        <f>IFERROR(__xludf.DUMMYFUNCTION("""COMPUTED_VALUE"""),73.0)</f>
        <v>73</v>
      </c>
      <c r="R957" s="562">
        <f>IFERROR(__xludf.DUMMYFUNCTION("""COMPUTED_VALUE"""),69.0)</f>
        <v>69</v>
      </c>
      <c r="S957" s="562"/>
      <c r="T957" s="217">
        <f>IFERROR(__xludf.DUMMYFUNCTION("""COMPUTED_VALUE"""),10.0)</f>
        <v>10</v>
      </c>
      <c r="U957" s="217">
        <f>IFERROR(__xludf.DUMMYFUNCTION("""COMPUTED_VALUE"""),16.0)</f>
        <v>16</v>
      </c>
      <c r="V957" s="217">
        <f>IFERROR(__xludf.DUMMYFUNCTION("""COMPUTED_VALUE"""),72.0)</f>
        <v>72</v>
      </c>
      <c r="W957" s="217">
        <f>IFERROR(__xludf.DUMMYFUNCTION("""COMPUTED_VALUE"""),88.0)</f>
        <v>88</v>
      </c>
      <c r="X957" s="217">
        <f>IFERROR(__xludf.DUMMYFUNCTION("""COMPUTED_VALUE"""),74.0)</f>
        <v>74</v>
      </c>
      <c r="Y957" s="217"/>
      <c r="Z957" s="217"/>
      <c r="AA957" s="481">
        <f>IFERROR(__xludf.DUMMYFUNCTION("""COMPUTED_VALUE"""),62.0)</f>
        <v>62</v>
      </c>
      <c r="AB957" s="481">
        <f>IFERROR(__xludf.DUMMYFUNCTION("""COMPUTED_VALUE"""),100.0)</f>
        <v>100</v>
      </c>
      <c r="AC957" s="481">
        <f>IFERROR(__xludf.DUMMYFUNCTION("""COMPUTED_VALUE"""),70.0)</f>
        <v>70</v>
      </c>
      <c r="AD957" s="481"/>
      <c r="AE957" s="481">
        <f>IFERROR(__xludf.DUMMYFUNCTION("""COMPUTED_VALUE"""),70.0)</f>
        <v>70</v>
      </c>
      <c r="AF957" s="481"/>
      <c r="AG957" s="481">
        <f>IFERROR(__xludf.DUMMYFUNCTION("""COMPUTED_VALUE"""),82.0)</f>
        <v>82</v>
      </c>
      <c r="AH957" s="481"/>
      <c r="AI957" s="158"/>
      <c r="AJ957" s="158"/>
      <c r="AK957" s="133">
        <f>IFERROR(__xludf.DUMMYFUNCTION("""COMPUTED_VALUE"""),4.0)</f>
        <v>4</v>
      </c>
      <c r="AL957" s="133">
        <f>IFERROR(__xludf.DUMMYFUNCTION("""COMPUTED_VALUE"""),3.0)</f>
        <v>3</v>
      </c>
      <c r="AM957" s="133">
        <f>IFERROR(__xludf.DUMMYFUNCTION("""COMPUTED_VALUE"""),3.0)</f>
        <v>3</v>
      </c>
      <c r="AN957" s="133" t="str">
        <f>IFERROR(__xludf.DUMMYFUNCTION("""COMPUTED_VALUE"""),"3.5")</f>
        <v>3.5</v>
      </c>
      <c r="AO957" s="133">
        <f>IFERROR(__xludf.DUMMYFUNCTION("""COMPUTED_VALUE"""),3.0)</f>
        <v>3</v>
      </c>
      <c r="AP957" s="155" t="s">
        <v>3736</v>
      </c>
    </row>
    <row r="958">
      <c r="A958" s="155">
        <f>IFERROR(__xludf.DUMMYFUNCTION("""COMPUTED_VALUE"""),65.0)</f>
        <v>65</v>
      </c>
      <c r="B958" s="155" t="str">
        <f>IFERROR(__xludf.DUMMYFUNCTION("""COMPUTED_VALUE"""),"gush23ece@cmrit.ac.in")</f>
        <v>gush23ece@cmrit.ac.in</v>
      </c>
      <c r="C958" s="174" t="str">
        <f>IFERROR(__xludf.DUMMYFUNCTION("""COMPUTED_VALUE"""),"GUDIPATI SHYAM")</f>
        <v>GUDIPATI SHYAM</v>
      </c>
      <c r="D958" s="155" t="str">
        <f>IFERROR(__xludf.DUMMYFUNCTION("""COMPUTED_VALUE"""),"1CR23EC065")</f>
        <v>1CR23EC065</v>
      </c>
      <c r="E958" s="563">
        <f>IFERROR(__xludf.DUMMYFUNCTION("""COMPUTED_VALUE"""),6.302553476E9)</f>
        <v>6302553476</v>
      </c>
      <c r="F958" s="155" t="str">
        <f>IFERROR(__xludf.DUMMYFUNCTION("""COMPUTED_VALUE"""),"ECE")</f>
        <v>ECE</v>
      </c>
      <c r="G958" s="158"/>
      <c r="H958" s="559">
        <f>IFERROR(__xludf.DUMMYFUNCTION("""COMPUTED_VALUE"""),75.0)</f>
        <v>75</v>
      </c>
      <c r="I958" s="559">
        <f>IFERROR(__xludf.DUMMYFUNCTION("""COMPUTED_VALUE"""),70.0)</f>
        <v>70</v>
      </c>
      <c r="J958" s="559">
        <f>IFERROR(__xludf.DUMMYFUNCTION("""COMPUTED_VALUE"""),70.0)</f>
        <v>70</v>
      </c>
      <c r="K958" s="559">
        <f>IFERROR(__xludf.DUMMYFUNCTION("""COMPUTED_VALUE"""),70.0)</f>
        <v>70</v>
      </c>
      <c r="L958" s="560">
        <f>IFERROR(__xludf.DUMMYFUNCTION("""COMPUTED_VALUE"""),18.0)</f>
        <v>18</v>
      </c>
      <c r="M958" s="561">
        <f>IFERROR(__xludf.DUMMYFUNCTION("""COMPUTED_VALUE"""),10.0)</f>
        <v>10</v>
      </c>
      <c r="N958" s="561">
        <f>IFERROR(__xludf.DUMMYFUNCTION("""COMPUTED_VALUE"""),5.0)</f>
        <v>5</v>
      </c>
      <c r="O958" s="560"/>
      <c r="P958" s="562">
        <f>IFERROR(__xludf.DUMMYFUNCTION("""COMPUTED_VALUE"""),0.0)</f>
        <v>0</v>
      </c>
      <c r="Q958" s="562">
        <f>IFERROR(__xludf.DUMMYFUNCTION("""COMPUTED_VALUE"""),65.0)</f>
        <v>65</v>
      </c>
      <c r="R958" s="562">
        <f>IFERROR(__xludf.DUMMYFUNCTION("""COMPUTED_VALUE"""),0.0)</f>
        <v>0</v>
      </c>
      <c r="S958" s="562"/>
      <c r="T958" s="217">
        <f>IFERROR(__xludf.DUMMYFUNCTION("""COMPUTED_VALUE"""),14.0)</f>
        <v>14</v>
      </c>
      <c r="U958" s="217">
        <f>IFERROR(__xludf.DUMMYFUNCTION("""COMPUTED_VALUE"""),18.0)</f>
        <v>18</v>
      </c>
      <c r="V958" s="217">
        <f>IFERROR(__xludf.DUMMYFUNCTION("""COMPUTED_VALUE"""),40.0)</f>
        <v>40</v>
      </c>
      <c r="W958" s="217">
        <f>IFERROR(__xludf.DUMMYFUNCTION("""COMPUTED_VALUE"""),84.0)</f>
        <v>84</v>
      </c>
      <c r="X958" s="217"/>
      <c r="Y958" s="217"/>
      <c r="Z958" s="217"/>
      <c r="AA958" s="481">
        <f>IFERROR(__xludf.DUMMYFUNCTION("""COMPUTED_VALUE"""),0.0)</f>
        <v>0</v>
      </c>
      <c r="AB958" s="481">
        <f>IFERROR(__xludf.DUMMYFUNCTION("""COMPUTED_VALUE"""),46.25)</f>
        <v>46.25</v>
      </c>
      <c r="AC958" s="481">
        <f>IFERROR(__xludf.DUMMYFUNCTION("""COMPUTED_VALUE"""),65.0)</f>
        <v>65</v>
      </c>
      <c r="AD958" s="481"/>
      <c r="AE958" s="481">
        <f>IFERROR(__xludf.DUMMYFUNCTION("""COMPUTED_VALUE"""),10.0)</f>
        <v>10</v>
      </c>
      <c r="AF958" s="481"/>
      <c r="AG958" s="481"/>
      <c r="AH958" s="481">
        <f>IFERROR(__xludf.DUMMYFUNCTION("""COMPUTED_VALUE"""),12.0)</f>
        <v>12</v>
      </c>
      <c r="AI958" s="158"/>
      <c r="AJ958" s="158"/>
      <c r="AK958" s="133">
        <f>IFERROR(__xludf.DUMMYFUNCTION("""COMPUTED_VALUE"""),4.0)</f>
        <v>4</v>
      </c>
      <c r="AL958" s="133">
        <f>IFERROR(__xludf.DUMMYFUNCTION("""COMPUTED_VALUE"""),0.0)</f>
        <v>0</v>
      </c>
      <c r="AM958" s="133">
        <f>IFERROR(__xludf.DUMMYFUNCTION("""COMPUTED_VALUE"""),3.0)</f>
        <v>3</v>
      </c>
      <c r="AN958" s="133" t="str">
        <f>IFERROR(__xludf.DUMMYFUNCTION("""COMPUTED_VALUE"""),"0")</f>
        <v>0</v>
      </c>
      <c r="AO958" s="133">
        <f>IFERROR(__xludf.DUMMYFUNCTION("""COMPUTED_VALUE"""),0.0)</f>
        <v>0</v>
      </c>
      <c r="AP958" s="155" t="s">
        <v>3736</v>
      </c>
    </row>
    <row r="959">
      <c r="A959" s="155">
        <f>IFERROR(__xludf.DUMMYFUNCTION("""COMPUTED_VALUE"""),66.0)</f>
        <v>66</v>
      </c>
      <c r="B959" s="155" t="str">
        <f>IFERROR(__xludf.DUMMYFUNCTION("""COMPUTED_VALUE"""),"guku23ece@cmrit.ac.in")</f>
        <v>guku23ece@cmrit.ac.in</v>
      </c>
      <c r="C959" s="174" t="str">
        <f>IFERROR(__xludf.DUMMYFUNCTION("""COMPUTED_VALUE"""),"GUNN KUMARI")</f>
        <v>GUNN KUMARI</v>
      </c>
      <c r="D959" s="155" t="str">
        <f>IFERROR(__xludf.DUMMYFUNCTION("""COMPUTED_VALUE"""),"1CR23EC066")</f>
        <v>1CR23EC066</v>
      </c>
      <c r="E959" s="563">
        <f>IFERROR(__xludf.DUMMYFUNCTION("""COMPUTED_VALUE"""),9.15362401E9)</f>
        <v>9153624010</v>
      </c>
      <c r="F959" s="155" t="str">
        <f>IFERROR(__xludf.DUMMYFUNCTION("""COMPUTED_VALUE"""),"ECE")</f>
        <v>ECE</v>
      </c>
      <c r="G959" s="158"/>
      <c r="H959" s="559">
        <f>IFERROR(__xludf.DUMMYFUNCTION("""COMPUTED_VALUE"""),82.0)</f>
        <v>82</v>
      </c>
      <c r="I959" s="559">
        <f>IFERROR(__xludf.DUMMYFUNCTION("""COMPUTED_VALUE"""),85.0)</f>
        <v>85</v>
      </c>
      <c r="J959" s="559">
        <f>IFERROR(__xludf.DUMMYFUNCTION("""COMPUTED_VALUE"""),85.0)</f>
        <v>85</v>
      </c>
      <c r="K959" s="559">
        <f>IFERROR(__xludf.DUMMYFUNCTION("""COMPUTED_VALUE"""),70.0)</f>
        <v>70</v>
      </c>
      <c r="L959" s="560">
        <f>IFERROR(__xludf.DUMMYFUNCTION("""COMPUTED_VALUE"""),50.0)</f>
        <v>50</v>
      </c>
      <c r="M959" s="561">
        <f>IFERROR(__xludf.DUMMYFUNCTION("""COMPUTED_VALUE"""),50.0)</f>
        <v>50</v>
      </c>
      <c r="N959" s="561">
        <f>IFERROR(__xludf.DUMMYFUNCTION("""COMPUTED_VALUE"""),50.0)</f>
        <v>50</v>
      </c>
      <c r="O959" s="560"/>
      <c r="P959" s="562">
        <f>IFERROR(__xludf.DUMMYFUNCTION("""COMPUTED_VALUE"""),50.0)</f>
        <v>50</v>
      </c>
      <c r="Q959" s="562">
        <f>IFERROR(__xludf.DUMMYFUNCTION("""COMPUTED_VALUE"""),66.0)</f>
        <v>66</v>
      </c>
      <c r="R959" s="562">
        <f>IFERROR(__xludf.DUMMYFUNCTION("""COMPUTED_VALUE"""),77.0)</f>
        <v>77</v>
      </c>
      <c r="S959" s="562"/>
      <c r="T959" s="217">
        <f>IFERROR(__xludf.DUMMYFUNCTION("""COMPUTED_VALUE"""),13.0)</f>
        <v>13</v>
      </c>
      <c r="U959" s="217">
        <f>IFERROR(__xludf.DUMMYFUNCTION("""COMPUTED_VALUE"""),19.0)</f>
        <v>19</v>
      </c>
      <c r="V959" s="217">
        <f>IFERROR(__xludf.DUMMYFUNCTION("""COMPUTED_VALUE"""),38.0)</f>
        <v>38</v>
      </c>
      <c r="W959" s="217">
        <f>IFERROR(__xludf.DUMMYFUNCTION("""COMPUTED_VALUE"""),84.0)</f>
        <v>84</v>
      </c>
      <c r="X959" s="217"/>
      <c r="Y959" s="217"/>
      <c r="Z959" s="217"/>
      <c r="AA959" s="481">
        <f>IFERROR(__xludf.DUMMYFUNCTION("""COMPUTED_VALUE"""),100.0)</f>
        <v>100</v>
      </c>
      <c r="AB959" s="481">
        <f>IFERROR(__xludf.DUMMYFUNCTION("""COMPUTED_VALUE"""),76.25)</f>
        <v>76.25</v>
      </c>
      <c r="AC959" s="481">
        <f>IFERROR(__xludf.DUMMYFUNCTION("""COMPUTED_VALUE"""),70.0)</f>
        <v>70</v>
      </c>
      <c r="AD959" s="481"/>
      <c r="AE959" s="481">
        <f>IFERROR(__xludf.DUMMYFUNCTION("""COMPUTED_VALUE"""),45.0)</f>
        <v>45</v>
      </c>
      <c r="AF959" s="481"/>
      <c r="AG959" s="481">
        <f>IFERROR(__xludf.DUMMYFUNCTION("""COMPUTED_VALUE"""),77.0)</f>
        <v>77</v>
      </c>
      <c r="AH959" s="481"/>
      <c r="AI959" s="158"/>
      <c r="AJ959" s="158"/>
      <c r="AK959" s="133">
        <f>IFERROR(__xludf.DUMMYFUNCTION("""COMPUTED_VALUE"""),4.0)</f>
        <v>4</v>
      </c>
      <c r="AL959" s="133">
        <f>IFERROR(__xludf.DUMMYFUNCTION("""COMPUTED_VALUE"""),3.0)</f>
        <v>3</v>
      </c>
      <c r="AM959" s="133">
        <f>IFERROR(__xludf.DUMMYFUNCTION("""COMPUTED_VALUE"""),3.0)</f>
        <v>3</v>
      </c>
      <c r="AN959" s="133" t="str">
        <f>IFERROR(__xludf.DUMMYFUNCTION("""COMPUTED_VALUE"""),"3")</f>
        <v>3</v>
      </c>
      <c r="AO959" s="133">
        <f>IFERROR(__xludf.DUMMYFUNCTION("""COMPUTED_VALUE"""),3.0)</f>
        <v>3</v>
      </c>
      <c r="AP959" s="155" t="s">
        <v>3736</v>
      </c>
    </row>
    <row r="960">
      <c r="A960" s="155">
        <f>IFERROR(__xludf.DUMMYFUNCTION("""COMPUTED_VALUE"""),67.0)</f>
        <v>67</v>
      </c>
      <c r="B960" s="155" t="str">
        <f>IFERROR(__xludf.DUMMYFUNCTION("""COMPUTED_VALUE"""),"guve23ece@cmrit.ac.in")</f>
        <v>guve23ece@cmrit.ac.in</v>
      </c>
      <c r="C960" s="174" t="str">
        <f>IFERROR(__xludf.DUMMYFUNCTION("""COMPUTED_VALUE"""),"Gurram venkata kumara karthikeya")</f>
        <v>Gurram venkata kumara karthikeya</v>
      </c>
      <c r="D960" s="155" t="str">
        <f>IFERROR(__xludf.DUMMYFUNCTION("""COMPUTED_VALUE"""),"1CR23EC067")</f>
        <v>1CR23EC067</v>
      </c>
      <c r="E960" s="563">
        <f>IFERROR(__xludf.DUMMYFUNCTION("""COMPUTED_VALUE"""),9.392730656E9)</f>
        <v>9392730656</v>
      </c>
      <c r="F960" s="155" t="str">
        <f>IFERROR(__xludf.DUMMYFUNCTION("""COMPUTED_VALUE"""),"ECE")</f>
        <v>ECE</v>
      </c>
      <c r="G960" s="158"/>
      <c r="H960" s="559">
        <f>IFERROR(__xludf.DUMMYFUNCTION("""COMPUTED_VALUE"""),70.0)</f>
        <v>70</v>
      </c>
      <c r="I960" s="559">
        <f>IFERROR(__xludf.DUMMYFUNCTION("""COMPUTED_VALUE"""),73.0)</f>
        <v>73</v>
      </c>
      <c r="J960" s="559">
        <f>IFERROR(__xludf.DUMMYFUNCTION("""COMPUTED_VALUE"""),75.0)</f>
        <v>75</v>
      </c>
      <c r="K960" s="559">
        <f>IFERROR(__xludf.DUMMYFUNCTION("""COMPUTED_VALUE"""),81.0)</f>
        <v>81</v>
      </c>
      <c r="L960" s="560">
        <f>IFERROR(__xludf.DUMMYFUNCTION("""COMPUTED_VALUE"""),81.0)</f>
        <v>81</v>
      </c>
      <c r="M960" s="561">
        <f>IFERROR(__xludf.DUMMYFUNCTION("""COMPUTED_VALUE"""),50.0)</f>
        <v>50</v>
      </c>
      <c r="N960" s="561">
        <f>IFERROR(__xludf.DUMMYFUNCTION("""COMPUTED_VALUE"""),56.0)</f>
        <v>56</v>
      </c>
      <c r="O960" s="560"/>
      <c r="P960" s="562">
        <f>IFERROR(__xludf.DUMMYFUNCTION("""COMPUTED_VALUE"""),95.0)</f>
        <v>95</v>
      </c>
      <c r="Q960" s="562">
        <f>IFERROR(__xludf.DUMMYFUNCTION("""COMPUTED_VALUE"""),65.0)</f>
        <v>65</v>
      </c>
      <c r="R960" s="562">
        <f>IFERROR(__xludf.DUMMYFUNCTION("""COMPUTED_VALUE"""),88.0)</f>
        <v>88</v>
      </c>
      <c r="S960" s="562"/>
      <c r="T960" s="217">
        <f>IFERROR(__xludf.DUMMYFUNCTION("""COMPUTED_VALUE"""),10.0)</f>
        <v>10</v>
      </c>
      <c r="U960" s="217">
        <f>IFERROR(__xludf.DUMMYFUNCTION("""COMPUTED_VALUE"""),18.0)</f>
        <v>18</v>
      </c>
      <c r="V960" s="217">
        <f>IFERROR(__xludf.DUMMYFUNCTION("""COMPUTED_VALUE"""),60.0)</f>
        <v>60</v>
      </c>
      <c r="W960" s="217">
        <f>IFERROR(__xludf.DUMMYFUNCTION("""COMPUTED_VALUE"""),86.0)</f>
        <v>86</v>
      </c>
      <c r="X960" s="217">
        <f>IFERROR(__xludf.DUMMYFUNCTION("""COMPUTED_VALUE"""),74.0)</f>
        <v>74</v>
      </c>
      <c r="Y960" s="217"/>
      <c r="Z960" s="217"/>
      <c r="AA960" s="481">
        <f>IFERROR(__xludf.DUMMYFUNCTION("""COMPUTED_VALUE"""),94.0)</f>
        <v>94</v>
      </c>
      <c r="AB960" s="481">
        <f>IFERROR(__xludf.DUMMYFUNCTION("""COMPUTED_VALUE"""),73.0)</f>
        <v>73</v>
      </c>
      <c r="AC960" s="481">
        <f>IFERROR(__xludf.DUMMYFUNCTION("""COMPUTED_VALUE"""),86.0)</f>
        <v>86</v>
      </c>
      <c r="AD960" s="481"/>
      <c r="AE960" s="481">
        <f>IFERROR(__xludf.DUMMYFUNCTION("""COMPUTED_VALUE"""),75.0)</f>
        <v>75</v>
      </c>
      <c r="AF960" s="481"/>
      <c r="AG960" s="481"/>
      <c r="AH960" s="481">
        <f>IFERROR(__xludf.DUMMYFUNCTION("""COMPUTED_VALUE"""),80.0)</f>
        <v>80</v>
      </c>
      <c r="AI960" s="158"/>
      <c r="AJ960" s="158"/>
      <c r="AK960" s="133">
        <f>IFERROR(__xludf.DUMMYFUNCTION("""COMPUTED_VALUE"""),4.0)</f>
        <v>4</v>
      </c>
      <c r="AL960" s="133">
        <f>IFERROR(__xludf.DUMMYFUNCTION("""COMPUTED_VALUE"""),3.0)</f>
        <v>3</v>
      </c>
      <c r="AM960" s="133">
        <f>IFERROR(__xludf.DUMMYFUNCTION("""COMPUTED_VALUE"""),3.0)</f>
        <v>3</v>
      </c>
      <c r="AN960" s="133" t="str">
        <f>IFERROR(__xludf.DUMMYFUNCTION("""COMPUTED_VALUE"""),"3.5")</f>
        <v>3.5</v>
      </c>
      <c r="AO960" s="133">
        <f>IFERROR(__xludf.DUMMYFUNCTION("""COMPUTED_VALUE"""),3.0)</f>
        <v>3</v>
      </c>
      <c r="AP960" s="155" t="s">
        <v>3736</v>
      </c>
    </row>
    <row r="961">
      <c r="A961" s="155">
        <f>IFERROR(__xludf.DUMMYFUNCTION("""COMPUTED_VALUE"""),68.0)</f>
        <v>68</v>
      </c>
      <c r="B961" s="155" t="str">
        <f>IFERROR(__xludf.DUMMYFUNCTION("""COMPUTED_VALUE"""),"guna23ece@cmrit.ac.in")</f>
        <v>guna23ece@cmrit.ac.in</v>
      </c>
      <c r="C961" s="174" t="str">
        <f>IFERROR(__xludf.DUMMYFUNCTION("""COMPUTED_VALUE"""),"Guvvala Naveen kumar")</f>
        <v>Guvvala Naveen kumar</v>
      </c>
      <c r="D961" s="155" t="str">
        <f>IFERROR(__xludf.DUMMYFUNCTION("""COMPUTED_VALUE"""),"1CR23EC068")</f>
        <v>1CR23EC068</v>
      </c>
      <c r="E961" s="563">
        <f>IFERROR(__xludf.DUMMYFUNCTION("""COMPUTED_VALUE"""),8.91910447E9)</f>
        <v>8919104470</v>
      </c>
      <c r="F961" s="155" t="str">
        <f>IFERROR(__xludf.DUMMYFUNCTION("""COMPUTED_VALUE"""),"ECE")</f>
        <v>ECE</v>
      </c>
      <c r="G961" s="158"/>
      <c r="H961" s="559">
        <f>IFERROR(__xludf.DUMMYFUNCTION("""COMPUTED_VALUE"""),73.0)</f>
        <v>73</v>
      </c>
      <c r="I961" s="559">
        <f>IFERROR(__xludf.DUMMYFUNCTION("""COMPUTED_VALUE"""),72.0)</f>
        <v>72</v>
      </c>
      <c r="J961" s="559">
        <f>IFERROR(__xludf.DUMMYFUNCTION("""COMPUTED_VALUE"""),26.0)</f>
        <v>26</v>
      </c>
      <c r="K961" s="559">
        <f>IFERROR(__xludf.DUMMYFUNCTION("""COMPUTED_VALUE"""),70.0)</f>
        <v>70</v>
      </c>
      <c r="L961" s="560">
        <f>IFERROR(__xludf.DUMMYFUNCTION("""COMPUTED_VALUE"""),51.0)</f>
        <v>51</v>
      </c>
      <c r="M961" s="561">
        <f>IFERROR(__xludf.DUMMYFUNCTION("""COMPUTED_VALUE"""),50.0)</f>
        <v>50</v>
      </c>
      <c r="N961" s="561">
        <f>IFERROR(__xludf.DUMMYFUNCTION("""COMPUTED_VALUE"""),4.0)</f>
        <v>4</v>
      </c>
      <c r="O961" s="560"/>
      <c r="P961" s="562">
        <f>IFERROR(__xludf.DUMMYFUNCTION("""COMPUTED_VALUE"""),76.0)</f>
        <v>76</v>
      </c>
      <c r="Q961" s="562">
        <f>IFERROR(__xludf.DUMMYFUNCTION("""COMPUTED_VALUE"""),0.0)</f>
        <v>0</v>
      </c>
      <c r="R961" s="562">
        <f>IFERROR(__xludf.DUMMYFUNCTION("""COMPUTED_VALUE"""),0.0)</f>
        <v>0</v>
      </c>
      <c r="S961" s="562"/>
      <c r="T961" s="217">
        <f>IFERROR(__xludf.DUMMYFUNCTION("""COMPUTED_VALUE"""),10.0)</f>
        <v>10</v>
      </c>
      <c r="U961" s="217">
        <f>IFERROR(__xludf.DUMMYFUNCTION("""COMPUTED_VALUE"""),18.0)</f>
        <v>18</v>
      </c>
      <c r="V961" s="217">
        <f>IFERROR(__xludf.DUMMYFUNCTION("""COMPUTED_VALUE"""),50.0)</f>
        <v>50</v>
      </c>
      <c r="W961" s="217">
        <f>IFERROR(__xludf.DUMMYFUNCTION("""COMPUTED_VALUE"""),80.0)</f>
        <v>80</v>
      </c>
      <c r="X961" s="217">
        <f>IFERROR(__xludf.DUMMYFUNCTION("""COMPUTED_VALUE"""),60.0)</f>
        <v>60</v>
      </c>
      <c r="Y961" s="217"/>
      <c r="Z961" s="217"/>
      <c r="AA961" s="481">
        <f>IFERROR(__xludf.DUMMYFUNCTION("""COMPUTED_VALUE"""),50.0)</f>
        <v>50</v>
      </c>
      <c r="AB961" s="481">
        <f>IFERROR(__xludf.DUMMYFUNCTION("""COMPUTED_VALUE"""),72.0)</f>
        <v>72</v>
      </c>
      <c r="AC961" s="481">
        <f>IFERROR(__xludf.DUMMYFUNCTION("""COMPUTED_VALUE"""),0.0)</f>
        <v>0</v>
      </c>
      <c r="AD961" s="481"/>
      <c r="AE961" s="481">
        <f>IFERROR(__xludf.DUMMYFUNCTION("""COMPUTED_VALUE"""),10.0)</f>
        <v>10</v>
      </c>
      <c r="AF961" s="481"/>
      <c r="AG961" s="481"/>
      <c r="AH961" s="481">
        <f>IFERROR(__xludf.DUMMYFUNCTION("""COMPUTED_VALUE"""),0.0)</f>
        <v>0</v>
      </c>
      <c r="AI961" s="158"/>
      <c r="AJ961" s="158"/>
      <c r="AK961" s="133">
        <f>IFERROR(__xludf.DUMMYFUNCTION("""COMPUTED_VALUE"""),2.0)</f>
        <v>2</v>
      </c>
      <c r="AL961" s="133">
        <f>IFERROR(__xludf.DUMMYFUNCTION("""COMPUTED_VALUE"""),2.0)</f>
        <v>2</v>
      </c>
      <c r="AM961" s="133">
        <f>IFERROR(__xludf.DUMMYFUNCTION("""COMPUTED_VALUE"""),3.0)</f>
        <v>3</v>
      </c>
      <c r="AN961" s="133" t="str">
        <f>IFERROR(__xludf.DUMMYFUNCTION("""COMPUTED_VALUE"""),"2")</f>
        <v>2</v>
      </c>
      <c r="AO961" s="133">
        <f>IFERROR(__xludf.DUMMYFUNCTION("""COMPUTED_VALUE"""),1.0)</f>
        <v>1</v>
      </c>
      <c r="AP961" s="155" t="s">
        <v>3736</v>
      </c>
    </row>
    <row r="962">
      <c r="A962" s="155">
        <f>IFERROR(__xludf.DUMMYFUNCTION("""COMPUTED_VALUE"""),69.0)</f>
        <v>69</v>
      </c>
      <c r="B962" s="155" t="str">
        <f>IFERROR(__xludf.DUMMYFUNCTION("""COMPUTED_VALUE"""),"hag23ece@cmrit.ac.in")</f>
        <v>hag23ece@cmrit.ac.in</v>
      </c>
      <c r="C962" s="174" t="str">
        <f>IFERROR(__xludf.DUMMYFUNCTION("""COMPUTED_VALUE"""),"HARIHARAN G")</f>
        <v>HARIHARAN G</v>
      </c>
      <c r="D962" s="155" t="str">
        <f>IFERROR(__xludf.DUMMYFUNCTION("""COMPUTED_VALUE"""),"1CR23EC069")</f>
        <v>1CR23EC069</v>
      </c>
      <c r="E962" s="563">
        <f>IFERROR(__xludf.DUMMYFUNCTION("""COMPUTED_VALUE"""),9.480381614E9)</f>
        <v>9480381614</v>
      </c>
      <c r="F962" s="155" t="str">
        <f>IFERROR(__xludf.DUMMYFUNCTION("""COMPUTED_VALUE"""),"ECE")</f>
        <v>ECE</v>
      </c>
      <c r="G962" s="158"/>
      <c r="H962" s="559">
        <f>IFERROR(__xludf.DUMMYFUNCTION("""COMPUTED_VALUE"""),82.0)</f>
        <v>82</v>
      </c>
      <c r="I962" s="559">
        <f>IFERROR(__xludf.DUMMYFUNCTION("""COMPUTED_VALUE"""),86.0)</f>
        <v>86</v>
      </c>
      <c r="J962" s="559">
        <f>IFERROR(__xludf.DUMMYFUNCTION("""COMPUTED_VALUE"""),82.0)</f>
        <v>82</v>
      </c>
      <c r="K962" s="559">
        <f>IFERROR(__xludf.DUMMYFUNCTION("""COMPUTED_VALUE"""),71.0)</f>
        <v>71</v>
      </c>
      <c r="L962" s="560">
        <f>IFERROR(__xludf.DUMMYFUNCTION("""COMPUTED_VALUE"""),36.0)</f>
        <v>36</v>
      </c>
      <c r="M962" s="561">
        <f>IFERROR(__xludf.DUMMYFUNCTION("""COMPUTED_VALUE"""),31.0)</f>
        <v>31</v>
      </c>
      <c r="N962" s="561">
        <f>IFERROR(__xludf.DUMMYFUNCTION("""COMPUTED_VALUE"""),35.0)</f>
        <v>35</v>
      </c>
      <c r="O962" s="560"/>
      <c r="P962" s="562">
        <f>IFERROR(__xludf.DUMMYFUNCTION("""COMPUTED_VALUE"""),79.0)</f>
        <v>79</v>
      </c>
      <c r="Q962" s="562">
        <f>IFERROR(__xludf.DUMMYFUNCTION("""COMPUTED_VALUE"""),70.0)</f>
        <v>70</v>
      </c>
      <c r="R962" s="562">
        <f>IFERROR(__xludf.DUMMYFUNCTION("""COMPUTED_VALUE"""),78.0)</f>
        <v>78</v>
      </c>
      <c r="S962" s="562"/>
      <c r="T962" s="217">
        <f>IFERROR(__xludf.DUMMYFUNCTION("""COMPUTED_VALUE"""),11.0)</f>
        <v>11</v>
      </c>
      <c r="U962" s="217">
        <f>IFERROR(__xludf.DUMMYFUNCTION("""COMPUTED_VALUE"""),17.0)</f>
        <v>17</v>
      </c>
      <c r="V962" s="217">
        <f>IFERROR(__xludf.DUMMYFUNCTION("""COMPUTED_VALUE"""),54.0)</f>
        <v>54</v>
      </c>
      <c r="W962" s="217">
        <f>IFERROR(__xludf.DUMMYFUNCTION("""COMPUTED_VALUE"""),68.0)</f>
        <v>68</v>
      </c>
      <c r="X962" s="217">
        <f>IFERROR(__xludf.DUMMYFUNCTION("""COMPUTED_VALUE"""),82.0)</f>
        <v>82</v>
      </c>
      <c r="Y962" s="217"/>
      <c r="Z962" s="217"/>
      <c r="AA962" s="481">
        <f>IFERROR(__xludf.DUMMYFUNCTION("""COMPUTED_VALUE"""),65.0)</f>
        <v>65</v>
      </c>
      <c r="AB962" s="481">
        <f>IFERROR(__xludf.DUMMYFUNCTION("""COMPUTED_VALUE"""),75.0)</f>
        <v>75</v>
      </c>
      <c r="AC962" s="481">
        <f>IFERROR(__xludf.DUMMYFUNCTION("""COMPUTED_VALUE"""),79.0)</f>
        <v>79</v>
      </c>
      <c r="AD962" s="481"/>
      <c r="AE962" s="481">
        <f>IFERROR(__xludf.DUMMYFUNCTION("""COMPUTED_VALUE"""),70.0)</f>
        <v>70</v>
      </c>
      <c r="AF962" s="481"/>
      <c r="AG962" s="481"/>
      <c r="AH962" s="481">
        <f>IFERROR(__xludf.DUMMYFUNCTION("""COMPUTED_VALUE"""),80.0)</f>
        <v>80</v>
      </c>
      <c r="AI962" s="158"/>
      <c r="AJ962" s="158"/>
      <c r="AK962" s="133">
        <f>IFERROR(__xludf.DUMMYFUNCTION("""COMPUTED_VALUE"""),4.0)</f>
        <v>4</v>
      </c>
      <c r="AL962" s="133">
        <f>IFERROR(__xludf.DUMMYFUNCTION("""COMPUTED_VALUE"""),0.0)</f>
        <v>0</v>
      </c>
      <c r="AM962" s="133">
        <f>IFERROR(__xludf.DUMMYFUNCTION("""COMPUTED_VALUE"""),3.0)</f>
        <v>3</v>
      </c>
      <c r="AN962" s="133" t="str">
        <f>IFERROR(__xludf.DUMMYFUNCTION("""COMPUTED_VALUE"""),"3.5")</f>
        <v>3.5</v>
      </c>
      <c r="AO962" s="133">
        <f>IFERROR(__xludf.DUMMYFUNCTION("""COMPUTED_VALUE"""),3.0)</f>
        <v>3</v>
      </c>
      <c r="AP962" s="155" t="s">
        <v>3736</v>
      </c>
    </row>
    <row r="963">
      <c r="A963" s="155">
        <f>IFERROR(__xludf.DUMMYFUNCTION("""COMPUTED_VALUE"""),70.0)</f>
        <v>70</v>
      </c>
      <c r="B963" s="155" t="str">
        <f>IFERROR(__xludf.DUMMYFUNCTION("""COMPUTED_VALUE"""),"hacr23ece@cmrit.ac.in")</f>
        <v>hacr23ece@cmrit.ac.in</v>
      </c>
      <c r="C963" s="174" t="str">
        <f>IFERROR(__xludf.DUMMYFUNCTION("""COMPUTED_VALUE"""),"HARIPRIYA C R")</f>
        <v>HARIPRIYA C R</v>
      </c>
      <c r="D963" s="155" t="str">
        <f>IFERROR(__xludf.DUMMYFUNCTION("""COMPUTED_VALUE"""),"1CR23EC070")</f>
        <v>1CR23EC070</v>
      </c>
      <c r="E963" s="563">
        <f>IFERROR(__xludf.DUMMYFUNCTION("""COMPUTED_VALUE"""),7.619627854E9)</f>
        <v>7619627854</v>
      </c>
      <c r="F963" s="155" t="str">
        <f>IFERROR(__xludf.DUMMYFUNCTION("""COMPUTED_VALUE"""),"ECE")</f>
        <v>ECE</v>
      </c>
      <c r="G963" s="158"/>
      <c r="H963" s="559">
        <f>IFERROR(__xludf.DUMMYFUNCTION("""COMPUTED_VALUE"""),79.0)</f>
        <v>79</v>
      </c>
      <c r="I963" s="559">
        <f>IFERROR(__xludf.DUMMYFUNCTION("""COMPUTED_VALUE"""),75.0)</f>
        <v>75</v>
      </c>
      <c r="J963" s="559">
        <f>IFERROR(__xludf.DUMMYFUNCTION("""COMPUTED_VALUE"""),41.0)</f>
        <v>41</v>
      </c>
      <c r="K963" s="559">
        <f>IFERROR(__xludf.DUMMYFUNCTION("""COMPUTED_VALUE"""),70.0)</f>
        <v>70</v>
      </c>
      <c r="L963" s="560">
        <f>IFERROR(__xludf.DUMMYFUNCTION("""COMPUTED_VALUE"""),4.0)</f>
        <v>4</v>
      </c>
      <c r="M963" s="561">
        <f>IFERROR(__xludf.DUMMYFUNCTION("""COMPUTED_VALUE"""),17.0)</f>
        <v>17</v>
      </c>
      <c r="N963" s="561">
        <f>IFERROR(__xludf.DUMMYFUNCTION("""COMPUTED_VALUE"""),6.0)</f>
        <v>6</v>
      </c>
      <c r="O963" s="560"/>
      <c r="P963" s="562">
        <f>IFERROR(__xludf.DUMMYFUNCTION("""COMPUTED_VALUE"""),50.0)</f>
        <v>50</v>
      </c>
      <c r="Q963" s="562">
        <f>IFERROR(__xludf.DUMMYFUNCTION("""COMPUTED_VALUE"""),0.0)</f>
        <v>0</v>
      </c>
      <c r="R963" s="562">
        <f>IFERROR(__xludf.DUMMYFUNCTION("""COMPUTED_VALUE"""),50.0)</f>
        <v>50</v>
      </c>
      <c r="S963" s="562"/>
      <c r="T963" s="217">
        <f>IFERROR(__xludf.DUMMYFUNCTION("""COMPUTED_VALUE"""),18.0)</f>
        <v>18</v>
      </c>
      <c r="U963" s="217">
        <f>IFERROR(__xludf.DUMMYFUNCTION("""COMPUTED_VALUE"""),10.0)</f>
        <v>10</v>
      </c>
      <c r="V963" s="217">
        <f>IFERROR(__xludf.DUMMYFUNCTION("""COMPUTED_VALUE"""),64.0)</f>
        <v>64</v>
      </c>
      <c r="W963" s="217">
        <f>IFERROR(__xludf.DUMMYFUNCTION("""COMPUTED_VALUE"""),82.0)</f>
        <v>82</v>
      </c>
      <c r="X963" s="217">
        <f>IFERROR(__xludf.DUMMYFUNCTION("""COMPUTED_VALUE"""),70.0)</f>
        <v>70</v>
      </c>
      <c r="Y963" s="217"/>
      <c r="Z963" s="217"/>
      <c r="AA963" s="481">
        <f>IFERROR(__xludf.DUMMYFUNCTION("""COMPUTED_VALUE"""),0.0)</f>
        <v>0</v>
      </c>
      <c r="AB963" s="481">
        <f>IFERROR(__xludf.DUMMYFUNCTION("""COMPUTED_VALUE"""),30.0)</f>
        <v>30</v>
      </c>
      <c r="AC963" s="481">
        <f>IFERROR(__xludf.DUMMYFUNCTION("""COMPUTED_VALUE"""),0.0)</f>
        <v>0</v>
      </c>
      <c r="AD963" s="481"/>
      <c r="AE963" s="481">
        <f>IFERROR(__xludf.DUMMYFUNCTION("""COMPUTED_VALUE"""),10.0)</f>
        <v>10</v>
      </c>
      <c r="AF963" s="481"/>
      <c r="AG963" s="481"/>
      <c r="AH963" s="481">
        <f>IFERROR(__xludf.DUMMYFUNCTION("""COMPUTED_VALUE"""),0.0)</f>
        <v>0</v>
      </c>
      <c r="AI963" s="158"/>
      <c r="AJ963" s="158"/>
      <c r="AK963" s="133">
        <f>IFERROR(__xludf.DUMMYFUNCTION("""COMPUTED_VALUE"""),2.0)</f>
        <v>2</v>
      </c>
      <c r="AL963" s="133">
        <f>IFERROR(__xludf.DUMMYFUNCTION("""COMPUTED_VALUE"""),0.0)</f>
        <v>0</v>
      </c>
      <c r="AM963" s="133">
        <f>IFERROR(__xludf.DUMMYFUNCTION("""COMPUTED_VALUE"""),3.0)</f>
        <v>3</v>
      </c>
      <c r="AN963" s="133" t="str">
        <f>IFERROR(__xludf.DUMMYFUNCTION("""COMPUTED_VALUE"""),"0")</f>
        <v>0</v>
      </c>
      <c r="AO963" s="133">
        <f>IFERROR(__xludf.DUMMYFUNCTION("""COMPUTED_VALUE"""),1.0)</f>
        <v>1</v>
      </c>
      <c r="AP963" s="155" t="s">
        <v>3736</v>
      </c>
    </row>
    <row r="964">
      <c r="A964" s="155">
        <f>IFERROR(__xludf.DUMMYFUNCTION("""COMPUTED_VALUE"""),71.0)</f>
        <v>71</v>
      </c>
      <c r="B964" s="155" t="str">
        <f>IFERROR(__xludf.DUMMYFUNCTION("""COMPUTED_VALUE"""),"har23ece@cmrit.ac.in")</f>
        <v>har23ece@cmrit.ac.in</v>
      </c>
      <c r="C964" s="174" t="str">
        <f>IFERROR(__xludf.DUMMYFUNCTION("""COMPUTED_VALUE"""),"HARISH R")</f>
        <v>HARISH R</v>
      </c>
      <c r="D964" s="155" t="str">
        <f>IFERROR(__xludf.DUMMYFUNCTION("""COMPUTED_VALUE"""),"1CR23EC071")</f>
        <v>1CR23EC071</v>
      </c>
      <c r="E964" s="563">
        <f>IFERROR(__xludf.DUMMYFUNCTION("""COMPUTED_VALUE"""),7.411341398E9)</f>
        <v>7411341398</v>
      </c>
      <c r="F964" s="155" t="str">
        <f>IFERROR(__xludf.DUMMYFUNCTION("""COMPUTED_VALUE"""),"ECE")</f>
        <v>ECE</v>
      </c>
      <c r="G964" s="158"/>
      <c r="H964" s="559">
        <f>IFERROR(__xludf.DUMMYFUNCTION("""COMPUTED_VALUE"""),77.0)</f>
        <v>77</v>
      </c>
      <c r="I964" s="559">
        <f>IFERROR(__xludf.DUMMYFUNCTION("""COMPUTED_VALUE"""),71.0)</f>
        <v>71</v>
      </c>
      <c r="J964" s="559">
        <f>IFERROR(__xludf.DUMMYFUNCTION("""COMPUTED_VALUE"""),70.0)</f>
        <v>70</v>
      </c>
      <c r="K964" s="559">
        <f>IFERROR(__xludf.DUMMYFUNCTION("""COMPUTED_VALUE"""),70.0)</f>
        <v>70</v>
      </c>
      <c r="L964" s="560">
        <f>IFERROR(__xludf.DUMMYFUNCTION("""COMPUTED_VALUE"""),21.0)</f>
        <v>21</v>
      </c>
      <c r="M964" s="561">
        <f>IFERROR(__xludf.DUMMYFUNCTION("""COMPUTED_VALUE"""),20.0)</f>
        <v>20</v>
      </c>
      <c r="N964" s="561">
        <f>IFERROR(__xludf.DUMMYFUNCTION("""COMPUTED_VALUE"""),0.0)</f>
        <v>0</v>
      </c>
      <c r="O964" s="560"/>
      <c r="P964" s="562">
        <f>IFERROR(__xludf.DUMMYFUNCTION("""COMPUTED_VALUE"""),0.0)</f>
        <v>0</v>
      </c>
      <c r="Q964" s="562">
        <f>IFERROR(__xludf.DUMMYFUNCTION("""COMPUTED_VALUE"""),0.0)</f>
        <v>0</v>
      </c>
      <c r="R964" s="562">
        <f>IFERROR(__xludf.DUMMYFUNCTION("""COMPUTED_VALUE"""),0.0)</f>
        <v>0</v>
      </c>
      <c r="S964" s="562"/>
      <c r="T964" s="217">
        <f>IFERROR(__xludf.DUMMYFUNCTION("""COMPUTED_VALUE"""),10.0)</f>
        <v>10</v>
      </c>
      <c r="U964" s="217">
        <f>IFERROR(__xludf.DUMMYFUNCTION("""COMPUTED_VALUE"""),18.0)</f>
        <v>18</v>
      </c>
      <c r="V964" s="217">
        <f>IFERROR(__xludf.DUMMYFUNCTION("""COMPUTED_VALUE"""),46.0)</f>
        <v>46</v>
      </c>
      <c r="W964" s="217">
        <f>IFERROR(__xludf.DUMMYFUNCTION("""COMPUTED_VALUE"""),0.0)</f>
        <v>0</v>
      </c>
      <c r="X964" s="217">
        <f>IFERROR(__xludf.DUMMYFUNCTION("""COMPUTED_VALUE"""),64.0)</f>
        <v>64</v>
      </c>
      <c r="Y964" s="217"/>
      <c r="Z964" s="217"/>
      <c r="AA964" s="481">
        <f>IFERROR(__xludf.DUMMYFUNCTION("""COMPUTED_VALUE"""),12.0)</f>
        <v>12</v>
      </c>
      <c r="AB964" s="481">
        <f>IFERROR(__xludf.DUMMYFUNCTION("""COMPUTED_VALUE"""),45.0)</f>
        <v>45</v>
      </c>
      <c r="AC964" s="481">
        <f>IFERROR(__xludf.DUMMYFUNCTION("""COMPUTED_VALUE"""),0.0)</f>
        <v>0</v>
      </c>
      <c r="AD964" s="481"/>
      <c r="AE964" s="481">
        <f>IFERROR(__xludf.DUMMYFUNCTION("""COMPUTED_VALUE"""),10.0)</f>
        <v>10</v>
      </c>
      <c r="AF964" s="481"/>
      <c r="AG964" s="481"/>
      <c r="AH964" s="481"/>
      <c r="AI964" s="158"/>
      <c r="AJ964" s="158"/>
      <c r="AK964" s="133">
        <f>IFERROR(__xludf.DUMMYFUNCTION("""COMPUTED_VALUE"""),4.0)</f>
        <v>4</v>
      </c>
      <c r="AL964" s="133">
        <f>IFERROR(__xludf.DUMMYFUNCTION("""COMPUTED_VALUE"""),0.0)</f>
        <v>0</v>
      </c>
      <c r="AM964" s="133">
        <f>IFERROR(__xludf.DUMMYFUNCTION("""COMPUTED_VALUE"""),2.0)</f>
        <v>2</v>
      </c>
      <c r="AN964" s="133" t="str">
        <f>IFERROR(__xludf.DUMMYFUNCTION("""COMPUTED_VALUE"""),"0")</f>
        <v>0</v>
      </c>
      <c r="AO964" s="133">
        <f>IFERROR(__xludf.DUMMYFUNCTION("""COMPUTED_VALUE"""),0.0)</f>
        <v>0</v>
      </c>
      <c r="AP964" s="155" t="s">
        <v>3736</v>
      </c>
    </row>
    <row r="965">
      <c r="A965" s="155">
        <f>IFERROR(__xludf.DUMMYFUNCTION("""COMPUTED_VALUE"""),72.0)</f>
        <v>72</v>
      </c>
      <c r="B965" s="155" t="str">
        <f>IFERROR(__xludf.DUMMYFUNCTION("""COMPUTED_VALUE"""),"habl23ece@cmrit.ac.in")</f>
        <v>habl23ece@cmrit.ac.in</v>
      </c>
      <c r="C965" s="174" t="str">
        <f>IFERROR(__xludf.DUMMYFUNCTION("""COMPUTED_VALUE"""),"HARSHA BL")</f>
        <v>HARSHA BL</v>
      </c>
      <c r="D965" s="155" t="str">
        <f>IFERROR(__xludf.DUMMYFUNCTION("""COMPUTED_VALUE"""),"1CR23EC072")</f>
        <v>1CR23EC072</v>
      </c>
      <c r="E965" s="563">
        <f>IFERROR(__xludf.DUMMYFUNCTION("""COMPUTED_VALUE"""),7.899851094E9)</f>
        <v>7899851094</v>
      </c>
      <c r="F965" s="155" t="str">
        <f>IFERROR(__xludf.DUMMYFUNCTION("""COMPUTED_VALUE"""),"ECE")</f>
        <v>ECE</v>
      </c>
      <c r="G965" s="158"/>
      <c r="H965" s="559">
        <f>IFERROR(__xludf.DUMMYFUNCTION("""COMPUTED_VALUE"""),80.0)</f>
        <v>80</v>
      </c>
      <c r="I965" s="559">
        <f>IFERROR(__xludf.DUMMYFUNCTION("""COMPUTED_VALUE"""),80.0)</f>
        <v>80</v>
      </c>
      <c r="J965" s="559">
        <f>IFERROR(__xludf.DUMMYFUNCTION("""COMPUTED_VALUE"""),39.0)</f>
        <v>39</v>
      </c>
      <c r="K965" s="559">
        <f>IFERROR(__xludf.DUMMYFUNCTION("""COMPUTED_VALUE"""),70.0)</f>
        <v>70</v>
      </c>
      <c r="L965" s="560">
        <f>IFERROR(__xludf.DUMMYFUNCTION("""COMPUTED_VALUE"""),12.0)</f>
        <v>12</v>
      </c>
      <c r="M965" s="561">
        <f>IFERROR(__xludf.DUMMYFUNCTION("""COMPUTED_VALUE"""),17.0)</f>
        <v>17</v>
      </c>
      <c r="N965" s="561">
        <f>IFERROR(__xludf.DUMMYFUNCTION("""COMPUTED_VALUE"""),0.0)</f>
        <v>0</v>
      </c>
      <c r="O965" s="560"/>
      <c r="P965" s="562">
        <f>IFERROR(__xludf.DUMMYFUNCTION("""COMPUTED_VALUE"""),70.0)</f>
        <v>70</v>
      </c>
      <c r="Q965" s="562">
        <f>IFERROR(__xludf.DUMMYFUNCTION("""COMPUTED_VALUE"""),0.0)</f>
        <v>0</v>
      </c>
      <c r="R965" s="562">
        <f>IFERROR(__xludf.DUMMYFUNCTION("""COMPUTED_VALUE"""),30.0)</f>
        <v>30</v>
      </c>
      <c r="S965" s="562"/>
      <c r="T965" s="217">
        <f>IFERROR(__xludf.DUMMYFUNCTION("""COMPUTED_VALUE"""),19.0)</f>
        <v>19</v>
      </c>
      <c r="U965" s="217">
        <f>IFERROR(__xludf.DUMMYFUNCTION("""COMPUTED_VALUE"""),17.0)</f>
        <v>17</v>
      </c>
      <c r="V965" s="217">
        <f>IFERROR(__xludf.DUMMYFUNCTION("""COMPUTED_VALUE"""),42.0)</f>
        <v>42</v>
      </c>
      <c r="W965" s="217">
        <f>IFERROR(__xludf.DUMMYFUNCTION("""COMPUTED_VALUE"""),80.0)</f>
        <v>80</v>
      </c>
      <c r="X965" s="217">
        <f>IFERROR(__xludf.DUMMYFUNCTION("""COMPUTED_VALUE"""),68.0)</f>
        <v>68</v>
      </c>
      <c r="Y965" s="217"/>
      <c r="Z965" s="217"/>
      <c r="AA965" s="481">
        <f>IFERROR(__xludf.DUMMYFUNCTION("""COMPUTED_VALUE"""),7.0)</f>
        <v>7</v>
      </c>
      <c r="AB965" s="481">
        <f>IFERROR(__xludf.DUMMYFUNCTION("""COMPUTED_VALUE"""),25.0)</f>
        <v>25</v>
      </c>
      <c r="AC965" s="481">
        <f>IFERROR(__xludf.DUMMYFUNCTION("""COMPUTED_VALUE"""),0.0)</f>
        <v>0</v>
      </c>
      <c r="AD965" s="481"/>
      <c r="AE965" s="481">
        <f>IFERROR(__xludf.DUMMYFUNCTION("""COMPUTED_VALUE"""),10.0)</f>
        <v>10</v>
      </c>
      <c r="AF965" s="481"/>
      <c r="AG965" s="481"/>
      <c r="AH965" s="481">
        <f>IFERROR(__xludf.DUMMYFUNCTION("""COMPUTED_VALUE"""),14.0)</f>
        <v>14</v>
      </c>
      <c r="AI965" s="158"/>
      <c r="AJ965" s="158"/>
      <c r="AK965" s="133">
        <f>IFERROR(__xludf.DUMMYFUNCTION("""COMPUTED_VALUE"""),2.0)</f>
        <v>2</v>
      </c>
      <c r="AL965" s="133">
        <f>IFERROR(__xludf.DUMMYFUNCTION("""COMPUTED_VALUE"""),0.0)</f>
        <v>0</v>
      </c>
      <c r="AM965" s="133">
        <f>IFERROR(__xludf.DUMMYFUNCTION("""COMPUTED_VALUE"""),3.0)</f>
        <v>3</v>
      </c>
      <c r="AN965" s="133" t="str">
        <f>IFERROR(__xludf.DUMMYFUNCTION("""COMPUTED_VALUE"""),"0")</f>
        <v>0</v>
      </c>
      <c r="AO965" s="133">
        <f>IFERROR(__xludf.DUMMYFUNCTION("""COMPUTED_VALUE"""),1.0)</f>
        <v>1</v>
      </c>
      <c r="AP965" s="155" t="s">
        <v>3736</v>
      </c>
    </row>
    <row r="966">
      <c r="A966" s="155">
        <f>IFERROR(__xludf.DUMMYFUNCTION("""COMPUTED_VALUE"""),73.0)</f>
        <v>73</v>
      </c>
      <c r="B966" s="155" t="str">
        <f>IFERROR(__xludf.DUMMYFUNCTION("""COMPUTED_VALUE"""),"haa23ece@cmrit.ac.in")</f>
        <v>haa23ece@cmrit.ac.in</v>
      </c>
      <c r="C966" s="174" t="str">
        <f>IFERROR(__xludf.DUMMYFUNCTION("""COMPUTED_VALUE"""),"HARSHINI A")</f>
        <v>HARSHINI A</v>
      </c>
      <c r="D966" s="155" t="str">
        <f>IFERROR(__xludf.DUMMYFUNCTION("""COMPUTED_VALUE"""),"1CR23EC073")</f>
        <v>1CR23EC073</v>
      </c>
      <c r="E966" s="563">
        <f>IFERROR(__xludf.DUMMYFUNCTION("""COMPUTED_VALUE"""),6.362981868E9)</f>
        <v>6362981868</v>
      </c>
      <c r="F966" s="155" t="str">
        <f>IFERROR(__xludf.DUMMYFUNCTION("""COMPUTED_VALUE"""),"ECE")</f>
        <v>ECE</v>
      </c>
      <c r="G966" s="158"/>
      <c r="H966" s="559">
        <f>IFERROR(__xludf.DUMMYFUNCTION("""COMPUTED_VALUE"""),79.0)</f>
        <v>79</v>
      </c>
      <c r="I966" s="559">
        <f>IFERROR(__xludf.DUMMYFUNCTION("""COMPUTED_VALUE"""),82.0)</f>
        <v>82</v>
      </c>
      <c r="J966" s="559">
        <f>IFERROR(__xludf.DUMMYFUNCTION("""COMPUTED_VALUE"""),72.0)</f>
        <v>72</v>
      </c>
      <c r="K966" s="559">
        <f>IFERROR(__xludf.DUMMYFUNCTION("""COMPUTED_VALUE"""),76.0)</f>
        <v>76</v>
      </c>
      <c r="L966" s="560">
        <f>IFERROR(__xludf.DUMMYFUNCTION("""COMPUTED_VALUE"""),50.0)</f>
        <v>50</v>
      </c>
      <c r="M966" s="561">
        <f>IFERROR(__xludf.DUMMYFUNCTION("""COMPUTED_VALUE"""),20.0)</f>
        <v>20</v>
      </c>
      <c r="N966" s="561">
        <f>IFERROR(__xludf.DUMMYFUNCTION("""COMPUTED_VALUE"""),50.0)</f>
        <v>50</v>
      </c>
      <c r="O966" s="560"/>
      <c r="P966" s="562">
        <f>IFERROR(__xludf.DUMMYFUNCTION("""COMPUTED_VALUE"""),90.0)</f>
        <v>90</v>
      </c>
      <c r="Q966" s="562">
        <f>IFERROR(__xludf.DUMMYFUNCTION("""COMPUTED_VALUE"""),66.0)</f>
        <v>66</v>
      </c>
      <c r="R966" s="562">
        <f>IFERROR(__xludf.DUMMYFUNCTION("""COMPUTED_VALUE"""),85.0)</f>
        <v>85</v>
      </c>
      <c r="S966" s="562"/>
      <c r="T966" s="217">
        <f>IFERROR(__xludf.DUMMYFUNCTION("""COMPUTED_VALUE"""),12.0)</f>
        <v>12</v>
      </c>
      <c r="U966" s="217">
        <f>IFERROR(__xludf.DUMMYFUNCTION("""COMPUTED_VALUE"""),16.0)</f>
        <v>16</v>
      </c>
      <c r="V966" s="217">
        <f>IFERROR(__xludf.DUMMYFUNCTION("""COMPUTED_VALUE"""),50.0)</f>
        <v>50</v>
      </c>
      <c r="W966" s="217">
        <f>IFERROR(__xludf.DUMMYFUNCTION("""COMPUTED_VALUE"""),74.0)</f>
        <v>74</v>
      </c>
      <c r="X966" s="217">
        <f>IFERROR(__xludf.DUMMYFUNCTION("""COMPUTED_VALUE"""),66.0)</f>
        <v>66</v>
      </c>
      <c r="Y966" s="217"/>
      <c r="Z966" s="217"/>
      <c r="AA966" s="481">
        <f>IFERROR(__xludf.DUMMYFUNCTION("""COMPUTED_VALUE"""),70.0)</f>
        <v>70</v>
      </c>
      <c r="AB966" s="481">
        <f>IFERROR(__xludf.DUMMYFUNCTION("""COMPUTED_VALUE"""),75.0)</f>
        <v>75</v>
      </c>
      <c r="AC966" s="481">
        <f>IFERROR(__xludf.DUMMYFUNCTION("""COMPUTED_VALUE"""),58.0)</f>
        <v>58</v>
      </c>
      <c r="AD966" s="481"/>
      <c r="AE966" s="481">
        <f>IFERROR(__xludf.DUMMYFUNCTION("""COMPUTED_VALUE"""),73.0)</f>
        <v>73</v>
      </c>
      <c r="AF966" s="481"/>
      <c r="AG966" s="481">
        <f>IFERROR(__xludf.DUMMYFUNCTION("""COMPUTED_VALUE"""),98.0)</f>
        <v>98</v>
      </c>
      <c r="AH966" s="481"/>
      <c r="AI966" s="158"/>
      <c r="AJ966" s="158"/>
      <c r="AK966" s="133">
        <f>IFERROR(__xludf.DUMMYFUNCTION("""COMPUTED_VALUE"""),4.0)</f>
        <v>4</v>
      </c>
      <c r="AL966" s="133">
        <f>IFERROR(__xludf.DUMMYFUNCTION("""COMPUTED_VALUE"""),1.0)</f>
        <v>1</v>
      </c>
      <c r="AM966" s="133">
        <f>IFERROR(__xludf.DUMMYFUNCTION("""COMPUTED_VALUE"""),3.0)</f>
        <v>3</v>
      </c>
      <c r="AN966" s="133" t="str">
        <f>IFERROR(__xludf.DUMMYFUNCTION("""COMPUTED_VALUE"""),"2")</f>
        <v>2</v>
      </c>
      <c r="AO966" s="133">
        <f>IFERROR(__xludf.DUMMYFUNCTION("""COMPUTED_VALUE"""),3.0)</f>
        <v>3</v>
      </c>
      <c r="AP966" s="155" t="s">
        <v>3736</v>
      </c>
    </row>
    <row r="967">
      <c r="A967" s="155">
        <f>IFERROR(__xludf.DUMMYFUNCTION("""COMPUTED_VALUE"""),74.0)</f>
        <v>74</v>
      </c>
      <c r="B967" s="155" t="str">
        <f>IFERROR(__xludf.DUMMYFUNCTION("""COMPUTED_VALUE"""),"habh23ece@cmrit.ac.in")</f>
        <v>habh23ece@cmrit.ac.in</v>
      </c>
      <c r="C967" s="174" t="str">
        <f>IFERROR(__xludf.DUMMYFUNCTION("""COMPUTED_VALUE"""),"HARSHITA BHUSHAN")</f>
        <v>HARSHITA BHUSHAN</v>
      </c>
      <c r="D967" s="155" t="str">
        <f>IFERROR(__xludf.DUMMYFUNCTION("""COMPUTED_VALUE"""),"1CR23EC074")</f>
        <v>1CR23EC074</v>
      </c>
      <c r="E967" s="563">
        <f>IFERROR(__xludf.DUMMYFUNCTION("""COMPUTED_VALUE"""),7.892013935E9)</f>
        <v>7892013935</v>
      </c>
      <c r="F967" s="155" t="str">
        <f>IFERROR(__xludf.DUMMYFUNCTION("""COMPUTED_VALUE"""),"ECE")</f>
        <v>ECE</v>
      </c>
      <c r="G967" s="158"/>
      <c r="H967" s="559">
        <f>IFERROR(__xludf.DUMMYFUNCTION("""COMPUTED_VALUE"""),87.0)</f>
        <v>87</v>
      </c>
      <c r="I967" s="559">
        <f>IFERROR(__xludf.DUMMYFUNCTION("""COMPUTED_VALUE"""),88.0)</f>
        <v>88</v>
      </c>
      <c r="J967" s="559">
        <f>IFERROR(__xludf.DUMMYFUNCTION("""COMPUTED_VALUE"""),73.0)</f>
        <v>73</v>
      </c>
      <c r="K967" s="559">
        <f>IFERROR(__xludf.DUMMYFUNCTION("""COMPUTED_VALUE"""),72.0)</f>
        <v>72</v>
      </c>
      <c r="L967" s="560">
        <f>IFERROR(__xludf.DUMMYFUNCTION("""COMPUTED_VALUE"""),50.0)</f>
        <v>50</v>
      </c>
      <c r="M967" s="561">
        <f>IFERROR(__xludf.DUMMYFUNCTION("""COMPUTED_VALUE"""),50.0)</f>
        <v>50</v>
      </c>
      <c r="N967" s="561">
        <f>IFERROR(__xludf.DUMMYFUNCTION("""COMPUTED_VALUE"""),50.0)</f>
        <v>50</v>
      </c>
      <c r="O967" s="560"/>
      <c r="P967" s="562">
        <f>IFERROR(__xludf.DUMMYFUNCTION("""COMPUTED_VALUE"""),90.0)</f>
        <v>90</v>
      </c>
      <c r="Q967" s="562">
        <f>IFERROR(__xludf.DUMMYFUNCTION("""COMPUTED_VALUE"""),81.0)</f>
        <v>81</v>
      </c>
      <c r="R967" s="562">
        <f>IFERROR(__xludf.DUMMYFUNCTION("""COMPUTED_VALUE"""),83.0)</f>
        <v>83</v>
      </c>
      <c r="S967" s="562"/>
      <c r="T967" s="217">
        <f>IFERROR(__xludf.DUMMYFUNCTION("""COMPUTED_VALUE"""),16.0)</f>
        <v>16</v>
      </c>
      <c r="U967" s="217">
        <f>IFERROR(__xludf.DUMMYFUNCTION("""COMPUTED_VALUE"""),21.0)</f>
        <v>21</v>
      </c>
      <c r="V967" s="217">
        <f>IFERROR(__xludf.DUMMYFUNCTION("""COMPUTED_VALUE"""),58.0)</f>
        <v>58</v>
      </c>
      <c r="W967" s="217">
        <f>IFERROR(__xludf.DUMMYFUNCTION("""COMPUTED_VALUE"""),74.0)</f>
        <v>74</v>
      </c>
      <c r="X967" s="217">
        <f>IFERROR(__xludf.DUMMYFUNCTION("""COMPUTED_VALUE"""),60.0)</f>
        <v>60</v>
      </c>
      <c r="Y967" s="217"/>
      <c r="Z967" s="217"/>
      <c r="AA967" s="481">
        <f>IFERROR(__xludf.DUMMYFUNCTION("""COMPUTED_VALUE"""),40.0)</f>
        <v>40</v>
      </c>
      <c r="AB967" s="481">
        <f>IFERROR(__xludf.DUMMYFUNCTION("""COMPUTED_VALUE"""),90.0)</f>
        <v>90</v>
      </c>
      <c r="AC967" s="481">
        <f>IFERROR(__xludf.DUMMYFUNCTION("""COMPUTED_VALUE"""),100.0)</f>
        <v>100</v>
      </c>
      <c r="AD967" s="481"/>
      <c r="AE967" s="481">
        <f>IFERROR(__xludf.DUMMYFUNCTION("""COMPUTED_VALUE"""),80.0)</f>
        <v>80</v>
      </c>
      <c r="AF967" s="481"/>
      <c r="AG967" s="481"/>
      <c r="AH967" s="481">
        <f>IFERROR(__xludf.DUMMYFUNCTION("""COMPUTED_VALUE"""),79.0)</f>
        <v>79</v>
      </c>
      <c r="AI967" s="158"/>
      <c r="AJ967" s="158"/>
      <c r="AK967" s="133">
        <f>IFERROR(__xludf.DUMMYFUNCTION("""COMPUTED_VALUE"""),4.0)</f>
        <v>4</v>
      </c>
      <c r="AL967" s="133">
        <f>IFERROR(__xludf.DUMMYFUNCTION("""COMPUTED_VALUE"""),3.0)</f>
        <v>3</v>
      </c>
      <c r="AM967" s="133">
        <f>IFERROR(__xludf.DUMMYFUNCTION("""COMPUTED_VALUE"""),3.0)</f>
        <v>3</v>
      </c>
      <c r="AN967" s="133" t="str">
        <f>IFERROR(__xludf.DUMMYFUNCTION("""COMPUTED_VALUE"""),"3.5")</f>
        <v>3.5</v>
      </c>
      <c r="AO967" s="133">
        <f>IFERROR(__xludf.DUMMYFUNCTION("""COMPUTED_VALUE"""),3.0)</f>
        <v>3</v>
      </c>
      <c r="AP967" s="155" t="s">
        <v>3736</v>
      </c>
    </row>
    <row r="968">
      <c r="A968" s="155">
        <f>IFERROR(__xludf.DUMMYFUNCTION("""COMPUTED_VALUE"""),75.0)</f>
        <v>75</v>
      </c>
      <c r="B968" s="155" t="str">
        <f>IFERROR(__xludf.DUMMYFUNCTION("""COMPUTED_VALUE"""),"hea23ece@cmrit.ac.in")</f>
        <v>hea23ece@cmrit.ac.in</v>
      </c>
      <c r="C968" s="174" t="str">
        <f>IFERROR(__xludf.DUMMYFUNCTION("""COMPUTED_VALUE"""),"Hema.A")</f>
        <v>Hema.A</v>
      </c>
      <c r="D968" s="155" t="str">
        <f>IFERROR(__xludf.DUMMYFUNCTION("""COMPUTED_VALUE"""),"1CR23EC075")</f>
        <v>1CR23EC075</v>
      </c>
      <c r="E968" s="563">
        <f>IFERROR(__xludf.DUMMYFUNCTION("""COMPUTED_VALUE"""),6.362784504E9)</f>
        <v>6362784504</v>
      </c>
      <c r="F968" s="155" t="str">
        <f>IFERROR(__xludf.DUMMYFUNCTION("""COMPUTED_VALUE"""),"ECE")</f>
        <v>ECE</v>
      </c>
      <c r="G968" s="158"/>
      <c r="H968" s="559">
        <f>IFERROR(__xludf.DUMMYFUNCTION("""COMPUTED_VALUE"""),80.0)</f>
        <v>80</v>
      </c>
      <c r="I968" s="559">
        <f>IFERROR(__xludf.DUMMYFUNCTION("""COMPUTED_VALUE"""),82.0)</f>
        <v>82</v>
      </c>
      <c r="J968" s="559">
        <f>IFERROR(__xludf.DUMMYFUNCTION("""COMPUTED_VALUE"""),70.0)</f>
        <v>70</v>
      </c>
      <c r="K968" s="559">
        <f>IFERROR(__xludf.DUMMYFUNCTION("""COMPUTED_VALUE"""),70.0)</f>
        <v>70</v>
      </c>
      <c r="L968" s="560">
        <f>IFERROR(__xludf.DUMMYFUNCTION("""COMPUTED_VALUE"""),50.0)</f>
        <v>50</v>
      </c>
      <c r="M968" s="561">
        <f>IFERROR(__xludf.DUMMYFUNCTION("""COMPUTED_VALUE"""),50.0)</f>
        <v>50</v>
      </c>
      <c r="N968" s="561">
        <f>IFERROR(__xludf.DUMMYFUNCTION("""COMPUTED_VALUE"""),50.0)</f>
        <v>50</v>
      </c>
      <c r="O968" s="560"/>
      <c r="P968" s="562">
        <f>IFERROR(__xludf.DUMMYFUNCTION("""COMPUTED_VALUE"""),80.0)</f>
        <v>80</v>
      </c>
      <c r="Q968" s="562">
        <f>IFERROR(__xludf.DUMMYFUNCTION("""COMPUTED_VALUE"""),65.0)</f>
        <v>65</v>
      </c>
      <c r="R968" s="562">
        <f>IFERROR(__xludf.DUMMYFUNCTION("""COMPUTED_VALUE"""),88.0)</f>
        <v>88</v>
      </c>
      <c r="S968" s="562"/>
      <c r="T968" s="217">
        <f>IFERROR(__xludf.DUMMYFUNCTION("""COMPUTED_VALUE"""),10.0)</f>
        <v>10</v>
      </c>
      <c r="U968" s="217">
        <f>IFERROR(__xludf.DUMMYFUNCTION("""COMPUTED_VALUE"""),19.0)</f>
        <v>19</v>
      </c>
      <c r="V968" s="217">
        <f>IFERROR(__xludf.DUMMYFUNCTION("""COMPUTED_VALUE"""),64.0)</f>
        <v>64</v>
      </c>
      <c r="W968" s="217">
        <f>IFERROR(__xludf.DUMMYFUNCTION("""COMPUTED_VALUE"""),80.0)</f>
        <v>80</v>
      </c>
      <c r="X968" s="217">
        <f>IFERROR(__xludf.DUMMYFUNCTION("""COMPUTED_VALUE"""),74.0)</f>
        <v>74</v>
      </c>
      <c r="Y968" s="217"/>
      <c r="Z968" s="217"/>
      <c r="AA968" s="481">
        <f>IFERROR(__xludf.DUMMYFUNCTION("""COMPUTED_VALUE"""),80.0)</f>
        <v>80</v>
      </c>
      <c r="AB968" s="481">
        <f>IFERROR(__xludf.DUMMYFUNCTION("""COMPUTED_VALUE"""),91.0)</f>
        <v>91</v>
      </c>
      <c r="AC968" s="481">
        <f>IFERROR(__xludf.DUMMYFUNCTION("""COMPUTED_VALUE"""),70.0)</f>
        <v>70</v>
      </c>
      <c r="AD968" s="481"/>
      <c r="AE968" s="481">
        <f>IFERROR(__xludf.DUMMYFUNCTION("""COMPUTED_VALUE"""),70.0)</f>
        <v>70</v>
      </c>
      <c r="AF968" s="481"/>
      <c r="AG968" s="481"/>
      <c r="AH968" s="481">
        <f>IFERROR(__xludf.DUMMYFUNCTION("""COMPUTED_VALUE"""),75.0)</f>
        <v>75</v>
      </c>
      <c r="AI968" s="158"/>
      <c r="AJ968" s="158"/>
      <c r="AK968" s="133">
        <f>IFERROR(__xludf.DUMMYFUNCTION("""COMPUTED_VALUE"""),4.0)</f>
        <v>4</v>
      </c>
      <c r="AL968" s="133">
        <f>IFERROR(__xludf.DUMMYFUNCTION("""COMPUTED_VALUE"""),3.0)</f>
        <v>3</v>
      </c>
      <c r="AM968" s="133">
        <f>IFERROR(__xludf.DUMMYFUNCTION("""COMPUTED_VALUE"""),3.0)</f>
        <v>3</v>
      </c>
      <c r="AN968" s="133" t="str">
        <f>IFERROR(__xludf.DUMMYFUNCTION("""COMPUTED_VALUE"""),"3.5")</f>
        <v>3.5</v>
      </c>
      <c r="AO968" s="133">
        <f>IFERROR(__xludf.DUMMYFUNCTION("""COMPUTED_VALUE"""),3.0)</f>
        <v>3</v>
      </c>
      <c r="AP968" s="155" t="s">
        <v>3736</v>
      </c>
    </row>
    <row r="969">
      <c r="A969" s="155">
        <f>IFERROR(__xludf.DUMMYFUNCTION("""COMPUTED_VALUE"""),76.0)</f>
        <v>76</v>
      </c>
      <c r="B969" s="155" t="str">
        <f>IFERROR(__xludf.DUMMYFUNCTION("""COMPUTED_VALUE"""),"jap23ece@cmrit.ac.in")</f>
        <v>jap23ece@cmrit.ac.in</v>
      </c>
      <c r="C969" s="174" t="str">
        <f>IFERROR(__xludf.DUMMYFUNCTION("""COMPUTED_VALUE"""),"JAISHREE P")</f>
        <v>JAISHREE P</v>
      </c>
      <c r="D969" s="155" t="str">
        <f>IFERROR(__xludf.DUMMYFUNCTION("""COMPUTED_VALUE"""),"1CR23EC076")</f>
        <v>1CR23EC076</v>
      </c>
      <c r="E969" s="563">
        <f>IFERROR(__xludf.DUMMYFUNCTION("""COMPUTED_VALUE"""),8.197678661E9)</f>
        <v>8197678661</v>
      </c>
      <c r="F969" s="155" t="str">
        <f>IFERROR(__xludf.DUMMYFUNCTION("""COMPUTED_VALUE"""),"ECE")</f>
        <v>ECE</v>
      </c>
      <c r="G969" s="158"/>
      <c r="H969" s="559">
        <f>IFERROR(__xludf.DUMMYFUNCTION("""COMPUTED_VALUE"""),77.0)</f>
        <v>77</v>
      </c>
      <c r="I969" s="559">
        <f>IFERROR(__xludf.DUMMYFUNCTION("""COMPUTED_VALUE"""),85.0)</f>
        <v>85</v>
      </c>
      <c r="J969" s="559">
        <f>IFERROR(__xludf.DUMMYFUNCTION("""COMPUTED_VALUE"""),72.0)</f>
        <v>72</v>
      </c>
      <c r="K969" s="559">
        <f>IFERROR(__xludf.DUMMYFUNCTION("""COMPUTED_VALUE"""),70.0)</f>
        <v>70</v>
      </c>
      <c r="L969" s="560">
        <f>IFERROR(__xludf.DUMMYFUNCTION("""COMPUTED_VALUE"""),50.0)</f>
        <v>50</v>
      </c>
      <c r="M969" s="561">
        <f>IFERROR(__xludf.DUMMYFUNCTION("""COMPUTED_VALUE"""),50.0)</f>
        <v>50</v>
      </c>
      <c r="N969" s="561">
        <f>IFERROR(__xludf.DUMMYFUNCTION("""COMPUTED_VALUE"""),50.0)</f>
        <v>50</v>
      </c>
      <c r="O969" s="560"/>
      <c r="P969" s="562">
        <f>IFERROR(__xludf.DUMMYFUNCTION("""COMPUTED_VALUE"""),50.0)</f>
        <v>50</v>
      </c>
      <c r="Q969" s="562">
        <f>IFERROR(__xludf.DUMMYFUNCTION("""COMPUTED_VALUE"""),81.0)</f>
        <v>81</v>
      </c>
      <c r="R969" s="562">
        <f>IFERROR(__xludf.DUMMYFUNCTION("""COMPUTED_VALUE"""),84.0)</f>
        <v>84</v>
      </c>
      <c r="S969" s="562"/>
      <c r="T969" s="217">
        <f>IFERROR(__xludf.DUMMYFUNCTION("""COMPUTED_VALUE"""),17.0)</f>
        <v>17</v>
      </c>
      <c r="U969" s="217">
        <f>IFERROR(__xludf.DUMMYFUNCTION("""COMPUTED_VALUE"""),21.0)</f>
        <v>21</v>
      </c>
      <c r="V969" s="217">
        <f>IFERROR(__xludf.DUMMYFUNCTION("""COMPUTED_VALUE"""),54.0)</f>
        <v>54</v>
      </c>
      <c r="W969" s="217">
        <f>IFERROR(__xludf.DUMMYFUNCTION("""COMPUTED_VALUE"""),82.0)</f>
        <v>82</v>
      </c>
      <c r="X969" s="217">
        <f>IFERROR(__xludf.DUMMYFUNCTION("""COMPUTED_VALUE"""),76.0)</f>
        <v>76</v>
      </c>
      <c r="Y969" s="217"/>
      <c r="Z969" s="217"/>
      <c r="AA969" s="481">
        <f>IFERROR(__xludf.DUMMYFUNCTION("""COMPUTED_VALUE"""),52.0)</f>
        <v>52</v>
      </c>
      <c r="AB969" s="481">
        <f>IFERROR(__xludf.DUMMYFUNCTION("""COMPUTED_VALUE"""),92.5)</f>
        <v>92.5</v>
      </c>
      <c r="AC969" s="481">
        <f>IFERROR(__xludf.DUMMYFUNCTION("""COMPUTED_VALUE"""),100.0)</f>
        <v>100</v>
      </c>
      <c r="AD969" s="481"/>
      <c r="AE969" s="481">
        <f>IFERROR(__xludf.DUMMYFUNCTION("""COMPUTED_VALUE"""),70.0)</f>
        <v>70</v>
      </c>
      <c r="AF969" s="481"/>
      <c r="AG969" s="481"/>
      <c r="AH969" s="481">
        <f>IFERROR(__xludf.DUMMYFUNCTION("""COMPUTED_VALUE"""),80.0)</f>
        <v>80</v>
      </c>
      <c r="AI969" s="158"/>
      <c r="AJ969" s="158"/>
      <c r="AK969" s="133">
        <f>IFERROR(__xludf.DUMMYFUNCTION("""COMPUTED_VALUE"""),4.0)</f>
        <v>4</v>
      </c>
      <c r="AL969" s="133">
        <f>IFERROR(__xludf.DUMMYFUNCTION("""COMPUTED_VALUE"""),3.0)</f>
        <v>3</v>
      </c>
      <c r="AM969" s="133">
        <f>IFERROR(__xludf.DUMMYFUNCTION("""COMPUTED_VALUE"""),3.0)</f>
        <v>3</v>
      </c>
      <c r="AN969" s="133" t="str">
        <f>IFERROR(__xludf.DUMMYFUNCTION("""COMPUTED_VALUE"""),"3.5")</f>
        <v>3.5</v>
      </c>
      <c r="AO969" s="133">
        <f>IFERROR(__xludf.DUMMYFUNCTION("""COMPUTED_VALUE"""),3.0)</f>
        <v>3</v>
      </c>
      <c r="AP969" s="155" t="s">
        <v>3736</v>
      </c>
    </row>
    <row r="970">
      <c r="A970" s="155">
        <f>IFERROR(__xludf.DUMMYFUNCTION("""COMPUTED_VALUE"""),77.0)</f>
        <v>77</v>
      </c>
      <c r="B970" s="155" t="str">
        <f>IFERROR(__xludf.DUMMYFUNCTION("""COMPUTED_VALUE"""),"jaha23ece@cmrit.ac.in")</f>
        <v>jaha23ece@cmrit.ac.in</v>
      </c>
      <c r="C970" s="174" t="str">
        <f>IFERROR(__xludf.DUMMYFUNCTION("""COMPUTED_VALUE"""),"JALLI HANEESHA")</f>
        <v>JALLI HANEESHA</v>
      </c>
      <c r="D970" s="155" t="str">
        <f>IFERROR(__xludf.DUMMYFUNCTION("""COMPUTED_VALUE"""),"1CR23EC077")</f>
        <v>1CR23EC077</v>
      </c>
      <c r="E970" s="563">
        <f>IFERROR(__xludf.DUMMYFUNCTION("""COMPUTED_VALUE"""),9.036223156E9)</f>
        <v>9036223156</v>
      </c>
      <c r="F970" s="155" t="str">
        <f>IFERROR(__xludf.DUMMYFUNCTION("""COMPUTED_VALUE"""),"ECE")</f>
        <v>ECE</v>
      </c>
      <c r="G970" s="158"/>
      <c r="H970" s="559">
        <f>IFERROR(__xludf.DUMMYFUNCTION("""COMPUTED_VALUE"""),84.0)</f>
        <v>84</v>
      </c>
      <c r="I970" s="559">
        <f>IFERROR(__xludf.DUMMYFUNCTION("""COMPUTED_VALUE"""),83.0)</f>
        <v>83</v>
      </c>
      <c r="J970" s="559">
        <f>IFERROR(__xludf.DUMMYFUNCTION("""COMPUTED_VALUE"""),80.0)</f>
        <v>80</v>
      </c>
      <c r="K970" s="559">
        <f>IFERROR(__xludf.DUMMYFUNCTION("""COMPUTED_VALUE"""),81.0)</f>
        <v>81</v>
      </c>
      <c r="L970" s="560">
        <f>IFERROR(__xludf.DUMMYFUNCTION("""COMPUTED_VALUE"""),50.0)</f>
        <v>50</v>
      </c>
      <c r="M970" s="561">
        <f>IFERROR(__xludf.DUMMYFUNCTION("""COMPUTED_VALUE"""),50.0)</f>
        <v>50</v>
      </c>
      <c r="N970" s="561">
        <f>IFERROR(__xludf.DUMMYFUNCTION("""COMPUTED_VALUE"""),50.0)</f>
        <v>50</v>
      </c>
      <c r="O970" s="560"/>
      <c r="P970" s="562">
        <f>IFERROR(__xludf.DUMMYFUNCTION("""COMPUTED_VALUE"""),95.0)</f>
        <v>95</v>
      </c>
      <c r="Q970" s="562">
        <f>IFERROR(__xludf.DUMMYFUNCTION("""COMPUTED_VALUE"""),65.0)</f>
        <v>65</v>
      </c>
      <c r="R970" s="562">
        <f>IFERROR(__xludf.DUMMYFUNCTION("""COMPUTED_VALUE"""),86.0)</f>
        <v>86</v>
      </c>
      <c r="S970" s="562"/>
      <c r="T970" s="217">
        <f>IFERROR(__xludf.DUMMYFUNCTION("""COMPUTED_VALUE"""),20.0)</f>
        <v>20</v>
      </c>
      <c r="U970" s="217">
        <f>IFERROR(__xludf.DUMMYFUNCTION("""COMPUTED_VALUE"""),19.0)</f>
        <v>19</v>
      </c>
      <c r="V970" s="217">
        <f>IFERROR(__xludf.DUMMYFUNCTION("""COMPUTED_VALUE"""),62.0)</f>
        <v>62</v>
      </c>
      <c r="W970" s="217">
        <f>IFERROR(__xludf.DUMMYFUNCTION("""COMPUTED_VALUE"""),86.0)</f>
        <v>86</v>
      </c>
      <c r="X970" s="217">
        <f>IFERROR(__xludf.DUMMYFUNCTION("""COMPUTED_VALUE"""),74.0)</f>
        <v>74</v>
      </c>
      <c r="Y970" s="217"/>
      <c r="Z970" s="217"/>
      <c r="AA970" s="481">
        <f>IFERROR(__xludf.DUMMYFUNCTION("""COMPUTED_VALUE"""),85.0)</f>
        <v>85</v>
      </c>
      <c r="AB970" s="481">
        <f>IFERROR(__xludf.DUMMYFUNCTION("""COMPUTED_VALUE"""),100.0)</f>
        <v>100</v>
      </c>
      <c r="AC970" s="481">
        <f>IFERROR(__xludf.DUMMYFUNCTION("""COMPUTED_VALUE"""),79.0)</f>
        <v>79</v>
      </c>
      <c r="AD970" s="481"/>
      <c r="AE970" s="481">
        <f>IFERROR(__xludf.DUMMYFUNCTION("""COMPUTED_VALUE"""),70.0)</f>
        <v>70</v>
      </c>
      <c r="AF970" s="481"/>
      <c r="AG970" s="481"/>
      <c r="AH970" s="481">
        <f>IFERROR(__xludf.DUMMYFUNCTION("""COMPUTED_VALUE"""),77.0)</f>
        <v>77</v>
      </c>
      <c r="AI970" s="158"/>
      <c r="AJ970" s="158"/>
      <c r="AK970" s="133">
        <f>IFERROR(__xludf.DUMMYFUNCTION("""COMPUTED_VALUE"""),4.0)</f>
        <v>4</v>
      </c>
      <c r="AL970" s="133">
        <f>IFERROR(__xludf.DUMMYFUNCTION("""COMPUTED_VALUE"""),3.0)</f>
        <v>3</v>
      </c>
      <c r="AM970" s="133">
        <f>IFERROR(__xludf.DUMMYFUNCTION("""COMPUTED_VALUE"""),3.0)</f>
        <v>3</v>
      </c>
      <c r="AN970" s="133" t="str">
        <f>IFERROR(__xludf.DUMMYFUNCTION("""COMPUTED_VALUE"""),"3.5")</f>
        <v>3.5</v>
      </c>
      <c r="AO970" s="133">
        <f>IFERROR(__xludf.DUMMYFUNCTION("""COMPUTED_VALUE"""),3.0)</f>
        <v>3</v>
      </c>
      <c r="AP970" s="155" t="s">
        <v>3736</v>
      </c>
    </row>
    <row r="971">
      <c r="A971" s="155">
        <f>IFERROR(__xludf.DUMMYFUNCTION("""COMPUTED_VALUE"""),78.0)</f>
        <v>78</v>
      </c>
      <c r="B971" s="155" t="str">
        <f>IFERROR(__xludf.DUMMYFUNCTION("""COMPUTED_VALUE"""),"jav23ece@cmrit.ac.in")</f>
        <v>jav23ece@cmrit.ac.in</v>
      </c>
      <c r="C971" s="174" t="str">
        <f>IFERROR(__xludf.DUMMYFUNCTION("""COMPUTED_VALUE"""),"JANAVI.V")</f>
        <v>JANAVI.V</v>
      </c>
      <c r="D971" s="155" t="str">
        <f>IFERROR(__xludf.DUMMYFUNCTION("""COMPUTED_VALUE"""),"1CR23EC078")</f>
        <v>1CR23EC078</v>
      </c>
      <c r="E971" s="563">
        <f>IFERROR(__xludf.DUMMYFUNCTION("""COMPUTED_VALUE"""),9.535808451E9)</f>
        <v>9535808451</v>
      </c>
      <c r="F971" s="155" t="str">
        <f>IFERROR(__xludf.DUMMYFUNCTION("""COMPUTED_VALUE"""),"ECE")</f>
        <v>ECE</v>
      </c>
      <c r="G971" s="158"/>
      <c r="H971" s="559">
        <f>IFERROR(__xludf.DUMMYFUNCTION("""COMPUTED_VALUE"""),71.0)</f>
        <v>71</v>
      </c>
      <c r="I971" s="559">
        <f>IFERROR(__xludf.DUMMYFUNCTION("""COMPUTED_VALUE"""),77.0)</f>
        <v>77</v>
      </c>
      <c r="J971" s="559">
        <f>IFERROR(__xludf.DUMMYFUNCTION("""COMPUTED_VALUE"""),70.0)</f>
        <v>70</v>
      </c>
      <c r="K971" s="559">
        <f>IFERROR(__xludf.DUMMYFUNCTION("""COMPUTED_VALUE"""),70.0)</f>
        <v>70</v>
      </c>
      <c r="L971" s="560">
        <f>IFERROR(__xludf.DUMMYFUNCTION("""COMPUTED_VALUE"""),50.0)</f>
        <v>50</v>
      </c>
      <c r="M971" s="561">
        <f>IFERROR(__xludf.DUMMYFUNCTION("""COMPUTED_VALUE"""),50.0)</f>
        <v>50</v>
      </c>
      <c r="N971" s="561">
        <f>IFERROR(__xludf.DUMMYFUNCTION("""COMPUTED_VALUE"""),50.0)</f>
        <v>50</v>
      </c>
      <c r="O971" s="560"/>
      <c r="P971" s="562">
        <f>IFERROR(__xludf.DUMMYFUNCTION("""COMPUTED_VALUE"""),50.0)</f>
        <v>50</v>
      </c>
      <c r="Q971" s="562">
        <f>IFERROR(__xludf.DUMMYFUNCTION("""COMPUTED_VALUE"""),81.0)</f>
        <v>81</v>
      </c>
      <c r="R971" s="562">
        <f>IFERROR(__xludf.DUMMYFUNCTION("""COMPUTED_VALUE"""),90.0)</f>
        <v>90</v>
      </c>
      <c r="S971" s="562"/>
      <c r="T971" s="217">
        <f>IFERROR(__xludf.DUMMYFUNCTION("""COMPUTED_VALUE"""),12.0)</f>
        <v>12</v>
      </c>
      <c r="U971" s="217">
        <f>IFERROR(__xludf.DUMMYFUNCTION("""COMPUTED_VALUE"""),17.0)</f>
        <v>17</v>
      </c>
      <c r="V971" s="217">
        <f>IFERROR(__xludf.DUMMYFUNCTION("""COMPUTED_VALUE"""),68.0)</f>
        <v>68</v>
      </c>
      <c r="W971" s="217">
        <f>IFERROR(__xludf.DUMMYFUNCTION("""COMPUTED_VALUE"""),68.0)</f>
        <v>68</v>
      </c>
      <c r="X971" s="217">
        <f>IFERROR(__xludf.DUMMYFUNCTION("""COMPUTED_VALUE"""),60.0)</f>
        <v>60</v>
      </c>
      <c r="Y971" s="217"/>
      <c r="Z971" s="217"/>
      <c r="AA971" s="481">
        <f>IFERROR(__xludf.DUMMYFUNCTION("""COMPUTED_VALUE"""),70.0)</f>
        <v>70</v>
      </c>
      <c r="AB971" s="481">
        <f>IFERROR(__xludf.DUMMYFUNCTION("""COMPUTED_VALUE"""),100.0)</f>
        <v>100</v>
      </c>
      <c r="AC971" s="481">
        <f>IFERROR(__xludf.DUMMYFUNCTION("""COMPUTED_VALUE"""),60.0)</f>
        <v>60</v>
      </c>
      <c r="AD971" s="481"/>
      <c r="AE971" s="481">
        <f>IFERROR(__xludf.DUMMYFUNCTION("""COMPUTED_VALUE"""),70.0)</f>
        <v>70</v>
      </c>
      <c r="AF971" s="481"/>
      <c r="AG971" s="481">
        <f>IFERROR(__xludf.DUMMYFUNCTION("""COMPUTED_VALUE"""),87.0)</f>
        <v>87</v>
      </c>
      <c r="AH971" s="481"/>
      <c r="AI971" s="158"/>
      <c r="AJ971" s="158"/>
      <c r="AK971" s="133">
        <f>IFERROR(__xludf.DUMMYFUNCTION("""COMPUTED_VALUE"""),4.0)</f>
        <v>4</v>
      </c>
      <c r="AL971" s="133">
        <f>IFERROR(__xludf.DUMMYFUNCTION("""COMPUTED_VALUE"""),3.0)</f>
        <v>3</v>
      </c>
      <c r="AM971" s="133">
        <f>IFERROR(__xludf.DUMMYFUNCTION("""COMPUTED_VALUE"""),3.0)</f>
        <v>3</v>
      </c>
      <c r="AN971" s="133" t="str">
        <f>IFERROR(__xludf.DUMMYFUNCTION("""COMPUTED_VALUE"""),"3.5")</f>
        <v>3.5</v>
      </c>
      <c r="AO971" s="133">
        <f>IFERROR(__xludf.DUMMYFUNCTION("""COMPUTED_VALUE"""),3.0)</f>
        <v>3</v>
      </c>
      <c r="AP971" s="155" t="s">
        <v>3736</v>
      </c>
    </row>
    <row r="972">
      <c r="A972" s="155">
        <f>IFERROR(__xludf.DUMMYFUNCTION("""COMPUTED_VALUE"""),79.0)</f>
        <v>79</v>
      </c>
      <c r="B972" s="155" t="str">
        <f>IFERROR(__xludf.DUMMYFUNCTION("""COMPUTED_VALUE"""),"jija23ece@cmrit.ac.in")</f>
        <v>jija23ece@cmrit.ac.in</v>
      </c>
      <c r="C972" s="174" t="str">
        <f>IFERROR(__xludf.DUMMYFUNCTION("""COMPUTED_VALUE"""),"JITHIYA JANANE A")</f>
        <v>JITHIYA JANANE A</v>
      </c>
      <c r="D972" s="155" t="str">
        <f>IFERROR(__xludf.DUMMYFUNCTION("""COMPUTED_VALUE"""),"1CR23EC079")</f>
        <v>1CR23EC079</v>
      </c>
      <c r="E972" s="563">
        <f>IFERROR(__xludf.DUMMYFUNCTION("""COMPUTED_VALUE"""),8.073024463E9)</f>
        <v>8073024463</v>
      </c>
      <c r="F972" s="155" t="str">
        <f>IFERROR(__xludf.DUMMYFUNCTION("""COMPUTED_VALUE"""),"ECE")</f>
        <v>ECE</v>
      </c>
      <c r="G972" s="158"/>
      <c r="H972" s="559">
        <f>IFERROR(__xludf.DUMMYFUNCTION("""COMPUTED_VALUE"""),77.0)</f>
        <v>77</v>
      </c>
      <c r="I972" s="559">
        <f>IFERROR(__xludf.DUMMYFUNCTION("""COMPUTED_VALUE"""),80.0)</f>
        <v>80</v>
      </c>
      <c r="J972" s="559">
        <f>IFERROR(__xludf.DUMMYFUNCTION("""COMPUTED_VALUE"""),76.0)</f>
        <v>76</v>
      </c>
      <c r="K972" s="559">
        <f>IFERROR(__xludf.DUMMYFUNCTION("""COMPUTED_VALUE"""),82.0)</f>
        <v>82</v>
      </c>
      <c r="L972" s="560">
        <f>IFERROR(__xludf.DUMMYFUNCTION("""COMPUTED_VALUE"""),50.0)</f>
        <v>50</v>
      </c>
      <c r="M972" s="561">
        <f>IFERROR(__xludf.DUMMYFUNCTION("""COMPUTED_VALUE"""),50.0)</f>
        <v>50</v>
      </c>
      <c r="N972" s="561">
        <f>IFERROR(__xludf.DUMMYFUNCTION("""COMPUTED_VALUE"""),50.0)</f>
        <v>50</v>
      </c>
      <c r="O972" s="560"/>
      <c r="P972" s="562">
        <f>IFERROR(__xludf.DUMMYFUNCTION("""COMPUTED_VALUE"""),71.0)</f>
        <v>71</v>
      </c>
      <c r="Q972" s="562">
        <f>IFERROR(__xludf.DUMMYFUNCTION("""COMPUTED_VALUE"""),68.0)</f>
        <v>68</v>
      </c>
      <c r="R972" s="562">
        <f>IFERROR(__xludf.DUMMYFUNCTION("""COMPUTED_VALUE"""),79.0)</f>
        <v>79</v>
      </c>
      <c r="S972" s="562"/>
      <c r="T972" s="217">
        <f>IFERROR(__xludf.DUMMYFUNCTION("""COMPUTED_VALUE"""),19.0)</f>
        <v>19</v>
      </c>
      <c r="U972" s="217">
        <f>IFERROR(__xludf.DUMMYFUNCTION("""COMPUTED_VALUE"""),22.0)</f>
        <v>22</v>
      </c>
      <c r="V972" s="217">
        <f>IFERROR(__xludf.DUMMYFUNCTION("""COMPUTED_VALUE"""),24.0)</f>
        <v>24</v>
      </c>
      <c r="W972" s="217">
        <f>IFERROR(__xludf.DUMMYFUNCTION("""COMPUTED_VALUE"""),86.0)</f>
        <v>86</v>
      </c>
      <c r="X972" s="217">
        <f>IFERROR(__xludf.DUMMYFUNCTION("""COMPUTED_VALUE"""),76.0)</f>
        <v>76</v>
      </c>
      <c r="Y972" s="217"/>
      <c r="Z972" s="217"/>
      <c r="AA972" s="481">
        <f>IFERROR(__xludf.DUMMYFUNCTION("""COMPUTED_VALUE"""),50.0)</f>
        <v>50</v>
      </c>
      <c r="AB972" s="481">
        <f>IFERROR(__xludf.DUMMYFUNCTION("""COMPUTED_VALUE"""),60.0)</f>
        <v>60</v>
      </c>
      <c r="AC972" s="481">
        <f>IFERROR(__xludf.DUMMYFUNCTION("""COMPUTED_VALUE"""),100.0)</f>
        <v>100</v>
      </c>
      <c r="AD972" s="481"/>
      <c r="AE972" s="481">
        <f>IFERROR(__xludf.DUMMYFUNCTION("""COMPUTED_VALUE"""),70.0)</f>
        <v>70</v>
      </c>
      <c r="AF972" s="481"/>
      <c r="AG972" s="481"/>
      <c r="AH972" s="481">
        <f>IFERROR(__xludf.DUMMYFUNCTION("""COMPUTED_VALUE"""),80.0)</f>
        <v>80</v>
      </c>
      <c r="AI972" s="158"/>
      <c r="AJ972" s="158"/>
      <c r="AK972" s="133">
        <f>IFERROR(__xludf.DUMMYFUNCTION("""COMPUTED_VALUE"""),4.0)</f>
        <v>4</v>
      </c>
      <c r="AL972" s="133">
        <f>IFERROR(__xludf.DUMMYFUNCTION("""COMPUTED_VALUE"""),3.0)</f>
        <v>3</v>
      </c>
      <c r="AM972" s="133">
        <f>IFERROR(__xludf.DUMMYFUNCTION("""COMPUTED_VALUE"""),3.0)</f>
        <v>3</v>
      </c>
      <c r="AN972" s="133" t="str">
        <f>IFERROR(__xludf.DUMMYFUNCTION("""COMPUTED_VALUE"""),"3.5")</f>
        <v>3.5</v>
      </c>
      <c r="AO972" s="133">
        <f>IFERROR(__xludf.DUMMYFUNCTION("""COMPUTED_VALUE"""),3.0)</f>
        <v>3</v>
      </c>
      <c r="AP972" s="155" t="s">
        <v>3736</v>
      </c>
    </row>
    <row r="973">
      <c r="A973" s="155">
        <f>IFERROR(__xludf.DUMMYFUNCTION("""COMPUTED_VALUE"""),80.0)</f>
        <v>80</v>
      </c>
      <c r="B973" s="155" t="str">
        <f>IFERROR(__xludf.DUMMYFUNCTION("""COMPUTED_VALUE"""),"jojo23ece@cmrit.ac.in")</f>
        <v>jojo23ece@cmrit.ac.in</v>
      </c>
      <c r="C973" s="174" t="str">
        <f>IFERROR(__xludf.DUMMYFUNCTION("""COMPUTED_VALUE"""),"JOEL JOSHUA N")</f>
        <v>JOEL JOSHUA N</v>
      </c>
      <c r="D973" s="155" t="str">
        <f>IFERROR(__xludf.DUMMYFUNCTION("""COMPUTED_VALUE"""),"1CR23EC080")</f>
        <v>1CR23EC080</v>
      </c>
      <c r="E973" s="563">
        <f>IFERROR(__xludf.DUMMYFUNCTION("""COMPUTED_VALUE"""),7.760439398E9)</f>
        <v>7760439398</v>
      </c>
      <c r="F973" s="155" t="str">
        <f>IFERROR(__xludf.DUMMYFUNCTION("""COMPUTED_VALUE"""),"ECE")</f>
        <v>ECE</v>
      </c>
      <c r="G973" s="158"/>
      <c r="H973" s="559">
        <f>IFERROR(__xludf.DUMMYFUNCTION("""COMPUTED_VALUE"""),87.0)</f>
        <v>87</v>
      </c>
      <c r="I973" s="559">
        <f>IFERROR(__xludf.DUMMYFUNCTION("""COMPUTED_VALUE"""),82.0)</f>
        <v>82</v>
      </c>
      <c r="J973" s="559">
        <f>IFERROR(__xludf.DUMMYFUNCTION("""COMPUTED_VALUE"""),69.0)</f>
        <v>69</v>
      </c>
      <c r="K973" s="559">
        <f>IFERROR(__xludf.DUMMYFUNCTION("""COMPUTED_VALUE"""),70.0)</f>
        <v>70</v>
      </c>
      <c r="L973" s="560">
        <f>IFERROR(__xludf.DUMMYFUNCTION("""COMPUTED_VALUE"""),18.0)</f>
        <v>18</v>
      </c>
      <c r="M973" s="561">
        <f>IFERROR(__xludf.DUMMYFUNCTION("""COMPUTED_VALUE"""),12.0)</f>
        <v>12</v>
      </c>
      <c r="N973" s="561">
        <f>IFERROR(__xludf.DUMMYFUNCTION("""COMPUTED_VALUE"""),33.0)</f>
        <v>33</v>
      </c>
      <c r="O973" s="560"/>
      <c r="P973" s="562">
        <f>IFERROR(__xludf.DUMMYFUNCTION("""COMPUTED_VALUE"""),73.0)</f>
        <v>73</v>
      </c>
      <c r="Q973" s="562">
        <f>IFERROR(__xludf.DUMMYFUNCTION("""COMPUTED_VALUE"""),53.0)</f>
        <v>53</v>
      </c>
      <c r="R973" s="562">
        <f>IFERROR(__xludf.DUMMYFUNCTION("""COMPUTED_VALUE"""),50.0)</f>
        <v>50</v>
      </c>
      <c r="S973" s="562"/>
      <c r="T973" s="217">
        <f>IFERROR(__xludf.DUMMYFUNCTION("""COMPUTED_VALUE"""),10.0)</f>
        <v>10</v>
      </c>
      <c r="U973" s="217">
        <f>IFERROR(__xludf.DUMMYFUNCTION("""COMPUTED_VALUE"""),7.0)</f>
        <v>7</v>
      </c>
      <c r="V973" s="217">
        <f>IFERROR(__xludf.DUMMYFUNCTION("""COMPUTED_VALUE"""),24.0)</f>
        <v>24</v>
      </c>
      <c r="W973" s="217">
        <f>IFERROR(__xludf.DUMMYFUNCTION("""COMPUTED_VALUE"""),0.0)</f>
        <v>0</v>
      </c>
      <c r="X973" s="217">
        <f>IFERROR(__xludf.DUMMYFUNCTION("""COMPUTED_VALUE"""),28.0)</f>
        <v>28</v>
      </c>
      <c r="Y973" s="217"/>
      <c r="Z973" s="217"/>
      <c r="AA973" s="481">
        <f>IFERROR(__xludf.DUMMYFUNCTION("""COMPUTED_VALUE"""),42.0)</f>
        <v>42</v>
      </c>
      <c r="AB973" s="481">
        <f>IFERROR(__xludf.DUMMYFUNCTION("""COMPUTED_VALUE"""),46.25)</f>
        <v>46.25</v>
      </c>
      <c r="AC973" s="481">
        <f>IFERROR(__xludf.DUMMYFUNCTION("""COMPUTED_VALUE"""),8.0)</f>
        <v>8</v>
      </c>
      <c r="AD973" s="481"/>
      <c r="AE973" s="481">
        <f>IFERROR(__xludf.DUMMYFUNCTION("""COMPUTED_VALUE"""),15.0)</f>
        <v>15</v>
      </c>
      <c r="AF973" s="481"/>
      <c r="AG973" s="481"/>
      <c r="AH973" s="481">
        <f>IFERROR(__xludf.DUMMYFUNCTION("""COMPUTED_VALUE"""),71.0)</f>
        <v>71</v>
      </c>
      <c r="AI973" s="158"/>
      <c r="AJ973" s="158"/>
      <c r="AK973" s="133">
        <f>IFERROR(__xludf.DUMMYFUNCTION("""COMPUTED_VALUE"""),2.0)</f>
        <v>2</v>
      </c>
      <c r="AL973" s="133">
        <f>IFERROR(__xludf.DUMMYFUNCTION("""COMPUTED_VALUE"""),0.0)</f>
        <v>0</v>
      </c>
      <c r="AM973" s="133">
        <f>IFERROR(__xludf.DUMMYFUNCTION("""COMPUTED_VALUE"""),0.0)</f>
        <v>0</v>
      </c>
      <c r="AN973" s="133" t="str">
        <f>IFERROR(__xludf.DUMMYFUNCTION("""COMPUTED_VALUE"""),"0")</f>
        <v>0</v>
      </c>
      <c r="AO973" s="133">
        <f>IFERROR(__xludf.DUMMYFUNCTION("""COMPUTED_VALUE"""),3.0)</f>
        <v>3</v>
      </c>
      <c r="AP973" s="155" t="s">
        <v>3736</v>
      </c>
    </row>
    <row r="974">
      <c r="A974" s="155">
        <f>IFERROR(__xludf.DUMMYFUNCTION("""COMPUTED_VALUE"""),81.0)</f>
        <v>81</v>
      </c>
      <c r="B974" s="155" t="str">
        <f>IFERROR(__xludf.DUMMYFUNCTION("""COMPUTED_VALUE"""),"kcin23ece@cmrit.ac.in")</f>
        <v>kcin23ece@cmrit.ac.in</v>
      </c>
      <c r="C974" s="174" t="str">
        <f>IFERROR(__xludf.DUMMYFUNCTION("""COMPUTED_VALUE"""),"K C INDU")</f>
        <v>K C INDU</v>
      </c>
      <c r="D974" s="155" t="str">
        <f>IFERROR(__xludf.DUMMYFUNCTION("""COMPUTED_VALUE"""),"1CR23EC081")</f>
        <v>1CR23EC081</v>
      </c>
      <c r="E974" s="563">
        <f>IFERROR(__xludf.DUMMYFUNCTION("""COMPUTED_VALUE"""),9.141535779E9)</f>
        <v>9141535779</v>
      </c>
      <c r="F974" s="155" t="str">
        <f>IFERROR(__xludf.DUMMYFUNCTION("""COMPUTED_VALUE"""),"ECE")</f>
        <v>ECE</v>
      </c>
      <c r="G974" s="158"/>
      <c r="H974" s="559">
        <f>IFERROR(__xludf.DUMMYFUNCTION("""COMPUTED_VALUE"""),77.0)</f>
        <v>77</v>
      </c>
      <c r="I974" s="559">
        <f>IFERROR(__xludf.DUMMYFUNCTION("""COMPUTED_VALUE"""),70.0)</f>
        <v>70</v>
      </c>
      <c r="J974" s="559">
        <f>IFERROR(__xludf.DUMMYFUNCTION("""COMPUTED_VALUE"""),64.0)</f>
        <v>64</v>
      </c>
      <c r="K974" s="559">
        <f>IFERROR(__xludf.DUMMYFUNCTION("""COMPUTED_VALUE"""),70.0)</f>
        <v>70</v>
      </c>
      <c r="L974" s="560">
        <f>IFERROR(__xludf.DUMMYFUNCTION("""COMPUTED_VALUE"""),50.0)</f>
        <v>50</v>
      </c>
      <c r="M974" s="561">
        <f>IFERROR(__xludf.DUMMYFUNCTION("""COMPUTED_VALUE"""),50.0)</f>
        <v>50</v>
      </c>
      <c r="N974" s="561">
        <f>IFERROR(__xludf.DUMMYFUNCTION("""COMPUTED_VALUE"""),50.0)</f>
        <v>50</v>
      </c>
      <c r="O974" s="560"/>
      <c r="P974" s="562">
        <f>IFERROR(__xludf.DUMMYFUNCTION("""COMPUTED_VALUE"""),0.0)</f>
        <v>0</v>
      </c>
      <c r="Q974" s="562">
        <f>IFERROR(__xludf.DUMMYFUNCTION("""COMPUTED_VALUE"""),50.0)</f>
        <v>50</v>
      </c>
      <c r="R974" s="562">
        <f>IFERROR(__xludf.DUMMYFUNCTION("""COMPUTED_VALUE"""),73.0)</f>
        <v>73</v>
      </c>
      <c r="S974" s="562"/>
      <c r="T974" s="217">
        <f>IFERROR(__xludf.DUMMYFUNCTION("""COMPUTED_VALUE"""),15.0)</f>
        <v>15</v>
      </c>
      <c r="U974" s="217">
        <f>IFERROR(__xludf.DUMMYFUNCTION("""COMPUTED_VALUE"""),12.0)</f>
        <v>12</v>
      </c>
      <c r="V974" s="217">
        <f>IFERROR(__xludf.DUMMYFUNCTION("""COMPUTED_VALUE"""),48.0)</f>
        <v>48</v>
      </c>
      <c r="W974" s="217">
        <f>IFERROR(__xludf.DUMMYFUNCTION("""COMPUTED_VALUE"""),64.0)</f>
        <v>64</v>
      </c>
      <c r="X974" s="217">
        <f>IFERROR(__xludf.DUMMYFUNCTION("""COMPUTED_VALUE"""),56.0)</f>
        <v>56</v>
      </c>
      <c r="Y974" s="217"/>
      <c r="Z974" s="217"/>
      <c r="AA974" s="481">
        <f>IFERROR(__xludf.DUMMYFUNCTION("""COMPUTED_VALUE"""),6.0)</f>
        <v>6</v>
      </c>
      <c r="AB974" s="481">
        <f>IFERROR(__xludf.DUMMYFUNCTION("""COMPUTED_VALUE"""),60.0)</f>
        <v>60</v>
      </c>
      <c r="AC974" s="481">
        <f>IFERROR(__xludf.DUMMYFUNCTION("""COMPUTED_VALUE"""),0.0)</f>
        <v>0</v>
      </c>
      <c r="AD974" s="481"/>
      <c r="AE974" s="481">
        <f>IFERROR(__xludf.DUMMYFUNCTION("""COMPUTED_VALUE"""),12.0)</f>
        <v>12</v>
      </c>
      <c r="AF974" s="481"/>
      <c r="AG974" s="481">
        <f>IFERROR(__xludf.DUMMYFUNCTION("""COMPUTED_VALUE"""),71.0)</f>
        <v>71</v>
      </c>
      <c r="AH974" s="481"/>
      <c r="AI974" s="158"/>
      <c r="AJ974" s="158"/>
      <c r="AK974" s="133">
        <f>IFERROR(__xludf.DUMMYFUNCTION("""COMPUTED_VALUE"""),2.0)</f>
        <v>2</v>
      </c>
      <c r="AL974" s="133">
        <f>IFERROR(__xludf.DUMMYFUNCTION("""COMPUTED_VALUE"""),3.0)</f>
        <v>3</v>
      </c>
      <c r="AM974" s="133">
        <f>IFERROR(__xludf.DUMMYFUNCTION("""COMPUTED_VALUE"""),3.0)</f>
        <v>3</v>
      </c>
      <c r="AN974" s="133" t="str">
        <f>IFERROR(__xludf.DUMMYFUNCTION("""COMPUTED_VALUE"""),"2")</f>
        <v>2</v>
      </c>
      <c r="AO974" s="133">
        <f>IFERROR(__xludf.DUMMYFUNCTION("""COMPUTED_VALUE"""),0.0)</f>
        <v>0</v>
      </c>
      <c r="AP974" s="155" t="s">
        <v>3736</v>
      </c>
    </row>
    <row r="975">
      <c r="A975" s="155">
        <f>IFERROR(__xludf.DUMMYFUNCTION("""COMPUTED_VALUE"""),82.0)</f>
        <v>82</v>
      </c>
      <c r="B975" s="155" t="str">
        <f>IFERROR(__xludf.DUMMYFUNCTION("""COMPUTED_VALUE"""),"kakn23ece@cmrit.ac.in")</f>
        <v>kakn23ece@cmrit.ac.in</v>
      </c>
      <c r="C975" s="174" t="str">
        <f>IFERROR(__xludf.DUMMYFUNCTION("""COMPUTED_VALUE"""),"K N KARTHIK")</f>
        <v>K N KARTHIK</v>
      </c>
      <c r="D975" s="155" t="str">
        <f>IFERROR(__xludf.DUMMYFUNCTION("""COMPUTED_VALUE"""),"1CR23EC082")</f>
        <v>1CR23EC082</v>
      </c>
      <c r="E975" s="563">
        <f>IFERROR(__xludf.DUMMYFUNCTION("""COMPUTED_VALUE"""),8.748050707E9)</f>
        <v>8748050707</v>
      </c>
      <c r="F975" s="155" t="str">
        <f>IFERROR(__xludf.DUMMYFUNCTION("""COMPUTED_VALUE"""),"ECE")</f>
        <v>ECE</v>
      </c>
      <c r="G975" s="158"/>
      <c r="H975" s="559">
        <f>IFERROR(__xludf.DUMMYFUNCTION("""COMPUTED_VALUE"""),70.0)</f>
        <v>70</v>
      </c>
      <c r="I975" s="559">
        <f>IFERROR(__xludf.DUMMYFUNCTION("""COMPUTED_VALUE"""),70.0)</f>
        <v>70</v>
      </c>
      <c r="J975" s="559">
        <f>IFERROR(__xludf.DUMMYFUNCTION("""COMPUTED_VALUE"""),39.0)</f>
        <v>39</v>
      </c>
      <c r="K975" s="559">
        <f>IFERROR(__xludf.DUMMYFUNCTION("""COMPUTED_VALUE"""),70.0)</f>
        <v>70</v>
      </c>
      <c r="L975" s="560">
        <f>IFERROR(__xludf.DUMMYFUNCTION("""COMPUTED_VALUE"""),50.0)</f>
        <v>50</v>
      </c>
      <c r="M975" s="561">
        <f>IFERROR(__xludf.DUMMYFUNCTION("""COMPUTED_VALUE"""),13.0)</f>
        <v>13</v>
      </c>
      <c r="N975" s="561">
        <f>IFERROR(__xludf.DUMMYFUNCTION("""COMPUTED_VALUE"""),3.0)</f>
        <v>3</v>
      </c>
      <c r="O975" s="560"/>
      <c r="P975" s="562">
        <f>IFERROR(__xludf.DUMMYFUNCTION("""COMPUTED_VALUE"""),73.0)</f>
        <v>73</v>
      </c>
      <c r="Q975" s="562">
        <f>IFERROR(__xludf.DUMMYFUNCTION("""COMPUTED_VALUE"""),0.0)</f>
        <v>0</v>
      </c>
      <c r="R975" s="562">
        <f>IFERROR(__xludf.DUMMYFUNCTION("""COMPUTED_VALUE"""),0.0)</f>
        <v>0</v>
      </c>
      <c r="S975" s="562"/>
      <c r="T975" s="217">
        <f>IFERROR(__xludf.DUMMYFUNCTION("""COMPUTED_VALUE"""),17.0)</f>
        <v>17</v>
      </c>
      <c r="U975" s="217">
        <f>IFERROR(__xludf.DUMMYFUNCTION("""COMPUTED_VALUE"""),18.0)</f>
        <v>18</v>
      </c>
      <c r="V975" s="217">
        <f>IFERROR(__xludf.DUMMYFUNCTION("""COMPUTED_VALUE"""),42.0)</f>
        <v>42</v>
      </c>
      <c r="W975" s="217">
        <f>IFERROR(__xludf.DUMMYFUNCTION("""COMPUTED_VALUE"""),86.0)</f>
        <v>86</v>
      </c>
      <c r="X975" s="217">
        <f>IFERROR(__xludf.DUMMYFUNCTION("""COMPUTED_VALUE"""),58.0)</f>
        <v>58</v>
      </c>
      <c r="Y975" s="217"/>
      <c r="Z975" s="217"/>
      <c r="AA975" s="481">
        <f>IFERROR(__xludf.DUMMYFUNCTION("""COMPUTED_VALUE"""),0.0)</f>
        <v>0</v>
      </c>
      <c r="AB975" s="481">
        <f>IFERROR(__xludf.DUMMYFUNCTION("""COMPUTED_VALUE"""),70.0)</f>
        <v>70</v>
      </c>
      <c r="AC975" s="481">
        <f>IFERROR(__xludf.DUMMYFUNCTION("""COMPUTED_VALUE"""),70.0)</f>
        <v>70</v>
      </c>
      <c r="AD975" s="481"/>
      <c r="AE975" s="481">
        <f>IFERROR(__xludf.DUMMYFUNCTION("""COMPUTED_VALUE"""),16.0)</f>
        <v>16</v>
      </c>
      <c r="AF975" s="481"/>
      <c r="AG975" s="481"/>
      <c r="AH975" s="481"/>
      <c r="AI975" s="158"/>
      <c r="AJ975" s="158"/>
      <c r="AK975" s="133">
        <f>IFERROR(__xludf.DUMMYFUNCTION("""COMPUTED_VALUE"""),2.0)</f>
        <v>2</v>
      </c>
      <c r="AL975" s="133">
        <f>IFERROR(__xludf.DUMMYFUNCTION("""COMPUTED_VALUE"""),1.0)</f>
        <v>1</v>
      </c>
      <c r="AM975" s="133">
        <f>IFERROR(__xludf.DUMMYFUNCTION("""COMPUTED_VALUE"""),3.0)</f>
        <v>3</v>
      </c>
      <c r="AN975" s="133" t="str">
        <f>IFERROR(__xludf.DUMMYFUNCTION("""COMPUTED_VALUE"""),"3")</f>
        <v>3</v>
      </c>
      <c r="AO975" s="133">
        <f>IFERROR(__xludf.DUMMYFUNCTION("""COMPUTED_VALUE"""),1.0)</f>
        <v>1</v>
      </c>
      <c r="AP975" s="155" t="s">
        <v>3736</v>
      </c>
    </row>
    <row r="976">
      <c r="A976" s="155">
        <f>IFERROR(__xludf.DUMMYFUNCTION("""COMPUTED_VALUE"""),83.0)</f>
        <v>83</v>
      </c>
      <c r="B976" s="155" t="str">
        <f>IFERROR(__xludf.DUMMYFUNCTION("""COMPUTED_VALUE"""),"kska23ece@cmrit.ac.in")</f>
        <v>kska23ece@cmrit.ac.in</v>
      </c>
      <c r="C976" s="174" t="str">
        <f>IFERROR(__xludf.DUMMYFUNCTION("""COMPUTED_VALUE"""),"K S KARTHIK")</f>
        <v>K S KARTHIK</v>
      </c>
      <c r="D976" s="155" t="str">
        <f>IFERROR(__xludf.DUMMYFUNCTION("""COMPUTED_VALUE"""),"1CR23EC083")</f>
        <v>1CR23EC083</v>
      </c>
      <c r="E976" s="563">
        <f>IFERROR(__xludf.DUMMYFUNCTION("""COMPUTED_VALUE"""),8.310077237E9)</f>
        <v>8310077237</v>
      </c>
      <c r="F976" s="155" t="str">
        <f>IFERROR(__xludf.DUMMYFUNCTION("""COMPUTED_VALUE"""),"ECE")</f>
        <v>ECE</v>
      </c>
      <c r="G976" s="158"/>
      <c r="H976" s="559">
        <f>IFERROR(__xludf.DUMMYFUNCTION("""COMPUTED_VALUE"""),83.0)</f>
        <v>83</v>
      </c>
      <c r="I976" s="559">
        <f>IFERROR(__xludf.DUMMYFUNCTION("""COMPUTED_VALUE"""),81.0)</f>
        <v>81</v>
      </c>
      <c r="J976" s="559">
        <f>IFERROR(__xludf.DUMMYFUNCTION("""COMPUTED_VALUE"""),70.0)</f>
        <v>70</v>
      </c>
      <c r="K976" s="559">
        <f>IFERROR(__xludf.DUMMYFUNCTION("""COMPUTED_VALUE"""),70.0)</f>
        <v>70</v>
      </c>
      <c r="L976" s="560">
        <f>IFERROR(__xludf.DUMMYFUNCTION("""COMPUTED_VALUE"""),31.0)</f>
        <v>31</v>
      </c>
      <c r="M976" s="561">
        <f>IFERROR(__xludf.DUMMYFUNCTION("""COMPUTED_VALUE"""),13.0)</f>
        <v>13</v>
      </c>
      <c r="N976" s="561">
        <f>IFERROR(__xludf.DUMMYFUNCTION("""COMPUTED_VALUE"""),0.0)</f>
        <v>0</v>
      </c>
      <c r="O976" s="560"/>
      <c r="P976" s="562">
        <f>IFERROR(__xludf.DUMMYFUNCTION("""COMPUTED_VALUE"""),72.0)</f>
        <v>72</v>
      </c>
      <c r="Q976" s="562">
        <f>IFERROR(__xludf.DUMMYFUNCTION("""COMPUTED_VALUE"""),0.0)</f>
        <v>0</v>
      </c>
      <c r="R976" s="562">
        <f>IFERROR(__xludf.DUMMYFUNCTION("""COMPUTED_VALUE"""),0.0)</f>
        <v>0</v>
      </c>
      <c r="S976" s="562"/>
      <c r="T976" s="217">
        <f>IFERROR(__xludf.DUMMYFUNCTION("""COMPUTED_VALUE"""),13.0)</f>
        <v>13</v>
      </c>
      <c r="U976" s="217">
        <f>IFERROR(__xludf.DUMMYFUNCTION("""COMPUTED_VALUE"""),19.0)</f>
        <v>19</v>
      </c>
      <c r="V976" s="217">
        <f>IFERROR(__xludf.DUMMYFUNCTION("""COMPUTED_VALUE"""),48.0)</f>
        <v>48</v>
      </c>
      <c r="W976" s="217">
        <f>IFERROR(__xludf.DUMMYFUNCTION("""COMPUTED_VALUE"""),76.0)</f>
        <v>76</v>
      </c>
      <c r="X976" s="217">
        <f>IFERROR(__xludf.DUMMYFUNCTION("""COMPUTED_VALUE"""),78.0)</f>
        <v>78</v>
      </c>
      <c r="Y976" s="217"/>
      <c r="Z976" s="217"/>
      <c r="AA976" s="481">
        <f>IFERROR(__xludf.DUMMYFUNCTION("""COMPUTED_VALUE"""),74.0)</f>
        <v>74</v>
      </c>
      <c r="AB976" s="481">
        <f>IFERROR(__xludf.DUMMYFUNCTION("""COMPUTED_VALUE"""),79.0)</f>
        <v>79</v>
      </c>
      <c r="AC976" s="481">
        <f>IFERROR(__xludf.DUMMYFUNCTION("""COMPUTED_VALUE"""),11.0)</f>
        <v>11</v>
      </c>
      <c r="AD976" s="481"/>
      <c r="AE976" s="481">
        <f>IFERROR(__xludf.DUMMYFUNCTION("""COMPUTED_VALUE"""),10.0)</f>
        <v>10</v>
      </c>
      <c r="AF976" s="481"/>
      <c r="AG976" s="481"/>
      <c r="AH976" s="481">
        <f>IFERROR(__xludf.DUMMYFUNCTION("""COMPUTED_VALUE"""),15.0)</f>
        <v>15</v>
      </c>
      <c r="AI976" s="158"/>
      <c r="AJ976" s="158"/>
      <c r="AK976" s="133">
        <f>IFERROR(__xludf.DUMMYFUNCTION("""COMPUTED_VALUE"""),4.0)</f>
        <v>4</v>
      </c>
      <c r="AL976" s="133">
        <f>IFERROR(__xludf.DUMMYFUNCTION("""COMPUTED_VALUE"""),0.0)</f>
        <v>0</v>
      </c>
      <c r="AM976" s="133">
        <f>IFERROR(__xludf.DUMMYFUNCTION("""COMPUTED_VALUE"""),3.0)</f>
        <v>3</v>
      </c>
      <c r="AN976" s="133" t="str">
        <f>IFERROR(__xludf.DUMMYFUNCTION("""COMPUTED_VALUE"""),"2")</f>
        <v>2</v>
      </c>
      <c r="AO976" s="133">
        <f>IFERROR(__xludf.DUMMYFUNCTION("""COMPUTED_VALUE"""),1.0)</f>
        <v>1</v>
      </c>
      <c r="AP976" s="155" t="s">
        <v>3736</v>
      </c>
    </row>
    <row r="977">
      <c r="A977" s="155">
        <f>IFERROR(__xludf.DUMMYFUNCTION("""COMPUTED_VALUE"""),84.0)</f>
        <v>84</v>
      </c>
      <c r="B977" s="155" t="str">
        <f>IFERROR(__xludf.DUMMYFUNCTION("""COMPUTED_VALUE"""),"kaga23ece@cmrit.ac.in")</f>
        <v>kaga23ece@cmrit.ac.in</v>
      </c>
      <c r="C977" s="174" t="str">
        <f>IFERROR(__xludf.DUMMYFUNCTION("""COMPUTED_VALUE"""),"KANALA GANGI REDDY")</f>
        <v>KANALA GANGI REDDY</v>
      </c>
      <c r="D977" s="155" t="str">
        <f>IFERROR(__xludf.DUMMYFUNCTION("""COMPUTED_VALUE"""),"1CR23EC084")</f>
        <v>1CR23EC084</v>
      </c>
      <c r="E977" s="563">
        <f>IFERROR(__xludf.DUMMYFUNCTION("""COMPUTED_VALUE"""),6.302362375E9)</f>
        <v>6302362375</v>
      </c>
      <c r="F977" s="155" t="str">
        <f>IFERROR(__xludf.DUMMYFUNCTION("""COMPUTED_VALUE"""),"ECE")</f>
        <v>ECE</v>
      </c>
      <c r="G977" s="158"/>
      <c r="H977" s="559">
        <f>IFERROR(__xludf.DUMMYFUNCTION("""COMPUTED_VALUE"""),70.0)</f>
        <v>70</v>
      </c>
      <c r="I977" s="559">
        <f>IFERROR(__xludf.DUMMYFUNCTION("""COMPUTED_VALUE"""),70.0)</f>
        <v>70</v>
      </c>
      <c r="J977" s="559">
        <f>IFERROR(__xludf.DUMMYFUNCTION("""COMPUTED_VALUE"""),70.0)</f>
        <v>70</v>
      </c>
      <c r="K977" s="559">
        <f>IFERROR(__xludf.DUMMYFUNCTION("""COMPUTED_VALUE"""),70.0)</f>
        <v>70</v>
      </c>
      <c r="L977" s="560">
        <f>IFERROR(__xludf.DUMMYFUNCTION("""COMPUTED_VALUE"""),50.0)</f>
        <v>50</v>
      </c>
      <c r="M977" s="561">
        <f>IFERROR(__xludf.DUMMYFUNCTION("""COMPUTED_VALUE"""),6.0)</f>
        <v>6</v>
      </c>
      <c r="N977" s="561">
        <f>IFERROR(__xludf.DUMMYFUNCTION("""COMPUTED_VALUE"""),50.0)</f>
        <v>50</v>
      </c>
      <c r="O977" s="560"/>
      <c r="P977" s="562">
        <f>IFERROR(__xludf.DUMMYFUNCTION("""COMPUTED_VALUE"""),0.0)</f>
        <v>0</v>
      </c>
      <c r="Q977" s="562">
        <f>IFERROR(__xludf.DUMMYFUNCTION("""COMPUTED_VALUE"""),50.0)</f>
        <v>50</v>
      </c>
      <c r="R977" s="562">
        <f>IFERROR(__xludf.DUMMYFUNCTION("""COMPUTED_VALUE"""),0.0)</f>
        <v>0</v>
      </c>
      <c r="S977" s="562"/>
      <c r="T977" s="217">
        <f>IFERROR(__xludf.DUMMYFUNCTION("""COMPUTED_VALUE"""),16.0)</f>
        <v>16</v>
      </c>
      <c r="U977" s="217">
        <f>IFERROR(__xludf.DUMMYFUNCTION("""COMPUTED_VALUE"""),13.0)</f>
        <v>13</v>
      </c>
      <c r="V977" s="217">
        <f>IFERROR(__xludf.DUMMYFUNCTION("""COMPUTED_VALUE"""),34.0)</f>
        <v>34</v>
      </c>
      <c r="W977" s="217">
        <f>IFERROR(__xludf.DUMMYFUNCTION("""COMPUTED_VALUE"""),64.0)</f>
        <v>64</v>
      </c>
      <c r="X977" s="217">
        <f>IFERROR(__xludf.DUMMYFUNCTION("""COMPUTED_VALUE"""),66.0)</f>
        <v>66</v>
      </c>
      <c r="Y977" s="217"/>
      <c r="Z977" s="217"/>
      <c r="AA977" s="481">
        <f>IFERROR(__xludf.DUMMYFUNCTION("""COMPUTED_VALUE"""),0.0)</f>
        <v>0</v>
      </c>
      <c r="AB977" s="481">
        <f>IFERROR(__xludf.DUMMYFUNCTION("""COMPUTED_VALUE"""),41.25)</f>
        <v>41.25</v>
      </c>
      <c r="AC977" s="481">
        <f>IFERROR(__xludf.DUMMYFUNCTION("""COMPUTED_VALUE"""),66.0)</f>
        <v>66</v>
      </c>
      <c r="AD977" s="481"/>
      <c r="AE977" s="481">
        <f>IFERROR(__xludf.DUMMYFUNCTION("""COMPUTED_VALUE"""),10.0)</f>
        <v>10</v>
      </c>
      <c r="AF977" s="481"/>
      <c r="AG977" s="481"/>
      <c r="AH977" s="481"/>
      <c r="AI977" s="158"/>
      <c r="AJ977" s="158"/>
      <c r="AK977" s="133">
        <f>IFERROR(__xludf.DUMMYFUNCTION("""COMPUTED_VALUE"""),4.0)</f>
        <v>4</v>
      </c>
      <c r="AL977" s="133">
        <f>IFERROR(__xludf.DUMMYFUNCTION("""COMPUTED_VALUE"""),1.0)</f>
        <v>1</v>
      </c>
      <c r="AM977" s="133">
        <f>IFERROR(__xludf.DUMMYFUNCTION("""COMPUTED_VALUE"""),3.0)</f>
        <v>3</v>
      </c>
      <c r="AN977" s="133" t="str">
        <f>IFERROR(__xludf.DUMMYFUNCTION("""COMPUTED_VALUE"""),"0")</f>
        <v>0</v>
      </c>
      <c r="AO977" s="133">
        <f>IFERROR(__xludf.DUMMYFUNCTION("""COMPUTED_VALUE"""),0.0)</f>
        <v>0</v>
      </c>
      <c r="AP977" s="155" t="s">
        <v>3736</v>
      </c>
    </row>
    <row r="978">
      <c r="A978" s="155">
        <f>IFERROR(__xludf.DUMMYFUNCTION("""COMPUTED_VALUE"""),85.0)</f>
        <v>85</v>
      </c>
      <c r="B978" s="155" t="str">
        <f>IFERROR(__xludf.DUMMYFUNCTION("""COMPUTED_VALUE"""),"kapa23ece@cmrit.ac.in")</f>
        <v>kapa23ece@cmrit.ac.in</v>
      </c>
      <c r="C978" s="174" t="str">
        <f>IFERROR(__xludf.DUMMYFUNCTION("""COMPUTED_VALUE"""),"KANDADDY PADMAPRIYA")</f>
        <v>KANDADDY PADMAPRIYA</v>
      </c>
      <c r="D978" s="155" t="str">
        <f>IFERROR(__xludf.DUMMYFUNCTION("""COMPUTED_VALUE"""),"1CR23EC085")</f>
        <v>1CR23EC085</v>
      </c>
      <c r="E978" s="563">
        <f>IFERROR(__xludf.DUMMYFUNCTION("""COMPUTED_VALUE"""),8.197040404E9)</f>
        <v>8197040404</v>
      </c>
      <c r="F978" s="155" t="str">
        <f>IFERROR(__xludf.DUMMYFUNCTION("""COMPUTED_VALUE"""),"ECE")</f>
        <v>ECE</v>
      </c>
      <c r="G978" s="158"/>
      <c r="H978" s="559">
        <f>IFERROR(__xludf.DUMMYFUNCTION("""COMPUTED_VALUE"""),87.0)</f>
        <v>87</v>
      </c>
      <c r="I978" s="559">
        <f>IFERROR(__xludf.DUMMYFUNCTION("""COMPUTED_VALUE"""),90.0)</f>
        <v>90</v>
      </c>
      <c r="J978" s="559">
        <f>IFERROR(__xludf.DUMMYFUNCTION("""COMPUTED_VALUE"""),70.0)</f>
        <v>70</v>
      </c>
      <c r="K978" s="559">
        <f>IFERROR(__xludf.DUMMYFUNCTION("""COMPUTED_VALUE"""),70.0)</f>
        <v>70</v>
      </c>
      <c r="L978" s="560">
        <f>IFERROR(__xludf.DUMMYFUNCTION("""COMPUTED_VALUE"""),68.0)</f>
        <v>68</v>
      </c>
      <c r="M978" s="561">
        <f>IFERROR(__xludf.DUMMYFUNCTION("""COMPUTED_VALUE"""),50.0)</f>
        <v>50</v>
      </c>
      <c r="N978" s="561">
        <f>IFERROR(__xludf.DUMMYFUNCTION("""COMPUTED_VALUE"""),54.0)</f>
        <v>54</v>
      </c>
      <c r="O978" s="560"/>
      <c r="P978" s="562">
        <f>IFERROR(__xludf.DUMMYFUNCTION("""COMPUTED_VALUE"""),90.0)</f>
        <v>90</v>
      </c>
      <c r="Q978" s="562">
        <f>IFERROR(__xludf.DUMMYFUNCTION("""COMPUTED_VALUE"""),81.0)</f>
        <v>81</v>
      </c>
      <c r="R978" s="562">
        <f>IFERROR(__xludf.DUMMYFUNCTION("""COMPUTED_VALUE"""),92.0)</f>
        <v>92</v>
      </c>
      <c r="S978" s="562"/>
      <c r="T978" s="217">
        <f>IFERROR(__xludf.DUMMYFUNCTION("""COMPUTED_VALUE"""),15.0)</f>
        <v>15</v>
      </c>
      <c r="U978" s="217">
        <f>IFERROR(__xludf.DUMMYFUNCTION("""COMPUTED_VALUE"""),21.0)</f>
        <v>21</v>
      </c>
      <c r="V978" s="217">
        <f>IFERROR(__xludf.DUMMYFUNCTION("""COMPUTED_VALUE"""),48.0)</f>
        <v>48</v>
      </c>
      <c r="W978" s="217">
        <f>IFERROR(__xludf.DUMMYFUNCTION("""COMPUTED_VALUE"""),62.0)</f>
        <v>62</v>
      </c>
      <c r="X978" s="217">
        <f>IFERROR(__xludf.DUMMYFUNCTION("""COMPUTED_VALUE"""),74.0)</f>
        <v>74</v>
      </c>
      <c r="Y978" s="217"/>
      <c r="Z978" s="217"/>
      <c r="AA978" s="481">
        <f>IFERROR(__xludf.DUMMYFUNCTION("""COMPUTED_VALUE"""),53.0)</f>
        <v>53</v>
      </c>
      <c r="AB978" s="481">
        <f>IFERROR(__xludf.DUMMYFUNCTION("""COMPUTED_VALUE"""),100.0)</f>
        <v>100</v>
      </c>
      <c r="AC978" s="481">
        <f>IFERROR(__xludf.DUMMYFUNCTION("""COMPUTED_VALUE"""),100.0)</f>
        <v>100</v>
      </c>
      <c r="AD978" s="481"/>
      <c r="AE978" s="481">
        <f>IFERROR(__xludf.DUMMYFUNCTION("""COMPUTED_VALUE"""),70.0)</f>
        <v>70</v>
      </c>
      <c r="AF978" s="481"/>
      <c r="AG978" s="481"/>
      <c r="AH978" s="481">
        <f>IFERROR(__xludf.DUMMYFUNCTION("""COMPUTED_VALUE"""),73.0)</f>
        <v>73</v>
      </c>
      <c r="AI978" s="158"/>
      <c r="AJ978" s="158"/>
      <c r="AK978" s="133">
        <f>IFERROR(__xludf.DUMMYFUNCTION("""COMPUTED_VALUE"""),4.0)</f>
        <v>4</v>
      </c>
      <c r="AL978" s="133">
        <f>IFERROR(__xludf.DUMMYFUNCTION("""COMPUTED_VALUE"""),3.0)</f>
        <v>3</v>
      </c>
      <c r="AM978" s="133">
        <f>IFERROR(__xludf.DUMMYFUNCTION("""COMPUTED_VALUE"""),3.0)</f>
        <v>3</v>
      </c>
      <c r="AN978" s="133" t="str">
        <f>IFERROR(__xludf.DUMMYFUNCTION("""COMPUTED_VALUE"""),"3.5")</f>
        <v>3.5</v>
      </c>
      <c r="AO978" s="133">
        <f>IFERROR(__xludf.DUMMYFUNCTION("""COMPUTED_VALUE"""),3.0)</f>
        <v>3</v>
      </c>
      <c r="AP978" s="155" t="s">
        <v>3736</v>
      </c>
    </row>
    <row r="979">
      <c r="A979" s="155">
        <f>IFERROR(__xludf.DUMMYFUNCTION("""COMPUTED_VALUE"""),86.0)</f>
        <v>86</v>
      </c>
      <c r="B979" s="155" t="str">
        <f>IFERROR(__xludf.DUMMYFUNCTION("""COMPUTED_VALUE"""),"kaan23ece@cmrit.ac.in")</f>
        <v>kaan23ece@cmrit.ac.in</v>
      </c>
      <c r="C979" s="174" t="str">
        <f>IFERROR(__xludf.DUMMYFUNCTION("""COMPUTED_VALUE"""),"Kanduri Ananthalakshmi sathvika")</f>
        <v>Kanduri Ananthalakshmi sathvika</v>
      </c>
      <c r="D979" s="155" t="str">
        <f>IFERROR(__xludf.DUMMYFUNCTION("""COMPUTED_VALUE"""),"1CR23EC086")</f>
        <v>1CR23EC086</v>
      </c>
      <c r="E979" s="563">
        <f>IFERROR(__xludf.DUMMYFUNCTION("""COMPUTED_VALUE"""),8.317374425E9)</f>
        <v>8317374425</v>
      </c>
      <c r="F979" s="155" t="str">
        <f>IFERROR(__xludf.DUMMYFUNCTION("""COMPUTED_VALUE"""),"ECE")</f>
        <v>ECE</v>
      </c>
      <c r="G979" s="158"/>
      <c r="H979" s="559">
        <f>IFERROR(__xludf.DUMMYFUNCTION("""COMPUTED_VALUE"""),76.0)</f>
        <v>76</v>
      </c>
      <c r="I979" s="559">
        <f>IFERROR(__xludf.DUMMYFUNCTION("""COMPUTED_VALUE"""),76.0)</f>
        <v>76</v>
      </c>
      <c r="J979" s="559">
        <f>IFERROR(__xludf.DUMMYFUNCTION("""COMPUTED_VALUE"""),70.0)</f>
        <v>70</v>
      </c>
      <c r="K979" s="559">
        <f>IFERROR(__xludf.DUMMYFUNCTION("""COMPUTED_VALUE"""),70.0)</f>
        <v>70</v>
      </c>
      <c r="L979" s="560">
        <f>IFERROR(__xludf.DUMMYFUNCTION("""COMPUTED_VALUE"""),50.0)</f>
        <v>50</v>
      </c>
      <c r="M979" s="561">
        <f>IFERROR(__xludf.DUMMYFUNCTION("""COMPUTED_VALUE"""),50.0)</f>
        <v>50</v>
      </c>
      <c r="N979" s="561">
        <f>IFERROR(__xludf.DUMMYFUNCTION("""COMPUTED_VALUE"""),50.0)</f>
        <v>50</v>
      </c>
      <c r="O979" s="560"/>
      <c r="P979" s="562">
        <f>IFERROR(__xludf.DUMMYFUNCTION("""COMPUTED_VALUE"""),76.0)</f>
        <v>76</v>
      </c>
      <c r="Q979" s="562">
        <f>IFERROR(__xludf.DUMMYFUNCTION("""COMPUTED_VALUE"""),66.0)</f>
        <v>66</v>
      </c>
      <c r="R979" s="562">
        <f>IFERROR(__xludf.DUMMYFUNCTION("""COMPUTED_VALUE"""),77.0)</f>
        <v>77</v>
      </c>
      <c r="S979" s="562"/>
      <c r="T979" s="217">
        <f>IFERROR(__xludf.DUMMYFUNCTION("""COMPUTED_VALUE"""),16.0)</f>
        <v>16</v>
      </c>
      <c r="U979" s="217">
        <f>IFERROR(__xludf.DUMMYFUNCTION("""COMPUTED_VALUE"""),12.0)</f>
        <v>12</v>
      </c>
      <c r="V979" s="217">
        <f>IFERROR(__xludf.DUMMYFUNCTION("""COMPUTED_VALUE"""),50.0)</f>
        <v>50</v>
      </c>
      <c r="W979" s="217">
        <f>IFERROR(__xludf.DUMMYFUNCTION("""COMPUTED_VALUE"""),78.0)</f>
        <v>78</v>
      </c>
      <c r="X979" s="217">
        <f>IFERROR(__xludf.DUMMYFUNCTION("""COMPUTED_VALUE"""),68.0)</f>
        <v>68</v>
      </c>
      <c r="Y979" s="217"/>
      <c r="Z979" s="217"/>
      <c r="AA979" s="481">
        <f>IFERROR(__xludf.DUMMYFUNCTION("""COMPUTED_VALUE"""),52.0)</f>
        <v>52</v>
      </c>
      <c r="AB979" s="481">
        <f>IFERROR(__xludf.DUMMYFUNCTION("""COMPUTED_VALUE"""),64.0)</f>
        <v>64</v>
      </c>
      <c r="AC979" s="481">
        <f>IFERROR(__xludf.DUMMYFUNCTION("""COMPUTED_VALUE"""),80.0)</f>
        <v>80</v>
      </c>
      <c r="AD979" s="481"/>
      <c r="AE979" s="481">
        <f>IFERROR(__xludf.DUMMYFUNCTION("""COMPUTED_VALUE"""),77.0)</f>
        <v>77</v>
      </c>
      <c r="AF979" s="481"/>
      <c r="AG979" s="481"/>
      <c r="AH979" s="481"/>
      <c r="AI979" s="158"/>
      <c r="AJ979" s="158"/>
      <c r="AK979" s="133">
        <f>IFERROR(__xludf.DUMMYFUNCTION("""COMPUTED_VALUE"""),4.0)</f>
        <v>4</v>
      </c>
      <c r="AL979" s="133">
        <f>IFERROR(__xludf.DUMMYFUNCTION("""COMPUTED_VALUE"""),3.0)</f>
        <v>3</v>
      </c>
      <c r="AM979" s="133">
        <f>IFERROR(__xludf.DUMMYFUNCTION("""COMPUTED_VALUE"""),3.0)</f>
        <v>3</v>
      </c>
      <c r="AN979" s="133" t="str">
        <f>IFERROR(__xludf.DUMMYFUNCTION("""COMPUTED_VALUE"""),"3.5")</f>
        <v>3.5</v>
      </c>
      <c r="AO979" s="133">
        <f>IFERROR(__xludf.DUMMYFUNCTION("""COMPUTED_VALUE"""),3.0)</f>
        <v>3</v>
      </c>
      <c r="AP979" s="155" t="s">
        <v>3736</v>
      </c>
    </row>
    <row r="980">
      <c r="A980" s="155">
        <f>IFERROR(__xludf.DUMMYFUNCTION("""COMPUTED_VALUE"""),87.0)</f>
        <v>87</v>
      </c>
      <c r="B980" s="155" t="str">
        <f>IFERROR(__xludf.DUMMYFUNCTION("""COMPUTED_VALUE"""),"kama23ece@cmrit.ac.in")</f>
        <v>kama23ece@cmrit.ac.in</v>
      </c>
      <c r="C980" s="174" t="str">
        <f>IFERROR(__xludf.DUMMYFUNCTION("""COMPUTED_VALUE"""),"KAPPALA MANI KANTA")</f>
        <v>KAPPALA MANI KANTA</v>
      </c>
      <c r="D980" s="155" t="str">
        <f>IFERROR(__xludf.DUMMYFUNCTION("""COMPUTED_VALUE"""),"1CR23EC087")</f>
        <v>1CR23EC087</v>
      </c>
      <c r="E980" s="563">
        <f>IFERROR(__xludf.DUMMYFUNCTION("""COMPUTED_VALUE"""),8.885505499E9)</f>
        <v>8885505499</v>
      </c>
      <c r="F980" s="155" t="str">
        <f>IFERROR(__xludf.DUMMYFUNCTION("""COMPUTED_VALUE"""),"ECE")</f>
        <v>ECE</v>
      </c>
      <c r="G980" s="158"/>
      <c r="H980" s="559">
        <f>IFERROR(__xludf.DUMMYFUNCTION("""COMPUTED_VALUE"""),70.0)</f>
        <v>70</v>
      </c>
      <c r="I980" s="559">
        <f>IFERROR(__xludf.DUMMYFUNCTION("""COMPUTED_VALUE"""),70.0)</f>
        <v>70</v>
      </c>
      <c r="J980" s="559">
        <f>IFERROR(__xludf.DUMMYFUNCTION("""COMPUTED_VALUE"""),70.0)</f>
        <v>70</v>
      </c>
      <c r="K980" s="559">
        <f>IFERROR(__xludf.DUMMYFUNCTION("""COMPUTED_VALUE"""),70.0)</f>
        <v>70</v>
      </c>
      <c r="L980" s="560">
        <f>IFERROR(__xludf.DUMMYFUNCTION("""COMPUTED_VALUE"""),20.0)</f>
        <v>20</v>
      </c>
      <c r="M980" s="561">
        <f>IFERROR(__xludf.DUMMYFUNCTION("""COMPUTED_VALUE"""),6.0)</f>
        <v>6</v>
      </c>
      <c r="N980" s="561">
        <f>IFERROR(__xludf.DUMMYFUNCTION("""COMPUTED_VALUE"""),12.0)</f>
        <v>12</v>
      </c>
      <c r="O980" s="560"/>
      <c r="P980" s="562">
        <f>IFERROR(__xludf.DUMMYFUNCTION("""COMPUTED_VALUE"""),72.0)</f>
        <v>72</v>
      </c>
      <c r="Q980" s="562">
        <f>IFERROR(__xludf.DUMMYFUNCTION("""COMPUTED_VALUE"""),0.0)</f>
        <v>0</v>
      </c>
      <c r="R980" s="562">
        <f>IFERROR(__xludf.DUMMYFUNCTION("""COMPUTED_VALUE"""),0.0)</f>
        <v>0</v>
      </c>
      <c r="S980" s="562"/>
      <c r="T980" s="217">
        <f>IFERROR(__xludf.DUMMYFUNCTION("""COMPUTED_VALUE"""),18.0)</f>
        <v>18</v>
      </c>
      <c r="U980" s="217">
        <f>IFERROR(__xludf.DUMMYFUNCTION("""COMPUTED_VALUE"""),18.0)</f>
        <v>18</v>
      </c>
      <c r="V980" s="217">
        <f>IFERROR(__xludf.DUMMYFUNCTION("""COMPUTED_VALUE"""),44.0)</f>
        <v>44</v>
      </c>
      <c r="W980" s="217">
        <f>IFERROR(__xludf.DUMMYFUNCTION("""COMPUTED_VALUE"""),78.0)</f>
        <v>78</v>
      </c>
      <c r="X980" s="217"/>
      <c r="Y980" s="217"/>
      <c r="Z980" s="217"/>
      <c r="AA980" s="481">
        <f>IFERROR(__xludf.DUMMYFUNCTION("""COMPUTED_VALUE"""),6.0)</f>
        <v>6</v>
      </c>
      <c r="AB980" s="481">
        <f>IFERROR(__xludf.DUMMYFUNCTION("""COMPUTED_VALUE"""),60.0)</f>
        <v>60</v>
      </c>
      <c r="AC980" s="481">
        <f>IFERROR(__xludf.DUMMYFUNCTION("""COMPUTED_VALUE"""),77.0)</f>
        <v>77</v>
      </c>
      <c r="AD980" s="481"/>
      <c r="AE980" s="481">
        <f>IFERROR(__xludf.DUMMYFUNCTION("""COMPUTED_VALUE"""),10.0)</f>
        <v>10</v>
      </c>
      <c r="AF980" s="481"/>
      <c r="AG980" s="481"/>
      <c r="AH980" s="481"/>
      <c r="AI980" s="158"/>
      <c r="AJ980" s="158"/>
      <c r="AK980" s="133">
        <f>IFERROR(__xludf.DUMMYFUNCTION("""COMPUTED_VALUE"""),4.0)</f>
        <v>4</v>
      </c>
      <c r="AL980" s="133">
        <f>IFERROR(__xludf.DUMMYFUNCTION("""COMPUTED_VALUE"""),0.0)</f>
        <v>0</v>
      </c>
      <c r="AM980" s="133">
        <f>IFERROR(__xludf.DUMMYFUNCTION("""COMPUTED_VALUE"""),3.0)</f>
        <v>3</v>
      </c>
      <c r="AN980" s="133" t="str">
        <f>IFERROR(__xludf.DUMMYFUNCTION("""COMPUTED_VALUE"""),"3")</f>
        <v>3</v>
      </c>
      <c r="AO980" s="133">
        <f>IFERROR(__xludf.DUMMYFUNCTION("""COMPUTED_VALUE"""),1.0)</f>
        <v>1</v>
      </c>
      <c r="AP980" s="155" t="s">
        <v>3736</v>
      </c>
    </row>
    <row r="981">
      <c r="A981" s="155">
        <f>IFERROR(__xludf.DUMMYFUNCTION("""COMPUTED_VALUE"""),88.0)</f>
        <v>88</v>
      </c>
      <c r="B981" s="155" t="str">
        <f>IFERROR(__xludf.DUMMYFUNCTION("""COMPUTED_VALUE"""),"kaka23ece@cmrit.ac.in")</f>
        <v>kaka23ece@cmrit.ac.in</v>
      </c>
      <c r="C981" s="174" t="str">
        <f>IFERROR(__xludf.DUMMYFUNCTION("""COMPUTED_VALUE"""),"KAVANA KANDAKUR")</f>
        <v>KAVANA KANDAKUR</v>
      </c>
      <c r="D981" s="155" t="str">
        <f>IFERROR(__xludf.DUMMYFUNCTION("""COMPUTED_VALUE"""),"1CR23EC088")</f>
        <v>1CR23EC088</v>
      </c>
      <c r="E981" s="563">
        <f>IFERROR(__xludf.DUMMYFUNCTION("""COMPUTED_VALUE"""),8.31083785E9)</f>
        <v>8310837850</v>
      </c>
      <c r="F981" s="155" t="str">
        <f>IFERROR(__xludf.DUMMYFUNCTION("""COMPUTED_VALUE"""),"ECE")</f>
        <v>ECE</v>
      </c>
      <c r="G981" s="158"/>
      <c r="H981" s="559">
        <f>IFERROR(__xludf.DUMMYFUNCTION("""COMPUTED_VALUE"""),72.0)</f>
        <v>72</v>
      </c>
      <c r="I981" s="559">
        <f>IFERROR(__xludf.DUMMYFUNCTION("""COMPUTED_VALUE"""),91.0)</f>
        <v>91</v>
      </c>
      <c r="J981" s="559">
        <f>IFERROR(__xludf.DUMMYFUNCTION("""COMPUTED_VALUE"""),83.0)</f>
        <v>83</v>
      </c>
      <c r="K981" s="559">
        <f>IFERROR(__xludf.DUMMYFUNCTION("""COMPUTED_VALUE"""),76.0)</f>
        <v>76</v>
      </c>
      <c r="L981" s="560">
        <f>IFERROR(__xludf.DUMMYFUNCTION("""COMPUTED_VALUE"""),50.0)</f>
        <v>50</v>
      </c>
      <c r="M981" s="561">
        <f>IFERROR(__xludf.DUMMYFUNCTION("""COMPUTED_VALUE"""),50.0)</f>
        <v>50</v>
      </c>
      <c r="N981" s="561">
        <f>IFERROR(__xludf.DUMMYFUNCTION("""COMPUTED_VALUE"""),50.0)</f>
        <v>50</v>
      </c>
      <c r="O981" s="560"/>
      <c r="P981" s="562">
        <f>IFERROR(__xludf.DUMMYFUNCTION("""COMPUTED_VALUE"""),50.0)</f>
        <v>50</v>
      </c>
      <c r="Q981" s="562">
        <f>IFERROR(__xludf.DUMMYFUNCTION("""COMPUTED_VALUE"""),66.0)</f>
        <v>66</v>
      </c>
      <c r="R981" s="562">
        <f>IFERROR(__xludf.DUMMYFUNCTION("""COMPUTED_VALUE"""),80.0)</f>
        <v>80</v>
      </c>
      <c r="S981" s="562"/>
      <c r="T981" s="217">
        <f>IFERROR(__xludf.DUMMYFUNCTION("""COMPUTED_VALUE"""),13.0)</f>
        <v>13</v>
      </c>
      <c r="U981" s="217">
        <f>IFERROR(__xludf.DUMMYFUNCTION("""COMPUTED_VALUE"""),14.0)</f>
        <v>14</v>
      </c>
      <c r="V981" s="217">
        <f>IFERROR(__xludf.DUMMYFUNCTION("""COMPUTED_VALUE"""),50.0)</f>
        <v>50</v>
      </c>
      <c r="W981" s="217">
        <f>IFERROR(__xludf.DUMMYFUNCTION("""COMPUTED_VALUE"""),80.0)</f>
        <v>80</v>
      </c>
      <c r="X981" s="217">
        <f>IFERROR(__xludf.DUMMYFUNCTION("""COMPUTED_VALUE"""),80.0)</f>
        <v>80</v>
      </c>
      <c r="Y981" s="217"/>
      <c r="Z981" s="217"/>
      <c r="AA981" s="481">
        <f>IFERROR(__xludf.DUMMYFUNCTION("""COMPUTED_VALUE"""),49.0)</f>
        <v>49</v>
      </c>
      <c r="AB981" s="481">
        <f>IFERROR(__xludf.DUMMYFUNCTION("""COMPUTED_VALUE"""),75.0)</f>
        <v>75</v>
      </c>
      <c r="AC981" s="481">
        <f>IFERROR(__xludf.DUMMYFUNCTION("""COMPUTED_VALUE"""),43.0)</f>
        <v>43</v>
      </c>
      <c r="AD981" s="481"/>
      <c r="AE981" s="481">
        <f>IFERROR(__xludf.DUMMYFUNCTION("""COMPUTED_VALUE"""),25.0)</f>
        <v>25</v>
      </c>
      <c r="AF981" s="481"/>
      <c r="AG981" s="481">
        <f>IFERROR(__xludf.DUMMYFUNCTION("""COMPUTED_VALUE"""),79.0)</f>
        <v>79</v>
      </c>
      <c r="AH981" s="481"/>
      <c r="AI981" s="158"/>
      <c r="AJ981" s="158"/>
      <c r="AK981" s="133">
        <f>IFERROR(__xludf.DUMMYFUNCTION("""COMPUTED_VALUE"""),4.0)</f>
        <v>4</v>
      </c>
      <c r="AL981" s="133">
        <f>IFERROR(__xludf.DUMMYFUNCTION("""COMPUTED_VALUE"""),3.0)</f>
        <v>3</v>
      </c>
      <c r="AM981" s="133">
        <f>IFERROR(__xludf.DUMMYFUNCTION("""COMPUTED_VALUE"""),3.0)</f>
        <v>3</v>
      </c>
      <c r="AN981" s="133" t="str">
        <f>IFERROR(__xludf.DUMMYFUNCTION("""COMPUTED_VALUE"""),"2")</f>
        <v>2</v>
      </c>
      <c r="AO981" s="133">
        <f>IFERROR(__xludf.DUMMYFUNCTION("""COMPUTED_VALUE"""),3.0)</f>
        <v>3</v>
      </c>
      <c r="AP981" s="155" t="s">
        <v>3736</v>
      </c>
    </row>
    <row r="982">
      <c r="A982" s="155">
        <f>IFERROR(__xludf.DUMMYFUNCTION("""COMPUTED_VALUE"""),89.0)</f>
        <v>89</v>
      </c>
      <c r="B982" s="155" t="str">
        <f>IFERROR(__xludf.DUMMYFUNCTION("""COMPUTED_VALUE"""),"kago23ece@cmrit.ac.in")</f>
        <v>kago23ece@cmrit.ac.in</v>
      </c>
      <c r="C982" s="174" t="str">
        <f>IFERROR(__xludf.DUMMYFUNCTION("""COMPUTED_VALUE"""),"Kavya Mahadeva Gouda")</f>
        <v>Kavya Mahadeva Gouda</v>
      </c>
      <c r="D982" s="155" t="str">
        <f>IFERROR(__xludf.DUMMYFUNCTION("""COMPUTED_VALUE"""),"1CR23EC089")</f>
        <v>1CR23EC089</v>
      </c>
      <c r="E982" s="563">
        <f>IFERROR(__xludf.DUMMYFUNCTION("""COMPUTED_VALUE"""),8.431830906E9)</f>
        <v>8431830906</v>
      </c>
      <c r="F982" s="155" t="str">
        <f>IFERROR(__xludf.DUMMYFUNCTION("""COMPUTED_VALUE"""),"ECE")</f>
        <v>ECE</v>
      </c>
      <c r="G982" s="158"/>
      <c r="H982" s="559">
        <f>IFERROR(__xludf.DUMMYFUNCTION("""COMPUTED_VALUE"""),77.0)</f>
        <v>77</v>
      </c>
      <c r="I982" s="559">
        <f>IFERROR(__xludf.DUMMYFUNCTION("""COMPUTED_VALUE"""),74.0)</f>
        <v>74</v>
      </c>
      <c r="J982" s="559">
        <f>IFERROR(__xludf.DUMMYFUNCTION("""COMPUTED_VALUE"""),70.0)</f>
        <v>70</v>
      </c>
      <c r="K982" s="559">
        <f>IFERROR(__xludf.DUMMYFUNCTION("""COMPUTED_VALUE"""),70.0)</f>
        <v>70</v>
      </c>
      <c r="L982" s="560">
        <f>IFERROR(__xludf.DUMMYFUNCTION("""COMPUTED_VALUE"""),20.0)</f>
        <v>20</v>
      </c>
      <c r="M982" s="561">
        <f>IFERROR(__xludf.DUMMYFUNCTION("""COMPUTED_VALUE"""),13.0)</f>
        <v>13</v>
      </c>
      <c r="N982" s="561">
        <f>IFERROR(__xludf.DUMMYFUNCTION("""COMPUTED_VALUE"""),0.0)</f>
        <v>0</v>
      </c>
      <c r="O982" s="560"/>
      <c r="P982" s="562">
        <f>IFERROR(__xludf.DUMMYFUNCTION("""COMPUTED_VALUE"""),90.0)</f>
        <v>90</v>
      </c>
      <c r="Q982" s="562">
        <f>IFERROR(__xludf.DUMMYFUNCTION("""COMPUTED_VALUE"""),50.0)</f>
        <v>50</v>
      </c>
      <c r="R982" s="562">
        <f>IFERROR(__xludf.DUMMYFUNCTION("""COMPUTED_VALUE"""),80.0)</f>
        <v>80</v>
      </c>
      <c r="S982" s="562"/>
      <c r="T982" s="217">
        <f>IFERROR(__xludf.DUMMYFUNCTION("""COMPUTED_VALUE"""),15.0)</f>
        <v>15</v>
      </c>
      <c r="U982" s="217">
        <f>IFERROR(__xludf.DUMMYFUNCTION("""COMPUTED_VALUE"""),18.0)</f>
        <v>18</v>
      </c>
      <c r="V982" s="217">
        <f>IFERROR(__xludf.DUMMYFUNCTION("""COMPUTED_VALUE"""),58.0)</f>
        <v>58</v>
      </c>
      <c r="W982" s="217">
        <f>IFERROR(__xludf.DUMMYFUNCTION("""COMPUTED_VALUE"""),72.0)</f>
        <v>72</v>
      </c>
      <c r="X982" s="217">
        <f>IFERROR(__xludf.DUMMYFUNCTION("""COMPUTED_VALUE"""),58.0)</f>
        <v>58</v>
      </c>
      <c r="Y982" s="217"/>
      <c r="Z982" s="217"/>
      <c r="AA982" s="481">
        <f>IFERROR(__xludf.DUMMYFUNCTION("""COMPUTED_VALUE"""),0.0)</f>
        <v>0</v>
      </c>
      <c r="AB982" s="481">
        <f>IFERROR(__xludf.DUMMYFUNCTION("""COMPUTED_VALUE"""),62.0)</f>
        <v>62</v>
      </c>
      <c r="AC982" s="481">
        <f>IFERROR(__xludf.DUMMYFUNCTION("""COMPUTED_VALUE"""),0.0)</f>
        <v>0</v>
      </c>
      <c r="AD982" s="481"/>
      <c r="AE982" s="481">
        <f>IFERROR(__xludf.DUMMYFUNCTION("""COMPUTED_VALUE"""),10.0)</f>
        <v>10</v>
      </c>
      <c r="AF982" s="481"/>
      <c r="AG982" s="481"/>
      <c r="AH982" s="481"/>
      <c r="AI982" s="158"/>
      <c r="AJ982" s="158"/>
      <c r="AK982" s="133">
        <f>IFERROR(__xludf.DUMMYFUNCTION("""COMPUTED_VALUE"""),4.0)</f>
        <v>4</v>
      </c>
      <c r="AL982" s="133">
        <f>IFERROR(__xludf.DUMMYFUNCTION("""COMPUTED_VALUE"""),0.0)</f>
        <v>0</v>
      </c>
      <c r="AM982" s="133">
        <f>IFERROR(__xludf.DUMMYFUNCTION("""COMPUTED_VALUE"""),3.0)</f>
        <v>3</v>
      </c>
      <c r="AN982" s="133" t="str">
        <f>IFERROR(__xludf.DUMMYFUNCTION("""COMPUTED_VALUE"""),"2")</f>
        <v>2</v>
      </c>
      <c r="AO982" s="133">
        <f>IFERROR(__xludf.DUMMYFUNCTION("""COMPUTED_VALUE"""),3.0)</f>
        <v>3</v>
      </c>
      <c r="AP982" s="155" t="s">
        <v>3736</v>
      </c>
    </row>
    <row r="983">
      <c r="A983" s="155">
        <f>IFERROR(__xludf.DUMMYFUNCTION("""COMPUTED_VALUE"""),90.0)</f>
        <v>90</v>
      </c>
      <c r="B983" s="155" t="str">
        <f>IFERROR(__xludf.DUMMYFUNCTION("""COMPUTED_VALUE"""),"kejo23ece@cmrit.ac.in")</f>
        <v>kejo23ece@cmrit.ac.in</v>
      </c>
      <c r="C983" s="174" t="str">
        <f>IFERROR(__xludf.DUMMYFUNCTION("""COMPUTED_VALUE"""),"Keshav Joshi")</f>
        <v>Keshav Joshi</v>
      </c>
      <c r="D983" s="155" t="str">
        <f>IFERROR(__xludf.DUMMYFUNCTION("""COMPUTED_VALUE"""),"1CR23EC090")</f>
        <v>1CR23EC090</v>
      </c>
      <c r="E983" s="563">
        <f>IFERROR(__xludf.DUMMYFUNCTION("""COMPUTED_VALUE"""),7.975685601E9)</f>
        <v>7975685601</v>
      </c>
      <c r="F983" s="155" t="str">
        <f>IFERROR(__xludf.DUMMYFUNCTION("""COMPUTED_VALUE"""),"ECE")</f>
        <v>ECE</v>
      </c>
      <c r="G983" s="158"/>
      <c r="H983" s="559">
        <f>IFERROR(__xludf.DUMMYFUNCTION("""COMPUTED_VALUE"""),84.0)</f>
        <v>84</v>
      </c>
      <c r="I983" s="559">
        <f>IFERROR(__xludf.DUMMYFUNCTION("""COMPUTED_VALUE"""),83.0)</f>
        <v>83</v>
      </c>
      <c r="J983" s="559">
        <f>IFERROR(__xludf.DUMMYFUNCTION("""COMPUTED_VALUE"""),70.0)</f>
        <v>70</v>
      </c>
      <c r="K983" s="559">
        <f>IFERROR(__xludf.DUMMYFUNCTION("""COMPUTED_VALUE"""),70.0)</f>
        <v>70</v>
      </c>
      <c r="L983" s="560">
        <f>IFERROR(__xludf.DUMMYFUNCTION("""COMPUTED_VALUE"""),58.0)</f>
        <v>58</v>
      </c>
      <c r="M983" s="561">
        <f>IFERROR(__xludf.DUMMYFUNCTION("""COMPUTED_VALUE"""),50.0)</f>
        <v>50</v>
      </c>
      <c r="N983" s="561">
        <f>IFERROR(__xludf.DUMMYFUNCTION("""COMPUTED_VALUE"""),22.0)</f>
        <v>22</v>
      </c>
      <c r="O983" s="560"/>
      <c r="P983" s="562">
        <f>IFERROR(__xludf.DUMMYFUNCTION("""COMPUTED_VALUE"""),75.0)</f>
        <v>75</v>
      </c>
      <c r="Q983" s="562">
        <f>IFERROR(__xludf.DUMMYFUNCTION("""COMPUTED_VALUE"""),50.0)</f>
        <v>50</v>
      </c>
      <c r="R983" s="562">
        <f>IFERROR(__xludf.DUMMYFUNCTION("""COMPUTED_VALUE"""),74.0)</f>
        <v>74</v>
      </c>
      <c r="S983" s="562"/>
      <c r="T983" s="217">
        <f>IFERROR(__xludf.DUMMYFUNCTION("""COMPUTED_VALUE"""),13.0)</f>
        <v>13</v>
      </c>
      <c r="U983" s="217">
        <f>IFERROR(__xludf.DUMMYFUNCTION("""COMPUTED_VALUE"""),19.0)</f>
        <v>19</v>
      </c>
      <c r="V983" s="217">
        <f>IFERROR(__xludf.DUMMYFUNCTION("""COMPUTED_VALUE"""),34.0)</f>
        <v>34</v>
      </c>
      <c r="W983" s="217"/>
      <c r="X983" s="217">
        <f>IFERROR(__xludf.DUMMYFUNCTION("""COMPUTED_VALUE"""),82.0)</f>
        <v>82</v>
      </c>
      <c r="Y983" s="217"/>
      <c r="Z983" s="217"/>
      <c r="AA983" s="481">
        <f>IFERROR(__xludf.DUMMYFUNCTION("""COMPUTED_VALUE"""),76.0)</f>
        <v>76</v>
      </c>
      <c r="AB983" s="481">
        <f>IFERROR(__xludf.DUMMYFUNCTION("""COMPUTED_VALUE"""),100.0)</f>
        <v>100</v>
      </c>
      <c r="AC983" s="481">
        <f>IFERROR(__xludf.DUMMYFUNCTION("""COMPUTED_VALUE"""),98.0)</f>
        <v>98</v>
      </c>
      <c r="AD983" s="481"/>
      <c r="AE983" s="481">
        <f>IFERROR(__xludf.DUMMYFUNCTION("""COMPUTED_VALUE"""),45.0)</f>
        <v>45</v>
      </c>
      <c r="AF983" s="481"/>
      <c r="AG983" s="481"/>
      <c r="AH983" s="481">
        <f>IFERROR(__xludf.DUMMYFUNCTION("""COMPUTED_VALUE"""),73.0)</f>
        <v>73</v>
      </c>
      <c r="AI983" s="158"/>
      <c r="AJ983" s="158"/>
      <c r="AK983" s="133">
        <f>IFERROR(__xludf.DUMMYFUNCTION("""COMPUTED_VALUE"""),4.0)</f>
        <v>4</v>
      </c>
      <c r="AL983" s="133">
        <f>IFERROR(__xludf.DUMMYFUNCTION("""COMPUTED_VALUE"""),2.0)</f>
        <v>2</v>
      </c>
      <c r="AM983" s="133">
        <f>IFERROR(__xludf.DUMMYFUNCTION("""COMPUTED_VALUE"""),2.0)</f>
        <v>2</v>
      </c>
      <c r="AN983" s="133" t="str">
        <f>IFERROR(__xludf.DUMMYFUNCTION("""COMPUTED_VALUE"""),"3")</f>
        <v>3</v>
      </c>
      <c r="AO983" s="133">
        <f>IFERROR(__xludf.DUMMYFUNCTION("""COMPUTED_VALUE"""),3.0)</f>
        <v>3</v>
      </c>
      <c r="AP983" s="155" t="s">
        <v>3736</v>
      </c>
    </row>
    <row r="984">
      <c r="A984" s="155">
        <f>IFERROR(__xludf.DUMMYFUNCTION("""COMPUTED_VALUE"""),91.0)</f>
        <v>91</v>
      </c>
      <c r="B984" s="155" t="str">
        <f>IFERROR(__xludf.DUMMYFUNCTION("""COMPUTED_VALUE"""),"krth23ece@cmrit.ac.in")</f>
        <v>krth23ece@cmrit.ac.in</v>
      </c>
      <c r="C984" s="174" t="str">
        <f>IFERROR(__xludf.DUMMYFUNCTION("""COMPUTED_VALUE"""),"KRISHNAM THARAKESWAR REDDY")</f>
        <v>KRISHNAM THARAKESWAR REDDY</v>
      </c>
      <c r="D984" s="155" t="str">
        <f>IFERROR(__xludf.DUMMYFUNCTION("""COMPUTED_VALUE"""),"1CR23EC091")</f>
        <v>1CR23EC091</v>
      </c>
      <c r="E984" s="563">
        <f>IFERROR(__xludf.DUMMYFUNCTION("""COMPUTED_VALUE"""),6.303539793E9)</f>
        <v>6303539793</v>
      </c>
      <c r="F984" s="155" t="str">
        <f>IFERROR(__xludf.DUMMYFUNCTION("""COMPUTED_VALUE"""),"ECE")</f>
        <v>ECE</v>
      </c>
      <c r="G984" s="158"/>
      <c r="H984" s="559">
        <f>IFERROR(__xludf.DUMMYFUNCTION("""COMPUTED_VALUE"""),74.0)</f>
        <v>74</v>
      </c>
      <c r="I984" s="559">
        <f>IFERROR(__xludf.DUMMYFUNCTION("""COMPUTED_VALUE"""),65.0)</f>
        <v>65</v>
      </c>
      <c r="J984" s="559">
        <f>IFERROR(__xludf.DUMMYFUNCTION("""COMPUTED_VALUE"""),37.0)</f>
        <v>37</v>
      </c>
      <c r="K984" s="559">
        <f>IFERROR(__xludf.DUMMYFUNCTION("""COMPUTED_VALUE"""),32.0)</f>
        <v>32</v>
      </c>
      <c r="L984" s="560">
        <f>IFERROR(__xludf.DUMMYFUNCTION("""COMPUTED_VALUE"""),50.0)</f>
        <v>50</v>
      </c>
      <c r="M984" s="561">
        <f>IFERROR(__xludf.DUMMYFUNCTION("""COMPUTED_VALUE"""),6.0)</f>
        <v>6</v>
      </c>
      <c r="N984" s="561">
        <f>IFERROR(__xludf.DUMMYFUNCTION("""COMPUTED_VALUE"""),5.0)</f>
        <v>5</v>
      </c>
      <c r="O984" s="560"/>
      <c r="P984" s="562">
        <f>IFERROR(__xludf.DUMMYFUNCTION("""COMPUTED_VALUE"""),0.0)</f>
        <v>0</v>
      </c>
      <c r="Q984" s="562">
        <f>IFERROR(__xludf.DUMMYFUNCTION("""COMPUTED_VALUE"""),50.0)</f>
        <v>50</v>
      </c>
      <c r="R984" s="562">
        <f>IFERROR(__xludf.DUMMYFUNCTION("""COMPUTED_VALUE"""),50.0)</f>
        <v>50</v>
      </c>
      <c r="S984" s="562"/>
      <c r="T984" s="217">
        <f>IFERROR(__xludf.DUMMYFUNCTION("""COMPUTED_VALUE"""),17.0)</f>
        <v>17</v>
      </c>
      <c r="U984" s="217">
        <f>IFERROR(__xludf.DUMMYFUNCTION("""COMPUTED_VALUE"""),11.0)</f>
        <v>11</v>
      </c>
      <c r="V984" s="217">
        <f>IFERROR(__xludf.DUMMYFUNCTION("""COMPUTED_VALUE"""),0.0)</f>
        <v>0</v>
      </c>
      <c r="W984" s="217">
        <f>IFERROR(__xludf.DUMMYFUNCTION("""COMPUTED_VALUE"""),50.0)</f>
        <v>50</v>
      </c>
      <c r="X984" s="217">
        <f>IFERROR(__xludf.DUMMYFUNCTION("""COMPUTED_VALUE"""),66.0)</f>
        <v>66</v>
      </c>
      <c r="Y984" s="217"/>
      <c r="Z984" s="217"/>
      <c r="AA984" s="481">
        <f>IFERROR(__xludf.DUMMYFUNCTION("""COMPUTED_VALUE"""),32.0)</f>
        <v>32</v>
      </c>
      <c r="AB984" s="481">
        <f>IFERROR(__xludf.DUMMYFUNCTION("""COMPUTED_VALUE"""),65.0)</f>
        <v>65</v>
      </c>
      <c r="AC984" s="481">
        <f>IFERROR(__xludf.DUMMYFUNCTION("""COMPUTED_VALUE"""),0.0)</f>
        <v>0</v>
      </c>
      <c r="AD984" s="481"/>
      <c r="AE984" s="481">
        <f>IFERROR(__xludf.DUMMYFUNCTION("""COMPUTED_VALUE"""),10.0)</f>
        <v>10</v>
      </c>
      <c r="AF984" s="481"/>
      <c r="AG984" s="481"/>
      <c r="AH984" s="481"/>
      <c r="AI984" s="158"/>
      <c r="AJ984" s="158"/>
      <c r="AK984" s="133">
        <f>IFERROR(__xludf.DUMMYFUNCTION("""COMPUTED_VALUE"""),2.0)</f>
        <v>2</v>
      </c>
      <c r="AL984" s="133">
        <f>IFERROR(__xludf.DUMMYFUNCTION("""COMPUTED_VALUE"""),1.0)</f>
        <v>1</v>
      </c>
      <c r="AM984" s="133">
        <f>IFERROR(__xludf.DUMMYFUNCTION("""COMPUTED_VALUE"""),3.0)</f>
        <v>3</v>
      </c>
      <c r="AN984" s="133" t="str">
        <f>IFERROR(__xludf.DUMMYFUNCTION("""COMPUTED_VALUE"""),"2")</f>
        <v>2</v>
      </c>
      <c r="AO984" s="133">
        <f>IFERROR(__xludf.DUMMYFUNCTION("""COMPUTED_VALUE"""),0.0)</f>
        <v>0</v>
      </c>
      <c r="AP984" s="155" t="s">
        <v>3736</v>
      </c>
    </row>
    <row r="985">
      <c r="A985" s="155">
        <f>IFERROR(__xludf.DUMMYFUNCTION("""COMPUTED_VALUE"""),92.0)</f>
        <v>92</v>
      </c>
      <c r="B985" s="155" t="str">
        <f>IFERROR(__xludf.DUMMYFUNCTION("""COMPUTED_VALUE"""),"kssa23ece@cmrit.ac.in")</f>
        <v>kssa23ece@cmrit.ac.in</v>
      </c>
      <c r="C985" s="174" t="str">
        <f>IFERROR(__xludf.DUMMYFUNCTION("""COMPUTED_VALUE"""),"KSHAMA SAVANUR")</f>
        <v>KSHAMA SAVANUR</v>
      </c>
      <c r="D985" s="155" t="str">
        <f>IFERROR(__xludf.DUMMYFUNCTION("""COMPUTED_VALUE"""),"1CR23EC092")</f>
        <v>1CR23EC092</v>
      </c>
      <c r="E985" s="563">
        <f>IFERROR(__xludf.DUMMYFUNCTION("""COMPUTED_VALUE"""),7.892935878E9)</f>
        <v>7892935878</v>
      </c>
      <c r="F985" s="155" t="str">
        <f>IFERROR(__xludf.DUMMYFUNCTION("""COMPUTED_VALUE"""),"ECE")</f>
        <v>ECE</v>
      </c>
      <c r="G985" s="158"/>
      <c r="H985" s="559">
        <f>IFERROR(__xludf.DUMMYFUNCTION("""COMPUTED_VALUE"""),77.0)</f>
        <v>77</v>
      </c>
      <c r="I985" s="559">
        <f>IFERROR(__xludf.DUMMYFUNCTION("""COMPUTED_VALUE"""),78.0)</f>
        <v>78</v>
      </c>
      <c r="J985" s="559">
        <f>IFERROR(__xludf.DUMMYFUNCTION("""COMPUTED_VALUE"""),64.0)</f>
        <v>64</v>
      </c>
      <c r="K985" s="559">
        <f>IFERROR(__xludf.DUMMYFUNCTION("""COMPUTED_VALUE"""),78.0)</f>
        <v>78</v>
      </c>
      <c r="L985" s="560">
        <f>IFERROR(__xludf.DUMMYFUNCTION("""COMPUTED_VALUE"""),50.0)</f>
        <v>50</v>
      </c>
      <c r="M985" s="561">
        <f>IFERROR(__xludf.DUMMYFUNCTION("""COMPUTED_VALUE"""),8.0)</f>
        <v>8</v>
      </c>
      <c r="N985" s="561">
        <f>IFERROR(__xludf.DUMMYFUNCTION("""COMPUTED_VALUE"""),8.0)</f>
        <v>8</v>
      </c>
      <c r="O985" s="560"/>
      <c r="P985" s="562">
        <f>IFERROR(__xludf.DUMMYFUNCTION("""COMPUTED_VALUE"""),0.0)</f>
        <v>0</v>
      </c>
      <c r="Q985" s="562">
        <f>IFERROR(__xludf.DUMMYFUNCTION("""COMPUTED_VALUE"""),0.0)</f>
        <v>0</v>
      </c>
      <c r="R985" s="562">
        <f>IFERROR(__xludf.DUMMYFUNCTION("""COMPUTED_VALUE"""),0.0)</f>
        <v>0</v>
      </c>
      <c r="S985" s="562"/>
      <c r="T985" s="217">
        <f>IFERROR(__xludf.DUMMYFUNCTION("""COMPUTED_VALUE"""),15.0)</f>
        <v>15</v>
      </c>
      <c r="U985" s="217">
        <f>IFERROR(__xludf.DUMMYFUNCTION("""COMPUTED_VALUE"""),20.0)</f>
        <v>20</v>
      </c>
      <c r="V985" s="217">
        <f>IFERROR(__xludf.DUMMYFUNCTION("""COMPUTED_VALUE"""),48.0)</f>
        <v>48</v>
      </c>
      <c r="W985" s="217">
        <f>IFERROR(__xludf.DUMMYFUNCTION("""COMPUTED_VALUE"""),82.0)</f>
        <v>82</v>
      </c>
      <c r="X985" s="217">
        <f>IFERROR(__xludf.DUMMYFUNCTION("""COMPUTED_VALUE"""),76.0)</f>
        <v>76</v>
      </c>
      <c r="Y985" s="217"/>
      <c r="Z985" s="217"/>
      <c r="AA985" s="481">
        <f>IFERROR(__xludf.DUMMYFUNCTION("""COMPUTED_VALUE"""),69.6)</f>
        <v>69.6</v>
      </c>
      <c r="AB985" s="481">
        <f>IFERROR(__xludf.DUMMYFUNCTION("""COMPUTED_VALUE"""),88.0)</f>
        <v>88</v>
      </c>
      <c r="AC985" s="481">
        <f>IFERROR(__xludf.DUMMYFUNCTION("""COMPUTED_VALUE"""),43.0)</f>
        <v>43</v>
      </c>
      <c r="AD985" s="481"/>
      <c r="AE985" s="481">
        <f>IFERROR(__xludf.DUMMYFUNCTION("""COMPUTED_VALUE"""),10.0)</f>
        <v>10</v>
      </c>
      <c r="AF985" s="481"/>
      <c r="AG985" s="481"/>
      <c r="AH985" s="481"/>
      <c r="AI985" s="158"/>
      <c r="AJ985" s="158"/>
      <c r="AK985" s="133">
        <f>IFERROR(__xludf.DUMMYFUNCTION("""COMPUTED_VALUE"""),2.0)</f>
        <v>2</v>
      </c>
      <c r="AL985" s="133">
        <f>IFERROR(__xludf.DUMMYFUNCTION("""COMPUTED_VALUE"""),1.0)</f>
        <v>1</v>
      </c>
      <c r="AM985" s="133">
        <f>IFERROR(__xludf.DUMMYFUNCTION("""COMPUTED_VALUE"""),3.0)</f>
        <v>3</v>
      </c>
      <c r="AN985" s="133" t="str">
        <f>IFERROR(__xludf.DUMMYFUNCTION("""COMPUTED_VALUE"""),"2")</f>
        <v>2</v>
      </c>
      <c r="AO985" s="133">
        <f>IFERROR(__xludf.DUMMYFUNCTION("""COMPUTED_VALUE"""),0.0)</f>
        <v>0</v>
      </c>
      <c r="AP985" s="155" t="s">
        <v>3736</v>
      </c>
    </row>
    <row r="986">
      <c r="A986" s="155">
        <f>IFERROR(__xludf.DUMMYFUNCTION("""COMPUTED_VALUE"""),93.0)</f>
        <v>93</v>
      </c>
      <c r="B986" s="155" t="str">
        <f>IFERROR(__xludf.DUMMYFUNCTION("""COMPUTED_VALUE"""),"kusa23ece@cmrit.ac.in")</f>
        <v>kusa23ece@cmrit.ac.in</v>
      </c>
      <c r="C986" s="174" t="str">
        <f>IFERROR(__xludf.DUMMYFUNCTION("""COMPUTED_VALUE"""),"Kuldeep Saurashtriya")</f>
        <v>Kuldeep Saurashtriya</v>
      </c>
      <c r="D986" s="155" t="str">
        <f>IFERROR(__xludf.DUMMYFUNCTION("""COMPUTED_VALUE"""),"1CR23EC093")</f>
        <v>1CR23EC093</v>
      </c>
      <c r="E986" s="563">
        <f>IFERROR(__xludf.DUMMYFUNCTION("""COMPUTED_VALUE"""),9.098914544E9)</f>
        <v>9098914544</v>
      </c>
      <c r="F986" s="155" t="str">
        <f>IFERROR(__xludf.DUMMYFUNCTION("""COMPUTED_VALUE"""),"ECE")</f>
        <v>ECE</v>
      </c>
      <c r="G986" s="158"/>
      <c r="H986" s="559">
        <f>IFERROR(__xludf.DUMMYFUNCTION("""COMPUTED_VALUE"""),86.0)</f>
        <v>86</v>
      </c>
      <c r="I986" s="559">
        <f>IFERROR(__xludf.DUMMYFUNCTION("""COMPUTED_VALUE"""),88.0)</f>
        <v>88</v>
      </c>
      <c r="J986" s="559">
        <f>IFERROR(__xludf.DUMMYFUNCTION("""COMPUTED_VALUE"""),89.0)</f>
        <v>89</v>
      </c>
      <c r="K986" s="559">
        <f>IFERROR(__xludf.DUMMYFUNCTION("""COMPUTED_VALUE"""),72.0)</f>
        <v>72</v>
      </c>
      <c r="L986" s="560">
        <f>IFERROR(__xludf.DUMMYFUNCTION("""COMPUTED_VALUE"""),54.0)</f>
        <v>54</v>
      </c>
      <c r="M986" s="561">
        <f>IFERROR(__xludf.DUMMYFUNCTION("""COMPUTED_VALUE"""),50.0)</f>
        <v>50</v>
      </c>
      <c r="N986" s="561">
        <f>IFERROR(__xludf.DUMMYFUNCTION("""COMPUTED_VALUE"""),57.0)</f>
        <v>57</v>
      </c>
      <c r="O986" s="560"/>
      <c r="P986" s="562">
        <f>IFERROR(__xludf.DUMMYFUNCTION("""COMPUTED_VALUE"""),95.0)</f>
        <v>95</v>
      </c>
      <c r="Q986" s="562">
        <f>IFERROR(__xludf.DUMMYFUNCTION("""COMPUTED_VALUE"""),65.0)</f>
        <v>65</v>
      </c>
      <c r="R986" s="562">
        <f>IFERROR(__xludf.DUMMYFUNCTION("""COMPUTED_VALUE"""),85.0)</f>
        <v>85</v>
      </c>
      <c r="S986" s="562"/>
      <c r="T986" s="217">
        <f>IFERROR(__xludf.DUMMYFUNCTION("""COMPUTED_VALUE"""),18.0)</f>
        <v>18</v>
      </c>
      <c r="U986" s="217">
        <f>IFERROR(__xludf.DUMMYFUNCTION("""COMPUTED_VALUE"""),18.0)</f>
        <v>18</v>
      </c>
      <c r="V986" s="217">
        <f>IFERROR(__xludf.DUMMYFUNCTION("""COMPUTED_VALUE"""),66.0)</f>
        <v>66</v>
      </c>
      <c r="W986" s="217">
        <f>IFERROR(__xludf.DUMMYFUNCTION("""COMPUTED_VALUE"""),76.0)</f>
        <v>76</v>
      </c>
      <c r="X986" s="217">
        <f>IFERROR(__xludf.DUMMYFUNCTION("""COMPUTED_VALUE"""),70.0)</f>
        <v>70</v>
      </c>
      <c r="Y986" s="217"/>
      <c r="Z986" s="217"/>
      <c r="AA986" s="481">
        <f>IFERROR(__xludf.DUMMYFUNCTION("""COMPUTED_VALUE"""),94.0)</f>
        <v>94</v>
      </c>
      <c r="AB986" s="481">
        <f>IFERROR(__xludf.DUMMYFUNCTION("""COMPUTED_VALUE"""),85.0)</f>
        <v>85</v>
      </c>
      <c r="AC986" s="481">
        <f>IFERROR(__xludf.DUMMYFUNCTION("""COMPUTED_VALUE"""),79.0)</f>
        <v>79</v>
      </c>
      <c r="AD986" s="481"/>
      <c r="AE986" s="481">
        <f>IFERROR(__xludf.DUMMYFUNCTION("""COMPUTED_VALUE"""),70.0)</f>
        <v>70</v>
      </c>
      <c r="AF986" s="481"/>
      <c r="AG986" s="481"/>
      <c r="AH986" s="481">
        <f>IFERROR(__xludf.DUMMYFUNCTION("""COMPUTED_VALUE"""),75.0)</f>
        <v>75</v>
      </c>
      <c r="AI986" s="158"/>
      <c r="AJ986" s="158"/>
      <c r="AK986" s="133">
        <f>IFERROR(__xludf.DUMMYFUNCTION("""COMPUTED_VALUE"""),4.0)</f>
        <v>4</v>
      </c>
      <c r="AL986" s="133">
        <f>IFERROR(__xludf.DUMMYFUNCTION("""COMPUTED_VALUE"""),3.0)</f>
        <v>3</v>
      </c>
      <c r="AM986" s="133">
        <f>IFERROR(__xludf.DUMMYFUNCTION("""COMPUTED_VALUE"""),3.0)</f>
        <v>3</v>
      </c>
      <c r="AN986" s="133" t="str">
        <f>IFERROR(__xludf.DUMMYFUNCTION("""COMPUTED_VALUE"""),"3.5")</f>
        <v>3.5</v>
      </c>
      <c r="AO986" s="133">
        <f>IFERROR(__xludf.DUMMYFUNCTION("""COMPUTED_VALUE"""),3.0)</f>
        <v>3</v>
      </c>
      <c r="AP986" s="155" t="s">
        <v>3736</v>
      </c>
    </row>
    <row r="987">
      <c r="A987" s="155">
        <f>IFERROR(__xludf.DUMMYFUNCTION("""COMPUTED_VALUE"""),94.0)</f>
        <v>94</v>
      </c>
      <c r="B987" s="155" t="str">
        <f>IFERROR(__xludf.DUMMYFUNCTION("""COMPUTED_VALUE"""),"kush23ece@cmrit.ac.in")</f>
        <v>kush23ece@cmrit.ac.in</v>
      </c>
      <c r="C987" s="174" t="str">
        <f>IFERROR(__xludf.DUMMYFUNCTION("""COMPUTED_VALUE"""),"KUSHAGRA")</f>
        <v>KUSHAGRA</v>
      </c>
      <c r="D987" s="155" t="str">
        <f>IFERROR(__xludf.DUMMYFUNCTION("""COMPUTED_VALUE"""),"1CR23EC094")</f>
        <v>1CR23EC094</v>
      </c>
      <c r="E987" s="563">
        <f>IFERROR(__xludf.DUMMYFUNCTION("""COMPUTED_VALUE"""),8.210437277E9)</f>
        <v>8210437277</v>
      </c>
      <c r="F987" s="155" t="str">
        <f>IFERROR(__xludf.DUMMYFUNCTION("""COMPUTED_VALUE"""),"ECE")</f>
        <v>ECE</v>
      </c>
      <c r="G987" s="158"/>
      <c r="H987" s="559">
        <f>IFERROR(__xludf.DUMMYFUNCTION("""COMPUTED_VALUE"""),78.0)</f>
        <v>78</v>
      </c>
      <c r="I987" s="559">
        <f>IFERROR(__xludf.DUMMYFUNCTION("""COMPUTED_VALUE"""),79.0)</f>
        <v>79</v>
      </c>
      <c r="J987" s="559">
        <f>IFERROR(__xludf.DUMMYFUNCTION("""COMPUTED_VALUE"""),70.0)</f>
        <v>70</v>
      </c>
      <c r="K987" s="559">
        <f>IFERROR(__xludf.DUMMYFUNCTION("""COMPUTED_VALUE"""),55.0)</f>
        <v>55</v>
      </c>
      <c r="L987" s="560">
        <f>IFERROR(__xludf.DUMMYFUNCTION("""COMPUTED_VALUE"""),50.0)</f>
        <v>50</v>
      </c>
      <c r="M987" s="561">
        <f>IFERROR(__xludf.DUMMYFUNCTION("""COMPUTED_VALUE"""),10.0)</f>
        <v>10</v>
      </c>
      <c r="N987" s="561">
        <f>IFERROR(__xludf.DUMMYFUNCTION("""COMPUTED_VALUE"""),0.0)</f>
        <v>0</v>
      </c>
      <c r="O987" s="560"/>
      <c r="P987" s="562">
        <f>IFERROR(__xludf.DUMMYFUNCTION("""COMPUTED_VALUE"""),0.0)</f>
        <v>0</v>
      </c>
      <c r="Q987" s="562">
        <f>IFERROR(__xludf.DUMMYFUNCTION("""COMPUTED_VALUE"""),0.0)</f>
        <v>0</v>
      </c>
      <c r="R987" s="562">
        <f>IFERROR(__xludf.DUMMYFUNCTION("""COMPUTED_VALUE"""),0.0)</f>
        <v>0</v>
      </c>
      <c r="S987" s="562"/>
      <c r="T987" s="217">
        <f>IFERROR(__xludf.DUMMYFUNCTION("""COMPUTED_VALUE"""),14.0)</f>
        <v>14</v>
      </c>
      <c r="U987" s="217">
        <f>IFERROR(__xludf.DUMMYFUNCTION("""COMPUTED_VALUE"""),15.0)</f>
        <v>15</v>
      </c>
      <c r="V987" s="217">
        <f>IFERROR(__xludf.DUMMYFUNCTION("""COMPUTED_VALUE"""),50.0)</f>
        <v>50</v>
      </c>
      <c r="W987" s="217"/>
      <c r="X987" s="217"/>
      <c r="Y987" s="217"/>
      <c r="Z987" s="217"/>
      <c r="AA987" s="481">
        <f>IFERROR(__xludf.DUMMYFUNCTION("""COMPUTED_VALUE"""),24.0)</f>
        <v>24</v>
      </c>
      <c r="AB987" s="481">
        <f>IFERROR(__xludf.DUMMYFUNCTION("""COMPUTED_VALUE"""),50.0)</f>
        <v>50</v>
      </c>
      <c r="AC987" s="481">
        <f>IFERROR(__xludf.DUMMYFUNCTION("""COMPUTED_VALUE"""),0.0)</f>
        <v>0</v>
      </c>
      <c r="AD987" s="481"/>
      <c r="AE987" s="481">
        <f>IFERROR(__xludf.DUMMYFUNCTION("""COMPUTED_VALUE"""),10.0)</f>
        <v>10</v>
      </c>
      <c r="AF987" s="481"/>
      <c r="AG987" s="481"/>
      <c r="AH987" s="481"/>
      <c r="AI987" s="158"/>
      <c r="AJ987" s="158"/>
      <c r="AK987" s="133">
        <f>IFERROR(__xludf.DUMMYFUNCTION("""COMPUTED_VALUE"""),3.0)</f>
        <v>3</v>
      </c>
      <c r="AL987" s="133">
        <f>IFERROR(__xludf.DUMMYFUNCTION("""COMPUTED_VALUE"""),1.0)</f>
        <v>1</v>
      </c>
      <c r="AM987" s="133">
        <f>IFERROR(__xludf.DUMMYFUNCTION("""COMPUTED_VALUE"""),2.0)</f>
        <v>2</v>
      </c>
      <c r="AN987" s="133" t="str">
        <f>IFERROR(__xludf.DUMMYFUNCTION("""COMPUTED_VALUE"""),"2")</f>
        <v>2</v>
      </c>
      <c r="AO987" s="133">
        <f>IFERROR(__xludf.DUMMYFUNCTION("""COMPUTED_VALUE"""),0.0)</f>
        <v>0</v>
      </c>
      <c r="AP987" s="155" t="s">
        <v>3736</v>
      </c>
    </row>
    <row r="988">
      <c r="A988" s="155">
        <f>IFERROR(__xludf.DUMMYFUNCTION("""COMPUTED_VALUE"""),95.0)</f>
        <v>95</v>
      </c>
      <c r="B988" s="155" t="str">
        <f>IFERROR(__xludf.DUMMYFUNCTION("""COMPUTED_VALUE"""),"lch23ece@cmrit.ac.in")</f>
        <v>lch23ece@cmrit.ac.in</v>
      </c>
      <c r="C988" s="174" t="str">
        <f>IFERROR(__xludf.DUMMYFUNCTION("""COMPUTED_VALUE"""),"L Chinmayee")</f>
        <v>L Chinmayee</v>
      </c>
      <c r="D988" s="155" t="str">
        <f>IFERROR(__xludf.DUMMYFUNCTION("""COMPUTED_VALUE"""),"1CR23EC096")</f>
        <v>1CR23EC096</v>
      </c>
      <c r="E988" s="563">
        <f>IFERROR(__xludf.DUMMYFUNCTION("""COMPUTED_VALUE"""),7.760690261E9)</f>
        <v>7760690261</v>
      </c>
      <c r="F988" s="155" t="str">
        <f>IFERROR(__xludf.DUMMYFUNCTION("""COMPUTED_VALUE"""),"ECE")</f>
        <v>ECE</v>
      </c>
      <c r="G988" s="158"/>
      <c r="H988" s="559">
        <f>IFERROR(__xludf.DUMMYFUNCTION("""COMPUTED_VALUE"""),86.0)</f>
        <v>86</v>
      </c>
      <c r="I988" s="559">
        <f>IFERROR(__xludf.DUMMYFUNCTION("""COMPUTED_VALUE"""),92.0)</f>
        <v>92</v>
      </c>
      <c r="J988" s="559">
        <f>IFERROR(__xludf.DUMMYFUNCTION("""COMPUTED_VALUE"""),82.0)</f>
        <v>82</v>
      </c>
      <c r="K988" s="559">
        <f>IFERROR(__xludf.DUMMYFUNCTION("""COMPUTED_VALUE"""),82.0)</f>
        <v>82</v>
      </c>
      <c r="L988" s="560">
        <f>IFERROR(__xludf.DUMMYFUNCTION("""COMPUTED_VALUE"""),50.0)</f>
        <v>50</v>
      </c>
      <c r="M988" s="561">
        <f>IFERROR(__xludf.DUMMYFUNCTION("""COMPUTED_VALUE"""),50.0)</f>
        <v>50</v>
      </c>
      <c r="N988" s="561">
        <f>IFERROR(__xludf.DUMMYFUNCTION("""COMPUTED_VALUE"""),50.0)</f>
        <v>50</v>
      </c>
      <c r="O988" s="560"/>
      <c r="P988" s="562">
        <f>IFERROR(__xludf.DUMMYFUNCTION("""COMPUTED_VALUE"""),70.0)</f>
        <v>70</v>
      </c>
      <c r="Q988" s="562">
        <f>IFERROR(__xludf.DUMMYFUNCTION("""COMPUTED_VALUE"""),66.0)</f>
        <v>66</v>
      </c>
      <c r="R988" s="562">
        <f>IFERROR(__xludf.DUMMYFUNCTION("""COMPUTED_VALUE"""),86.0)</f>
        <v>86</v>
      </c>
      <c r="S988" s="562"/>
      <c r="T988" s="217">
        <f>IFERROR(__xludf.DUMMYFUNCTION("""COMPUTED_VALUE"""),11.0)</f>
        <v>11</v>
      </c>
      <c r="U988" s="217">
        <f>IFERROR(__xludf.DUMMYFUNCTION("""COMPUTED_VALUE"""),19.0)</f>
        <v>19</v>
      </c>
      <c r="V988" s="217">
        <f>IFERROR(__xludf.DUMMYFUNCTION("""COMPUTED_VALUE"""),50.0)</f>
        <v>50</v>
      </c>
      <c r="W988" s="217">
        <f>IFERROR(__xludf.DUMMYFUNCTION("""COMPUTED_VALUE"""),82.0)</f>
        <v>82</v>
      </c>
      <c r="X988" s="217">
        <f>IFERROR(__xludf.DUMMYFUNCTION("""COMPUTED_VALUE"""),74.0)</f>
        <v>74</v>
      </c>
      <c r="Y988" s="217"/>
      <c r="Z988" s="217"/>
      <c r="AA988" s="481">
        <f>IFERROR(__xludf.DUMMYFUNCTION("""COMPUTED_VALUE"""),84.0)</f>
        <v>84</v>
      </c>
      <c r="AB988" s="481">
        <f>IFERROR(__xludf.DUMMYFUNCTION("""COMPUTED_VALUE"""),100.0)</f>
        <v>100</v>
      </c>
      <c r="AC988" s="481">
        <f>IFERROR(__xludf.DUMMYFUNCTION("""COMPUTED_VALUE"""),13.0)</f>
        <v>13</v>
      </c>
      <c r="AD988" s="481"/>
      <c r="AE988" s="481">
        <f>IFERROR(__xludf.DUMMYFUNCTION("""COMPUTED_VALUE"""),70.0)</f>
        <v>70</v>
      </c>
      <c r="AF988" s="481"/>
      <c r="AG988" s="481">
        <f>IFERROR(__xludf.DUMMYFUNCTION("""COMPUTED_VALUE"""),75.0)</f>
        <v>75</v>
      </c>
      <c r="AH988" s="481"/>
      <c r="AI988" s="158"/>
      <c r="AJ988" s="158"/>
      <c r="AK988" s="133">
        <f>IFERROR(__xludf.DUMMYFUNCTION("""COMPUTED_VALUE"""),4.0)</f>
        <v>4</v>
      </c>
      <c r="AL988" s="133">
        <f>IFERROR(__xludf.DUMMYFUNCTION("""COMPUTED_VALUE"""),3.0)</f>
        <v>3</v>
      </c>
      <c r="AM988" s="133">
        <f>IFERROR(__xludf.DUMMYFUNCTION("""COMPUTED_VALUE"""),3.0)</f>
        <v>3</v>
      </c>
      <c r="AN988" s="133" t="str">
        <f>IFERROR(__xludf.DUMMYFUNCTION("""COMPUTED_VALUE"""),"2")</f>
        <v>2</v>
      </c>
      <c r="AO988" s="133">
        <f>IFERROR(__xludf.DUMMYFUNCTION("""COMPUTED_VALUE"""),3.0)</f>
        <v>3</v>
      </c>
      <c r="AP988" s="155" t="s">
        <v>3736</v>
      </c>
    </row>
    <row r="989">
      <c r="A989" s="155">
        <f>IFERROR(__xludf.DUMMYFUNCTION("""COMPUTED_VALUE"""),96.0)</f>
        <v>96</v>
      </c>
      <c r="B989" s="155" t="str">
        <f>IFERROR(__xludf.DUMMYFUNCTION("""COMPUTED_VALUE"""),"lke23ece@cmrit.ac.in")</f>
        <v>lke23ece@cmrit.ac.in</v>
      </c>
      <c r="C989" s="174" t="str">
        <f>IFERROR(__xludf.DUMMYFUNCTION("""COMPUTED_VALUE"""),"L KEERTHANA")</f>
        <v>L KEERTHANA</v>
      </c>
      <c r="D989" s="155" t="str">
        <f>IFERROR(__xludf.DUMMYFUNCTION("""COMPUTED_VALUE"""),"1CR23EC097")</f>
        <v>1CR23EC097</v>
      </c>
      <c r="E989" s="563">
        <f>IFERROR(__xludf.DUMMYFUNCTION("""COMPUTED_VALUE"""),9.972744156E9)</f>
        <v>9972744156</v>
      </c>
      <c r="F989" s="155" t="str">
        <f>IFERROR(__xludf.DUMMYFUNCTION("""COMPUTED_VALUE"""),"ECE")</f>
        <v>ECE</v>
      </c>
      <c r="G989" s="158"/>
      <c r="H989" s="559">
        <f>IFERROR(__xludf.DUMMYFUNCTION("""COMPUTED_VALUE"""),78.0)</f>
        <v>78</v>
      </c>
      <c r="I989" s="559">
        <f>IFERROR(__xludf.DUMMYFUNCTION("""COMPUTED_VALUE"""),71.0)</f>
        <v>71</v>
      </c>
      <c r="J989" s="559">
        <f>IFERROR(__xludf.DUMMYFUNCTION("""COMPUTED_VALUE"""),70.0)</f>
        <v>70</v>
      </c>
      <c r="K989" s="559">
        <f>IFERROR(__xludf.DUMMYFUNCTION("""COMPUTED_VALUE"""),70.0)</f>
        <v>70</v>
      </c>
      <c r="L989" s="560">
        <f>IFERROR(__xludf.DUMMYFUNCTION("""COMPUTED_VALUE"""),50.0)</f>
        <v>50</v>
      </c>
      <c r="M989" s="561">
        <f>IFERROR(__xludf.DUMMYFUNCTION("""COMPUTED_VALUE"""),50.0)</f>
        <v>50</v>
      </c>
      <c r="N989" s="561">
        <f>IFERROR(__xludf.DUMMYFUNCTION("""COMPUTED_VALUE"""),24.0)</f>
        <v>24</v>
      </c>
      <c r="O989" s="560"/>
      <c r="P989" s="562">
        <f>IFERROR(__xludf.DUMMYFUNCTION("""COMPUTED_VALUE"""),75.0)</f>
        <v>75</v>
      </c>
      <c r="Q989" s="562">
        <f>IFERROR(__xludf.DUMMYFUNCTION("""COMPUTED_VALUE"""),50.0)</f>
        <v>50</v>
      </c>
      <c r="R989" s="562">
        <f>IFERROR(__xludf.DUMMYFUNCTION("""COMPUTED_VALUE"""),85.0)</f>
        <v>85</v>
      </c>
      <c r="S989" s="562"/>
      <c r="T989" s="217">
        <f>IFERROR(__xludf.DUMMYFUNCTION("""COMPUTED_VALUE"""),16.0)</f>
        <v>16</v>
      </c>
      <c r="U989" s="217">
        <f>IFERROR(__xludf.DUMMYFUNCTION("""COMPUTED_VALUE"""),17.0)</f>
        <v>17</v>
      </c>
      <c r="V989" s="217">
        <f>IFERROR(__xludf.DUMMYFUNCTION("""COMPUTED_VALUE"""),54.0)</f>
        <v>54</v>
      </c>
      <c r="W989" s="217">
        <f>IFERROR(__xludf.DUMMYFUNCTION("""COMPUTED_VALUE"""),78.0)</f>
        <v>78</v>
      </c>
      <c r="X989" s="217">
        <f>IFERROR(__xludf.DUMMYFUNCTION("""COMPUTED_VALUE"""),64.0)</f>
        <v>64</v>
      </c>
      <c r="Y989" s="217"/>
      <c r="Z989" s="217"/>
      <c r="AA989" s="481">
        <f>IFERROR(__xludf.DUMMYFUNCTION("""COMPUTED_VALUE"""),20.0)</f>
        <v>20</v>
      </c>
      <c r="AB989" s="481">
        <f>IFERROR(__xludf.DUMMYFUNCTION("""COMPUTED_VALUE"""),100.0)</f>
        <v>100</v>
      </c>
      <c r="AC989" s="481">
        <f>IFERROR(__xludf.DUMMYFUNCTION("""COMPUTED_VALUE"""),70.0)</f>
        <v>70</v>
      </c>
      <c r="AD989" s="481"/>
      <c r="AE989" s="481">
        <f>IFERROR(__xludf.DUMMYFUNCTION("""COMPUTED_VALUE"""),60.0)</f>
        <v>60</v>
      </c>
      <c r="AF989" s="481"/>
      <c r="AG989" s="481"/>
      <c r="AH989" s="481"/>
      <c r="AI989" s="158"/>
      <c r="AJ989" s="158"/>
      <c r="AK989" s="133">
        <f>IFERROR(__xludf.DUMMYFUNCTION("""COMPUTED_VALUE"""),4.0)</f>
        <v>4</v>
      </c>
      <c r="AL989" s="133">
        <f>IFERROR(__xludf.DUMMYFUNCTION("""COMPUTED_VALUE"""),2.0)</f>
        <v>2</v>
      </c>
      <c r="AM989" s="133">
        <f>IFERROR(__xludf.DUMMYFUNCTION("""COMPUTED_VALUE"""),3.0)</f>
        <v>3</v>
      </c>
      <c r="AN989" s="133" t="str">
        <f>IFERROR(__xludf.DUMMYFUNCTION("""COMPUTED_VALUE"""),"3")</f>
        <v>3</v>
      </c>
      <c r="AO989" s="133">
        <f>IFERROR(__xludf.DUMMYFUNCTION("""COMPUTED_VALUE"""),3.0)</f>
        <v>3</v>
      </c>
      <c r="AP989" s="155" t="s">
        <v>3736</v>
      </c>
    </row>
    <row r="990">
      <c r="A990" s="155">
        <f>IFERROR(__xludf.DUMMYFUNCTION("""COMPUTED_VALUE"""),97.0)</f>
        <v>97</v>
      </c>
      <c r="B990" s="155" t="str">
        <f>IFERROR(__xludf.DUMMYFUNCTION("""COMPUTED_VALUE"""),"laai23ece@cmrit.ac.in")</f>
        <v>laai23ece@cmrit.ac.in</v>
      </c>
      <c r="C990" s="174" t="str">
        <f>IFERROR(__xludf.DUMMYFUNCTION("""COMPUTED_VALUE"""),"LAVANYA AIGAL")</f>
        <v>LAVANYA AIGAL</v>
      </c>
      <c r="D990" s="155" t="str">
        <f>IFERROR(__xludf.DUMMYFUNCTION("""COMPUTED_VALUE"""),"1CR23EC098")</f>
        <v>1CR23EC098</v>
      </c>
      <c r="E990" s="563">
        <f>IFERROR(__xludf.DUMMYFUNCTION("""COMPUTED_VALUE"""),9.611355322E9)</f>
        <v>9611355322</v>
      </c>
      <c r="F990" s="155" t="str">
        <f>IFERROR(__xludf.DUMMYFUNCTION("""COMPUTED_VALUE"""),"ECE")</f>
        <v>ECE</v>
      </c>
      <c r="G990" s="158"/>
      <c r="H990" s="559">
        <f>IFERROR(__xludf.DUMMYFUNCTION("""COMPUTED_VALUE"""),82.0)</f>
        <v>82</v>
      </c>
      <c r="I990" s="559">
        <f>IFERROR(__xludf.DUMMYFUNCTION("""COMPUTED_VALUE"""),85.0)</f>
        <v>85</v>
      </c>
      <c r="J990" s="559">
        <f>IFERROR(__xludf.DUMMYFUNCTION("""COMPUTED_VALUE"""),72.0)</f>
        <v>72</v>
      </c>
      <c r="K990" s="559">
        <f>IFERROR(__xludf.DUMMYFUNCTION("""COMPUTED_VALUE"""),70.0)</f>
        <v>70</v>
      </c>
      <c r="L990" s="560">
        <f>IFERROR(__xludf.DUMMYFUNCTION("""COMPUTED_VALUE"""),50.0)</f>
        <v>50</v>
      </c>
      <c r="M990" s="561">
        <f>IFERROR(__xludf.DUMMYFUNCTION("""COMPUTED_VALUE"""),50.0)</f>
        <v>50</v>
      </c>
      <c r="N990" s="561">
        <f>IFERROR(__xludf.DUMMYFUNCTION("""COMPUTED_VALUE"""),15.0)</f>
        <v>15</v>
      </c>
      <c r="O990" s="560"/>
      <c r="P990" s="562">
        <f>IFERROR(__xludf.DUMMYFUNCTION("""COMPUTED_VALUE"""),79.0)</f>
        <v>79</v>
      </c>
      <c r="Q990" s="562">
        <f>IFERROR(__xludf.DUMMYFUNCTION("""COMPUTED_VALUE"""),56.0)</f>
        <v>56</v>
      </c>
      <c r="R990" s="562">
        <f>IFERROR(__xludf.DUMMYFUNCTION("""COMPUTED_VALUE"""),74.0)</f>
        <v>74</v>
      </c>
      <c r="S990" s="562"/>
      <c r="T990" s="217">
        <f>IFERROR(__xludf.DUMMYFUNCTION("""COMPUTED_VALUE"""),11.0)</f>
        <v>11</v>
      </c>
      <c r="U990" s="217">
        <f>IFERROR(__xludf.DUMMYFUNCTION("""COMPUTED_VALUE"""),21.0)</f>
        <v>21</v>
      </c>
      <c r="V990" s="217">
        <f>IFERROR(__xludf.DUMMYFUNCTION("""COMPUTED_VALUE"""),30.0)</f>
        <v>30</v>
      </c>
      <c r="W990" s="217">
        <f>IFERROR(__xludf.DUMMYFUNCTION("""COMPUTED_VALUE"""),0.0)</f>
        <v>0</v>
      </c>
      <c r="X990" s="217">
        <f>IFERROR(__xludf.DUMMYFUNCTION("""COMPUTED_VALUE"""),82.0)</f>
        <v>82</v>
      </c>
      <c r="Y990" s="217"/>
      <c r="Z990" s="217"/>
      <c r="AA990" s="481">
        <f>IFERROR(__xludf.DUMMYFUNCTION("""COMPUTED_VALUE"""),87.0)</f>
        <v>87</v>
      </c>
      <c r="AB990" s="481">
        <f>IFERROR(__xludf.DUMMYFUNCTION("""COMPUTED_VALUE"""),84.0)</f>
        <v>84</v>
      </c>
      <c r="AC990" s="481">
        <f>IFERROR(__xludf.DUMMYFUNCTION("""COMPUTED_VALUE"""),100.0)</f>
        <v>100</v>
      </c>
      <c r="AD990" s="481"/>
      <c r="AE990" s="481">
        <f>IFERROR(__xludf.DUMMYFUNCTION("""COMPUTED_VALUE"""),10.0)</f>
        <v>10</v>
      </c>
      <c r="AF990" s="481"/>
      <c r="AG990" s="481"/>
      <c r="AH990" s="481">
        <f>IFERROR(__xludf.DUMMYFUNCTION("""COMPUTED_VALUE"""),12.0)</f>
        <v>12</v>
      </c>
      <c r="AI990" s="158"/>
      <c r="AJ990" s="158"/>
      <c r="AK990" s="133">
        <f>IFERROR(__xludf.DUMMYFUNCTION("""COMPUTED_VALUE"""),4.0)</f>
        <v>4</v>
      </c>
      <c r="AL990" s="133">
        <f>IFERROR(__xludf.DUMMYFUNCTION("""COMPUTED_VALUE"""),2.0)</f>
        <v>2</v>
      </c>
      <c r="AM990" s="133">
        <f>IFERROR(__xludf.DUMMYFUNCTION("""COMPUTED_VALUE"""),2.0)</f>
        <v>2</v>
      </c>
      <c r="AN990" s="133" t="str">
        <f>IFERROR(__xludf.DUMMYFUNCTION("""COMPUTED_VALUE"""),"3")</f>
        <v>3</v>
      </c>
      <c r="AO990" s="133">
        <f>IFERROR(__xludf.DUMMYFUNCTION("""COMPUTED_VALUE"""),3.0)</f>
        <v>3</v>
      </c>
      <c r="AP990" s="155" t="s">
        <v>3736</v>
      </c>
    </row>
    <row r="991">
      <c r="A991" s="155">
        <f>IFERROR(__xludf.DUMMYFUNCTION("""COMPUTED_VALUE"""),98.0)</f>
        <v>98</v>
      </c>
      <c r="B991" s="155" t="str">
        <f>IFERROR(__xludf.DUMMYFUNCTION("""COMPUTED_VALUE"""),"leab23ece@cmrit.ac.in")</f>
        <v>leab23ece@cmrit.ac.in</v>
      </c>
      <c r="C991" s="174" t="str">
        <f>IFERROR(__xludf.DUMMYFUNCTION("""COMPUTED_VALUE"""),"LENITA ABRAHAM ")</f>
        <v>LENITA ABRAHAM </v>
      </c>
      <c r="D991" s="155" t="str">
        <f>IFERROR(__xludf.DUMMYFUNCTION("""COMPUTED_VALUE"""),"1CR23EC099")</f>
        <v>1CR23EC099</v>
      </c>
      <c r="E991" s="563">
        <f>IFERROR(__xludf.DUMMYFUNCTION("""COMPUTED_VALUE"""),9.019596616E9)</f>
        <v>9019596616</v>
      </c>
      <c r="F991" s="155" t="str">
        <f>IFERROR(__xludf.DUMMYFUNCTION("""COMPUTED_VALUE"""),"ECE")</f>
        <v>ECE</v>
      </c>
      <c r="G991" s="158"/>
      <c r="H991" s="559">
        <f>IFERROR(__xludf.DUMMYFUNCTION("""COMPUTED_VALUE"""),81.0)</f>
        <v>81</v>
      </c>
      <c r="I991" s="559">
        <f>IFERROR(__xludf.DUMMYFUNCTION("""COMPUTED_VALUE"""),85.0)</f>
        <v>85</v>
      </c>
      <c r="J991" s="559">
        <f>IFERROR(__xludf.DUMMYFUNCTION("""COMPUTED_VALUE"""),71.0)</f>
        <v>71</v>
      </c>
      <c r="K991" s="559">
        <f>IFERROR(__xludf.DUMMYFUNCTION("""COMPUTED_VALUE"""),70.0)</f>
        <v>70</v>
      </c>
      <c r="L991" s="560">
        <f>IFERROR(__xludf.DUMMYFUNCTION("""COMPUTED_VALUE"""),50.0)</f>
        <v>50</v>
      </c>
      <c r="M991" s="561">
        <f>IFERROR(__xludf.DUMMYFUNCTION("""COMPUTED_VALUE"""),11.0)</f>
        <v>11</v>
      </c>
      <c r="N991" s="561">
        <f>IFERROR(__xludf.DUMMYFUNCTION("""COMPUTED_VALUE"""),0.0)</f>
        <v>0</v>
      </c>
      <c r="O991" s="560"/>
      <c r="P991" s="562">
        <f>IFERROR(__xludf.DUMMYFUNCTION("""COMPUTED_VALUE"""),71.0)</f>
        <v>71</v>
      </c>
      <c r="Q991" s="562">
        <f>IFERROR(__xludf.DUMMYFUNCTION("""COMPUTED_VALUE"""),68.0)</f>
        <v>68</v>
      </c>
      <c r="R991" s="562">
        <f>IFERROR(__xludf.DUMMYFUNCTION("""COMPUTED_VALUE"""),0.0)</f>
        <v>0</v>
      </c>
      <c r="S991" s="562"/>
      <c r="T991" s="217">
        <f>IFERROR(__xludf.DUMMYFUNCTION("""COMPUTED_VALUE"""),18.0)</f>
        <v>18</v>
      </c>
      <c r="U991" s="217">
        <f>IFERROR(__xludf.DUMMYFUNCTION("""COMPUTED_VALUE"""),13.0)</f>
        <v>13</v>
      </c>
      <c r="V991" s="217">
        <f>IFERROR(__xludf.DUMMYFUNCTION("""COMPUTED_VALUE"""),24.0)</f>
        <v>24</v>
      </c>
      <c r="W991" s="217">
        <f>IFERROR(__xludf.DUMMYFUNCTION("""COMPUTED_VALUE"""),84.0)</f>
        <v>84</v>
      </c>
      <c r="X991" s="217">
        <f>IFERROR(__xludf.DUMMYFUNCTION("""COMPUTED_VALUE"""),58.0)</f>
        <v>58</v>
      </c>
      <c r="Y991" s="217"/>
      <c r="Z991" s="217"/>
      <c r="AA991" s="481">
        <f>IFERROR(__xludf.DUMMYFUNCTION("""COMPUTED_VALUE"""),81.8)</f>
        <v>81.8</v>
      </c>
      <c r="AB991" s="481">
        <f>IFERROR(__xludf.DUMMYFUNCTION("""COMPUTED_VALUE"""),68.0)</f>
        <v>68</v>
      </c>
      <c r="AC991" s="481">
        <f>IFERROR(__xludf.DUMMYFUNCTION("""COMPUTED_VALUE"""),70.0)</f>
        <v>70</v>
      </c>
      <c r="AD991" s="481"/>
      <c r="AE991" s="481">
        <f>IFERROR(__xludf.DUMMYFUNCTION("""COMPUTED_VALUE"""),10.0)</f>
        <v>10</v>
      </c>
      <c r="AF991" s="481"/>
      <c r="AG991" s="481"/>
      <c r="AH991" s="481"/>
      <c r="AI991" s="158"/>
      <c r="AJ991" s="158"/>
      <c r="AK991" s="133">
        <f>IFERROR(__xludf.DUMMYFUNCTION("""COMPUTED_VALUE"""),4.0)</f>
        <v>4</v>
      </c>
      <c r="AL991" s="133">
        <f>IFERROR(__xludf.DUMMYFUNCTION("""COMPUTED_VALUE"""),1.0)</f>
        <v>1</v>
      </c>
      <c r="AM991" s="133">
        <f>IFERROR(__xludf.DUMMYFUNCTION("""COMPUTED_VALUE"""),3.0)</f>
        <v>3</v>
      </c>
      <c r="AN991" s="133" t="str">
        <f>IFERROR(__xludf.DUMMYFUNCTION("""COMPUTED_VALUE"""),"3")</f>
        <v>3</v>
      </c>
      <c r="AO991" s="133">
        <f>IFERROR(__xludf.DUMMYFUNCTION("""COMPUTED_VALUE"""),2.0)</f>
        <v>2</v>
      </c>
      <c r="AP991" s="155" t="s">
        <v>3736</v>
      </c>
    </row>
    <row r="992">
      <c r="A992" s="155">
        <f>IFERROR(__xludf.DUMMYFUNCTION("""COMPUTED_VALUE"""),99.0)</f>
        <v>99</v>
      </c>
      <c r="B992" s="155" t="str">
        <f>IFERROR(__xludf.DUMMYFUNCTION("""COMPUTED_VALUE"""),"lepr23ece@cmrit.ac.in")</f>
        <v>lepr23ece@cmrit.ac.in</v>
      </c>
      <c r="C992" s="174" t="str">
        <f>IFERROR(__xludf.DUMMYFUNCTION("""COMPUTED_VALUE"""),"LEONA IDA PRANUHYA MORAGUDI ")</f>
        <v>LEONA IDA PRANUHYA MORAGUDI </v>
      </c>
      <c r="D992" s="155" t="str">
        <f>IFERROR(__xludf.DUMMYFUNCTION("""COMPUTED_VALUE"""),"1CR23EC100")</f>
        <v>1CR23EC100</v>
      </c>
      <c r="E992" s="563">
        <f>IFERROR(__xludf.DUMMYFUNCTION("""COMPUTED_VALUE"""),9.538792572E9)</f>
        <v>9538792572</v>
      </c>
      <c r="F992" s="155" t="str">
        <f>IFERROR(__xludf.DUMMYFUNCTION("""COMPUTED_VALUE"""),"ECE")</f>
        <v>ECE</v>
      </c>
      <c r="G992" s="158"/>
      <c r="H992" s="559">
        <f>IFERROR(__xludf.DUMMYFUNCTION("""COMPUTED_VALUE"""),85.0)</f>
        <v>85</v>
      </c>
      <c r="I992" s="559">
        <f>IFERROR(__xludf.DUMMYFUNCTION("""COMPUTED_VALUE"""),90.0)</f>
        <v>90</v>
      </c>
      <c r="J992" s="559">
        <f>IFERROR(__xludf.DUMMYFUNCTION("""COMPUTED_VALUE"""),84.0)</f>
        <v>84</v>
      </c>
      <c r="K992" s="559">
        <f>IFERROR(__xludf.DUMMYFUNCTION("""COMPUTED_VALUE"""),85.0)</f>
        <v>85</v>
      </c>
      <c r="L992" s="560">
        <f>IFERROR(__xludf.DUMMYFUNCTION("""COMPUTED_VALUE"""),50.0)</f>
        <v>50</v>
      </c>
      <c r="M992" s="561">
        <f>IFERROR(__xludf.DUMMYFUNCTION("""COMPUTED_VALUE"""),50.0)</f>
        <v>50</v>
      </c>
      <c r="N992" s="561">
        <f>IFERROR(__xludf.DUMMYFUNCTION("""COMPUTED_VALUE"""),50.0)</f>
        <v>50</v>
      </c>
      <c r="O992" s="560"/>
      <c r="P992" s="562">
        <f>IFERROR(__xludf.DUMMYFUNCTION("""COMPUTED_VALUE"""),71.0)</f>
        <v>71</v>
      </c>
      <c r="Q992" s="562">
        <f>IFERROR(__xludf.DUMMYFUNCTION("""COMPUTED_VALUE"""),68.0)</f>
        <v>68</v>
      </c>
      <c r="R992" s="562">
        <f>IFERROR(__xludf.DUMMYFUNCTION("""COMPUTED_VALUE"""),72.0)</f>
        <v>72</v>
      </c>
      <c r="S992" s="562"/>
      <c r="T992" s="217">
        <f>IFERROR(__xludf.DUMMYFUNCTION("""COMPUTED_VALUE"""),16.0)</f>
        <v>16</v>
      </c>
      <c r="U992" s="217">
        <f>IFERROR(__xludf.DUMMYFUNCTION("""COMPUTED_VALUE"""),15.0)</f>
        <v>15</v>
      </c>
      <c r="V992" s="217">
        <f>IFERROR(__xludf.DUMMYFUNCTION("""COMPUTED_VALUE"""),24.0)</f>
        <v>24</v>
      </c>
      <c r="W992" s="217">
        <f>IFERROR(__xludf.DUMMYFUNCTION("""COMPUTED_VALUE"""),82.0)</f>
        <v>82</v>
      </c>
      <c r="X992" s="217">
        <f>IFERROR(__xludf.DUMMYFUNCTION("""COMPUTED_VALUE"""),66.0)</f>
        <v>66</v>
      </c>
      <c r="Y992" s="217"/>
      <c r="Z992" s="217"/>
      <c r="AA992" s="481">
        <f>IFERROR(__xludf.DUMMYFUNCTION("""COMPUTED_VALUE"""),98.6)</f>
        <v>98.6</v>
      </c>
      <c r="AB992" s="481">
        <f>IFERROR(__xludf.DUMMYFUNCTION("""COMPUTED_VALUE"""),90.0)</f>
        <v>90</v>
      </c>
      <c r="AC992" s="481">
        <f>IFERROR(__xludf.DUMMYFUNCTION("""COMPUTED_VALUE"""),66.0)</f>
        <v>66</v>
      </c>
      <c r="AD992" s="481"/>
      <c r="AE992" s="481">
        <f>IFERROR(__xludf.DUMMYFUNCTION("""COMPUTED_VALUE"""),70.0)</f>
        <v>70</v>
      </c>
      <c r="AF992" s="481"/>
      <c r="AG992" s="481">
        <f>IFERROR(__xludf.DUMMYFUNCTION("""COMPUTED_VALUE"""),74.0)</f>
        <v>74</v>
      </c>
      <c r="AH992" s="481"/>
      <c r="AI992" s="158"/>
      <c r="AJ992" s="158"/>
      <c r="AK992" s="133">
        <f>IFERROR(__xludf.DUMMYFUNCTION("""COMPUTED_VALUE"""),4.0)</f>
        <v>4</v>
      </c>
      <c r="AL992" s="133">
        <f>IFERROR(__xludf.DUMMYFUNCTION("""COMPUTED_VALUE"""),3.0)</f>
        <v>3</v>
      </c>
      <c r="AM992" s="133">
        <f>IFERROR(__xludf.DUMMYFUNCTION("""COMPUTED_VALUE"""),3.0)</f>
        <v>3</v>
      </c>
      <c r="AN992" s="133" t="str">
        <f>IFERROR(__xludf.DUMMYFUNCTION("""COMPUTED_VALUE"""),"3.5")</f>
        <v>3.5</v>
      </c>
      <c r="AO992" s="133">
        <f>IFERROR(__xludf.DUMMYFUNCTION("""COMPUTED_VALUE"""),3.0)</f>
        <v>3</v>
      </c>
      <c r="AP992" s="155" t="s">
        <v>3736</v>
      </c>
    </row>
    <row r="993">
      <c r="A993" s="155">
        <f>IFERROR(__xludf.DUMMYFUNCTION("""COMPUTED_VALUE"""),100.0)</f>
        <v>100</v>
      </c>
      <c r="B993" s="155" t="str">
        <f>IFERROR(__xludf.DUMMYFUNCTION("""COMPUTED_VALUE"""),"mhra23ece@cmrit.ac.in")</f>
        <v>mhra23ece@cmrit.ac.in</v>
      </c>
      <c r="C993" s="174" t="str">
        <f>IFERROR(__xludf.DUMMYFUNCTION("""COMPUTED_VALUE"""),"M HARSHITAA RAJ")</f>
        <v>M HARSHITAA RAJ</v>
      </c>
      <c r="D993" s="155" t="str">
        <f>IFERROR(__xludf.DUMMYFUNCTION("""COMPUTED_VALUE"""),"1CR23EC101")</f>
        <v>1CR23EC101</v>
      </c>
      <c r="E993" s="563">
        <f>IFERROR(__xludf.DUMMYFUNCTION("""COMPUTED_VALUE"""),8.088878107E9)</f>
        <v>8088878107</v>
      </c>
      <c r="F993" s="155" t="str">
        <f>IFERROR(__xludf.DUMMYFUNCTION("""COMPUTED_VALUE"""),"ECE")</f>
        <v>ECE</v>
      </c>
      <c r="G993" s="158"/>
      <c r="H993" s="559">
        <f>IFERROR(__xludf.DUMMYFUNCTION("""COMPUTED_VALUE"""),86.0)</f>
        <v>86</v>
      </c>
      <c r="I993" s="559">
        <f>IFERROR(__xludf.DUMMYFUNCTION("""COMPUTED_VALUE"""),84.0)</f>
        <v>84</v>
      </c>
      <c r="J993" s="559">
        <f>IFERROR(__xludf.DUMMYFUNCTION("""COMPUTED_VALUE"""),72.0)</f>
        <v>72</v>
      </c>
      <c r="K993" s="559">
        <f>IFERROR(__xludf.DUMMYFUNCTION("""COMPUTED_VALUE"""),80.0)</f>
        <v>80</v>
      </c>
      <c r="L993" s="560">
        <f>IFERROR(__xludf.DUMMYFUNCTION("""COMPUTED_VALUE"""),50.0)</f>
        <v>50</v>
      </c>
      <c r="M993" s="561">
        <f>IFERROR(__xludf.DUMMYFUNCTION("""COMPUTED_VALUE"""),50.0)</f>
        <v>50</v>
      </c>
      <c r="N993" s="561">
        <f>IFERROR(__xludf.DUMMYFUNCTION("""COMPUTED_VALUE"""),50.0)</f>
        <v>50</v>
      </c>
      <c r="O993" s="560"/>
      <c r="P993" s="562">
        <f>IFERROR(__xludf.DUMMYFUNCTION("""COMPUTED_VALUE"""),70.0)</f>
        <v>70</v>
      </c>
      <c r="Q993" s="562">
        <f>IFERROR(__xludf.DUMMYFUNCTION("""COMPUTED_VALUE"""),50.0)</f>
        <v>50</v>
      </c>
      <c r="R993" s="562">
        <f>IFERROR(__xludf.DUMMYFUNCTION("""COMPUTED_VALUE"""),72.0)</f>
        <v>72</v>
      </c>
      <c r="S993" s="562"/>
      <c r="T993" s="217">
        <f>IFERROR(__xludf.DUMMYFUNCTION("""COMPUTED_VALUE"""),14.0)</f>
        <v>14</v>
      </c>
      <c r="U993" s="217">
        <f>IFERROR(__xludf.DUMMYFUNCTION("""COMPUTED_VALUE"""),7.0)</f>
        <v>7</v>
      </c>
      <c r="V993" s="217">
        <f>IFERROR(__xludf.DUMMYFUNCTION("""COMPUTED_VALUE"""),50.0)</f>
        <v>50</v>
      </c>
      <c r="W993" s="217">
        <f>IFERROR(__xludf.DUMMYFUNCTION("""COMPUTED_VALUE"""),76.0)</f>
        <v>76</v>
      </c>
      <c r="X993" s="217">
        <f>IFERROR(__xludf.DUMMYFUNCTION("""COMPUTED_VALUE"""),64.0)</f>
        <v>64</v>
      </c>
      <c r="Y993" s="217"/>
      <c r="Z993" s="217"/>
      <c r="AA993" s="481">
        <f>IFERROR(__xludf.DUMMYFUNCTION("""COMPUTED_VALUE"""),0.0)</f>
        <v>0</v>
      </c>
      <c r="AB993" s="481">
        <f>IFERROR(__xludf.DUMMYFUNCTION("""COMPUTED_VALUE"""),60.0)</f>
        <v>60</v>
      </c>
      <c r="AC993" s="481">
        <f>IFERROR(__xludf.DUMMYFUNCTION("""COMPUTED_VALUE"""),60.0)</f>
        <v>60</v>
      </c>
      <c r="AD993" s="481"/>
      <c r="AE993" s="481">
        <f>IFERROR(__xludf.DUMMYFUNCTION("""COMPUTED_VALUE"""),15.0)</f>
        <v>15</v>
      </c>
      <c r="AF993" s="481"/>
      <c r="AG993" s="481"/>
      <c r="AH993" s="481"/>
      <c r="AI993" s="158"/>
      <c r="AJ993" s="158"/>
      <c r="AK993" s="133">
        <f>IFERROR(__xludf.DUMMYFUNCTION("""COMPUTED_VALUE"""),4.0)</f>
        <v>4</v>
      </c>
      <c r="AL993" s="133">
        <f>IFERROR(__xludf.DUMMYFUNCTION("""COMPUTED_VALUE"""),3.0)</f>
        <v>3</v>
      </c>
      <c r="AM993" s="133">
        <f>IFERROR(__xludf.DUMMYFUNCTION("""COMPUTED_VALUE"""),0.0)</f>
        <v>0</v>
      </c>
      <c r="AN993" s="133" t="str">
        <f>IFERROR(__xludf.DUMMYFUNCTION("""COMPUTED_VALUE"""),"3")</f>
        <v>3</v>
      </c>
      <c r="AO993" s="133">
        <f>IFERROR(__xludf.DUMMYFUNCTION("""COMPUTED_VALUE"""),3.0)</f>
        <v>3</v>
      </c>
      <c r="AP993" s="155" t="s">
        <v>3736</v>
      </c>
    </row>
    <row r="994">
      <c r="A994" s="155">
        <f>IFERROR(__xludf.DUMMYFUNCTION("""COMPUTED_VALUE"""),101.0)</f>
        <v>101</v>
      </c>
      <c r="B994" s="155" t="str">
        <f>IFERROR(__xludf.DUMMYFUNCTION("""COMPUTED_VALUE"""),"jem23ece@cmrit.ac.in")</f>
        <v>jem23ece@cmrit.ac.in</v>
      </c>
      <c r="C994" s="174" t="str">
        <f>IFERROR(__xludf.DUMMYFUNCTION("""COMPUTED_VALUE"""),"M JEETHAN")</f>
        <v>M JEETHAN</v>
      </c>
      <c r="D994" s="155" t="str">
        <f>IFERROR(__xludf.DUMMYFUNCTION("""COMPUTED_VALUE"""),"1CR23EC102")</f>
        <v>1CR23EC102</v>
      </c>
      <c r="E994" s="563">
        <f>IFERROR(__xludf.DUMMYFUNCTION("""COMPUTED_VALUE"""),7.348810518E9)</f>
        <v>7348810518</v>
      </c>
      <c r="F994" s="155" t="str">
        <f>IFERROR(__xludf.DUMMYFUNCTION("""COMPUTED_VALUE"""),"ECE")</f>
        <v>ECE</v>
      </c>
      <c r="G994" s="158"/>
      <c r="H994" s="559">
        <f>IFERROR(__xludf.DUMMYFUNCTION("""COMPUTED_VALUE"""),87.0)</f>
        <v>87</v>
      </c>
      <c r="I994" s="559">
        <f>IFERROR(__xludf.DUMMYFUNCTION("""COMPUTED_VALUE"""),83.0)</f>
        <v>83</v>
      </c>
      <c r="J994" s="559">
        <f>IFERROR(__xludf.DUMMYFUNCTION("""COMPUTED_VALUE"""),77.0)</f>
        <v>77</v>
      </c>
      <c r="K994" s="559">
        <f>IFERROR(__xludf.DUMMYFUNCTION("""COMPUTED_VALUE"""),70.0)</f>
        <v>70</v>
      </c>
      <c r="L994" s="560">
        <f>IFERROR(__xludf.DUMMYFUNCTION("""COMPUTED_VALUE"""),50.0)</f>
        <v>50</v>
      </c>
      <c r="M994" s="561">
        <f>IFERROR(__xludf.DUMMYFUNCTION("""COMPUTED_VALUE"""),50.0)</f>
        <v>50</v>
      </c>
      <c r="N994" s="561">
        <f>IFERROR(__xludf.DUMMYFUNCTION("""COMPUTED_VALUE"""),50.0)</f>
        <v>50</v>
      </c>
      <c r="O994" s="560"/>
      <c r="P994" s="562">
        <f>IFERROR(__xludf.DUMMYFUNCTION("""COMPUTED_VALUE"""),70.0)</f>
        <v>70</v>
      </c>
      <c r="Q994" s="562">
        <f>IFERROR(__xludf.DUMMYFUNCTION("""COMPUTED_VALUE"""),70.0)</f>
        <v>70</v>
      </c>
      <c r="R994" s="562">
        <f>IFERROR(__xludf.DUMMYFUNCTION("""COMPUTED_VALUE"""),77.0)</f>
        <v>77</v>
      </c>
      <c r="S994" s="562"/>
      <c r="T994" s="217">
        <f>IFERROR(__xludf.DUMMYFUNCTION("""COMPUTED_VALUE"""),20.0)</f>
        <v>20</v>
      </c>
      <c r="U994" s="217">
        <f>IFERROR(__xludf.DUMMYFUNCTION("""COMPUTED_VALUE"""),21.0)</f>
        <v>21</v>
      </c>
      <c r="V994" s="217">
        <f>IFERROR(__xludf.DUMMYFUNCTION("""COMPUTED_VALUE"""),0.0)</f>
        <v>0</v>
      </c>
      <c r="W994" s="217">
        <f>IFERROR(__xludf.DUMMYFUNCTION("""COMPUTED_VALUE"""),80.0)</f>
        <v>80</v>
      </c>
      <c r="X994" s="217">
        <f>IFERROR(__xludf.DUMMYFUNCTION("""COMPUTED_VALUE"""),78.0)</f>
        <v>78</v>
      </c>
      <c r="Y994" s="217"/>
      <c r="Z994" s="217"/>
      <c r="AA994" s="481">
        <f>IFERROR(__xludf.DUMMYFUNCTION("""COMPUTED_VALUE"""),100.0)</f>
        <v>100</v>
      </c>
      <c r="AB994" s="481">
        <f>IFERROR(__xludf.DUMMYFUNCTION("""COMPUTED_VALUE"""),100.0)</f>
        <v>100</v>
      </c>
      <c r="AC994" s="481">
        <f>IFERROR(__xludf.DUMMYFUNCTION("""COMPUTED_VALUE"""),60.0)</f>
        <v>60</v>
      </c>
      <c r="AD994" s="481"/>
      <c r="AE994" s="481">
        <f>IFERROR(__xludf.DUMMYFUNCTION("""COMPUTED_VALUE"""),10.0)</f>
        <v>10</v>
      </c>
      <c r="AF994" s="481"/>
      <c r="AG994" s="481"/>
      <c r="AH994" s="481"/>
      <c r="AI994" s="158"/>
      <c r="AJ994" s="158"/>
      <c r="AK994" s="133">
        <f>IFERROR(__xludf.DUMMYFUNCTION("""COMPUTED_VALUE"""),4.0)</f>
        <v>4</v>
      </c>
      <c r="AL994" s="133">
        <f>IFERROR(__xludf.DUMMYFUNCTION("""COMPUTED_VALUE"""),3.0)</f>
        <v>3</v>
      </c>
      <c r="AM994" s="133">
        <f>IFERROR(__xludf.DUMMYFUNCTION("""COMPUTED_VALUE"""),3.0)</f>
        <v>3</v>
      </c>
      <c r="AN994" s="133" t="str">
        <f>IFERROR(__xludf.DUMMYFUNCTION("""COMPUTED_VALUE"""),"3")</f>
        <v>3</v>
      </c>
      <c r="AO994" s="133">
        <f>IFERROR(__xludf.DUMMYFUNCTION("""COMPUTED_VALUE"""),3.0)</f>
        <v>3</v>
      </c>
      <c r="AP994" s="155" t="s">
        <v>3736</v>
      </c>
    </row>
    <row r="995">
      <c r="A995" s="155">
        <f>IFERROR(__xludf.DUMMYFUNCTION("""COMPUTED_VALUE"""),102.0)</f>
        <v>102</v>
      </c>
      <c r="B995" s="155" t="str">
        <f>IFERROR(__xludf.DUMMYFUNCTION("""COMPUTED_VALUE"""),"mlta23ece@cmrit.ac.in")</f>
        <v>mlta23ece@cmrit.ac.in</v>
      </c>
      <c r="C995" s="174" t="str">
        <f>IFERROR(__xludf.DUMMYFUNCTION("""COMPUTED_VALUE"""),"M L TANUJA")</f>
        <v>M L TANUJA</v>
      </c>
      <c r="D995" s="155" t="str">
        <f>IFERROR(__xludf.DUMMYFUNCTION("""COMPUTED_VALUE"""),"1CR23EC103")</f>
        <v>1CR23EC103</v>
      </c>
      <c r="E995" s="563">
        <f>IFERROR(__xludf.DUMMYFUNCTION("""COMPUTED_VALUE"""),6.361445365E9)</f>
        <v>6361445365</v>
      </c>
      <c r="F995" s="155" t="str">
        <f>IFERROR(__xludf.DUMMYFUNCTION("""COMPUTED_VALUE"""),"ECE")</f>
        <v>ECE</v>
      </c>
      <c r="G995" s="158"/>
      <c r="H995" s="559">
        <f>IFERROR(__xludf.DUMMYFUNCTION("""COMPUTED_VALUE"""),87.0)</f>
        <v>87</v>
      </c>
      <c r="I995" s="559">
        <f>IFERROR(__xludf.DUMMYFUNCTION("""COMPUTED_VALUE"""),79.0)</f>
        <v>79</v>
      </c>
      <c r="J995" s="559">
        <f>IFERROR(__xludf.DUMMYFUNCTION("""COMPUTED_VALUE"""),82.0)</f>
        <v>82</v>
      </c>
      <c r="K995" s="559">
        <f>IFERROR(__xludf.DUMMYFUNCTION("""COMPUTED_VALUE"""),70.0)</f>
        <v>70</v>
      </c>
      <c r="L995" s="560">
        <f>IFERROR(__xludf.DUMMYFUNCTION("""COMPUTED_VALUE"""),50.0)</f>
        <v>50</v>
      </c>
      <c r="M995" s="561">
        <f>IFERROR(__xludf.DUMMYFUNCTION("""COMPUTED_VALUE"""),13.0)</f>
        <v>13</v>
      </c>
      <c r="N995" s="561">
        <f>IFERROR(__xludf.DUMMYFUNCTION("""COMPUTED_VALUE"""),50.0)</f>
        <v>50</v>
      </c>
      <c r="O995" s="560"/>
      <c r="P995" s="562">
        <f>IFERROR(__xludf.DUMMYFUNCTION("""COMPUTED_VALUE"""),71.0)</f>
        <v>71</v>
      </c>
      <c r="Q995" s="562">
        <f>IFERROR(__xludf.DUMMYFUNCTION("""COMPUTED_VALUE"""),68.0)</f>
        <v>68</v>
      </c>
      <c r="R995" s="562">
        <f>IFERROR(__xludf.DUMMYFUNCTION("""COMPUTED_VALUE"""),50.0)</f>
        <v>50</v>
      </c>
      <c r="S995" s="562"/>
      <c r="T995" s="217">
        <f>IFERROR(__xludf.DUMMYFUNCTION("""COMPUTED_VALUE"""),16.0)</f>
        <v>16</v>
      </c>
      <c r="U995" s="217">
        <f>IFERROR(__xludf.DUMMYFUNCTION("""COMPUTED_VALUE"""),22.0)</f>
        <v>22</v>
      </c>
      <c r="V995" s="217">
        <f>IFERROR(__xludf.DUMMYFUNCTION("""COMPUTED_VALUE"""),28.0)</f>
        <v>28</v>
      </c>
      <c r="W995" s="217">
        <f>IFERROR(__xludf.DUMMYFUNCTION("""COMPUTED_VALUE"""),80.0)</f>
        <v>80</v>
      </c>
      <c r="X995" s="217">
        <f>IFERROR(__xludf.DUMMYFUNCTION("""COMPUTED_VALUE"""),56.0)</f>
        <v>56</v>
      </c>
      <c r="Y995" s="217"/>
      <c r="Z995" s="217"/>
      <c r="AA995" s="481">
        <f>IFERROR(__xludf.DUMMYFUNCTION("""COMPUTED_VALUE"""),81.8)</f>
        <v>81.8</v>
      </c>
      <c r="AB995" s="481">
        <f>IFERROR(__xludf.DUMMYFUNCTION("""COMPUTED_VALUE"""),72.0)</f>
        <v>72</v>
      </c>
      <c r="AC995" s="481">
        <f>IFERROR(__xludf.DUMMYFUNCTION("""COMPUTED_VALUE"""),35.0)</f>
        <v>35</v>
      </c>
      <c r="AD995" s="481"/>
      <c r="AE995" s="481">
        <f>IFERROR(__xludf.DUMMYFUNCTION("""COMPUTED_VALUE"""),10.0)</f>
        <v>10</v>
      </c>
      <c r="AF995" s="481"/>
      <c r="AG995" s="481"/>
      <c r="AH995" s="481">
        <f>IFERROR(__xludf.DUMMYFUNCTION("""COMPUTED_VALUE"""),40.0)</f>
        <v>40</v>
      </c>
      <c r="AI995" s="158"/>
      <c r="AJ995" s="158"/>
      <c r="AK995" s="133">
        <f>IFERROR(__xludf.DUMMYFUNCTION("""COMPUTED_VALUE"""),4.0)</f>
        <v>4</v>
      </c>
      <c r="AL995" s="133">
        <f>IFERROR(__xludf.DUMMYFUNCTION("""COMPUTED_VALUE"""),1.0)</f>
        <v>1</v>
      </c>
      <c r="AM995" s="133">
        <f>IFERROR(__xludf.DUMMYFUNCTION("""COMPUTED_VALUE"""),3.0)</f>
        <v>3</v>
      </c>
      <c r="AN995" s="133" t="str">
        <f>IFERROR(__xludf.DUMMYFUNCTION("""COMPUTED_VALUE"""),"2")</f>
        <v>2</v>
      </c>
      <c r="AO995" s="133">
        <f>IFERROR(__xludf.DUMMYFUNCTION("""COMPUTED_VALUE"""),3.0)</f>
        <v>3</v>
      </c>
      <c r="AP995" s="155" t="s">
        <v>3736</v>
      </c>
    </row>
    <row r="996">
      <c r="A996" s="155">
        <f>IFERROR(__xludf.DUMMYFUNCTION("""COMPUTED_VALUE"""),103.0)</f>
        <v>103</v>
      </c>
      <c r="B996" s="155" t="str">
        <f>IFERROR(__xludf.DUMMYFUNCTION("""COMPUTED_VALUE"""),"mpr23ece@cmrit.ac.in")</f>
        <v>mpr23ece@cmrit.ac.in</v>
      </c>
      <c r="C996" s="174" t="str">
        <f>IFERROR(__xludf.DUMMYFUNCTION("""COMPUTED_VALUE"""),"M PRANAV")</f>
        <v>M PRANAV</v>
      </c>
      <c r="D996" s="155" t="str">
        <f>IFERROR(__xludf.DUMMYFUNCTION("""COMPUTED_VALUE"""),"1CR23EC104")</f>
        <v>1CR23EC104</v>
      </c>
      <c r="E996" s="563">
        <f>IFERROR(__xludf.DUMMYFUNCTION("""COMPUTED_VALUE"""),7.022801269E9)</f>
        <v>7022801269</v>
      </c>
      <c r="F996" s="155" t="str">
        <f>IFERROR(__xludf.DUMMYFUNCTION("""COMPUTED_VALUE"""),"ECE")</f>
        <v>ECE</v>
      </c>
      <c r="G996" s="158"/>
      <c r="H996" s="559">
        <f>IFERROR(__xludf.DUMMYFUNCTION("""COMPUTED_VALUE"""),74.0)</f>
        <v>74</v>
      </c>
      <c r="I996" s="559">
        <f>IFERROR(__xludf.DUMMYFUNCTION("""COMPUTED_VALUE"""),84.0)</f>
        <v>84</v>
      </c>
      <c r="J996" s="559">
        <f>IFERROR(__xludf.DUMMYFUNCTION("""COMPUTED_VALUE"""),80.0)</f>
        <v>80</v>
      </c>
      <c r="K996" s="559">
        <f>IFERROR(__xludf.DUMMYFUNCTION("""COMPUTED_VALUE"""),70.0)</f>
        <v>70</v>
      </c>
      <c r="L996" s="560">
        <f>IFERROR(__xludf.DUMMYFUNCTION("""COMPUTED_VALUE"""),50.0)</f>
        <v>50</v>
      </c>
      <c r="M996" s="561">
        <f>IFERROR(__xludf.DUMMYFUNCTION("""COMPUTED_VALUE"""),50.0)</f>
        <v>50</v>
      </c>
      <c r="N996" s="561">
        <f>IFERROR(__xludf.DUMMYFUNCTION("""COMPUTED_VALUE"""),18.0)</f>
        <v>18</v>
      </c>
      <c r="O996" s="560"/>
      <c r="P996" s="562">
        <f>IFERROR(__xludf.DUMMYFUNCTION("""COMPUTED_VALUE"""),72.0)</f>
        <v>72</v>
      </c>
      <c r="Q996" s="562">
        <f>IFERROR(__xludf.DUMMYFUNCTION("""COMPUTED_VALUE"""),70.0)</f>
        <v>70</v>
      </c>
      <c r="R996" s="562">
        <f>IFERROR(__xludf.DUMMYFUNCTION("""COMPUTED_VALUE"""),69.0)</f>
        <v>69</v>
      </c>
      <c r="S996" s="562"/>
      <c r="T996" s="217">
        <f>IFERROR(__xludf.DUMMYFUNCTION("""COMPUTED_VALUE"""),11.0)</f>
        <v>11</v>
      </c>
      <c r="U996" s="217">
        <f>IFERROR(__xludf.DUMMYFUNCTION("""COMPUTED_VALUE"""),13.0)</f>
        <v>13</v>
      </c>
      <c r="V996" s="217">
        <f>IFERROR(__xludf.DUMMYFUNCTION("""COMPUTED_VALUE"""),36.0)</f>
        <v>36</v>
      </c>
      <c r="W996" s="217">
        <f>IFERROR(__xludf.DUMMYFUNCTION("""COMPUTED_VALUE"""),70.0)</f>
        <v>70</v>
      </c>
      <c r="X996" s="217"/>
      <c r="Y996" s="217"/>
      <c r="Z996" s="217"/>
      <c r="AA996" s="481">
        <f>IFERROR(__xludf.DUMMYFUNCTION("""COMPUTED_VALUE"""),98.19999999999999)</f>
        <v>98.2</v>
      </c>
      <c r="AB996" s="481">
        <f>IFERROR(__xludf.DUMMYFUNCTION("""COMPUTED_VALUE"""),60.0)</f>
        <v>60</v>
      </c>
      <c r="AC996" s="481">
        <f>IFERROR(__xludf.DUMMYFUNCTION("""COMPUTED_VALUE"""),100.0)</f>
        <v>100</v>
      </c>
      <c r="AD996" s="481"/>
      <c r="AE996" s="481">
        <f>IFERROR(__xludf.DUMMYFUNCTION("""COMPUTED_VALUE"""),50.0)</f>
        <v>50</v>
      </c>
      <c r="AF996" s="481"/>
      <c r="AG996" s="481"/>
      <c r="AH996" s="481">
        <f>IFERROR(__xludf.DUMMYFUNCTION("""COMPUTED_VALUE"""),81.0)</f>
        <v>81</v>
      </c>
      <c r="AI996" s="158"/>
      <c r="AJ996" s="158"/>
      <c r="AK996" s="133">
        <f>IFERROR(__xludf.DUMMYFUNCTION("""COMPUTED_VALUE"""),4.0)</f>
        <v>4</v>
      </c>
      <c r="AL996" s="133">
        <f>IFERROR(__xludf.DUMMYFUNCTION("""COMPUTED_VALUE"""),2.0)</f>
        <v>2</v>
      </c>
      <c r="AM996" s="133">
        <f>IFERROR(__xludf.DUMMYFUNCTION("""COMPUTED_VALUE"""),3.0)</f>
        <v>3</v>
      </c>
      <c r="AN996" s="133" t="str">
        <f>IFERROR(__xludf.DUMMYFUNCTION("""COMPUTED_VALUE"""),"3")</f>
        <v>3</v>
      </c>
      <c r="AO996" s="133">
        <f>IFERROR(__xludf.DUMMYFUNCTION("""COMPUTED_VALUE"""),3.0)</f>
        <v>3</v>
      </c>
      <c r="AP996" s="155" t="s">
        <v>3736</v>
      </c>
    </row>
    <row r="997">
      <c r="A997" s="155">
        <f>IFERROR(__xludf.DUMMYFUNCTION("""COMPUTED_VALUE"""),104.0)</f>
        <v>104</v>
      </c>
      <c r="B997" s="155" t="str">
        <f>IFERROR(__xludf.DUMMYFUNCTION("""COMPUTED_VALUE"""),"masi23ece@cmrit.ac.in")</f>
        <v>masi23ece@cmrit.ac.in</v>
      </c>
      <c r="C997" s="174" t="str">
        <f>IFERROR(__xludf.DUMMYFUNCTION("""COMPUTED_VALUE"""),"MAAHI SINGH")</f>
        <v>MAAHI SINGH</v>
      </c>
      <c r="D997" s="155" t="str">
        <f>IFERROR(__xludf.DUMMYFUNCTION("""COMPUTED_VALUE"""),"1CR23EC105")</f>
        <v>1CR23EC105</v>
      </c>
      <c r="E997" s="563">
        <f>IFERROR(__xludf.DUMMYFUNCTION("""COMPUTED_VALUE"""),9.972819049E9)</f>
        <v>9972819049</v>
      </c>
      <c r="F997" s="155" t="str">
        <f>IFERROR(__xludf.DUMMYFUNCTION("""COMPUTED_VALUE"""),"ECE")</f>
        <v>ECE</v>
      </c>
      <c r="G997" s="158"/>
      <c r="H997" s="559">
        <f>IFERROR(__xludf.DUMMYFUNCTION("""COMPUTED_VALUE"""),89.0)</f>
        <v>89</v>
      </c>
      <c r="I997" s="559">
        <f>IFERROR(__xludf.DUMMYFUNCTION("""COMPUTED_VALUE"""),91.0)</f>
        <v>91</v>
      </c>
      <c r="J997" s="559">
        <f>IFERROR(__xludf.DUMMYFUNCTION("""COMPUTED_VALUE"""),82.0)</f>
        <v>82</v>
      </c>
      <c r="K997" s="559">
        <f>IFERROR(__xludf.DUMMYFUNCTION("""COMPUTED_VALUE"""),80.0)</f>
        <v>80</v>
      </c>
      <c r="L997" s="560">
        <f>IFERROR(__xludf.DUMMYFUNCTION("""COMPUTED_VALUE"""),72.0)</f>
        <v>72</v>
      </c>
      <c r="M997" s="561">
        <f>IFERROR(__xludf.DUMMYFUNCTION("""COMPUTED_VALUE"""),50.0)</f>
        <v>50</v>
      </c>
      <c r="N997" s="561">
        <f>IFERROR(__xludf.DUMMYFUNCTION("""COMPUTED_VALUE"""),61.0)</f>
        <v>61</v>
      </c>
      <c r="O997" s="560"/>
      <c r="P997" s="562">
        <f>IFERROR(__xludf.DUMMYFUNCTION("""COMPUTED_VALUE"""),71.0)</f>
        <v>71</v>
      </c>
      <c r="Q997" s="562">
        <f>IFERROR(__xludf.DUMMYFUNCTION("""COMPUTED_VALUE"""),68.0)</f>
        <v>68</v>
      </c>
      <c r="R997" s="562">
        <f>IFERROR(__xludf.DUMMYFUNCTION("""COMPUTED_VALUE"""),89.0)</f>
        <v>89</v>
      </c>
      <c r="S997" s="562"/>
      <c r="T997" s="217">
        <f>IFERROR(__xludf.DUMMYFUNCTION("""COMPUTED_VALUE"""),16.0)</f>
        <v>16</v>
      </c>
      <c r="U997" s="217">
        <f>IFERROR(__xludf.DUMMYFUNCTION("""COMPUTED_VALUE"""),22.0)</f>
        <v>22</v>
      </c>
      <c r="V997" s="217">
        <f>IFERROR(__xludf.DUMMYFUNCTION("""COMPUTED_VALUE"""),24.0)</f>
        <v>24</v>
      </c>
      <c r="W997" s="217">
        <f>IFERROR(__xludf.DUMMYFUNCTION("""COMPUTED_VALUE"""),84.0)</f>
        <v>84</v>
      </c>
      <c r="X997" s="217">
        <f>IFERROR(__xludf.DUMMYFUNCTION("""COMPUTED_VALUE"""),62.0)</f>
        <v>62</v>
      </c>
      <c r="Y997" s="217"/>
      <c r="Z997" s="217"/>
      <c r="AA997" s="481">
        <f>IFERROR(__xludf.DUMMYFUNCTION("""COMPUTED_VALUE"""),99.6)</f>
        <v>99.6</v>
      </c>
      <c r="AB997" s="481">
        <f>IFERROR(__xludf.DUMMYFUNCTION("""COMPUTED_VALUE"""),100.0)</f>
        <v>100</v>
      </c>
      <c r="AC997" s="481">
        <f>IFERROR(__xludf.DUMMYFUNCTION("""COMPUTED_VALUE"""),100.0)</f>
        <v>100</v>
      </c>
      <c r="AD997" s="481"/>
      <c r="AE997" s="481">
        <f>IFERROR(__xludf.DUMMYFUNCTION("""COMPUTED_VALUE"""),70.0)</f>
        <v>70</v>
      </c>
      <c r="AF997" s="481"/>
      <c r="AG997" s="481">
        <f>IFERROR(__xludf.DUMMYFUNCTION("""COMPUTED_VALUE"""),82.0)</f>
        <v>82</v>
      </c>
      <c r="AH997" s="481"/>
      <c r="AI997" s="158"/>
      <c r="AJ997" s="158"/>
      <c r="AK997" s="133">
        <f>IFERROR(__xludf.DUMMYFUNCTION("""COMPUTED_VALUE"""),4.0)</f>
        <v>4</v>
      </c>
      <c r="AL997" s="133">
        <f>IFERROR(__xludf.DUMMYFUNCTION("""COMPUTED_VALUE"""),3.0)</f>
        <v>3</v>
      </c>
      <c r="AM997" s="133">
        <f>IFERROR(__xludf.DUMMYFUNCTION("""COMPUTED_VALUE"""),3.0)</f>
        <v>3</v>
      </c>
      <c r="AN997" s="133" t="str">
        <f>IFERROR(__xludf.DUMMYFUNCTION("""COMPUTED_VALUE"""),"3.5")</f>
        <v>3.5</v>
      </c>
      <c r="AO997" s="133">
        <f>IFERROR(__xludf.DUMMYFUNCTION("""COMPUTED_VALUE"""),3.0)</f>
        <v>3</v>
      </c>
      <c r="AP997" s="155" t="s">
        <v>3736</v>
      </c>
    </row>
    <row r="998">
      <c r="A998" s="155">
        <f>IFERROR(__xludf.DUMMYFUNCTION("""COMPUTED_VALUE"""),105.0)</f>
        <v>105</v>
      </c>
      <c r="B998" s="155" t="str">
        <f>IFERROR(__xludf.DUMMYFUNCTION("""COMPUTED_VALUE"""),"mama23ece@cmrit.ac.in")</f>
        <v>mama23ece@cmrit.ac.in</v>
      </c>
      <c r="C998" s="174" t="str">
        <f>IFERROR(__xludf.DUMMYFUNCTION("""COMPUTED_VALUE"""),"MADDULETAPPAGARI MANASWINI")</f>
        <v>MADDULETAPPAGARI MANASWINI</v>
      </c>
      <c r="D998" s="155" t="str">
        <f>IFERROR(__xludf.DUMMYFUNCTION("""COMPUTED_VALUE"""),"1CR23EC106")</f>
        <v>1CR23EC106</v>
      </c>
      <c r="E998" s="563">
        <f>IFERROR(__xludf.DUMMYFUNCTION("""COMPUTED_VALUE"""),9.39292162E9)</f>
        <v>9392921620</v>
      </c>
      <c r="F998" s="155" t="str">
        <f>IFERROR(__xludf.DUMMYFUNCTION("""COMPUTED_VALUE"""),"ECE")</f>
        <v>ECE</v>
      </c>
      <c r="G998" s="158"/>
      <c r="H998" s="559">
        <f>IFERROR(__xludf.DUMMYFUNCTION("""COMPUTED_VALUE"""),75.0)</f>
        <v>75</v>
      </c>
      <c r="I998" s="559">
        <f>IFERROR(__xludf.DUMMYFUNCTION("""COMPUTED_VALUE"""),79.0)</f>
        <v>79</v>
      </c>
      <c r="J998" s="559">
        <f>IFERROR(__xludf.DUMMYFUNCTION("""COMPUTED_VALUE"""),70.0)</f>
        <v>70</v>
      </c>
      <c r="K998" s="559">
        <f>IFERROR(__xludf.DUMMYFUNCTION("""COMPUTED_VALUE"""),70.0)</f>
        <v>70</v>
      </c>
      <c r="L998" s="560">
        <f>IFERROR(__xludf.DUMMYFUNCTION("""COMPUTED_VALUE"""),53.0)</f>
        <v>53</v>
      </c>
      <c r="M998" s="561">
        <f>IFERROR(__xludf.DUMMYFUNCTION("""COMPUTED_VALUE"""),50.0)</f>
        <v>50</v>
      </c>
      <c r="N998" s="561">
        <f>IFERROR(__xludf.DUMMYFUNCTION("""COMPUTED_VALUE"""),50.0)</f>
        <v>50</v>
      </c>
      <c r="O998" s="560"/>
      <c r="P998" s="562">
        <f>IFERROR(__xludf.DUMMYFUNCTION("""COMPUTED_VALUE"""),75.0)</f>
        <v>75</v>
      </c>
      <c r="Q998" s="562">
        <f>IFERROR(__xludf.DUMMYFUNCTION("""COMPUTED_VALUE"""),68.0)</f>
        <v>68</v>
      </c>
      <c r="R998" s="562">
        <f>IFERROR(__xludf.DUMMYFUNCTION("""COMPUTED_VALUE"""),50.0)</f>
        <v>50</v>
      </c>
      <c r="S998" s="562"/>
      <c r="T998" s="217">
        <f>IFERROR(__xludf.DUMMYFUNCTION("""COMPUTED_VALUE"""),11.0)</f>
        <v>11</v>
      </c>
      <c r="U998" s="217">
        <f>IFERROR(__xludf.DUMMYFUNCTION("""COMPUTED_VALUE"""),13.0)</f>
        <v>13</v>
      </c>
      <c r="V998" s="217">
        <f>IFERROR(__xludf.DUMMYFUNCTION("""COMPUTED_VALUE"""),40.0)</f>
        <v>40</v>
      </c>
      <c r="W998" s="217">
        <f>IFERROR(__xludf.DUMMYFUNCTION("""COMPUTED_VALUE"""),76.0)</f>
        <v>76</v>
      </c>
      <c r="X998" s="217">
        <f>IFERROR(__xludf.DUMMYFUNCTION("""COMPUTED_VALUE"""),72.0)</f>
        <v>72</v>
      </c>
      <c r="Y998" s="217"/>
      <c r="Z998" s="217"/>
      <c r="AA998" s="481">
        <f>IFERROR(__xludf.DUMMYFUNCTION("""COMPUTED_VALUE"""),77.2)</f>
        <v>77.2</v>
      </c>
      <c r="AB998" s="481">
        <f>IFERROR(__xludf.DUMMYFUNCTION("""COMPUTED_VALUE"""),68.0)</f>
        <v>68</v>
      </c>
      <c r="AC998" s="481">
        <f>IFERROR(__xludf.DUMMYFUNCTION("""COMPUTED_VALUE"""),49.0)</f>
        <v>49</v>
      </c>
      <c r="AD998" s="481"/>
      <c r="AE998" s="481">
        <f>IFERROR(__xludf.DUMMYFUNCTION("""COMPUTED_VALUE"""),13.0)</f>
        <v>13</v>
      </c>
      <c r="AF998" s="481"/>
      <c r="AG998" s="481">
        <f>IFERROR(__xludf.DUMMYFUNCTION("""COMPUTED_VALUE"""),70.0)</f>
        <v>70</v>
      </c>
      <c r="AH998" s="481"/>
      <c r="AI998" s="158"/>
      <c r="AJ998" s="158"/>
      <c r="AK998" s="133">
        <f>IFERROR(__xludf.DUMMYFUNCTION("""COMPUTED_VALUE"""),4.0)</f>
        <v>4</v>
      </c>
      <c r="AL998" s="133">
        <f>IFERROR(__xludf.DUMMYFUNCTION("""COMPUTED_VALUE"""),3.0)</f>
        <v>3</v>
      </c>
      <c r="AM998" s="133">
        <f>IFERROR(__xludf.DUMMYFUNCTION("""COMPUTED_VALUE"""),3.0)</f>
        <v>3</v>
      </c>
      <c r="AN998" s="133" t="str">
        <f>IFERROR(__xludf.DUMMYFUNCTION("""COMPUTED_VALUE"""),"2")</f>
        <v>2</v>
      </c>
      <c r="AO998" s="133">
        <f>IFERROR(__xludf.DUMMYFUNCTION("""COMPUTED_VALUE"""),3.0)</f>
        <v>3</v>
      </c>
      <c r="AP998" s="155" t="s">
        <v>3736</v>
      </c>
    </row>
    <row r="999">
      <c r="A999" s="155">
        <f>IFERROR(__xludf.DUMMYFUNCTION("""COMPUTED_VALUE"""),106.0)</f>
        <v>106</v>
      </c>
      <c r="B999" s="155" t="str">
        <f>IFERROR(__xludf.DUMMYFUNCTION("""COMPUTED_VALUE"""),"mana23ece@cmrit.ac.in")</f>
        <v>mana23ece@cmrit.ac.in</v>
      </c>
      <c r="C999" s="174" t="str">
        <f>IFERROR(__xludf.DUMMYFUNCTION("""COMPUTED_VALUE"""),"Madduluru Nagarjuna")</f>
        <v>Madduluru Nagarjuna</v>
      </c>
      <c r="D999" s="155" t="str">
        <f>IFERROR(__xludf.DUMMYFUNCTION("""COMPUTED_VALUE"""),"1CR23EC107")</f>
        <v>1CR23EC107</v>
      </c>
      <c r="E999" s="563">
        <f>IFERROR(__xludf.DUMMYFUNCTION("""COMPUTED_VALUE"""),9.949935712E9)</f>
        <v>9949935712</v>
      </c>
      <c r="F999" s="155" t="str">
        <f>IFERROR(__xludf.DUMMYFUNCTION("""COMPUTED_VALUE"""),"ECE")</f>
        <v>ECE</v>
      </c>
      <c r="G999" s="158"/>
      <c r="H999" s="559">
        <f>IFERROR(__xludf.DUMMYFUNCTION("""COMPUTED_VALUE"""),76.0)</f>
        <v>76</v>
      </c>
      <c r="I999" s="559">
        <f>IFERROR(__xludf.DUMMYFUNCTION("""COMPUTED_VALUE"""),75.0)</f>
        <v>75</v>
      </c>
      <c r="J999" s="559">
        <f>IFERROR(__xludf.DUMMYFUNCTION("""COMPUTED_VALUE"""),5.0)</f>
        <v>5</v>
      </c>
      <c r="K999" s="559">
        <f>IFERROR(__xludf.DUMMYFUNCTION("""COMPUTED_VALUE"""),32.0)</f>
        <v>32</v>
      </c>
      <c r="L999" s="560">
        <f>IFERROR(__xludf.DUMMYFUNCTION("""COMPUTED_VALUE"""),51.0)</f>
        <v>51</v>
      </c>
      <c r="M999" s="561">
        <f>IFERROR(__xludf.DUMMYFUNCTION("""COMPUTED_VALUE"""),50.0)</f>
        <v>50</v>
      </c>
      <c r="N999" s="561">
        <f>IFERROR(__xludf.DUMMYFUNCTION("""COMPUTED_VALUE"""),0.0)</f>
        <v>0</v>
      </c>
      <c r="O999" s="560"/>
      <c r="P999" s="562">
        <f>IFERROR(__xludf.DUMMYFUNCTION("""COMPUTED_VALUE"""),50.0)</f>
        <v>50</v>
      </c>
      <c r="Q999" s="562">
        <f>IFERROR(__xludf.DUMMYFUNCTION("""COMPUTED_VALUE"""),0.0)</f>
        <v>0</v>
      </c>
      <c r="R999" s="562">
        <f>IFERROR(__xludf.DUMMYFUNCTION("""COMPUTED_VALUE"""),50.0)</f>
        <v>50</v>
      </c>
      <c r="S999" s="562"/>
      <c r="T999" s="217"/>
      <c r="U999" s="217"/>
      <c r="V999" s="217">
        <f>IFERROR(__xludf.DUMMYFUNCTION("""COMPUTED_VALUE"""),0.0)</f>
        <v>0</v>
      </c>
      <c r="W999" s="217"/>
      <c r="X999" s="217"/>
      <c r="Y999" s="217"/>
      <c r="Z999" s="217"/>
      <c r="AA999" s="481">
        <f>IFERROR(__xludf.DUMMYFUNCTION("""COMPUTED_VALUE"""),0.0)</f>
        <v>0</v>
      </c>
      <c r="AB999" s="481">
        <f>IFERROR(__xludf.DUMMYFUNCTION("""COMPUTED_VALUE"""),63.0)</f>
        <v>63</v>
      </c>
      <c r="AC999" s="481">
        <f>IFERROR(__xludf.DUMMYFUNCTION("""COMPUTED_VALUE"""),0.0)</f>
        <v>0</v>
      </c>
      <c r="AD999" s="481"/>
      <c r="AE999" s="481">
        <f>IFERROR(__xludf.DUMMYFUNCTION("""COMPUTED_VALUE"""),10.0)</f>
        <v>10</v>
      </c>
      <c r="AF999" s="481"/>
      <c r="AG999" s="481"/>
      <c r="AH999" s="481">
        <f>IFERROR(__xludf.DUMMYFUNCTION("""COMPUTED_VALUE"""),0.0)</f>
        <v>0</v>
      </c>
      <c r="AI999" s="158"/>
      <c r="AJ999" s="158"/>
      <c r="AK999" s="133">
        <f>IFERROR(__xludf.DUMMYFUNCTION("""COMPUTED_VALUE"""),2.0)</f>
        <v>2</v>
      </c>
      <c r="AL999" s="133">
        <f>IFERROR(__xludf.DUMMYFUNCTION("""COMPUTED_VALUE"""),2.0)</f>
        <v>2</v>
      </c>
      <c r="AM999" s="133">
        <f>IFERROR(__xludf.DUMMYFUNCTION("""COMPUTED_VALUE"""),2.0)</f>
        <v>2</v>
      </c>
      <c r="AN999" s="133" t="str">
        <f>IFERROR(__xludf.DUMMYFUNCTION("""COMPUTED_VALUE"""),"2")</f>
        <v>2</v>
      </c>
      <c r="AO999" s="133">
        <f>IFERROR(__xludf.DUMMYFUNCTION("""COMPUTED_VALUE"""),1.0)</f>
        <v>1</v>
      </c>
      <c r="AP999" s="155" t="s">
        <v>3736</v>
      </c>
    </row>
    <row r="1000">
      <c r="A1000" s="155">
        <f>IFERROR(__xludf.DUMMYFUNCTION("""COMPUTED_VALUE"""),107.0)</f>
        <v>107</v>
      </c>
      <c r="B1000" s="155" t="str">
        <f>IFERROR(__xludf.DUMMYFUNCTION("""COMPUTED_VALUE"""),"masa23ece@cmrit.ac.in")</f>
        <v>masa23ece@cmrit.ac.in</v>
      </c>
      <c r="C1000" s="174" t="str">
        <f>IFERROR(__xludf.DUMMYFUNCTION("""COMPUTED_VALUE"""),"Madhav saraswat")</f>
        <v>Madhav saraswat</v>
      </c>
      <c r="D1000" s="155" t="str">
        <f>IFERROR(__xludf.DUMMYFUNCTION("""COMPUTED_VALUE"""),"1CR23EC108")</f>
        <v>1CR23EC108</v>
      </c>
      <c r="E1000" s="563">
        <f>IFERROR(__xludf.DUMMYFUNCTION("""COMPUTED_VALUE"""),9.620755956E9)</f>
        <v>9620755956</v>
      </c>
      <c r="F1000" s="155" t="str">
        <f>IFERROR(__xludf.DUMMYFUNCTION("""COMPUTED_VALUE"""),"ECE")</f>
        <v>ECE</v>
      </c>
      <c r="G1000" s="158"/>
      <c r="H1000" s="559">
        <f>IFERROR(__xludf.DUMMYFUNCTION("""COMPUTED_VALUE"""),75.0)</f>
        <v>75</v>
      </c>
      <c r="I1000" s="559">
        <f>IFERROR(__xludf.DUMMYFUNCTION("""COMPUTED_VALUE"""),73.0)</f>
        <v>73</v>
      </c>
      <c r="J1000" s="559">
        <f>IFERROR(__xludf.DUMMYFUNCTION("""COMPUTED_VALUE"""),43.0)</f>
        <v>43</v>
      </c>
      <c r="K1000" s="559">
        <f>IFERROR(__xludf.DUMMYFUNCTION("""COMPUTED_VALUE"""),70.0)</f>
        <v>70</v>
      </c>
      <c r="L1000" s="560">
        <f>IFERROR(__xludf.DUMMYFUNCTION("""COMPUTED_VALUE"""),26.0)</f>
        <v>26</v>
      </c>
      <c r="M1000" s="561">
        <f>IFERROR(__xludf.DUMMYFUNCTION("""COMPUTED_VALUE"""),13.0)</f>
        <v>13</v>
      </c>
      <c r="N1000" s="561">
        <f>IFERROR(__xludf.DUMMYFUNCTION("""COMPUTED_VALUE"""),33.0)</f>
        <v>33</v>
      </c>
      <c r="O1000" s="560"/>
      <c r="P1000" s="562">
        <f>IFERROR(__xludf.DUMMYFUNCTION("""COMPUTED_VALUE"""),78.0)</f>
        <v>78</v>
      </c>
      <c r="Q1000" s="562">
        <f>IFERROR(__xludf.DUMMYFUNCTION("""COMPUTED_VALUE"""),38.0)</f>
        <v>38</v>
      </c>
      <c r="R1000" s="562">
        <f>IFERROR(__xludf.DUMMYFUNCTION("""COMPUTED_VALUE"""),0.0)</f>
        <v>0</v>
      </c>
      <c r="S1000" s="562"/>
      <c r="T1000" s="217">
        <f>IFERROR(__xludf.DUMMYFUNCTION("""COMPUTED_VALUE"""),10.0)</f>
        <v>10</v>
      </c>
      <c r="U1000" s="217">
        <f>IFERROR(__xludf.DUMMYFUNCTION("""COMPUTED_VALUE"""),18.0)</f>
        <v>18</v>
      </c>
      <c r="V1000" s="217">
        <f>IFERROR(__xludf.DUMMYFUNCTION("""COMPUTED_VALUE"""),42.0)</f>
        <v>42</v>
      </c>
      <c r="W1000" s="217">
        <f>IFERROR(__xludf.DUMMYFUNCTION("""COMPUTED_VALUE"""),70.0)</f>
        <v>70</v>
      </c>
      <c r="X1000" s="217">
        <f>IFERROR(__xludf.DUMMYFUNCTION("""COMPUTED_VALUE"""),70.0)</f>
        <v>70</v>
      </c>
      <c r="Y1000" s="217"/>
      <c r="Z1000" s="217"/>
      <c r="AA1000" s="481">
        <f>IFERROR(__xludf.DUMMYFUNCTION("""COMPUTED_VALUE"""),57.0)</f>
        <v>57</v>
      </c>
      <c r="AB1000" s="481">
        <f>IFERROR(__xludf.DUMMYFUNCTION("""COMPUTED_VALUE"""),83.0)</f>
        <v>83</v>
      </c>
      <c r="AC1000" s="481">
        <f>IFERROR(__xludf.DUMMYFUNCTION("""COMPUTED_VALUE"""),21.0)</f>
        <v>21</v>
      </c>
      <c r="AD1000" s="481"/>
      <c r="AE1000" s="481">
        <f>IFERROR(__xludf.DUMMYFUNCTION("""COMPUTED_VALUE"""),10.0)</f>
        <v>10</v>
      </c>
      <c r="AF1000" s="481"/>
      <c r="AG1000" s="481"/>
      <c r="AH1000" s="481"/>
      <c r="AI1000" s="158"/>
      <c r="AJ1000" s="158"/>
      <c r="AK1000" s="133">
        <f>IFERROR(__xludf.DUMMYFUNCTION("""COMPUTED_VALUE"""),2.0)</f>
        <v>2</v>
      </c>
      <c r="AL1000" s="133">
        <f>IFERROR(__xludf.DUMMYFUNCTION("""COMPUTED_VALUE"""),0.0)</f>
        <v>0</v>
      </c>
      <c r="AM1000" s="133">
        <f>IFERROR(__xludf.DUMMYFUNCTION("""COMPUTED_VALUE"""),3.0)</f>
        <v>3</v>
      </c>
      <c r="AN1000" s="133" t="str">
        <f>IFERROR(__xludf.DUMMYFUNCTION("""COMPUTED_VALUE"""),"2")</f>
        <v>2</v>
      </c>
      <c r="AO1000" s="133">
        <f>IFERROR(__xludf.DUMMYFUNCTION("""COMPUTED_VALUE"""),1.0)</f>
        <v>1</v>
      </c>
      <c r="AP1000" s="155" t="s">
        <v>3736</v>
      </c>
    </row>
    <row r="1001">
      <c r="A1001" s="155">
        <f>IFERROR(__xludf.DUMMYFUNCTION("""COMPUTED_VALUE"""),108.0)</f>
        <v>108</v>
      </c>
      <c r="B1001" s="155" t="str">
        <f>IFERROR(__xludf.DUMMYFUNCTION("""COMPUTED_VALUE"""),"mapr23ece@cmrit.ac.in")</f>
        <v>mapr23ece@cmrit.ac.in</v>
      </c>
      <c r="C1001" s="174" t="str">
        <f>IFERROR(__xludf.DUMMYFUNCTION("""COMPUTED_VALUE"""),"MADHAVA PRAVEEN RAO")</f>
        <v>MADHAVA PRAVEEN RAO</v>
      </c>
      <c r="D1001" s="155" t="str">
        <f>IFERROR(__xludf.DUMMYFUNCTION("""COMPUTED_VALUE"""),"1CR23EC109")</f>
        <v>1CR23EC109</v>
      </c>
      <c r="E1001" s="563">
        <f>IFERROR(__xludf.DUMMYFUNCTION("""COMPUTED_VALUE"""),7.76052505E9)</f>
        <v>7760525050</v>
      </c>
      <c r="F1001" s="155" t="str">
        <f>IFERROR(__xludf.DUMMYFUNCTION("""COMPUTED_VALUE"""),"ECE")</f>
        <v>ECE</v>
      </c>
      <c r="G1001" s="158"/>
      <c r="H1001" s="559">
        <f>IFERROR(__xludf.DUMMYFUNCTION("""COMPUTED_VALUE"""),92.0)</f>
        <v>92</v>
      </c>
      <c r="I1001" s="559">
        <f>IFERROR(__xludf.DUMMYFUNCTION("""COMPUTED_VALUE"""),85.0)</f>
        <v>85</v>
      </c>
      <c r="J1001" s="559">
        <f>IFERROR(__xludf.DUMMYFUNCTION("""COMPUTED_VALUE"""),90.0)</f>
        <v>90</v>
      </c>
      <c r="K1001" s="559">
        <f>IFERROR(__xludf.DUMMYFUNCTION("""COMPUTED_VALUE"""),84.0)</f>
        <v>84</v>
      </c>
      <c r="L1001" s="560">
        <f>IFERROR(__xludf.DUMMYFUNCTION("""COMPUTED_VALUE"""),50.0)</f>
        <v>50</v>
      </c>
      <c r="M1001" s="561">
        <f>IFERROR(__xludf.DUMMYFUNCTION("""COMPUTED_VALUE"""),26.0)</f>
        <v>26</v>
      </c>
      <c r="N1001" s="561">
        <f>IFERROR(__xludf.DUMMYFUNCTION("""COMPUTED_VALUE"""),51.0)</f>
        <v>51</v>
      </c>
      <c r="O1001" s="560"/>
      <c r="P1001" s="562">
        <f>IFERROR(__xludf.DUMMYFUNCTION("""COMPUTED_VALUE"""),73.0)</f>
        <v>73</v>
      </c>
      <c r="Q1001" s="562">
        <f>IFERROR(__xludf.DUMMYFUNCTION("""COMPUTED_VALUE"""),70.0)</f>
        <v>70</v>
      </c>
      <c r="R1001" s="562">
        <f>IFERROR(__xludf.DUMMYFUNCTION("""COMPUTED_VALUE"""),89.0)</f>
        <v>89</v>
      </c>
      <c r="S1001" s="562"/>
      <c r="T1001" s="217">
        <f>IFERROR(__xludf.DUMMYFUNCTION("""COMPUTED_VALUE"""),12.0)</f>
        <v>12</v>
      </c>
      <c r="U1001" s="217">
        <f>IFERROR(__xludf.DUMMYFUNCTION("""COMPUTED_VALUE"""),22.0)</f>
        <v>22</v>
      </c>
      <c r="V1001" s="217">
        <f>IFERROR(__xludf.DUMMYFUNCTION("""COMPUTED_VALUE"""),28.0)</f>
        <v>28</v>
      </c>
      <c r="W1001" s="217">
        <f>IFERROR(__xludf.DUMMYFUNCTION("""COMPUTED_VALUE"""),84.0)</f>
        <v>84</v>
      </c>
      <c r="X1001" s="217">
        <f>IFERROR(__xludf.DUMMYFUNCTION("""COMPUTED_VALUE"""),64.0)</f>
        <v>64</v>
      </c>
      <c r="Y1001" s="217"/>
      <c r="Z1001" s="217"/>
      <c r="AA1001" s="481">
        <f>IFERROR(__xludf.DUMMYFUNCTION("""COMPUTED_VALUE"""),78.0)</f>
        <v>78</v>
      </c>
      <c r="AB1001" s="481">
        <f>IFERROR(__xludf.DUMMYFUNCTION("""COMPUTED_VALUE"""),69.0)</f>
        <v>69</v>
      </c>
      <c r="AC1001" s="481">
        <f>IFERROR(__xludf.DUMMYFUNCTION("""COMPUTED_VALUE"""),100.0)</f>
        <v>100</v>
      </c>
      <c r="AD1001" s="481"/>
      <c r="AE1001" s="481">
        <f>IFERROR(__xludf.DUMMYFUNCTION("""COMPUTED_VALUE"""),70.0)</f>
        <v>70</v>
      </c>
      <c r="AF1001" s="481"/>
      <c r="AG1001" s="481">
        <f>IFERROR(__xludf.DUMMYFUNCTION("""COMPUTED_VALUE"""),76.0)</f>
        <v>76</v>
      </c>
      <c r="AH1001" s="481"/>
      <c r="AI1001" s="158"/>
      <c r="AJ1001" s="158"/>
      <c r="AK1001" s="133">
        <f>IFERROR(__xludf.DUMMYFUNCTION("""COMPUTED_VALUE"""),4.0)</f>
        <v>4</v>
      </c>
      <c r="AL1001" s="133">
        <f>IFERROR(__xludf.DUMMYFUNCTION("""COMPUTED_VALUE"""),1.0)</f>
        <v>1</v>
      </c>
      <c r="AM1001" s="133">
        <f>IFERROR(__xludf.DUMMYFUNCTION("""COMPUTED_VALUE"""),3.0)</f>
        <v>3</v>
      </c>
      <c r="AN1001" s="133" t="str">
        <f>IFERROR(__xludf.DUMMYFUNCTION("""COMPUTED_VALUE"""),"3.5")</f>
        <v>3.5</v>
      </c>
      <c r="AO1001" s="133">
        <f>IFERROR(__xludf.DUMMYFUNCTION("""COMPUTED_VALUE"""),3.0)</f>
        <v>3</v>
      </c>
      <c r="AP1001" s="155" t="s">
        <v>3736</v>
      </c>
    </row>
    <row r="1002">
      <c r="A1002" s="155">
        <f>IFERROR(__xludf.DUMMYFUNCTION("""COMPUTED_VALUE"""),109.0)</f>
        <v>109</v>
      </c>
      <c r="B1002" s="155" t="str">
        <f>IFERROR(__xludf.DUMMYFUNCTION("""COMPUTED_VALUE"""),"mah23ece@cmrit.ac.in")</f>
        <v>mah23ece@cmrit.ac.in</v>
      </c>
      <c r="C1002" s="174" t="str">
        <f>IFERROR(__xludf.DUMMYFUNCTION("""COMPUTED_VALUE"""),"MADHAVAN H")</f>
        <v>MADHAVAN H</v>
      </c>
      <c r="D1002" s="155" t="str">
        <f>IFERROR(__xludf.DUMMYFUNCTION("""COMPUTED_VALUE"""),"1CR23EC110")</f>
        <v>1CR23EC110</v>
      </c>
      <c r="E1002" s="563">
        <f>IFERROR(__xludf.DUMMYFUNCTION("""COMPUTED_VALUE"""),9.353041669E9)</f>
        <v>9353041669</v>
      </c>
      <c r="F1002" s="155" t="str">
        <f>IFERROR(__xludf.DUMMYFUNCTION("""COMPUTED_VALUE"""),"ECE")</f>
        <v>ECE</v>
      </c>
      <c r="G1002" s="158"/>
      <c r="H1002" s="559">
        <f>IFERROR(__xludf.DUMMYFUNCTION("""COMPUTED_VALUE"""),88.0)</f>
        <v>88</v>
      </c>
      <c r="I1002" s="559">
        <f>IFERROR(__xludf.DUMMYFUNCTION("""COMPUTED_VALUE"""),78.0)</f>
        <v>78</v>
      </c>
      <c r="J1002" s="559">
        <f>IFERROR(__xludf.DUMMYFUNCTION("""COMPUTED_VALUE"""),70.0)</f>
        <v>70</v>
      </c>
      <c r="K1002" s="559">
        <f>IFERROR(__xludf.DUMMYFUNCTION("""COMPUTED_VALUE"""),70.0)</f>
        <v>70</v>
      </c>
      <c r="L1002" s="560">
        <f>IFERROR(__xludf.DUMMYFUNCTION("""COMPUTED_VALUE"""),11.0)</f>
        <v>11</v>
      </c>
      <c r="M1002" s="561">
        <f>IFERROR(__xludf.DUMMYFUNCTION("""COMPUTED_VALUE"""),15.0)</f>
        <v>15</v>
      </c>
      <c r="N1002" s="561">
        <f>IFERROR(__xludf.DUMMYFUNCTION("""COMPUTED_VALUE"""),17.0)</f>
        <v>17</v>
      </c>
      <c r="O1002" s="560"/>
      <c r="P1002" s="562">
        <f>IFERROR(__xludf.DUMMYFUNCTION("""COMPUTED_VALUE"""),50.0)</f>
        <v>50</v>
      </c>
      <c r="Q1002" s="562">
        <f>IFERROR(__xludf.DUMMYFUNCTION("""COMPUTED_VALUE"""),70.0)</f>
        <v>70</v>
      </c>
      <c r="R1002" s="562">
        <f>IFERROR(__xludf.DUMMYFUNCTION("""COMPUTED_VALUE"""),69.0)</f>
        <v>69</v>
      </c>
      <c r="S1002" s="562"/>
      <c r="T1002" s="217">
        <f>IFERROR(__xludf.DUMMYFUNCTION("""COMPUTED_VALUE"""),20.0)</f>
        <v>20</v>
      </c>
      <c r="U1002" s="217">
        <f>IFERROR(__xludf.DUMMYFUNCTION("""COMPUTED_VALUE"""),21.0)</f>
        <v>21</v>
      </c>
      <c r="V1002" s="217">
        <f>IFERROR(__xludf.DUMMYFUNCTION("""COMPUTED_VALUE"""),30.0)</f>
        <v>30</v>
      </c>
      <c r="W1002" s="217">
        <f>IFERROR(__xludf.DUMMYFUNCTION("""COMPUTED_VALUE"""),80.0)</f>
        <v>80</v>
      </c>
      <c r="X1002" s="217">
        <f>IFERROR(__xludf.DUMMYFUNCTION("""COMPUTED_VALUE"""),78.0)</f>
        <v>78</v>
      </c>
      <c r="Y1002" s="217"/>
      <c r="Z1002" s="217"/>
      <c r="AA1002" s="481">
        <f>IFERROR(__xludf.DUMMYFUNCTION("""COMPUTED_VALUE"""),100.0)</f>
        <v>100</v>
      </c>
      <c r="AB1002" s="481">
        <f>IFERROR(__xludf.DUMMYFUNCTION("""COMPUTED_VALUE"""),100.0)</f>
        <v>100</v>
      </c>
      <c r="AC1002" s="481">
        <f>IFERROR(__xludf.DUMMYFUNCTION("""COMPUTED_VALUE"""),60.0)</f>
        <v>60</v>
      </c>
      <c r="AD1002" s="481"/>
      <c r="AE1002" s="481">
        <f>IFERROR(__xludf.DUMMYFUNCTION("""COMPUTED_VALUE"""),10.0)</f>
        <v>10</v>
      </c>
      <c r="AF1002" s="481"/>
      <c r="AG1002" s="481"/>
      <c r="AH1002" s="481">
        <f>IFERROR(__xludf.DUMMYFUNCTION("""COMPUTED_VALUE"""),38.0)</f>
        <v>38</v>
      </c>
      <c r="AI1002" s="158"/>
      <c r="AJ1002" s="158"/>
      <c r="AK1002" s="133">
        <f>IFERROR(__xludf.DUMMYFUNCTION("""COMPUTED_VALUE"""),4.0)</f>
        <v>4</v>
      </c>
      <c r="AL1002" s="133">
        <f>IFERROR(__xludf.DUMMYFUNCTION("""COMPUTED_VALUE"""),0.0)</f>
        <v>0</v>
      </c>
      <c r="AM1002" s="133">
        <f>IFERROR(__xludf.DUMMYFUNCTION("""COMPUTED_VALUE"""),3.0)</f>
        <v>3</v>
      </c>
      <c r="AN1002" s="133" t="str">
        <f>IFERROR(__xludf.DUMMYFUNCTION("""COMPUTED_VALUE"""),"3")</f>
        <v>3</v>
      </c>
      <c r="AO1002" s="133">
        <f>IFERROR(__xludf.DUMMYFUNCTION("""COMPUTED_VALUE"""),3.0)</f>
        <v>3</v>
      </c>
      <c r="AP1002" s="155" t="s">
        <v>3736</v>
      </c>
    </row>
    <row r="1003">
      <c r="A1003" s="155">
        <f>IFERROR(__xludf.DUMMYFUNCTION("""COMPUTED_VALUE"""),110.0)</f>
        <v>110</v>
      </c>
      <c r="B1003" s="155" t="str">
        <f>IFERROR(__xludf.DUMMYFUNCTION("""COMPUTED_VALUE"""),"mavi23ece@cmrit.ac.in")</f>
        <v>mavi23ece@cmrit.ac.in</v>
      </c>
      <c r="C1003" s="174" t="str">
        <f>IFERROR(__xludf.DUMMYFUNCTION("""COMPUTED_VALUE"""),"MAJJIGERE VINAYAKA")</f>
        <v>MAJJIGERE VINAYAKA</v>
      </c>
      <c r="D1003" s="155" t="str">
        <f>IFERROR(__xludf.DUMMYFUNCTION("""COMPUTED_VALUE"""),"1CR23EC112")</f>
        <v>1CR23EC112</v>
      </c>
      <c r="E1003" s="563">
        <f>IFERROR(__xludf.DUMMYFUNCTION("""COMPUTED_VALUE"""),9.740165994E9)</f>
        <v>9740165994</v>
      </c>
      <c r="F1003" s="155" t="str">
        <f>IFERROR(__xludf.DUMMYFUNCTION("""COMPUTED_VALUE"""),"ECE")</f>
        <v>ECE</v>
      </c>
      <c r="G1003" s="158"/>
      <c r="H1003" s="559">
        <f>IFERROR(__xludf.DUMMYFUNCTION("""COMPUTED_VALUE"""),70.0)</f>
        <v>70</v>
      </c>
      <c r="I1003" s="559">
        <f>IFERROR(__xludf.DUMMYFUNCTION("""COMPUTED_VALUE"""),76.0)</f>
        <v>76</v>
      </c>
      <c r="J1003" s="559">
        <f>IFERROR(__xludf.DUMMYFUNCTION("""COMPUTED_VALUE"""),39.0)</f>
        <v>39</v>
      </c>
      <c r="K1003" s="559">
        <f>IFERROR(__xludf.DUMMYFUNCTION("""COMPUTED_VALUE"""),29.0)</f>
        <v>29</v>
      </c>
      <c r="L1003" s="560">
        <f>IFERROR(__xludf.DUMMYFUNCTION("""COMPUTED_VALUE"""),44.0)</f>
        <v>44</v>
      </c>
      <c r="M1003" s="561">
        <f>IFERROR(__xludf.DUMMYFUNCTION("""COMPUTED_VALUE"""),8.0)</f>
        <v>8</v>
      </c>
      <c r="N1003" s="561">
        <f>IFERROR(__xludf.DUMMYFUNCTION("""COMPUTED_VALUE"""),0.0)</f>
        <v>0</v>
      </c>
      <c r="O1003" s="560"/>
      <c r="P1003" s="562">
        <f>IFERROR(__xludf.DUMMYFUNCTION("""COMPUTED_VALUE"""),73.0)</f>
        <v>73</v>
      </c>
      <c r="Q1003" s="562">
        <f>IFERROR(__xludf.DUMMYFUNCTION("""COMPUTED_VALUE"""),0.0)</f>
        <v>0</v>
      </c>
      <c r="R1003" s="562">
        <f>IFERROR(__xludf.DUMMYFUNCTION("""COMPUTED_VALUE"""),0.0)</f>
        <v>0</v>
      </c>
      <c r="S1003" s="562"/>
      <c r="T1003" s="217">
        <f>IFERROR(__xludf.DUMMYFUNCTION("""COMPUTED_VALUE"""),6.0)</f>
        <v>6</v>
      </c>
      <c r="U1003" s="217">
        <f>IFERROR(__xludf.DUMMYFUNCTION("""COMPUTED_VALUE"""),14.0)</f>
        <v>14</v>
      </c>
      <c r="V1003" s="217">
        <f>IFERROR(__xludf.DUMMYFUNCTION("""COMPUTED_VALUE"""),38.0)</f>
        <v>38</v>
      </c>
      <c r="W1003" s="217">
        <f>IFERROR(__xludf.DUMMYFUNCTION("""COMPUTED_VALUE"""),74.0)</f>
        <v>74</v>
      </c>
      <c r="X1003" s="217"/>
      <c r="Y1003" s="217"/>
      <c r="Z1003" s="217"/>
      <c r="AA1003" s="481">
        <f>IFERROR(__xludf.DUMMYFUNCTION("""COMPUTED_VALUE"""),0.0)</f>
        <v>0</v>
      </c>
      <c r="AB1003" s="481">
        <f>IFERROR(__xludf.DUMMYFUNCTION("""COMPUTED_VALUE"""),92.0)</f>
        <v>92</v>
      </c>
      <c r="AC1003" s="481">
        <f>IFERROR(__xludf.DUMMYFUNCTION("""COMPUTED_VALUE"""),0.0)</f>
        <v>0</v>
      </c>
      <c r="AD1003" s="481"/>
      <c r="AE1003" s="481">
        <f>IFERROR(__xludf.DUMMYFUNCTION("""COMPUTED_VALUE"""),10.0)</f>
        <v>10</v>
      </c>
      <c r="AF1003" s="481"/>
      <c r="AG1003" s="481"/>
      <c r="AH1003" s="481"/>
      <c r="AI1003" s="158"/>
      <c r="AJ1003" s="158"/>
      <c r="AK1003" s="133">
        <f>IFERROR(__xludf.DUMMYFUNCTION("""COMPUTED_VALUE"""),2.0)</f>
        <v>2</v>
      </c>
      <c r="AL1003" s="133">
        <f>IFERROR(__xludf.DUMMYFUNCTION("""COMPUTED_VALUE"""),0.0)</f>
        <v>0</v>
      </c>
      <c r="AM1003" s="133">
        <f>IFERROR(__xludf.DUMMYFUNCTION("""COMPUTED_VALUE"""),3.0)</f>
        <v>3</v>
      </c>
      <c r="AN1003" s="133" t="str">
        <f>IFERROR(__xludf.DUMMYFUNCTION("""COMPUTED_VALUE"""),"2")</f>
        <v>2</v>
      </c>
      <c r="AO1003" s="133">
        <f>IFERROR(__xludf.DUMMYFUNCTION("""COMPUTED_VALUE"""),1.0)</f>
        <v>1</v>
      </c>
      <c r="AP1003" s="155" t="s">
        <v>3736</v>
      </c>
    </row>
    <row r="1004">
      <c r="A1004" s="155">
        <f>IFERROR(__xludf.DUMMYFUNCTION("""COMPUTED_VALUE"""),111.0)</f>
        <v>111</v>
      </c>
      <c r="B1004" s="155" t="str">
        <f>IFERROR(__xludf.DUMMYFUNCTION("""COMPUTED_VALUE"""),"mam23ece@cmrit.ac.in")</f>
        <v>mam23ece@cmrit.ac.in</v>
      </c>
      <c r="C1004" s="174" t="str">
        <f>IFERROR(__xludf.DUMMYFUNCTION("""COMPUTED_VALUE"""),"MALLAPPA M")</f>
        <v>MALLAPPA M</v>
      </c>
      <c r="D1004" s="155" t="str">
        <f>IFERROR(__xludf.DUMMYFUNCTION("""COMPUTED_VALUE"""),"1CR23EC113")</f>
        <v>1CR23EC113</v>
      </c>
      <c r="E1004" s="563">
        <f>IFERROR(__xludf.DUMMYFUNCTION("""COMPUTED_VALUE"""),7.975477283E9)</f>
        <v>7975477283</v>
      </c>
      <c r="F1004" s="155" t="str">
        <f>IFERROR(__xludf.DUMMYFUNCTION("""COMPUTED_VALUE"""),"ECE")</f>
        <v>ECE</v>
      </c>
      <c r="G1004" s="158"/>
      <c r="H1004" s="559">
        <f>IFERROR(__xludf.DUMMYFUNCTION("""COMPUTED_VALUE"""),75.0)</f>
        <v>75</v>
      </c>
      <c r="I1004" s="559">
        <f>IFERROR(__xludf.DUMMYFUNCTION("""COMPUTED_VALUE"""),70.0)</f>
        <v>70</v>
      </c>
      <c r="J1004" s="559">
        <f>IFERROR(__xludf.DUMMYFUNCTION("""COMPUTED_VALUE"""),27.0)</f>
        <v>27</v>
      </c>
      <c r="K1004" s="559">
        <f>IFERROR(__xludf.DUMMYFUNCTION("""COMPUTED_VALUE"""),6.0)</f>
        <v>6</v>
      </c>
      <c r="L1004" s="560">
        <f>IFERROR(__xludf.DUMMYFUNCTION("""COMPUTED_VALUE"""),22.0)</f>
        <v>22</v>
      </c>
      <c r="M1004" s="561">
        <f>IFERROR(__xludf.DUMMYFUNCTION("""COMPUTED_VALUE"""),13.0)</f>
        <v>13</v>
      </c>
      <c r="N1004" s="561">
        <f>IFERROR(__xludf.DUMMYFUNCTION("""COMPUTED_VALUE"""),13.0)</f>
        <v>13</v>
      </c>
      <c r="O1004" s="560"/>
      <c r="P1004" s="562">
        <f>IFERROR(__xludf.DUMMYFUNCTION("""COMPUTED_VALUE"""),72.0)</f>
        <v>72</v>
      </c>
      <c r="Q1004" s="562">
        <f>IFERROR(__xludf.DUMMYFUNCTION("""COMPUTED_VALUE"""),0.0)</f>
        <v>0</v>
      </c>
      <c r="R1004" s="562">
        <f>IFERROR(__xludf.DUMMYFUNCTION("""COMPUTED_VALUE"""),0.0)</f>
        <v>0</v>
      </c>
      <c r="S1004" s="562"/>
      <c r="T1004" s="217">
        <f>IFERROR(__xludf.DUMMYFUNCTION("""COMPUTED_VALUE"""),16.0)</f>
        <v>16</v>
      </c>
      <c r="U1004" s="217">
        <f>IFERROR(__xludf.DUMMYFUNCTION("""COMPUTED_VALUE"""),18.0)</f>
        <v>18</v>
      </c>
      <c r="V1004" s="217">
        <f>IFERROR(__xludf.DUMMYFUNCTION("""COMPUTED_VALUE"""),42.0)</f>
        <v>42</v>
      </c>
      <c r="W1004" s="217"/>
      <c r="X1004" s="217">
        <f>IFERROR(__xludf.DUMMYFUNCTION("""COMPUTED_VALUE"""),64.0)</f>
        <v>64</v>
      </c>
      <c r="Y1004" s="217"/>
      <c r="Z1004" s="217"/>
      <c r="AA1004" s="481">
        <f>IFERROR(__xludf.DUMMYFUNCTION("""COMPUTED_VALUE"""),0.0)</f>
        <v>0</v>
      </c>
      <c r="AB1004" s="481">
        <f>IFERROR(__xludf.DUMMYFUNCTION("""COMPUTED_VALUE"""),58.0)</f>
        <v>58</v>
      </c>
      <c r="AC1004" s="481">
        <f>IFERROR(__xludf.DUMMYFUNCTION("""COMPUTED_VALUE"""),80.0)</f>
        <v>80</v>
      </c>
      <c r="AD1004" s="481"/>
      <c r="AE1004" s="481">
        <f>IFERROR(__xludf.DUMMYFUNCTION("""COMPUTED_VALUE"""),10.0)</f>
        <v>10</v>
      </c>
      <c r="AF1004" s="481"/>
      <c r="AG1004" s="481"/>
      <c r="AH1004" s="481"/>
      <c r="AI1004" s="158"/>
      <c r="AJ1004" s="158"/>
      <c r="AK1004" s="133">
        <f>IFERROR(__xludf.DUMMYFUNCTION("""COMPUTED_VALUE"""),2.0)</f>
        <v>2</v>
      </c>
      <c r="AL1004" s="133">
        <f>IFERROR(__xludf.DUMMYFUNCTION("""COMPUTED_VALUE"""),0.0)</f>
        <v>0</v>
      </c>
      <c r="AM1004" s="133">
        <f>IFERROR(__xludf.DUMMYFUNCTION("""COMPUTED_VALUE"""),2.0)</f>
        <v>2</v>
      </c>
      <c r="AN1004" s="133" t="str">
        <f>IFERROR(__xludf.DUMMYFUNCTION("""COMPUTED_VALUE"""),"3")</f>
        <v>3</v>
      </c>
      <c r="AO1004" s="133">
        <f>IFERROR(__xludf.DUMMYFUNCTION("""COMPUTED_VALUE"""),1.0)</f>
        <v>1</v>
      </c>
      <c r="AP1004" s="155" t="s">
        <v>3736</v>
      </c>
    </row>
    <row r="1005">
      <c r="A1005" s="155">
        <f>IFERROR(__xludf.DUMMYFUNCTION("""COMPUTED_VALUE"""),112.0)</f>
        <v>112</v>
      </c>
      <c r="B1005" s="155" t="str">
        <f>IFERROR(__xludf.DUMMYFUNCTION("""COMPUTED_VALUE"""),"mam23ece@cmrit.ac.in")</f>
        <v>mam23ece@cmrit.ac.in</v>
      </c>
      <c r="C1005" s="174" t="str">
        <f>IFERROR(__xludf.DUMMYFUNCTION("""COMPUTED_VALUE"""),"MANJUNATH.M")</f>
        <v>MANJUNATH.M</v>
      </c>
      <c r="D1005" s="155" t="str">
        <f>IFERROR(__xludf.DUMMYFUNCTION("""COMPUTED_VALUE"""),"1CR23EC115")</f>
        <v>1CR23EC115</v>
      </c>
      <c r="E1005" s="563">
        <f>IFERROR(__xludf.DUMMYFUNCTION("""COMPUTED_VALUE"""),9.019521059E9)</f>
        <v>9019521059</v>
      </c>
      <c r="F1005" s="155" t="str">
        <f>IFERROR(__xludf.DUMMYFUNCTION("""COMPUTED_VALUE"""),"ECE")</f>
        <v>ECE</v>
      </c>
      <c r="G1005" s="158"/>
      <c r="H1005" s="559">
        <f>IFERROR(__xludf.DUMMYFUNCTION("""COMPUTED_VALUE"""),81.0)</f>
        <v>81</v>
      </c>
      <c r="I1005" s="559">
        <f>IFERROR(__xludf.DUMMYFUNCTION("""COMPUTED_VALUE"""),82.0)</f>
        <v>82</v>
      </c>
      <c r="J1005" s="559">
        <f>IFERROR(__xludf.DUMMYFUNCTION("""COMPUTED_VALUE"""),70.0)</f>
        <v>70</v>
      </c>
      <c r="K1005" s="559">
        <f>IFERROR(__xludf.DUMMYFUNCTION("""COMPUTED_VALUE"""),70.0)</f>
        <v>70</v>
      </c>
      <c r="L1005" s="560">
        <f>IFERROR(__xludf.DUMMYFUNCTION("""COMPUTED_VALUE"""),50.0)</f>
        <v>50</v>
      </c>
      <c r="M1005" s="561">
        <f>IFERROR(__xludf.DUMMYFUNCTION("""COMPUTED_VALUE"""),50.0)</f>
        <v>50</v>
      </c>
      <c r="N1005" s="561">
        <f>IFERROR(__xludf.DUMMYFUNCTION("""COMPUTED_VALUE"""),13.0)</f>
        <v>13</v>
      </c>
      <c r="O1005" s="560"/>
      <c r="P1005" s="562">
        <f>IFERROR(__xludf.DUMMYFUNCTION("""COMPUTED_VALUE"""),72.0)</f>
        <v>72</v>
      </c>
      <c r="Q1005" s="562">
        <f>IFERROR(__xludf.DUMMYFUNCTION("""COMPUTED_VALUE"""),70.0)</f>
        <v>70</v>
      </c>
      <c r="R1005" s="562">
        <f>IFERROR(__xludf.DUMMYFUNCTION("""COMPUTED_VALUE"""),76.0)</f>
        <v>76</v>
      </c>
      <c r="S1005" s="562"/>
      <c r="T1005" s="217">
        <f>IFERROR(__xludf.DUMMYFUNCTION("""COMPUTED_VALUE"""),11.0)</f>
        <v>11</v>
      </c>
      <c r="U1005" s="217">
        <f>IFERROR(__xludf.DUMMYFUNCTION("""COMPUTED_VALUE"""),19.0)</f>
        <v>19</v>
      </c>
      <c r="V1005" s="217">
        <f>IFERROR(__xludf.DUMMYFUNCTION("""COMPUTED_VALUE"""),36.0)</f>
        <v>36</v>
      </c>
      <c r="W1005" s="217"/>
      <c r="X1005" s="217">
        <f>IFERROR(__xludf.DUMMYFUNCTION("""COMPUTED_VALUE"""),64.0)</f>
        <v>64</v>
      </c>
      <c r="Y1005" s="217"/>
      <c r="Z1005" s="217"/>
      <c r="AA1005" s="481">
        <f>IFERROR(__xludf.DUMMYFUNCTION("""COMPUTED_VALUE"""),16.4)</f>
        <v>16.4</v>
      </c>
      <c r="AB1005" s="481">
        <f>IFERROR(__xludf.DUMMYFUNCTION("""COMPUTED_VALUE"""),100.0)</f>
        <v>100</v>
      </c>
      <c r="AC1005" s="481">
        <f>IFERROR(__xludf.DUMMYFUNCTION("""COMPUTED_VALUE"""),100.0)</f>
        <v>100</v>
      </c>
      <c r="AD1005" s="481"/>
      <c r="AE1005" s="481">
        <f>IFERROR(__xludf.DUMMYFUNCTION("""COMPUTED_VALUE"""),70.0)</f>
        <v>70</v>
      </c>
      <c r="AF1005" s="481"/>
      <c r="AG1005" s="481"/>
      <c r="AH1005" s="481"/>
      <c r="AI1005" s="158"/>
      <c r="AJ1005" s="158"/>
      <c r="AK1005" s="133">
        <f>IFERROR(__xludf.DUMMYFUNCTION("""COMPUTED_VALUE"""),4.0)</f>
        <v>4</v>
      </c>
      <c r="AL1005" s="133">
        <f>IFERROR(__xludf.DUMMYFUNCTION("""COMPUTED_VALUE"""),2.0)</f>
        <v>2</v>
      </c>
      <c r="AM1005" s="133">
        <f>IFERROR(__xludf.DUMMYFUNCTION("""COMPUTED_VALUE"""),2.0)</f>
        <v>2</v>
      </c>
      <c r="AN1005" s="133" t="str">
        <f>IFERROR(__xludf.DUMMYFUNCTION("""COMPUTED_VALUE"""),"3.5")</f>
        <v>3.5</v>
      </c>
      <c r="AO1005" s="133">
        <f>IFERROR(__xludf.DUMMYFUNCTION("""COMPUTED_VALUE"""),3.0)</f>
        <v>3</v>
      </c>
      <c r="AP1005" s="155" t="s">
        <v>3736</v>
      </c>
    </row>
    <row r="1006">
      <c r="A1006" s="155">
        <f>IFERROR(__xludf.DUMMYFUNCTION("""COMPUTED_VALUE"""),113.0)</f>
        <v>113</v>
      </c>
      <c r="B1006" s="155" t="str">
        <f>IFERROR(__xludf.DUMMYFUNCTION("""COMPUTED_VALUE"""),"makh23ece@cmrit.ac.in")</f>
        <v>makh23ece@cmrit.ac.in</v>
      </c>
      <c r="C1006" s="174" t="str">
        <f>IFERROR(__xludf.DUMMYFUNCTION("""COMPUTED_VALUE"""),"MANOJ N KHATRI")</f>
        <v>MANOJ N KHATRI</v>
      </c>
      <c r="D1006" s="155" t="str">
        <f>IFERROR(__xludf.DUMMYFUNCTION("""COMPUTED_VALUE"""),"1CR23EC116")</f>
        <v>1CR23EC116</v>
      </c>
      <c r="E1006" s="563">
        <f>IFERROR(__xludf.DUMMYFUNCTION("""COMPUTED_VALUE"""),6.36603122E9)</f>
        <v>6366031220</v>
      </c>
      <c r="F1006" s="155" t="str">
        <f>IFERROR(__xludf.DUMMYFUNCTION("""COMPUTED_VALUE"""),"ECE")</f>
        <v>ECE</v>
      </c>
      <c r="G1006" s="158"/>
      <c r="H1006" s="559">
        <f>IFERROR(__xludf.DUMMYFUNCTION("""COMPUTED_VALUE"""),86.0)</f>
        <v>86</v>
      </c>
      <c r="I1006" s="559">
        <f>IFERROR(__xludf.DUMMYFUNCTION("""COMPUTED_VALUE"""),85.0)</f>
        <v>85</v>
      </c>
      <c r="J1006" s="559">
        <f>IFERROR(__xludf.DUMMYFUNCTION("""COMPUTED_VALUE"""),70.0)</f>
        <v>70</v>
      </c>
      <c r="K1006" s="559">
        <f>IFERROR(__xludf.DUMMYFUNCTION("""COMPUTED_VALUE"""),70.0)</f>
        <v>70</v>
      </c>
      <c r="L1006" s="560">
        <f>IFERROR(__xludf.DUMMYFUNCTION("""COMPUTED_VALUE"""),50.0)</f>
        <v>50</v>
      </c>
      <c r="M1006" s="561">
        <f>IFERROR(__xludf.DUMMYFUNCTION("""COMPUTED_VALUE"""),8.0)</f>
        <v>8</v>
      </c>
      <c r="N1006" s="561">
        <f>IFERROR(__xludf.DUMMYFUNCTION("""COMPUTED_VALUE"""),8.0)</f>
        <v>8</v>
      </c>
      <c r="O1006" s="560"/>
      <c r="P1006" s="562">
        <f>IFERROR(__xludf.DUMMYFUNCTION("""COMPUTED_VALUE"""),79.0)</f>
        <v>79</v>
      </c>
      <c r="Q1006" s="562">
        <f>IFERROR(__xludf.DUMMYFUNCTION("""COMPUTED_VALUE"""),70.0)</f>
        <v>70</v>
      </c>
      <c r="R1006" s="562">
        <f>IFERROR(__xludf.DUMMYFUNCTION("""COMPUTED_VALUE"""),87.0)</f>
        <v>87</v>
      </c>
      <c r="S1006" s="562"/>
      <c r="T1006" s="217">
        <f>IFERROR(__xludf.DUMMYFUNCTION("""COMPUTED_VALUE"""),12.0)</f>
        <v>12</v>
      </c>
      <c r="U1006" s="217">
        <f>IFERROR(__xludf.DUMMYFUNCTION("""COMPUTED_VALUE"""),18.0)</f>
        <v>18</v>
      </c>
      <c r="V1006" s="217">
        <f>IFERROR(__xludf.DUMMYFUNCTION("""COMPUTED_VALUE"""),24.0)</f>
        <v>24</v>
      </c>
      <c r="W1006" s="217">
        <f>IFERROR(__xludf.DUMMYFUNCTION("""COMPUTED_VALUE"""),76.0)</f>
        <v>76</v>
      </c>
      <c r="X1006" s="217">
        <f>IFERROR(__xludf.DUMMYFUNCTION("""COMPUTED_VALUE"""),74.0)</f>
        <v>74</v>
      </c>
      <c r="Y1006" s="217"/>
      <c r="Z1006" s="217"/>
      <c r="AA1006" s="481">
        <f>IFERROR(__xludf.DUMMYFUNCTION("""COMPUTED_VALUE"""),87.4)</f>
        <v>87.4</v>
      </c>
      <c r="AB1006" s="481">
        <f>IFERROR(__xludf.DUMMYFUNCTION("""COMPUTED_VALUE"""),82.0)</f>
        <v>82</v>
      </c>
      <c r="AC1006" s="481">
        <f>IFERROR(__xludf.DUMMYFUNCTION("""COMPUTED_VALUE"""),100.0)</f>
        <v>100</v>
      </c>
      <c r="AD1006" s="481"/>
      <c r="AE1006" s="481">
        <f>IFERROR(__xludf.DUMMYFUNCTION("""COMPUTED_VALUE"""),75.0)</f>
        <v>75</v>
      </c>
      <c r="AF1006" s="481"/>
      <c r="AG1006" s="481"/>
      <c r="AH1006" s="481">
        <f>IFERROR(__xludf.DUMMYFUNCTION("""COMPUTED_VALUE"""),81.0)</f>
        <v>81</v>
      </c>
      <c r="AI1006" s="158"/>
      <c r="AJ1006" s="158"/>
      <c r="AK1006" s="133">
        <f>IFERROR(__xludf.DUMMYFUNCTION("""COMPUTED_VALUE"""),4.0)</f>
        <v>4</v>
      </c>
      <c r="AL1006" s="133">
        <f>IFERROR(__xludf.DUMMYFUNCTION("""COMPUTED_VALUE"""),1.0)</f>
        <v>1</v>
      </c>
      <c r="AM1006" s="133">
        <f>IFERROR(__xludf.DUMMYFUNCTION("""COMPUTED_VALUE"""),3.0)</f>
        <v>3</v>
      </c>
      <c r="AN1006" s="133" t="str">
        <f>IFERROR(__xludf.DUMMYFUNCTION("""COMPUTED_VALUE"""),"3.5")</f>
        <v>3.5</v>
      </c>
      <c r="AO1006" s="133">
        <f>IFERROR(__xludf.DUMMYFUNCTION("""COMPUTED_VALUE"""),3.0)</f>
        <v>3</v>
      </c>
      <c r="AP1006" s="155" t="s">
        <v>3736</v>
      </c>
    </row>
    <row r="1007">
      <c r="A1007" s="155">
        <f>IFERROR(__xludf.DUMMYFUNCTION("""COMPUTED_VALUE"""),114.0)</f>
        <v>114</v>
      </c>
      <c r="B1007" s="155" t="str">
        <f>IFERROR(__xludf.DUMMYFUNCTION("""COMPUTED_VALUE"""),"masu23ece@cmrit.ac.in")</f>
        <v>masu23ece@cmrit.ac.in</v>
      </c>
      <c r="C1007" s="174" t="str">
        <f>IFERROR(__xludf.DUMMYFUNCTION("""COMPUTED_VALUE"""),"MANU SUKARNA G")</f>
        <v>MANU SUKARNA G</v>
      </c>
      <c r="D1007" s="155" t="str">
        <f>IFERROR(__xludf.DUMMYFUNCTION("""COMPUTED_VALUE"""),"1CR23EC117")</f>
        <v>1CR23EC117</v>
      </c>
      <c r="E1007" s="563">
        <f>IFERROR(__xludf.DUMMYFUNCTION("""COMPUTED_VALUE"""),7.892439692E9)</f>
        <v>7892439692</v>
      </c>
      <c r="F1007" s="155" t="str">
        <f>IFERROR(__xludf.DUMMYFUNCTION("""COMPUTED_VALUE"""),"ECE")</f>
        <v>ECE</v>
      </c>
      <c r="G1007" s="158"/>
      <c r="H1007" s="559">
        <f>IFERROR(__xludf.DUMMYFUNCTION("""COMPUTED_VALUE"""),74.0)</f>
        <v>74</v>
      </c>
      <c r="I1007" s="559">
        <f>IFERROR(__xludf.DUMMYFUNCTION("""COMPUTED_VALUE"""),76.0)</f>
        <v>76</v>
      </c>
      <c r="J1007" s="559">
        <f>IFERROR(__xludf.DUMMYFUNCTION("""COMPUTED_VALUE"""),13.0)</f>
        <v>13</v>
      </c>
      <c r="K1007" s="559">
        <f>IFERROR(__xludf.DUMMYFUNCTION("""COMPUTED_VALUE"""),70.0)</f>
        <v>70</v>
      </c>
      <c r="L1007" s="560">
        <f>IFERROR(__xludf.DUMMYFUNCTION("""COMPUTED_VALUE"""),5.0)</f>
        <v>5</v>
      </c>
      <c r="M1007" s="561">
        <f>IFERROR(__xludf.DUMMYFUNCTION("""COMPUTED_VALUE"""),0.0)</f>
        <v>0</v>
      </c>
      <c r="N1007" s="561">
        <f>IFERROR(__xludf.DUMMYFUNCTION("""COMPUTED_VALUE"""),0.0)</f>
        <v>0</v>
      </c>
      <c r="O1007" s="560"/>
      <c r="P1007" s="562">
        <f>IFERROR(__xludf.DUMMYFUNCTION("""COMPUTED_VALUE"""),0.0)</f>
        <v>0</v>
      </c>
      <c r="Q1007" s="562">
        <f>IFERROR(__xludf.DUMMYFUNCTION("""COMPUTED_VALUE"""),0.0)</f>
        <v>0</v>
      </c>
      <c r="R1007" s="562">
        <f>IFERROR(__xludf.DUMMYFUNCTION("""COMPUTED_VALUE"""),0.0)</f>
        <v>0</v>
      </c>
      <c r="S1007" s="562"/>
      <c r="T1007" s="217">
        <f>IFERROR(__xludf.DUMMYFUNCTION("""COMPUTED_VALUE"""),13.0)</f>
        <v>13</v>
      </c>
      <c r="U1007" s="217">
        <f>IFERROR(__xludf.DUMMYFUNCTION("""COMPUTED_VALUE"""),4.0)</f>
        <v>4</v>
      </c>
      <c r="V1007" s="217">
        <f>IFERROR(__xludf.DUMMYFUNCTION("""COMPUTED_VALUE"""),0.0)</f>
        <v>0</v>
      </c>
      <c r="W1007" s="217"/>
      <c r="X1007" s="217"/>
      <c r="Y1007" s="217"/>
      <c r="Z1007" s="217"/>
      <c r="AA1007" s="481">
        <f>IFERROR(__xludf.DUMMYFUNCTION("""COMPUTED_VALUE"""),0.0)</f>
        <v>0</v>
      </c>
      <c r="AB1007" s="481">
        <f>IFERROR(__xludf.DUMMYFUNCTION("""COMPUTED_VALUE"""),29.0)</f>
        <v>29</v>
      </c>
      <c r="AC1007" s="481">
        <f>IFERROR(__xludf.DUMMYFUNCTION("""COMPUTED_VALUE"""),0.0)</f>
        <v>0</v>
      </c>
      <c r="AD1007" s="481"/>
      <c r="AE1007" s="481">
        <f>IFERROR(__xludf.DUMMYFUNCTION("""COMPUTED_VALUE"""),10.0)</f>
        <v>10</v>
      </c>
      <c r="AF1007" s="481"/>
      <c r="AG1007" s="481"/>
      <c r="AH1007" s="481"/>
      <c r="AI1007" s="158"/>
      <c r="AJ1007" s="158"/>
      <c r="AK1007" s="133">
        <f>IFERROR(__xludf.DUMMYFUNCTION("""COMPUTED_VALUE"""),2.0)</f>
        <v>2</v>
      </c>
      <c r="AL1007" s="133">
        <f>IFERROR(__xludf.DUMMYFUNCTION("""COMPUTED_VALUE"""),0.0)</f>
        <v>0</v>
      </c>
      <c r="AM1007" s="133">
        <f>IFERROR(__xludf.DUMMYFUNCTION("""COMPUTED_VALUE"""),0.0)</f>
        <v>0</v>
      </c>
      <c r="AN1007" s="133" t="str">
        <f>IFERROR(__xludf.DUMMYFUNCTION("""COMPUTED_VALUE"""),"0")</f>
        <v>0</v>
      </c>
      <c r="AO1007" s="133">
        <f>IFERROR(__xludf.DUMMYFUNCTION("""COMPUTED_VALUE"""),0.0)</f>
        <v>0</v>
      </c>
      <c r="AP1007" s="155" t="s">
        <v>3736</v>
      </c>
    </row>
    <row r="1008">
      <c r="A1008" s="155">
        <f>IFERROR(__xludf.DUMMYFUNCTION("""COMPUTED_VALUE"""),115.0)</f>
        <v>115</v>
      </c>
      <c r="B1008" s="155" t="str">
        <f>IFERROR(__xludf.DUMMYFUNCTION("""COMPUTED_VALUE"""),"mdal23ece@cmrit.ac.in")</f>
        <v>mdal23ece@cmrit.ac.in</v>
      </c>
      <c r="C1008" s="174" t="str">
        <f>IFERROR(__xludf.DUMMYFUNCTION("""COMPUTED_VALUE"""),"Md Altaf")</f>
        <v>Md Altaf</v>
      </c>
      <c r="D1008" s="155" t="str">
        <f>IFERROR(__xludf.DUMMYFUNCTION("""COMPUTED_VALUE"""),"1CR23EC118")</f>
        <v>1CR23EC118</v>
      </c>
      <c r="E1008" s="563">
        <f>IFERROR(__xludf.DUMMYFUNCTION("""COMPUTED_VALUE"""),6.363240094E9)</f>
        <v>6363240094</v>
      </c>
      <c r="F1008" s="155" t="str">
        <f>IFERROR(__xludf.DUMMYFUNCTION("""COMPUTED_VALUE"""),"ECE")</f>
        <v>ECE</v>
      </c>
      <c r="G1008" s="158"/>
      <c r="H1008" s="559">
        <f>IFERROR(__xludf.DUMMYFUNCTION("""COMPUTED_VALUE"""),81.0)</f>
        <v>81</v>
      </c>
      <c r="I1008" s="559">
        <f>IFERROR(__xludf.DUMMYFUNCTION("""COMPUTED_VALUE"""),84.0)</f>
        <v>84</v>
      </c>
      <c r="J1008" s="559">
        <f>IFERROR(__xludf.DUMMYFUNCTION("""COMPUTED_VALUE"""),32.0)</f>
        <v>32</v>
      </c>
      <c r="K1008" s="559">
        <f>IFERROR(__xludf.DUMMYFUNCTION("""COMPUTED_VALUE"""),70.0)</f>
        <v>70</v>
      </c>
      <c r="L1008" s="560">
        <f>IFERROR(__xludf.DUMMYFUNCTION("""COMPUTED_VALUE"""),17.0)</f>
        <v>17</v>
      </c>
      <c r="M1008" s="561">
        <f>IFERROR(__xludf.DUMMYFUNCTION("""COMPUTED_VALUE"""),0.0)</f>
        <v>0</v>
      </c>
      <c r="N1008" s="561">
        <f>IFERROR(__xludf.DUMMYFUNCTION("""COMPUTED_VALUE"""),0.0)</f>
        <v>0</v>
      </c>
      <c r="O1008" s="560"/>
      <c r="P1008" s="562">
        <f>IFERROR(__xludf.DUMMYFUNCTION("""COMPUTED_VALUE"""),0.0)</f>
        <v>0</v>
      </c>
      <c r="Q1008" s="562">
        <f>IFERROR(__xludf.DUMMYFUNCTION("""COMPUTED_VALUE"""),0.0)</f>
        <v>0</v>
      </c>
      <c r="R1008" s="562">
        <f>IFERROR(__xludf.DUMMYFUNCTION("""COMPUTED_VALUE"""),0.0)</f>
        <v>0</v>
      </c>
      <c r="S1008" s="562"/>
      <c r="T1008" s="217">
        <f>IFERROR(__xludf.DUMMYFUNCTION("""COMPUTED_VALUE"""),18.0)</f>
        <v>18</v>
      </c>
      <c r="U1008" s="217">
        <f>IFERROR(__xludf.DUMMYFUNCTION("""COMPUTED_VALUE"""),20.0)</f>
        <v>20</v>
      </c>
      <c r="V1008" s="217">
        <f>IFERROR(__xludf.DUMMYFUNCTION("""COMPUTED_VALUE"""),30.0)</f>
        <v>30</v>
      </c>
      <c r="W1008" s="217">
        <f>IFERROR(__xludf.DUMMYFUNCTION("""COMPUTED_VALUE"""),66.0)</f>
        <v>66</v>
      </c>
      <c r="X1008" s="217">
        <f>IFERROR(__xludf.DUMMYFUNCTION("""COMPUTED_VALUE"""),68.0)</f>
        <v>68</v>
      </c>
      <c r="Y1008" s="217"/>
      <c r="Z1008" s="217"/>
      <c r="AA1008" s="481">
        <f>IFERROR(__xludf.DUMMYFUNCTION("""COMPUTED_VALUE"""),4.0)</f>
        <v>4</v>
      </c>
      <c r="AB1008" s="481">
        <f>IFERROR(__xludf.DUMMYFUNCTION("""COMPUTED_VALUE"""),29.0)</f>
        <v>29</v>
      </c>
      <c r="AC1008" s="481">
        <f>IFERROR(__xludf.DUMMYFUNCTION("""COMPUTED_VALUE"""),0.0)</f>
        <v>0</v>
      </c>
      <c r="AD1008" s="481"/>
      <c r="AE1008" s="481">
        <f>IFERROR(__xludf.DUMMYFUNCTION("""COMPUTED_VALUE"""),10.0)</f>
        <v>10</v>
      </c>
      <c r="AF1008" s="481"/>
      <c r="AG1008" s="481"/>
      <c r="AH1008" s="481"/>
      <c r="AI1008" s="158"/>
      <c r="AJ1008" s="158"/>
      <c r="AK1008" s="133">
        <f>IFERROR(__xludf.DUMMYFUNCTION("""COMPUTED_VALUE"""),2.0)</f>
        <v>2</v>
      </c>
      <c r="AL1008" s="133">
        <f>IFERROR(__xludf.DUMMYFUNCTION("""COMPUTED_VALUE"""),0.0)</f>
        <v>0</v>
      </c>
      <c r="AM1008" s="133">
        <f>IFERROR(__xludf.DUMMYFUNCTION("""COMPUTED_VALUE"""),3.0)</f>
        <v>3</v>
      </c>
      <c r="AN1008" s="133" t="str">
        <f>IFERROR(__xludf.DUMMYFUNCTION("""COMPUTED_VALUE"""),"0")</f>
        <v>0</v>
      </c>
      <c r="AO1008" s="133">
        <f>IFERROR(__xludf.DUMMYFUNCTION("""COMPUTED_VALUE"""),0.0)</f>
        <v>0</v>
      </c>
      <c r="AP1008" s="155" t="s">
        <v>3736</v>
      </c>
    </row>
    <row r="1009">
      <c r="A1009" s="155">
        <f>IFERROR(__xludf.DUMMYFUNCTION("""COMPUTED_VALUE"""),116.0)</f>
        <v>116</v>
      </c>
      <c r="B1009" s="155" t="str">
        <f>IFERROR(__xludf.DUMMYFUNCTION("""COMPUTED_VALUE"""),"mdsa23ece@cmrit.ac.in")</f>
        <v>mdsa23ece@cmrit.ac.in</v>
      </c>
      <c r="C1009" s="174" t="str">
        <f>IFERROR(__xludf.DUMMYFUNCTION("""COMPUTED_VALUE"""),"MD SAHID MODI")</f>
        <v>MD SAHID MODI</v>
      </c>
      <c r="D1009" s="155" t="str">
        <f>IFERROR(__xludf.DUMMYFUNCTION("""COMPUTED_VALUE"""),"1CR23EC119")</f>
        <v>1CR23EC119</v>
      </c>
      <c r="E1009" s="563">
        <f>IFERROR(__xludf.DUMMYFUNCTION("""COMPUTED_VALUE"""),8.431640361E9)</f>
        <v>8431640361</v>
      </c>
      <c r="F1009" s="155" t="str">
        <f>IFERROR(__xludf.DUMMYFUNCTION("""COMPUTED_VALUE"""),"ECE")</f>
        <v>ECE</v>
      </c>
      <c r="G1009" s="158"/>
      <c r="H1009" s="559">
        <f>IFERROR(__xludf.DUMMYFUNCTION("""COMPUTED_VALUE"""),83.0)</f>
        <v>83</v>
      </c>
      <c r="I1009" s="559">
        <f>IFERROR(__xludf.DUMMYFUNCTION("""COMPUTED_VALUE"""),76.0)</f>
        <v>76</v>
      </c>
      <c r="J1009" s="559">
        <f>IFERROR(__xludf.DUMMYFUNCTION("""COMPUTED_VALUE"""),45.0)</f>
        <v>45</v>
      </c>
      <c r="K1009" s="559">
        <f>IFERROR(__xludf.DUMMYFUNCTION("""COMPUTED_VALUE"""),20.0)</f>
        <v>20</v>
      </c>
      <c r="L1009" s="560">
        <f>IFERROR(__xludf.DUMMYFUNCTION("""COMPUTED_VALUE"""),24.0)</f>
        <v>24</v>
      </c>
      <c r="M1009" s="561">
        <f>IFERROR(__xludf.DUMMYFUNCTION("""COMPUTED_VALUE"""),10.0)</f>
        <v>10</v>
      </c>
      <c r="N1009" s="561">
        <f>IFERROR(__xludf.DUMMYFUNCTION("""COMPUTED_VALUE"""),0.0)</f>
        <v>0</v>
      </c>
      <c r="O1009" s="560"/>
      <c r="P1009" s="562">
        <f>IFERROR(__xludf.DUMMYFUNCTION("""COMPUTED_VALUE"""),79.0)</f>
        <v>79</v>
      </c>
      <c r="Q1009" s="562">
        <f>IFERROR(__xludf.DUMMYFUNCTION("""COMPUTED_VALUE"""),0.0)</f>
        <v>0</v>
      </c>
      <c r="R1009" s="562">
        <f>IFERROR(__xludf.DUMMYFUNCTION("""COMPUTED_VALUE"""),0.0)</f>
        <v>0</v>
      </c>
      <c r="S1009" s="562"/>
      <c r="T1009" s="217">
        <f>IFERROR(__xludf.DUMMYFUNCTION("""COMPUTED_VALUE"""),14.0)</f>
        <v>14</v>
      </c>
      <c r="U1009" s="217">
        <f>IFERROR(__xludf.DUMMYFUNCTION("""COMPUTED_VALUE"""),12.0)</f>
        <v>12</v>
      </c>
      <c r="V1009" s="217">
        <f>IFERROR(__xludf.DUMMYFUNCTION("""COMPUTED_VALUE"""),0.0)</f>
        <v>0</v>
      </c>
      <c r="W1009" s="217">
        <f>IFERROR(__xludf.DUMMYFUNCTION("""COMPUTED_VALUE"""),76.0)</f>
        <v>76</v>
      </c>
      <c r="X1009" s="217"/>
      <c r="Y1009" s="217"/>
      <c r="Z1009" s="217"/>
      <c r="AA1009" s="481">
        <f>IFERROR(__xludf.DUMMYFUNCTION("""COMPUTED_VALUE"""),0.0)</f>
        <v>0</v>
      </c>
      <c r="AB1009" s="481">
        <f>IFERROR(__xludf.DUMMYFUNCTION("""COMPUTED_VALUE"""),63.0)</f>
        <v>63</v>
      </c>
      <c r="AC1009" s="481">
        <f>IFERROR(__xludf.DUMMYFUNCTION("""COMPUTED_VALUE"""),0.0)</f>
        <v>0</v>
      </c>
      <c r="AD1009" s="481"/>
      <c r="AE1009" s="481">
        <f>IFERROR(__xludf.DUMMYFUNCTION("""COMPUTED_VALUE"""),10.0)</f>
        <v>10</v>
      </c>
      <c r="AF1009" s="481"/>
      <c r="AG1009" s="481"/>
      <c r="AH1009" s="481">
        <f>IFERROR(__xludf.DUMMYFUNCTION("""COMPUTED_VALUE"""),0.0)</f>
        <v>0</v>
      </c>
      <c r="AI1009" s="158"/>
      <c r="AJ1009" s="158"/>
      <c r="AK1009" s="133">
        <f>IFERROR(__xludf.DUMMYFUNCTION("""COMPUTED_VALUE"""),2.0)</f>
        <v>2</v>
      </c>
      <c r="AL1009" s="133">
        <f>IFERROR(__xludf.DUMMYFUNCTION("""COMPUTED_VALUE"""),0.0)</f>
        <v>0</v>
      </c>
      <c r="AM1009" s="133">
        <f>IFERROR(__xludf.DUMMYFUNCTION("""COMPUTED_VALUE"""),3.0)</f>
        <v>3</v>
      </c>
      <c r="AN1009" s="133" t="str">
        <f>IFERROR(__xludf.DUMMYFUNCTION("""COMPUTED_VALUE"""),"2")</f>
        <v>2</v>
      </c>
      <c r="AO1009" s="133">
        <f>IFERROR(__xludf.DUMMYFUNCTION("""COMPUTED_VALUE"""),1.0)</f>
        <v>1</v>
      </c>
      <c r="AP1009" s="155" t="s">
        <v>3736</v>
      </c>
    </row>
    <row r="1010">
      <c r="A1010" s="155">
        <f>IFERROR(__xludf.DUMMYFUNCTION("""COMPUTED_VALUE"""),117.0)</f>
        <v>117</v>
      </c>
      <c r="B1010" s="155" t="str">
        <f>IFERROR(__xludf.DUMMYFUNCTION("""COMPUTED_VALUE"""),"miko23ece@cmrit.ac.in")</f>
        <v>miko23ece@cmrit.ac.in</v>
      </c>
      <c r="C1010" s="174" t="str">
        <f>IFERROR(__xludf.DUMMYFUNCTION("""COMPUTED_VALUE"""),"MITHIL R KOKANE")</f>
        <v>MITHIL R KOKANE</v>
      </c>
      <c r="D1010" s="155" t="str">
        <f>IFERROR(__xludf.DUMMYFUNCTION("""COMPUTED_VALUE"""),"1CR23EC120")</f>
        <v>1CR23EC120</v>
      </c>
      <c r="E1010" s="563">
        <f>IFERROR(__xludf.DUMMYFUNCTION("""COMPUTED_VALUE"""),7.483167279E9)</f>
        <v>7483167279</v>
      </c>
      <c r="F1010" s="155" t="str">
        <f>IFERROR(__xludf.DUMMYFUNCTION("""COMPUTED_VALUE"""),"ECE")</f>
        <v>ECE</v>
      </c>
      <c r="G1010" s="158"/>
      <c r="H1010" s="559">
        <f>IFERROR(__xludf.DUMMYFUNCTION("""COMPUTED_VALUE"""),82.0)</f>
        <v>82</v>
      </c>
      <c r="I1010" s="559">
        <f>IFERROR(__xludf.DUMMYFUNCTION("""COMPUTED_VALUE"""),81.0)</f>
        <v>81</v>
      </c>
      <c r="J1010" s="559">
        <f>IFERROR(__xludf.DUMMYFUNCTION("""COMPUTED_VALUE"""),70.0)</f>
        <v>70</v>
      </c>
      <c r="K1010" s="559">
        <f>IFERROR(__xludf.DUMMYFUNCTION("""COMPUTED_VALUE"""),76.0)</f>
        <v>76</v>
      </c>
      <c r="L1010" s="560">
        <f>IFERROR(__xludf.DUMMYFUNCTION("""COMPUTED_VALUE"""),50.0)</f>
        <v>50</v>
      </c>
      <c r="M1010" s="561">
        <f>IFERROR(__xludf.DUMMYFUNCTION("""COMPUTED_VALUE"""),50.0)</f>
        <v>50</v>
      </c>
      <c r="N1010" s="561">
        <f>IFERROR(__xludf.DUMMYFUNCTION("""COMPUTED_VALUE"""),64.0)</f>
        <v>64</v>
      </c>
      <c r="O1010" s="560"/>
      <c r="P1010" s="562">
        <f>IFERROR(__xludf.DUMMYFUNCTION("""COMPUTED_VALUE"""),75.0)</f>
        <v>75</v>
      </c>
      <c r="Q1010" s="562">
        <f>IFERROR(__xludf.DUMMYFUNCTION("""COMPUTED_VALUE"""),65.0)</f>
        <v>65</v>
      </c>
      <c r="R1010" s="562">
        <f>IFERROR(__xludf.DUMMYFUNCTION("""COMPUTED_VALUE"""),87.0)</f>
        <v>87</v>
      </c>
      <c r="S1010" s="562"/>
      <c r="T1010" s="217">
        <f>IFERROR(__xludf.DUMMYFUNCTION("""COMPUTED_VALUE"""),16.0)</f>
        <v>16</v>
      </c>
      <c r="U1010" s="217">
        <f>IFERROR(__xludf.DUMMYFUNCTION("""COMPUTED_VALUE"""),22.0)</f>
        <v>22</v>
      </c>
      <c r="V1010" s="217">
        <f>IFERROR(__xludf.DUMMYFUNCTION("""COMPUTED_VALUE"""),64.0)</f>
        <v>64</v>
      </c>
      <c r="W1010" s="217">
        <f>IFERROR(__xludf.DUMMYFUNCTION("""COMPUTED_VALUE"""),74.0)</f>
        <v>74</v>
      </c>
      <c r="X1010" s="217">
        <f>IFERROR(__xludf.DUMMYFUNCTION("""COMPUTED_VALUE"""),64.0)</f>
        <v>64</v>
      </c>
      <c r="Y1010" s="217"/>
      <c r="Z1010" s="217"/>
      <c r="AA1010" s="481">
        <f>IFERROR(__xludf.DUMMYFUNCTION("""COMPUTED_VALUE"""),100.0)</f>
        <v>100</v>
      </c>
      <c r="AB1010" s="481">
        <f>IFERROR(__xludf.DUMMYFUNCTION("""COMPUTED_VALUE"""),100.0)</f>
        <v>100</v>
      </c>
      <c r="AC1010" s="481">
        <f>IFERROR(__xludf.DUMMYFUNCTION("""COMPUTED_VALUE"""),100.0)</f>
        <v>100</v>
      </c>
      <c r="AD1010" s="481"/>
      <c r="AE1010" s="481">
        <f>IFERROR(__xludf.DUMMYFUNCTION("""COMPUTED_VALUE"""),71.0)</f>
        <v>71</v>
      </c>
      <c r="AF1010" s="481"/>
      <c r="AG1010" s="481"/>
      <c r="AH1010" s="481">
        <f>IFERROR(__xludf.DUMMYFUNCTION("""COMPUTED_VALUE"""),79.0)</f>
        <v>79</v>
      </c>
      <c r="AI1010" s="158"/>
      <c r="AJ1010" s="158"/>
      <c r="AK1010" s="133">
        <f>IFERROR(__xludf.DUMMYFUNCTION("""COMPUTED_VALUE"""),4.0)</f>
        <v>4</v>
      </c>
      <c r="AL1010" s="133">
        <f>IFERROR(__xludf.DUMMYFUNCTION("""COMPUTED_VALUE"""),3.0)</f>
        <v>3</v>
      </c>
      <c r="AM1010" s="133">
        <f>IFERROR(__xludf.DUMMYFUNCTION("""COMPUTED_VALUE"""),3.0)</f>
        <v>3</v>
      </c>
      <c r="AN1010" s="133" t="str">
        <f>IFERROR(__xludf.DUMMYFUNCTION("""COMPUTED_VALUE"""),"3.5")</f>
        <v>3.5</v>
      </c>
      <c r="AO1010" s="133">
        <f>IFERROR(__xludf.DUMMYFUNCTION("""COMPUTED_VALUE"""),3.0)</f>
        <v>3</v>
      </c>
      <c r="AP1010" s="155" t="s">
        <v>3736</v>
      </c>
    </row>
    <row r="1011">
      <c r="A1011" s="155">
        <f>IFERROR(__xludf.DUMMYFUNCTION("""COMPUTED_VALUE"""),118.0)</f>
        <v>118</v>
      </c>
      <c r="B1011" s="155" t="str">
        <f>IFERROR(__xludf.DUMMYFUNCTION("""COMPUTED_VALUE"""),"mik23ece@cmrit.ac.in")</f>
        <v>mik23ece@cmrit.ac.in</v>
      </c>
      <c r="C1011" s="174" t="str">
        <f>IFERROR(__xludf.DUMMYFUNCTION("""COMPUTED_VALUE"""),"Mithun Naik K")</f>
        <v>Mithun Naik K</v>
      </c>
      <c r="D1011" s="155" t="str">
        <f>IFERROR(__xludf.DUMMYFUNCTION("""COMPUTED_VALUE"""),"1CR23EC121")</f>
        <v>1CR23EC121</v>
      </c>
      <c r="E1011" s="563">
        <f>IFERROR(__xludf.DUMMYFUNCTION("""COMPUTED_VALUE"""),6.362639627E9)</f>
        <v>6362639627</v>
      </c>
      <c r="F1011" s="155" t="str">
        <f>IFERROR(__xludf.DUMMYFUNCTION("""COMPUTED_VALUE"""),"ECE")</f>
        <v>ECE</v>
      </c>
      <c r="G1011" s="158"/>
      <c r="H1011" s="559">
        <f>IFERROR(__xludf.DUMMYFUNCTION("""COMPUTED_VALUE"""),73.0)</f>
        <v>73</v>
      </c>
      <c r="I1011" s="559">
        <f>IFERROR(__xludf.DUMMYFUNCTION("""COMPUTED_VALUE"""),71.0)</f>
        <v>71</v>
      </c>
      <c r="J1011" s="559">
        <f>IFERROR(__xludf.DUMMYFUNCTION("""COMPUTED_VALUE"""),32.0)</f>
        <v>32</v>
      </c>
      <c r="K1011" s="559">
        <f>IFERROR(__xludf.DUMMYFUNCTION("""COMPUTED_VALUE"""),70.0)</f>
        <v>70</v>
      </c>
      <c r="L1011" s="560">
        <f>IFERROR(__xludf.DUMMYFUNCTION("""COMPUTED_VALUE"""),25.0)</f>
        <v>25</v>
      </c>
      <c r="M1011" s="561">
        <f>IFERROR(__xludf.DUMMYFUNCTION("""COMPUTED_VALUE"""),18.0)</f>
        <v>18</v>
      </c>
      <c r="N1011" s="561">
        <f>IFERROR(__xludf.DUMMYFUNCTION("""COMPUTED_VALUE"""),0.0)</f>
        <v>0</v>
      </c>
      <c r="O1011" s="560"/>
      <c r="P1011" s="562">
        <f>IFERROR(__xludf.DUMMYFUNCTION("""COMPUTED_VALUE"""),0.0)</f>
        <v>0</v>
      </c>
      <c r="Q1011" s="562">
        <f>IFERROR(__xludf.DUMMYFUNCTION("""COMPUTED_VALUE"""),0.0)</f>
        <v>0</v>
      </c>
      <c r="R1011" s="562">
        <f>IFERROR(__xludf.DUMMYFUNCTION("""COMPUTED_VALUE"""),0.0)</f>
        <v>0</v>
      </c>
      <c r="S1011" s="562"/>
      <c r="T1011" s="217">
        <f>IFERROR(__xludf.DUMMYFUNCTION("""COMPUTED_VALUE"""),16.0)</f>
        <v>16</v>
      </c>
      <c r="U1011" s="217">
        <f>IFERROR(__xludf.DUMMYFUNCTION("""COMPUTED_VALUE"""),12.0)</f>
        <v>12</v>
      </c>
      <c r="V1011" s="217">
        <f>IFERROR(__xludf.DUMMYFUNCTION("""COMPUTED_VALUE"""),46.0)</f>
        <v>46</v>
      </c>
      <c r="W1011" s="217">
        <f>IFERROR(__xludf.DUMMYFUNCTION("""COMPUTED_VALUE"""),0.0)</f>
        <v>0</v>
      </c>
      <c r="X1011" s="217">
        <f>IFERROR(__xludf.DUMMYFUNCTION("""COMPUTED_VALUE"""),56.0)</f>
        <v>56</v>
      </c>
      <c r="Y1011" s="217"/>
      <c r="Z1011" s="217"/>
      <c r="AA1011" s="481">
        <f>IFERROR(__xludf.DUMMYFUNCTION("""COMPUTED_VALUE"""),0.0)</f>
        <v>0</v>
      </c>
      <c r="AB1011" s="481">
        <f>IFERROR(__xludf.DUMMYFUNCTION("""COMPUTED_VALUE"""),44.0)</f>
        <v>44</v>
      </c>
      <c r="AC1011" s="481">
        <f>IFERROR(__xludf.DUMMYFUNCTION("""COMPUTED_VALUE"""),0.0)</f>
        <v>0</v>
      </c>
      <c r="AD1011" s="481"/>
      <c r="AE1011" s="481">
        <f>IFERROR(__xludf.DUMMYFUNCTION("""COMPUTED_VALUE"""),10.0)</f>
        <v>10</v>
      </c>
      <c r="AF1011" s="481"/>
      <c r="AG1011" s="481"/>
      <c r="AH1011" s="481"/>
      <c r="AI1011" s="158"/>
      <c r="AJ1011" s="158"/>
      <c r="AK1011" s="133">
        <f>IFERROR(__xludf.DUMMYFUNCTION("""COMPUTED_VALUE"""),2.0)</f>
        <v>2</v>
      </c>
      <c r="AL1011" s="133">
        <f>IFERROR(__xludf.DUMMYFUNCTION("""COMPUTED_VALUE"""),0.0)</f>
        <v>0</v>
      </c>
      <c r="AM1011" s="133">
        <f>IFERROR(__xludf.DUMMYFUNCTION("""COMPUTED_VALUE"""),2.0)</f>
        <v>2</v>
      </c>
      <c r="AN1011" s="133" t="str">
        <f>IFERROR(__xludf.DUMMYFUNCTION("""COMPUTED_VALUE"""),"0")</f>
        <v>0</v>
      </c>
      <c r="AO1011" s="133">
        <f>IFERROR(__xludf.DUMMYFUNCTION("""COMPUTED_VALUE"""),0.0)</f>
        <v>0</v>
      </c>
      <c r="AP1011" s="155" t="s">
        <v>3736</v>
      </c>
    </row>
    <row r="1012">
      <c r="A1012" s="155">
        <f>IFERROR(__xludf.DUMMYFUNCTION("""COMPUTED_VALUE"""),119.0)</f>
        <v>119</v>
      </c>
      <c r="B1012" s="155" t="str">
        <f>IFERROR(__xludf.DUMMYFUNCTION("""COMPUTED_VALUE"""),"mir23ece@cmrit.ac.in")</f>
        <v>mir23ece@cmrit.ac.in</v>
      </c>
      <c r="C1012" s="174" t="str">
        <f>IFERROR(__xludf.DUMMYFUNCTION("""COMPUTED_VALUE"""),"Mithun R")</f>
        <v>Mithun R</v>
      </c>
      <c r="D1012" s="155" t="str">
        <f>IFERROR(__xludf.DUMMYFUNCTION("""COMPUTED_VALUE"""),"1CR23EC122")</f>
        <v>1CR23EC122</v>
      </c>
      <c r="E1012" s="563">
        <f>IFERROR(__xludf.DUMMYFUNCTION("""COMPUTED_VALUE"""),7.204551621E9)</f>
        <v>7204551621</v>
      </c>
      <c r="F1012" s="155" t="str">
        <f>IFERROR(__xludf.DUMMYFUNCTION("""COMPUTED_VALUE"""),"ECE")</f>
        <v>ECE</v>
      </c>
      <c r="G1012" s="158"/>
      <c r="H1012" s="559">
        <f>IFERROR(__xludf.DUMMYFUNCTION("""COMPUTED_VALUE"""),75.0)</f>
        <v>75</v>
      </c>
      <c r="I1012" s="559">
        <f>IFERROR(__xludf.DUMMYFUNCTION("""COMPUTED_VALUE"""),70.0)</f>
        <v>70</v>
      </c>
      <c r="J1012" s="559">
        <f>IFERROR(__xludf.DUMMYFUNCTION("""COMPUTED_VALUE"""),35.0)</f>
        <v>35</v>
      </c>
      <c r="K1012" s="559">
        <f>IFERROR(__xludf.DUMMYFUNCTION("""COMPUTED_VALUE"""),70.0)</f>
        <v>70</v>
      </c>
      <c r="L1012" s="560">
        <f>IFERROR(__xludf.DUMMYFUNCTION("""COMPUTED_VALUE"""),5.0)</f>
        <v>5</v>
      </c>
      <c r="M1012" s="561">
        <f>IFERROR(__xludf.DUMMYFUNCTION("""COMPUTED_VALUE"""),0.0)</f>
        <v>0</v>
      </c>
      <c r="N1012" s="561">
        <f>IFERROR(__xludf.DUMMYFUNCTION("""COMPUTED_VALUE"""),0.0)</f>
        <v>0</v>
      </c>
      <c r="O1012" s="560"/>
      <c r="P1012" s="562">
        <f>IFERROR(__xludf.DUMMYFUNCTION("""COMPUTED_VALUE"""),0.0)</f>
        <v>0</v>
      </c>
      <c r="Q1012" s="562">
        <f>IFERROR(__xludf.DUMMYFUNCTION("""COMPUTED_VALUE"""),0.0)</f>
        <v>0</v>
      </c>
      <c r="R1012" s="562">
        <f>IFERROR(__xludf.DUMMYFUNCTION("""COMPUTED_VALUE"""),0.0)</f>
        <v>0</v>
      </c>
      <c r="S1012" s="562"/>
      <c r="T1012" s="217">
        <f>IFERROR(__xludf.DUMMYFUNCTION("""COMPUTED_VALUE"""),14.0)</f>
        <v>14</v>
      </c>
      <c r="U1012" s="217">
        <f>IFERROR(__xludf.DUMMYFUNCTION("""COMPUTED_VALUE"""),15.0)</f>
        <v>15</v>
      </c>
      <c r="V1012" s="217">
        <f>IFERROR(__xludf.DUMMYFUNCTION("""COMPUTED_VALUE"""),36.0)</f>
        <v>36</v>
      </c>
      <c r="W1012" s="217">
        <f>IFERROR(__xludf.DUMMYFUNCTION("""COMPUTED_VALUE"""),0.0)</f>
        <v>0</v>
      </c>
      <c r="X1012" s="217">
        <f>IFERROR(__xludf.DUMMYFUNCTION("""COMPUTED_VALUE"""),66.0)</f>
        <v>66</v>
      </c>
      <c r="Y1012" s="217"/>
      <c r="Z1012" s="217"/>
      <c r="AA1012" s="481">
        <f>IFERROR(__xludf.DUMMYFUNCTION("""COMPUTED_VALUE"""),12.0)</f>
        <v>12</v>
      </c>
      <c r="AB1012" s="481">
        <f>IFERROR(__xludf.DUMMYFUNCTION("""COMPUTED_VALUE"""),42.0)</f>
        <v>42</v>
      </c>
      <c r="AC1012" s="481">
        <f>IFERROR(__xludf.DUMMYFUNCTION("""COMPUTED_VALUE"""),0.0)</f>
        <v>0</v>
      </c>
      <c r="AD1012" s="481"/>
      <c r="AE1012" s="481">
        <f>IFERROR(__xludf.DUMMYFUNCTION("""COMPUTED_VALUE"""),10.0)</f>
        <v>10</v>
      </c>
      <c r="AF1012" s="481"/>
      <c r="AG1012" s="481"/>
      <c r="AH1012" s="481"/>
      <c r="AI1012" s="158"/>
      <c r="AJ1012" s="158"/>
      <c r="AK1012" s="133">
        <f>IFERROR(__xludf.DUMMYFUNCTION("""COMPUTED_VALUE"""),2.0)</f>
        <v>2</v>
      </c>
      <c r="AL1012" s="133">
        <f>IFERROR(__xludf.DUMMYFUNCTION("""COMPUTED_VALUE"""),0.0)</f>
        <v>0</v>
      </c>
      <c r="AM1012" s="133">
        <f>IFERROR(__xludf.DUMMYFUNCTION("""COMPUTED_VALUE"""),2.0)</f>
        <v>2</v>
      </c>
      <c r="AN1012" s="133" t="str">
        <f>IFERROR(__xludf.DUMMYFUNCTION("""COMPUTED_VALUE"""),"0")</f>
        <v>0</v>
      </c>
      <c r="AO1012" s="133">
        <f>IFERROR(__xludf.DUMMYFUNCTION("""COMPUTED_VALUE"""),0.0)</f>
        <v>0</v>
      </c>
      <c r="AP1012" s="155" t="s">
        <v>3736</v>
      </c>
    </row>
    <row r="1013">
      <c r="A1013" s="155">
        <f>IFERROR(__xludf.DUMMYFUNCTION("""COMPUTED_VALUE"""),120.0)</f>
        <v>120</v>
      </c>
      <c r="B1013" s="155" t="str">
        <f>IFERROR(__xludf.DUMMYFUNCTION("""COMPUTED_VALUE"""),"mona23ece@cmrit.ac.in")</f>
        <v>mona23ece@cmrit.ac.in</v>
      </c>
      <c r="C1013" s="174" t="str">
        <f>IFERROR(__xludf.DUMMYFUNCTION("""COMPUTED_VALUE"""),"MOHAMMAD ALI NAWAZ KHAN")</f>
        <v>MOHAMMAD ALI NAWAZ KHAN</v>
      </c>
      <c r="D1013" s="155" t="str">
        <f>IFERROR(__xludf.DUMMYFUNCTION("""COMPUTED_VALUE"""),"1CR23EC123")</f>
        <v>1CR23EC123</v>
      </c>
      <c r="E1013" s="563">
        <f>IFERROR(__xludf.DUMMYFUNCTION("""COMPUTED_VALUE"""),8.318723739E9)</f>
        <v>8318723739</v>
      </c>
      <c r="F1013" s="155" t="str">
        <f>IFERROR(__xludf.DUMMYFUNCTION("""COMPUTED_VALUE"""),"ECE")</f>
        <v>ECE</v>
      </c>
      <c r="G1013" s="158"/>
      <c r="H1013" s="559">
        <f>IFERROR(__xludf.DUMMYFUNCTION("""COMPUTED_VALUE"""),79.0)</f>
        <v>79</v>
      </c>
      <c r="I1013" s="559">
        <f>IFERROR(__xludf.DUMMYFUNCTION("""COMPUTED_VALUE"""),80.0)</f>
        <v>80</v>
      </c>
      <c r="J1013" s="559">
        <f>IFERROR(__xludf.DUMMYFUNCTION("""COMPUTED_VALUE"""),70.0)</f>
        <v>70</v>
      </c>
      <c r="K1013" s="559">
        <f>IFERROR(__xludf.DUMMYFUNCTION("""COMPUTED_VALUE"""),71.0)</f>
        <v>71</v>
      </c>
      <c r="L1013" s="560">
        <f>IFERROR(__xludf.DUMMYFUNCTION("""COMPUTED_VALUE"""),51.0)</f>
        <v>51</v>
      </c>
      <c r="M1013" s="561">
        <f>IFERROR(__xludf.DUMMYFUNCTION("""COMPUTED_VALUE"""),50.0)</f>
        <v>50</v>
      </c>
      <c r="N1013" s="561">
        <f>IFERROR(__xludf.DUMMYFUNCTION("""COMPUTED_VALUE"""),63.0)</f>
        <v>63</v>
      </c>
      <c r="O1013" s="560"/>
      <c r="P1013" s="562">
        <f>IFERROR(__xludf.DUMMYFUNCTION("""COMPUTED_VALUE"""),80.0)</f>
        <v>80</v>
      </c>
      <c r="Q1013" s="562">
        <f>IFERROR(__xludf.DUMMYFUNCTION("""COMPUTED_VALUE"""),50.0)</f>
        <v>50</v>
      </c>
      <c r="R1013" s="562">
        <f>IFERROR(__xludf.DUMMYFUNCTION("""COMPUTED_VALUE"""),89.0)</f>
        <v>89</v>
      </c>
      <c r="S1013" s="562"/>
      <c r="T1013" s="217">
        <f>IFERROR(__xludf.DUMMYFUNCTION("""COMPUTED_VALUE"""),19.0)</f>
        <v>19</v>
      </c>
      <c r="U1013" s="217">
        <f>IFERROR(__xludf.DUMMYFUNCTION("""COMPUTED_VALUE"""),13.0)</f>
        <v>13</v>
      </c>
      <c r="V1013" s="217">
        <f>IFERROR(__xludf.DUMMYFUNCTION("""COMPUTED_VALUE"""),46.0)</f>
        <v>46</v>
      </c>
      <c r="W1013" s="217">
        <f>IFERROR(__xludf.DUMMYFUNCTION("""COMPUTED_VALUE"""),78.0)</f>
        <v>78</v>
      </c>
      <c r="X1013" s="217">
        <f>IFERROR(__xludf.DUMMYFUNCTION("""COMPUTED_VALUE"""),72.0)</f>
        <v>72</v>
      </c>
      <c r="Y1013" s="217"/>
      <c r="Z1013" s="217"/>
      <c r="AA1013" s="481">
        <f>IFERROR(__xludf.DUMMYFUNCTION("""COMPUTED_VALUE"""),88.0)</f>
        <v>88</v>
      </c>
      <c r="AB1013" s="481">
        <f>IFERROR(__xludf.DUMMYFUNCTION("""COMPUTED_VALUE"""),100.0)</f>
        <v>100</v>
      </c>
      <c r="AC1013" s="481">
        <f>IFERROR(__xludf.DUMMYFUNCTION("""COMPUTED_VALUE"""),80.0)</f>
        <v>80</v>
      </c>
      <c r="AD1013" s="481"/>
      <c r="AE1013" s="481">
        <f>IFERROR(__xludf.DUMMYFUNCTION("""COMPUTED_VALUE"""),73.0)</f>
        <v>73</v>
      </c>
      <c r="AF1013" s="481"/>
      <c r="AG1013" s="481">
        <f>IFERROR(__xludf.DUMMYFUNCTION("""COMPUTED_VALUE"""),75.0)</f>
        <v>75</v>
      </c>
      <c r="AH1013" s="481"/>
      <c r="AI1013" s="158"/>
      <c r="AJ1013" s="158"/>
      <c r="AK1013" s="133">
        <f>IFERROR(__xludf.DUMMYFUNCTION("""COMPUTED_VALUE"""),4.0)</f>
        <v>4</v>
      </c>
      <c r="AL1013" s="133">
        <f>IFERROR(__xludf.DUMMYFUNCTION("""COMPUTED_VALUE"""),3.0)</f>
        <v>3</v>
      </c>
      <c r="AM1013" s="133">
        <f>IFERROR(__xludf.DUMMYFUNCTION("""COMPUTED_VALUE"""),3.0)</f>
        <v>3</v>
      </c>
      <c r="AN1013" s="133" t="str">
        <f>IFERROR(__xludf.DUMMYFUNCTION("""COMPUTED_VALUE"""),"3.5")</f>
        <v>3.5</v>
      </c>
      <c r="AO1013" s="133">
        <f>IFERROR(__xludf.DUMMYFUNCTION("""COMPUTED_VALUE"""),3.0)</f>
        <v>3</v>
      </c>
      <c r="AP1013" s="155" t="s">
        <v>3736</v>
      </c>
    </row>
    <row r="1014">
      <c r="A1014" s="155">
        <f>IFERROR(__xludf.DUMMYFUNCTION("""COMPUTED_VALUE"""),121.0)</f>
        <v>121</v>
      </c>
      <c r="B1014" s="155" t="str">
        <f>IFERROR(__xludf.DUMMYFUNCTION("""COMPUTED_VALUE"""),"moah23ece@cmrit.ac.in")</f>
        <v>moah23ece@cmrit.ac.in</v>
      </c>
      <c r="C1014" s="174" t="str">
        <f>IFERROR(__xludf.DUMMYFUNCTION("""COMPUTED_VALUE"""),"Mohammed farooque ahmed khan")</f>
        <v>Mohammed farooque ahmed khan</v>
      </c>
      <c r="D1014" s="155" t="str">
        <f>IFERROR(__xludf.DUMMYFUNCTION("""COMPUTED_VALUE"""),"1CR23EC124")</f>
        <v>1CR23EC124</v>
      </c>
      <c r="E1014" s="563">
        <f>IFERROR(__xludf.DUMMYFUNCTION("""COMPUTED_VALUE"""),6.361716404E9)</f>
        <v>6361716404</v>
      </c>
      <c r="F1014" s="155" t="str">
        <f>IFERROR(__xludf.DUMMYFUNCTION("""COMPUTED_VALUE"""),"ECE")</f>
        <v>ECE</v>
      </c>
      <c r="G1014" s="158"/>
      <c r="H1014" s="559">
        <f>IFERROR(__xludf.DUMMYFUNCTION("""COMPUTED_VALUE"""),84.0)</f>
        <v>84</v>
      </c>
      <c r="I1014" s="559">
        <f>IFERROR(__xludf.DUMMYFUNCTION("""COMPUTED_VALUE"""),79.0)</f>
        <v>79</v>
      </c>
      <c r="J1014" s="559">
        <f>IFERROR(__xludf.DUMMYFUNCTION("""COMPUTED_VALUE"""),70.0)</f>
        <v>70</v>
      </c>
      <c r="K1014" s="559">
        <f>IFERROR(__xludf.DUMMYFUNCTION("""COMPUTED_VALUE"""),70.0)</f>
        <v>70</v>
      </c>
      <c r="L1014" s="560">
        <f>IFERROR(__xludf.DUMMYFUNCTION("""COMPUTED_VALUE"""),33.0)</f>
        <v>33</v>
      </c>
      <c r="M1014" s="561">
        <f>IFERROR(__xludf.DUMMYFUNCTION("""COMPUTED_VALUE"""),0.0)</f>
        <v>0</v>
      </c>
      <c r="N1014" s="561">
        <f>IFERROR(__xludf.DUMMYFUNCTION("""COMPUTED_VALUE"""),31.0)</f>
        <v>31</v>
      </c>
      <c r="O1014" s="560"/>
      <c r="P1014" s="562">
        <f>IFERROR(__xludf.DUMMYFUNCTION("""COMPUTED_VALUE"""),50.0)</f>
        <v>50</v>
      </c>
      <c r="Q1014" s="562">
        <f>IFERROR(__xludf.DUMMYFUNCTION("""COMPUTED_VALUE"""),0.0)</f>
        <v>0</v>
      </c>
      <c r="R1014" s="562">
        <f>IFERROR(__xludf.DUMMYFUNCTION("""COMPUTED_VALUE"""),50.0)</f>
        <v>50</v>
      </c>
      <c r="S1014" s="562"/>
      <c r="T1014" s="217">
        <f>IFERROR(__xludf.DUMMYFUNCTION("""COMPUTED_VALUE"""),10.0)</f>
        <v>10</v>
      </c>
      <c r="U1014" s="217">
        <f>IFERROR(__xludf.DUMMYFUNCTION("""COMPUTED_VALUE"""),18.0)</f>
        <v>18</v>
      </c>
      <c r="V1014" s="217">
        <f>IFERROR(__xludf.DUMMYFUNCTION("""COMPUTED_VALUE"""),42.0)</f>
        <v>42</v>
      </c>
      <c r="W1014" s="217">
        <f>IFERROR(__xludf.DUMMYFUNCTION("""COMPUTED_VALUE"""),0.0)</f>
        <v>0</v>
      </c>
      <c r="X1014" s="217">
        <f>IFERROR(__xludf.DUMMYFUNCTION("""COMPUTED_VALUE"""),68.0)</f>
        <v>68</v>
      </c>
      <c r="Y1014" s="217"/>
      <c r="Z1014" s="217"/>
      <c r="AA1014" s="481">
        <f>IFERROR(__xludf.DUMMYFUNCTION("""COMPUTED_VALUE"""),44.0)</f>
        <v>44</v>
      </c>
      <c r="AB1014" s="481">
        <f>IFERROR(__xludf.DUMMYFUNCTION("""COMPUTED_VALUE"""),40.0)</f>
        <v>40</v>
      </c>
      <c r="AC1014" s="481">
        <f>IFERROR(__xludf.DUMMYFUNCTION("""COMPUTED_VALUE"""),70.0)</f>
        <v>70</v>
      </c>
      <c r="AD1014" s="481"/>
      <c r="AE1014" s="481">
        <f>IFERROR(__xludf.DUMMYFUNCTION("""COMPUTED_VALUE"""),10.0)</f>
        <v>10</v>
      </c>
      <c r="AF1014" s="481"/>
      <c r="AG1014" s="481"/>
      <c r="AH1014" s="481"/>
      <c r="AI1014" s="158"/>
      <c r="AJ1014" s="158"/>
      <c r="AK1014" s="133">
        <f>IFERROR(__xludf.DUMMYFUNCTION("""COMPUTED_VALUE"""),4.0)</f>
        <v>4</v>
      </c>
      <c r="AL1014" s="133">
        <f>IFERROR(__xludf.DUMMYFUNCTION("""COMPUTED_VALUE"""),0.0)</f>
        <v>0</v>
      </c>
      <c r="AM1014" s="133">
        <f>IFERROR(__xludf.DUMMYFUNCTION("""COMPUTED_VALUE"""),2.0)</f>
        <v>2</v>
      </c>
      <c r="AN1014" s="133" t="str">
        <f>IFERROR(__xludf.DUMMYFUNCTION("""COMPUTED_VALUE"""),"0")</f>
        <v>0</v>
      </c>
      <c r="AO1014" s="133">
        <f>IFERROR(__xludf.DUMMYFUNCTION("""COMPUTED_VALUE"""),1.0)</f>
        <v>1</v>
      </c>
      <c r="AP1014" s="155" t="s">
        <v>3736</v>
      </c>
    </row>
    <row r="1015">
      <c r="A1015" s="155">
        <f>IFERROR(__xludf.DUMMYFUNCTION("""COMPUTED_VALUE"""),122.0)</f>
        <v>122</v>
      </c>
      <c r="B1015" s="155" t="str">
        <f>IFERROR(__xludf.DUMMYFUNCTION("""COMPUTED_VALUE"""),"modo23ece@cmrit.ac.in")</f>
        <v>modo23ece@cmrit.ac.in</v>
      </c>
      <c r="C1015" s="174" t="str">
        <f>IFERROR(__xludf.DUMMYFUNCTION("""COMPUTED_VALUE"""),"Mohammed Aqib Niyazahmed Doddamani")</f>
        <v>Mohammed Aqib Niyazahmed Doddamani</v>
      </c>
      <c r="D1015" s="155" t="str">
        <f>IFERROR(__xludf.DUMMYFUNCTION("""COMPUTED_VALUE"""),"1CR23EC125")</f>
        <v>1CR23EC125</v>
      </c>
      <c r="E1015" s="563">
        <f>IFERROR(__xludf.DUMMYFUNCTION("""COMPUTED_VALUE"""),7.89290336E9)</f>
        <v>7892903360</v>
      </c>
      <c r="F1015" s="155" t="str">
        <f>IFERROR(__xludf.DUMMYFUNCTION("""COMPUTED_VALUE"""),"ECE")</f>
        <v>ECE</v>
      </c>
      <c r="G1015" s="158"/>
      <c r="H1015" s="559">
        <f>IFERROR(__xludf.DUMMYFUNCTION("""COMPUTED_VALUE"""),72.0)</f>
        <v>72</v>
      </c>
      <c r="I1015" s="559">
        <f>IFERROR(__xludf.DUMMYFUNCTION("""COMPUTED_VALUE"""),72.0)</f>
        <v>72</v>
      </c>
      <c r="J1015" s="559">
        <f>IFERROR(__xludf.DUMMYFUNCTION("""COMPUTED_VALUE"""),70.0)</f>
        <v>70</v>
      </c>
      <c r="K1015" s="559">
        <f>IFERROR(__xludf.DUMMYFUNCTION("""COMPUTED_VALUE"""),70.0)</f>
        <v>70</v>
      </c>
      <c r="L1015" s="560">
        <f>IFERROR(__xludf.DUMMYFUNCTION("""COMPUTED_VALUE"""),45.0)</f>
        <v>45</v>
      </c>
      <c r="M1015" s="561">
        <f>IFERROR(__xludf.DUMMYFUNCTION("""COMPUTED_VALUE"""),61.0)</f>
        <v>61</v>
      </c>
      <c r="N1015" s="561">
        <f>IFERROR(__xludf.DUMMYFUNCTION("""COMPUTED_VALUE"""),72.0)</f>
        <v>72</v>
      </c>
      <c r="O1015" s="560"/>
      <c r="P1015" s="562">
        <f>IFERROR(__xludf.DUMMYFUNCTION("""COMPUTED_VALUE"""),75.0)</f>
        <v>75</v>
      </c>
      <c r="Q1015" s="562">
        <f>IFERROR(__xludf.DUMMYFUNCTION("""COMPUTED_VALUE"""),70.0)</f>
        <v>70</v>
      </c>
      <c r="R1015" s="562">
        <f>IFERROR(__xludf.DUMMYFUNCTION("""COMPUTED_VALUE"""),95.0)</f>
        <v>95</v>
      </c>
      <c r="S1015" s="562"/>
      <c r="T1015" s="217">
        <f>IFERROR(__xludf.DUMMYFUNCTION("""COMPUTED_VALUE"""),20.0)</f>
        <v>20</v>
      </c>
      <c r="U1015" s="217">
        <f>IFERROR(__xludf.DUMMYFUNCTION("""COMPUTED_VALUE"""),20.0)</f>
        <v>20</v>
      </c>
      <c r="V1015" s="217">
        <f>IFERROR(__xludf.DUMMYFUNCTION("""COMPUTED_VALUE"""),38.0)</f>
        <v>38</v>
      </c>
      <c r="W1015" s="217">
        <f>IFERROR(__xludf.DUMMYFUNCTION("""COMPUTED_VALUE"""),72.0)</f>
        <v>72</v>
      </c>
      <c r="X1015" s="217">
        <f>IFERROR(__xludf.DUMMYFUNCTION("""COMPUTED_VALUE"""),64.0)</f>
        <v>64</v>
      </c>
      <c r="Y1015" s="217"/>
      <c r="Z1015" s="217"/>
      <c r="AA1015" s="481">
        <f>IFERROR(__xludf.DUMMYFUNCTION("""COMPUTED_VALUE"""),95.0)</f>
        <v>95</v>
      </c>
      <c r="AB1015" s="481">
        <f>IFERROR(__xludf.DUMMYFUNCTION("""COMPUTED_VALUE"""),100.0)</f>
        <v>100</v>
      </c>
      <c r="AC1015" s="481">
        <f>IFERROR(__xludf.DUMMYFUNCTION("""COMPUTED_VALUE"""),70.0)</f>
        <v>70</v>
      </c>
      <c r="AD1015" s="481"/>
      <c r="AE1015" s="481">
        <f>IFERROR(__xludf.DUMMYFUNCTION("""COMPUTED_VALUE"""),84.0)</f>
        <v>84</v>
      </c>
      <c r="AF1015" s="481"/>
      <c r="AG1015" s="481"/>
      <c r="AH1015" s="481"/>
      <c r="AI1015" s="158"/>
      <c r="AJ1015" s="158"/>
      <c r="AK1015" s="133">
        <f>IFERROR(__xludf.DUMMYFUNCTION("""COMPUTED_VALUE"""),4.0)</f>
        <v>4</v>
      </c>
      <c r="AL1015" s="133">
        <f>IFERROR(__xludf.DUMMYFUNCTION("""COMPUTED_VALUE"""),0.0)</f>
        <v>0</v>
      </c>
      <c r="AM1015" s="133">
        <f>IFERROR(__xludf.DUMMYFUNCTION("""COMPUTED_VALUE"""),3.0)</f>
        <v>3</v>
      </c>
      <c r="AN1015" s="133" t="str">
        <f>IFERROR(__xludf.DUMMYFUNCTION("""COMPUTED_VALUE"""),"3.5")</f>
        <v>3.5</v>
      </c>
      <c r="AO1015" s="133">
        <f>IFERROR(__xludf.DUMMYFUNCTION("""COMPUTED_VALUE"""),3.0)</f>
        <v>3</v>
      </c>
      <c r="AP1015" s="155" t="s">
        <v>3736</v>
      </c>
    </row>
    <row r="1016">
      <c r="A1016" s="155">
        <f>IFERROR(__xludf.DUMMYFUNCTION("""COMPUTED_VALUE"""),123.0)</f>
        <v>123</v>
      </c>
      <c r="B1016" s="155" t="str">
        <f>IFERROR(__xludf.DUMMYFUNCTION("""COMPUTED_VALUE"""),"mobh23ece@cmrit.ac.in")</f>
        <v>mobh23ece@cmrit.ac.in</v>
      </c>
      <c r="C1016" s="174" t="str">
        <f>IFERROR(__xludf.DUMMYFUNCTION("""COMPUTED_VALUE"""),"MOKSHA B H")</f>
        <v>MOKSHA B H</v>
      </c>
      <c r="D1016" s="155" t="str">
        <f>IFERROR(__xludf.DUMMYFUNCTION("""COMPUTED_VALUE"""),"1CR23EC126")</f>
        <v>1CR23EC126</v>
      </c>
      <c r="E1016" s="563">
        <f>IFERROR(__xludf.DUMMYFUNCTION("""COMPUTED_VALUE"""),9.980598283E9)</f>
        <v>9980598283</v>
      </c>
      <c r="F1016" s="155" t="str">
        <f>IFERROR(__xludf.DUMMYFUNCTION("""COMPUTED_VALUE"""),"ECE")</f>
        <v>ECE</v>
      </c>
      <c r="G1016" s="158"/>
      <c r="H1016" s="559">
        <f>IFERROR(__xludf.DUMMYFUNCTION("""COMPUTED_VALUE"""),74.0)</f>
        <v>74</v>
      </c>
      <c r="I1016" s="559">
        <f>IFERROR(__xludf.DUMMYFUNCTION("""COMPUTED_VALUE"""),78.0)</f>
        <v>78</v>
      </c>
      <c r="J1016" s="559">
        <f>IFERROR(__xludf.DUMMYFUNCTION("""COMPUTED_VALUE"""),71.0)</f>
        <v>71</v>
      </c>
      <c r="K1016" s="559">
        <f>IFERROR(__xludf.DUMMYFUNCTION("""COMPUTED_VALUE"""),70.0)</f>
        <v>70</v>
      </c>
      <c r="L1016" s="560">
        <f>IFERROR(__xludf.DUMMYFUNCTION("""COMPUTED_VALUE"""),50.0)</f>
        <v>50</v>
      </c>
      <c r="M1016" s="561">
        <f>IFERROR(__xludf.DUMMYFUNCTION("""COMPUTED_VALUE"""),50.0)</f>
        <v>50</v>
      </c>
      <c r="N1016" s="561">
        <f>IFERROR(__xludf.DUMMYFUNCTION("""COMPUTED_VALUE"""),50.0)</f>
        <v>50</v>
      </c>
      <c r="O1016" s="560"/>
      <c r="P1016" s="562">
        <f>IFERROR(__xludf.DUMMYFUNCTION("""COMPUTED_VALUE"""),70.0)</f>
        <v>70</v>
      </c>
      <c r="Q1016" s="562">
        <f>IFERROR(__xludf.DUMMYFUNCTION("""COMPUTED_VALUE"""),65.0)</f>
        <v>65</v>
      </c>
      <c r="R1016" s="562">
        <f>IFERROR(__xludf.DUMMYFUNCTION("""COMPUTED_VALUE"""),87.0)</f>
        <v>87</v>
      </c>
      <c r="S1016" s="562"/>
      <c r="T1016" s="217">
        <f>IFERROR(__xludf.DUMMYFUNCTION("""COMPUTED_VALUE"""),22.0)</f>
        <v>22</v>
      </c>
      <c r="U1016" s="217">
        <f>IFERROR(__xludf.DUMMYFUNCTION("""COMPUTED_VALUE"""),15.0)</f>
        <v>15</v>
      </c>
      <c r="V1016" s="217">
        <f>IFERROR(__xludf.DUMMYFUNCTION("""COMPUTED_VALUE"""),66.0)</f>
        <v>66</v>
      </c>
      <c r="W1016" s="217">
        <f>IFERROR(__xludf.DUMMYFUNCTION("""COMPUTED_VALUE"""),76.0)</f>
        <v>76</v>
      </c>
      <c r="X1016" s="217">
        <f>IFERROR(__xludf.DUMMYFUNCTION("""COMPUTED_VALUE"""),84.0)</f>
        <v>84</v>
      </c>
      <c r="Y1016" s="217"/>
      <c r="Z1016" s="217"/>
      <c r="AA1016" s="481">
        <f>IFERROR(__xludf.DUMMYFUNCTION("""COMPUTED_VALUE"""),60.0)</f>
        <v>60</v>
      </c>
      <c r="AB1016" s="481">
        <f>IFERROR(__xludf.DUMMYFUNCTION("""COMPUTED_VALUE"""),89.0)</f>
        <v>89</v>
      </c>
      <c r="AC1016" s="481">
        <f>IFERROR(__xludf.DUMMYFUNCTION("""COMPUTED_VALUE"""),70.0)</f>
        <v>70</v>
      </c>
      <c r="AD1016" s="481"/>
      <c r="AE1016" s="481">
        <f>IFERROR(__xludf.DUMMYFUNCTION("""COMPUTED_VALUE"""),80.0)</f>
        <v>80</v>
      </c>
      <c r="AF1016" s="481"/>
      <c r="AG1016" s="481">
        <f>IFERROR(__xludf.DUMMYFUNCTION("""COMPUTED_VALUE"""),79.0)</f>
        <v>79</v>
      </c>
      <c r="AH1016" s="481"/>
      <c r="AI1016" s="158"/>
      <c r="AJ1016" s="158"/>
      <c r="AK1016" s="133">
        <f>IFERROR(__xludf.DUMMYFUNCTION("""COMPUTED_VALUE"""),4.0)</f>
        <v>4</v>
      </c>
      <c r="AL1016" s="133">
        <f>IFERROR(__xludf.DUMMYFUNCTION("""COMPUTED_VALUE"""),3.0)</f>
        <v>3</v>
      </c>
      <c r="AM1016" s="133">
        <f>IFERROR(__xludf.DUMMYFUNCTION("""COMPUTED_VALUE"""),3.0)</f>
        <v>3</v>
      </c>
      <c r="AN1016" s="133" t="str">
        <f>IFERROR(__xludf.DUMMYFUNCTION("""COMPUTED_VALUE"""),"3.5")</f>
        <v>3.5</v>
      </c>
      <c r="AO1016" s="133">
        <f>IFERROR(__xludf.DUMMYFUNCTION("""COMPUTED_VALUE"""),3.0)</f>
        <v>3</v>
      </c>
      <c r="AP1016" s="155" t="s">
        <v>3736</v>
      </c>
    </row>
    <row r="1017">
      <c r="A1017" s="155">
        <f>IFERROR(__xludf.DUMMYFUNCTION("""COMPUTED_VALUE"""),124.0)</f>
        <v>124</v>
      </c>
      <c r="B1017" s="155" t="str">
        <f>IFERROR(__xludf.DUMMYFUNCTION("""COMPUTED_VALUE"""),"mobg23ece@cmrit.ac.in")</f>
        <v>mobg23ece@cmrit.ac.in</v>
      </c>
      <c r="C1017" s="174" t="str">
        <f>IFERROR(__xludf.DUMMYFUNCTION("""COMPUTED_VALUE"""),"Moulya B G")</f>
        <v>Moulya B G</v>
      </c>
      <c r="D1017" s="155" t="str">
        <f>IFERROR(__xludf.DUMMYFUNCTION("""COMPUTED_VALUE"""),"1CR23EC127")</f>
        <v>1CR23EC127</v>
      </c>
      <c r="E1017" s="563">
        <f>IFERROR(__xludf.DUMMYFUNCTION("""COMPUTED_VALUE"""),8.660124275E9)</f>
        <v>8660124275</v>
      </c>
      <c r="F1017" s="155" t="str">
        <f>IFERROR(__xludf.DUMMYFUNCTION("""COMPUTED_VALUE"""),"ECE")</f>
        <v>ECE</v>
      </c>
      <c r="G1017" s="158"/>
      <c r="H1017" s="559">
        <f>IFERROR(__xludf.DUMMYFUNCTION("""COMPUTED_VALUE"""),80.0)</f>
        <v>80</v>
      </c>
      <c r="I1017" s="559">
        <f>IFERROR(__xludf.DUMMYFUNCTION("""COMPUTED_VALUE"""),70.0)</f>
        <v>70</v>
      </c>
      <c r="J1017" s="559">
        <f>IFERROR(__xludf.DUMMYFUNCTION("""COMPUTED_VALUE"""),70.0)</f>
        <v>70</v>
      </c>
      <c r="K1017" s="559">
        <f>IFERROR(__xludf.DUMMYFUNCTION("""COMPUTED_VALUE"""),70.0)</f>
        <v>70</v>
      </c>
      <c r="L1017" s="560">
        <f>IFERROR(__xludf.DUMMYFUNCTION("""COMPUTED_VALUE"""),50.0)</f>
        <v>50</v>
      </c>
      <c r="M1017" s="561">
        <f>IFERROR(__xludf.DUMMYFUNCTION("""COMPUTED_VALUE"""),50.0)</f>
        <v>50</v>
      </c>
      <c r="N1017" s="561">
        <f>IFERROR(__xludf.DUMMYFUNCTION("""COMPUTED_VALUE"""),40.0)</f>
        <v>40</v>
      </c>
      <c r="O1017" s="560"/>
      <c r="P1017" s="562">
        <f>IFERROR(__xludf.DUMMYFUNCTION("""COMPUTED_VALUE"""),76.0)</f>
        <v>76</v>
      </c>
      <c r="Q1017" s="562">
        <f>IFERROR(__xludf.DUMMYFUNCTION("""COMPUTED_VALUE"""),50.0)</f>
        <v>50</v>
      </c>
      <c r="R1017" s="562">
        <f>IFERROR(__xludf.DUMMYFUNCTION("""COMPUTED_VALUE"""),86.0)</f>
        <v>86</v>
      </c>
      <c r="S1017" s="562"/>
      <c r="T1017" s="217">
        <f>IFERROR(__xludf.DUMMYFUNCTION("""COMPUTED_VALUE"""),11.0)</f>
        <v>11</v>
      </c>
      <c r="U1017" s="217">
        <f>IFERROR(__xludf.DUMMYFUNCTION("""COMPUTED_VALUE"""),18.0)</f>
        <v>18</v>
      </c>
      <c r="V1017" s="217">
        <f>IFERROR(__xludf.DUMMYFUNCTION("""COMPUTED_VALUE"""),50.0)</f>
        <v>50</v>
      </c>
      <c r="W1017" s="217">
        <f>IFERROR(__xludf.DUMMYFUNCTION("""COMPUTED_VALUE"""),76.0)</f>
        <v>76</v>
      </c>
      <c r="X1017" s="217">
        <f>IFERROR(__xludf.DUMMYFUNCTION("""COMPUTED_VALUE"""),74.0)</f>
        <v>74</v>
      </c>
      <c r="Y1017" s="217"/>
      <c r="Z1017" s="217"/>
      <c r="AA1017" s="481">
        <f>IFERROR(__xludf.DUMMYFUNCTION("""COMPUTED_VALUE"""),67.0)</f>
        <v>67</v>
      </c>
      <c r="AB1017" s="481">
        <f>IFERROR(__xludf.DUMMYFUNCTION("""COMPUTED_VALUE"""),72.0)</f>
        <v>72</v>
      </c>
      <c r="AC1017" s="481">
        <f>IFERROR(__xludf.DUMMYFUNCTION("""COMPUTED_VALUE"""),16.0)</f>
        <v>16</v>
      </c>
      <c r="AD1017" s="481"/>
      <c r="AE1017" s="481">
        <f>IFERROR(__xludf.DUMMYFUNCTION("""COMPUTED_VALUE"""),55.0)</f>
        <v>55</v>
      </c>
      <c r="AF1017" s="481"/>
      <c r="AG1017" s="481"/>
      <c r="AH1017" s="481"/>
      <c r="AI1017" s="158"/>
      <c r="AJ1017" s="158"/>
      <c r="AK1017" s="133">
        <f>IFERROR(__xludf.DUMMYFUNCTION("""COMPUTED_VALUE"""),4.0)</f>
        <v>4</v>
      </c>
      <c r="AL1017" s="133">
        <f>IFERROR(__xludf.DUMMYFUNCTION("""COMPUTED_VALUE"""),2.0)</f>
        <v>2</v>
      </c>
      <c r="AM1017" s="133">
        <f>IFERROR(__xludf.DUMMYFUNCTION("""COMPUTED_VALUE"""),3.0)</f>
        <v>3</v>
      </c>
      <c r="AN1017" s="133" t="str">
        <f>IFERROR(__xludf.DUMMYFUNCTION("""COMPUTED_VALUE"""),"2")</f>
        <v>2</v>
      </c>
      <c r="AO1017" s="133">
        <f>IFERROR(__xludf.DUMMYFUNCTION("""COMPUTED_VALUE"""),3.0)</f>
        <v>3</v>
      </c>
      <c r="AP1017" s="155" t="s">
        <v>3736</v>
      </c>
    </row>
    <row r="1018">
      <c r="A1018" s="155">
        <f>IFERROR(__xludf.DUMMYFUNCTION("""COMPUTED_VALUE"""),125.0)</f>
        <v>125</v>
      </c>
      <c r="B1018" s="155" t="str">
        <f>IFERROR(__xludf.DUMMYFUNCTION("""COMPUTED_VALUE"""),"moc23ece@cmrit.ac.in")</f>
        <v>moc23ece@cmrit.ac.in</v>
      </c>
      <c r="C1018" s="174" t="str">
        <f>IFERROR(__xludf.DUMMYFUNCTION("""COMPUTED_VALUE"""),"MOURYA C")</f>
        <v>MOURYA C</v>
      </c>
      <c r="D1018" s="155" t="str">
        <f>IFERROR(__xludf.DUMMYFUNCTION("""COMPUTED_VALUE"""),"1CR23EC128")</f>
        <v>1CR23EC128</v>
      </c>
      <c r="E1018" s="563">
        <f>IFERROR(__xludf.DUMMYFUNCTION("""COMPUTED_VALUE"""),9.731826179E9)</f>
        <v>9731826179</v>
      </c>
      <c r="F1018" s="155" t="str">
        <f>IFERROR(__xludf.DUMMYFUNCTION("""COMPUTED_VALUE"""),"ECE")</f>
        <v>ECE</v>
      </c>
      <c r="G1018" s="158"/>
      <c r="H1018" s="559">
        <f>IFERROR(__xludf.DUMMYFUNCTION("""COMPUTED_VALUE"""),85.0)</f>
        <v>85</v>
      </c>
      <c r="I1018" s="559">
        <f>IFERROR(__xludf.DUMMYFUNCTION("""COMPUTED_VALUE"""),83.0)</f>
        <v>83</v>
      </c>
      <c r="J1018" s="559">
        <f>IFERROR(__xludf.DUMMYFUNCTION("""COMPUTED_VALUE"""),70.0)</f>
        <v>70</v>
      </c>
      <c r="K1018" s="559">
        <f>IFERROR(__xludf.DUMMYFUNCTION("""COMPUTED_VALUE"""),71.0)</f>
        <v>71</v>
      </c>
      <c r="L1018" s="560">
        <f>IFERROR(__xludf.DUMMYFUNCTION("""COMPUTED_VALUE"""),64.0)</f>
        <v>64</v>
      </c>
      <c r="M1018" s="561">
        <f>IFERROR(__xludf.DUMMYFUNCTION("""COMPUTED_VALUE"""),53.0)</f>
        <v>53</v>
      </c>
      <c r="N1018" s="561">
        <f>IFERROR(__xludf.DUMMYFUNCTION("""COMPUTED_VALUE"""),65.0)</f>
        <v>65</v>
      </c>
      <c r="O1018" s="560"/>
      <c r="P1018" s="562">
        <f>IFERROR(__xludf.DUMMYFUNCTION("""COMPUTED_VALUE"""),70.0)</f>
        <v>70</v>
      </c>
      <c r="Q1018" s="562">
        <f>IFERROR(__xludf.DUMMYFUNCTION("""COMPUTED_VALUE"""),81.0)</f>
        <v>81</v>
      </c>
      <c r="R1018" s="562">
        <f>IFERROR(__xludf.DUMMYFUNCTION("""COMPUTED_VALUE"""),84.0)</f>
        <v>84</v>
      </c>
      <c r="S1018" s="562"/>
      <c r="T1018" s="217">
        <f>IFERROR(__xludf.DUMMYFUNCTION("""COMPUTED_VALUE"""),12.0)</f>
        <v>12</v>
      </c>
      <c r="U1018" s="217">
        <f>IFERROR(__xludf.DUMMYFUNCTION("""COMPUTED_VALUE"""),19.0)</f>
        <v>19</v>
      </c>
      <c r="V1018" s="217">
        <f>IFERROR(__xludf.DUMMYFUNCTION("""COMPUTED_VALUE"""),50.0)</f>
        <v>50</v>
      </c>
      <c r="W1018" s="217">
        <f>IFERROR(__xludf.DUMMYFUNCTION("""COMPUTED_VALUE"""),74.0)</f>
        <v>74</v>
      </c>
      <c r="X1018" s="217">
        <f>IFERROR(__xludf.DUMMYFUNCTION("""COMPUTED_VALUE"""),52.0)</f>
        <v>52</v>
      </c>
      <c r="Y1018" s="217"/>
      <c r="Z1018" s="217"/>
      <c r="AA1018" s="481">
        <f>IFERROR(__xludf.DUMMYFUNCTION("""COMPUTED_VALUE"""),90.0)</f>
        <v>90</v>
      </c>
      <c r="AB1018" s="481">
        <f>IFERROR(__xludf.DUMMYFUNCTION("""COMPUTED_VALUE"""),97.0)</f>
        <v>97</v>
      </c>
      <c r="AC1018" s="481">
        <f>IFERROR(__xludf.DUMMYFUNCTION("""COMPUTED_VALUE"""),100.0)</f>
        <v>100</v>
      </c>
      <c r="AD1018" s="481"/>
      <c r="AE1018" s="481">
        <f>IFERROR(__xludf.DUMMYFUNCTION("""COMPUTED_VALUE"""),82.0)</f>
        <v>82</v>
      </c>
      <c r="AF1018" s="481"/>
      <c r="AG1018" s="481">
        <f>IFERROR(__xludf.DUMMYFUNCTION("""COMPUTED_VALUE"""),75.0)</f>
        <v>75</v>
      </c>
      <c r="AH1018" s="481"/>
      <c r="AI1018" s="158"/>
      <c r="AJ1018" s="158"/>
      <c r="AK1018" s="133">
        <f>IFERROR(__xludf.DUMMYFUNCTION("""COMPUTED_VALUE"""),4.0)</f>
        <v>4</v>
      </c>
      <c r="AL1018" s="133">
        <f>IFERROR(__xludf.DUMMYFUNCTION("""COMPUTED_VALUE"""),3.0)</f>
        <v>3</v>
      </c>
      <c r="AM1018" s="133">
        <f>IFERROR(__xludf.DUMMYFUNCTION("""COMPUTED_VALUE"""),3.0)</f>
        <v>3</v>
      </c>
      <c r="AN1018" s="133" t="str">
        <f>IFERROR(__xludf.DUMMYFUNCTION("""COMPUTED_VALUE"""),"3.5")</f>
        <v>3.5</v>
      </c>
      <c r="AO1018" s="133">
        <f>IFERROR(__xludf.DUMMYFUNCTION("""COMPUTED_VALUE"""),3.0)</f>
        <v>3</v>
      </c>
      <c r="AP1018" s="155" t="s">
        <v>3736</v>
      </c>
    </row>
    <row r="1019">
      <c r="A1019" s="155">
        <f>IFERROR(__xludf.DUMMYFUNCTION("""COMPUTED_VALUE"""),126.0)</f>
        <v>126</v>
      </c>
      <c r="B1019" s="155" t="str">
        <f>IFERROR(__xludf.DUMMYFUNCTION("""COMPUTED_VALUE"""),"mure23ece@cmrit.ac.in")</f>
        <v>mure23ece@cmrit.ac.in</v>
      </c>
      <c r="C1019" s="174" t="str">
        <f>IFERROR(__xludf.DUMMYFUNCTION("""COMPUTED_VALUE"""),"MUNDLA CHINNA CHENNA REDDY")</f>
        <v>MUNDLA CHINNA CHENNA REDDY</v>
      </c>
      <c r="D1019" s="155" t="str">
        <f>IFERROR(__xludf.DUMMYFUNCTION("""COMPUTED_VALUE"""),"1CR23EC130")</f>
        <v>1CR23EC130</v>
      </c>
      <c r="E1019" s="563">
        <f>IFERROR(__xludf.DUMMYFUNCTION("""COMPUTED_VALUE"""),7.416011574E9)</f>
        <v>7416011574</v>
      </c>
      <c r="F1019" s="155" t="str">
        <f>IFERROR(__xludf.DUMMYFUNCTION("""COMPUTED_VALUE"""),"ECE")</f>
        <v>ECE</v>
      </c>
      <c r="G1019" s="158"/>
      <c r="H1019" s="559">
        <f>IFERROR(__xludf.DUMMYFUNCTION("""COMPUTED_VALUE"""),81.0)</f>
        <v>81</v>
      </c>
      <c r="I1019" s="559">
        <f>IFERROR(__xludf.DUMMYFUNCTION("""COMPUTED_VALUE"""),73.0)</f>
        <v>73</v>
      </c>
      <c r="J1019" s="559">
        <f>IFERROR(__xludf.DUMMYFUNCTION("""COMPUTED_VALUE"""),44.0)</f>
        <v>44</v>
      </c>
      <c r="K1019" s="559">
        <f>IFERROR(__xludf.DUMMYFUNCTION("""COMPUTED_VALUE"""),70.0)</f>
        <v>70</v>
      </c>
      <c r="L1019" s="560">
        <f>IFERROR(__xludf.DUMMYFUNCTION("""COMPUTED_VALUE"""),67.0)</f>
        <v>67</v>
      </c>
      <c r="M1019" s="561">
        <f>IFERROR(__xludf.DUMMYFUNCTION("""COMPUTED_VALUE"""),50.0)</f>
        <v>50</v>
      </c>
      <c r="N1019" s="561">
        <f>IFERROR(__xludf.DUMMYFUNCTION("""COMPUTED_VALUE"""),78.0)</f>
        <v>78</v>
      </c>
      <c r="O1019" s="560"/>
      <c r="P1019" s="562">
        <f>IFERROR(__xludf.DUMMYFUNCTION("""COMPUTED_VALUE"""),77.0)</f>
        <v>77</v>
      </c>
      <c r="Q1019" s="562">
        <f>IFERROR(__xludf.DUMMYFUNCTION("""COMPUTED_VALUE"""),50.0)</f>
        <v>50</v>
      </c>
      <c r="R1019" s="562">
        <f>IFERROR(__xludf.DUMMYFUNCTION("""COMPUTED_VALUE"""),50.0)</f>
        <v>50</v>
      </c>
      <c r="S1019" s="562"/>
      <c r="T1019" s="217">
        <f>IFERROR(__xludf.DUMMYFUNCTION("""COMPUTED_VALUE"""),19.0)</f>
        <v>19</v>
      </c>
      <c r="U1019" s="217">
        <f>IFERROR(__xludf.DUMMYFUNCTION("""COMPUTED_VALUE"""),14.0)</f>
        <v>14</v>
      </c>
      <c r="V1019" s="217">
        <f>IFERROR(__xludf.DUMMYFUNCTION("""COMPUTED_VALUE"""),50.0)</f>
        <v>50</v>
      </c>
      <c r="W1019" s="217">
        <f>IFERROR(__xludf.DUMMYFUNCTION("""COMPUTED_VALUE"""),80.0)</f>
        <v>80</v>
      </c>
      <c r="X1019" s="217">
        <f>IFERROR(__xludf.DUMMYFUNCTION("""COMPUTED_VALUE"""),78.0)</f>
        <v>78</v>
      </c>
      <c r="Y1019" s="217"/>
      <c r="Z1019" s="217"/>
      <c r="AA1019" s="481">
        <f>IFERROR(__xludf.DUMMYFUNCTION("""COMPUTED_VALUE"""),72.0)</f>
        <v>72</v>
      </c>
      <c r="AB1019" s="481">
        <f>IFERROR(__xludf.DUMMYFUNCTION("""COMPUTED_VALUE"""),100.0)</f>
        <v>100</v>
      </c>
      <c r="AC1019" s="481">
        <f>IFERROR(__xludf.DUMMYFUNCTION("""COMPUTED_VALUE"""),99.0)</f>
        <v>99</v>
      </c>
      <c r="AD1019" s="481"/>
      <c r="AE1019" s="481">
        <f>IFERROR(__xludf.DUMMYFUNCTION("""COMPUTED_VALUE"""),84.0)</f>
        <v>84</v>
      </c>
      <c r="AF1019" s="481"/>
      <c r="AG1019" s="481">
        <f>IFERROR(__xludf.DUMMYFUNCTION("""COMPUTED_VALUE"""),72.0)</f>
        <v>72</v>
      </c>
      <c r="AH1019" s="481"/>
      <c r="AI1019" s="158"/>
      <c r="AJ1019" s="158"/>
      <c r="AK1019" s="133">
        <f>IFERROR(__xludf.DUMMYFUNCTION("""COMPUTED_VALUE"""),2.0)</f>
        <v>2</v>
      </c>
      <c r="AL1019" s="133">
        <f>IFERROR(__xludf.DUMMYFUNCTION("""COMPUTED_VALUE"""),3.0)</f>
        <v>3</v>
      </c>
      <c r="AM1019" s="133">
        <f>IFERROR(__xludf.DUMMYFUNCTION("""COMPUTED_VALUE"""),3.0)</f>
        <v>3</v>
      </c>
      <c r="AN1019" s="133" t="str">
        <f>IFERROR(__xludf.DUMMYFUNCTION("""COMPUTED_VALUE"""),"3.5")</f>
        <v>3.5</v>
      </c>
      <c r="AO1019" s="133">
        <f>IFERROR(__xludf.DUMMYFUNCTION("""COMPUTED_VALUE"""),3.0)</f>
        <v>3</v>
      </c>
      <c r="AP1019" s="155" t="s">
        <v>3736</v>
      </c>
    </row>
    <row r="1020">
      <c r="A1020" s="155">
        <f>IFERROR(__xludf.DUMMYFUNCTION("""COMPUTED_VALUE"""),127.0)</f>
        <v>127</v>
      </c>
      <c r="B1020" s="155" t="str">
        <f>IFERROR(__xludf.DUMMYFUNCTION("""COMPUTED_VALUE"""),"nasa23ece@cmrit.ac.in")</f>
        <v>nasa23ece@cmrit.ac.in</v>
      </c>
      <c r="C1020" s="174" t="str">
        <f>IFERROR(__xludf.DUMMYFUNCTION("""COMPUTED_VALUE"""),"NAMAN SAINI")</f>
        <v>NAMAN SAINI</v>
      </c>
      <c r="D1020" s="155" t="str">
        <f>IFERROR(__xludf.DUMMYFUNCTION("""COMPUTED_VALUE"""),"1CR23EC131")</f>
        <v>1CR23EC131</v>
      </c>
      <c r="E1020" s="563">
        <f>IFERROR(__xludf.DUMMYFUNCTION("""COMPUTED_VALUE"""),9.632997924E9)</f>
        <v>9632997924</v>
      </c>
      <c r="F1020" s="155" t="str">
        <f>IFERROR(__xludf.DUMMYFUNCTION("""COMPUTED_VALUE"""),"ECE")</f>
        <v>ECE</v>
      </c>
      <c r="G1020" s="158"/>
      <c r="H1020" s="559">
        <f>IFERROR(__xludf.DUMMYFUNCTION("""COMPUTED_VALUE"""),87.0)</f>
        <v>87</v>
      </c>
      <c r="I1020" s="559">
        <f>IFERROR(__xludf.DUMMYFUNCTION("""COMPUTED_VALUE"""),92.0)</f>
        <v>92</v>
      </c>
      <c r="J1020" s="559">
        <f>IFERROR(__xludf.DUMMYFUNCTION("""COMPUTED_VALUE"""),70.0)</f>
        <v>70</v>
      </c>
      <c r="K1020" s="559">
        <f>IFERROR(__xludf.DUMMYFUNCTION("""COMPUTED_VALUE"""),70.0)</f>
        <v>70</v>
      </c>
      <c r="L1020" s="560">
        <f>IFERROR(__xludf.DUMMYFUNCTION("""COMPUTED_VALUE"""),44.0)</f>
        <v>44</v>
      </c>
      <c r="M1020" s="561">
        <f>IFERROR(__xludf.DUMMYFUNCTION("""COMPUTED_VALUE"""),22.0)</f>
        <v>22</v>
      </c>
      <c r="N1020" s="561">
        <f>IFERROR(__xludf.DUMMYFUNCTION("""COMPUTED_VALUE"""),15.0)</f>
        <v>15</v>
      </c>
      <c r="O1020" s="560"/>
      <c r="P1020" s="562">
        <f>IFERROR(__xludf.DUMMYFUNCTION("""COMPUTED_VALUE"""),80.0)</f>
        <v>80</v>
      </c>
      <c r="Q1020" s="562">
        <f>IFERROR(__xludf.DUMMYFUNCTION("""COMPUTED_VALUE"""),72.0)</f>
        <v>72</v>
      </c>
      <c r="R1020" s="562">
        <f>IFERROR(__xludf.DUMMYFUNCTION("""COMPUTED_VALUE"""),38.0)</f>
        <v>38</v>
      </c>
      <c r="S1020" s="562"/>
      <c r="T1020" s="217">
        <f>IFERROR(__xludf.DUMMYFUNCTION("""COMPUTED_VALUE"""),10.0)</f>
        <v>10</v>
      </c>
      <c r="U1020" s="217">
        <f>IFERROR(__xludf.DUMMYFUNCTION("""COMPUTED_VALUE"""),16.0)</f>
        <v>16</v>
      </c>
      <c r="V1020" s="217">
        <f>IFERROR(__xludf.DUMMYFUNCTION("""COMPUTED_VALUE"""),54.0)</f>
        <v>54</v>
      </c>
      <c r="W1020" s="217">
        <f>IFERROR(__xludf.DUMMYFUNCTION("""COMPUTED_VALUE"""),78.0)</f>
        <v>78</v>
      </c>
      <c r="X1020" s="217"/>
      <c r="Y1020" s="217"/>
      <c r="Z1020" s="217"/>
      <c r="AA1020" s="481">
        <f>IFERROR(__xludf.DUMMYFUNCTION("""COMPUTED_VALUE"""),76.0)</f>
        <v>76</v>
      </c>
      <c r="AB1020" s="481">
        <f>IFERROR(__xludf.DUMMYFUNCTION("""COMPUTED_VALUE"""),90.0)</f>
        <v>90</v>
      </c>
      <c r="AC1020" s="481">
        <f>IFERROR(__xludf.DUMMYFUNCTION("""COMPUTED_VALUE"""),78.0)</f>
        <v>78</v>
      </c>
      <c r="AD1020" s="481"/>
      <c r="AE1020" s="481">
        <f>IFERROR(__xludf.DUMMYFUNCTION("""COMPUTED_VALUE"""),24.0)</f>
        <v>24</v>
      </c>
      <c r="AF1020" s="481"/>
      <c r="AG1020" s="481"/>
      <c r="AH1020" s="481"/>
      <c r="AI1020" s="158"/>
      <c r="AJ1020" s="158"/>
      <c r="AK1020" s="133">
        <f>IFERROR(__xludf.DUMMYFUNCTION("""COMPUTED_VALUE"""),4.0)</f>
        <v>4</v>
      </c>
      <c r="AL1020" s="133">
        <f>IFERROR(__xludf.DUMMYFUNCTION("""COMPUTED_VALUE"""),0.0)</f>
        <v>0</v>
      </c>
      <c r="AM1020" s="133">
        <f>IFERROR(__xludf.DUMMYFUNCTION("""COMPUTED_VALUE"""),3.0)</f>
        <v>3</v>
      </c>
      <c r="AN1020" s="133" t="str">
        <f>IFERROR(__xludf.DUMMYFUNCTION("""COMPUTED_VALUE"""),"3")</f>
        <v>3</v>
      </c>
      <c r="AO1020" s="133">
        <f>IFERROR(__xludf.DUMMYFUNCTION("""COMPUTED_VALUE"""),2.0)</f>
        <v>2</v>
      </c>
      <c r="AP1020" s="155" t="s">
        <v>3736</v>
      </c>
    </row>
    <row r="1021">
      <c r="A1021" s="155">
        <f>IFERROR(__xludf.DUMMYFUNCTION("""COMPUTED_VALUE"""),128.0)</f>
        <v>128</v>
      </c>
      <c r="B1021" s="155" t="str">
        <f>IFERROR(__xludf.DUMMYFUNCTION("""COMPUTED_VALUE"""),"nad23ece@cmrit.ac.in")</f>
        <v>nad23ece@cmrit.ac.in</v>
      </c>
      <c r="C1021" s="174" t="str">
        <f>IFERROR(__xludf.DUMMYFUNCTION("""COMPUTED_VALUE"""),"NAYANA D")</f>
        <v>NAYANA D</v>
      </c>
      <c r="D1021" s="155" t="str">
        <f>IFERROR(__xludf.DUMMYFUNCTION("""COMPUTED_VALUE"""),"1CR23EC132")</f>
        <v>1CR23EC132</v>
      </c>
      <c r="E1021" s="563">
        <f>IFERROR(__xludf.DUMMYFUNCTION("""COMPUTED_VALUE"""),9.986077379E9)</f>
        <v>9986077379</v>
      </c>
      <c r="F1021" s="155" t="str">
        <f>IFERROR(__xludf.DUMMYFUNCTION("""COMPUTED_VALUE"""),"ECE")</f>
        <v>ECE</v>
      </c>
      <c r="G1021" s="158"/>
      <c r="H1021" s="559">
        <f>IFERROR(__xludf.DUMMYFUNCTION("""COMPUTED_VALUE"""),72.0)</f>
        <v>72</v>
      </c>
      <c r="I1021" s="559">
        <f>IFERROR(__xludf.DUMMYFUNCTION("""COMPUTED_VALUE"""),73.0)</f>
        <v>73</v>
      </c>
      <c r="J1021" s="559">
        <f>IFERROR(__xludf.DUMMYFUNCTION("""COMPUTED_VALUE"""),70.0)</f>
        <v>70</v>
      </c>
      <c r="K1021" s="559">
        <f>IFERROR(__xludf.DUMMYFUNCTION("""COMPUTED_VALUE"""),78.0)</f>
        <v>78</v>
      </c>
      <c r="L1021" s="560">
        <f>IFERROR(__xludf.DUMMYFUNCTION("""COMPUTED_VALUE"""),52.0)</f>
        <v>52</v>
      </c>
      <c r="M1021" s="561">
        <f>IFERROR(__xludf.DUMMYFUNCTION("""COMPUTED_VALUE"""),50.0)</f>
        <v>50</v>
      </c>
      <c r="N1021" s="561">
        <f>IFERROR(__xludf.DUMMYFUNCTION("""COMPUTED_VALUE"""),29.0)</f>
        <v>29</v>
      </c>
      <c r="O1021" s="560"/>
      <c r="P1021" s="562">
        <f>IFERROR(__xludf.DUMMYFUNCTION("""COMPUTED_VALUE"""),80.0)</f>
        <v>80</v>
      </c>
      <c r="Q1021" s="562">
        <f>IFERROR(__xludf.DUMMYFUNCTION("""COMPUTED_VALUE"""),85.0)</f>
        <v>85</v>
      </c>
      <c r="R1021" s="562">
        <f>IFERROR(__xludf.DUMMYFUNCTION("""COMPUTED_VALUE"""),85.0)</f>
        <v>85</v>
      </c>
      <c r="S1021" s="562"/>
      <c r="T1021" s="217">
        <f>IFERROR(__xludf.DUMMYFUNCTION("""COMPUTED_VALUE"""),11.0)</f>
        <v>11</v>
      </c>
      <c r="U1021" s="217">
        <f>IFERROR(__xludf.DUMMYFUNCTION("""COMPUTED_VALUE"""),19.0)</f>
        <v>19</v>
      </c>
      <c r="V1021" s="217">
        <f>IFERROR(__xludf.DUMMYFUNCTION("""COMPUTED_VALUE"""),42.0)</f>
        <v>42</v>
      </c>
      <c r="W1021" s="217">
        <f>IFERROR(__xludf.DUMMYFUNCTION("""COMPUTED_VALUE"""),84.0)</f>
        <v>84</v>
      </c>
      <c r="X1021" s="217">
        <f>IFERROR(__xludf.DUMMYFUNCTION("""COMPUTED_VALUE"""),76.0)</f>
        <v>76</v>
      </c>
      <c r="Y1021" s="217"/>
      <c r="Z1021" s="217"/>
      <c r="AA1021" s="481">
        <f>IFERROR(__xludf.DUMMYFUNCTION("""COMPUTED_VALUE"""),76.0)</f>
        <v>76</v>
      </c>
      <c r="AB1021" s="481">
        <f>IFERROR(__xludf.DUMMYFUNCTION("""COMPUTED_VALUE"""),100.0)</f>
        <v>100</v>
      </c>
      <c r="AC1021" s="481">
        <f>IFERROR(__xludf.DUMMYFUNCTION("""COMPUTED_VALUE"""),80.0)</f>
        <v>80</v>
      </c>
      <c r="AD1021" s="481"/>
      <c r="AE1021" s="481">
        <f>IFERROR(__xludf.DUMMYFUNCTION("""COMPUTED_VALUE"""),80.0)</f>
        <v>80</v>
      </c>
      <c r="AF1021" s="481"/>
      <c r="AG1021" s="481">
        <f>IFERROR(__xludf.DUMMYFUNCTION("""COMPUTED_VALUE"""),79.0)</f>
        <v>79</v>
      </c>
      <c r="AH1021" s="481"/>
      <c r="AI1021" s="158"/>
      <c r="AJ1021" s="158"/>
      <c r="AK1021" s="133">
        <f>IFERROR(__xludf.DUMMYFUNCTION("""COMPUTED_VALUE"""),4.0)</f>
        <v>4</v>
      </c>
      <c r="AL1021" s="133">
        <f>IFERROR(__xludf.DUMMYFUNCTION("""COMPUTED_VALUE"""),2.0)</f>
        <v>2</v>
      </c>
      <c r="AM1021" s="133">
        <f>IFERROR(__xludf.DUMMYFUNCTION("""COMPUTED_VALUE"""),3.0)</f>
        <v>3</v>
      </c>
      <c r="AN1021" s="133" t="str">
        <f>IFERROR(__xludf.DUMMYFUNCTION("""COMPUTED_VALUE"""),"3.5")</f>
        <v>3.5</v>
      </c>
      <c r="AO1021" s="133">
        <f>IFERROR(__xludf.DUMMYFUNCTION("""COMPUTED_VALUE"""),3.0)</f>
        <v>3</v>
      </c>
      <c r="AP1021" s="155" t="s">
        <v>3736</v>
      </c>
    </row>
    <row r="1022">
      <c r="A1022" s="155">
        <f>IFERROR(__xludf.DUMMYFUNCTION("""COMPUTED_VALUE"""),129.0)</f>
        <v>129</v>
      </c>
      <c r="B1022" s="155" t="str">
        <f>IFERROR(__xludf.DUMMYFUNCTION("""COMPUTED_VALUE"""),"ne23ece@cmrit.ac.in")</f>
        <v>ne23ece@cmrit.ac.in</v>
      </c>
      <c r="C1022" s="174" t="str">
        <f>IFERROR(__xludf.DUMMYFUNCTION("""COMPUTED_VALUE"""),"Neetha ")</f>
        <v>Neetha </v>
      </c>
      <c r="D1022" s="155" t="str">
        <f>IFERROR(__xludf.DUMMYFUNCTION("""COMPUTED_VALUE"""),"1CR23EC133")</f>
        <v>1CR23EC133</v>
      </c>
      <c r="E1022" s="563">
        <f>IFERROR(__xludf.DUMMYFUNCTION("""COMPUTED_VALUE"""),7.204231983E9)</f>
        <v>7204231983</v>
      </c>
      <c r="F1022" s="155" t="str">
        <f>IFERROR(__xludf.DUMMYFUNCTION("""COMPUTED_VALUE"""),"ECE")</f>
        <v>ECE</v>
      </c>
      <c r="G1022" s="158"/>
      <c r="H1022" s="559">
        <f>IFERROR(__xludf.DUMMYFUNCTION("""COMPUTED_VALUE"""),82.0)</f>
        <v>82</v>
      </c>
      <c r="I1022" s="559">
        <f>IFERROR(__xludf.DUMMYFUNCTION("""COMPUTED_VALUE"""),84.0)</f>
        <v>84</v>
      </c>
      <c r="J1022" s="559">
        <f>IFERROR(__xludf.DUMMYFUNCTION("""COMPUTED_VALUE"""),70.0)</f>
        <v>70</v>
      </c>
      <c r="K1022" s="559">
        <f>IFERROR(__xludf.DUMMYFUNCTION("""COMPUTED_VALUE"""),70.0)</f>
        <v>70</v>
      </c>
      <c r="L1022" s="560">
        <f>IFERROR(__xludf.DUMMYFUNCTION("""COMPUTED_VALUE"""),61.0)</f>
        <v>61</v>
      </c>
      <c r="M1022" s="561">
        <f>IFERROR(__xludf.DUMMYFUNCTION("""COMPUTED_VALUE"""),50.0)</f>
        <v>50</v>
      </c>
      <c r="N1022" s="561">
        <f>IFERROR(__xludf.DUMMYFUNCTION("""COMPUTED_VALUE"""),44.0)</f>
        <v>44</v>
      </c>
      <c r="O1022" s="560"/>
      <c r="P1022" s="562">
        <f>IFERROR(__xludf.DUMMYFUNCTION("""COMPUTED_VALUE"""),70.0)</f>
        <v>70</v>
      </c>
      <c r="Q1022" s="562">
        <f>IFERROR(__xludf.DUMMYFUNCTION("""COMPUTED_VALUE"""),74.0)</f>
        <v>74</v>
      </c>
      <c r="R1022" s="562">
        <f>IFERROR(__xludf.DUMMYFUNCTION("""COMPUTED_VALUE"""),95.0)</f>
        <v>95</v>
      </c>
      <c r="S1022" s="562"/>
      <c r="T1022" s="217">
        <f>IFERROR(__xludf.DUMMYFUNCTION("""COMPUTED_VALUE"""),10.0)</f>
        <v>10</v>
      </c>
      <c r="U1022" s="217">
        <f>IFERROR(__xludf.DUMMYFUNCTION("""COMPUTED_VALUE"""),18.0)</f>
        <v>18</v>
      </c>
      <c r="V1022" s="217">
        <f>IFERROR(__xludf.DUMMYFUNCTION("""COMPUTED_VALUE"""),56.0)</f>
        <v>56</v>
      </c>
      <c r="W1022" s="217">
        <f>IFERROR(__xludf.DUMMYFUNCTION("""COMPUTED_VALUE"""),86.0)</f>
        <v>86</v>
      </c>
      <c r="X1022" s="217">
        <f>IFERROR(__xludf.DUMMYFUNCTION("""COMPUTED_VALUE"""),72.0)</f>
        <v>72</v>
      </c>
      <c r="Y1022" s="217"/>
      <c r="Z1022" s="217"/>
      <c r="AA1022" s="481">
        <f>IFERROR(__xludf.DUMMYFUNCTION("""COMPUTED_VALUE"""),53.0)</f>
        <v>53</v>
      </c>
      <c r="AB1022" s="481">
        <f>IFERROR(__xludf.DUMMYFUNCTION("""COMPUTED_VALUE"""),93.0)</f>
        <v>93</v>
      </c>
      <c r="AC1022" s="481">
        <f>IFERROR(__xludf.DUMMYFUNCTION("""COMPUTED_VALUE"""),60.0)</f>
        <v>60</v>
      </c>
      <c r="AD1022" s="481"/>
      <c r="AE1022" s="481">
        <f>IFERROR(__xludf.DUMMYFUNCTION("""COMPUTED_VALUE"""),70.0)</f>
        <v>70</v>
      </c>
      <c r="AF1022" s="481"/>
      <c r="AG1022" s="481"/>
      <c r="AH1022" s="481"/>
      <c r="AI1022" s="158"/>
      <c r="AJ1022" s="158"/>
      <c r="AK1022" s="133">
        <f>IFERROR(__xludf.DUMMYFUNCTION("""COMPUTED_VALUE"""),4.0)</f>
        <v>4</v>
      </c>
      <c r="AL1022" s="133">
        <f>IFERROR(__xludf.DUMMYFUNCTION("""COMPUTED_VALUE"""),2.0)</f>
        <v>2</v>
      </c>
      <c r="AM1022" s="133">
        <f>IFERROR(__xludf.DUMMYFUNCTION("""COMPUTED_VALUE"""),3.0)</f>
        <v>3</v>
      </c>
      <c r="AN1022" s="133" t="str">
        <f>IFERROR(__xludf.DUMMYFUNCTION("""COMPUTED_VALUE"""),"3.5")</f>
        <v>3.5</v>
      </c>
      <c r="AO1022" s="133">
        <f>IFERROR(__xludf.DUMMYFUNCTION("""COMPUTED_VALUE"""),3.0)</f>
        <v>3</v>
      </c>
      <c r="AP1022" s="155" t="s">
        <v>3736</v>
      </c>
    </row>
    <row r="1023">
      <c r="A1023" s="155">
        <f>IFERROR(__xludf.DUMMYFUNCTION("""COMPUTED_VALUE"""),130.0)</f>
        <v>130</v>
      </c>
      <c r="B1023" s="155" t="str">
        <f>IFERROR(__xludf.DUMMYFUNCTION("""COMPUTED_VALUE"""),"ne23ece@cmrit.ac.in")</f>
        <v>ne23ece@cmrit.ac.in</v>
      </c>
      <c r="C1023" s="174" t="str">
        <f>IFERROR(__xludf.DUMMYFUNCTION("""COMPUTED_VALUE"""),"NEHA")</f>
        <v>NEHA</v>
      </c>
      <c r="D1023" s="155" t="str">
        <f>IFERROR(__xludf.DUMMYFUNCTION("""COMPUTED_VALUE"""),"1CR23EC134")</f>
        <v>1CR23EC134</v>
      </c>
      <c r="E1023" s="563">
        <f>IFERROR(__xludf.DUMMYFUNCTION("""COMPUTED_VALUE"""),8.105858914E9)</f>
        <v>8105858914</v>
      </c>
      <c r="F1023" s="155" t="str">
        <f>IFERROR(__xludf.DUMMYFUNCTION("""COMPUTED_VALUE"""),"ECE")</f>
        <v>ECE</v>
      </c>
      <c r="G1023" s="158"/>
      <c r="H1023" s="559">
        <f>IFERROR(__xludf.DUMMYFUNCTION("""COMPUTED_VALUE"""),81.0)</f>
        <v>81</v>
      </c>
      <c r="I1023" s="559">
        <f>IFERROR(__xludf.DUMMYFUNCTION("""COMPUTED_VALUE"""),84.0)</f>
        <v>84</v>
      </c>
      <c r="J1023" s="559">
        <f>IFERROR(__xludf.DUMMYFUNCTION("""COMPUTED_VALUE"""),83.0)</f>
        <v>83</v>
      </c>
      <c r="K1023" s="559">
        <f>IFERROR(__xludf.DUMMYFUNCTION("""COMPUTED_VALUE"""),77.0)</f>
        <v>77</v>
      </c>
      <c r="L1023" s="560">
        <f>IFERROR(__xludf.DUMMYFUNCTION("""COMPUTED_VALUE"""),50.0)</f>
        <v>50</v>
      </c>
      <c r="M1023" s="561">
        <f>IFERROR(__xludf.DUMMYFUNCTION("""COMPUTED_VALUE"""),50.0)</f>
        <v>50</v>
      </c>
      <c r="N1023" s="561">
        <f>IFERROR(__xludf.DUMMYFUNCTION("""COMPUTED_VALUE"""),50.0)</f>
        <v>50</v>
      </c>
      <c r="O1023" s="560"/>
      <c r="P1023" s="562">
        <f>IFERROR(__xludf.DUMMYFUNCTION("""COMPUTED_VALUE"""),80.0)</f>
        <v>80</v>
      </c>
      <c r="Q1023" s="562">
        <f>IFERROR(__xludf.DUMMYFUNCTION("""COMPUTED_VALUE"""),87.0)</f>
        <v>87</v>
      </c>
      <c r="R1023" s="562">
        <f>IFERROR(__xludf.DUMMYFUNCTION("""COMPUTED_VALUE"""),92.0)</f>
        <v>92</v>
      </c>
      <c r="S1023" s="562"/>
      <c r="T1023" s="217">
        <f>IFERROR(__xludf.DUMMYFUNCTION("""COMPUTED_VALUE"""),14.0)</f>
        <v>14</v>
      </c>
      <c r="U1023" s="217">
        <f>IFERROR(__xludf.DUMMYFUNCTION("""COMPUTED_VALUE"""),13.0)</f>
        <v>13</v>
      </c>
      <c r="V1023" s="217">
        <f>IFERROR(__xludf.DUMMYFUNCTION("""COMPUTED_VALUE"""),54.0)</f>
        <v>54</v>
      </c>
      <c r="W1023" s="217">
        <f>IFERROR(__xludf.DUMMYFUNCTION("""COMPUTED_VALUE"""),84.0)</f>
        <v>84</v>
      </c>
      <c r="X1023" s="217">
        <f>IFERROR(__xludf.DUMMYFUNCTION("""COMPUTED_VALUE"""),72.0)</f>
        <v>72</v>
      </c>
      <c r="Y1023" s="217"/>
      <c r="Z1023" s="217"/>
      <c r="AA1023" s="481">
        <f>IFERROR(__xludf.DUMMYFUNCTION("""COMPUTED_VALUE"""),100.0)</f>
        <v>100</v>
      </c>
      <c r="AB1023" s="481">
        <f>IFERROR(__xludf.DUMMYFUNCTION("""COMPUTED_VALUE"""),100.0)</f>
        <v>100</v>
      </c>
      <c r="AC1023" s="481">
        <f>IFERROR(__xludf.DUMMYFUNCTION("""COMPUTED_VALUE"""),86.0)</f>
        <v>86</v>
      </c>
      <c r="AD1023" s="481"/>
      <c r="AE1023" s="481">
        <f>IFERROR(__xludf.DUMMYFUNCTION("""COMPUTED_VALUE"""),70.0)</f>
        <v>70</v>
      </c>
      <c r="AF1023" s="481"/>
      <c r="AG1023" s="481"/>
      <c r="AH1023" s="481">
        <f>IFERROR(__xludf.DUMMYFUNCTION("""COMPUTED_VALUE"""),81.0)</f>
        <v>81</v>
      </c>
      <c r="AI1023" s="158"/>
      <c r="AJ1023" s="158"/>
      <c r="AK1023" s="133">
        <f>IFERROR(__xludf.DUMMYFUNCTION("""COMPUTED_VALUE"""),4.0)</f>
        <v>4</v>
      </c>
      <c r="AL1023" s="133">
        <f>IFERROR(__xludf.DUMMYFUNCTION("""COMPUTED_VALUE"""),3.0)</f>
        <v>3</v>
      </c>
      <c r="AM1023" s="133">
        <f>IFERROR(__xludf.DUMMYFUNCTION("""COMPUTED_VALUE"""),3.0)</f>
        <v>3</v>
      </c>
      <c r="AN1023" s="133" t="str">
        <f>IFERROR(__xludf.DUMMYFUNCTION("""COMPUTED_VALUE"""),"3.5")</f>
        <v>3.5</v>
      </c>
      <c r="AO1023" s="133">
        <f>IFERROR(__xludf.DUMMYFUNCTION("""COMPUTED_VALUE"""),3.0)</f>
        <v>3</v>
      </c>
      <c r="AP1023" s="155" t="s">
        <v>3736</v>
      </c>
    </row>
    <row r="1024">
      <c r="A1024" s="155">
        <f>IFERROR(__xludf.DUMMYFUNCTION("""COMPUTED_VALUE"""),131.0)</f>
        <v>131</v>
      </c>
      <c r="B1024" s="155" t="str">
        <f>IFERROR(__xludf.DUMMYFUNCTION("""COMPUTED_VALUE"""),"nes23ece@cmrit.ac.in")</f>
        <v>nes23ece@cmrit.ac.in</v>
      </c>
      <c r="C1024" s="174" t="str">
        <f>IFERROR(__xludf.DUMMYFUNCTION("""COMPUTED_VALUE"""),"NEHARIKA S PATEL")</f>
        <v>NEHARIKA S PATEL</v>
      </c>
      <c r="D1024" s="155" t="str">
        <f>IFERROR(__xludf.DUMMYFUNCTION("""COMPUTED_VALUE"""),"1CR23EC135")</f>
        <v>1CR23EC135</v>
      </c>
      <c r="E1024" s="563">
        <f>IFERROR(__xludf.DUMMYFUNCTION("""COMPUTED_VALUE"""),7.892966523E9)</f>
        <v>7892966523</v>
      </c>
      <c r="F1024" s="155" t="str">
        <f>IFERROR(__xludf.DUMMYFUNCTION("""COMPUTED_VALUE"""),"ECE")</f>
        <v>ECE</v>
      </c>
      <c r="G1024" s="158"/>
      <c r="H1024" s="559">
        <f>IFERROR(__xludf.DUMMYFUNCTION("""COMPUTED_VALUE"""),80.0)</f>
        <v>80</v>
      </c>
      <c r="I1024" s="559">
        <f>IFERROR(__xludf.DUMMYFUNCTION("""COMPUTED_VALUE"""),85.0)</f>
        <v>85</v>
      </c>
      <c r="J1024" s="559">
        <f>IFERROR(__xludf.DUMMYFUNCTION("""COMPUTED_VALUE"""),70.0)</f>
        <v>70</v>
      </c>
      <c r="K1024" s="559">
        <f>IFERROR(__xludf.DUMMYFUNCTION("""COMPUTED_VALUE"""),70.0)</f>
        <v>70</v>
      </c>
      <c r="L1024" s="560">
        <f>IFERROR(__xludf.DUMMYFUNCTION("""COMPUTED_VALUE"""),50.0)</f>
        <v>50</v>
      </c>
      <c r="M1024" s="561">
        <f>IFERROR(__xludf.DUMMYFUNCTION("""COMPUTED_VALUE"""),15.0)</f>
        <v>15</v>
      </c>
      <c r="N1024" s="561">
        <f>IFERROR(__xludf.DUMMYFUNCTION("""COMPUTED_VALUE"""),44.0)</f>
        <v>44</v>
      </c>
      <c r="O1024" s="560"/>
      <c r="P1024" s="562">
        <f>IFERROR(__xludf.DUMMYFUNCTION("""COMPUTED_VALUE"""),73.0)</f>
        <v>73</v>
      </c>
      <c r="Q1024" s="562">
        <f>IFERROR(__xludf.DUMMYFUNCTION("""COMPUTED_VALUE"""),85.0)</f>
        <v>85</v>
      </c>
      <c r="R1024" s="562">
        <f>IFERROR(__xludf.DUMMYFUNCTION("""COMPUTED_VALUE"""),89.0)</f>
        <v>89</v>
      </c>
      <c r="S1024" s="562"/>
      <c r="T1024" s="217">
        <f>IFERROR(__xludf.DUMMYFUNCTION("""COMPUTED_VALUE"""),11.0)</f>
        <v>11</v>
      </c>
      <c r="U1024" s="217">
        <f>IFERROR(__xludf.DUMMYFUNCTION("""COMPUTED_VALUE"""),15.0)</f>
        <v>15</v>
      </c>
      <c r="V1024" s="217">
        <f>IFERROR(__xludf.DUMMYFUNCTION("""COMPUTED_VALUE"""),20.0)</f>
        <v>20</v>
      </c>
      <c r="W1024" s="217">
        <f>IFERROR(__xludf.DUMMYFUNCTION("""COMPUTED_VALUE"""),82.0)</f>
        <v>82</v>
      </c>
      <c r="X1024" s="217">
        <f>IFERROR(__xludf.DUMMYFUNCTION("""COMPUTED_VALUE"""),80.0)</f>
        <v>80</v>
      </c>
      <c r="Y1024" s="217"/>
      <c r="Z1024" s="217"/>
      <c r="AA1024" s="481">
        <f>IFERROR(__xludf.DUMMYFUNCTION("""COMPUTED_VALUE"""),60.0)</f>
        <v>60</v>
      </c>
      <c r="AB1024" s="481">
        <f>IFERROR(__xludf.DUMMYFUNCTION("""COMPUTED_VALUE"""),84.0)</f>
        <v>84</v>
      </c>
      <c r="AC1024" s="481">
        <f>IFERROR(__xludf.DUMMYFUNCTION("""COMPUTED_VALUE"""),94.0)</f>
        <v>94</v>
      </c>
      <c r="AD1024" s="481"/>
      <c r="AE1024" s="481">
        <f>IFERROR(__xludf.DUMMYFUNCTION("""COMPUTED_VALUE"""),26.0)</f>
        <v>26</v>
      </c>
      <c r="AF1024" s="481"/>
      <c r="AG1024" s="481"/>
      <c r="AH1024" s="481">
        <f>IFERROR(__xludf.DUMMYFUNCTION("""COMPUTED_VALUE"""),45.0)</f>
        <v>45</v>
      </c>
      <c r="AI1024" s="158"/>
      <c r="AJ1024" s="158"/>
      <c r="AK1024" s="133">
        <f>IFERROR(__xludf.DUMMYFUNCTION("""COMPUTED_VALUE"""),4.0)</f>
        <v>4</v>
      </c>
      <c r="AL1024" s="133">
        <f>IFERROR(__xludf.DUMMYFUNCTION("""COMPUTED_VALUE"""),1.0)</f>
        <v>1</v>
      </c>
      <c r="AM1024" s="133">
        <f>IFERROR(__xludf.DUMMYFUNCTION("""COMPUTED_VALUE"""),3.0)</f>
        <v>3</v>
      </c>
      <c r="AN1024" s="133" t="str">
        <f>IFERROR(__xludf.DUMMYFUNCTION("""COMPUTED_VALUE"""),"3")</f>
        <v>3</v>
      </c>
      <c r="AO1024" s="133">
        <f>IFERROR(__xludf.DUMMYFUNCTION("""COMPUTED_VALUE"""),3.0)</f>
        <v>3</v>
      </c>
      <c r="AP1024" s="155" t="s">
        <v>3736</v>
      </c>
    </row>
    <row r="1025">
      <c r="A1025" s="155">
        <f>IFERROR(__xludf.DUMMYFUNCTION("""COMPUTED_VALUE"""),132.0)</f>
        <v>132</v>
      </c>
      <c r="B1025" s="155" t="str">
        <f>IFERROR(__xludf.DUMMYFUNCTION("""COMPUTED_VALUE"""),"nil23ece@cmrit.ac.in")</f>
        <v>nil23ece@cmrit.ac.in</v>
      </c>
      <c r="C1025" s="174" t="str">
        <f>IFERROR(__xludf.DUMMYFUNCTION("""COMPUTED_VALUE"""),"Nikhil L")</f>
        <v>Nikhil L</v>
      </c>
      <c r="D1025" s="155" t="str">
        <f>IFERROR(__xludf.DUMMYFUNCTION("""COMPUTED_VALUE"""),"1CR23EC136")</f>
        <v>1CR23EC136</v>
      </c>
      <c r="E1025" s="563">
        <f>IFERROR(__xludf.DUMMYFUNCTION("""COMPUTED_VALUE"""),6.363447757E9)</f>
        <v>6363447757</v>
      </c>
      <c r="F1025" s="155" t="str">
        <f>IFERROR(__xludf.DUMMYFUNCTION("""COMPUTED_VALUE"""),"ECE")</f>
        <v>ECE</v>
      </c>
      <c r="G1025" s="158"/>
      <c r="H1025" s="559">
        <f>IFERROR(__xludf.DUMMYFUNCTION("""COMPUTED_VALUE"""),79.0)</f>
        <v>79</v>
      </c>
      <c r="I1025" s="559">
        <f>IFERROR(__xludf.DUMMYFUNCTION("""COMPUTED_VALUE"""),84.0)</f>
        <v>84</v>
      </c>
      <c r="J1025" s="559">
        <f>IFERROR(__xludf.DUMMYFUNCTION("""COMPUTED_VALUE"""),72.0)</f>
        <v>72</v>
      </c>
      <c r="K1025" s="559">
        <f>IFERROR(__xludf.DUMMYFUNCTION("""COMPUTED_VALUE"""),70.0)</f>
        <v>70</v>
      </c>
      <c r="L1025" s="560">
        <f>IFERROR(__xludf.DUMMYFUNCTION("""COMPUTED_VALUE"""),50.0)</f>
        <v>50</v>
      </c>
      <c r="M1025" s="561">
        <f>IFERROR(__xludf.DUMMYFUNCTION("""COMPUTED_VALUE"""),50.0)</f>
        <v>50</v>
      </c>
      <c r="N1025" s="561">
        <f>IFERROR(__xludf.DUMMYFUNCTION("""COMPUTED_VALUE"""),70.0)</f>
        <v>70</v>
      </c>
      <c r="O1025" s="560"/>
      <c r="P1025" s="562">
        <f>IFERROR(__xludf.DUMMYFUNCTION("""COMPUTED_VALUE"""),76.0)</f>
        <v>76</v>
      </c>
      <c r="Q1025" s="562">
        <f>IFERROR(__xludf.DUMMYFUNCTION("""COMPUTED_VALUE"""),50.0)</f>
        <v>50</v>
      </c>
      <c r="R1025" s="562">
        <f>IFERROR(__xludf.DUMMYFUNCTION("""COMPUTED_VALUE"""),62.0)</f>
        <v>62</v>
      </c>
      <c r="S1025" s="562"/>
      <c r="T1025" s="217">
        <f>IFERROR(__xludf.DUMMYFUNCTION("""COMPUTED_VALUE"""),22.0)</f>
        <v>22</v>
      </c>
      <c r="U1025" s="217">
        <f>IFERROR(__xludf.DUMMYFUNCTION("""COMPUTED_VALUE"""),18.0)</f>
        <v>18</v>
      </c>
      <c r="V1025" s="217">
        <f>IFERROR(__xludf.DUMMYFUNCTION("""COMPUTED_VALUE"""),40.0)</f>
        <v>40</v>
      </c>
      <c r="W1025" s="217">
        <f>IFERROR(__xludf.DUMMYFUNCTION("""COMPUTED_VALUE"""),80.0)</f>
        <v>80</v>
      </c>
      <c r="X1025" s="217">
        <f>IFERROR(__xludf.DUMMYFUNCTION("""COMPUTED_VALUE"""),78.0)</f>
        <v>78</v>
      </c>
      <c r="Y1025" s="217"/>
      <c r="Z1025" s="217"/>
      <c r="AA1025" s="481">
        <f>IFERROR(__xludf.DUMMYFUNCTION("""COMPUTED_VALUE"""),82.0)</f>
        <v>82</v>
      </c>
      <c r="AB1025" s="481">
        <f>IFERROR(__xludf.DUMMYFUNCTION("""COMPUTED_VALUE"""),87.0)</f>
        <v>87</v>
      </c>
      <c r="AC1025" s="481">
        <f>IFERROR(__xludf.DUMMYFUNCTION("""COMPUTED_VALUE"""),80.0)</f>
        <v>80</v>
      </c>
      <c r="AD1025" s="481"/>
      <c r="AE1025" s="481">
        <f>IFERROR(__xludf.DUMMYFUNCTION("""COMPUTED_VALUE"""),40.0)</f>
        <v>40</v>
      </c>
      <c r="AF1025" s="481"/>
      <c r="AG1025" s="481"/>
      <c r="AH1025" s="481">
        <f>IFERROR(__xludf.DUMMYFUNCTION("""COMPUTED_VALUE"""),31.0)</f>
        <v>31</v>
      </c>
      <c r="AI1025" s="158"/>
      <c r="AJ1025" s="158"/>
      <c r="AK1025" s="133">
        <f>IFERROR(__xludf.DUMMYFUNCTION("""COMPUTED_VALUE"""),4.0)</f>
        <v>4</v>
      </c>
      <c r="AL1025" s="133">
        <f>IFERROR(__xludf.DUMMYFUNCTION("""COMPUTED_VALUE"""),3.0)</f>
        <v>3</v>
      </c>
      <c r="AM1025" s="133">
        <f>IFERROR(__xludf.DUMMYFUNCTION("""COMPUTED_VALUE"""),3.0)</f>
        <v>3</v>
      </c>
      <c r="AN1025" s="133" t="str">
        <f>IFERROR(__xludf.DUMMYFUNCTION("""COMPUTED_VALUE"""),"3")</f>
        <v>3</v>
      </c>
      <c r="AO1025" s="133">
        <f>IFERROR(__xludf.DUMMYFUNCTION("""COMPUTED_VALUE"""),3.0)</f>
        <v>3</v>
      </c>
      <c r="AP1025" s="155" t="s">
        <v>3736</v>
      </c>
    </row>
    <row r="1026">
      <c r="A1026" s="155">
        <f>IFERROR(__xludf.DUMMYFUNCTION("""COMPUTED_VALUE"""),133.0)</f>
        <v>133</v>
      </c>
      <c r="B1026" s="155" t="str">
        <f>IFERROR(__xludf.DUMMYFUNCTION("""COMPUTED_VALUE"""),"nium23ece@cmrit.ac.in")</f>
        <v>nium23ece@cmrit.ac.in</v>
      </c>
      <c r="C1026" s="174" t="str">
        <f>IFERROR(__xludf.DUMMYFUNCTION("""COMPUTED_VALUE"""),"NIKHIL UMAPATHY")</f>
        <v>NIKHIL UMAPATHY</v>
      </c>
      <c r="D1026" s="155" t="str">
        <f>IFERROR(__xludf.DUMMYFUNCTION("""COMPUTED_VALUE"""),"1CR23EC137")</f>
        <v>1CR23EC137</v>
      </c>
      <c r="E1026" s="563">
        <f>IFERROR(__xludf.DUMMYFUNCTION("""COMPUTED_VALUE"""),9.008134646E9)</f>
        <v>9008134646</v>
      </c>
      <c r="F1026" s="155" t="str">
        <f>IFERROR(__xludf.DUMMYFUNCTION("""COMPUTED_VALUE"""),"ECE")</f>
        <v>ECE</v>
      </c>
      <c r="G1026" s="158"/>
      <c r="H1026" s="559">
        <f>IFERROR(__xludf.DUMMYFUNCTION("""COMPUTED_VALUE"""),83.0)</f>
        <v>83</v>
      </c>
      <c r="I1026" s="559">
        <f>IFERROR(__xludf.DUMMYFUNCTION("""COMPUTED_VALUE"""),81.0)</f>
        <v>81</v>
      </c>
      <c r="J1026" s="559">
        <f>IFERROR(__xludf.DUMMYFUNCTION("""COMPUTED_VALUE"""),5.0)</f>
        <v>5</v>
      </c>
      <c r="K1026" s="559">
        <f>IFERROR(__xludf.DUMMYFUNCTION("""COMPUTED_VALUE"""),8.0)</f>
        <v>8</v>
      </c>
      <c r="L1026" s="560">
        <f>IFERROR(__xludf.DUMMYFUNCTION("""COMPUTED_VALUE"""),25.0)</f>
        <v>25</v>
      </c>
      <c r="M1026" s="561">
        <f>IFERROR(__xludf.DUMMYFUNCTION("""COMPUTED_VALUE"""),0.0)</f>
        <v>0</v>
      </c>
      <c r="N1026" s="561">
        <f>IFERROR(__xludf.DUMMYFUNCTION("""COMPUTED_VALUE"""),0.0)</f>
        <v>0</v>
      </c>
      <c r="O1026" s="560"/>
      <c r="P1026" s="562">
        <f>IFERROR(__xludf.DUMMYFUNCTION("""COMPUTED_VALUE"""),78.0)</f>
        <v>78</v>
      </c>
      <c r="Q1026" s="562">
        <f>IFERROR(__xludf.DUMMYFUNCTION("""COMPUTED_VALUE"""),0.0)</f>
        <v>0</v>
      </c>
      <c r="R1026" s="562">
        <f>IFERROR(__xludf.DUMMYFUNCTION("""COMPUTED_VALUE"""),0.0)</f>
        <v>0</v>
      </c>
      <c r="S1026" s="562"/>
      <c r="T1026" s="217">
        <f>IFERROR(__xludf.DUMMYFUNCTION("""COMPUTED_VALUE"""),13.0)</f>
        <v>13</v>
      </c>
      <c r="U1026" s="217">
        <f>IFERROR(__xludf.DUMMYFUNCTION("""COMPUTED_VALUE"""),13.0)</f>
        <v>13</v>
      </c>
      <c r="V1026" s="217">
        <f>IFERROR(__xludf.DUMMYFUNCTION("""COMPUTED_VALUE"""),0.0)</f>
        <v>0</v>
      </c>
      <c r="W1026" s="217"/>
      <c r="X1026" s="217"/>
      <c r="Y1026" s="217"/>
      <c r="Z1026" s="217"/>
      <c r="AA1026" s="481">
        <f>IFERROR(__xludf.DUMMYFUNCTION("""COMPUTED_VALUE"""),8.0)</f>
        <v>8</v>
      </c>
      <c r="AB1026" s="481">
        <f>IFERROR(__xludf.DUMMYFUNCTION("""COMPUTED_VALUE"""),75.0)</f>
        <v>75</v>
      </c>
      <c r="AC1026" s="481">
        <f>IFERROR(__xludf.DUMMYFUNCTION("""COMPUTED_VALUE"""),0.0)</f>
        <v>0</v>
      </c>
      <c r="AD1026" s="481"/>
      <c r="AE1026" s="481">
        <f>IFERROR(__xludf.DUMMYFUNCTION("""COMPUTED_VALUE"""),10.0)</f>
        <v>10</v>
      </c>
      <c r="AF1026" s="481"/>
      <c r="AG1026" s="481"/>
      <c r="AH1026" s="481">
        <f>IFERROR(__xludf.DUMMYFUNCTION("""COMPUTED_VALUE"""),0.0)</f>
        <v>0</v>
      </c>
      <c r="AI1026" s="158"/>
      <c r="AJ1026" s="158"/>
      <c r="AK1026" s="133">
        <f>IFERROR(__xludf.DUMMYFUNCTION("""COMPUTED_VALUE"""),2.0)</f>
        <v>2</v>
      </c>
      <c r="AL1026" s="133">
        <f>IFERROR(__xludf.DUMMYFUNCTION("""COMPUTED_VALUE"""),0.0)</f>
        <v>0</v>
      </c>
      <c r="AM1026" s="133">
        <f>IFERROR(__xludf.DUMMYFUNCTION("""COMPUTED_VALUE"""),2.0)</f>
        <v>2</v>
      </c>
      <c r="AN1026" s="133" t="str">
        <f>IFERROR(__xludf.DUMMYFUNCTION("""COMPUTED_VALUE"""),"2")</f>
        <v>2</v>
      </c>
      <c r="AO1026" s="133">
        <f>IFERROR(__xludf.DUMMYFUNCTION("""COMPUTED_VALUE"""),1.0)</f>
        <v>1</v>
      </c>
      <c r="AP1026" s="155" t="s">
        <v>3736</v>
      </c>
    </row>
    <row r="1027">
      <c r="A1027" s="155">
        <f>IFERROR(__xludf.DUMMYFUNCTION("""COMPUTED_VALUE"""),134.0)</f>
        <v>134</v>
      </c>
      <c r="B1027" s="155" t="str">
        <f>IFERROR(__xludf.DUMMYFUNCTION("""COMPUTED_VALUE"""),"nith23ece@cmrit.ac.in")</f>
        <v>nith23ece@cmrit.ac.in</v>
      </c>
      <c r="C1027" s="174" t="str">
        <f>IFERROR(__xludf.DUMMYFUNCTION("""COMPUTED_VALUE"""),"Nikita Thakur")</f>
        <v>Nikita Thakur</v>
      </c>
      <c r="D1027" s="155" t="str">
        <f>IFERROR(__xludf.DUMMYFUNCTION("""COMPUTED_VALUE"""),"1CR23EC138")</f>
        <v>1CR23EC138</v>
      </c>
      <c r="E1027" s="563">
        <f>IFERROR(__xludf.DUMMYFUNCTION("""COMPUTED_VALUE"""),6.361088178E9)</f>
        <v>6361088178</v>
      </c>
      <c r="F1027" s="155" t="str">
        <f>IFERROR(__xludf.DUMMYFUNCTION("""COMPUTED_VALUE"""),"ECE")</f>
        <v>ECE</v>
      </c>
      <c r="G1027" s="158"/>
      <c r="H1027" s="559">
        <f>IFERROR(__xludf.DUMMYFUNCTION("""COMPUTED_VALUE"""),79.0)</f>
        <v>79</v>
      </c>
      <c r="I1027" s="559">
        <f>IFERROR(__xludf.DUMMYFUNCTION("""COMPUTED_VALUE"""),84.0)</f>
        <v>84</v>
      </c>
      <c r="J1027" s="559">
        <f>IFERROR(__xludf.DUMMYFUNCTION("""COMPUTED_VALUE"""),75.0)</f>
        <v>75</v>
      </c>
      <c r="K1027" s="559">
        <f>IFERROR(__xludf.DUMMYFUNCTION("""COMPUTED_VALUE"""),70.0)</f>
        <v>70</v>
      </c>
      <c r="L1027" s="560">
        <f>IFERROR(__xludf.DUMMYFUNCTION("""COMPUTED_VALUE"""),50.0)</f>
        <v>50</v>
      </c>
      <c r="M1027" s="561">
        <f>IFERROR(__xludf.DUMMYFUNCTION("""COMPUTED_VALUE"""),50.0)</f>
        <v>50</v>
      </c>
      <c r="N1027" s="561">
        <f>IFERROR(__xludf.DUMMYFUNCTION("""COMPUTED_VALUE"""),64.0)</f>
        <v>64</v>
      </c>
      <c r="O1027" s="560"/>
      <c r="P1027" s="562">
        <f>IFERROR(__xludf.DUMMYFUNCTION("""COMPUTED_VALUE"""),50.0)</f>
        <v>50</v>
      </c>
      <c r="Q1027" s="562">
        <f>IFERROR(__xludf.DUMMYFUNCTION("""COMPUTED_VALUE"""),72.0)</f>
        <v>72</v>
      </c>
      <c r="R1027" s="562">
        <f>IFERROR(__xludf.DUMMYFUNCTION("""COMPUTED_VALUE"""),91.0)</f>
        <v>91</v>
      </c>
      <c r="S1027" s="562"/>
      <c r="T1027" s="217">
        <f>IFERROR(__xludf.DUMMYFUNCTION("""COMPUTED_VALUE"""),18.0)</f>
        <v>18</v>
      </c>
      <c r="U1027" s="217">
        <f>IFERROR(__xludf.DUMMYFUNCTION("""COMPUTED_VALUE"""),17.0)</f>
        <v>17</v>
      </c>
      <c r="V1027" s="217">
        <f>IFERROR(__xludf.DUMMYFUNCTION("""COMPUTED_VALUE"""),48.0)</f>
        <v>48</v>
      </c>
      <c r="W1027" s="217">
        <f>IFERROR(__xludf.DUMMYFUNCTION("""COMPUTED_VALUE"""),80.0)</f>
        <v>80</v>
      </c>
      <c r="X1027" s="217">
        <f>IFERROR(__xludf.DUMMYFUNCTION("""COMPUTED_VALUE"""),74.0)</f>
        <v>74</v>
      </c>
      <c r="Y1027" s="217"/>
      <c r="Z1027" s="217"/>
      <c r="AA1027" s="481">
        <f>IFERROR(__xludf.DUMMYFUNCTION("""COMPUTED_VALUE"""),79.0)</f>
        <v>79</v>
      </c>
      <c r="AB1027" s="481">
        <f>IFERROR(__xludf.DUMMYFUNCTION("""COMPUTED_VALUE"""),75.0)</f>
        <v>75</v>
      </c>
      <c r="AC1027" s="481">
        <f>IFERROR(__xludf.DUMMYFUNCTION("""COMPUTED_VALUE"""),60.0)</f>
        <v>60</v>
      </c>
      <c r="AD1027" s="481"/>
      <c r="AE1027" s="481">
        <f>IFERROR(__xludf.DUMMYFUNCTION("""COMPUTED_VALUE"""),75.0)</f>
        <v>75</v>
      </c>
      <c r="AF1027" s="481"/>
      <c r="AG1027" s="481">
        <f>IFERROR(__xludf.DUMMYFUNCTION("""COMPUTED_VALUE"""),81.0)</f>
        <v>81</v>
      </c>
      <c r="AH1027" s="481"/>
      <c r="AI1027" s="158"/>
      <c r="AJ1027" s="158"/>
      <c r="AK1027" s="133">
        <f>IFERROR(__xludf.DUMMYFUNCTION("""COMPUTED_VALUE"""),4.0)</f>
        <v>4</v>
      </c>
      <c r="AL1027" s="133">
        <f>IFERROR(__xludf.DUMMYFUNCTION("""COMPUTED_VALUE"""),3.0)</f>
        <v>3</v>
      </c>
      <c r="AM1027" s="133">
        <f>IFERROR(__xludf.DUMMYFUNCTION("""COMPUTED_VALUE"""),3.0)</f>
        <v>3</v>
      </c>
      <c r="AN1027" s="133" t="str">
        <f>IFERROR(__xludf.DUMMYFUNCTION("""COMPUTED_VALUE"""),"3.5")</f>
        <v>3.5</v>
      </c>
      <c r="AO1027" s="133">
        <f>IFERROR(__xludf.DUMMYFUNCTION("""COMPUTED_VALUE"""),3.0)</f>
        <v>3</v>
      </c>
      <c r="AP1027" s="155" t="s">
        <v>3736</v>
      </c>
    </row>
    <row r="1028">
      <c r="A1028" s="155">
        <f>IFERROR(__xludf.DUMMYFUNCTION("""COMPUTED_VALUE"""),135.0)</f>
        <v>135</v>
      </c>
      <c r="B1028" s="155" t="str">
        <f>IFERROR(__xludf.DUMMYFUNCTION("""COMPUTED_VALUE"""),"nir23ece@cmrit.ac.in")</f>
        <v>nir23ece@cmrit.ac.in</v>
      </c>
      <c r="C1028" s="174" t="str">
        <f>IFERROR(__xludf.DUMMYFUNCTION("""COMPUTED_VALUE"""),"NIRANJAN")</f>
        <v>NIRANJAN</v>
      </c>
      <c r="D1028" s="155" t="str">
        <f>IFERROR(__xludf.DUMMYFUNCTION("""COMPUTED_VALUE"""),"1CR23EC140")</f>
        <v>1CR23EC140</v>
      </c>
      <c r="E1028" s="563">
        <f>IFERROR(__xludf.DUMMYFUNCTION("""COMPUTED_VALUE"""),7.89982417E9)</f>
        <v>7899824170</v>
      </c>
      <c r="F1028" s="155" t="str">
        <f>IFERROR(__xludf.DUMMYFUNCTION("""COMPUTED_VALUE"""),"ECE")</f>
        <v>ECE</v>
      </c>
      <c r="G1028" s="158"/>
      <c r="H1028" s="559">
        <f>IFERROR(__xludf.DUMMYFUNCTION("""COMPUTED_VALUE"""),70.0)</f>
        <v>70</v>
      </c>
      <c r="I1028" s="559">
        <f>IFERROR(__xludf.DUMMYFUNCTION("""COMPUTED_VALUE"""),68.0)</f>
        <v>68</v>
      </c>
      <c r="J1028" s="559">
        <f>IFERROR(__xludf.DUMMYFUNCTION("""COMPUTED_VALUE"""),5.0)</f>
        <v>5</v>
      </c>
      <c r="K1028" s="559">
        <f>IFERROR(__xludf.DUMMYFUNCTION("""COMPUTED_VALUE"""),22.0)</f>
        <v>22</v>
      </c>
      <c r="L1028" s="560">
        <f>IFERROR(__xludf.DUMMYFUNCTION("""COMPUTED_VALUE"""),17.0)</f>
        <v>17</v>
      </c>
      <c r="M1028" s="561">
        <f>IFERROR(__xludf.DUMMYFUNCTION("""COMPUTED_VALUE"""),0.0)</f>
        <v>0</v>
      </c>
      <c r="N1028" s="561">
        <f>IFERROR(__xludf.DUMMYFUNCTION("""COMPUTED_VALUE"""),0.0)</f>
        <v>0</v>
      </c>
      <c r="O1028" s="560"/>
      <c r="P1028" s="562">
        <f>IFERROR(__xludf.DUMMYFUNCTION("""COMPUTED_VALUE"""),0.0)</f>
        <v>0</v>
      </c>
      <c r="Q1028" s="562">
        <f>IFERROR(__xludf.DUMMYFUNCTION("""COMPUTED_VALUE"""),0.0)</f>
        <v>0</v>
      </c>
      <c r="R1028" s="562">
        <f>IFERROR(__xludf.DUMMYFUNCTION("""COMPUTED_VALUE"""),0.0)</f>
        <v>0</v>
      </c>
      <c r="S1028" s="562"/>
      <c r="T1028" s="217">
        <f>IFERROR(__xludf.DUMMYFUNCTION("""COMPUTED_VALUE"""),16.0)</f>
        <v>16</v>
      </c>
      <c r="U1028" s="217"/>
      <c r="V1028" s="217">
        <f>IFERROR(__xludf.DUMMYFUNCTION("""COMPUTED_VALUE"""),0.0)</f>
        <v>0</v>
      </c>
      <c r="W1028" s="217">
        <f>IFERROR(__xludf.DUMMYFUNCTION("""COMPUTED_VALUE"""),0.0)</f>
        <v>0</v>
      </c>
      <c r="X1028" s="217"/>
      <c r="Y1028" s="217"/>
      <c r="Z1028" s="217"/>
      <c r="AA1028" s="481">
        <f>IFERROR(__xludf.DUMMYFUNCTION("""COMPUTED_VALUE"""),0.0)</f>
        <v>0</v>
      </c>
      <c r="AB1028" s="481">
        <f>IFERROR(__xludf.DUMMYFUNCTION("""COMPUTED_VALUE"""),23.0)</f>
        <v>23</v>
      </c>
      <c r="AC1028" s="481">
        <f>IFERROR(__xludf.DUMMYFUNCTION("""COMPUTED_VALUE"""),0.0)</f>
        <v>0</v>
      </c>
      <c r="AD1028" s="481"/>
      <c r="AE1028" s="481">
        <f>IFERROR(__xludf.DUMMYFUNCTION("""COMPUTED_VALUE"""),10.0)</f>
        <v>10</v>
      </c>
      <c r="AF1028" s="481"/>
      <c r="AG1028" s="481"/>
      <c r="AH1028" s="481"/>
      <c r="AI1028" s="158"/>
      <c r="AJ1028" s="158"/>
      <c r="AK1028" s="133">
        <f>IFERROR(__xludf.DUMMYFUNCTION("""COMPUTED_VALUE"""),2.0)</f>
        <v>2</v>
      </c>
      <c r="AL1028" s="133">
        <f>IFERROR(__xludf.DUMMYFUNCTION("""COMPUTED_VALUE"""),0.0)</f>
        <v>0</v>
      </c>
      <c r="AM1028" s="133">
        <f>IFERROR(__xludf.DUMMYFUNCTION("""COMPUTED_VALUE"""),2.0)</f>
        <v>2</v>
      </c>
      <c r="AN1028" s="133" t="str">
        <f>IFERROR(__xludf.DUMMYFUNCTION("""COMPUTED_VALUE"""),"0")</f>
        <v>0</v>
      </c>
      <c r="AO1028" s="133">
        <f>IFERROR(__xludf.DUMMYFUNCTION("""COMPUTED_VALUE"""),0.0)</f>
        <v>0</v>
      </c>
      <c r="AP1028" s="155" t="s">
        <v>3736</v>
      </c>
    </row>
    <row r="1029">
      <c r="A1029" s="155">
        <f>IFERROR(__xludf.DUMMYFUNCTION("""COMPUTED_VALUE"""),136.0)</f>
        <v>136</v>
      </c>
      <c r="B1029" s="155" t="str">
        <f>IFERROR(__xludf.DUMMYFUNCTION("""COMPUTED_VALUE"""),"nima23ece@cmrit.ac.in")</f>
        <v>nima23ece@cmrit.ac.in</v>
      </c>
      <c r="C1029" s="174" t="str">
        <f>IFERROR(__xludf.DUMMYFUNCTION("""COMPUTED_VALUE"""),"Nischal Madalagere Mahanthaswamy")</f>
        <v>Nischal Madalagere Mahanthaswamy</v>
      </c>
      <c r="D1029" s="155" t="str">
        <f>IFERROR(__xludf.DUMMYFUNCTION("""COMPUTED_VALUE"""),"1CR23EC141")</f>
        <v>1CR23EC141</v>
      </c>
      <c r="E1029" s="563">
        <f>IFERROR(__xludf.DUMMYFUNCTION("""COMPUTED_VALUE"""),8.792263549E9)</f>
        <v>8792263549</v>
      </c>
      <c r="F1029" s="155" t="str">
        <f>IFERROR(__xludf.DUMMYFUNCTION("""COMPUTED_VALUE"""),"ECE")</f>
        <v>ECE</v>
      </c>
      <c r="G1029" s="158"/>
      <c r="H1029" s="559">
        <f>IFERROR(__xludf.DUMMYFUNCTION("""COMPUTED_VALUE"""),87.0)</f>
        <v>87</v>
      </c>
      <c r="I1029" s="559">
        <f>IFERROR(__xludf.DUMMYFUNCTION("""COMPUTED_VALUE"""),85.0)</f>
        <v>85</v>
      </c>
      <c r="J1029" s="559">
        <f>IFERROR(__xludf.DUMMYFUNCTION("""COMPUTED_VALUE"""),81.0)</f>
        <v>81</v>
      </c>
      <c r="K1029" s="559">
        <f>IFERROR(__xludf.DUMMYFUNCTION("""COMPUTED_VALUE"""),71.0)</f>
        <v>71</v>
      </c>
      <c r="L1029" s="560">
        <f>IFERROR(__xludf.DUMMYFUNCTION("""COMPUTED_VALUE"""),50.0)</f>
        <v>50</v>
      </c>
      <c r="M1029" s="561">
        <f>IFERROR(__xludf.DUMMYFUNCTION("""COMPUTED_VALUE"""),50.0)</f>
        <v>50</v>
      </c>
      <c r="N1029" s="561">
        <f>IFERROR(__xludf.DUMMYFUNCTION("""COMPUTED_VALUE"""),34.0)</f>
        <v>34</v>
      </c>
      <c r="O1029" s="560"/>
      <c r="P1029" s="562">
        <f>IFERROR(__xludf.DUMMYFUNCTION("""COMPUTED_VALUE"""),75.0)</f>
        <v>75</v>
      </c>
      <c r="Q1029" s="562">
        <f>IFERROR(__xludf.DUMMYFUNCTION("""COMPUTED_VALUE"""),50.0)</f>
        <v>50</v>
      </c>
      <c r="R1029" s="562">
        <f>IFERROR(__xludf.DUMMYFUNCTION("""COMPUTED_VALUE"""),88.0)</f>
        <v>88</v>
      </c>
      <c r="S1029" s="562"/>
      <c r="T1029" s="217">
        <f>IFERROR(__xludf.DUMMYFUNCTION("""COMPUTED_VALUE"""),12.0)</f>
        <v>12</v>
      </c>
      <c r="U1029" s="217">
        <f>IFERROR(__xludf.DUMMYFUNCTION("""COMPUTED_VALUE"""),20.0)</f>
        <v>20</v>
      </c>
      <c r="V1029" s="217">
        <f>IFERROR(__xludf.DUMMYFUNCTION("""COMPUTED_VALUE"""),0.0)</f>
        <v>0</v>
      </c>
      <c r="W1029" s="217">
        <f>IFERROR(__xludf.DUMMYFUNCTION("""COMPUTED_VALUE"""),56.0)</f>
        <v>56</v>
      </c>
      <c r="X1029" s="217">
        <f>IFERROR(__xludf.DUMMYFUNCTION("""COMPUTED_VALUE"""),54.0)</f>
        <v>54</v>
      </c>
      <c r="Y1029" s="217"/>
      <c r="Z1029" s="217"/>
      <c r="AA1029" s="481">
        <f>IFERROR(__xludf.DUMMYFUNCTION("""COMPUTED_VALUE"""),72.0)</f>
        <v>72</v>
      </c>
      <c r="AB1029" s="481">
        <f>IFERROR(__xludf.DUMMYFUNCTION("""COMPUTED_VALUE"""),90.0)</f>
        <v>90</v>
      </c>
      <c r="AC1029" s="481">
        <f>IFERROR(__xludf.DUMMYFUNCTION("""COMPUTED_VALUE"""),99.0)</f>
        <v>99</v>
      </c>
      <c r="AD1029" s="481"/>
      <c r="AE1029" s="481">
        <f>IFERROR(__xludf.DUMMYFUNCTION("""COMPUTED_VALUE"""),26.0)</f>
        <v>26</v>
      </c>
      <c r="AF1029" s="481"/>
      <c r="AG1029" s="481"/>
      <c r="AH1029" s="481">
        <f>IFERROR(__xludf.DUMMYFUNCTION("""COMPUTED_VALUE"""),34.0)</f>
        <v>34</v>
      </c>
      <c r="AI1029" s="158"/>
      <c r="AJ1029" s="158"/>
      <c r="AK1029" s="133">
        <f>IFERROR(__xludf.DUMMYFUNCTION("""COMPUTED_VALUE"""),4.0)</f>
        <v>4</v>
      </c>
      <c r="AL1029" s="133">
        <f>IFERROR(__xludf.DUMMYFUNCTION("""COMPUTED_VALUE"""),2.0)</f>
        <v>2</v>
      </c>
      <c r="AM1029" s="133">
        <f>IFERROR(__xludf.DUMMYFUNCTION("""COMPUTED_VALUE"""),3.0)</f>
        <v>3</v>
      </c>
      <c r="AN1029" s="133" t="str">
        <f>IFERROR(__xludf.DUMMYFUNCTION("""COMPUTED_VALUE"""),"3")</f>
        <v>3</v>
      </c>
      <c r="AO1029" s="133">
        <f>IFERROR(__xludf.DUMMYFUNCTION("""COMPUTED_VALUE"""),3.0)</f>
        <v>3</v>
      </c>
      <c r="AP1029" s="155" t="s">
        <v>3736</v>
      </c>
    </row>
    <row r="1030">
      <c r="A1030" s="155">
        <f>IFERROR(__xludf.DUMMYFUNCTION("""COMPUTED_VALUE"""),137.0)</f>
        <v>137</v>
      </c>
      <c r="B1030" s="155" t="str">
        <f>IFERROR(__xludf.DUMMYFUNCTION("""COMPUTED_VALUE"""),"niab23ece@cmrit.ac.in")</f>
        <v>niab23ece@cmrit.ac.in</v>
      </c>
      <c r="C1030" s="174" t="str">
        <f>IFERROR(__xludf.DUMMYFUNCTION("""COMPUTED_VALUE"""),"Nishchal Abraham ")</f>
        <v>Nishchal Abraham </v>
      </c>
      <c r="D1030" s="155" t="str">
        <f>IFERROR(__xludf.DUMMYFUNCTION("""COMPUTED_VALUE"""),"1CR23EC142")</f>
        <v>1CR23EC142</v>
      </c>
      <c r="E1030" s="563">
        <f>IFERROR(__xludf.DUMMYFUNCTION("""COMPUTED_VALUE"""),9.353030811E9)</f>
        <v>9353030811</v>
      </c>
      <c r="F1030" s="155" t="str">
        <f>IFERROR(__xludf.DUMMYFUNCTION("""COMPUTED_VALUE"""),"ECE")</f>
        <v>ECE</v>
      </c>
      <c r="G1030" s="158"/>
      <c r="H1030" s="559">
        <f>IFERROR(__xludf.DUMMYFUNCTION("""COMPUTED_VALUE"""),77.0)</f>
        <v>77</v>
      </c>
      <c r="I1030" s="559">
        <f>IFERROR(__xludf.DUMMYFUNCTION("""COMPUTED_VALUE"""),84.0)</f>
        <v>84</v>
      </c>
      <c r="J1030" s="559">
        <f>IFERROR(__xludf.DUMMYFUNCTION("""COMPUTED_VALUE"""),70.0)</f>
        <v>70</v>
      </c>
      <c r="K1030" s="559">
        <f>IFERROR(__xludf.DUMMYFUNCTION("""COMPUTED_VALUE"""),70.0)</f>
        <v>70</v>
      </c>
      <c r="L1030" s="560">
        <f>IFERROR(__xludf.DUMMYFUNCTION("""COMPUTED_VALUE"""),13.0)</f>
        <v>13</v>
      </c>
      <c r="M1030" s="561">
        <f>IFERROR(__xludf.DUMMYFUNCTION("""COMPUTED_VALUE"""),25.0)</f>
        <v>25</v>
      </c>
      <c r="N1030" s="561">
        <f>IFERROR(__xludf.DUMMYFUNCTION("""COMPUTED_VALUE"""),53.0)</f>
        <v>53</v>
      </c>
      <c r="O1030" s="560"/>
      <c r="P1030" s="562">
        <f>IFERROR(__xludf.DUMMYFUNCTION("""COMPUTED_VALUE"""),50.0)</f>
        <v>50</v>
      </c>
      <c r="Q1030" s="562">
        <f>IFERROR(__xludf.DUMMYFUNCTION("""COMPUTED_VALUE"""),50.0)</f>
        <v>50</v>
      </c>
      <c r="R1030" s="562">
        <f>IFERROR(__xludf.DUMMYFUNCTION("""COMPUTED_VALUE"""),50.0)</f>
        <v>50</v>
      </c>
      <c r="S1030" s="562"/>
      <c r="T1030" s="217">
        <f>IFERROR(__xludf.DUMMYFUNCTION("""COMPUTED_VALUE"""),12.0)</f>
        <v>12</v>
      </c>
      <c r="U1030" s="217">
        <f>IFERROR(__xludf.DUMMYFUNCTION("""COMPUTED_VALUE"""),20.0)</f>
        <v>20</v>
      </c>
      <c r="V1030" s="217">
        <f>IFERROR(__xludf.DUMMYFUNCTION("""COMPUTED_VALUE"""),0.0)</f>
        <v>0</v>
      </c>
      <c r="W1030" s="217">
        <f>IFERROR(__xludf.DUMMYFUNCTION("""COMPUTED_VALUE"""),84.0)</f>
        <v>84</v>
      </c>
      <c r="X1030" s="217">
        <f>IFERROR(__xludf.DUMMYFUNCTION("""COMPUTED_VALUE"""),58.0)</f>
        <v>58</v>
      </c>
      <c r="Y1030" s="217"/>
      <c r="Z1030" s="217"/>
      <c r="AA1030" s="481">
        <f>IFERROR(__xludf.DUMMYFUNCTION("""COMPUTED_VALUE"""),62.0)</f>
        <v>62</v>
      </c>
      <c r="AB1030" s="481">
        <f>IFERROR(__xludf.DUMMYFUNCTION("""COMPUTED_VALUE"""),63.0)</f>
        <v>63</v>
      </c>
      <c r="AC1030" s="481">
        <f>IFERROR(__xludf.DUMMYFUNCTION("""COMPUTED_VALUE"""),78.0)</f>
        <v>78</v>
      </c>
      <c r="AD1030" s="481"/>
      <c r="AE1030" s="481">
        <f>IFERROR(__xludf.DUMMYFUNCTION("""COMPUTED_VALUE"""),70.0)</f>
        <v>70</v>
      </c>
      <c r="AF1030" s="481"/>
      <c r="AG1030" s="481"/>
      <c r="AH1030" s="481">
        <f>IFERROR(__xludf.DUMMYFUNCTION("""COMPUTED_VALUE"""),32.0)</f>
        <v>32</v>
      </c>
      <c r="AI1030" s="158"/>
      <c r="AJ1030" s="158"/>
      <c r="AK1030" s="133">
        <f>IFERROR(__xludf.DUMMYFUNCTION("""COMPUTED_VALUE"""),4.0)</f>
        <v>4</v>
      </c>
      <c r="AL1030" s="133">
        <f>IFERROR(__xludf.DUMMYFUNCTION("""COMPUTED_VALUE"""),0.0)</f>
        <v>0</v>
      </c>
      <c r="AM1030" s="133">
        <f>IFERROR(__xludf.DUMMYFUNCTION("""COMPUTED_VALUE"""),3.0)</f>
        <v>3</v>
      </c>
      <c r="AN1030" s="133" t="str">
        <f>IFERROR(__xludf.DUMMYFUNCTION("""COMPUTED_VALUE"""),"3.5")</f>
        <v>3.5</v>
      </c>
      <c r="AO1030" s="133">
        <f>IFERROR(__xludf.DUMMYFUNCTION("""COMPUTED_VALUE"""),3.0)</f>
        <v>3</v>
      </c>
      <c r="AP1030" s="155" t="s">
        <v>3736</v>
      </c>
    </row>
    <row r="1031">
      <c r="A1031" s="155">
        <f>IFERROR(__xludf.DUMMYFUNCTION("""COMPUTED_VALUE"""),138.0)</f>
        <v>138</v>
      </c>
      <c r="B1031" s="155" t="str">
        <f>IFERROR(__xludf.DUMMYFUNCTION("""COMPUTED_VALUE"""),"nibv23ece@cmrit.ac.in")</f>
        <v>nibv23ece@cmrit.ac.in</v>
      </c>
      <c r="C1031" s="174" t="str">
        <f>IFERROR(__xludf.DUMMYFUNCTION("""COMPUTED_VALUE"""),"NITHYA NIHARIKA B V")</f>
        <v>NITHYA NIHARIKA B V</v>
      </c>
      <c r="D1031" s="155" t="str">
        <f>IFERROR(__xludf.DUMMYFUNCTION("""COMPUTED_VALUE"""),"1CR23EC143")</f>
        <v>1CR23EC143</v>
      </c>
      <c r="E1031" s="563">
        <f>IFERROR(__xludf.DUMMYFUNCTION("""COMPUTED_VALUE"""),9.741794997E9)</f>
        <v>9741794997</v>
      </c>
      <c r="F1031" s="155" t="str">
        <f>IFERROR(__xludf.DUMMYFUNCTION("""COMPUTED_VALUE"""),"ECE")</f>
        <v>ECE</v>
      </c>
      <c r="G1031" s="158"/>
      <c r="H1031" s="559">
        <f>IFERROR(__xludf.DUMMYFUNCTION("""COMPUTED_VALUE"""),84.0)</f>
        <v>84</v>
      </c>
      <c r="I1031" s="559">
        <f>IFERROR(__xludf.DUMMYFUNCTION("""COMPUTED_VALUE"""),80.0)</f>
        <v>80</v>
      </c>
      <c r="J1031" s="559">
        <f>IFERROR(__xludf.DUMMYFUNCTION("""COMPUTED_VALUE"""),79.0)</f>
        <v>79</v>
      </c>
      <c r="K1031" s="559">
        <f>IFERROR(__xludf.DUMMYFUNCTION("""COMPUTED_VALUE"""),72.0)</f>
        <v>72</v>
      </c>
      <c r="L1031" s="560">
        <f>IFERROR(__xludf.DUMMYFUNCTION("""COMPUTED_VALUE"""),50.0)</f>
        <v>50</v>
      </c>
      <c r="M1031" s="561">
        <f>IFERROR(__xludf.DUMMYFUNCTION("""COMPUTED_VALUE"""),50.0)</f>
        <v>50</v>
      </c>
      <c r="N1031" s="561">
        <f>IFERROR(__xludf.DUMMYFUNCTION("""COMPUTED_VALUE"""),35.0)</f>
        <v>35</v>
      </c>
      <c r="O1031" s="560"/>
      <c r="P1031" s="562">
        <f>IFERROR(__xludf.DUMMYFUNCTION("""COMPUTED_VALUE"""),76.0)</f>
        <v>76</v>
      </c>
      <c r="Q1031" s="562">
        <f>IFERROR(__xludf.DUMMYFUNCTION("""COMPUTED_VALUE"""),50.0)</f>
        <v>50</v>
      </c>
      <c r="R1031" s="562">
        <f>IFERROR(__xludf.DUMMYFUNCTION("""COMPUTED_VALUE"""),86.0)</f>
        <v>86</v>
      </c>
      <c r="S1031" s="562"/>
      <c r="T1031" s="217">
        <f>IFERROR(__xludf.DUMMYFUNCTION("""COMPUTED_VALUE"""),12.0)</f>
        <v>12</v>
      </c>
      <c r="U1031" s="217">
        <f>IFERROR(__xludf.DUMMYFUNCTION("""COMPUTED_VALUE"""),18.0)</f>
        <v>18</v>
      </c>
      <c r="V1031" s="217">
        <f>IFERROR(__xludf.DUMMYFUNCTION("""COMPUTED_VALUE"""),44.0)</f>
        <v>44</v>
      </c>
      <c r="W1031" s="217">
        <f>IFERROR(__xludf.DUMMYFUNCTION("""COMPUTED_VALUE"""),86.0)</f>
        <v>86</v>
      </c>
      <c r="X1031" s="217">
        <f>IFERROR(__xludf.DUMMYFUNCTION("""COMPUTED_VALUE"""),78.0)</f>
        <v>78</v>
      </c>
      <c r="Y1031" s="217"/>
      <c r="Z1031" s="217"/>
      <c r="AA1031" s="481">
        <f>IFERROR(__xludf.DUMMYFUNCTION("""COMPUTED_VALUE"""),67.0)</f>
        <v>67</v>
      </c>
      <c r="AB1031" s="481">
        <f>IFERROR(__xludf.DUMMYFUNCTION("""COMPUTED_VALUE"""),85.0)</f>
        <v>85</v>
      </c>
      <c r="AC1031" s="481">
        <f>IFERROR(__xludf.DUMMYFUNCTION("""COMPUTED_VALUE"""),80.0)</f>
        <v>80</v>
      </c>
      <c r="AD1031" s="481"/>
      <c r="AE1031" s="481">
        <f>IFERROR(__xludf.DUMMYFUNCTION("""COMPUTED_VALUE"""),70.0)</f>
        <v>70</v>
      </c>
      <c r="AF1031" s="481"/>
      <c r="AG1031" s="481">
        <f>IFERROR(__xludf.DUMMYFUNCTION("""COMPUTED_VALUE"""),81.0)</f>
        <v>81</v>
      </c>
      <c r="AH1031" s="481"/>
      <c r="AI1031" s="158"/>
      <c r="AJ1031" s="158"/>
      <c r="AK1031" s="133">
        <f>IFERROR(__xludf.DUMMYFUNCTION("""COMPUTED_VALUE"""),4.0)</f>
        <v>4</v>
      </c>
      <c r="AL1031" s="133">
        <f>IFERROR(__xludf.DUMMYFUNCTION("""COMPUTED_VALUE"""),2.0)</f>
        <v>2</v>
      </c>
      <c r="AM1031" s="133">
        <f>IFERROR(__xludf.DUMMYFUNCTION("""COMPUTED_VALUE"""),3.0)</f>
        <v>3</v>
      </c>
      <c r="AN1031" s="133" t="str">
        <f>IFERROR(__xludf.DUMMYFUNCTION("""COMPUTED_VALUE"""),"3.5")</f>
        <v>3.5</v>
      </c>
      <c r="AO1031" s="133">
        <f>IFERROR(__xludf.DUMMYFUNCTION("""COMPUTED_VALUE"""),3.0)</f>
        <v>3</v>
      </c>
      <c r="AP1031" s="155" t="s">
        <v>3736</v>
      </c>
    </row>
    <row r="1032">
      <c r="A1032" s="155">
        <f>IFERROR(__xludf.DUMMYFUNCTION("""COMPUTED_VALUE"""),139.0)</f>
        <v>139</v>
      </c>
      <c r="B1032" s="155" t="str">
        <f>IFERROR(__xludf.DUMMYFUNCTION("""COMPUTED_VALUE"""),"ovr23ece@cmrit.ac.in")</f>
        <v>ovr23ece@cmrit.ac.in</v>
      </c>
      <c r="C1032" s="174" t="str">
        <f>IFERROR(__xludf.DUMMYFUNCTION("""COMPUTED_VALUE"""),"OVIYA R")</f>
        <v>OVIYA R</v>
      </c>
      <c r="D1032" s="155" t="str">
        <f>IFERROR(__xludf.DUMMYFUNCTION("""COMPUTED_VALUE"""),"1CR23EC144")</f>
        <v>1CR23EC144</v>
      </c>
      <c r="E1032" s="563">
        <f>IFERROR(__xludf.DUMMYFUNCTION("""COMPUTED_VALUE"""),7.892559103E9)</f>
        <v>7892559103</v>
      </c>
      <c r="F1032" s="155" t="str">
        <f>IFERROR(__xludf.DUMMYFUNCTION("""COMPUTED_VALUE"""),"ECE")</f>
        <v>ECE</v>
      </c>
      <c r="G1032" s="158"/>
      <c r="H1032" s="559">
        <f>IFERROR(__xludf.DUMMYFUNCTION("""COMPUTED_VALUE"""),79.0)</f>
        <v>79</v>
      </c>
      <c r="I1032" s="559">
        <f>IFERROR(__xludf.DUMMYFUNCTION("""COMPUTED_VALUE"""),80.0)</f>
        <v>80</v>
      </c>
      <c r="J1032" s="559">
        <f>IFERROR(__xludf.DUMMYFUNCTION("""COMPUTED_VALUE"""),70.0)</f>
        <v>70</v>
      </c>
      <c r="K1032" s="559">
        <f>IFERROR(__xludf.DUMMYFUNCTION("""COMPUTED_VALUE"""),70.0)</f>
        <v>70</v>
      </c>
      <c r="L1032" s="560">
        <f>IFERROR(__xludf.DUMMYFUNCTION("""COMPUTED_VALUE"""),50.0)</f>
        <v>50</v>
      </c>
      <c r="M1032" s="561">
        <f>IFERROR(__xludf.DUMMYFUNCTION("""COMPUTED_VALUE"""),50.0)</f>
        <v>50</v>
      </c>
      <c r="N1032" s="561">
        <f>IFERROR(__xludf.DUMMYFUNCTION("""COMPUTED_VALUE"""),31.0)</f>
        <v>31</v>
      </c>
      <c r="O1032" s="560"/>
      <c r="P1032" s="562">
        <f>IFERROR(__xludf.DUMMYFUNCTION("""COMPUTED_VALUE"""),80.0)</f>
        <v>80</v>
      </c>
      <c r="Q1032" s="562">
        <f>IFERROR(__xludf.DUMMYFUNCTION("""COMPUTED_VALUE"""),85.0)</f>
        <v>85</v>
      </c>
      <c r="R1032" s="562">
        <f>IFERROR(__xludf.DUMMYFUNCTION("""COMPUTED_VALUE"""),74.0)</f>
        <v>74</v>
      </c>
      <c r="S1032" s="562"/>
      <c r="T1032" s="217">
        <f>IFERROR(__xludf.DUMMYFUNCTION("""COMPUTED_VALUE"""),11.0)</f>
        <v>11</v>
      </c>
      <c r="U1032" s="217">
        <f>IFERROR(__xludf.DUMMYFUNCTION("""COMPUTED_VALUE"""),19.0)</f>
        <v>19</v>
      </c>
      <c r="V1032" s="217">
        <f>IFERROR(__xludf.DUMMYFUNCTION("""COMPUTED_VALUE"""),42.0)</f>
        <v>42</v>
      </c>
      <c r="W1032" s="217">
        <f>IFERROR(__xludf.DUMMYFUNCTION("""COMPUTED_VALUE"""),80.0)</f>
        <v>80</v>
      </c>
      <c r="X1032" s="217">
        <f>IFERROR(__xludf.DUMMYFUNCTION("""COMPUTED_VALUE"""),60.0)</f>
        <v>60</v>
      </c>
      <c r="Y1032" s="217"/>
      <c r="Z1032" s="217"/>
      <c r="AA1032" s="481">
        <f>IFERROR(__xludf.DUMMYFUNCTION("""COMPUTED_VALUE"""),50.0)</f>
        <v>50</v>
      </c>
      <c r="AB1032" s="481">
        <f>IFERROR(__xludf.DUMMYFUNCTION("""COMPUTED_VALUE"""),100.0)</f>
        <v>100</v>
      </c>
      <c r="AC1032" s="481">
        <f>IFERROR(__xludf.DUMMYFUNCTION("""COMPUTED_VALUE"""),80.0)</f>
        <v>80</v>
      </c>
      <c r="AD1032" s="481"/>
      <c r="AE1032" s="481">
        <f>IFERROR(__xludf.DUMMYFUNCTION("""COMPUTED_VALUE"""),70.0)</f>
        <v>70</v>
      </c>
      <c r="AF1032" s="481"/>
      <c r="AG1032" s="481">
        <f>IFERROR(__xludf.DUMMYFUNCTION("""COMPUTED_VALUE"""),77.0)</f>
        <v>77</v>
      </c>
      <c r="AH1032" s="481"/>
      <c r="AI1032" s="158"/>
      <c r="AJ1032" s="158"/>
      <c r="AK1032" s="133">
        <f>IFERROR(__xludf.DUMMYFUNCTION("""COMPUTED_VALUE"""),4.0)</f>
        <v>4</v>
      </c>
      <c r="AL1032" s="133">
        <f>IFERROR(__xludf.DUMMYFUNCTION("""COMPUTED_VALUE"""),2.0)</f>
        <v>2</v>
      </c>
      <c r="AM1032" s="133">
        <f>IFERROR(__xludf.DUMMYFUNCTION("""COMPUTED_VALUE"""),3.0)</f>
        <v>3</v>
      </c>
      <c r="AN1032" s="133" t="str">
        <f>IFERROR(__xludf.DUMMYFUNCTION("""COMPUTED_VALUE"""),"3.5")</f>
        <v>3.5</v>
      </c>
      <c r="AO1032" s="133">
        <f>IFERROR(__xludf.DUMMYFUNCTION("""COMPUTED_VALUE"""),3.0)</f>
        <v>3</v>
      </c>
      <c r="AP1032" s="155" t="s">
        <v>3736</v>
      </c>
    </row>
    <row r="1033">
      <c r="A1033" s="155">
        <f>IFERROR(__xludf.DUMMYFUNCTION("""COMPUTED_VALUE"""),140.0)</f>
        <v>140</v>
      </c>
      <c r="B1033" s="155" t="str">
        <f>IFERROR(__xludf.DUMMYFUNCTION("""COMPUTED_VALUE"""),"pamn23ece@cmrit.ac.in")</f>
        <v>pamn23ece@cmrit.ac.in</v>
      </c>
      <c r="C1033" s="174" t="str">
        <f>IFERROR(__xludf.DUMMYFUNCTION("""COMPUTED_VALUE"""),"PALLAVI M N")</f>
        <v>PALLAVI M N</v>
      </c>
      <c r="D1033" s="155" t="str">
        <f>IFERROR(__xludf.DUMMYFUNCTION("""COMPUTED_VALUE"""),"1CR23EC145")</f>
        <v>1CR23EC145</v>
      </c>
      <c r="E1033" s="563">
        <f>IFERROR(__xludf.DUMMYFUNCTION("""COMPUTED_VALUE"""),7.760179033E9)</f>
        <v>7760179033</v>
      </c>
      <c r="F1033" s="155" t="str">
        <f>IFERROR(__xludf.DUMMYFUNCTION("""COMPUTED_VALUE"""),"ECE")</f>
        <v>ECE</v>
      </c>
      <c r="G1033" s="158"/>
      <c r="H1033" s="559">
        <f>IFERROR(__xludf.DUMMYFUNCTION("""COMPUTED_VALUE"""),78.0)</f>
        <v>78</v>
      </c>
      <c r="I1033" s="559">
        <f>IFERROR(__xludf.DUMMYFUNCTION("""COMPUTED_VALUE"""),76.0)</f>
        <v>76</v>
      </c>
      <c r="J1033" s="559">
        <f>IFERROR(__xludf.DUMMYFUNCTION("""COMPUTED_VALUE"""),70.0)</f>
        <v>70</v>
      </c>
      <c r="K1033" s="559">
        <f>IFERROR(__xludf.DUMMYFUNCTION("""COMPUTED_VALUE"""),74.0)</f>
        <v>74</v>
      </c>
      <c r="L1033" s="560">
        <f>IFERROR(__xludf.DUMMYFUNCTION("""COMPUTED_VALUE"""),50.0)</f>
        <v>50</v>
      </c>
      <c r="M1033" s="561">
        <f>IFERROR(__xludf.DUMMYFUNCTION("""COMPUTED_VALUE"""),50.0)</f>
        <v>50</v>
      </c>
      <c r="N1033" s="561">
        <f>IFERROR(__xludf.DUMMYFUNCTION("""COMPUTED_VALUE"""),26.0)</f>
        <v>26</v>
      </c>
      <c r="O1033" s="560"/>
      <c r="P1033" s="562">
        <f>IFERROR(__xludf.DUMMYFUNCTION("""COMPUTED_VALUE"""),78.0)</f>
        <v>78</v>
      </c>
      <c r="Q1033" s="562">
        <f>IFERROR(__xludf.DUMMYFUNCTION("""COMPUTED_VALUE"""),85.0)</f>
        <v>85</v>
      </c>
      <c r="R1033" s="562">
        <f>IFERROR(__xludf.DUMMYFUNCTION("""COMPUTED_VALUE"""),77.0)</f>
        <v>77</v>
      </c>
      <c r="S1033" s="562"/>
      <c r="T1033" s="217">
        <f>IFERROR(__xludf.DUMMYFUNCTION("""COMPUTED_VALUE"""),15.0)</f>
        <v>15</v>
      </c>
      <c r="U1033" s="217">
        <f>IFERROR(__xludf.DUMMYFUNCTION("""COMPUTED_VALUE"""),19.0)</f>
        <v>19</v>
      </c>
      <c r="V1033" s="217">
        <f>IFERROR(__xludf.DUMMYFUNCTION("""COMPUTED_VALUE"""),36.0)</f>
        <v>36</v>
      </c>
      <c r="W1033" s="217">
        <f>IFERROR(__xludf.DUMMYFUNCTION("""COMPUTED_VALUE"""),68.0)</f>
        <v>68</v>
      </c>
      <c r="X1033" s="217">
        <f>IFERROR(__xludf.DUMMYFUNCTION("""COMPUTED_VALUE"""),60.0)</f>
        <v>60</v>
      </c>
      <c r="Y1033" s="217"/>
      <c r="Z1033" s="217"/>
      <c r="AA1033" s="481">
        <f>IFERROR(__xludf.DUMMYFUNCTION("""COMPUTED_VALUE"""),34.0)</f>
        <v>34</v>
      </c>
      <c r="AB1033" s="481">
        <f>IFERROR(__xludf.DUMMYFUNCTION("""COMPUTED_VALUE"""),75.0)</f>
        <v>75</v>
      </c>
      <c r="AC1033" s="481">
        <f>IFERROR(__xludf.DUMMYFUNCTION("""COMPUTED_VALUE"""),60.0)</f>
        <v>60</v>
      </c>
      <c r="AD1033" s="481"/>
      <c r="AE1033" s="481">
        <f>IFERROR(__xludf.DUMMYFUNCTION("""COMPUTED_VALUE"""),78.0)</f>
        <v>78</v>
      </c>
      <c r="AF1033" s="481"/>
      <c r="AG1033" s="481"/>
      <c r="AH1033" s="481"/>
      <c r="AI1033" s="158"/>
      <c r="AJ1033" s="158"/>
      <c r="AK1033" s="133">
        <f>IFERROR(__xludf.DUMMYFUNCTION("""COMPUTED_VALUE"""),4.0)</f>
        <v>4</v>
      </c>
      <c r="AL1033" s="133">
        <f>IFERROR(__xludf.DUMMYFUNCTION("""COMPUTED_VALUE"""),2.0)</f>
        <v>2</v>
      </c>
      <c r="AM1033" s="133">
        <f>IFERROR(__xludf.DUMMYFUNCTION("""COMPUTED_VALUE"""),3.0)</f>
        <v>3</v>
      </c>
      <c r="AN1033" s="133" t="str">
        <f>IFERROR(__xludf.DUMMYFUNCTION("""COMPUTED_VALUE"""),"3.5")</f>
        <v>3.5</v>
      </c>
      <c r="AO1033" s="133">
        <f>IFERROR(__xludf.DUMMYFUNCTION("""COMPUTED_VALUE"""),3.0)</f>
        <v>3</v>
      </c>
      <c r="AP1033" s="155" t="s">
        <v>3736</v>
      </c>
    </row>
    <row r="1034">
      <c r="A1034" s="155">
        <f>IFERROR(__xludf.DUMMYFUNCTION("""COMPUTED_VALUE"""),141.0)</f>
        <v>141</v>
      </c>
      <c r="B1034" s="155" t="str">
        <f>IFERROR(__xludf.DUMMYFUNCTION("""COMPUTED_VALUE"""),"par23ece@cmrit.ac.in")</f>
        <v>par23ece@cmrit.ac.in</v>
      </c>
      <c r="C1034" s="174" t="str">
        <f>IFERROR(__xludf.DUMMYFUNCTION("""COMPUTED_VALUE"""),"PARIKSHIT R")</f>
        <v>PARIKSHIT R</v>
      </c>
      <c r="D1034" s="155" t="str">
        <f>IFERROR(__xludf.DUMMYFUNCTION("""COMPUTED_VALUE"""),"1CR23EC146")</f>
        <v>1CR23EC146</v>
      </c>
      <c r="E1034" s="563">
        <f>IFERROR(__xludf.DUMMYFUNCTION("""COMPUTED_VALUE"""),7.61962809E9)</f>
        <v>7619628090</v>
      </c>
      <c r="F1034" s="155" t="str">
        <f>IFERROR(__xludf.DUMMYFUNCTION("""COMPUTED_VALUE"""),"ECE")</f>
        <v>ECE</v>
      </c>
      <c r="G1034" s="158"/>
      <c r="H1034" s="559">
        <f>IFERROR(__xludf.DUMMYFUNCTION("""COMPUTED_VALUE"""),78.0)</f>
        <v>78</v>
      </c>
      <c r="I1034" s="559">
        <f>IFERROR(__xludf.DUMMYFUNCTION("""COMPUTED_VALUE"""),78.0)</f>
        <v>78</v>
      </c>
      <c r="J1034" s="559">
        <f>IFERROR(__xludf.DUMMYFUNCTION("""COMPUTED_VALUE"""),10.0)</f>
        <v>10</v>
      </c>
      <c r="K1034" s="559">
        <f>IFERROR(__xludf.DUMMYFUNCTION("""COMPUTED_VALUE"""),8.0)</f>
        <v>8</v>
      </c>
      <c r="L1034" s="560">
        <f>IFERROR(__xludf.DUMMYFUNCTION("""COMPUTED_VALUE"""),54.0)</f>
        <v>54</v>
      </c>
      <c r="M1034" s="561">
        <f>IFERROR(__xludf.DUMMYFUNCTION("""COMPUTED_VALUE"""),50.0)</f>
        <v>50</v>
      </c>
      <c r="N1034" s="561">
        <f>IFERROR(__xludf.DUMMYFUNCTION("""COMPUTED_VALUE"""),0.0)</f>
        <v>0</v>
      </c>
      <c r="O1034" s="560"/>
      <c r="P1034" s="562">
        <f>IFERROR(__xludf.DUMMYFUNCTION("""COMPUTED_VALUE"""),0.0)</f>
        <v>0</v>
      </c>
      <c r="Q1034" s="562">
        <f>IFERROR(__xludf.DUMMYFUNCTION("""COMPUTED_VALUE"""),0.0)</f>
        <v>0</v>
      </c>
      <c r="R1034" s="562">
        <f>IFERROR(__xludf.DUMMYFUNCTION("""COMPUTED_VALUE"""),0.0)</f>
        <v>0</v>
      </c>
      <c r="S1034" s="562"/>
      <c r="T1034" s="217">
        <f>IFERROR(__xludf.DUMMYFUNCTION("""COMPUTED_VALUE"""),10.0)</f>
        <v>10</v>
      </c>
      <c r="U1034" s="217"/>
      <c r="V1034" s="217">
        <f>IFERROR(__xludf.DUMMYFUNCTION("""COMPUTED_VALUE"""),0.0)</f>
        <v>0</v>
      </c>
      <c r="W1034" s="217"/>
      <c r="X1034" s="217">
        <f>IFERROR(__xludf.DUMMYFUNCTION("""COMPUTED_VALUE"""),60.0)</f>
        <v>60</v>
      </c>
      <c r="Y1034" s="217"/>
      <c r="Z1034" s="217"/>
      <c r="AA1034" s="481">
        <f>IFERROR(__xludf.DUMMYFUNCTION("""COMPUTED_VALUE"""),0.0)</f>
        <v>0</v>
      </c>
      <c r="AB1034" s="481">
        <f>IFERROR(__xludf.DUMMYFUNCTION("""COMPUTED_VALUE"""),70.0)</f>
        <v>70</v>
      </c>
      <c r="AC1034" s="481">
        <f>IFERROR(__xludf.DUMMYFUNCTION("""COMPUTED_VALUE"""),0.0)</f>
        <v>0</v>
      </c>
      <c r="AD1034" s="481"/>
      <c r="AE1034" s="481">
        <f>IFERROR(__xludf.DUMMYFUNCTION("""COMPUTED_VALUE"""),10.0)</f>
        <v>10</v>
      </c>
      <c r="AF1034" s="481"/>
      <c r="AG1034" s="481"/>
      <c r="AH1034" s="481"/>
      <c r="AI1034" s="158"/>
      <c r="AJ1034" s="158"/>
      <c r="AK1034" s="133">
        <f>IFERROR(__xludf.DUMMYFUNCTION("""COMPUTED_VALUE"""),2.0)</f>
        <v>2</v>
      </c>
      <c r="AL1034" s="133">
        <f>IFERROR(__xludf.DUMMYFUNCTION("""COMPUTED_VALUE"""),2.0)</f>
        <v>2</v>
      </c>
      <c r="AM1034" s="133">
        <f>IFERROR(__xludf.DUMMYFUNCTION("""COMPUTED_VALUE"""),2.0)</f>
        <v>2</v>
      </c>
      <c r="AN1034" s="133" t="str">
        <f>IFERROR(__xludf.DUMMYFUNCTION("""COMPUTED_VALUE"""),"2")</f>
        <v>2</v>
      </c>
      <c r="AO1034" s="133">
        <f>IFERROR(__xludf.DUMMYFUNCTION("""COMPUTED_VALUE"""),0.0)</f>
        <v>0</v>
      </c>
      <c r="AP1034" s="155" t="s">
        <v>3736</v>
      </c>
    </row>
    <row r="1035">
      <c r="A1035" s="155">
        <f>IFERROR(__xludf.DUMMYFUNCTION("""COMPUTED_VALUE"""),142.0)</f>
        <v>142</v>
      </c>
      <c r="B1035" s="155" t="str">
        <f>IFERROR(__xludf.DUMMYFUNCTION("""COMPUTED_VALUE"""),"pakp23ece@cmrit.ac.in")</f>
        <v>pakp23ece@cmrit.ac.in</v>
      </c>
      <c r="C1035" s="174" t="str">
        <f>IFERROR(__xludf.DUMMYFUNCTION("""COMPUTED_VALUE"""),"Parithosh kp")</f>
        <v>Parithosh kp</v>
      </c>
      <c r="D1035" s="155" t="str">
        <f>IFERROR(__xludf.DUMMYFUNCTION("""COMPUTED_VALUE"""),"1CR23EC147")</f>
        <v>1CR23EC147</v>
      </c>
      <c r="E1035" s="563">
        <f>IFERROR(__xludf.DUMMYFUNCTION("""COMPUTED_VALUE"""),8.277254187E9)</f>
        <v>8277254187</v>
      </c>
      <c r="F1035" s="155" t="str">
        <f>IFERROR(__xludf.DUMMYFUNCTION("""COMPUTED_VALUE"""),"ECE")</f>
        <v>ECE</v>
      </c>
      <c r="G1035" s="158"/>
      <c r="H1035" s="559">
        <f>IFERROR(__xludf.DUMMYFUNCTION("""COMPUTED_VALUE"""),83.0)</f>
        <v>83</v>
      </c>
      <c r="I1035" s="559">
        <f>IFERROR(__xludf.DUMMYFUNCTION("""COMPUTED_VALUE"""),80.0)</f>
        <v>80</v>
      </c>
      <c r="J1035" s="559">
        <f>IFERROR(__xludf.DUMMYFUNCTION("""COMPUTED_VALUE"""),40.0)</f>
        <v>40</v>
      </c>
      <c r="K1035" s="559">
        <f>IFERROR(__xludf.DUMMYFUNCTION("""COMPUTED_VALUE"""),70.0)</f>
        <v>70</v>
      </c>
      <c r="L1035" s="560">
        <f>IFERROR(__xludf.DUMMYFUNCTION("""COMPUTED_VALUE"""),23.0)</f>
        <v>23</v>
      </c>
      <c r="M1035" s="561">
        <f>IFERROR(__xludf.DUMMYFUNCTION("""COMPUTED_VALUE"""),10.0)</f>
        <v>10</v>
      </c>
      <c r="N1035" s="561">
        <f>IFERROR(__xludf.DUMMYFUNCTION("""COMPUTED_VALUE"""),8.0)</f>
        <v>8</v>
      </c>
      <c r="O1035" s="560"/>
      <c r="P1035" s="562">
        <f>IFERROR(__xludf.DUMMYFUNCTION("""COMPUTED_VALUE"""),77.0)</f>
        <v>77</v>
      </c>
      <c r="Q1035" s="562">
        <f>IFERROR(__xludf.DUMMYFUNCTION("""COMPUTED_VALUE"""),0.0)</f>
        <v>0</v>
      </c>
      <c r="R1035" s="562">
        <f>IFERROR(__xludf.DUMMYFUNCTION("""COMPUTED_VALUE"""),0.0)</f>
        <v>0</v>
      </c>
      <c r="S1035" s="562"/>
      <c r="T1035" s="217">
        <f>IFERROR(__xludf.DUMMYFUNCTION("""COMPUTED_VALUE"""),13.0)</f>
        <v>13</v>
      </c>
      <c r="U1035" s="217">
        <f>IFERROR(__xludf.DUMMYFUNCTION("""COMPUTED_VALUE"""),22.0)</f>
        <v>22</v>
      </c>
      <c r="V1035" s="217">
        <f>IFERROR(__xludf.DUMMYFUNCTION("""COMPUTED_VALUE"""),0.0)</f>
        <v>0</v>
      </c>
      <c r="W1035" s="217"/>
      <c r="X1035" s="217">
        <f>IFERROR(__xludf.DUMMYFUNCTION("""COMPUTED_VALUE"""),74.0)</f>
        <v>74</v>
      </c>
      <c r="Y1035" s="217"/>
      <c r="Z1035" s="217"/>
      <c r="AA1035" s="481">
        <f>IFERROR(__xludf.DUMMYFUNCTION("""COMPUTED_VALUE"""),40.0)</f>
        <v>40</v>
      </c>
      <c r="AB1035" s="481">
        <f>IFERROR(__xludf.DUMMYFUNCTION("""COMPUTED_VALUE"""),85.0)</f>
        <v>85</v>
      </c>
      <c r="AC1035" s="481">
        <f>IFERROR(__xludf.DUMMYFUNCTION("""COMPUTED_VALUE"""),88.0)</f>
        <v>88</v>
      </c>
      <c r="AD1035" s="481"/>
      <c r="AE1035" s="481">
        <f>IFERROR(__xludf.DUMMYFUNCTION("""COMPUTED_VALUE"""),10.0)</f>
        <v>10</v>
      </c>
      <c r="AF1035" s="481"/>
      <c r="AG1035" s="481"/>
      <c r="AH1035" s="481">
        <f>IFERROR(__xludf.DUMMYFUNCTION("""COMPUTED_VALUE"""),0.0)</f>
        <v>0</v>
      </c>
      <c r="AI1035" s="158"/>
      <c r="AJ1035" s="158"/>
      <c r="AK1035" s="133">
        <f>IFERROR(__xludf.DUMMYFUNCTION("""COMPUTED_VALUE"""),2.0)</f>
        <v>2</v>
      </c>
      <c r="AL1035" s="133">
        <f>IFERROR(__xludf.DUMMYFUNCTION("""COMPUTED_VALUE"""),0.0)</f>
        <v>0</v>
      </c>
      <c r="AM1035" s="133">
        <f>IFERROR(__xludf.DUMMYFUNCTION("""COMPUTED_VALUE"""),2.0)</f>
        <v>2</v>
      </c>
      <c r="AN1035" s="133" t="str">
        <f>IFERROR(__xludf.DUMMYFUNCTION("""COMPUTED_VALUE"""),"3")</f>
        <v>3</v>
      </c>
      <c r="AO1035" s="133">
        <f>IFERROR(__xludf.DUMMYFUNCTION("""COMPUTED_VALUE"""),1.0)</f>
        <v>1</v>
      </c>
      <c r="AP1035" s="155" t="s">
        <v>3736</v>
      </c>
    </row>
    <row r="1036">
      <c r="A1036" s="155">
        <f>IFERROR(__xludf.DUMMYFUNCTION("""COMPUTED_VALUE"""),143.0)</f>
        <v>143</v>
      </c>
      <c r="B1036" s="155" t="str">
        <f>IFERROR(__xludf.DUMMYFUNCTION("""COMPUTED_VALUE"""),"pam23ece@cmrit.ac.in")</f>
        <v>pam23ece@cmrit.ac.in</v>
      </c>
      <c r="C1036" s="174" t="str">
        <f>IFERROR(__xludf.DUMMYFUNCTION("""COMPUTED_VALUE"""),"Pavan M")</f>
        <v>Pavan M</v>
      </c>
      <c r="D1036" s="155" t="str">
        <f>IFERROR(__xludf.DUMMYFUNCTION("""COMPUTED_VALUE"""),"1CR23EC148")</f>
        <v>1CR23EC148</v>
      </c>
      <c r="E1036" s="563">
        <f>IFERROR(__xludf.DUMMYFUNCTION("""COMPUTED_VALUE"""),6.360732663E9)</f>
        <v>6360732663</v>
      </c>
      <c r="F1036" s="155" t="str">
        <f>IFERROR(__xludf.DUMMYFUNCTION("""COMPUTED_VALUE"""),"ECE")</f>
        <v>ECE</v>
      </c>
      <c r="G1036" s="158"/>
      <c r="H1036" s="559">
        <f>IFERROR(__xludf.DUMMYFUNCTION("""COMPUTED_VALUE"""),70.0)</f>
        <v>70</v>
      </c>
      <c r="I1036" s="559">
        <f>IFERROR(__xludf.DUMMYFUNCTION("""COMPUTED_VALUE"""),59.0)</f>
        <v>59</v>
      </c>
      <c r="J1036" s="559">
        <f>IFERROR(__xludf.DUMMYFUNCTION("""COMPUTED_VALUE"""),13.0)</f>
        <v>13</v>
      </c>
      <c r="K1036" s="559">
        <f>IFERROR(__xludf.DUMMYFUNCTION("""COMPUTED_VALUE"""),8.0)</f>
        <v>8</v>
      </c>
      <c r="L1036" s="560">
        <f>IFERROR(__xludf.DUMMYFUNCTION("""COMPUTED_VALUE"""),47.0)</f>
        <v>47</v>
      </c>
      <c r="M1036" s="561">
        <f>IFERROR(__xludf.DUMMYFUNCTION("""COMPUTED_VALUE"""),13.0)</f>
        <v>13</v>
      </c>
      <c r="N1036" s="561">
        <f>IFERROR(__xludf.DUMMYFUNCTION("""COMPUTED_VALUE"""),0.0)</f>
        <v>0</v>
      </c>
      <c r="O1036" s="560"/>
      <c r="P1036" s="562">
        <f>IFERROR(__xludf.DUMMYFUNCTION("""COMPUTED_VALUE"""),0.0)</f>
        <v>0</v>
      </c>
      <c r="Q1036" s="562">
        <f>IFERROR(__xludf.DUMMYFUNCTION("""COMPUTED_VALUE"""),0.0)</f>
        <v>0</v>
      </c>
      <c r="R1036" s="562">
        <f>IFERROR(__xludf.DUMMYFUNCTION("""COMPUTED_VALUE"""),0.0)</f>
        <v>0</v>
      </c>
      <c r="S1036" s="562"/>
      <c r="T1036" s="217"/>
      <c r="U1036" s="217">
        <f>IFERROR(__xludf.DUMMYFUNCTION("""COMPUTED_VALUE"""),10.0)</f>
        <v>10</v>
      </c>
      <c r="V1036" s="217">
        <f>IFERROR(__xludf.DUMMYFUNCTION("""COMPUTED_VALUE"""),0.0)</f>
        <v>0</v>
      </c>
      <c r="W1036" s="217"/>
      <c r="X1036" s="217">
        <f>IFERROR(__xludf.DUMMYFUNCTION("""COMPUTED_VALUE"""),64.0)</f>
        <v>64</v>
      </c>
      <c r="Y1036" s="217"/>
      <c r="Z1036" s="217"/>
      <c r="AA1036" s="481">
        <f>IFERROR(__xludf.DUMMYFUNCTION("""COMPUTED_VALUE"""),0.0)</f>
        <v>0</v>
      </c>
      <c r="AB1036" s="481">
        <f>IFERROR(__xludf.DUMMYFUNCTION("""COMPUTED_VALUE"""),77.0)</f>
        <v>77</v>
      </c>
      <c r="AC1036" s="481">
        <f>IFERROR(__xludf.DUMMYFUNCTION("""COMPUTED_VALUE"""),0.0)</f>
        <v>0</v>
      </c>
      <c r="AD1036" s="481"/>
      <c r="AE1036" s="481">
        <f>IFERROR(__xludf.DUMMYFUNCTION("""COMPUTED_VALUE"""),10.0)</f>
        <v>10</v>
      </c>
      <c r="AF1036" s="481"/>
      <c r="AG1036" s="481"/>
      <c r="AH1036" s="481"/>
      <c r="AI1036" s="158"/>
      <c r="AJ1036" s="158"/>
      <c r="AK1036" s="133">
        <f>IFERROR(__xludf.DUMMYFUNCTION("""COMPUTED_VALUE"""),1.0)</f>
        <v>1</v>
      </c>
      <c r="AL1036" s="133">
        <f>IFERROR(__xludf.DUMMYFUNCTION("""COMPUTED_VALUE"""),0.0)</f>
        <v>0</v>
      </c>
      <c r="AM1036" s="133">
        <f>IFERROR(__xludf.DUMMYFUNCTION("""COMPUTED_VALUE"""),2.0)</f>
        <v>2</v>
      </c>
      <c r="AN1036" s="133" t="str">
        <f>IFERROR(__xludf.DUMMYFUNCTION("""COMPUTED_VALUE"""),"2")</f>
        <v>2</v>
      </c>
      <c r="AO1036" s="133">
        <f>IFERROR(__xludf.DUMMYFUNCTION("""COMPUTED_VALUE"""),0.0)</f>
        <v>0</v>
      </c>
      <c r="AP1036" s="155" t="s">
        <v>3736</v>
      </c>
    </row>
    <row r="1037">
      <c r="A1037" s="155">
        <f>IFERROR(__xludf.DUMMYFUNCTION("""COMPUTED_VALUE"""),144.0)</f>
        <v>144</v>
      </c>
      <c r="B1037" s="155" t="str">
        <f>IFERROR(__xludf.DUMMYFUNCTION("""COMPUTED_VALUE"""),"peja23ece@cmrit.ac.in")</f>
        <v>peja23ece@cmrit.ac.in</v>
      </c>
      <c r="C1037" s="174" t="str">
        <f>IFERROR(__xludf.DUMMYFUNCTION("""COMPUTED_VALUE"""),"PENDYALA JAYRAM")</f>
        <v>PENDYALA JAYRAM</v>
      </c>
      <c r="D1037" s="155" t="str">
        <f>IFERROR(__xludf.DUMMYFUNCTION("""COMPUTED_VALUE"""),"1CR23EC149")</f>
        <v>1CR23EC149</v>
      </c>
      <c r="E1037" s="563">
        <f>IFERROR(__xludf.DUMMYFUNCTION("""COMPUTED_VALUE"""),7.259346001E9)</f>
        <v>7259346001</v>
      </c>
      <c r="F1037" s="155" t="str">
        <f>IFERROR(__xludf.DUMMYFUNCTION("""COMPUTED_VALUE"""),"ECE")</f>
        <v>ECE</v>
      </c>
      <c r="G1037" s="158"/>
      <c r="H1037" s="559">
        <f>IFERROR(__xludf.DUMMYFUNCTION("""COMPUTED_VALUE"""),70.0)</f>
        <v>70</v>
      </c>
      <c r="I1037" s="559">
        <f>IFERROR(__xludf.DUMMYFUNCTION("""COMPUTED_VALUE"""),72.0)</f>
        <v>72</v>
      </c>
      <c r="J1037" s="559">
        <f>IFERROR(__xludf.DUMMYFUNCTION("""COMPUTED_VALUE"""),65.0)</f>
        <v>65</v>
      </c>
      <c r="K1037" s="559">
        <f>IFERROR(__xludf.DUMMYFUNCTION("""COMPUTED_VALUE"""),70.0)</f>
        <v>70</v>
      </c>
      <c r="L1037" s="560">
        <f>IFERROR(__xludf.DUMMYFUNCTION("""COMPUTED_VALUE"""),50.0)</f>
        <v>50</v>
      </c>
      <c r="M1037" s="561">
        <f>IFERROR(__xludf.DUMMYFUNCTION("""COMPUTED_VALUE"""),50.0)</f>
        <v>50</v>
      </c>
      <c r="N1037" s="561">
        <f>IFERROR(__xludf.DUMMYFUNCTION("""COMPUTED_VALUE"""),11.0)</f>
        <v>11</v>
      </c>
      <c r="O1037" s="560"/>
      <c r="P1037" s="562">
        <f>IFERROR(__xludf.DUMMYFUNCTION("""COMPUTED_VALUE"""),78.0)</f>
        <v>78</v>
      </c>
      <c r="Q1037" s="562">
        <f>IFERROR(__xludf.DUMMYFUNCTION("""COMPUTED_VALUE"""),50.0)</f>
        <v>50</v>
      </c>
      <c r="R1037" s="562">
        <f>IFERROR(__xludf.DUMMYFUNCTION("""COMPUTED_VALUE"""),78.0)</f>
        <v>78</v>
      </c>
      <c r="S1037" s="562"/>
      <c r="T1037" s="217">
        <f>IFERROR(__xludf.DUMMYFUNCTION("""COMPUTED_VALUE"""),18.0)</f>
        <v>18</v>
      </c>
      <c r="U1037" s="217">
        <f>IFERROR(__xludf.DUMMYFUNCTION("""COMPUTED_VALUE"""),19.0)</f>
        <v>19</v>
      </c>
      <c r="V1037" s="217">
        <f>IFERROR(__xludf.DUMMYFUNCTION("""COMPUTED_VALUE"""),0.0)</f>
        <v>0</v>
      </c>
      <c r="W1037" s="217">
        <f>IFERROR(__xludf.DUMMYFUNCTION("""COMPUTED_VALUE"""),72.0)</f>
        <v>72</v>
      </c>
      <c r="X1037" s="217">
        <f>IFERROR(__xludf.DUMMYFUNCTION("""COMPUTED_VALUE"""),58.0)</f>
        <v>58</v>
      </c>
      <c r="Y1037" s="217"/>
      <c r="Z1037" s="217"/>
      <c r="AA1037" s="481">
        <f>IFERROR(__xludf.DUMMYFUNCTION("""COMPUTED_VALUE"""),28.0)</f>
        <v>28</v>
      </c>
      <c r="AB1037" s="481">
        <f>IFERROR(__xludf.DUMMYFUNCTION("""COMPUTED_VALUE"""),43.0)</f>
        <v>43</v>
      </c>
      <c r="AC1037" s="481">
        <f>IFERROR(__xludf.DUMMYFUNCTION("""COMPUTED_VALUE"""),0.0)</f>
        <v>0</v>
      </c>
      <c r="AD1037" s="481"/>
      <c r="AE1037" s="481">
        <f>IFERROR(__xludf.DUMMYFUNCTION("""COMPUTED_VALUE"""),10.0)</f>
        <v>10</v>
      </c>
      <c r="AF1037" s="481"/>
      <c r="AG1037" s="481"/>
      <c r="AH1037" s="481"/>
      <c r="AI1037" s="158"/>
      <c r="AJ1037" s="158"/>
      <c r="AK1037" s="133">
        <f>IFERROR(__xludf.DUMMYFUNCTION("""COMPUTED_VALUE"""),2.0)</f>
        <v>2</v>
      </c>
      <c r="AL1037" s="133">
        <f>IFERROR(__xludf.DUMMYFUNCTION("""COMPUTED_VALUE"""),2.0)</f>
        <v>2</v>
      </c>
      <c r="AM1037" s="133">
        <f>IFERROR(__xludf.DUMMYFUNCTION("""COMPUTED_VALUE"""),3.0)</f>
        <v>3</v>
      </c>
      <c r="AN1037" s="133" t="str">
        <f>IFERROR(__xludf.DUMMYFUNCTION("""COMPUTED_VALUE"""),"0")</f>
        <v>0</v>
      </c>
      <c r="AO1037" s="133">
        <f>IFERROR(__xludf.DUMMYFUNCTION("""COMPUTED_VALUE"""),3.0)</f>
        <v>3</v>
      </c>
      <c r="AP1037" s="155" t="s">
        <v>3736</v>
      </c>
    </row>
    <row r="1038">
      <c r="A1038" s="155">
        <f>IFERROR(__xludf.DUMMYFUNCTION("""COMPUTED_VALUE"""),145.0)</f>
        <v>145</v>
      </c>
      <c r="B1038" s="155" t="str">
        <f>IFERROR(__xludf.DUMMYFUNCTION("""COMPUTED_VALUE"""),"pesh23ece@cmrit.ac.in")</f>
        <v>pesh23ece@cmrit.ac.in</v>
      </c>
      <c r="C1038" s="174" t="str">
        <f>IFERROR(__xludf.DUMMYFUNCTION("""COMPUTED_VALUE"""),"PENUGOLAKALA SHILPA ")</f>
        <v>PENUGOLAKALA SHILPA </v>
      </c>
      <c r="D1038" s="155" t="str">
        <f>IFERROR(__xludf.DUMMYFUNCTION("""COMPUTED_VALUE"""),"1CR23EC150")</f>
        <v>1CR23EC150</v>
      </c>
      <c r="E1038" s="563">
        <f>IFERROR(__xludf.DUMMYFUNCTION("""COMPUTED_VALUE"""),9.686593229E9)</f>
        <v>9686593229</v>
      </c>
      <c r="F1038" s="155" t="str">
        <f>IFERROR(__xludf.DUMMYFUNCTION("""COMPUTED_VALUE"""),"ECE")</f>
        <v>ECE</v>
      </c>
      <c r="G1038" s="158"/>
      <c r="H1038" s="559">
        <f>IFERROR(__xludf.DUMMYFUNCTION("""COMPUTED_VALUE"""),73.0)</f>
        <v>73</v>
      </c>
      <c r="I1038" s="559">
        <f>IFERROR(__xludf.DUMMYFUNCTION("""COMPUTED_VALUE"""),70.0)</f>
        <v>70</v>
      </c>
      <c r="J1038" s="559">
        <f>IFERROR(__xludf.DUMMYFUNCTION("""COMPUTED_VALUE"""),70.0)</f>
        <v>70</v>
      </c>
      <c r="K1038" s="559">
        <f>IFERROR(__xludf.DUMMYFUNCTION("""COMPUTED_VALUE"""),70.0)</f>
        <v>70</v>
      </c>
      <c r="L1038" s="560">
        <f>IFERROR(__xludf.DUMMYFUNCTION("""COMPUTED_VALUE"""),50.0)</f>
        <v>50</v>
      </c>
      <c r="M1038" s="561">
        <f>IFERROR(__xludf.DUMMYFUNCTION("""COMPUTED_VALUE"""),50.0)</f>
        <v>50</v>
      </c>
      <c r="N1038" s="561">
        <f>IFERROR(__xludf.DUMMYFUNCTION("""COMPUTED_VALUE"""),59.0)</f>
        <v>59</v>
      </c>
      <c r="O1038" s="560"/>
      <c r="P1038" s="562">
        <f>IFERROR(__xludf.DUMMYFUNCTION("""COMPUTED_VALUE"""),70.0)</f>
        <v>70</v>
      </c>
      <c r="Q1038" s="562">
        <f>IFERROR(__xludf.DUMMYFUNCTION("""COMPUTED_VALUE"""),77.0)</f>
        <v>77</v>
      </c>
      <c r="R1038" s="562">
        <f>IFERROR(__xludf.DUMMYFUNCTION("""COMPUTED_VALUE"""),81.0)</f>
        <v>81</v>
      </c>
      <c r="S1038" s="562"/>
      <c r="T1038" s="217">
        <f>IFERROR(__xludf.DUMMYFUNCTION("""COMPUTED_VALUE"""),10.0)</f>
        <v>10</v>
      </c>
      <c r="U1038" s="217">
        <f>IFERROR(__xludf.DUMMYFUNCTION("""COMPUTED_VALUE"""),15.0)</f>
        <v>15</v>
      </c>
      <c r="V1038" s="217">
        <f>IFERROR(__xludf.DUMMYFUNCTION("""COMPUTED_VALUE"""),42.0)</f>
        <v>42</v>
      </c>
      <c r="W1038" s="217">
        <f>IFERROR(__xludf.DUMMYFUNCTION("""COMPUTED_VALUE"""),82.0)</f>
        <v>82</v>
      </c>
      <c r="X1038" s="217">
        <f>IFERROR(__xludf.DUMMYFUNCTION("""COMPUTED_VALUE"""),70.0)</f>
        <v>70</v>
      </c>
      <c r="Y1038" s="217"/>
      <c r="Z1038" s="217"/>
      <c r="AA1038" s="481">
        <f>IFERROR(__xludf.DUMMYFUNCTION("""COMPUTED_VALUE"""),60.0)</f>
        <v>60</v>
      </c>
      <c r="AB1038" s="481">
        <f>IFERROR(__xludf.DUMMYFUNCTION("""COMPUTED_VALUE"""),79.0)</f>
        <v>79</v>
      </c>
      <c r="AC1038" s="481">
        <f>IFERROR(__xludf.DUMMYFUNCTION("""COMPUTED_VALUE"""),70.0)</f>
        <v>70</v>
      </c>
      <c r="AD1038" s="481"/>
      <c r="AE1038" s="481">
        <f>IFERROR(__xludf.DUMMYFUNCTION("""COMPUTED_VALUE"""),10.0)</f>
        <v>10</v>
      </c>
      <c r="AF1038" s="481"/>
      <c r="AG1038" s="481"/>
      <c r="AH1038" s="481"/>
      <c r="AI1038" s="158"/>
      <c r="AJ1038" s="158"/>
      <c r="AK1038" s="133">
        <f>IFERROR(__xludf.DUMMYFUNCTION("""COMPUTED_VALUE"""),4.0)</f>
        <v>4</v>
      </c>
      <c r="AL1038" s="133">
        <f>IFERROR(__xludf.DUMMYFUNCTION("""COMPUTED_VALUE"""),3.0)</f>
        <v>3</v>
      </c>
      <c r="AM1038" s="133">
        <f>IFERROR(__xludf.DUMMYFUNCTION("""COMPUTED_VALUE"""),3.0)</f>
        <v>3</v>
      </c>
      <c r="AN1038" s="133" t="str">
        <f>IFERROR(__xludf.DUMMYFUNCTION("""COMPUTED_VALUE"""),"3")</f>
        <v>3</v>
      </c>
      <c r="AO1038" s="133">
        <f>IFERROR(__xludf.DUMMYFUNCTION("""COMPUTED_VALUE"""),3.0)</f>
        <v>3</v>
      </c>
      <c r="AP1038" s="155" t="s">
        <v>3736</v>
      </c>
    </row>
    <row r="1039">
      <c r="A1039" s="155">
        <f>IFERROR(__xludf.DUMMYFUNCTION("""COMPUTED_VALUE"""),146.0)</f>
        <v>146</v>
      </c>
      <c r="B1039" s="155" t="str">
        <f>IFERROR(__xludf.DUMMYFUNCTION("""COMPUTED_VALUE"""),"pisi23ece@cmrit.ac.in")</f>
        <v>pisi23ece@cmrit.ac.in</v>
      </c>
      <c r="C1039" s="174" t="str">
        <f>IFERROR(__xludf.DUMMYFUNCTION("""COMPUTED_VALUE"""),"PIYUSH KUMAR SINGH")</f>
        <v>PIYUSH KUMAR SINGH</v>
      </c>
      <c r="D1039" s="155" t="str">
        <f>IFERROR(__xludf.DUMMYFUNCTION("""COMPUTED_VALUE"""),"1CR23EC151")</f>
        <v>1CR23EC151</v>
      </c>
      <c r="E1039" s="563">
        <f>IFERROR(__xludf.DUMMYFUNCTION("""COMPUTED_VALUE"""),9.430800867E9)</f>
        <v>9430800867</v>
      </c>
      <c r="F1039" s="155" t="str">
        <f>IFERROR(__xludf.DUMMYFUNCTION("""COMPUTED_VALUE"""),"ECE")</f>
        <v>ECE</v>
      </c>
      <c r="G1039" s="158"/>
      <c r="H1039" s="559">
        <f>IFERROR(__xludf.DUMMYFUNCTION("""COMPUTED_VALUE"""),83.0)</f>
        <v>83</v>
      </c>
      <c r="I1039" s="559">
        <f>IFERROR(__xludf.DUMMYFUNCTION("""COMPUTED_VALUE"""),84.0)</f>
        <v>84</v>
      </c>
      <c r="J1039" s="559">
        <f>IFERROR(__xludf.DUMMYFUNCTION("""COMPUTED_VALUE"""),70.0)</f>
        <v>70</v>
      </c>
      <c r="K1039" s="559">
        <f>IFERROR(__xludf.DUMMYFUNCTION("""COMPUTED_VALUE"""),70.0)</f>
        <v>70</v>
      </c>
      <c r="L1039" s="560">
        <f>IFERROR(__xludf.DUMMYFUNCTION("""COMPUTED_VALUE"""),66.0)</f>
        <v>66</v>
      </c>
      <c r="M1039" s="561">
        <f>IFERROR(__xludf.DUMMYFUNCTION("""COMPUTED_VALUE"""),50.0)</f>
        <v>50</v>
      </c>
      <c r="N1039" s="561">
        <f>IFERROR(__xludf.DUMMYFUNCTION("""COMPUTED_VALUE"""),28.0)</f>
        <v>28</v>
      </c>
      <c r="O1039" s="560"/>
      <c r="P1039" s="562">
        <f>IFERROR(__xludf.DUMMYFUNCTION("""COMPUTED_VALUE"""),75.0)</f>
        <v>75</v>
      </c>
      <c r="Q1039" s="562">
        <f>IFERROR(__xludf.DUMMYFUNCTION("""COMPUTED_VALUE"""),52.0)</f>
        <v>52</v>
      </c>
      <c r="R1039" s="562">
        <f>IFERROR(__xludf.DUMMYFUNCTION("""COMPUTED_VALUE"""),83.0)</f>
        <v>83</v>
      </c>
      <c r="S1039" s="562"/>
      <c r="T1039" s="217">
        <f>IFERROR(__xludf.DUMMYFUNCTION("""COMPUTED_VALUE"""),16.0)</f>
        <v>16</v>
      </c>
      <c r="U1039" s="217">
        <f>IFERROR(__xludf.DUMMYFUNCTION("""COMPUTED_VALUE"""),18.0)</f>
        <v>18</v>
      </c>
      <c r="V1039" s="217">
        <f>IFERROR(__xludf.DUMMYFUNCTION("""COMPUTED_VALUE"""),42.0)</f>
        <v>42</v>
      </c>
      <c r="W1039" s="217">
        <f>IFERROR(__xludf.DUMMYFUNCTION("""COMPUTED_VALUE"""),80.0)</f>
        <v>80</v>
      </c>
      <c r="X1039" s="217">
        <f>IFERROR(__xludf.DUMMYFUNCTION("""COMPUTED_VALUE"""),66.0)</f>
        <v>66</v>
      </c>
      <c r="Y1039" s="217"/>
      <c r="Z1039" s="217"/>
      <c r="AA1039" s="481">
        <f>IFERROR(__xludf.DUMMYFUNCTION("""COMPUTED_VALUE"""),94.0)</f>
        <v>94</v>
      </c>
      <c r="AB1039" s="481">
        <f>IFERROR(__xludf.DUMMYFUNCTION("""COMPUTED_VALUE"""),67.0)</f>
        <v>67</v>
      </c>
      <c r="AC1039" s="481">
        <f>IFERROR(__xludf.DUMMYFUNCTION("""COMPUTED_VALUE"""),94.0)</f>
        <v>94</v>
      </c>
      <c r="AD1039" s="481"/>
      <c r="AE1039" s="481">
        <f>IFERROR(__xludf.DUMMYFUNCTION("""COMPUTED_VALUE"""),10.0)</f>
        <v>10</v>
      </c>
      <c r="AF1039" s="481"/>
      <c r="AG1039" s="481"/>
      <c r="AH1039" s="481"/>
      <c r="AI1039" s="158"/>
      <c r="AJ1039" s="158"/>
      <c r="AK1039" s="133">
        <f>IFERROR(__xludf.DUMMYFUNCTION("""COMPUTED_VALUE"""),4.0)</f>
        <v>4</v>
      </c>
      <c r="AL1039" s="133">
        <f>IFERROR(__xludf.DUMMYFUNCTION("""COMPUTED_VALUE"""),2.0)</f>
        <v>2</v>
      </c>
      <c r="AM1039" s="133">
        <f>IFERROR(__xludf.DUMMYFUNCTION("""COMPUTED_VALUE"""),3.0)</f>
        <v>3</v>
      </c>
      <c r="AN1039" s="133" t="str">
        <f>IFERROR(__xludf.DUMMYFUNCTION("""COMPUTED_VALUE"""),"3")</f>
        <v>3</v>
      </c>
      <c r="AO1039" s="133">
        <f>IFERROR(__xludf.DUMMYFUNCTION("""COMPUTED_VALUE"""),3.0)</f>
        <v>3</v>
      </c>
      <c r="AP1039" s="155" t="s">
        <v>3736</v>
      </c>
    </row>
    <row r="1040">
      <c r="A1040" s="155">
        <f>IFERROR(__xludf.DUMMYFUNCTION("""COMPUTED_VALUE"""),147.0)</f>
        <v>147</v>
      </c>
      <c r="B1040" s="155" t="str">
        <f>IFERROR(__xludf.DUMMYFUNCTION("""COMPUTED_VALUE"""),"pira23ece@cmrit.ac.in")</f>
        <v>pira23ece@cmrit.ac.in</v>
      </c>
      <c r="C1040" s="174" t="str">
        <f>IFERROR(__xludf.DUMMYFUNCTION("""COMPUTED_VALUE"""),"PIYUSH RAJ")</f>
        <v>PIYUSH RAJ</v>
      </c>
      <c r="D1040" s="155" t="str">
        <f>IFERROR(__xludf.DUMMYFUNCTION("""COMPUTED_VALUE"""),"1CR23EC152")</f>
        <v>1CR23EC152</v>
      </c>
      <c r="E1040" s="563">
        <f>IFERROR(__xludf.DUMMYFUNCTION("""COMPUTED_VALUE"""),8.987844921E9)</f>
        <v>8987844921</v>
      </c>
      <c r="F1040" s="155" t="str">
        <f>IFERROR(__xludf.DUMMYFUNCTION("""COMPUTED_VALUE"""),"ECE")</f>
        <v>ECE</v>
      </c>
      <c r="G1040" s="158"/>
      <c r="H1040" s="559">
        <f>IFERROR(__xludf.DUMMYFUNCTION("""COMPUTED_VALUE"""),81.0)</f>
        <v>81</v>
      </c>
      <c r="I1040" s="559">
        <f>IFERROR(__xludf.DUMMYFUNCTION("""COMPUTED_VALUE"""),79.0)</f>
        <v>79</v>
      </c>
      <c r="J1040" s="559">
        <f>IFERROR(__xludf.DUMMYFUNCTION("""COMPUTED_VALUE"""),70.0)</f>
        <v>70</v>
      </c>
      <c r="K1040" s="559">
        <f>IFERROR(__xludf.DUMMYFUNCTION("""COMPUTED_VALUE"""),70.0)</f>
        <v>70</v>
      </c>
      <c r="L1040" s="560">
        <f>IFERROR(__xludf.DUMMYFUNCTION("""COMPUTED_VALUE"""),52.0)</f>
        <v>52</v>
      </c>
      <c r="M1040" s="561">
        <f>IFERROR(__xludf.DUMMYFUNCTION("""COMPUTED_VALUE"""),50.0)</f>
        <v>50</v>
      </c>
      <c r="N1040" s="561">
        <f>IFERROR(__xludf.DUMMYFUNCTION("""COMPUTED_VALUE"""),50.0)</f>
        <v>50</v>
      </c>
      <c r="O1040" s="560"/>
      <c r="P1040" s="562">
        <f>IFERROR(__xludf.DUMMYFUNCTION("""COMPUTED_VALUE"""),80.0)</f>
        <v>80</v>
      </c>
      <c r="Q1040" s="562">
        <f>IFERROR(__xludf.DUMMYFUNCTION("""COMPUTED_VALUE"""),72.0)</f>
        <v>72</v>
      </c>
      <c r="R1040" s="562">
        <f>IFERROR(__xludf.DUMMYFUNCTION("""COMPUTED_VALUE"""),88.0)</f>
        <v>88</v>
      </c>
      <c r="S1040" s="562"/>
      <c r="T1040" s="217">
        <f>IFERROR(__xludf.DUMMYFUNCTION("""COMPUTED_VALUE"""),13.0)</f>
        <v>13</v>
      </c>
      <c r="U1040" s="217">
        <f>IFERROR(__xludf.DUMMYFUNCTION("""COMPUTED_VALUE"""),12.0)</f>
        <v>12</v>
      </c>
      <c r="V1040" s="217">
        <f>IFERROR(__xludf.DUMMYFUNCTION("""COMPUTED_VALUE"""),40.0)</f>
        <v>40</v>
      </c>
      <c r="W1040" s="217">
        <f>IFERROR(__xludf.DUMMYFUNCTION("""COMPUTED_VALUE"""),80.0)</f>
        <v>80</v>
      </c>
      <c r="X1040" s="217">
        <f>IFERROR(__xludf.DUMMYFUNCTION("""COMPUTED_VALUE"""),72.0)</f>
        <v>72</v>
      </c>
      <c r="Y1040" s="217"/>
      <c r="Z1040" s="217"/>
      <c r="AA1040" s="481">
        <f>IFERROR(__xludf.DUMMYFUNCTION("""COMPUTED_VALUE"""),54.0)</f>
        <v>54</v>
      </c>
      <c r="AB1040" s="481">
        <f>IFERROR(__xludf.DUMMYFUNCTION("""COMPUTED_VALUE"""),99.0)</f>
        <v>99</v>
      </c>
      <c r="AC1040" s="481">
        <f>IFERROR(__xludf.DUMMYFUNCTION("""COMPUTED_VALUE"""),95.0)</f>
        <v>95</v>
      </c>
      <c r="AD1040" s="481"/>
      <c r="AE1040" s="481">
        <f>IFERROR(__xludf.DUMMYFUNCTION("""COMPUTED_VALUE"""),98.0)</f>
        <v>98</v>
      </c>
      <c r="AF1040" s="481"/>
      <c r="AG1040" s="481">
        <f>IFERROR(__xludf.DUMMYFUNCTION("""COMPUTED_VALUE"""),72.0)</f>
        <v>72</v>
      </c>
      <c r="AH1040" s="481"/>
      <c r="AI1040" s="158"/>
      <c r="AJ1040" s="158"/>
      <c r="AK1040" s="133">
        <f>IFERROR(__xludf.DUMMYFUNCTION("""COMPUTED_VALUE"""),4.0)</f>
        <v>4</v>
      </c>
      <c r="AL1040" s="133">
        <f>IFERROR(__xludf.DUMMYFUNCTION("""COMPUTED_VALUE"""),3.0)</f>
        <v>3</v>
      </c>
      <c r="AM1040" s="133">
        <f>IFERROR(__xludf.DUMMYFUNCTION("""COMPUTED_VALUE"""),3.0)</f>
        <v>3</v>
      </c>
      <c r="AN1040" s="133" t="str">
        <f>IFERROR(__xludf.DUMMYFUNCTION("""COMPUTED_VALUE"""),"3.5")</f>
        <v>3.5</v>
      </c>
      <c r="AO1040" s="133">
        <f>IFERROR(__xludf.DUMMYFUNCTION("""COMPUTED_VALUE"""),3.0)</f>
        <v>3</v>
      </c>
      <c r="AP1040" s="155" t="s">
        <v>3736</v>
      </c>
    </row>
    <row r="1041">
      <c r="A1041" s="155">
        <f>IFERROR(__xludf.DUMMYFUNCTION("""COMPUTED_VALUE"""),148.0)</f>
        <v>148</v>
      </c>
      <c r="B1041" s="155" t="str">
        <f>IFERROR(__xludf.DUMMYFUNCTION("""COMPUTED_VALUE"""),"pira23ece@cmrit.ac.in")</f>
        <v>pira23ece@cmrit.ac.in</v>
      </c>
      <c r="C1041" s="174" t="str">
        <f>IFERROR(__xludf.DUMMYFUNCTION("""COMPUTED_VALUE"""),"PIYUSH RAJU N R")</f>
        <v>PIYUSH RAJU N R</v>
      </c>
      <c r="D1041" s="155" t="str">
        <f>IFERROR(__xludf.DUMMYFUNCTION("""COMPUTED_VALUE"""),"1CR23EC153")</f>
        <v>1CR23EC153</v>
      </c>
      <c r="E1041" s="563">
        <f>IFERROR(__xludf.DUMMYFUNCTION("""COMPUTED_VALUE"""),6.361658916E9)</f>
        <v>6361658916</v>
      </c>
      <c r="F1041" s="155" t="str">
        <f>IFERROR(__xludf.DUMMYFUNCTION("""COMPUTED_VALUE"""),"ECE")</f>
        <v>ECE</v>
      </c>
      <c r="G1041" s="158"/>
      <c r="H1041" s="559">
        <f>IFERROR(__xludf.DUMMYFUNCTION("""COMPUTED_VALUE"""),77.0)</f>
        <v>77</v>
      </c>
      <c r="I1041" s="559">
        <f>IFERROR(__xludf.DUMMYFUNCTION("""COMPUTED_VALUE"""),77.0)</f>
        <v>77</v>
      </c>
      <c r="J1041" s="559">
        <f>IFERROR(__xludf.DUMMYFUNCTION("""COMPUTED_VALUE"""),70.0)</f>
        <v>70</v>
      </c>
      <c r="K1041" s="559">
        <f>IFERROR(__xludf.DUMMYFUNCTION("""COMPUTED_VALUE"""),70.0)</f>
        <v>70</v>
      </c>
      <c r="L1041" s="560">
        <f>IFERROR(__xludf.DUMMYFUNCTION("""COMPUTED_VALUE"""),50.0)</f>
        <v>50</v>
      </c>
      <c r="M1041" s="561">
        <f>IFERROR(__xludf.DUMMYFUNCTION("""COMPUTED_VALUE"""),50.0)</f>
        <v>50</v>
      </c>
      <c r="N1041" s="561">
        <f>IFERROR(__xludf.DUMMYFUNCTION("""COMPUTED_VALUE"""),52.0)</f>
        <v>52</v>
      </c>
      <c r="O1041" s="560"/>
      <c r="P1041" s="562">
        <f>IFERROR(__xludf.DUMMYFUNCTION("""COMPUTED_VALUE"""),73.0)</f>
        <v>73</v>
      </c>
      <c r="Q1041" s="562">
        <f>IFERROR(__xludf.DUMMYFUNCTION("""COMPUTED_VALUE"""),72.0)</f>
        <v>72</v>
      </c>
      <c r="R1041" s="562">
        <f>IFERROR(__xludf.DUMMYFUNCTION("""COMPUTED_VALUE"""),85.0)</f>
        <v>85</v>
      </c>
      <c r="S1041" s="562"/>
      <c r="T1041" s="217">
        <f>IFERROR(__xludf.DUMMYFUNCTION("""COMPUTED_VALUE"""),10.0)</f>
        <v>10</v>
      </c>
      <c r="U1041" s="217">
        <f>IFERROR(__xludf.DUMMYFUNCTION("""COMPUTED_VALUE"""),18.0)</f>
        <v>18</v>
      </c>
      <c r="V1041" s="217">
        <f>IFERROR(__xludf.DUMMYFUNCTION("""COMPUTED_VALUE"""),40.0)</f>
        <v>40</v>
      </c>
      <c r="W1041" s="217">
        <f>IFERROR(__xludf.DUMMYFUNCTION("""COMPUTED_VALUE"""),0.0)</f>
        <v>0</v>
      </c>
      <c r="X1041" s="217">
        <f>IFERROR(__xludf.DUMMYFUNCTION("""COMPUTED_VALUE"""),72.0)</f>
        <v>72</v>
      </c>
      <c r="Y1041" s="217"/>
      <c r="Z1041" s="217"/>
      <c r="AA1041" s="481">
        <f>IFERROR(__xludf.DUMMYFUNCTION("""COMPUTED_VALUE"""),60.0)</f>
        <v>60</v>
      </c>
      <c r="AB1041" s="481">
        <f>IFERROR(__xludf.DUMMYFUNCTION("""COMPUTED_VALUE"""),70.0)</f>
        <v>70</v>
      </c>
      <c r="AC1041" s="481">
        <f>IFERROR(__xludf.DUMMYFUNCTION("""COMPUTED_VALUE"""),88.0)</f>
        <v>88</v>
      </c>
      <c r="AD1041" s="481"/>
      <c r="AE1041" s="481">
        <f>IFERROR(__xludf.DUMMYFUNCTION("""COMPUTED_VALUE"""),70.0)</f>
        <v>70</v>
      </c>
      <c r="AF1041" s="481"/>
      <c r="AG1041" s="481"/>
      <c r="AH1041" s="481"/>
      <c r="AI1041" s="158"/>
      <c r="AJ1041" s="158"/>
      <c r="AK1041" s="133">
        <f>IFERROR(__xludf.DUMMYFUNCTION("""COMPUTED_VALUE"""),4.0)</f>
        <v>4</v>
      </c>
      <c r="AL1041" s="133">
        <f>IFERROR(__xludf.DUMMYFUNCTION("""COMPUTED_VALUE"""),3.0)</f>
        <v>3</v>
      </c>
      <c r="AM1041" s="133">
        <f>IFERROR(__xludf.DUMMYFUNCTION("""COMPUTED_VALUE"""),2.0)</f>
        <v>2</v>
      </c>
      <c r="AN1041" s="133" t="str">
        <f>IFERROR(__xludf.DUMMYFUNCTION("""COMPUTED_VALUE"""),"3.5")</f>
        <v>3.5</v>
      </c>
      <c r="AO1041" s="133">
        <f>IFERROR(__xludf.DUMMYFUNCTION("""COMPUTED_VALUE"""),3.0)</f>
        <v>3</v>
      </c>
      <c r="AP1041" s="155" t="s">
        <v>3736</v>
      </c>
    </row>
    <row r="1042">
      <c r="A1042" s="155">
        <f>IFERROR(__xludf.DUMMYFUNCTION("""COMPUTED_VALUE"""),149.0)</f>
        <v>149</v>
      </c>
      <c r="B1042" s="155" t="str">
        <f>IFERROR(__xludf.DUMMYFUNCTION("""COMPUTED_VALUE"""),"pob23ece@cmrit.ac.in")</f>
        <v>pob23ece@cmrit.ac.in</v>
      </c>
      <c r="C1042" s="174" t="str">
        <f>IFERROR(__xludf.DUMMYFUNCTION("""COMPUTED_VALUE"""),"Poornima B")</f>
        <v>Poornima B</v>
      </c>
      <c r="D1042" s="155" t="str">
        <f>IFERROR(__xludf.DUMMYFUNCTION("""COMPUTED_VALUE"""),"1CR23EC154")</f>
        <v>1CR23EC154</v>
      </c>
      <c r="E1042" s="563">
        <f>IFERROR(__xludf.DUMMYFUNCTION("""COMPUTED_VALUE"""),7.411376073E9)</f>
        <v>7411376073</v>
      </c>
      <c r="F1042" s="155" t="str">
        <f>IFERROR(__xludf.DUMMYFUNCTION("""COMPUTED_VALUE"""),"ECE")</f>
        <v>ECE</v>
      </c>
      <c r="G1042" s="158"/>
      <c r="H1042" s="559">
        <f>IFERROR(__xludf.DUMMYFUNCTION("""COMPUTED_VALUE"""),70.0)</f>
        <v>70</v>
      </c>
      <c r="I1042" s="559">
        <f>IFERROR(__xludf.DUMMYFUNCTION("""COMPUTED_VALUE"""),70.0)</f>
        <v>70</v>
      </c>
      <c r="J1042" s="559">
        <f>IFERROR(__xludf.DUMMYFUNCTION("""COMPUTED_VALUE"""),70.0)</f>
        <v>70</v>
      </c>
      <c r="K1042" s="559">
        <f>IFERROR(__xludf.DUMMYFUNCTION("""COMPUTED_VALUE"""),70.0)</f>
        <v>70</v>
      </c>
      <c r="L1042" s="560">
        <f>IFERROR(__xludf.DUMMYFUNCTION("""COMPUTED_VALUE"""),50.0)</f>
        <v>50</v>
      </c>
      <c r="M1042" s="561">
        <f>IFERROR(__xludf.DUMMYFUNCTION("""COMPUTED_VALUE"""),50.0)</f>
        <v>50</v>
      </c>
      <c r="N1042" s="561">
        <f>IFERROR(__xludf.DUMMYFUNCTION("""COMPUTED_VALUE"""),50.0)</f>
        <v>50</v>
      </c>
      <c r="O1042" s="560"/>
      <c r="P1042" s="562">
        <f>IFERROR(__xludf.DUMMYFUNCTION("""COMPUTED_VALUE"""),75.0)</f>
        <v>75</v>
      </c>
      <c r="Q1042" s="562">
        <f>IFERROR(__xludf.DUMMYFUNCTION("""COMPUTED_VALUE"""),50.0)</f>
        <v>50</v>
      </c>
      <c r="R1042" s="562">
        <f>IFERROR(__xludf.DUMMYFUNCTION("""COMPUTED_VALUE"""),82.0)</f>
        <v>82</v>
      </c>
      <c r="S1042" s="562"/>
      <c r="T1042" s="217">
        <f>IFERROR(__xludf.DUMMYFUNCTION("""COMPUTED_VALUE"""),18.0)</f>
        <v>18</v>
      </c>
      <c r="U1042" s="217">
        <f>IFERROR(__xludf.DUMMYFUNCTION("""COMPUTED_VALUE"""),22.0)</f>
        <v>22</v>
      </c>
      <c r="V1042" s="217">
        <f>IFERROR(__xludf.DUMMYFUNCTION("""COMPUTED_VALUE"""),42.0)</f>
        <v>42</v>
      </c>
      <c r="W1042" s="217">
        <f>IFERROR(__xludf.DUMMYFUNCTION("""COMPUTED_VALUE"""),76.0)</f>
        <v>76</v>
      </c>
      <c r="X1042" s="217">
        <f>IFERROR(__xludf.DUMMYFUNCTION("""COMPUTED_VALUE"""),68.0)</f>
        <v>68</v>
      </c>
      <c r="Y1042" s="217"/>
      <c r="Z1042" s="217"/>
      <c r="AA1042" s="481">
        <f>IFERROR(__xludf.DUMMYFUNCTION("""COMPUTED_VALUE"""),62.0)</f>
        <v>62</v>
      </c>
      <c r="AB1042" s="481">
        <f>IFERROR(__xludf.DUMMYFUNCTION("""COMPUTED_VALUE"""),69.0)</f>
        <v>69</v>
      </c>
      <c r="AC1042" s="481">
        <f>IFERROR(__xludf.DUMMYFUNCTION("""COMPUTED_VALUE"""),67.0)</f>
        <v>67</v>
      </c>
      <c r="AD1042" s="481"/>
      <c r="AE1042" s="481">
        <f>IFERROR(__xludf.DUMMYFUNCTION("""COMPUTED_VALUE"""),57.0)</f>
        <v>57</v>
      </c>
      <c r="AF1042" s="481"/>
      <c r="AG1042" s="481"/>
      <c r="AH1042" s="481"/>
      <c r="AI1042" s="158"/>
      <c r="AJ1042" s="158"/>
      <c r="AK1042" s="133">
        <f>IFERROR(__xludf.DUMMYFUNCTION("""COMPUTED_VALUE"""),4.0)</f>
        <v>4</v>
      </c>
      <c r="AL1042" s="133">
        <f>IFERROR(__xludf.DUMMYFUNCTION("""COMPUTED_VALUE"""),3.0)</f>
        <v>3</v>
      </c>
      <c r="AM1042" s="133">
        <f>IFERROR(__xludf.DUMMYFUNCTION("""COMPUTED_VALUE"""),3.0)</f>
        <v>3</v>
      </c>
      <c r="AN1042" s="133" t="str">
        <f>IFERROR(__xludf.DUMMYFUNCTION("""COMPUTED_VALUE"""),"3")</f>
        <v>3</v>
      </c>
      <c r="AO1042" s="133">
        <f>IFERROR(__xludf.DUMMYFUNCTION("""COMPUTED_VALUE"""),3.0)</f>
        <v>3</v>
      </c>
      <c r="AP1042" s="155" t="s">
        <v>3736</v>
      </c>
    </row>
    <row r="1043">
      <c r="A1043" s="155">
        <f>IFERROR(__xludf.DUMMYFUNCTION("""COMPUTED_VALUE"""),150.0)</f>
        <v>150</v>
      </c>
      <c r="B1043" s="155" t="str">
        <f>IFERROR(__xludf.DUMMYFUNCTION("""COMPUTED_VALUE"""),"popa23ece@cmrit.ac.in")</f>
        <v>popa23ece@cmrit.ac.in</v>
      </c>
      <c r="C1043" s="174" t="str">
        <f>IFERROR(__xludf.DUMMYFUNCTION("""COMPUTED_VALUE"""),"Poorvi Parashuram Gajakosh ")</f>
        <v>Poorvi Parashuram Gajakosh </v>
      </c>
      <c r="D1043" s="155" t="str">
        <f>IFERROR(__xludf.DUMMYFUNCTION("""COMPUTED_VALUE"""),"1CR23EC155")</f>
        <v>1CR23EC155</v>
      </c>
      <c r="E1043" s="563">
        <f>IFERROR(__xludf.DUMMYFUNCTION("""COMPUTED_VALUE"""),9.019061844E9)</f>
        <v>9019061844</v>
      </c>
      <c r="F1043" s="155" t="str">
        <f>IFERROR(__xludf.DUMMYFUNCTION("""COMPUTED_VALUE"""),"ECE")</f>
        <v>ECE</v>
      </c>
      <c r="G1043" s="158"/>
      <c r="H1043" s="559">
        <f>IFERROR(__xludf.DUMMYFUNCTION("""COMPUTED_VALUE"""),80.0)</f>
        <v>80</v>
      </c>
      <c r="I1043" s="559">
        <f>IFERROR(__xludf.DUMMYFUNCTION("""COMPUTED_VALUE"""),80.0)</f>
        <v>80</v>
      </c>
      <c r="J1043" s="559">
        <f>IFERROR(__xludf.DUMMYFUNCTION("""COMPUTED_VALUE"""),38.0)</f>
        <v>38</v>
      </c>
      <c r="K1043" s="559">
        <f>IFERROR(__xludf.DUMMYFUNCTION("""COMPUTED_VALUE"""),70.0)</f>
        <v>70</v>
      </c>
      <c r="L1043" s="560">
        <f>IFERROR(__xludf.DUMMYFUNCTION("""COMPUTED_VALUE"""),51.0)</f>
        <v>51</v>
      </c>
      <c r="M1043" s="561">
        <f>IFERROR(__xludf.DUMMYFUNCTION("""COMPUTED_VALUE"""),50.0)</f>
        <v>50</v>
      </c>
      <c r="N1043" s="561">
        <f>IFERROR(__xludf.DUMMYFUNCTION("""COMPUTED_VALUE"""),5.0)</f>
        <v>5</v>
      </c>
      <c r="O1043" s="560"/>
      <c r="P1043" s="562">
        <f>IFERROR(__xludf.DUMMYFUNCTION("""COMPUTED_VALUE"""),50.0)</f>
        <v>50</v>
      </c>
      <c r="Q1043" s="562">
        <f>IFERROR(__xludf.DUMMYFUNCTION("""COMPUTED_VALUE"""),50.0)</f>
        <v>50</v>
      </c>
      <c r="R1043" s="562">
        <f>IFERROR(__xludf.DUMMYFUNCTION("""COMPUTED_VALUE"""),50.0)</f>
        <v>50</v>
      </c>
      <c r="S1043" s="562"/>
      <c r="T1043" s="217">
        <f>IFERROR(__xludf.DUMMYFUNCTION("""COMPUTED_VALUE"""),16.0)</f>
        <v>16</v>
      </c>
      <c r="U1043" s="217">
        <f>IFERROR(__xludf.DUMMYFUNCTION("""COMPUTED_VALUE"""),18.0)</f>
        <v>18</v>
      </c>
      <c r="V1043" s="217">
        <f>IFERROR(__xludf.DUMMYFUNCTION("""COMPUTED_VALUE"""),40.0)</f>
        <v>40</v>
      </c>
      <c r="W1043" s="217">
        <f>IFERROR(__xludf.DUMMYFUNCTION("""COMPUTED_VALUE"""),86.0)</f>
        <v>86</v>
      </c>
      <c r="X1043" s="217">
        <f>IFERROR(__xludf.DUMMYFUNCTION("""COMPUTED_VALUE"""),70.0)</f>
        <v>70</v>
      </c>
      <c r="Y1043" s="217"/>
      <c r="Z1043" s="217"/>
      <c r="AA1043" s="481">
        <f>IFERROR(__xludf.DUMMYFUNCTION("""COMPUTED_VALUE"""),50.0)</f>
        <v>50</v>
      </c>
      <c r="AB1043" s="481">
        <f>IFERROR(__xludf.DUMMYFUNCTION("""COMPUTED_VALUE"""),78.0)</f>
        <v>78</v>
      </c>
      <c r="AC1043" s="481">
        <f>IFERROR(__xludf.DUMMYFUNCTION("""COMPUTED_VALUE"""),38.0)</f>
        <v>38</v>
      </c>
      <c r="AD1043" s="481"/>
      <c r="AE1043" s="481">
        <f>IFERROR(__xludf.DUMMYFUNCTION("""COMPUTED_VALUE"""),80.0)</f>
        <v>80</v>
      </c>
      <c r="AF1043" s="481"/>
      <c r="AG1043" s="481"/>
      <c r="AH1043" s="481">
        <f>IFERROR(__xludf.DUMMYFUNCTION("""COMPUTED_VALUE"""),15.0)</f>
        <v>15</v>
      </c>
      <c r="AI1043" s="158"/>
      <c r="AJ1043" s="158"/>
      <c r="AK1043" s="133">
        <f>IFERROR(__xludf.DUMMYFUNCTION("""COMPUTED_VALUE"""),2.0)</f>
        <v>2</v>
      </c>
      <c r="AL1043" s="133">
        <f>IFERROR(__xludf.DUMMYFUNCTION("""COMPUTED_VALUE"""),2.0)</f>
        <v>2</v>
      </c>
      <c r="AM1043" s="133">
        <f>IFERROR(__xludf.DUMMYFUNCTION("""COMPUTED_VALUE"""),3.0)</f>
        <v>3</v>
      </c>
      <c r="AN1043" s="133" t="str">
        <f>IFERROR(__xludf.DUMMYFUNCTION("""COMPUTED_VALUE"""),"2")</f>
        <v>2</v>
      </c>
      <c r="AO1043" s="133">
        <f>IFERROR(__xludf.DUMMYFUNCTION("""COMPUTED_VALUE"""),3.0)</f>
        <v>3</v>
      </c>
      <c r="AP1043" s="155" t="s">
        <v>3736</v>
      </c>
    </row>
    <row r="1044">
      <c r="A1044" s="155">
        <f>IFERROR(__xludf.DUMMYFUNCTION("""COMPUTED_VALUE"""),151.0)</f>
        <v>151</v>
      </c>
      <c r="B1044" s="155" t="str">
        <f>IFERROR(__xludf.DUMMYFUNCTION("""COMPUTED_VALUE"""),"prku23ece@cmrit.ac.in")</f>
        <v>prku23ece@cmrit.ac.in</v>
      </c>
      <c r="C1044" s="174" t="str">
        <f>IFERROR(__xludf.DUMMYFUNCTION("""COMPUTED_VALUE"""),"PRAGATI KUMARI")</f>
        <v>PRAGATI KUMARI</v>
      </c>
      <c r="D1044" s="155" t="str">
        <f>IFERROR(__xludf.DUMMYFUNCTION("""COMPUTED_VALUE"""),"1CR23EC156")</f>
        <v>1CR23EC156</v>
      </c>
      <c r="E1044" s="563">
        <f>IFERROR(__xludf.DUMMYFUNCTION("""COMPUTED_VALUE"""),7.488364981E9)</f>
        <v>7488364981</v>
      </c>
      <c r="F1044" s="155" t="str">
        <f>IFERROR(__xludf.DUMMYFUNCTION("""COMPUTED_VALUE"""),"ECE")</f>
        <v>ECE</v>
      </c>
      <c r="G1044" s="158"/>
      <c r="H1044" s="559">
        <f>IFERROR(__xludf.DUMMYFUNCTION("""COMPUTED_VALUE"""),86.0)</f>
        <v>86</v>
      </c>
      <c r="I1044" s="559">
        <f>IFERROR(__xludf.DUMMYFUNCTION("""COMPUTED_VALUE"""),87.0)</f>
        <v>87</v>
      </c>
      <c r="J1044" s="559">
        <f>IFERROR(__xludf.DUMMYFUNCTION("""COMPUTED_VALUE"""),70.0)</f>
        <v>70</v>
      </c>
      <c r="K1044" s="559">
        <f>IFERROR(__xludf.DUMMYFUNCTION("""COMPUTED_VALUE"""),70.0)</f>
        <v>70</v>
      </c>
      <c r="L1044" s="560">
        <f>IFERROR(__xludf.DUMMYFUNCTION("""COMPUTED_VALUE"""),50.0)</f>
        <v>50</v>
      </c>
      <c r="M1044" s="561">
        <f>IFERROR(__xludf.DUMMYFUNCTION("""COMPUTED_VALUE"""),50.0)</f>
        <v>50</v>
      </c>
      <c r="N1044" s="561">
        <f>IFERROR(__xludf.DUMMYFUNCTION("""COMPUTED_VALUE"""),58.0)</f>
        <v>58</v>
      </c>
      <c r="O1044" s="560"/>
      <c r="P1044" s="562">
        <f>IFERROR(__xludf.DUMMYFUNCTION("""COMPUTED_VALUE"""),79.0)</f>
        <v>79</v>
      </c>
      <c r="Q1044" s="562">
        <f>IFERROR(__xludf.DUMMYFUNCTION("""COMPUTED_VALUE"""),50.0)</f>
        <v>50</v>
      </c>
      <c r="R1044" s="562">
        <f>IFERROR(__xludf.DUMMYFUNCTION("""COMPUTED_VALUE"""),83.0)</f>
        <v>83</v>
      </c>
      <c r="S1044" s="562"/>
      <c r="T1044" s="217">
        <f>IFERROR(__xludf.DUMMYFUNCTION("""COMPUTED_VALUE"""),16.0)</f>
        <v>16</v>
      </c>
      <c r="U1044" s="217">
        <f>IFERROR(__xludf.DUMMYFUNCTION("""COMPUTED_VALUE"""),20.0)</f>
        <v>20</v>
      </c>
      <c r="V1044" s="217">
        <f>IFERROR(__xludf.DUMMYFUNCTION("""COMPUTED_VALUE"""),42.0)</f>
        <v>42</v>
      </c>
      <c r="W1044" s="217">
        <f>IFERROR(__xludf.DUMMYFUNCTION("""COMPUTED_VALUE"""),86.0)</f>
        <v>86</v>
      </c>
      <c r="X1044" s="217">
        <f>IFERROR(__xludf.DUMMYFUNCTION("""COMPUTED_VALUE"""),70.0)</f>
        <v>70</v>
      </c>
      <c r="Y1044" s="217"/>
      <c r="Z1044" s="217"/>
      <c r="AA1044" s="481">
        <f>IFERROR(__xludf.DUMMYFUNCTION("""COMPUTED_VALUE"""),76.0)</f>
        <v>76</v>
      </c>
      <c r="AB1044" s="481">
        <f>IFERROR(__xludf.DUMMYFUNCTION("""COMPUTED_VALUE"""),73.0)</f>
        <v>73</v>
      </c>
      <c r="AC1044" s="481">
        <f>IFERROR(__xludf.DUMMYFUNCTION("""COMPUTED_VALUE"""),65.0)</f>
        <v>65</v>
      </c>
      <c r="AD1044" s="481"/>
      <c r="AE1044" s="481">
        <f>IFERROR(__xludf.DUMMYFUNCTION("""COMPUTED_VALUE"""),85.0)</f>
        <v>85</v>
      </c>
      <c r="AF1044" s="481"/>
      <c r="AG1044" s="481"/>
      <c r="AH1044" s="481">
        <f>IFERROR(__xludf.DUMMYFUNCTION("""COMPUTED_VALUE"""),15.0)</f>
        <v>15</v>
      </c>
      <c r="AI1044" s="158"/>
      <c r="AJ1044" s="158"/>
      <c r="AK1044" s="133">
        <f>IFERROR(__xludf.DUMMYFUNCTION("""COMPUTED_VALUE"""),4.0)</f>
        <v>4</v>
      </c>
      <c r="AL1044" s="133">
        <f>IFERROR(__xludf.DUMMYFUNCTION("""COMPUTED_VALUE"""),3.0)</f>
        <v>3</v>
      </c>
      <c r="AM1044" s="133">
        <f>IFERROR(__xludf.DUMMYFUNCTION("""COMPUTED_VALUE"""),3.0)</f>
        <v>3</v>
      </c>
      <c r="AN1044" s="133" t="str">
        <f>IFERROR(__xludf.DUMMYFUNCTION("""COMPUTED_VALUE"""),"3.5")</f>
        <v>3.5</v>
      </c>
      <c r="AO1044" s="133">
        <f>IFERROR(__xludf.DUMMYFUNCTION("""COMPUTED_VALUE"""),3.0)</f>
        <v>3</v>
      </c>
      <c r="AP1044" s="155" t="s">
        <v>3736</v>
      </c>
    </row>
    <row r="1045">
      <c r="A1045" s="155">
        <f>IFERROR(__xludf.DUMMYFUNCTION("""COMPUTED_VALUE"""),152.0)</f>
        <v>152</v>
      </c>
      <c r="B1045" s="155" t="str">
        <f>IFERROR(__xludf.DUMMYFUNCTION("""COMPUTED_VALUE"""),"prr23ece@cmrit.ac.in")</f>
        <v>prr23ece@cmrit.ac.in</v>
      </c>
      <c r="C1045" s="174" t="str">
        <f>IFERROR(__xludf.DUMMYFUNCTION("""COMPUTED_VALUE"""),"PRAJWAL BANDALKAR R")</f>
        <v>PRAJWAL BANDALKAR R</v>
      </c>
      <c r="D1045" s="155" t="str">
        <f>IFERROR(__xludf.DUMMYFUNCTION("""COMPUTED_VALUE"""),"1CR23EC157")</f>
        <v>1CR23EC157</v>
      </c>
      <c r="E1045" s="563">
        <f>IFERROR(__xludf.DUMMYFUNCTION("""COMPUTED_VALUE"""),8.123306627E9)</f>
        <v>8123306627</v>
      </c>
      <c r="F1045" s="155" t="str">
        <f>IFERROR(__xludf.DUMMYFUNCTION("""COMPUTED_VALUE"""),"ECE")</f>
        <v>ECE</v>
      </c>
      <c r="G1045" s="158"/>
      <c r="H1045" s="559">
        <f>IFERROR(__xludf.DUMMYFUNCTION("""COMPUTED_VALUE"""),77.0)</f>
        <v>77</v>
      </c>
      <c r="I1045" s="559">
        <f>IFERROR(__xludf.DUMMYFUNCTION("""COMPUTED_VALUE"""),67.0)</f>
        <v>67</v>
      </c>
      <c r="J1045" s="559">
        <f>IFERROR(__xludf.DUMMYFUNCTION("""COMPUTED_VALUE"""),18.0)</f>
        <v>18</v>
      </c>
      <c r="K1045" s="559">
        <f>IFERROR(__xludf.DUMMYFUNCTION("""COMPUTED_VALUE"""),22.0)</f>
        <v>22</v>
      </c>
      <c r="L1045" s="560">
        <f>IFERROR(__xludf.DUMMYFUNCTION("""COMPUTED_VALUE"""),47.0)</f>
        <v>47</v>
      </c>
      <c r="M1045" s="561">
        <f>IFERROR(__xludf.DUMMYFUNCTION("""COMPUTED_VALUE"""),3.0)</f>
        <v>3</v>
      </c>
      <c r="N1045" s="561">
        <f>IFERROR(__xludf.DUMMYFUNCTION("""COMPUTED_VALUE"""),0.0)</f>
        <v>0</v>
      </c>
      <c r="O1045" s="560"/>
      <c r="P1045" s="562">
        <f>IFERROR(__xludf.DUMMYFUNCTION("""COMPUTED_VALUE"""),70.0)</f>
        <v>70</v>
      </c>
      <c r="Q1045" s="562">
        <f>IFERROR(__xludf.DUMMYFUNCTION("""COMPUTED_VALUE"""),0.0)</f>
        <v>0</v>
      </c>
      <c r="R1045" s="562">
        <f>IFERROR(__xludf.DUMMYFUNCTION("""COMPUTED_VALUE"""),0.0)</f>
        <v>0</v>
      </c>
      <c r="S1045" s="562"/>
      <c r="T1045" s="217">
        <f>IFERROR(__xludf.DUMMYFUNCTION("""COMPUTED_VALUE"""),19.0)</f>
        <v>19</v>
      </c>
      <c r="U1045" s="217">
        <f>IFERROR(__xludf.DUMMYFUNCTION("""COMPUTED_VALUE"""),15.0)</f>
        <v>15</v>
      </c>
      <c r="V1045" s="217">
        <f>IFERROR(__xludf.DUMMYFUNCTION("""COMPUTED_VALUE"""),38.0)</f>
        <v>38</v>
      </c>
      <c r="W1045" s="217">
        <f>IFERROR(__xludf.DUMMYFUNCTION("""COMPUTED_VALUE"""),64.0)</f>
        <v>64</v>
      </c>
      <c r="X1045" s="217"/>
      <c r="Y1045" s="217"/>
      <c r="Z1045" s="217"/>
      <c r="AA1045" s="481">
        <f>IFERROR(__xludf.DUMMYFUNCTION("""COMPUTED_VALUE"""),11.0)</f>
        <v>11</v>
      </c>
      <c r="AB1045" s="481">
        <f>IFERROR(__xludf.DUMMYFUNCTION("""COMPUTED_VALUE"""),87.0)</f>
        <v>87</v>
      </c>
      <c r="AC1045" s="481">
        <f>IFERROR(__xludf.DUMMYFUNCTION("""COMPUTED_VALUE"""),0.0)</f>
        <v>0</v>
      </c>
      <c r="AD1045" s="481"/>
      <c r="AE1045" s="481">
        <f>IFERROR(__xludf.DUMMYFUNCTION("""COMPUTED_VALUE"""),10.0)</f>
        <v>10</v>
      </c>
      <c r="AF1045" s="481"/>
      <c r="AG1045" s="481"/>
      <c r="AH1045" s="481"/>
      <c r="AI1045" s="158"/>
      <c r="AJ1045" s="158"/>
      <c r="AK1045" s="133">
        <f>IFERROR(__xludf.DUMMYFUNCTION("""COMPUTED_VALUE"""),2.0)</f>
        <v>2</v>
      </c>
      <c r="AL1045" s="133">
        <f>IFERROR(__xludf.DUMMYFUNCTION("""COMPUTED_VALUE"""),0.0)</f>
        <v>0</v>
      </c>
      <c r="AM1045" s="133">
        <f>IFERROR(__xludf.DUMMYFUNCTION("""COMPUTED_VALUE"""),3.0)</f>
        <v>3</v>
      </c>
      <c r="AN1045" s="133" t="str">
        <f>IFERROR(__xludf.DUMMYFUNCTION("""COMPUTED_VALUE"""),"2")</f>
        <v>2</v>
      </c>
      <c r="AO1045" s="133">
        <f>IFERROR(__xludf.DUMMYFUNCTION("""COMPUTED_VALUE"""),1.0)</f>
        <v>1</v>
      </c>
      <c r="AP1045" s="155" t="s">
        <v>3736</v>
      </c>
    </row>
    <row r="1046">
      <c r="A1046" s="155">
        <f>IFERROR(__xludf.DUMMYFUNCTION("""COMPUTED_VALUE"""),153.0)</f>
        <v>153</v>
      </c>
      <c r="B1046" s="155" t="str">
        <f>IFERROR(__xludf.DUMMYFUNCTION("""COMPUTED_VALUE"""),"prns23ece@cmrit.ac.in")</f>
        <v>prns23ece@cmrit.ac.in</v>
      </c>
      <c r="C1046" s="174" t="str">
        <f>IFERROR(__xludf.DUMMYFUNCTION("""COMPUTED_VALUE"""),"PRANATHI N S")</f>
        <v>PRANATHI N S</v>
      </c>
      <c r="D1046" s="155" t="str">
        <f>IFERROR(__xludf.DUMMYFUNCTION("""COMPUTED_VALUE"""),"1CR23EC158")</f>
        <v>1CR23EC158</v>
      </c>
      <c r="E1046" s="563">
        <f>IFERROR(__xludf.DUMMYFUNCTION("""COMPUTED_VALUE"""),7.899105052E9)</f>
        <v>7899105052</v>
      </c>
      <c r="F1046" s="155" t="str">
        <f>IFERROR(__xludf.DUMMYFUNCTION("""COMPUTED_VALUE"""),"ECE")</f>
        <v>ECE</v>
      </c>
      <c r="G1046" s="158"/>
      <c r="H1046" s="559">
        <f>IFERROR(__xludf.DUMMYFUNCTION("""COMPUTED_VALUE"""),70.0)</f>
        <v>70</v>
      </c>
      <c r="I1046" s="559">
        <f>IFERROR(__xludf.DUMMYFUNCTION("""COMPUTED_VALUE"""),70.0)</f>
        <v>70</v>
      </c>
      <c r="J1046" s="559">
        <f>IFERROR(__xludf.DUMMYFUNCTION("""COMPUTED_VALUE"""),70.0)</f>
        <v>70</v>
      </c>
      <c r="K1046" s="559">
        <f>IFERROR(__xludf.DUMMYFUNCTION("""COMPUTED_VALUE"""),70.0)</f>
        <v>70</v>
      </c>
      <c r="L1046" s="560">
        <f>IFERROR(__xludf.DUMMYFUNCTION("""COMPUTED_VALUE"""),50.0)</f>
        <v>50</v>
      </c>
      <c r="M1046" s="561">
        <f>IFERROR(__xludf.DUMMYFUNCTION("""COMPUTED_VALUE"""),50.0)</f>
        <v>50</v>
      </c>
      <c r="N1046" s="561">
        <f>IFERROR(__xludf.DUMMYFUNCTION("""COMPUTED_VALUE"""),55.0)</f>
        <v>55</v>
      </c>
      <c r="O1046" s="560"/>
      <c r="P1046" s="562">
        <f>IFERROR(__xludf.DUMMYFUNCTION("""COMPUTED_VALUE"""),75.0)</f>
        <v>75</v>
      </c>
      <c r="Q1046" s="562">
        <f>IFERROR(__xludf.DUMMYFUNCTION("""COMPUTED_VALUE"""),75.0)</f>
        <v>75</v>
      </c>
      <c r="R1046" s="562">
        <f>IFERROR(__xludf.DUMMYFUNCTION("""COMPUTED_VALUE"""),72.0)</f>
        <v>72</v>
      </c>
      <c r="S1046" s="562"/>
      <c r="T1046" s="217">
        <f>IFERROR(__xludf.DUMMYFUNCTION("""COMPUTED_VALUE"""),19.0)</f>
        <v>19</v>
      </c>
      <c r="U1046" s="217">
        <f>IFERROR(__xludf.DUMMYFUNCTION("""COMPUTED_VALUE"""),18.0)</f>
        <v>18</v>
      </c>
      <c r="V1046" s="217">
        <f>IFERROR(__xludf.DUMMYFUNCTION("""COMPUTED_VALUE"""),56.0)</f>
        <v>56</v>
      </c>
      <c r="W1046" s="217">
        <f>IFERROR(__xludf.DUMMYFUNCTION("""COMPUTED_VALUE"""),62.0)</f>
        <v>62</v>
      </c>
      <c r="X1046" s="217">
        <f>IFERROR(__xludf.DUMMYFUNCTION("""COMPUTED_VALUE"""),70.0)</f>
        <v>70</v>
      </c>
      <c r="Y1046" s="217"/>
      <c r="Z1046" s="217"/>
      <c r="AA1046" s="481">
        <f>IFERROR(__xludf.DUMMYFUNCTION("""COMPUTED_VALUE"""),48.0)</f>
        <v>48</v>
      </c>
      <c r="AB1046" s="481">
        <f>IFERROR(__xludf.DUMMYFUNCTION("""COMPUTED_VALUE"""),68.0)</f>
        <v>68</v>
      </c>
      <c r="AC1046" s="481">
        <f>IFERROR(__xludf.DUMMYFUNCTION("""COMPUTED_VALUE"""),70.0)</f>
        <v>70</v>
      </c>
      <c r="AD1046" s="481"/>
      <c r="AE1046" s="481">
        <f>IFERROR(__xludf.DUMMYFUNCTION("""COMPUTED_VALUE"""),30.0)</f>
        <v>30</v>
      </c>
      <c r="AF1046" s="481"/>
      <c r="AG1046" s="481"/>
      <c r="AH1046" s="481"/>
      <c r="AI1046" s="158"/>
      <c r="AJ1046" s="158"/>
      <c r="AK1046" s="133">
        <f>IFERROR(__xludf.DUMMYFUNCTION("""COMPUTED_VALUE"""),4.0)</f>
        <v>4</v>
      </c>
      <c r="AL1046" s="133">
        <f>IFERROR(__xludf.DUMMYFUNCTION("""COMPUTED_VALUE"""),3.0)</f>
        <v>3</v>
      </c>
      <c r="AM1046" s="133">
        <f>IFERROR(__xludf.DUMMYFUNCTION("""COMPUTED_VALUE"""),3.0)</f>
        <v>3</v>
      </c>
      <c r="AN1046" s="133" t="str">
        <f>IFERROR(__xludf.DUMMYFUNCTION("""COMPUTED_VALUE"""),"3")</f>
        <v>3</v>
      </c>
      <c r="AO1046" s="133">
        <f>IFERROR(__xludf.DUMMYFUNCTION("""COMPUTED_VALUE"""),3.0)</f>
        <v>3</v>
      </c>
      <c r="AP1046" s="155" t="s">
        <v>3736</v>
      </c>
    </row>
    <row r="1047">
      <c r="A1047" s="155">
        <f>IFERROR(__xludf.DUMMYFUNCTION("""COMPUTED_VALUE"""),154.0)</f>
        <v>154</v>
      </c>
      <c r="B1047" s="155" t="str">
        <f>IFERROR(__xludf.DUMMYFUNCTION("""COMPUTED_VALUE"""),"prsr23ece@cmrit.ac.in")</f>
        <v>prsr23ece@cmrit.ac.in</v>
      </c>
      <c r="C1047" s="174" t="str">
        <f>IFERROR(__xludf.DUMMYFUNCTION("""COMPUTED_VALUE"""),"PRANAV SRIPADA")</f>
        <v>PRANAV SRIPADA</v>
      </c>
      <c r="D1047" s="155" t="str">
        <f>IFERROR(__xludf.DUMMYFUNCTION("""COMPUTED_VALUE"""),"1CR23EC159")</f>
        <v>1CR23EC159</v>
      </c>
      <c r="E1047" s="563">
        <f>IFERROR(__xludf.DUMMYFUNCTION("""COMPUTED_VALUE"""),7.349342042E9)</f>
        <v>7349342042</v>
      </c>
      <c r="F1047" s="155" t="str">
        <f>IFERROR(__xludf.DUMMYFUNCTION("""COMPUTED_VALUE"""),"ECE")</f>
        <v>ECE</v>
      </c>
      <c r="G1047" s="158"/>
      <c r="H1047" s="559">
        <f>IFERROR(__xludf.DUMMYFUNCTION("""COMPUTED_VALUE"""),87.0)</f>
        <v>87</v>
      </c>
      <c r="I1047" s="559">
        <f>IFERROR(__xludf.DUMMYFUNCTION("""COMPUTED_VALUE"""),88.0)</f>
        <v>88</v>
      </c>
      <c r="J1047" s="559">
        <f>IFERROR(__xludf.DUMMYFUNCTION("""COMPUTED_VALUE"""),86.0)</f>
        <v>86</v>
      </c>
      <c r="K1047" s="559">
        <f>IFERROR(__xludf.DUMMYFUNCTION("""COMPUTED_VALUE"""),70.0)</f>
        <v>70</v>
      </c>
      <c r="L1047" s="560">
        <f>IFERROR(__xludf.DUMMYFUNCTION("""COMPUTED_VALUE"""),53.0)</f>
        <v>53</v>
      </c>
      <c r="M1047" s="561">
        <f>IFERROR(__xludf.DUMMYFUNCTION("""COMPUTED_VALUE"""),44.0)</f>
        <v>44</v>
      </c>
      <c r="N1047" s="561">
        <f>IFERROR(__xludf.DUMMYFUNCTION("""COMPUTED_VALUE"""),61.0)</f>
        <v>61</v>
      </c>
      <c r="O1047" s="560"/>
      <c r="P1047" s="562">
        <f>IFERROR(__xludf.DUMMYFUNCTION("""COMPUTED_VALUE"""),78.0)</f>
        <v>78</v>
      </c>
      <c r="Q1047" s="562">
        <f>IFERROR(__xludf.DUMMYFUNCTION("""COMPUTED_VALUE"""),52.0)</f>
        <v>52</v>
      </c>
      <c r="R1047" s="562">
        <f>IFERROR(__xludf.DUMMYFUNCTION("""COMPUTED_VALUE"""),70.0)</f>
        <v>70</v>
      </c>
      <c r="S1047" s="562"/>
      <c r="T1047" s="217">
        <f>IFERROR(__xludf.DUMMYFUNCTION("""COMPUTED_VALUE"""),13.0)</f>
        <v>13</v>
      </c>
      <c r="U1047" s="217">
        <f>IFERROR(__xludf.DUMMYFUNCTION("""COMPUTED_VALUE"""),18.0)</f>
        <v>18</v>
      </c>
      <c r="V1047" s="217">
        <f>IFERROR(__xludf.DUMMYFUNCTION("""COMPUTED_VALUE"""),38.0)</f>
        <v>38</v>
      </c>
      <c r="W1047" s="217">
        <f>IFERROR(__xludf.DUMMYFUNCTION("""COMPUTED_VALUE"""),84.0)</f>
        <v>84</v>
      </c>
      <c r="X1047" s="217">
        <f>IFERROR(__xludf.DUMMYFUNCTION("""COMPUTED_VALUE"""),80.0)</f>
        <v>80</v>
      </c>
      <c r="Y1047" s="217"/>
      <c r="Z1047" s="217"/>
      <c r="AA1047" s="481">
        <f>IFERROR(__xludf.DUMMYFUNCTION("""COMPUTED_VALUE"""),100.0)</f>
        <v>100</v>
      </c>
      <c r="AB1047" s="481">
        <f>IFERROR(__xludf.DUMMYFUNCTION("""COMPUTED_VALUE"""),95.0)</f>
        <v>95</v>
      </c>
      <c r="AC1047" s="481">
        <f>IFERROR(__xludf.DUMMYFUNCTION("""COMPUTED_VALUE"""),99.0)</f>
        <v>99</v>
      </c>
      <c r="AD1047" s="481"/>
      <c r="AE1047" s="481">
        <f>IFERROR(__xludf.DUMMYFUNCTION("""COMPUTED_VALUE"""),100.0)</f>
        <v>100</v>
      </c>
      <c r="AF1047" s="481"/>
      <c r="AG1047" s="481"/>
      <c r="AH1047" s="481"/>
      <c r="AI1047" s="158"/>
      <c r="AJ1047" s="158"/>
      <c r="AK1047" s="133">
        <f>IFERROR(__xludf.DUMMYFUNCTION("""COMPUTED_VALUE"""),4.0)</f>
        <v>4</v>
      </c>
      <c r="AL1047" s="133">
        <f>IFERROR(__xludf.DUMMYFUNCTION("""COMPUTED_VALUE"""),1.0)</f>
        <v>1</v>
      </c>
      <c r="AM1047" s="133">
        <f>IFERROR(__xludf.DUMMYFUNCTION("""COMPUTED_VALUE"""),3.0)</f>
        <v>3</v>
      </c>
      <c r="AN1047" s="133" t="str">
        <f>IFERROR(__xludf.DUMMYFUNCTION("""COMPUTED_VALUE"""),"3.5")</f>
        <v>3.5</v>
      </c>
      <c r="AO1047" s="133">
        <f>IFERROR(__xludf.DUMMYFUNCTION("""COMPUTED_VALUE"""),3.0)</f>
        <v>3</v>
      </c>
      <c r="AP1047" s="155" t="s">
        <v>3736</v>
      </c>
    </row>
    <row r="1048">
      <c r="A1048" s="155">
        <f>IFERROR(__xludf.DUMMYFUNCTION("""COMPUTED_VALUE"""),155.0)</f>
        <v>155</v>
      </c>
      <c r="B1048" s="155" t="str">
        <f>IFERROR(__xludf.DUMMYFUNCTION("""COMPUTED_VALUE"""),"prbi23ece@cmrit.ac.in")</f>
        <v>prbi23ece@cmrit.ac.in</v>
      </c>
      <c r="C1048" s="174" t="str">
        <f>IFERROR(__xludf.DUMMYFUNCTION("""COMPUTED_VALUE"""),"PRANIT BISWAL")</f>
        <v>PRANIT BISWAL</v>
      </c>
      <c r="D1048" s="155" t="str">
        <f>IFERROR(__xludf.DUMMYFUNCTION("""COMPUTED_VALUE"""),"1CR23EC160")</f>
        <v>1CR23EC160</v>
      </c>
      <c r="E1048" s="563">
        <f>IFERROR(__xludf.DUMMYFUNCTION("""COMPUTED_VALUE"""),9.717115225E9)</f>
        <v>9717115225</v>
      </c>
      <c r="F1048" s="155" t="str">
        <f>IFERROR(__xludf.DUMMYFUNCTION("""COMPUTED_VALUE"""),"ECE")</f>
        <v>ECE</v>
      </c>
      <c r="G1048" s="158"/>
      <c r="H1048" s="559">
        <f>IFERROR(__xludf.DUMMYFUNCTION("""COMPUTED_VALUE"""),81.0)</f>
        <v>81</v>
      </c>
      <c r="I1048" s="559">
        <f>IFERROR(__xludf.DUMMYFUNCTION("""COMPUTED_VALUE"""),80.0)</f>
        <v>80</v>
      </c>
      <c r="J1048" s="559">
        <f>IFERROR(__xludf.DUMMYFUNCTION("""COMPUTED_VALUE"""),70.0)</f>
        <v>70</v>
      </c>
      <c r="K1048" s="559">
        <f>IFERROR(__xludf.DUMMYFUNCTION("""COMPUTED_VALUE"""),70.0)</f>
        <v>70</v>
      </c>
      <c r="L1048" s="560">
        <f>IFERROR(__xludf.DUMMYFUNCTION("""COMPUTED_VALUE"""),53.0)</f>
        <v>53</v>
      </c>
      <c r="M1048" s="561">
        <f>IFERROR(__xludf.DUMMYFUNCTION("""COMPUTED_VALUE"""),50.0)</f>
        <v>50</v>
      </c>
      <c r="N1048" s="561">
        <f>IFERROR(__xludf.DUMMYFUNCTION("""COMPUTED_VALUE"""),50.0)</f>
        <v>50</v>
      </c>
      <c r="O1048" s="560"/>
      <c r="P1048" s="562">
        <f>IFERROR(__xludf.DUMMYFUNCTION("""COMPUTED_VALUE"""),78.0)</f>
        <v>78</v>
      </c>
      <c r="Q1048" s="562">
        <f>IFERROR(__xludf.DUMMYFUNCTION("""COMPUTED_VALUE"""),52.0)</f>
        <v>52</v>
      </c>
      <c r="R1048" s="562">
        <f>IFERROR(__xludf.DUMMYFUNCTION("""COMPUTED_VALUE"""),84.0)</f>
        <v>84</v>
      </c>
      <c r="S1048" s="562"/>
      <c r="T1048" s="217">
        <f>IFERROR(__xludf.DUMMYFUNCTION("""COMPUTED_VALUE"""),22.0)</f>
        <v>22</v>
      </c>
      <c r="U1048" s="217">
        <f>IFERROR(__xludf.DUMMYFUNCTION("""COMPUTED_VALUE"""),18.0)</f>
        <v>18</v>
      </c>
      <c r="V1048" s="217">
        <f>IFERROR(__xludf.DUMMYFUNCTION("""COMPUTED_VALUE"""),44.0)</f>
        <v>44</v>
      </c>
      <c r="W1048" s="217">
        <f>IFERROR(__xludf.DUMMYFUNCTION("""COMPUTED_VALUE"""),86.0)</f>
        <v>86</v>
      </c>
      <c r="X1048" s="217">
        <f>IFERROR(__xludf.DUMMYFUNCTION("""COMPUTED_VALUE"""),76.0)</f>
        <v>76</v>
      </c>
      <c r="Y1048" s="217"/>
      <c r="Z1048" s="217"/>
      <c r="AA1048" s="481">
        <f>IFERROR(__xludf.DUMMYFUNCTION("""COMPUTED_VALUE"""),66.0)</f>
        <v>66</v>
      </c>
      <c r="AB1048" s="481">
        <f>IFERROR(__xludf.DUMMYFUNCTION("""COMPUTED_VALUE"""),78.0)</f>
        <v>78</v>
      </c>
      <c r="AC1048" s="481">
        <f>IFERROR(__xludf.DUMMYFUNCTION("""COMPUTED_VALUE"""),60.0)</f>
        <v>60</v>
      </c>
      <c r="AD1048" s="481"/>
      <c r="AE1048" s="481">
        <f>IFERROR(__xludf.DUMMYFUNCTION("""COMPUTED_VALUE"""),70.0)</f>
        <v>70</v>
      </c>
      <c r="AF1048" s="481"/>
      <c r="AG1048" s="481">
        <f>IFERROR(__xludf.DUMMYFUNCTION("""COMPUTED_VALUE"""),70.0)</f>
        <v>70</v>
      </c>
      <c r="AH1048" s="481"/>
      <c r="AI1048" s="158"/>
      <c r="AJ1048" s="158"/>
      <c r="AK1048" s="133">
        <f>IFERROR(__xludf.DUMMYFUNCTION("""COMPUTED_VALUE"""),4.0)</f>
        <v>4</v>
      </c>
      <c r="AL1048" s="133">
        <f>IFERROR(__xludf.DUMMYFUNCTION("""COMPUTED_VALUE"""),3.0)</f>
        <v>3</v>
      </c>
      <c r="AM1048" s="133">
        <f>IFERROR(__xludf.DUMMYFUNCTION("""COMPUTED_VALUE"""),3.0)</f>
        <v>3</v>
      </c>
      <c r="AN1048" s="133" t="str">
        <f>IFERROR(__xludf.DUMMYFUNCTION("""COMPUTED_VALUE"""),"3.5")</f>
        <v>3.5</v>
      </c>
      <c r="AO1048" s="133">
        <f>IFERROR(__xludf.DUMMYFUNCTION("""COMPUTED_VALUE"""),3.0)</f>
        <v>3</v>
      </c>
      <c r="AP1048" s="155" t="s">
        <v>3736</v>
      </c>
    </row>
    <row r="1049">
      <c r="A1049" s="155">
        <f>IFERROR(__xludf.DUMMYFUNCTION("""COMPUTED_VALUE"""),156.0)</f>
        <v>156</v>
      </c>
      <c r="B1049" s="155" t="str">
        <f>IFERROR(__xludf.DUMMYFUNCTION("""COMPUTED_VALUE"""),"prch23ece@cmrit.ac.in")</f>
        <v>prch23ece@cmrit.ac.in</v>
      </c>
      <c r="C1049" s="174" t="str">
        <f>IFERROR(__xludf.DUMMYFUNCTION("""COMPUTED_VALUE"""),"Prasannakumar Patil")</f>
        <v>Prasannakumar Patil</v>
      </c>
      <c r="D1049" s="155" t="str">
        <f>IFERROR(__xludf.DUMMYFUNCTION("""COMPUTED_VALUE"""),"1CR23EC161")</f>
        <v>1CR23EC161</v>
      </c>
      <c r="E1049" s="563">
        <f>IFERROR(__xludf.DUMMYFUNCTION("""COMPUTED_VALUE"""),9.148767975E9)</f>
        <v>9148767975</v>
      </c>
      <c r="F1049" s="155" t="str">
        <f>IFERROR(__xludf.DUMMYFUNCTION("""COMPUTED_VALUE"""),"ECE")</f>
        <v>ECE</v>
      </c>
      <c r="G1049" s="158"/>
      <c r="H1049" s="559">
        <f>IFERROR(__xludf.DUMMYFUNCTION("""COMPUTED_VALUE"""),70.0)</f>
        <v>70</v>
      </c>
      <c r="I1049" s="559">
        <f>IFERROR(__xludf.DUMMYFUNCTION("""COMPUTED_VALUE"""),79.0)</f>
        <v>79</v>
      </c>
      <c r="J1049" s="559">
        <f>IFERROR(__xludf.DUMMYFUNCTION("""COMPUTED_VALUE"""),70.0)</f>
        <v>70</v>
      </c>
      <c r="K1049" s="559">
        <f>IFERROR(__xludf.DUMMYFUNCTION("""COMPUTED_VALUE"""),70.0)</f>
        <v>70</v>
      </c>
      <c r="L1049" s="560">
        <f>IFERROR(__xludf.DUMMYFUNCTION("""COMPUTED_VALUE"""),53.0)</f>
        <v>53</v>
      </c>
      <c r="M1049" s="561">
        <f>IFERROR(__xludf.DUMMYFUNCTION("""COMPUTED_VALUE"""),50.0)</f>
        <v>50</v>
      </c>
      <c r="N1049" s="561">
        <f>IFERROR(__xludf.DUMMYFUNCTION("""COMPUTED_VALUE"""),51.0)</f>
        <v>51</v>
      </c>
      <c r="O1049" s="560"/>
      <c r="P1049" s="562">
        <f>IFERROR(__xludf.DUMMYFUNCTION("""COMPUTED_VALUE"""),70.0)</f>
        <v>70</v>
      </c>
      <c r="Q1049" s="562">
        <f>IFERROR(__xludf.DUMMYFUNCTION("""COMPUTED_VALUE"""),50.0)</f>
        <v>50</v>
      </c>
      <c r="R1049" s="562">
        <f>IFERROR(__xludf.DUMMYFUNCTION("""COMPUTED_VALUE"""),86.0)</f>
        <v>86</v>
      </c>
      <c r="S1049" s="562"/>
      <c r="T1049" s="217">
        <f>IFERROR(__xludf.DUMMYFUNCTION("""COMPUTED_VALUE"""),20.0)</f>
        <v>20</v>
      </c>
      <c r="U1049" s="217">
        <f>IFERROR(__xludf.DUMMYFUNCTION("""COMPUTED_VALUE"""),17.0)</f>
        <v>17</v>
      </c>
      <c r="V1049" s="217">
        <f>IFERROR(__xludf.DUMMYFUNCTION("""COMPUTED_VALUE"""),40.0)</f>
        <v>40</v>
      </c>
      <c r="W1049" s="217">
        <f>IFERROR(__xludf.DUMMYFUNCTION("""COMPUTED_VALUE"""),80.0)</f>
        <v>80</v>
      </c>
      <c r="X1049" s="217">
        <f>IFERROR(__xludf.DUMMYFUNCTION("""COMPUTED_VALUE"""),74.0)</f>
        <v>74</v>
      </c>
      <c r="Y1049" s="217"/>
      <c r="Z1049" s="217"/>
      <c r="AA1049" s="481">
        <f>IFERROR(__xludf.DUMMYFUNCTION("""COMPUTED_VALUE"""),62.0)</f>
        <v>62</v>
      </c>
      <c r="AB1049" s="481">
        <f>IFERROR(__xludf.DUMMYFUNCTION("""COMPUTED_VALUE"""),75.0)</f>
        <v>75</v>
      </c>
      <c r="AC1049" s="481">
        <f>IFERROR(__xludf.DUMMYFUNCTION("""COMPUTED_VALUE"""),60.0)</f>
        <v>60</v>
      </c>
      <c r="AD1049" s="481"/>
      <c r="AE1049" s="481">
        <f>IFERROR(__xludf.DUMMYFUNCTION("""COMPUTED_VALUE"""),70.0)</f>
        <v>70</v>
      </c>
      <c r="AF1049" s="481"/>
      <c r="AG1049" s="481"/>
      <c r="AH1049" s="481"/>
      <c r="AI1049" s="158"/>
      <c r="AJ1049" s="158"/>
      <c r="AK1049" s="133">
        <f>IFERROR(__xludf.DUMMYFUNCTION("""COMPUTED_VALUE"""),4.0)</f>
        <v>4</v>
      </c>
      <c r="AL1049" s="133">
        <f>IFERROR(__xludf.DUMMYFUNCTION("""COMPUTED_VALUE"""),3.0)</f>
        <v>3</v>
      </c>
      <c r="AM1049" s="133">
        <f>IFERROR(__xludf.DUMMYFUNCTION("""COMPUTED_VALUE"""),3.0)</f>
        <v>3</v>
      </c>
      <c r="AN1049" s="133" t="str">
        <f>IFERROR(__xludf.DUMMYFUNCTION("""COMPUTED_VALUE"""),"3.5")</f>
        <v>3.5</v>
      </c>
      <c r="AO1049" s="133">
        <f>IFERROR(__xludf.DUMMYFUNCTION("""COMPUTED_VALUE"""),3.0)</f>
        <v>3</v>
      </c>
      <c r="AP1049" s="155" t="s">
        <v>3736</v>
      </c>
    </row>
    <row r="1050">
      <c r="A1050" s="155">
        <f>IFERROR(__xludf.DUMMYFUNCTION("""COMPUTED_VALUE"""),157.0)</f>
        <v>157</v>
      </c>
      <c r="B1050" s="155" t="str">
        <f>IFERROR(__xludf.DUMMYFUNCTION("""COMPUTED_VALUE"""),"prki23ece@cmrit.ac.in")</f>
        <v>prki23ece@cmrit.ac.in</v>
      </c>
      <c r="C1050" s="174" t="str">
        <f>IFERROR(__xludf.DUMMYFUNCTION("""COMPUTED_VALUE"""),"P TEJESH KISHAN")</f>
        <v>P TEJESH KISHAN</v>
      </c>
      <c r="D1050" s="155" t="str">
        <f>IFERROR(__xludf.DUMMYFUNCTION("""COMPUTED_VALUE"""),"1CR23EC162")</f>
        <v>1CR23EC162</v>
      </c>
      <c r="E1050" s="563">
        <f>IFERROR(__xludf.DUMMYFUNCTION("""COMPUTED_VALUE"""),8.074776845E9)</f>
        <v>8074776845</v>
      </c>
      <c r="F1050" s="155" t="str">
        <f>IFERROR(__xludf.DUMMYFUNCTION("""COMPUTED_VALUE"""),"ECE")</f>
        <v>ECE</v>
      </c>
      <c r="G1050" s="158"/>
      <c r="H1050" s="559">
        <f>IFERROR(__xludf.DUMMYFUNCTION("""COMPUTED_VALUE"""),76.0)</f>
        <v>76</v>
      </c>
      <c r="I1050" s="559">
        <f>IFERROR(__xludf.DUMMYFUNCTION("""COMPUTED_VALUE"""),78.0)</f>
        <v>78</v>
      </c>
      <c r="J1050" s="559">
        <f>IFERROR(__xludf.DUMMYFUNCTION("""COMPUTED_VALUE"""),51.0)</f>
        <v>51</v>
      </c>
      <c r="K1050" s="559">
        <f>IFERROR(__xludf.DUMMYFUNCTION("""COMPUTED_VALUE"""),70.0)</f>
        <v>70</v>
      </c>
      <c r="L1050" s="560">
        <f>IFERROR(__xludf.DUMMYFUNCTION("""COMPUTED_VALUE"""),65.0)</f>
        <v>65</v>
      </c>
      <c r="M1050" s="561">
        <f>IFERROR(__xludf.DUMMYFUNCTION("""COMPUTED_VALUE"""),50.0)</f>
        <v>50</v>
      </c>
      <c r="N1050" s="561">
        <f>IFERROR(__xludf.DUMMYFUNCTION("""COMPUTED_VALUE"""),52.0)</f>
        <v>52</v>
      </c>
      <c r="O1050" s="560"/>
      <c r="P1050" s="562">
        <f>IFERROR(__xludf.DUMMYFUNCTION("""COMPUTED_VALUE"""),70.0)</f>
        <v>70</v>
      </c>
      <c r="Q1050" s="562">
        <f>IFERROR(__xludf.DUMMYFUNCTION("""COMPUTED_VALUE"""),50.0)</f>
        <v>50</v>
      </c>
      <c r="R1050" s="562">
        <f>IFERROR(__xludf.DUMMYFUNCTION("""COMPUTED_VALUE"""),87.0)</f>
        <v>87</v>
      </c>
      <c r="S1050" s="562"/>
      <c r="T1050" s="217">
        <f>IFERROR(__xludf.DUMMYFUNCTION("""COMPUTED_VALUE"""),13.0)</f>
        <v>13</v>
      </c>
      <c r="U1050" s="217">
        <f>IFERROR(__xludf.DUMMYFUNCTION("""COMPUTED_VALUE"""),13.0)</f>
        <v>13</v>
      </c>
      <c r="V1050" s="217">
        <f>IFERROR(__xludf.DUMMYFUNCTION("""COMPUTED_VALUE"""),44.0)</f>
        <v>44</v>
      </c>
      <c r="W1050" s="217">
        <f>IFERROR(__xludf.DUMMYFUNCTION("""COMPUTED_VALUE"""),72.0)</f>
        <v>72</v>
      </c>
      <c r="X1050" s="217">
        <f>IFERROR(__xludf.DUMMYFUNCTION("""COMPUTED_VALUE"""),58.0)</f>
        <v>58</v>
      </c>
      <c r="Y1050" s="217"/>
      <c r="Z1050" s="217"/>
      <c r="AA1050" s="481">
        <f>IFERROR(__xludf.DUMMYFUNCTION("""COMPUTED_VALUE"""),14.0)</f>
        <v>14</v>
      </c>
      <c r="AB1050" s="481">
        <f>IFERROR(__xludf.DUMMYFUNCTION("""COMPUTED_VALUE"""),95.0)</f>
        <v>95</v>
      </c>
      <c r="AC1050" s="481">
        <f>IFERROR(__xludf.DUMMYFUNCTION("""COMPUTED_VALUE"""),94.0)</f>
        <v>94</v>
      </c>
      <c r="AD1050" s="481"/>
      <c r="AE1050" s="481">
        <f>IFERROR(__xludf.DUMMYFUNCTION("""COMPUTED_VALUE"""),60.0)</f>
        <v>60</v>
      </c>
      <c r="AF1050" s="481"/>
      <c r="AG1050" s="481"/>
      <c r="AH1050" s="481"/>
      <c r="AI1050" s="158"/>
      <c r="AJ1050" s="158"/>
      <c r="AK1050" s="133">
        <f>IFERROR(__xludf.DUMMYFUNCTION("""COMPUTED_VALUE"""),2.0)</f>
        <v>2</v>
      </c>
      <c r="AL1050" s="133">
        <f>IFERROR(__xludf.DUMMYFUNCTION("""COMPUTED_VALUE"""),3.0)</f>
        <v>3</v>
      </c>
      <c r="AM1050" s="133">
        <f>IFERROR(__xludf.DUMMYFUNCTION("""COMPUTED_VALUE"""),3.0)</f>
        <v>3</v>
      </c>
      <c r="AN1050" s="133" t="str">
        <f>IFERROR(__xludf.DUMMYFUNCTION("""COMPUTED_VALUE"""),"3")</f>
        <v>3</v>
      </c>
      <c r="AO1050" s="133">
        <f>IFERROR(__xludf.DUMMYFUNCTION("""COMPUTED_VALUE"""),3.0)</f>
        <v>3</v>
      </c>
      <c r="AP1050" s="155" t="s">
        <v>3736</v>
      </c>
    </row>
    <row r="1051">
      <c r="A1051" s="155">
        <f>IFERROR(__xludf.DUMMYFUNCTION("""COMPUTED_VALUE"""),158.0)</f>
        <v>158</v>
      </c>
      <c r="B1051" s="155" t="str">
        <f>IFERROR(__xludf.DUMMYFUNCTION("""COMPUTED_VALUE"""),"prsh23ece@cmrit.ac.in")</f>
        <v>prsh23ece@cmrit.ac.in</v>
      </c>
      <c r="C1051" s="174" t="str">
        <f>IFERROR(__xludf.DUMMYFUNCTION("""COMPUTED_VALUE"""),"Prateeksha shreepad hegde")</f>
        <v>Prateeksha shreepad hegde</v>
      </c>
      <c r="D1051" s="155" t="str">
        <f>IFERROR(__xludf.DUMMYFUNCTION("""COMPUTED_VALUE"""),"1CR23EC163")</f>
        <v>1CR23EC163</v>
      </c>
      <c r="E1051" s="563"/>
      <c r="F1051" s="155" t="str">
        <f>IFERROR(__xludf.DUMMYFUNCTION("""COMPUTED_VALUE"""),"ECE")</f>
        <v>ECE</v>
      </c>
      <c r="G1051" s="158"/>
      <c r="H1051" s="559">
        <f>IFERROR(__xludf.DUMMYFUNCTION("""COMPUTED_VALUE"""),71.0)</f>
        <v>71</v>
      </c>
      <c r="I1051" s="559">
        <f>IFERROR(__xludf.DUMMYFUNCTION("""COMPUTED_VALUE"""),79.0)</f>
        <v>79</v>
      </c>
      <c r="J1051" s="559">
        <f>IFERROR(__xludf.DUMMYFUNCTION("""COMPUTED_VALUE"""),77.0)</f>
        <v>77</v>
      </c>
      <c r="K1051" s="559">
        <f>IFERROR(__xludf.DUMMYFUNCTION("""COMPUTED_VALUE"""),70.0)</f>
        <v>70</v>
      </c>
      <c r="L1051" s="560">
        <f>IFERROR(__xludf.DUMMYFUNCTION("""COMPUTED_VALUE"""),50.0)</f>
        <v>50</v>
      </c>
      <c r="M1051" s="561">
        <f>IFERROR(__xludf.DUMMYFUNCTION("""COMPUTED_VALUE"""),50.0)</f>
        <v>50</v>
      </c>
      <c r="N1051" s="561">
        <f>IFERROR(__xludf.DUMMYFUNCTION("""COMPUTED_VALUE"""),54.0)</f>
        <v>54</v>
      </c>
      <c r="O1051" s="560"/>
      <c r="P1051" s="562">
        <f>IFERROR(__xludf.DUMMYFUNCTION("""COMPUTED_VALUE"""),78.0)</f>
        <v>78</v>
      </c>
      <c r="Q1051" s="562">
        <f>IFERROR(__xludf.DUMMYFUNCTION("""COMPUTED_VALUE"""),50.0)</f>
        <v>50</v>
      </c>
      <c r="R1051" s="562">
        <f>IFERROR(__xludf.DUMMYFUNCTION("""COMPUTED_VALUE"""),87.0)</f>
        <v>87</v>
      </c>
      <c r="S1051" s="562"/>
      <c r="T1051" s="217">
        <f>IFERROR(__xludf.DUMMYFUNCTION("""COMPUTED_VALUE"""),20.0)</f>
        <v>20</v>
      </c>
      <c r="U1051" s="217">
        <f>IFERROR(__xludf.DUMMYFUNCTION("""COMPUTED_VALUE"""),19.0)</f>
        <v>19</v>
      </c>
      <c r="V1051" s="217">
        <f>IFERROR(__xludf.DUMMYFUNCTION("""COMPUTED_VALUE"""),48.0)</f>
        <v>48</v>
      </c>
      <c r="W1051" s="217">
        <f>IFERROR(__xludf.DUMMYFUNCTION("""COMPUTED_VALUE"""),82.0)</f>
        <v>82</v>
      </c>
      <c r="X1051" s="217">
        <f>IFERROR(__xludf.DUMMYFUNCTION("""COMPUTED_VALUE"""),80.0)</f>
        <v>80</v>
      </c>
      <c r="Y1051" s="217"/>
      <c r="Z1051" s="217"/>
      <c r="AA1051" s="481">
        <f>IFERROR(__xludf.DUMMYFUNCTION("""COMPUTED_VALUE"""),52.0)</f>
        <v>52</v>
      </c>
      <c r="AB1051" s="481">
        <f>IFERROR(__xludf.DUMMYFUNCTION("""COMPUTED_VALUE"""),92.0)</f>
        <v>92</v>
      </c>
      <c r="AC1051" s="481">
        <f>IFERROR(__xludf.DUMMYFUNCTION("""COMPUTED_VALUE"""),93.0)</f>
        <v>93</v>
      </c>
      <c r="AD1051" s="481"/>
      <c r="AE1051" s="481">
        <f>IFERROR(__xludf.DUMMYFUNCTION("""COMPUTED_VALUE"""),10.0)</f>
        <v>10</v>
      </c>
      <c r="AF1051" s="481"/>
      <c r="AG1051" s="481"/>
      <c r="AH1051" s="481"/>
      <c r="AI1051" s="158"/>
      <c r="AJ1051" s="158"/>
      <c r="AK1051" s="133">
        <f>IFERROR(__xludf.DUMMYFUNCTION("""COMPUTED_VALUE"""),4.0)</f>
        <v>4</v>
      </c>
      <c r="AL1051" s="133">
        <f>IFERROR(__xludf.DUMMYFUNCTION("""COMPUTED_VALUE"""),3.0)</f>
        <v>3</v>
      </c>
      <c r="AM1051" s="133">
        <f>IFERROR(__xludf.DUMMYFUNCTION("""COMPUTED_VALUE"""),3.0)</f>
        <v>3</v>
      </c>
      <c r="AN1051" s="133" t="str">
        <f>IFERROR(__xludf.DUMMYFUNCTION("""COMPUTED_VALUE"""),"3")</f>
        <v>3</v>
      </c>
      <c r="AO1051" s="133">
        <f>IFERROR(__xludf.DUMMYFUNCTION("""COMPUTED_VALUE"""),3.0)</f>
        <v>3</v>
      </c>
      <c r="AP1051" s="155" t="s">
        <v>3736</v>
      </c>
    </row>
    <row r="1052">
      <c r="A1052" s="155">
        <f>IFERROR(__xludf.DUMMYFUNCTION("""COMPUTED_VALUE"""),159.0)</f>
        <v>159</v>
      </c>
      <c r="B1052" s="155" t="str">
        <f>IFERROR(__xludf.DUMMYFUNCTION("""COMPUTED_VALUE"""),"prra23ece@cmrit.ac.in")</f>
        <v>prra23ece@cmrit.ac.in</v>
      </c>
      <c r="C1052" s="174" t="str">
        <f>IFERROR(__xludf.DUMMYFUNCTION("""COMPUTED_VALUE"""),"PRATHAM RAIKAR")</f>
        <v>PRATHAM RAIKAR</v>
      </c>
      <c r="D1052" s="155" t="str">
        <f>IFERROR(__xludf.DUMMYFUNCTION("""COMPUTED_VALUE"""),"1CR23EC164")</f>
        <v>1CR23EC164</v>
      </c>
      <c r="E1052" s="563">
        <f>IFERROR(__xludf.DUMMYFUNCTION("""COMPUTED_VALUE"""),7.259887221E9)</f>
        <v>7259887221</v>
      </c>
      <c r="F1052" s="155" t="str">
        <f>IFERROR(__xludf.DUMMYFUNCTION("""COMPUTED_VALUE"""),"ECE")</f>
        <v>ECE</v>
      </c>
      <c r="G1052" s="158"/>
      <c r="H1052" s="559">
        <f>IFERROR(__xludf.DUMMYFUNCTION("""COMPUTED_VALUE"""),82.0)</f>
        <v>82</v>
      </c>
      <c r="I1052" s="559">
        <f>IFERROR(__xludf.DUMMYFUNCTION("""COMPUTED_VALUE"""),84.0)</f>
        <v>84</v>
      </c>
      <c r="J1052" s="559">
        <f>IFERROR(__xludf.DUMMYFUNCTION("""COMPUTED_VALUE"""),76.0)</f>
        <v>76</v>
      </c>
      <c r="K1052" s="559">
        <f>IFERROR(__xludf.DUMMYFUNCTION("""COMPUTED_VALUE"""),70.0)</f>
        <v>70</v>
      </c>
      <c r="L1052" s="560">
        <f>IFERROR(__xludf.DUMMYFUNCTION("""COMPUTED_VALUE"""),50.0)</f>
        <v>50</v>
      </c>
      <c r="M1052" s="561">
        <f>IFERROR(__xludf.DUMMYFUNCTION("""COMPUTED_VALUE"""),50.0)</f>
        <v>50</v>
      </c>
      <c r="N1052" s="561">
        <f>IFERROR(__xludf.DUMMYFUNCTION("""COMPUTED_VALUE"""),58.0)</f>
        <v>58</v>
      </c>
      <c r="O1052" s="560"/>
      <c r="P1052" s="562">
        <f>IFERROR(__xludf.DUMMYFUNCTION("""COMPUTED_VALUE"""),75.0)</f>
        <v>75</v>
      </c>
      <c r="Q1052" s="562">
        <f>IFERROR(__xludf.DUMMYFUNCTION("""COMPUTED_VALUE"""),50.0)</f>
        <v>50</v>
      </c>
      <c r="R1052" s="562">
        <f>IFERROR(__xludf.DUMMYFUNCTION("""COMPUTED_VALUE"""),94.0)</f>
        <v>94</v>
      </c>
      <c r="S1052" s="562"/>
      <c r="T1052" s="217">
        <f>IFERROR(__xludf.DUMMYFUNCTION("""COMPUTED_VALUE"""),16.0)</f>
        <v>16</v>
      </c>
      <c r="U1052" s="217">
        <f>IFERROR(__xludf.DUMMYFUNCTION("""COMPUTED_VALUE"""),20.0)</f>
        <v>20</v>
      </c>
      <c r="V1052" s="217">
        <f>IFERROR(__xludf.DUMMYFUNCTION("""COMPUTED_VALUE"""),40.0)</f>
        <v>40</v>
      </c>
      <c r="W1052" s="217">
        <f>IFERROR(__xludf.DUMMYFUNCTION("""COMPUTED_VALUE"""),80.0)</f>
        <v>80</v>
      </c>
      <c r="X1052" s="217">
        <f>IFERROR(__xludf.DUMMYFUNCTION("""COMPUTED_VALUE"""),78.0)</f>
        <v>78</v>
      </c>
      <c r="Y1052" s="217"/>
      <c r="Z1052" s="217"/>
      <c r="AA1052" s="481">
        <f>IFERROR(__xludf.DUMMYFUNCTION("""COMPUTED_VALUE"""),92.0)</f>
        <v>92</v>
      </c>
      <c r="AB1052" s="481">
        <f>IFERROR(__xludf.DUMMYFUNCTION("""COMPUTED_VALUE"""),100.0)</f>
        <v>100</v>
      </c>
      <c r="AC1052" s="481">
        <f>IFERROR(__xludf.DUMMYFUNCTION("""COMPUTED_VALUE"""),70.0)</f>
        <v>70</v>
      </c>
      <c r="AD1052" s="481"/>
      <c r="AE1052" s="481">
        <f>IFERROR(__xludf.DUMMYFUNCTION("""COMPUTED_VALUE"""),56.0)</f>
        <v>56</v>
      </c>
      <c r="AF1052" s="481"/>
      <c r="AG1052" s="481"/>
      <c r="AH1052" s="481"/>
      <c r="AI1052" s="158"/>
      <c r="AJ1052" s="158"/>
      <c r="AK1052" s="133">
        <f>IFERROR(__xludf.DUMMYFUNCTION("""COMPUTED_VALUE"""),4.0)</f>
        <v>4</v>
      </c>
      <c r="AL1052" s="133">
        <f>IFERROR(__xludf.DUMMYFUNCTION("""COMPUTED_VALUE"""),3.0)</f>
        <v>3</v>
      </c>
      <c r="AM1052" s="133">
        <f>IFERROR(__xludf.DUMMYFUNCTION("""COMPUTED_VALUE"""),3.0)</f>
        <v>3</v>
      </c>
      <c r="AN1052" s="133" t="str">
        <f>IFERROR(__xludf.DUMMYFUNCTION("""COMPUTED_VALUE"""),"3")</f>
        <v>3</v>
      </c>
      <c r="AO1052" s="133">
        <f>IFERROR(__xludf.DUMMYFUNCTION("""COMPUTED_VALUE"""),3.0)</f>
        <v>3</v>
      </c>
      <c r="AP1052" s="155" t="s">
        <v>3736</v>
      </c>
    </row>
    <row r="1053">
      <c r="A1053" s="155">
        <f>IFERROR(__xludf.DUMMYFUNCTION("""COMPUTED_VALUE"""),160.0)</f>
        <v>160</v>
      </c>
      <c r="B1053" s="155" t="str">
        <f>IFERROR(__xludf.DUMMYFUNCTION("""COMPUTED_VALUE"""),"prp23ece@cmrit.ac.in")</f>
        <v>prp23ece@cmrit.ac.in</v>
      </c>
      <c r="C1053" s="174" t="str">
        <f>IFERROR(__xludf.DUMMYFUNCTION("""COMPUTED_VALUE"""),"Prema P")</f>
        <v>Prema P</v>
      </c>
      <c r="D1053" s="155" t="str">
        <f>IFERROR(__xludf.DUMMYFUNCTION("""COMPUTED_VALUE"""),"1CR23EC165")</f>
        <v>1CR23EC165</v>
      </c>
      <c r="E1053" s="563">
        <f>IFERROR(__xludf.DUMMYFUNCTION("""COMPUTED_VALUE"""),9.945902651E9)</f>
        <v>9945902651</v>
      </c>
      <c r="F1053" s="155" t="str">
        <f>IFERROR(__xludf.DUMMYFUNCTION("""COMPUTED_VALUE"""),"ECE")</f>
        <v>ECE</v>
      </c>
      <c r="G1053" s="158"/>
      <c r="H1053" s="559">
        <f>IFERROR(__xludf.DUMMYFUNCTION("""COMPUTED_VALUE"""),74.0)</f>
        <v>74</v>
      </c>
      <c r="I1053" s="559">
        <f>IFERROR(__xludf.DUMMYFUNCTION("""COMPUTED_VALUE"""),75.0)</f>
        <v>75</v>
      </c>
      <c r="J1053" s="559">
        <f>IFERROR(__xludf.DUMMYFUNCTION("""COMPUTED_VALUE"""),75.0)</f>
        <v>75</v>
      </c>
      <c r="K1053" s="559">
        <f>IFERROR(__xludf.DUMMYFUNCTION("""COMPUTED_VALUE"""),77.0)</f>
        <v>77</v>
      </c>
      <c r="L1053" s="560">
        <f>IFERROR(__xludf.DUMMYFUNCTION("""COMPUTED_VALUE"""),50.0)</f>
        <v>50</v>
      </c>
      <c r="M1053" s="561">
        <f>IFERROR(__xludf.DUMMYFUNCTION("""COMPUTED_VALUE"""),50.0)</f>
        <v>50</v>
      </c>
      <c r="N1053" s="561">
        <f>IFERROR(__xludf.DUMMYFUNCTION("""COMPUTED_VALUE"""),37.0)</f>
        <v>37</v>
      </c>
      <c r="O1053" s="560"/>
      <c r="P1053" s="562">
        <f>IFERROR(__xludf.DUMMYFUNCTION("""COMPUTED_VALUE"""),73.0)</f>
        <v>73</v>
      </c>
      <c r="Q1053" s="562">
        <f>IFERROR(__xludf.DUMMYFUNCTION("""COMPUTED_VALUE"""),85.0)</f>
        <v>85</v>
      </c>
      <c r="R1053" s="562">
        <f>IFERROR(__xludf.DUMMYFUNCTION("""COMPUTED_VALUE"""),77.0)</f>
        <v>77</v>
      </c>
      <c r="S1053" s="562"/>
      <c r="T1053" s="217">
        <f>IFERROR(__xludf.DUMMYFUNCTION("""COMPUTED_VALUE"""),11.0)</f>
        <v>11</v>
      </c>
      <c r="U1053" s="217">
        <f>IFERROR(__xludf.DUMMYFUNCTION("""COMPUTED_VALUE"""),19.0)</f>
        <v>19</v>
      </c>
      <c r="V1053" s="217">
        <f>IFERROR(__xludf.DUMMYFUNCTION("""COMPUTED_VALUE"""),62.0)</f>
        <v>62</v>
      </c>
      <c r="W1053" s="217">
        <f>IFERROR(__xludf.DUMMYFUNCTION("""COMPUTED_VALUE"""),84.0)</f>
        <v>84</v>
      </c>
      <c r="X1053" s="217">
        <f>IFERROR(__xludf.DUMMYFUNCTION("""COMPUTED_VALUE"""),72.0)</f>
        <v>72</v>
      </c>
      <c r="Y1053" s="217"/>
      <c r="Z1053" s="217"/>
      <c r="AA1053" s="481">
        <f>IFERROR(__xludf.DUMMYFUNCTION("""COMPUTED_VALUE"""),76.0)</f>
        <v>76</v>
      </c>
      <c r="AB1053" s="481">
        <f>IFERROR(__xludf.DUMMYFUNCTION("""COMPUTED_VALUE"""),71.0)</f>
        <v>71</v>
      </c>
      <c r="AC1053" s="481">
        <f>IFERROR(__xludf.DUMMYFUNCTION("""COMPUTED_VALUE"""),67.0)</f>
        <v>67</v>
      </c>
      <c r="AD1053" s="481"/>
      <c r="AE1053" s="481">
        <f>IFERROR(__xludf.DUMMYFUNCTION("""COMPUTED_VALUE"""),75.0)</f>
        <v>75</v>
      </c>
      <c r="AF1053" s="481"/>
      <c r="AG1053" s="481">
        <f>IFERROR(__xludf.DUMMYFUNCTION("""COMPUTED_VALUE"""),71.0)</f>
        <v>71</v>
      </c>
      <c r="AH1053" s="481"/>
      <c r="AI1053" s="158"/>
      <c r="AJ1053" s="158"/>
      <c r="AK1053" s="133">
        <f>IFERROR(__xludf.DUMMYFUNCTION("""COMPUTED_VALUE"""),4.0)</f>
        <v>4</v>
      </c>
      <c r="AL1053" s="133">
        <f>IFERROR(__xludf.DUMMYFUNCTION("""COMPUTED_VALUE"""),2.0)</f>
        <v>2</v>
      </c>
      <c r="AM1053" s="133">
        <f>IFERROR(__xludf.DUMMYFUNCTION("""COMPUTED_VALUE"""),3.0)</f>
        <v>3</v>
      </c>
      <c r="AN1053" s="133" t="str">
        <f>IFERROR(__xludf.DUMMYFUNCTION("""COMPUTED_VALUE"""),"3.5")</f>
        <v>3.5</v>
      </c>
      <c r="AO1053" s="133">
        <f>IFERROR(__xludf.DUMMYFUNCTION("""COMPUTED_VALUE"""),3.0)</f>
        <v>3</v>
      </c>
      <c r="AP1053" s="155" t="s">
        <v>3736</v>
      </c>
    </row>
    <row r="1054">
      <c r="A1054" s="155">
        <f>IFERROR(__xludf.DUMMYFUNCTION("""COMPUTED_VALUE"""),161.0)</f>
        <v>161</v>
      </c>
      <c r="B1054" s="155" t="str">
        <f>IFERROR(__xludf.DUMMYFUNCTION("""COMPUTED_VALUE"""),"prpa23ece@cmrit.ac.in")</f>
        <v>prpa23ece@cmrit.ac.in</v>
      </c>
      <c r="C1054" s="174" t="str">
        <f>IFERROR(__xludf.DUMMYFUNCTION("""COMPUTED_VALUE"""),"PRIYAM PATEL")</f>
        <v>PRIYAM PATEL</v>
      </c>
      <c r="D1054" s="155" t="str">
        <f>IFERROR(__xludf.DUMMYFUNCTION("""COMPUTED_VALUE"""),"1CR23EC166")</f>
        <v>1CR23EC166</v>
      </c>
      <c r="E1054" s="563">
        <f>IFERROR(__xludf.DUMMYFUNCTION("""COMPUTED_VALUE"""),7.651815914E9)</f>
        <v>7651815914</v>
      </c>
      <c r="F1054" s="155" t="str">
        <f>IFERROR(__xludf.DUMMYFUNCTION("""COMPUTED_VALUE"""),"ECE")</f>
        <v>ECE</v>
      </c>
      <c r="G1054" s="158"/>
      <c r="H1054" s="559">
        <f>IFERROR(__xludf.DUMMYFUNCTION("""COMPUTED_VALUE"""),78.0)</f>
        <v>78</v>
      </c>
      <c r="I1054" s="559">
        <f>IFERROR(__xludf.DUMMYFUNCTION("""COMPUTED_VALUE"""),76.0)</f>
        <v>76</v>
      </c>
      <c r="J1054" s="559">
        <f>IFERROR(__xludf.DUMMYFUNCTION("""COMPUTED_VALUE"""),70.0)</f>
        <v>70</v>
      </c>
      <c r="K1054" s="559">
        <f>IFERROR(__xludf.DUMMYFUNCTION("""COMPUTED_VALUE"""),70.0)</f>
        <v>70</v>
      </c>
      <c r="L1054" s="560">
        <f>IFERROR(__xludf.DUMMYFUNCTION("""COMPUTED_VALUE"""),50.0)</f>
        <v>50</v>
      </c>
      <c r="M1054" s="561">
        <f>IFERROR(__xludf.DUMMYFUNCTION("""COMPUTED_VALUE"""),50.0)</f>
        <v>50</v>
      </c>
      <c r="N1054" s="561">
        <f>IFERROR(__xludf.DUMMYFUNCTION("""COMPUTED_VALUE"""),50.0)</f>
        <v>50</v>
      </c>
      <c r="O1054" s="560"/>
      <c r="P1054" s="562">
        <f>IFERROR(__xludf.DUMMYFUNCTION("""COMPUTED_VALUE"""),73.0)</f>
        <v>73</v>
      </c>
      <c r="Q1054" s="562">
        <f>IFERROR(__xludf.DUMMYFUNCTION("""COMPUTED_VALUE"""),74.0)</f>
        <v>74</v>
      </c>
      <c r="R1054" s="562">
        <f>IFERROR(__xludf.DUMMYFUNCTION("""COMPUTED_VALUE"""),94.0)</f>
        <v>94</v>
      </c>
      <c r="S1054" s="562"/>
      <c r="T1054" s="217">
        <f>IFERROR(__xludf.DUMMYFUNCTION("""COMPUTED_VALUE"""),10.0)</f>
        <v>10</v>
      </c>
      <c r="U1054" s="217">
        <f>IFERROR(__xludf.DUMMYFUNCTION("""COMPUTED_VALUE"""),12.0)</f>
        <v>12</v>
      </c>
      <c r="V1054" s="217">
        <f>IFERROR(__xludf.DUMMYFUNCTION("""COMPUTED_VALUE"""),40.0)</f>
        <v>40</v>
      </c>
      <c r="W1054" s="217">
        <f>IFERROR(__xludf.DUMMYFUNCTION("""COMPUTED_VALUE"""),74.0)</f>
        <v>74</v>
      </c>
      <c r="X1054" s="217">
        <f>IFERROR(__xludf.DUMMYFUNCTION("""COMPUTED_VALUE"""),76.0)</f>
        <v>76</v>
      </c>
      <c r="Y1054" s="217"/>
      <c r="Z1054" s="217"/>
      <c r="AA1054" s="481">
        <f>IFERROR(__xludf.DUMMYFUNCTION("""COMPUTED_VALUE"""),34.0)</f>
        <v>34</v>
      </c>
      <c r="AB1054" s="481">
        <f>IFERROR(__xludf.DUMMYFUNCTION("""COMPUTED_VALUE"""),72.0)</f>
        <v>72</v>
      </c>
      <c r="AC1054" s="481">
        <f>IFERROR(__xludf.DUMMYFUNCTION("""COMPUTED_VALUE"""),89.0)</f>
        <v>89</v>
      </c>
      <c r="AD1054" s="481"/>
      <c r="AE1054" s="481">
        <f>IFERROR(__xludf.DUMMYFUNCTION("""COMPUTED_VALUE"""),74.0)</f>
        <v>74</v>
      </c>
      <c r="AF1054" s="481"/>
      <c r="AG1054" s="481">
        <f>IFERROR(__xludf.DUMMYFUNCTION("""COMPUTED_VALUE"""),77.0)</f>
        <v>77</v>
      </c>
      <c r="AH1054" s="481"/>
      <c r="AI1054" s="158"/>
      <c r="AJ1054" s="158"/>
      <c r="AK1054" s="133">
        <f>IFERROR(__xludf.DUMMYFUNCTION("""COMPUTED_VALUE"""),4.0)</f>
        <v>4</v>
      </c>
      <c r="AL1054" s="133">
        <f>IFERROR(__xludf.DUMMYFUNCTION("""COMPUTED_VALUE"""),3.0)</f>
        <v>3</v>
      </c>
      <c r="AM1054" s="133">
        <f>IFERROR(__xludf.DUMMYFUNCTION("""COMPUTED_VALUE"""),3.0)</f>
        <v>3</v>
      </c>
      <c r="AN1054" s="133" t="str">
        <f>IFERROR(__xludf.DUMMYFUNCTION("""COMPUTED_VALUE"""),"3.5")</f>
        <v>3.5</v>
      </c>
      <c r="AO1054" s="133">
        <f>IFERROR(__xludf.DUMMYFUNCTION("""COMPUTED_VALUE"""),3.0)</f>
        <v>3</v>
      </c>
      <c r="AP1054" s="155" t="s">
        <v>3736</v>
      </c>
    </row>
    <row r="1055">
      <c r="A1055" s="155">
        <f>IFERROR(__xludf.DUMMYFUNCTION("""COMPUTED_VALUE"""),162.0)</f>
        <v>162</v>
      </c>
      <c r="B1055" s="155" t="str">
        <f>IFERROR(__xludf.DUMMYFUNCTION("""COMPUTED_VALUE"""),"pr23ece@cmrit.ac.in")</f>
        <v>pr23ece@cmrit.ac.in</v>
      </c>
      <c r="C1055" s="174" t="str">
        <f>IFERROR(__xludf.DUMMYFUNCTION("""COMPUTED_VALUE"""),"Priyanka")</f>
        <v>Priyanka</v>
      </c>
      <c r="D1055" s="155" t="str">
        <f>IFERROR(__xludf.DUMMYFUNCTION("""COMPUTED_VALUE"""),"1CR23EC167")</f>
        <v>1CR23EC167</v>
      </c>
      <c r="E1055" s="563">
        <f>IFERROR(__xludf.DUMMYFUNCTION("""COMPUTED_VALUE"""),7.25953024E9)</f>
        <v>7259530240</v>
      </c>
      <c r="F1055" s="155" t="str">
        <f>IFERROR(__xludf.DUMMYFUNCTION("""COMPUTED_VALUE"""),"ECE")</f>
        <v>ECE</v>
      </c>
      <c r="G1055" s="158"/>
      <c r="H1055" s="559">
        <f>IFERROR(__xludf.DUMMYFUNCTION("""COMPUTED_VALUE"""),86.0)</f>
        <v>86</v>
      </c>
      <c r="I1055" s="559">
        <f>IFERROR(__xludf.DUMMYFUNCTION("""COMPUTED_VALUE"""),86.0)</f>
        <v>86</v>
      </c>
      <c r="J1055" s="559">
        <f>IFERROR(__xludf.DUMMYFUNCTION("""COMPUTED_VALUE"""),62.0)</f>
        <v>62</v>
      </c>
      <c r="K1055" s="559">
        <f>IFERROR(__xludf.DUMMYFUNCTION("""COMPUTED_VALUE"""),70.0)</f>
        <v>70</v>
      </c>
      <c r="L1055" s="560">
        <f>IFERROR(__xludf.DUMMYFUNCTION("""COMPUTED_VALUE"""),50.0)</f>
        <v>50</v>
      </c>
      <c r="M1055" s="561">
        <f>IFERROR(__xludf.DUMMYFUNCTION("""COMPUTED_VALUE"""),50.0)</f>
        <v>50</v>
      </c>
      <c r="N1055" s="561">
        <f>IFERROR(__xludf.DUMMYFUNCTION("""COMPUTED_VALUE"""),53.0)</f>
        <v>53</v>
      </c>
      <c r="O1055" s="560"/>
      <c r="P1055" s="562">
        <f>IFERROR(__xludf.DUMMYFUNCTION("""COMPUTED_VALUE"""),70.0)</f>
        <v>70</v>
      </c>
      <c r="Q1055" s="562">
        <f>IFERROR(__xludf.DUMMYFUNCTION("""COMPUTED_VALUE"""),50.0)</f>
        <v>50</v>
      </c>
      <c r="R1055" s="562">
        <f>IFERROR(__xludf.DUMMYFUNCTION("""COMPUTED_VALUE"""),94.0)</f>
        <v>94</v>
      </c>
      <c r="S1055" s="562"/>
      <c r="T1055" s="217">
        <f>IFERROR(__xludf.DUMMYFUNCTION("""COMPUTED_VALUE"""),17.0)</f>
        <v>17</v>
      </c>
      <c r="U1055" s="217">
        <f>IFERROR(__xludf.DUMMYFUNCTION("""COMPUTED_VALUE"""),15.0)</f>
        <v>15</v>
      </c>
      <c r="V1055" s="217">
        <f>IFERROR(__xludf.DUMMYFUNCTION("""COMPUTED_VALUE"""),46.0)</f>
        <v>46</v>
      </c>
      <c r="W1055" s="217">
        <f>IFERROR(__xludf.DUMMYFUNCTION("""COMPUTED_VALUE"""),78.0)</f>
        <v>78</v>
      </c>
      <c r="X1055" s="217">
        <f>IFERROR(__xludf.DUMMYFUNCTION("""COMPUTED_VALUE"""),76.0)</f>
        <v>76</v>
      </c>
      <c r="Y1055" s="217"/>
      <c r="Z1055" s="217"/>
      <c r="AA1055" s="481">
        <f>IFERROR(__xludf.DUMMYFUNCTION("""COMPUTED_VALUE"""),52.0)</f>
        <v>52</v>
      </c>
      <c r="AB1055" s="481">
        <f>IFERROR(__xludf.DUMMYFUNCTION("""COMPUTED_VALUE"""),81.25)</f>
        <v>81.25</v>
      </c>
      <c r="AC1055" s="481">
        <f>IFERROR(__xludf.DUMMYFUNCTION("""COMPUTED_VALUE"""),93.0)</f>
        <v>93</v>
      </c>
      <c r="AD1055" s="481"/>
      <c r="AE1055" s="481">
        <f>IFERROR(__xludf.DUMMYFUNCTION("""COMPUTED_VALUE"""),54.0)</f>
        <v>54</v>
      </c>
      <c r="AF1055" s="481"/>
      <c r="AG1055" s="481"/>
      <c r="AH1055" s="481"/>
      <c r="AI1055" s="158"/>
      <c r="AJ1055" s="158"/>
      <c r="AK1055" s="133">
        <f>IFERROR(__xludf.DUMMYFUNCTION("""COMPUTED_VALUE"""),2.0)</f>
        <v>2</v>
      </c>
      <c r="AL1055" s="133">
        <f>IFERROR(__xludf.DUMMYFUNCTION("""COMPUTED_VALUE"""),3.0)</f>
        <v>3</v>
      </c>
      <c r="AM1055" s="133">
        <f>IFERROR(__xludf.DUMMYFUNCTION("""COMPUTED_VALUE"""),3.0)</f>
        <v>3</v>
      </c>
      <c r="AN1055" s="133" t="str">
        <f>IFERROR(__xludf.DUMMYFUNCTION("""COMPUTED_VALUE"""),"3")</f>
        <v>3</v>
      </c>
      <c r="AO1055" s="133">
        <f>IFERROR(__xludf.DUMMYFUNCTION("""COMPUTED_VALUE"""),3.0)</f>
        <v>3</v>
      </c>
      <c r="AP1055" s="155" t="s">
        <v>3736</v>
      </c>
    </row>
    <row r="1056">
      <c r="A1056" s="155">
        <f>IFERROR(__xludf.DUMMYFUNCTION("""COMPUTED_VALUE"""),163.0)</f>
        <v>163</v>
      </c>
      <c r="B1056" s="155" t="str">
        <f>IFERROR(__xludf.DUMMYFUNCTION("""COMPUTED_VALUE"""),"prba23ece@cmrit.ac.in")</f>
        <v>prba23ece@cmrit.ac.in</v>
      </c>
      <c r="C1056" s="174" t="str">
        <f>IFERROR(__xludf.DUMMYFUNCTION("""COMPUTED_VALUE"""),"PRIYANKA BALAKUMAR")</f>
        <v>PRIYANKA BALAKUMAR</v>
      </c>
      <c r="D1056" s="155" t="str">
        <f>IFERROR(__xludf.DUMMYFUNCTION("""COMPUTED_VALUE"""),"1CR23EC168")</f>
        <v>1CR23EC168</v>
      </c>
      <c r="E1056" s="563">
        <f>IFERROR(__xludf.DUMMYFUNCTION("""COMPUTED_VALUE"""),9.14894831E9)</f>
        <v>9148948310</v>
      </c>
      <c r="F1056" s="155" t="str">
        <f>IFERROR(__xludf.DUMMYFUNCTION("""COMPUTED_VALUE"""),"ECE")</f>
        <v>ECE</v>
      </c>
      <c r="G1056" s="158"/>
      <c r="H1056" s="559">
        <f>IFERROR(__xludf.DUMMYFUNCTION("""COMPUTED_VALUE"""),78.0)</f>
        <v>78</v>
      </c>
      <c r="I1056" s="559">
        <f>IFERROR(__xludf.DUMMYFUNCTION("""COMPUTED_VALUE"""),83.0)</f>
        <v>83</v>
      </c>
      <c r="J1056" s="559">
        <f>IFERROR(__xludf.DUMMYFUNCTION("""COMPUTED_VALUE"""),77.0)</f>
        <v>77</v>
      </c>
      <c r="K1056" s="559">
        <f>IFERROR(__xludf.DUMMYFUNCTION("""COMPUTED_VALUE"""),88.0)</f>
        <v>88</v>
      </c>
      <c r="L1056" s="560">
        <f>IFERROR(__xludf.DUMMYFUNCTION("""COMPUTED_VALUE"""),51.0)</f>
        <v>51</v>
      </c>
      <c r="M1056" s="561">
        <f>IFERROR(__xludf.DUMMYFUNCTION("""COMPUTED_VALUE"""),50.0)</f>
        <v>50</v>
      </c>
      <c r="N1056" s="561">
        <f>IFERROR(__xludf.DUMMYFUNCTION("""COMPUTED_VALUE"""),44.0)</f>
        <v>44</v>
      </c>
      <c r="O1056" s="560"/>
      <c r="P1056" s="562">
        <f>IFERROR(__xludf.DUMMYFUNCTION("""COMPUTED_VALUE"""),73.0)</f>
        <v>73</v>
      </c>
      <c r="Q1056" s="562">
        <f>IFERROR(__xludf.DUMMYFUNCTION("""COMPUTED_VALUE"""),77.0)</f>
        <v>77</v>
      </c>
      <c r="R1056" s="562">
        <f>IFERROR(__xludf.DUMMYFUNCTION("""COMPUTED_VALUE"""),92.0)</f>
        <v>92</v>
      </c>
      <c r="S1056" s="562"/>
      <c r="T1056" s="217">
        <f>IFERROR(__xludf.DUMMYFUNCTION("""COMPUTED_VALUE"""),15.0)</f>
        <v>15</v>
      </c>
      <c r="U1056" s="217">
        <f>IFERROR(__xludf.DUMMYFUNCTION("""COMPUTED_VALUE"""),19.0)</f>
        <v>19</v>
      </c>
      <c r="V1056" s="217">
        <f>IFERROR(__xludf.DUMMYFUNCTION("""COMPUTED_VALUE"""),56.0)</f>
        <v>56</v>
      </c>
      <c r="W1056" s="217">
        <f>IFERROR(__xludf.DUMMYFUNCTION("""COMPUTED_VALUE"""),84.0)</f>
        <v>84</v>
      </c>
      <c r="X1056" s="217">
        <f>IFERROR(__xludf.DUMMYFUNCTION("""COMPUTED_VALUE"""),70.0)</f>
        <v>70</v>
      </c>
      <c r="Y1056" s="217"/>
      <c r="Z1056" s="217"/>
      <c r="AA1056" s="481">
        <f>IFERROR(__xludf.DUMMYFUNCTION("""COMPUTED_VALUE"""),100.0)</f>
        <v>100</v>
      </c>
      <c r="AB1056" s="481">
        <f>IFERROR(__xludf.DUMMYFUNCTION("""COMPUTED_VALUE"""),75.0)</f>
        <v>75</v>
      </c>
      <c r="AC1056" s="481">
        <f>IFERROR(__xludf.DUMMYFUNCTION("""COMPUTED_VALUE"""),79.0)</f>
        <v>79</v>
      </c>
      <c r="AD1056" s="481"/>
      <c r="AE1056" s="481">
        <f>IFERROR(__xludf.DUMMYFUNCTION("""COMPUTED_VALUE"""),70.0)</f>
        <v>70</v>
      </c>
      <c r="AF1056" s="481"/>
      <c r="AG1056" s="481"/>
      <c r="AH1056" s="481">
        <f>IFERROR(__xludf.DUMMYFUNCTION("""COMPUTED_VALUE"""),73.0)</f>
        <v>73</v>
      </c>
      <c r="AI1056" s="158"/>
      <c r="AJ1056" s="158"/>
      <c r="AK1056" s="133">
        <f>IFERROR(__xludf.DUMMYFUNCTION("""COMPUTED_VALUE"""),4.0)</f>
        <v>4</v>
      </c>
      <c r="AL1056" s="133">
        <f>IFERROR(__xludf.DUMMYFUNCTION("""COMPUTED_VALUE"""),2.0)</f>
        <v>2</v>
      </c>
      <c r="AM1056" s="133">
        <f>IFERROR(__xludf.DUMMYFUNCTION("""COMPUTED_VALUE"""),3.0)</f>
        <v>3</v>
      </c>
      <c r="AN1056" s="133" t="str">
        <f>IFERROR(__xludf.DUMMYFUNCTION("""COMPUTED_VALUE"""),"3.5")</f>
        <v>3.5</v>
      </c>
      <c r="AO1056" s="133">
        <f>IFERROR(__xludf.DUMMYFUNCTION("""COMPUTED_VALUE"""),3.0)</f>
        <v>3</v>
      </c>
      <c r="AP1056" s="155" t="s">
        <v>3736</v>
      </c>
    </row>
    <row r="1057">
      <c r="A1057" s="155">
        <f>IFERROR(__xludf.DUMMYFUNCTION("""COMPUTED_VALUE"""),164.0)</f>
        <v>164</v>
      </c>
      <c r="B1057" s="155" t="str">
        <f>IFERROR(__xludf.DUMMYFUNCTION("""COMPUTED_VALUE"""),"prsa23ece@cmrit.ac.in")</f>
        <v>prsa23ece@cmrit.ac.in</v>
      </c>
      <c r="C1057" s="174" t="str">
        <f>IFERROR(__xludf.DUMMYFUNCTION("""COMPUTED_VALUE"""),"Priyanka sanadi ")</f>
        <v>Priyanka sanadi </v>
      </c>
      <c r="D1057" s="155" t="str">
        <f>IFERROR(__xludf.DUMMYFUNCTION("""COMPUTED_VALUE"""),"1CR23EC169")</f>
        <v>1CR23EC169</v>
      </c>
      <c r="E1057" s="563">
        <f>IFERROR(__xludf.DUMMYFUNCTION("""COMPUTED_VALUE"""),6.360685295E9)</f>
        <v>6360685295</v>
      </c>
      <c r="F1057" s="155" t="str">
        <f>IFERROR(__xludf.DUMMYFUNCTION("""COMPUTED_VALUE"""),"ECE")</f>
        <v>ECE</v>
      </c>
      <c r="G1057" s="158"/>
      <c r="H1057" s="559">
        <f>IFERROR(__xludf.DUMMYFUNCTION("""COMPUTED_VALUE"""),74.0)</f>
        <v>74</v>
      </c>
      <c r="I1057" s="559">
        <f>IFERROR(__xludf.DUMMYFUNCTION("""COMPUTED_VALUE"""),70.0)</f>
        <v>70</v>
      </c>
      <c r="J1057" s="559">
        <f>IFERROR(__xludf.DUMMYFUNCTION("""COMPUTED_VALUE"""),70.0)</f>
        <v>70</v>
      </c>
      <c r="K1057" s="559">
        <f>IFERROR(__xludf.DUMMYFUNCTION("""COMPUTED_VALUE"""),70.0)</f>
        <v>70</v>
      </c>
      <c r="L1057" s="560">
        <f>IFERROR(__xludf.DUMMYFUNCTION("""COMPUTED_VALUE"""),50.0)</f>
        <v>50</v>
      </c>
      <c r="M1057" s="561">
        <f>IFERROR(__xludf.DUMMYFUNCTION("""COMPUTED_VALUE"""),50.0)</f>
        <v>50</v>
      </c>
      <c r="N1057" s="561">
        <f>IFERROR(__xludf.DUMMYFUNCTION("""COMPUTED_VALUE"""),58.0)</f>
        <v>58</v>
      </c>
      <c r="O1057" s="560"/>
      <c r="P1057" s="562">
        <f>IFERROR(__xludf.DUMMYFUNCTION("""COMPUTED_VALUE"""),78.0)</f>
        <v>78</v>
      </c>
      <c r="Q1057" s="562">
        <f>IFERROR(__xludf.DUMMYFUNCTION("""COMPUTED_VALUE"""),85.0)</f>
        <v>85</v>
      </c>
      <c r="R1057" s="562">
        <f>IFERROR(__xludf.DUMMYFUNCTION("""COMPUTED_VALUE"""),83.0)</f>
        <v>83</v>
      </c>
      <c r="S1057" s="562"/>
      <c r="T1057" s="217">
        <f>IFERROR(__xludf.DUMMYFUNCTION("""COMPUTED_VALUE"""),16.0)</f>
        <v>16</v>
      </c>
      <c r="U1057" s="217">
        <f>IFERROR(__xludf.DUMMYFUNCTION("""COMPUTED_VALUE"""),16.0)</f>
        <v>16</v>
      </c>
      <c r="V1057" s="217">
        <f>IFERROR(__xludf.DUMMYFUNCTION("""COMPUTED_VALUE"""),28.0)</f>
        <v>28</v>
      </c>
      <c r="W1057" s="217">
        <f>IFERROR(__xludf.DUMMYFUNCTION("""COMPUTED_VALUE"""),82.0)</f>
        <v>82</v>
      </c>
      <c r="X1057" s="217">
        <f>IFERROR(__xludf.DUMMYFUNCTION("""COMPUTED_VALUE"""),84.0)</f>
        <v>84</v>
      </c>
      <c r="Y1057" s="217"/>
      <c r="Z1057" s="217"/>
      <c r="AA1057" s="481">
        <f>IFERROR(__xludf.DUMMYFUNCTION("""COMPUTED_VALUE"""),82.0)</f>
        <v>82</v>
      </c>
      <c r="AB1057" s="481">
        <f>IFERROR(__xludf.DUMMYFUNCTION("""COMPUTED_VALUE"""),72.0)</f>
        <v>72</v>
      </c>
      <c r="AC1057" s="481">
        <f>IFERROR(__xludf.DUMMYFUNCTION("""COMPUTED_VALUE"""),48.0)</f>
        <v>48</v>
      </c>
      <c r="AD1057" s="481"/>
      <c r="AE1057" s="481">
        <f>IFERROR(__xludf.DUMMYFUNCTION("""COMPUTED_VALUE"""),34.0)</f>
        <v>34</v>
      </c>
      <c r="AF1057" s="481"/>
      <c r="AG1057" s="481"/>
      <c r="AH1057" s="481"/>
      <c r="AI1057" s="158"/>
      <c r="AJ1057" s="158"/>
      <c r="AK1057" s="133">
        <f>IFERROR(__xludf.DUMMYFUNCTION("""COMPUTED_VALUE"""),4.0)</f>
        <v>4</v>
      </c>
      <c r="AL1057" s="133">
        <f>IFERROR(__xludf.DUMMYFUNCTION("""COMPUTED_VALUE"""),3.0)</f>
        <v>3</v>
      </c>
      <c r="AM1057" s="133">
        <f>IFERROR(__xludf.DUMMYFUNCTION("""COMPUTED_VALUE"""),3.0)</f>
        <v>3</v>
      </c>
      <c r="AN1057" s="133" t="str">
        <f>IFERROR(__xludf.DUMMYFUNCTION("""COMPUTED_VALUE"""),"2")</f>
        <v>2</v>
      </c>
      <c r="AO1057" s="133">
        <f>IFERROR(__xludf.DUMMYFUNCTION("""COMPUTED_VALUE"""),3.0)</f>
        <v>3</v>
      </c>
      <c r="AP1057" s="155" t="s">
        <v>3736</v>
      </c>
    </row>
    <row r="1058">
      <c r="A1058" s="155">
        <f>IFERROR(__xludf.DUMMYFUNCTION("""COMPUTED_VALUE"""),165.0)</f>
        <v>165</v>
      </c>
      <c r="B1058" s="155" t="str">
        <f>IFERROR(__xludf.DUMMYFUNCTION("""COMPUTED_VALUE"""),"rasr23ece@cmrit.ac.in")</f>
        <v>rasr23ece@cmrit.ac.in</v>
      </c>
      <c r="C1058" s="174" t="str">
        <f>IFERROR(__xludf.DUMMYFUNCTION("""COMPUTED_VALUE"""),"RACHANA S REDDY ")</f>
        <v>RACHANA S REDDY </v>
      </c>
      <c r="D1058" s="155" t="str">
        <f>IFERROR(__xludf.DUMMYFUNCTION("""COMPUTED_VALUE"""),"1CR23EC170")</f>
        <v>1CR23EC170</v>
      </c>
      <c r="E1058" s="563">
        <f>IFERROR(__xludf.DUMMYFUNCTION("""COMPUTED_VALUE"""),7.20442504E9)</f>
        <v>7204425040</v>
      </c>
      <c r="F1058" s="155" t="str">
        <f>IFERROR(__xludf.DUMMYFUNCTION("""COMPUTED_VALUE"""),"ECE")</f>
        <v>ECE</v>
      </c>
      <c r="G1058" s="158"/>
      <c r="H1058" s="559">
        <f>IFERROR(__xludf.DUMMYFUNCTION("""COMPUTED_VALUE"""),80.0)</f>
        <v>80</v>
      </c>
      <c r="I1058" s="559">
        <f>IFERROR(__xludf.DUMMYFUNCTION("""COMPUTED_VALUE"""),77.0)</f>
        <v>77</v>
      </c>
      <c r="J1058" s="559">
        <f>IFERROR(__xludf.DUMMYFUNCTION("""COMPUTED_VALUE"""),70.0)</f>
        <v>70</v>
      </c>
      <c r="K1058" s="559">
        <f>IFERROR(__xludf.DUMMYFUNCTION("""COMPUTED_VALUE"""),73.0)</f>
        <v>73</v>
      </c>
      <c r="L1058" s="560">
        <f>IFERROR(__xludf.DUMMYFUNCTION("""COMPUTED_VALUE"""),50.0)</f>
        <v>50</v>
      </c>
      <c r="M1058" s="561">
        <f>IFERROR(__xludf.DUMMYFUNCTION("""COMPUTED_VALUE"""),50.0)</f>
        <v>50</v>
      </c>
      <c r="N1058" s="561">
        <f>IFERROR(__xludf.DUMMYFUNCTION("""COMPUTED_VALUE"""),60.0)</f>
        <v>60</v>
      </c>
      <c r="O1058" s="560"/>
      <c r="P1058" s="562">
        <f>IFERROR(__xludf.DUMMYFUNCTION("""COMPUTED_VALUE"""),78.0)</f>
        <v>78</v>
      </c>
      <c r="Q1058" s="562">
        <f>IFERROR(__xludf.DUMMYFUNCTION("""COMPUTED_VALUE"""),75.0)</f>
        <v>75</v>
      </c>
      <c r="R1058" s="562">
        <f>IFERROR(__xludf.DUMMYFUNCTION("""COMPUTED_VALUE"""),82.0)</f>
        <v>82</v>
      </c>
      <c r="S1058" s="562"/>
      <c r="T1058" s="217">
        <f>IFERROR(__xludf.DUMMYFUNCTION("""COMPUTED_VALUE"""),12.0)</f>
        <v>12</v>
      </c>
      <c r="U1058" s="217">
        <f>IFERROR(__xludf.DUMMYFUNCTION("""COMPUTED_VALUE"""),20.0)</f>
        <v>20</v>
      </c>
      <c r="V1058" s="217">
        <f>IFERROR(__xludf.DUMMYFUNCTION("""COMPUTED_VALUE"""),44.0)</f>
        <v>44</v>
      </c>
      <c r="W1058" s="217">
        <f>IFERROR(__xludf.DUMMYFUNCTION("""COMPUTED_VALUE"""),76.0)</f>
        <v>76</v>
      </c>
      <c r="X1058" s="217">
        <f>IFERROR(__xludf.DUMMYFUNCTION("""COMPUTED_VALUE"""),80.0)</f>
        <v>80</v>
      </c>
      <c r="Y1058" s="217"/>
      <c r="Z1058" s="217"/>
      <c r="AA1058" s="481">
        <f>IFERROR(__xludf.DUMMYFUNCTION("""COMPUTED_VALUE"""),60.0)</f>
        <v>60</v>
      </c>
      <c r="AB1058" s="481">
        <f>IFERROR(__xludf.DUMMYFUNCTION("""COMPUTED_VALUE"""),75.0)</f>
        <v>75</v>
      </c>
      <c r="AC1058" s="481">
        <f>IFERROR(__xludf.DUMMYFUNCTION("""COMPUTED_VALUE"""),62.0)</f>
        <v>62</v>
      </c>
      <c r="AD1058" s="481"/>
      <c r="AE1058" s="481">
        <f>IFERROR(__xludf.DUMMYFUNCTION("""COMPUTED_VALUE"""),86.0)</f>
        <v>86</v>
      </c>
      <c r="AF1058" s="481"/>
      <c r="AG1058" s="481"/>
      <c r="AH1058" s="481"/>
      <c r="AI1058" s="158"/>
      <c r="AJ1058" s="158"/>
      <c r="AK1058" s="133">
        <f>IFERROR(__xludf.DUMMYFUNCTION("""COMPUTED_VALUE"""),4.0)</f>
        <v>4</v>
      </c>
      <c r="AL1058" s="133">
        <f>IFERROR(__xludf.DUMMYFUNCTION("""COMPUTED_VALUE"""),3.0)</f>
        <v>3</v>
      </c>
      <c r="AM1058" s="133">
        <f>IFERROR(__xludf.DUMMYFUNCTION("""COMPUTED_VALUE"""),3.0)</f>
        <v>3</v>
      </c>
      <c r="AN1058" s="133" t="str">
        <f>IFERROR(__xludf.DUMMYFUNCTION("""COMPUTED_VALUE"""),"3.5")</f>
        <v>3.5</v>
      </c>
      <c r="AO1058" s="133">
        <f>IFERROR(__xludf.DUMMYFUNCTION("""COMPUTED_VALUE"""),3.0)</f>
        <v>3</v>
      </c>
      <c r="AP1058" s="155" t="s">
        <v>3736</v>
      </c>
    </row>
    <row r="1059">
      <c r="A1059" s="155">
        <f>IFERROR(__xludf.DUMMYFUNCTION("""COMPUTED_VALUE"""),166.0)</f>
        <v>166</v>
      </c>
      <c r="B1059" s="155" t="str">
        <f>IFERROR(__xludf.DUMMYFUNCTION("""COMPUTED_VALUE"""),"rapu23ece@cmrit.ac.in")</f>
        <v>rapu23ece@cmrit.ac.in</v>
      </c>
      <c r="C1059" s="174" t="str">
        <f>IFERROR(__xludf.DUMMYFUNCTION("""COMPUTED_VALUE"""),"Raghavendra C Putani")</f>
        <v>Raghavendra C Putani</v>
      </c>
      <c r="D1059" s="155" t="str">
        <f>IFERROR(__xludf.DUMMYFUNCTION("""COMPUTED_VALUE"""),"1CR23EC171")</f>
        <v>1CR23EC171</v>
      </c>
      <c r="E1059" s="563">
        <f>IFERROR(__xludf.DUMMYFUNCTION("""COMPUTED_VALUE"""),9.900333093E9)</f>
        <v>9900333093</v>
      </c>
      <c r="F1059" s="155" t="str">
        <f>IFERROR(__xludf.DUMMYFUNCTION("""COMPUTED_VALUE"""),"ECE")</f>
        <v>ECE</v>
      </c>
      <c r="G1059" s="158"/>
      <c r="H1059" s="559">
        <f>IFERROR(__xludf.DUMMYFUNCTION("""COMPUTED_VALUE"""),70.0)</f>
        <v>70</v>
      </c>
      <c r="I1059" s="559">
        <f>IFERROR(__xludf.DUMMYFUNCTION("""COMPUTED_VALUE"""),75.0)</f>
        <v>75</v>
      </c>
      <c r="J1059" s="559">
        <f>IFERROR(__xludf.DUMMYFUNCTION("""COMPUTED_VALUE"""),70.0)</f>
        <v>70</v>
      </c>
      <c r="K1059" s="559">
        <f>IFERROR(__xludf.DUMMYFUNCTION("""COMPUTED_VALUE"""),70.0)</f>
        <v>70</v>
      </c>
      <c r="L1059" s="560">
        <f>IFERROR(__xludf.DUMMYFUNCTION("""COMPUTED_VALUE"""),50.0)</f>
        <v>50</v>
      </c>
      <c r="M1059" s="561">
        <f>IFERROR(__xludf.DUMMYFUNCTION("""COMPUTED_VALUE"""),50.0)</f>
        <v>50</v>
      </c>
      <c r="N1059" s="561">
        <f>IFERROR(__xludf.DUMMYFUNCTION("""COMPUTED_VALUE"""),58.0)</f>
        <v>58</v>
      </c>
      <c r="O1059" s="560"/>
      <c r="P1059" s="562">
        <f>IFERROR(__xludf.DUMMYFUNCTION("""COMPUTED_VALUE"""),75.0)</f>
        <v>75</v>
      </c>
      <c r="Q1059" s="562">
        <f>IFERROR(__xludf.DUMMYFUNCTION("""COMPUTED_VALUE"""),50.0)</f>
        <v>50</v>
      </c>
      <c r="R1059" s="562">
        <f>IFERROR(__xludf.DUMMYFUNCTION("""COMPUTED_VALUE"""),94.0)</f>
        <v>94</v>
      </c>
      <c r="S1059" s="562"/>
      <c r="T1059" s="217">
        <f>IFERROR(__xludf.DUMMYFUNCTION("""COMPUTED_VALUE"""),12.0)</f>
        <v>12</v>
      </c>
      <c r="U1059" s="217">
        <f>IFERROR(__xludf.DUMMYFUNCTION("""COMPUTED_VALUE"""),18.0)</f>
        <v>18</v>
      </c>
      <c r="V1059" s="217">
        <f>IFERROR(__xludf.DUMMYFUNCTION("""COMPUTED_VALUE"""),36.0)</f>
        <v>36</v>
      </c>
      <c r="W1059" s="217">
        <f>IFERROR(__xludf.DUMMYFUNCTION("""COMPUTED_VALUE"""),72.0)</f>
        <v>72</v>
      </c>
      <c r="X1059" s="217">
        <f>IFERROR(__xludf.DUMMYFUNCTION("""COMPUTED_VALUE"""),64.0)</f>
        <v>64</v>
      </c>
      <c r="Y1059" s="217"/>
      <c r="Z1059" s="217"/>
      <c r="AA1059" s="481">
        <f>IFERROR(__xludf.DUMMYFUNCTION("""COMPUTED_VALUE"""),48.0)</f>
        <v>48</v>
      </c>
      <c r="AB1059" s="481">
        <f>IFERROR(__xludf.DUMMYFUNCTION("""COMPUTED_VALUE"""),85.0)</f>
        <v>85</v>
      </c>
      <c r="AC1059" s="481">
        <f>IFERROR(__xludf.DUMMYFUNCTION("""COMPUTED_VALUE"""),82.0)</f>
        <v>82</v>
      </c>
      <c r="AD1059" s="481"/>
      <c r="AE1059" s="481">
        <f>IFERROR(__xludf.DUMMYFUNCTION("""COMPUTED_VALUE"""),90.0)</f>
        <v>90</v>
      </c>
      <c r="AF1059" s="481"/>
      <c r="AG1059" s="481"/>
      <c r="AH1059" s="481"/>
      <c r="AI1059" s="158"/>
      <c r="AJ1059" s="158"/>
      <c r="AK1059" s="133">
        <f>IFERROR(__xludf.DUMMYFUNCTION("""COMPUTED_VALUE"""),4.0)</f>
        <v>4</v>
      </c>
      <c r="AL1059" s="133">
        <f>IFERROR(__xludf.DUMMYFUNCTION("""COMPUTED_VALUE"""),3.0)</f>
        <v>3</v>
      </c>
      <c r="AM1059" s="133">
        <f>IFERROR(__xludf.DUMMYFUNCTION("""COMPUTED_VALUE"""),3.0)</f>
        <v>3</v>
      </c>
      <c r="AN1059" s="133" t="str">
        <f>IFERROR(__xludf.DUMMYFUNCTION("""COMPUTED_VALUE"""),"3.5")</f>
        <v>3.5</v>
      </c>
      <c r="AO1059" s="133">
        <f>IFERROR(__xludf.DUMMYFUNCTION("""COMPUTED_VALUE"""),3.0)</f>
        <v>3</v>
      </c>
      <c r="AP1059" s="155" t="s">
        <v>3736</v>
      </c>
    </row>
    <row r="1060">
      <c r="A1060" s="155">
        <f>IFERROR(__xludf.DUMMYFUNCTION("""COMPUTED_VALUE"""),167.0)</f>
        <v>167</v>
      </c>
      <c r="B1060" s="155" t="str">
        <f>IFERROR(__xludf.DUMMYFUNCTION("""COMPUTED_VALUE"""),"rahn23ece@cmrit.ac.in")</f>
        <v>rahn23ece@cmrit.ac.in</v>
      </c>
      <c r="C1060" s="174" t="str">
        <f>IFERROR(__xludf.DUMMYFUNCTION("""COMPUTED_VALUE"""),"RAJESHWARA H.N")</f>
        <v>RAJESHWARA H.N</v>
      </c>
      <c r="D1060" s="155" t="str">
        <f>IFERROR(__xludf.DUMMYFUNCTION("""COMPUTED_VALUE"""),"1CR23EC172")</f>
        <v>1CR23EC172</v>
      </c>
      <c r="E1060" s="563">
        <f>IFERROR(__xludf.DUMMYFUNCTION("""COMPUTED_VALUE"""),8.830057539E9)</f>
        <v>8830057539</v>
      </c>
      <c r="F1060" s="155" t="str">
        <f>IFERROR(__xludf.DUMMYFUNCTION("""COMPUTED_VALUE"""),"ECE")</f>
        <v>ECE</v>
      </c>
      <c r="G1060" s="158"/>
      <c r="H1060" s="559">
        <f>IFERROR(__xludf.DUMMYFUNCTION("""COMPUTED_VALUE"""),81.0)</f>
        <v>81</v>
      </c>
      <c r="I1060" s="559">
        <f>IFERROR(__xludf.DUMMYFUNCTION("""COMPUTED_VALUE"""),81.0)</f>
        <v>81</v>
      </c>
      <c r="J1060" s="559">
        <f>IFERROR(__xludf.DUMMYFUNCTION("""COMPUTED_VALUE"""),70.0)</f>
        <v>70</v>
      </c>
      <c r="K1060" s="559">
        <f>IFERROR(__xludf.DUMMYFUNCTION("""COMPUTED_VALUE"""),70.0)</f>
        <v>70</v>
      </c>
      <c r="L1060" s="560">
        <f>IFERROR(__xludf.DUMMYFUNCTION("""COMPUTED_VALUE"""),50.0)</f>
        <v>50</v>
      </c>
      <c r="M1060" s="561">
        <f>IFERROR(__xludf.DUMMYFUNCTION("""COMPUTED_VALUE"""),50.0)</f>
        <v>50</v>
      </c>
      <c r="N1060" s="561">
        <f>IFERROR(__xludf.DUMMYFUNCTION("""COMPUTED_VALUE"""),46.0)</f>
        <v>46</v>
      </c>
      <c r="O1060" s="560"/>
      <c r="P1060" s="562">
        <f>IFERROR(__xludf.DUMMYFUNCTION("""COMPUTED_VALUE"""),75.0)</f>
        <v>75</v>
      </c>
      <c r="Q1060" s="562">
        <f>IFERROR(__xludf.DUMMYFUNCTION("""COMPUTED_VALUE"""),50.0)</f>
        <v>50</v>
      </c>
      <c r="R1060" s="562">
        <f>IFERROR(__xludf.DUMMYFUNCTION("""COMPUTED_VALUE"""),70.0)</f>
        <v>70</v>
      </c>
      <c r="S1060" s="562"/>
      <c r="T1060" s="217">
        <f>IFERROR(__xludf.DUMMYFUNCTION("""COMPUTED_VALUE"""),14.0)</f>
        <v>14</v>
      </c>
      <c r="U1060" s="217">
        <f>IFERROR(__xludf.DUMMYFUNCTION("""COMPUTED_VALUE"""),17.0)</f>
        <v>17</v>
      </c>
      <c r="V1060" s="217">
        <f>IFERROR(__xludf.DUMMYFUNCTION("""COMPUTED_VALUE"""),40.0)</f>
        <v>40</v>
      </c>
      <c r="W1060" s="217">
        <f>IFERROR(__xludf.DUMMYFUNCTION("""COMPUTED_VALUE"""),78.0)</f>
        <v>78</v>
      </c>
      <c r="X1060" s="217">
        <f>IFERROR(__xludf.DUMMYFUNCTION("""COMPUTED_VALUE"""),62.0)</f>
        <v>62</v>
      </c>
      <c r="Y1060" s="217"/>
      <c r="Z1060" s="217"/>
      <c r="AA1060" s="481">
        <f>IFERROR(__xludf.DUMMYFUNCTION("""COMPUTED_VALUE"""),94.0)</f>
        <v>94</v>
      </c>
      <c r="AB1060" s="481">
        <f>IFERROR(__xludf.DUMMYFUNCTION("""COMPUTED_VALUE"""),100.0)</f>
        <v>100</v>
      </c>
      <c r="AC1060" s="481">
        <f>IFERROR(__xludf.DUMMYFUNCTION("""COMPUTED_VALUE"""),89.0)</f>
        <v>89</v>
      </c>
      <c r="AD1060" s="481"/>
      <c r="AE1060" s="481">
        <f>IFERROR(__xludf.DUMMYFUNCTION("""COMPUTED_VALUE"""),70.0)</f>
        <v>70</v>
      </c>
      <c r="AF1060" s="481"/>
      <c r="AG1060" s="481"/>
      <c r="AH1060" s="481">
        <f>IFERROR(__xludf.DUMMYFUNCTION("""COMPUTED_VALUE"""),70.0)</f>
        <v>70</v>
      </c>
      <c r="AI1060" s="158"/>
      <c r="AJ1060" s="158"/>
      <c r="AK1060" s="133">
        <f>IFERROR(__xludf.DUMMYFUNCTION("""COMPUTED_VALUE"""),4.0)</f>
        <v>4</v>
      </c>
      <c r="AL1060" s="133">
        <f>IFERROR(__xludf.DUMMYFUNCTION("""COMPUTED_VALUE"""),2.0)</f>
        <v>2</v>
      </c>
      <c r="AM1060" s="133">
        <f>IFERROR(__xludf.DUMMYFUNCTION("""COMPUTED_VALUE"""),3.0)</f>
        <v>3</v>
      </c>
      <c r="AN1060" s="133" t="str">
        <f>IFERROR(__xludf.DUMMYFUNCTION("""COMPUTED_VALUE"""),"3.5")</f>
        <v>3.5</v>
      </c>
      <c r="AO1060" s="133">
        <f>IFERROR(__xludf.DUMMYFUNCTION("""COMPUTED_VALUE"""),3.0)</f>
        <v>3</v>
      </c>
      <c r="AP1060" s="155" t="s">
        <v>3736</v>
      </c>
    </row>
    <row r="1061">
      <c r="A1061" s="155">
        <f>IFERROR(__xludf.DUMMYFUNCTION("""COMPUTED_VALUE"""),168.0)</f>
        <v>168</v>
      </c>
      <c r="B1061" s="155" t="str">
        <f>IFERROR(__xludf.DUMMYFUNCTION("""COMPUTED_VALUE"""),"rava23ece@cmrit.ac.in")</f>
        <v>rava23ece@cmrit.ac.in</v>
      </c>
      <c r="C1061" s="174" t="str">
        <f>IFERROR(__xludf.DUMMYFUNCTION("""COMPUTED_VALUE"""),"RAJULAVARSHA")</f>
        <v>RAJULAVARSHA</v>
      </c>
      <c r="D1061" s="155" t="str">
        <f>IFERROR(__xludf.DUMMYFUNCTION("""COMPUTED_VALUE"""),"1CR23EC173")</f>
        <v>1CR23EC173</v>
      </c>
      <c r="E1061" s="563">
        <f>IFERROR(__xludf.DUMMYFUNCTION("""COMPUTED_VALUE"""),9.381788636E9)</f>
        <v>9381788636</v>
      </c>
      <c r="F1061" s="155" t="str">
        <f>IFERROR(__xludf.DUMMYFUNCTION("""COMPUTED_VALUE"""),"ECE")</f>
        <v>ECE</v>
      </c>
      <c r="G1061" s="158"/>
      <c r="H1061" s="559">
        <f>IFERROR(__xludf.DUMMYFUNCTION("""COMPUTED_VALUE"""),80.0)</f>
        <v>80</v>
      </c>
      <c r="I1061" s="559">
        <f>IFERROR(__xludf.DUMMYFUNCTION("""COMPUTED_VALUE"""),75.0)</f>
        <v>75</v>
      </c>
      <c r="J1061" s="559">
        <f>IFERROR(__xludf.DUMMYFUNCTION("""COMPUTED_VALUE"""),70.0)</f>
        <v>70</v>
      </c>
      <c r="K1061" s="559">
        <f>IFERROR(__xludf.DUMMYFUNCTION("""COMPUTED_VALUE"""),73.0)</f>
        <v>73</v>
      </c>
      <c r="L1061" s="560">
        <f>IFERROR(__xludf.DUMMYFUNCTION("""COMPUTED_VALUE"""),51.0)</f>
        <v>51</v>
      </c>
      <c r="M1061" s="561">
        <f>IFERROR(__xludf.DUMMYFUNCTION("""COMPUTED_VALUE"""),50.0)</f>
        <v>50</v>
      </c>
      <c r="N1061" s="561">
        <f>IFERROR(__xludf.DUMMYFUNCTION("""COMPUTED_VALUE"""),50.0)</f>
        <v>50</v>
      </c>
      <c r="O1061" s="560"/>
      <c r="P1061" s="562">
        <f>IFERROR(__xludf.DUMMYFUNCTION("""COMPUTED_VALUE"""),73.0)</f>
        <v>73</v>
      </c>
      <c r="Q1061" s="562">
        <f>IFERROR(__xludf.DUMMYFUNCTION("""COMPUTED_VALUE"""),75.0)</f>
        <v>75</v>
      </c>
      <c r="R1061" s="562">
        <f>IFERROR(__xludf.DUMMYFUNCTION("""COMPUTED_VALUE"""),81.0)</f>
        <v>81</v>
      </c>
      <c r="S1061" s="562"/>
      <c r="T1061" s="217">
        <f>IFERROR(__xludf.DUMMYFUNCTION("""COMPUTED_VALUE"""),19.0)</f>
        <v>19</v>
      </c>
      <c r="U1061" s="217">
        <f>IFERROR(__xludf.DUMMYFUNCTION("""COMPUTED_VALUE"""),16.0)</f>
        <v>16</v>
      </c>
      <c r="V1061" s="217">
        <f>IFERROR(__xludf.DUMMYFUNCTION("""COMPUTED_VALUE"""),48.0)</f>
        <v>48</v>
      </c>
      <c r="W1061" s="217">
        <f>IFERROR(__xludf.DUMMYFUNCTION("""COMPUTED_VALUE"""),82.0)</f>
        <v>82</v>
      </c>
      <c r="X1061" s="217">
        <f>IFERROR(__xludf.DUMMYFUNCTION("""COMPUTED_VALUE"""),76.0)</f>
        <v>76</v>
      </c>
      <c r="Y1061" s="217"/>
      <c r="Z1061" s="217"/>
      <c r="AA1061" s="481">
        <f>IFERROR(__xludf.DUMMYFUNCTION("""COMPUTED_VALUE"""),96.0)</f>
        <v>96</v>
      </c>
      <c r="AB1061" s="481">
        <f>IFERROR(__xludf.DUMMYFUNCTION("""COMPUTED_VALUE"""),92.0)</f>
        <v>92</v>
      </c>
      <c r="AC1061" s="481">
        <f>IFERROR(__xludf.DUMMYFUNCTION("""COMPUTED_VALUE"""),62.0)</f>
        <v>62</v>
      </c>
      <c r="AD1061" s="481"/>
      <c r="AE1061" s="481">
        <f>IFERROR(__xludf.DUMMYFUNCTION("""COMPUTED_VALUE"""),70.0)</f>
        <v>70</v>
      </c>
      <c r="AF1061" s="481"/>
      <c r="AG1061" s="481">
        <f>IFERROR(__xludf.DUMMYFUNCTION("""COMPUTED_VALUE"""),79.0)</f>
        <v>79</v>
      </c>
      <c r="AH1061" s="481"/>
      <c r="AI1061" s="158"/>
      <c r="AJ1061" s="158"/>
      <c r="AK1061" s="133">
        <f>IFERROR(__xludf.DUMMYFUNCTION("""COMPUTED_VALUE"""),4.0)</f>
        <v>4</v>
      </c>
      <c r="AL1061" s="133">
        <f>IFERROR(__xludf.DUMMYFUNCTION("""COMPUTED_VALUE"""),3.0)</f>
        <v>3</v>
      </c>
      <c r="AM1061" s="133">
        <f>IFERROR(__xludf.DUMMYFUNCTION("""COMPUTED_VALUE"""),3.0)</f>
        <v>3</v>
      </c>
      <c r="AN1061" s="133" t="str">
        <f>IFERROR(__xludf.DUMMYFUNCTION("""COMPUTED_VALUE"""),"3.5")</f>
        <v>3.5</v>
      </c>
      <c r="AO1061" s="133">
        <f>IFERROR(__xludf.DUMMYFUNCTION("""COMPUTED_VALUE"""),3.0)</f>
        <v>3</v>
      </c>
      <c r="AP1061" s="155" t="s">
        <v>3736</v>
      </c>
    </row>
    <row r="1062">
      <c r="A1062" s="155">
        <f>IFERROR(__xludf.DUMMYFUNCTION("""COMPUTED_VALUE"""),169.0)</f>
        <v>169</v>
      </c>
      <c r="B1062" s="155" t="str">
        <f>IFERROR(__xludf.DUMMYFUNCTION("""COMPUTED_VALUE"""),"rasm23ece@cmrit.ac.in")</f>
        <v>rasm23ece@cmrit.ac.in</v>
      </c>
      <c r="C1062" s="174" t="str">
        <f>IFERROR(__xludf.DUMMYFUNCTION("""COMPUTED_VALUE"""),"Rakesh S M")</f>
        <v>Rakesh S M</v>
      </c>
      <c r="D1062" s="155" t="str">
        <f>IFERROR(__xludf.DUMMYFUNCTION("""COMPUTED_VALUE"""),"1CR23EC174")</f>
        <v>1CR23EC174</v>
      </c>
      <c r="E1062" s="563">
        <f>IFERROR(__xludf.DUMMYFUNCTION("""COMPUTED_VALUE"""),7.899635368E9)</f>
        <v>7899635368</v>
      </c>
      <c r="F1062" s="155" t="str">
        <f>IFERROR(__xludf.DUMMYFUNCTION("""COMPUTED_VALUE"""),"ECE")</f>
        <v>ECE</v>
      </c>
      <c r="G1062" s="158"/>
      <c r="H1062" s="559">
        <f>IFERROR(__xludf.DUMMYFUNCTION("""COMPUTED_VALUE"""),84.0)</f>
        <v>84</v>
      </c>
      <c r="I1062" s="559">
        <f>IFERROR(__xludf.DUMMYFUNCTION("""COMPUTED_VALUE"""),87.0)</f>
        <v>87</v>
      </c>
      <c r="J1062" s="559">
        <f>IFERROR(__xludf.DUMMYFUNCTION("""COMPUTED_VALUE"""),70.0)</f>
        <v>70</v>
      </c>
      <c r="K1062" s="559">
        <f>IFERROR(__xludf.DUMMYFUNCTION("""COMPUTED_VALUE"""),78.0)</f>
        <v>78</v>
      </c>
      <c r="L1062" s="560">
        <f>IFERROR(__xludf.DUMMYFUNCTION("""COMPUTED_VALUE"""),55.0)</f>
        <v>55</v>
      </c>
      <c r="M1062" s="561">
        <f>IFERROR(__xludf.DUMMYFUNCTION("""COMPUTED_VALUE"""),50.0)</f>
        <v>50</v>
      </c>
      <c r="N1062" s="561">
        <f>IFERROR(__xludf.DUMMYFUNCTION("""COMPUTED_VALUE"""),37.0)</f>
        <v>37</v>
      </c>
      <c r="O1062" s="560"/>
      <c r="P1062" s="562">
        <f>IFERROR(__xludf.DUMMYFUNCTION("""COMPUTED_VALUE"""),77.0)</f>
        <v>77</v>
      </c>
      <c r="Q1062" s="562">
        <f>IFERROR(__xludf.DUMMYFUNCTION("""COMPUTED_VALUE"""),74.0)</f>
        <v>74</v>
      </c>
      <c r="R1062" s="562">
        <f>IFERROR(__xludf.DUMMYFUNCTION("""COMPUTED_VALUE"""),94.0)</f>
        <v>94</v>
      </c>
      <c r="S1062" s="562"/>
      <c r="T1062" s="217">
        <f>IFERROR(__xludf.DUMMYFUNCTION("""COMPUTED_VALUE"""),12.0)</f>
        <v>12</v>
      </c>
      <c r="U1062" s="217">
        <f>IFERROR(__xludf.DUMMYFUNCTION("""COMPUTED_VALUE"""),18.0)</f>
        <v>18</v>
      </c>
      <c r="V1062" s="217">
        <f>IFERROR(__xludf.DUMMYFUNCTION("""COMPUTED_VALUE"""),48.0)</f>
        <v>48</v>
      </c>
      <c r="W1062" s="217">
        <f>IFERROR(__xludf.DUMMYFUNCTION("""COMPUTED_VALUE"""),72.0)</f>
        <v>72</v>
      </c>
      <c r="X1062" s="217">
        <f>IFERROR(__xludf.DUMMYFUNCTION("""COMPUTED_VALUE"""),76.0)</f>
        <v>76</v>
      </c>
      <c r="Y1062" s="217"/>
      <c r="Z1062" s="217"/>
      <c r="AA1062" s="481">
        <f>IFERROR(__xludf.DUMMYFUNCTION("""COMPUTED_VALUE"""),90.0)</f>
        <v>90</v>
      </c>
      <c r="AB1062" s="481">
        <f>IFERROR(__xludf.DUMMYFUNCTION("""COMPUTED_VALUE"""),92.0)</f>
        <v>92</v>
      </c>
      <c r="AC1062" s="481">
        <f>IFERROR(__xludf.DUMMYFUNCTION("""COMPUTED_VALUE"""),97.0)</f>
        <v>97</v>
      </c>
      <c r="AD1062" s="481"/>
      <c r="AE1062" s="481">
        <f>IFERROR(__xludf.DUMMYFUNCTION("""COMPUTED_VALUE"""),77.0)</f>
        <v>77</v>
      </c>
      <c r="AF1062" s="481"/>
      <c r="AG1062" s="481"/>
      <c r="AH1062" s="481"/>
      <c r="AI1062" s="158"/>
      <c r="AJ1062" s="158"/>
      <c r="AK1062" s="133">
        <f>IFERROR(__xludf.DUMMYFUNCTION("""COMPUTED_VALUE"""),4.0)</f>
        <v>4</v>
      </c>
      <c r="AL1062" s="133">
        <f>IFERROR(__xludf.DUMMYFUNCTION("""COMPUTED_VALUE"""),2.0)</f>
        <v>2</v>
      </c>
      <c r="AM1062" s="133">
        <f>IFERROR(__xludf.DUMMYFUNCTION("""COMPUTED_VALUE"""),3.0)</f>
        <v>3</v>
      </c>
      <c r="AN1062" s="133" t="str">
        <f>IFERROR(__xludf.DUMMYFUNCTION("""COMPUTED_VALUE"""),"3.5")</f>
        <v>3.5</v>
      </c>
      <c r="AO1062" s="133">
        <f>IFERROR(__xludf.DUMMYFUNCTION("""COMPUTED_VALUE"""),3.0)</f>
        <v>3</v>
      </c>
      <c r="AP1062" s="155" t="s">
        <v>3736</v>
      </c>
    </row>
    <row r="1063">
      <c r="A1063" s="155">
        <f>IFERROR(__xludf.DUMMYFUNCTION("""COMPUTED_VALUE"""),170.0)</f>
        <v>170</v>
      </c>
      <c r="B1063" s="155" t="str">
        <f>IFERROR(__xludf.DUMMYFUNCTION("""COMPUTED_VALUE"""),"ra23ece@cmrit.ac.in")</f>
        <v>ra23ece@cmrit.ac.in</v>
      </c>
      <c r="C1063" s="174" t="str">
        <f>IFERROR(__xludf.DUMMYFUNCTION("""COMPUTED_VALUE"""),"Revati")</f>
        <v>Revati</v>
      </c>
      <c r="D1063" s="155" t="str">
        <f>IFERROR(__xludf.DUMMYFUNCTION("""COMPUTED_VALUE"""),"1CR23EC175")</f>
        <v>1CR23EC175</v>
      </c>
      <c r="E1063" s="563">
        <f>IFERROR(__xludf.DUMMYFUNCTION("""COMPUTED_VALUE"""),7.483204054E9)</f>
        <v>7483204054</v>
      </c>
      <c r="F1063" s="155" t="str">
        <f>IFERROR(__xludf.DUMMYFUNCTION("""COMPUTED_VALUE"""),"ECE")</f>
        <v>ECE</v>
      </c>
      <c r="G1063" s="158"/>
      <c r="H1063" s="559">
        <f>IFERROR(__xludf.DUMMYFUNCTION("""COMPUTED_VALUE"""),85.0)</f>
        <v>85</v>
      </c>
      <c r="I1063" s="559">
        <f>IFERROR(__xludf.DUMMYFUNCTION("""COMPUTED_VALUE"""),86.0)</f>
        <v>86</v>
      </c>
      <c r="J1063" s="559">
        <f>IFERROR(__xludf.DUMMYFUNCTION("""COMPUTED_VALUE"""),74.0)</f>
        <v>74</v>
      </c>
      <c r="K1063" s="559">
        <f>IFERROR(__xludf.DUMMYFUNCTION("""COMPUTED_VALUE"""),81.0)</f>
        <v>81</v>
      </c>
      <c r="L1063" s="560">
        <f>IFERROR(__xludf.DUMMYFUNCTION("""COMPUTED_VALUE"""),50.0)</f>
        <v>50</v>
      </c>
      <c r="M1063" s="561">
        <f>IFERROR(__xludf.DUMMYFUNCTION("""COMPUTED_VALUE"""),50.0)</f>
        <v>50</v>
      </c>
      <c r="N1063" s="561">
        <f>IFERROR(__xludf.DUMMYFUNCTION("""COMPUTED_VALUE"""),45.0)</f>
        <v>45</v>
      </c>
      <c r="O1063" s="560"/>
      <c r="P1063" s="562">
        <f>IFERROR(__xludf.DUMMYFUNCTION("""COMPUTED_VALUE"""),78.0)</f>
        <v>78</v>
      </c>
      <c r="Q1063" s="562">
        <f>IFERROR(__xludf.DUMMYFUNCTION("""COMPUTED_VALUE"""),75.0)</f>
        <v>75</v>
      </c>
      <c r="R1063" s="562">
        <f>IFERROR(__xludf.DUMMYFUNCTION("""COMPUTED_VALUE"""),63.0)</f>
        <v>63</v>
      </c>
      <c r="S1063" s="562"/>
      <c r="T1063" s="217">
        <f>IFERROR(__xludf.DUMMYFUNCTION("""COMPUTED_VALUE"""),19.0)</f>
        <v>19</v>
      </c>
      <c r="U1063" s="217">
        <f>IFERROR(__xludf.DUMMYFUNCTION("""COMPUTED_VALUE"""),21.0)</f>
        <v>21</v>
      </c>
      <c r="V1063" s="217">
        <f>IFERROR(__xludf.DUMMYFUNCTION("""COMPUTED_VALUE"""),40.0)</f>
        <v>40</v>
      </c>
      <c r="W1063" s="217">
        <f>IFERROR(__xludf.DUMMYFUNCTION("""COMPUTED_VALUE"""),78.0)</f>
        <v>78</v>
      </c>
      <c r="X1063" s="217">
        <f>IFERROR(__xludf.DUMMYFUNCTION("""COMPUTED_VALUE"""),70.0)</f>
        <v>70</v>
      </c>
      <c r="Y1063" s="217"/>
      <c r="Z1063" s="217"/>
      <c r="AA1063" s="481">
        <f>IFERROR(__xludf.DUMMYFUNCTION("""COMPUTED_VALUE"""),50.0)</f>
        <v>50</v>
      </c>
      <c r="AB1063" s="481">
        <f>IFERROR(__xludf.DUMMYFUNCTION("""COMPUTED_VALUE"""),87.0)</f>
        <v>87</v>
      </c>
      <c r="AC1063" s="481">
        <f>IFERROR(__xludf.DUMMYFUNCTION("""COMPUTED_VALUE"""),81.0)</f>
        <v>81</v>
      </c>
      <c r="AD1063" s="481"/>
      <c r="AE1063" s="481">
        <f>IFERROR(__xludf.DUMMYFUNCTION("""COMPUTED_VALUE"""),21.0)</f>
        <v>21</v>
      </c>
      <c r="AF1063" s="481"/>
      <c r="AG1063" s="481">
        <f>IFERROR(__xludf.DUMMYFUNCTION("""COMPUTED_VALUE"""),73.0)</f>
        <v>73</v>
      </c>
      <c r="AH1063" s="481"/>
      <c r="AI1063" s="158"/>
      <c r="AJ1063" s="158"/>
      <c r="AK1063" s="133">
        <f>IFERROR(__xludf.DUMMYFUNCTION("""COMPUTED_VALUE"""),4.0)</f>
        <v>4</v>
      </c>
      <c r="AL1063" s="133">
        <f>IFERROR(__xludf.DUMMYFUNCTION("""COMPUTED_VALUE"""),2.0)</f>
        <v>2</v>
      </c>
      <c r="AM1063" s="133">
        <f>IFERROR(__xludf.DUMMYFUNCTION("""COMPUTED_VALUE"""),3.0)</f>
        <v>3</v>
      </c>
      <c r="AN1063" s="133" t="str">
        <f>IFERROR(__xludf.DUMMYFUNCTION("""COMPUTED_VALUE"""),"3")</f>
        <v>3</v>
      </c>
      <c r="AO1063" s="133">
        <f>IFERROR(__xludf.DUMMYFUNCTION("""COMPUTED_VALUE"""),3.0)</f>
        <v>3</v>
      </c>
      <c r="AP1063" s="155" t="s">
        <v>3736</v>
      </c>
    </row>
    <row r="1064">
      <c r="A1064" s="155">
        <f>IFERROR(__xludf.DUMMYFUNCTION("""COMPUTED_VALUE"""),171.0)</f>
        <v>171</v>
      </c>
      <c r="B1064" s="155" t="str">
        <f>IFERROR(__xludf.DUMMYFUNCTION("""COMPUTED_VALUE"""),"rir23ece@cmrit.ac.in")</f>
        <v>rir23ece@cmrit.ac.in</v>
      </c>
      <c r="C1064" s="174" t="str">
        <f>IFERROR(__xludf.DUMMYFUNCTION("""COMPUTED_VALUE"""),"Rincy Wilma R")</f>
        <v>Rincy Wilma R</v>
      </c>
      <c r="D1064" s="155" t="str">
        <f>IFERROR(__xludf.DUMMYFUNCTION("""COMPUTED_VALUE"""),"1CR23EC176")</f>
        <v>1CR23EC176</v>
      </c>
      <c r="E1064" s="563">
        <f>IFERROR(__xludf.DUMMYFUNCTION("""COMPUTED_VALUE"""),8.277214912E9)</f>
        <v>8277214912</v>
      </c>
      <c r="F1064" s="155" t="str">
        <f>IFERROR(__xludf.DUMMYFUNCTION("""COMPUTED_VALUE"""),"ECE")</f>
        <v>ECE</v>
      </c>
      <c r="G1064" s="158"/>
      <c r="H1064" s="559">
        <f>IFERROR(__xludf.DUMMYFUNCTION("""COMPUTED_VALUE"""),89.0)</f>
        <v>89</v>
      </c>
      <c r="I1064" s="559">
        <f>IFERROR(__xludf.DUMMYFUNCTION("""COMPUTED_VALUE"""),91.0)</f>
        <v>91</v>
      </c>
      <c r="J1064" s="559">
        <f>IFERROR(__xludf.DUMMYFUNCTION("""COMPUTED_VALUE"""),82.0)</f>
        <v>82</v>
      </c>
      <c r="K1064" s="559">
        <f>IFERROR(__xludf.DUMMYFUNCTION("""COMPUTED_VALUE"""),70.0)</f>
        <v>70</v>
      </c>
      <c r="L1064" s="560">
        <f>IFERROR(__xludf.DUMMYFUNCTION("""COMPUTED_VALUE"""),62.0)</f>
        <v>62</v>
      </c>
      <c r="M1064" s="561">
        <f>IFERROR(__xludf.DUMMYFUNCTION("""COMPUTED_VALUE"""),50.0)</f>
        <v>50</v>
      </c>
      <c r="N1064" s="561">
        <f>IFERROR(__xludf.DUMMYFUNCTION("""COMPUTED_VALUE"""),66.0)</f>
        <v>66</v>
      </c>
      <c r="O1064" s="560"/>
      <c r="P1064" s="562">
        <f>IFERROR(__xludf.DUMMYFUNCTION("""COMPUTED_VALUE"""),70.0)</f>
        <v>70</v>
      </c>
      <c r="Q1064" s="562">
        <f>IFERROR(__xludf.DUMMYFUNCTION("""COMPUTED_VALUE"""),72.0)</f>
        <v>72</v>
      </c>
      <c r="R1064" s="562">
        <f>IFERROR(__xludf.DUMMYFUNCTION("""COMPUTED_VALUE"""),88.0)</f>
        <v>88</v>
      </c>
      <c r="S1064" s="562"/>
      <c r="T1064" s="217">
        <f>IFERROR(__xludf.DUMMYFUNCTION("""COMPUTED_VALUE"""),11.0)</f>
        <v>11</v>
      </c>
      <c r="U1064" s="217">
        <f>IFERROR(__xludf.DUMMYFUNCTION("""COMPUTED_VALUE"""),14.0)</f>
        <v>14</v>
      </c>
      <c r="V1064" s="217">
        <f>IFERROR(__xludf.DUMMYFUNCTION("""COMPUTED_VALUE"""),36.0)</f>
        <v>36</v>
      </c>
      <c r="W1064" s="217">
        <f>IFERROR(__xludf.DUMMYFUNCTION("""COMPUTED_VALUE"""),82.0)</f>
        <v>82</v>
      </c>
      <c r="X1064" s="217">
        <f>IFERROR(__xludf.DUMMYFUNCTION("""COMPUTED_VALUE"""),70.0)</f>
        <v>70</v>
      </c>
      <c r="Y1064" s="217"/>
      <c r="Z1064" s="217"/>
      <c r="AA1064" s="481">
        <f>IFERROR(__xludf.DUMMYFUNCTION("""COMPUTED_VALUE"""),92.0)</f>
        <v>92</v>
      </c>
      <c r="AB1064" s="481">
        <f>IFERROR(__xludf.DUMMYFUNCTION("""COMPUTED_VALUE"""),98.0)</f>
        <v>98</v>
      </c>
      <c r="AC1064" s="481">
        <f>IFERROR(__xludf.DUMMYFUNCTION("""COMPUTED_VALUE"""),71.0)</f>
        <v>71</v>
      </c>
      <c r="AD1064" s="481"/>
      <c r="AE1064" s="481">
        <f>IFERROR(__xludf.DUMMYFUNCTION("""COMPUTED_VALUE"""),90.0)</f>
        <v>90</v>
      </c>
      <c r="AF1064" s="481"/>
      <c r="AG1064" s="481">
        <f>IFERROR(__xludf.DUMMYFUNCTION("""COMPUTED_VALUE"""),94.0)</f>
        <v>94</v>
      </c>
      <c r="AH1064" s="481"/>
      <c r="AI1064" s="158"/>
      <c r="AJ1064" s="158"/>
      <c r="AK1064" s="133">
        <f>IFERROR(__xludf.DUMMYFUNCTION("""COMPUTED_VALUE"""),4.0)</f>
        <v>4</v>
      </c>
      <c r="AL1064" s="133">
        <f>IFERROR(__xludf.DUMMYFUNCTION("""COMPUTED_VALUE"""),3.0)</f>
        <v>3</v>
      </c>
      <c r="AM1064" s="133">
        <f>IFERROR(__xludf.DUMMYFUNCTION("""COMPUTED_VALUE"""),3.0)</f>
        <v>3</v>
      </c>
      <c r="AN1064" s="133" t="str">
        <f>IFERROR(__xludf.DUMMYFUNCTION("""COMPUTED_VALUE"""),"3.5")</f>
        <v>3.5</v>
      </c>
      <c r="AO1064" s="133">
        <f>IFERROR(__xludf.DUMMYFUNCTION("""COMPUTED_VALUE"""),3.0)</f>
        <v>3</v>
      </c>
      <c r="AP1064" s="155" t="s">
        <v>3736</v>
      </c>
    </row>
    <row r="1065">
      <c r="A1065" s="155">
        <f>IFERROR(__xludf.DUMMYFUNCTION("""COMPUTED_VALUE"""),172.0)</f>
        <v>172</v>
      </c>
      <c r="B1065" s="155" t="str">
        <f>IFERROR(__xludf.DUMMYFUNCTION("""COMPUTED_VALUE"""),"riku23ece@cmrit.ac.in")</f>
        <v>riku23ece@cmrit.ac.in</v>
      </c>
      <c r="C1065" s="174" t="str">
        <f>IFERROR(__xludf.DUMMYFUNCTION("""COMPUTED_VALUE"""),"Rishindra Kumar R")</f>
        <v>Rishindra Kumar R</v>
      </c>
      <c r="D1065" s="155" t="str">
        <f>IFERROR(__xludf.DUMMYFUNCTION("""COMPUTED_VALUE"""),"1CR23EC178")</f>
        <v>1CR23EC178</v>
      </c>
      <c r="E1065" s="563">
        <f>IFERROR(__xludf.DUMMYFUNCTION("""COMPUTED_VALUE"""),7.892743866E9)</f>
        <v>7892743866</v>
      </c>
      <c r="F1065" s="155" t="str">
        <f>IFERROR(__xludf.DUMMYFUNCTION("""COMPUTED_VALUE"""),"ECE")</f>
        <v>ECE</v>
      </c>
      <c r="G1065" s="158"/>
      <c r="H1065" s="559">
        <f>IFERROR(__xludf.DUMMYFUNCTION("""COMPUTED_VALUE"""),76.0)</f>
        <v>76</v>
      </c>
      <c r="I1065" s="559">
        <f>IFERROR(__xludf.DUMMYFUNCTION("""COMPUTED_VALUE"""),86.0)</f>
        <v>86</v>
      </c>
      <c r="J1065" s="559">
        <f>IFERROR(__xludf.DUMMYFUNCTION("""COMPUTED_VALUE"""),59.0)</f>
        <v>59</v>
      </c>
      <c r="K1065" s="559">
        <f>IFERROR(__xludf.DUMMYFUNCTION("""COMPUTED_VALUE"""),41.0)</f>
        <v>41</v>
      </c>
      <c r="L1065" s="560">
        <f>IFERROR(__xludf.DUMMYFUNCTION("""COMPUTED_VALUE"""),8.0)</f>
        <v>8</v>
      </c>
      <c r="M1065" s="561">
        <f>IFERROR(__xludf.DUMMYFUNCTION("""COMPUTED_VALUE"""),3.0)</f>
        <v>3</v>
      </c>
      <c r="N1065" s="561">
        <f>IFERROR(__xludf.DUMMYFUNCTION("""COMPUTED_VALUE"""),0.0)</f>
        <v>0</v>
      </c>
      <c r="O1065" s="560"/>
      <c r="P1065" s="562">
        <f>IFERROR(__xludf.DUMMYFUNCTION("""COMPUTED_VALUE"""),0.0)</f>
        <v>0</v>
      </c>
      <c r="Q1065" s="562">
        <f>IFERROR(__xludf.DUMMYFUNCTION("""COMPUTED_VALUE"""),0.0)</f>
        <v>0</v>
      </c>
      <c r="R1065" s="562">
        <f>IFERROR(__xludf.DUMMYFUNCTION("""COMPUTED_VALUE"""),0.0)</f>
        <v>0</v>
      </c>
      <c r="S1065" s="562"/>
      <c r="T1065" s="217">
        <f>IFERROR(__xludf.DUMMYFUNCTION("""COMPUTED_VALUE"""),15.0)</f>
        <v>15</v>
      </c>
      <c r="U1065" s="217">
        <f>IFERROR(__xludf.DUMMYFUNCTION("""COMPUTED_VALUE"""),19.0)</f>
        <v>19</v>
      </c>
      <c r="V1065" s="217">
        <f>IFERROR(__xludf.DUMMYFUNCTION("""COMPUTED_VALUE"""),26.0)</f>
        <v>26</v>
      </c>
      <c r="W1065" s="217">
        <f>IFERROR(__xludf.DUMMYFUNCTION("""COMPUTED_VALUE"""),0.0)</f>
        <v>0</v>
      </c>
      <c r="X1065" s="217"/>
      <c r="Y1065" s="217"/>
      <c r="Z1065" s="217"/>
      <c r="AA1065" s="481">
        <f>IFERROR(__xludf.DUMMYFUNCTION("""COMPUTED_VALUE"""),76.0)</f>
        <v>76</v>
      </c>
      <c r="AB1065" s="481">
        <f>IFERROR(__xludf.DUMMYFUNCTION("""COMPUTED_VALUE"""),100.0)</f>
        <v>100</v>
      </c>
      <c r="AC1065" s="481">
        <f>IFERROR(__xludf.DUMMYFUNCTION("""COMPUTED_VALUE"""),45.0)</f>
        <v>45</v>
      </c>
      <c r="AD1065" s="481"/>
      <c r="AE1065" s="481">
        <f>IFERROR(__xludf.DUMMYFUNCTION("""COMPUTED_VALUE"""),10.0)</f>
        <v>10</v>
      </c>
      <c r="AF1065" s="481"/>
      <c r="AG1065" s="481"/>
      <c r="AH1065" s="481">
        <f>IFERROR(__xludf.DUMMYFUNCTION("""COMPUTED_VALUE"""),0.0)</f>
        <v>0</v>
      </c>
      <c r="AI1065" s="158"/>
      <c r="AJ1065" s="158"/>
      <c r="AK1065" s="133">
        <f>IFERROR(__xludf.DUMMYFUNCTION("""COMPUTED_VALUE"""),2.0)</f>
        <v>2</v>
      </c>
      <c r="AL1065" s="133">
        <f>IFERROR(__xludf.DUMMYFUNCTION("""COMPUTED_VALUE"""),0.0)</f>
        <v>0</v>
      </c>
      <c r="AM1065" s="133">
        <f>IFERROR(__xludf.DUMMYFUNCTION("""COMPUTED_VALUE"""),2.0)</f>
        <v>2</v>
      </c>
      <c r="AN1065" s="133" t="str">
        <f>IFERROR(__xludf.DUMMYFUNCTION("""COMPUTED_VALUE"""),"2")</f>
        <v>2</v>
      </c>
      <c r="AO1065" s="133">
        <f>IFERROR(__xludf.DUMMYFUNCTION("""COMPUTED_VALUE"""),0.0)</f>
        <v>0</v>
      </c>
      <c r="AP1065" s="155" t="s">
        <v>3736</v>
      </c>
    </row>
    <row r="1066">
      <c r="A1066" s="155">
        <f>IFERROR(__xludf.DUMMYFUNCTION("""COMPUTED_VALUE"""),173.0)</f>
        <v>173</v>
      </c>
      <c r="B1066" s="155" t="str">
        <f>IFERROR(__xludf.DUMMYFUNCTION("""COMPUTED_VALUE"""),"ros23ece@cmrit.ac.in")</f>
        <v>ros23ece@cmrit.ac.in</v>
      </c>
      <c r="C1066" s="174" t="str">
        <f>IFERROR(__xludf.DUMMYFUNCTION("""COMPUTED_VALUE"""),"ROHITH KUMAR S")</f>
        <v>ROHITH KUMAR S</v>
      </c>
      <c r="D1066" s="155" t="str">
        <f>IFERROR(__xludf.DUMMYFUNCTION("""COMPUTED_VALUE"""),"1CR23EC179")</f>
        <v>1CR23EC179</v>
      </c>
      <c r="E1066" s="563">
        <f>IFERROR(__xludf.DUMMYFUNCTION("""COMPUTED_VALUE"""),9.110613678E9)</f>
        <v>9110613678</v>
      </c>
      <c r="F1066" s="155" t="str">
        <f>IFERROR(__xludf.DUMMYFUNCTION("""COMPUTED_VALUE"""),"ECE")</f>
        <v>ECE</v>
      </c>
      <c r="G1066" s="158"/>
      <c r="H1066" s="559">
        <f>IFERROR(__xludf.DUMMYFUNCTION("""COMPUTED_VALUE"""),78.0)</f>
        <v>78</v>
      </c>
      <c r="I1066" s="559">
        <f>IFERROR(__xludf.DUMMYFUNCTION("""COMPUTED_VALUE"""),80.0)</f>
        <v>80</v>
      </c>
      <c r="J1066" s="559">
        <f>IFERROR(__xludf.DUMMYFUNCTION("""COMPUTED_VALUE"""),70.0)</f>
        <v>70</v>
      </c>
      <c r="K1066" s="559">
        <f>IFERROR(__xludf.DUMMYFUNCTION("""COMPUTED_VALUE"""),70.0)</f>
        <v>70</v>
      </c>
      <c r="L1066" s="560">
        <f>IFERROR(__xludf.DUMMYFUNCTION("""COMPUTED_VALUE"""),50.0)</f>
        <v>50</v>
      </c>
      <c r="M1066" s="561">
        <f>IFERROR(__xludf.DUMMYFUNCTION("""COMPUTED_VALUE"""),50.0)</f>
        <v>50</v>
      </c>
      <c r="N1066" s="561">
        <f>IFERROR(__xludf.DUMMYFUNCTION("""COMPUTED_VALUE"""),58.0)</f>
        <v>58</v>
      </c>
      <c r="O1066" s="560"/>
      <c r="P1066" s="562">
        <f>IFERROR(__xludf.DUMMYFUNCTION("""COMPUTED_VALUE"""),70.0)</f>
        <v>70</v>
      </c>
      <c r="Q1066" s="562">
        <f>IFERROR(__xludf.DUMMYFUNCTION("""COMPUTED_VALUE"""),74.0)</f>
        <v>74</v>
      </c>
      <c r="R1066" s="562">
        <f>IFERROR(__xludf.DUMMYFUNCTION("""COMPUTED_VALUE"""),50.0)</f>
        <v>50</v>
      </c>
      <c r="S1066" s="562"/>
      <c r="T1066" s="217">
        <f>IFERROR(__xludf.DUMMYFUNCTION("""COMPUTED_VALUE"""),17.0)</f>
        <v>17</v>
      </c>
      <c r="U1066" s="217">
        <f>IFERROR(__xludf.DUMMYFUNCTION("""COMPUTED_VALUE"""),18.0)</f>
        <v>18</v>
      </c>
      <c r="V1066" s="217">
        <f>IFERROR(__xludf.DUMMYFUNCTION("""COMPUTED_VALUE"""),48.0)</f>
        <v>48</v>
      </c>
      <c r="W1066" s="217">
        <f>IFERROR(__xludf.DUMMYFUNCTION("""COMPUTED_VALUE"""),84.0)</f>
        <v>84</v>
      </c>
      <c r="X1066" s="217">
        <f>IFERROR(__xludf.DUMMYFUNCTION("""COMPUTED_VALUE"""),66.0)</f>
        <v>66</v>
      </c>
      <c r="Y1066" s="217"/>
      <c r="Z1066" s="217"/>
      <c r="AA1066" s="481">
        <f>IFERROR(__xludf.DUMMYFUNCTION("""COMPUTED_VALUE"""),74.0)</f>
        <v>74</v>
      </c>
      <c r="AB1066" s="481">
        <f>IFERROR(__xludf.DUMMYFUNCTION("""COMPUTED_VALUE"""),69.0)</f>
        <v>69</v>
      </c>
      <c r="AC1066" s="481">
        <f>IFERROR(__xludf.DUMMYFUNCTION("""COMPUTED_VALUE"""),96.0)</f>
        <v>96</v>
      </c>
      <c r="AD1066" s="481"/>
      <c r="AE1066" s="481">
        <f>IFERROR(__xludf.DUMMYFUNCTION("""COMPUTED_VALUE"""),70.0)</f>
        <v>70</v>
      </c>
      <c r="AF1066" s="481"/>
      <c r="AG1066" s="481"/>
      <c r="AH1066" s="481"/>
      <c r="AI1066" s="158"/>
      <c r="AJ1066" s="158"/>
      <c r="AK1066" s="133">
        <f>IFERROR(__xludf.DUMMYFUNCTION("""COMPUTED_VALUE"""),4.0)</f>
        <v>4</v>
      </c>
      <c r="AL1066" s="133">
        <f>IFERROR(__xludf.DUMMYFUNCTION("""COMPUTED_VALUE"""),3.0)</f>
        <v>3</v>
      </c>
      <c r="AM1066" s="133">
        <f>IFERROR(__xludf.DUMMYFUNCTION("""COMPUTED_VALUE"""),3.0)</f>
        <v>3</v>
      </c>
      <c r="AN1066" s="133" t="str">
        <f>IFERROR(__xludf.DUMMYFUNCTION("""COMPUTED_VALUE"""),"3.5")</f>
        <v>3.5</v>
      </c>
      <c r="AO1066" s="133">
        <f>IFERROR(__xludf.DUMMYFUNCTION("""COMPUTED_VALUE"""),3.0)</f>
        <v>3</v>
      </c>
      <c r="AP1066" s="155" t="s">
        <v>3736</v>
      </c>
    </row>
    <row r="1067">
      <c r="A1067" s="155">
        <f>IFERROR(__xludf.DUMMYFUNCTION("""COMPUTED_VALUE"""),174.0)</f>
        <v>174</v>
      </c>
      <c r="B1067" s="155" t="str">
        <f>IFERROR(__xludf.DUMMYFUNCTION("""COMPUTED_VALUE"""),"rugv23ece@cmrit.ac.in")</f>
        <v>rugv23ece@cmrit.ac.in</v>
      </c>
      <c r="C1067" s="174" t="str">
        <f>IFERROR(__xludf.DUMMYFUNCTION("""COMPUTED_VALUE"""),"RUKSHANA G V")</f>
        <v>RUKSHANA G V</v>
      </c>
      <c r="D1067" s="155" t="str">
        <f>IFERROR(__xludf.DUMMYFUNCTION("""COMPUTED_VALUE"""),"1CR23EC180")</f>
        <v>1CR23EC180</v>
      </c>
      <c r="E1067" s="563">
        <f>IFERROR(__xludf.DUMMYFUNCTION("""COMPUTED_VALUE"""),9.148261193E9)</f>
        <v>9148261193</v>
      </c>
      <c r="F1067" s="155" t="str">
        <f>IFERROR(__xludf.DUMMYFUNCTION("""COMPUTED_VALUE"""),"ECE")</f>
        <v>ECE</v>
      </c>
      <c r="G1067" s="158"/>
      <c r="H1067" s="559">
        <f>IFERROR(__xludf.DUMMYFUNCTION("""COMPUTED_VALUE"""),81.0)</f>
        <v>81</v>
      </c>
      <c r="I1067" s="559">
        <f>IFERROR(__xludf.DUMMYFUNCTION("""COMPUTED_VALUE"""),77.0)</f>
        <v>77</v>
      </c>
      <c r="J1067" s="559">
        <f>IFERROR(__xludf.DUMMYFUNCTION("""COMPUTED_VALUE"""),73.0)</f>
        <v>73</v>
      </c>
      <c r="K1067" s="559">
        <f>IFERROR(__xludf.DUMMYFUNCTION("""COMPUTED_VALUE"""),75.0)</f>
        <v>75</v>
      </c>
      <c r="L1067" s="560">
        <f>IFERROR(__xludf.DUMMYFUNCTION("""COMPUTED_VALUE"""),50.0)</f>
        <v>50</v>
      </c>
      <c r="M1067" s="561">
        <f>IFERROR(__xludf.DUMMYFUNCTION("""COMPUTED_VALUE"""),50.0)</f>
        <v>50</v>
      </c>
      <c r="N1067" s="561">
        <f>IFERROR(__xludf.DUMMYFUNCTION("""COMPUTED_VALUE"""),43.0)</f>
        <v>43</v>
      </c>
      <c r="O1067" s="560"/>
      <c r="P1067" s="562">
        <f>IFERROR(__xludf.DUMMYFUNCTION("""COMPUTED_VALUE"""),73.0)</f>
        <v>73</v>
      </c>
      <c r="Q1067" s="562">
        <f>IFERROR(__xludf.DUMMYFUNCTION("""COMPUTED_VALUE"""),75.0)</f>
        <v>75</v>
      </c>
      <c r="R1067" s="562">
        <f>IFERROR(__xludf.DUMMYFUNCTION("""COMPUTED_VALUE"""),79.0)</f>
        <v>79</v>
      </c>
      <c r="S1067" s="562"/>
      <c r="T1067" s="217">
        <f>IFERROR(__xludf.DUMMYFUNCTION("""COMPUTED_VALUE"""),14.0)</f>
        <v>14</v>
      </c>
      <c r="U1067" s="217">
        <f>IFERROR(__xludf.DUMMYFUNCTION("""COMPUTED_VALUE"""),18.0)</f>
        <v>18</v>
      </c>
      <c r="V1067" s="217">
        <f>IFERROR(__xludf.DUMMYFUNCTION("""COMPUTED_VALUE"""),40.0)</f>
        <v>40</v>
      </c>
      <c r="W1067" s="217">
        <f>IFERROR(__xludf.DUMMYFUNCTION("""COMPUTED_VALUE"""),42.0)</f>
        <v>42</v>
      </c>
      <c r="X1067" s="217">
        <f>IFERROR(__xludf.DUMMYFUNCTION("""COMPUTED_VALUE"""),60.0)</f>
        <v>60</v>
      </c>
      <c r="Y1067" s="217"/>
      <c r="Z1067" s="217"/>
      <c r="AA1067" s="481">
        <f>IFERROR(__xludf.DUMMYFUNCTION("""COMPUTED_VALUE"""),100.0)</f>
        <v>100</v>
      </c>
      <c r="AB1067" s="481">
        <f>IFERROR(__xludf.DUMMYFUNCTION("""COMPUTED_VALUE"""),100.0)</f>
        <v>100</v>
      </c>
      <c r="AC1067" s="481">
        <f>IFERROR(__xludf.DUMMYFUNCTION("""COMPUTED_VALUE"""),81.0)</f>
        <v>81</v>
      </c>
      <c r="AD1067" s="481"/>
      <c r="AE1067" s="481">
        <f>IFERROR(__xludf.DUMMYFUNCTION("""COMPUTED_VALUE"""),70.0)</f>
        <v>70</v>
      </c>
      <c r="AF1067" s="481"/>
      <c r="AG1067" s="481">
        <f>IFERROR(__xludf.DUMMYFUNCTION("""COMPUTED_VALUE"""),71.0)</f>
        <v>71</v>
      </c>
      <c r="AH1067" s="481"/>
      <c r="AI1067" s="158"/>
      <c r="AJ1067" s="158"/>
      <c r="AK1067" s="133">
        <f>IFERROR(__xludf.DUMMYFUNCTION("""COMPUTED_VALUE"""),4.0)</f>
        <v>4</v>
      </c>
      <c r="AL1067" s="133">
        <f>IFERROR(__xludf.DUMMYFUNCTION("""COMPUTED_VALUE"""),2.0)</f>
        <v>2</v>
      </c>
      <c r="AM1067" s="133">
        <f>IFERROR(__xludf.DUMMYFUNCTION("""COMPUTED_VALUE"""),2.0)</f>
        <v>2</v>
      </c>
      <c r="AN1067" s="133" t="str">
        <f>IFERROR(__xludf.DUMMYFUNCTION("""COMPUTED_VALUE"""),"3.5")</f>
        <v>3.5</v>
      </c>
      <c r="AO1067" s="133">
        <f>IFERROR(__xludf.DUMMYFUNCTION("""COMPUTED_VALUE"""),3.0)</f>
        <v>3</v>
      </c>
      <c r="AP1067" s="155" t="s">
        <v>3736</v>
      </c>
    </row>
    <row r="1068">
      <c r="A1068" s="155">
        <f>IFERROR(__xludf.DUMMYFUNCTION("""COMPUTED_VALUE"""),175.0)</f>
        <v>175</v>
      </c>
      <c r="B1068" s="155" t="str">
        <f>IFERROR(__xludf.DUMMYFUNCTION("""COMPUTED_VALUE"""),"sasr23ece@cmrit.ac.in")</f>
        <v>sasr23ece@cmrit.ac.in</v>
      </c>
      <c r="C1068" s="174" t="str">
        <f>IFERROR(__xludf.DUMMYFUNCTION("""COMPUTED_VALUE"""),"S AKSHIT SRIJAN")</f>
        <v>S AKSHIT SRIJAN</v>
      </c>
      <c r="D1068" s="155" t="str">
        <f>IFERROR(__xludf.DUMMYFUNCTION("""COMPUTED_VALUE"""),"1CR23EC181")</f>
        <v>1CR23EC181</v>
      </c>
      <c r="E1068" s="563">
        <f>IFERROR(__xludf.DUMMYFUNCTION("""COMPUTED_VALUE"""),8.150002004E9)</f>
        <v>8150002004</v>
      </c>
      <c r="F1068" s="155" t="str">
        <f>IFERROR(__xludf.DUMMYFUNCTION("""COMPUTED_VALUE"""),"ECE")</f>
        <v>ECE</v>
      </c>
      <c r="G1068" s="158"/>
      <c r="H1068" s="559">
        <f>IFERROR(__xludf.DUMMYFUNCTION("""COMPUTED_VALUE"""),82.0)</f>
        <v>82</v>
      </c>
      <c r="I1068" s="559">
        <f>IFERROR(__xludf.DUMMYFUNCTION("""COMPUTED_VALUE"""),83.0)</f>
        <v>83</v>
      </c>
      <c r="J1068" s="559">
        <f>IFERROR(__xludf.DUMMYFUNCTION("""COMPUTED_VALUE"""),70.0)</f>
        <v>70</v>
      </c>
      <c r="K1068" s="559">
        <f>IFERROR(__xludf.DUMMYFUNCTION("""COMPUTED_VALUE"""),70.0)</f>
        <v>70</v>
      </c>
      <c r="L1068" s="560">
        <f>IFERROR(__xludf.DUMMYFUNCTION("""COMPUTED_VALUE"""),50.0)</f>
        <v>50</v>
      </c>
      <c r="M1068" s="561">
        <f>IFERROR(__xludf.DUMMYFUNCTION("""COMPUTED_VALUE"""),50.0)</f>
        <v>50</v>
      </c>
      <c r="N1068" s="561">
        <f>IFERROR(__xludf.DUMMYFUNCTION("""COMPUTED_VALUE"""),63.0)</f>
        <v>63</v>
      </c>
      <c r="O1068" s="560"/>
      <c r="P1068" s="562">
        <f>IFERROR(__xludf.DUMMYFUNCTION("""COMPUTED_VALUE"""),95.0)</f>
        <v>95</v>
      </c>
      <c r="Q1068" s="562">
        <f>IFERROR(__xludf.DUMMYFUNCTION("""COMPUTED_VALUE"""),50.0)</f>
        <v>50</v>
      </c>
      <c r="R1068" s="562">
        <f>IFERROR(__xludf.DUMMYFUNCTION("""COMPUTED_VALUE"""),50.0)</f>
        <v>50</v>
      </c>
      <c r="S1068" s="562"/>
      <c r="T1068" s="217">
        <f>IFERROR(__xludf.DUMMYFUNCTION("""COMPUTED_VALUE"""),12.0)</f>
        <v>12</v>
      </c>
      <c r="U1068" s="217">
        <f>IFERROR(__xludf.DUMMYFUNCTION("""COMPUTED_VALUE"""),16.0)</f>
        <v>16</v>
      </c>
      <c r="V1068" s="217">
        <f>IFERROR(__xludf.DUMMYFUNCTION("""COMPUTED_VALUE"""),44.0)</f>
        <v>44</v>
      </c>
      <c r="W1068" s="217">
        <f>IFERROR(__xludf.DUMMYFUNCTION("""COMPUTED_VALUE"""),62.0)</f>
        <v>62</v>
      </c>
      <c r="X1068" s="217">
        <f>IFERROR(__xludf.DUMMYFUNCTION("""COMPUTED_VALUE"""),74.0)</f>
        <v>74</v>
      </c>
      <c r="Y1068" s="217"/>
      <c r="Z1068" s="217"/>
      <c r="AA1068" s="481">
        <f>IFERROR(__xludf.DUMMYFUNCTION("""COMPUTED_VALUE"""),98.0)</f>
        <v>98</v>
      </c>
      <c r="AB1068" s="481">
        <f>IFERROR(__xludf.DUMMYFUNCTION("""COMPUTED_VALUE"""),95.0)</f>
        <v>95</v>
      </c>
      <c r="AC1068" s="481">
        <f>IFERROR(__xludf.DUMMYFUNCTION("""COMPUTED_VALUE"""),73.0)</f>
        <v>73</v>
      </c>
      <c r="AD1068" s="481"/>
      <c r="AE1068" s="481">
        <f>IFERROR(__xludf.DUMMYFUNCTION("""COMPUTED_VALUE"""),38.0)</f>
        <v>38</v>
      </c>
      <c r="AF1068" s="481"/>
      <c r="AG1068" s="481"/>
      <c r="AH1068" s="481">
        <f>IFERROR(__xludf.DUMMYFUNCTION("""COMPUTED_VALUE"""),60.0)</f>
        <v>60</v>
      </c>
      <c r="AI1068" s="158"/>
      <c r="AJ1068" s="158"/>
      <c r="AK1068" s="133">
        <f>IFERROR(__xludf.DUMMYFUNCTION("""COMPUTED_VALUE"""),4.0)</f>
        <v>4</v>
      </c>
      <c r="AL1068" s="133">
        <f>IFERROR(__xludf.DUMMYFUNCTION("""COMPUTED_VALUE"""),3.0)</f>
        <v>3</v>
      </c>
      <c r="AM1068" s="133">
        <f>IFERROR(__xludf.DUMMYFUNCTION("""COMPUTED_VALUE"""),3.0)</f>
        <v>3</v>
      </c>
      <c r="AN1068" s="133" t="str">
        <f>IFERROR(__xludf.DUMMYFUNCTION("""COMPUTED_VALUE"""),"3")</f>
        <v>3</v>
      </c>
      <c r="AO1068" s="133">
        <f>IFERROR(__xludf.DUMMYFUNCTION("""COMPUTED_VALUE"""),3.0)</f>
        <v>3</v>
      </c>
      <c r="AP1068" s="155" t="s">
        <v>3736</v>
      </c>
    </row>
    <row r="1069">
      <c r="A1069" s="155">
        <f>IFERROR(__xludf.DUMMYFUNCTION("""COMPUTED_VALUE"""),176.0)</f>
        <v>176</v>
      </c>
      <c r="B1069" s="155" t="str">
        <f>IFERROR(__xludf.DUMMYFUNCTION("""COMPUTED_VALUE"""),"sjde23ece@cmrit.ac.in")</f>
        <v>sjde23ece@cmrit.ac.in</v>
      </c>
      <c r="C1069" s="174" t="str">
        <f>IFERROR(__xludf.DUMMYFUNCTION("""COMPUTED_VALUE"""),"S JAI DEEP SINGH")</f>
        <v>S JAI DEEP SINGH</v>
      </c>
      <c r="D1069" s="155" t="str">
        <f>IFERROR(__xludf.DUMMYFUNCTION("""COMPUTED_VALUE"""),"1CR23EC183")</f>
        <v>1CR23EC183</v>
      </c>
      <c r="E1069" s="563">
        <f>IFERROR(__xludf.DUMMYFUNCTION("""COMPUTED_VALUE"""),8.825564815E9)</f>
        <v>8825564815</v>
      </c>
      <c r="F1069" s="155" t="str">
        <f>IFERROR(__xludf.DUMMYFUNCTION("""COMPUTED_VALUE"""),"ECE")</f>
        <v>ECE</v>
      </c>
      <c r="G1069" s="158"/>
      <c r="H1069" s="559">
        <f>IFERROR(__xludf.DUMMYFUNCTION("""COMPUTED_VALUE"""),82.0)</f>
        <v>82</v>
      </c>
      <c r="I1069" s="559">
        <f>IFERROR(__xludf.DUMMYFUNCTION("""COMPUTED_VALUE"""),86.0)</f>
        <v>86</v>
      </c>
      <c r="J1069" s="559">
        <f>IFERROR(__xludf.DUMMYFUNCTION("""COMPUTED_VALUE"""),70.0)</f>
        <v>70</v>
      </c>
      <c r="K1069" s="559">
        <f>IFERROR(__xludf.DUMMYFUNCTION("""COMPUTED_VALUE"""),70.0)</f>
        <v>70</v>
      </c>
      <c r="L1069" s="560">
        <f>IFERROR(__xludf.DUMMYFUNCTION("""COMPUTED_VALUE"""),57.0)</f>
        <v>57</v>
      </c>
      <c r="M1069" s="561">
        <f>IFERROR(__xludf.DUMMYFUNCTION("""COMPUTED_VALUE"""),14.0)</f>
        <v>14</v>
      </c>
      <c r="N1069" s="561">
        <f>IFERROR(__xludf.DUMMYFUNCTION("""COMPUTED_VALUE"""),42.0)</f>
        <v>42</v>
      </c>
      <c r="O1069" s="560"/>
      <c r="P1069" s="562">
        <f>IFERROR(__xludf.DUMMYFUNCTION("""COMPUTED_VALUE"""),78.0)</f>
        <v>78</v>
      </c>
      <c r="Q1069" s="562">
        <f>IFERROR(__xludf.DUMMYFUNCTION("""COMPUTED_VALUE"""),53.0)</f>
        <v>53</v>
      </c>
      <c r="R1069" s="562">
        <f>IFERROR(__xludf.DUMMYFUNCTION("""COMPUTED_VALUE"""),91.0)</f>
        <v>91</v>
      </c>
      <c r="S1069" s="562"/>
      <c r="T1069" s="217">
        <f>IFERROR(__xludf.DUMMYFUNCTION("""COMPUTED_VALUE"""),13.0)</f>
        <v>13</v>
      </c>
      <c r="U1069" s="217">
        <f>IFERROR(__xludf.DUMMYFUNCTION("""COMPUTED_VALUE"""),19.0)</f>
        <v>19</v>
      </c>
      <c r="V1069" s="217">
        <f>IFERROR(__xludf.DUMMYFUNCTION("""COMPUTED_VALUE"""),48.0)</f>
        <v>48</v>
      </c>
      <c r="W1069" s="217">
        <f>IFERROR(__xludf.DUMMYFUNCTION("""COMPUTED_VALUE"""),76.0)</f>
        <v>76</v>
      </c>
      <c r="X1069" s="217">
        <f>IFERROR(__xludf.DUMMYFUNCTION("""COMPUTED_VALUE"""),68.0)</f>
        <v>68</v>
      </c>
      <c r="Y1069" s="217"/>
      <c r="Z1069" s="217"/>
      <c r="AA1069" s="481">
        <f>IFERROR(__xludf.DUMMYFUNCTION("""COMPUTED_VALUE"""),42.0)</f>
        <v>42</v>
      </c>
      <c r="AB1069" s="481">
        <f>IFERROR(__xludf.DUMMYFUNCTION("""COMPUTED_VALUE"""),83.0)</f>
        <v>83</v>
      </c>
      <c r="AC1069" s="481">
        <f>IFERROR(__xludf.DUMMYFUNCTION("""COMPUTED_VALUE"""),86.0)</f>
        <v>86</v>
      </c>
      <c r="AD1069" s="481"/>
      <c r="AE1069" s="481">
        <f>IFERROR(__xludf.DUMMYFUNCTION("""COMPUTED_VALUE"""),70.0)</f>
        <v>70</v>
      </c>
      <c r="AF1069" s="481"/>
      <c r="AG1069" s="481"/>
      <c r="AH1069" s="481">
        <f>IFERROR(__xludf.DUMMYFUNCTION("""COMPUTED_VALUE"""),29.0)</f>
        <v>29</v>
      </c>
      <c r="AI1069" s="158"/>
      <c r="AJ1069" s="158"/>
      <c r="AK1069" s="133">
        <f>IFERROR(__xludf.DUMMYFUNCTION("""COMPUTED_VALUE"""),4.0)</f>
        <v>4</v>
      </c>
      <c r="AL1069" s="133">
        <f>IFERROR(__xludf.DUMMYFUNCTION("""COMPUTED_VALUE"""),1.0)</f>
        <v>1</v>
      </c>
      <c r="AM1069" s="133">
        <f>IFERROR(__xludf.DUMMYFUNCTION("""COMPUTED_VALUE"""),3.0)</f>
        <v>3</v>
      </c>
      <c r="AN1069" s="133" t="str">
        <f>IFERROR(__xludf.DUMMYFUNCTION("""COMPUTED_VALUE"""),"3.5")</f>
        <v>3.5</v>
      </c>
      <c r="AO1069" s="133">
        <f>IFERROR(__xludf.DUMMYFUNCTION("""COMPUTED_VALUE"""),3.0)</f>
        <v>3</v>
      </c>
      <c r="AP1069" s="155" t="s">
        <v>3736</v>
      </c>
    </row>
    <row r="1070">
      <c r="A1070" s="155">
        <f>IFERROR(__xludf.DUMMYFUNCTION("""COMPUTED_VALUE"""),177.0)</f>
        <v>177</v>
      </c>
      <c r="B1070" s="155" t="str">
        <f>IFERROR(__xludf.DUMMYFUNCTION("""COMPUTED_VALUE"""),"sppu23ece@cmrit.ac.in")</f>
        <v>sppu23ece@cmrit.ac.in</v>
      </c>
      <c r="C1070" s="174" t="str">
        <f>IFERROR(__xludf.DUMMYFUNCTION("""COMPUTED_VALUE"""),"S P PUNITH")</f>
        <v>S P PUNITH</v>
      </c>
      <c r="D1070" s="155" t="str">
        <f>IFERROR(__xludf.DUMMYFUNCTION("""COMPUTED_VALUE"""),"1CR23EC184")</f>
        <v>1CR23EC184</v>
      </c>
      <c r="E1070" s="563">
        <f>IFERROR(__xludf.DUMMYFUNCTION("""COMPUTED_VALUE"""),9.845541417E9)</f>
        <v>9845541417</v>
      </c>
      <c r="F1070" s="155" t="str">
        <f>IFERROR(__xludf.DUMMYFUNCTION("""COMPUTED_VALUE"""),"ECE")</f>
        <v>ECE</v>
      </c>
      <c r="G1070" s="158"/>
      <c r="H1070" s="559">
        <f>IFERROR(__xludf.DUMMYFUNCTION("""COMPUTED_VALUE"""),77.0)</f>
        <v>77</v>
      </c>
      <c r="I1070" s="559">
        <f>IFERROR(__xludf.DUMMYFUNCTION("""COMPUTED_VALUE"""),79.0)</f>
        <v>79</v>
      </c>
      <c r="J1070" s="559">
        <f>IFERROR(__xludf.DUMMYFUNCTION("""COMPUTED_VALUE"""),36.0)</f>
        <v>36</v>
      </c>
      <c r="K1070" s="559">
        <f>IFERROR(__xludf.DUMMYFUNCTION("""COMPUTED_VALUE"""),12.0)</f>
        <v>12</v>
      </c>
      <c r="L1070" s="560">
        <f>IFERROR(__xludf.DUMMYFUNCTION("""COMPUTED_VALUE"""),59.0)</f>
        <v>59</v>
      </c>
      <c r="M1070" s="561">
        <f>IFERROR(__xludf.DUMMYFUNCTION("""COMPUTED_VALUE"""),50.0)</f>
        <v>50</v>
      </c>
      <c r="N1070" s="561">
        <f>IFERROR(__xludf.DUMMYFUNCTION("""COMPUTED_VALUE"""),50.0)</f>
        <v>50</v>
      </c>
      <c r="O1070" s="560"/>
      <c r="P1070" s="562">
        <f>IFERROR(__xludf.DUMMYFUNCTION("""COMPUTED_VALUE"""),73.0)</f>
        <v>73</v>
      </c>
      <c r="Q1070" s="562">
        <f>IFERROR(__xludf.DUMMYFUNCTION("""COMPUTED_VALUE"""),50.0)</f>
        <v>50</v>
      </c>
      <c r="R1070" s="562">
        <f>IFERROR(__xludf.DUMMYFUNCTION("""COMPUTED_VALUE"""),85.0)</f>
        <v>85</v>
      </c>
      <c r="S1070" s="562"/>
      <c r="T1070" s="217">
        <f>IFERROR(__xludf.DUMMYFUNCTION("""COMPUTED_VALUE"""),19.0)</f>
        <v>19</v>
      </c>
      <c r="U1070" s="217">
        <f>IFERROR(__xludf.DUMMYFUNCTION("""COMPUTED_VALUE"""),19.0)</f>
        <v>19</v>
      </c>
      <c r="V1070" s="217">
        <f>IFERROR(__xludf.DUMMYFUNCTION("""COMPUTED_VALUE"""),0.0)</f>
        <v>0</v>
      </c>
      <c r="W1070" s="217">
        <f>IFERROR(__xludf.DUMMYFUNCTION("""COMPUTED_VALUE"""),62.0)</f>
        <v>62</v>
      </c>
      <c r="X1070" s="217">
        <f>IFERROR(__xludf.DUMMYFUNCTION("""COMPUTED_VALUE"""),72.0)</f>
        <v>72</v>
      </c>
      <c r="Y1070" s="217"/>
      <c r="Z1070" s="217"/>
      <c r="AA1070" s="481">
        <f>IFERROR(__xludf.DUMMYFUNCTION("""COMPUTED_VALUE"""),34.0)</f>
        <v>34</v>
      </c>
      <c r="AB1070" s="481">
        <f>IFERROR(__xludf.DUMMYFUNCTION("""COMPUTED_VALUE"""),97.0)</f>
        <v>97</v>
      </c>
      <c r="AC1070" s="481">
        <f>IFERROR(__xludf.DUMMYFUNCTION("""COMPUTED_VALUE"""),70.0)</f>
        <v>70</v>
      </c>
      <c r="AD1070" s="481"/>
      <c r="AE1070" s="481">
        <f>IFERROR(__xludf.DUMMYFUNCTION("""COMPUTED_VALUE"""),87.0)</f>
        <v>87</v>
      </c>
      <c r="AF1070" s="481"/>
      <c r="AG1070" s="481">
        <f>IFERROR(__xludf.DUMMYFUNCTION("""COMPUTED_VALUE"""),70.0)</f>
        <v>70</v>
      </c>
      <c r="AH1070" s="481"/>
      <c r="AI1070" s="158"/>
      <c r="AJ1070" s="158"/>
      <c r="AK1070" s="133">
        <f>IFERROR(__xludf.DUMMYFUNCTION("""COMPUTED_VALUE"""),2.0)</f>
        <v>2</v>
      </c>
      <c r="AL1070" s="133">
        <f>IFERROR(__xludf.DUMMYFUNCTION("""COMPUTED_VALUE"""),3.0)</f>
        <v>3</v>
      </c>
      <c r="AM1070" s="133">
        <f>IFERROR(__xludf.DUMMYFUNCTION("""COMPUTED_VALUE"""),3.0)</f>
        <v>3</v>
      </c>
      <c r="AN1070" s="133" t="str">
        <f>IFERROR(__xludf.DUMMYFUNCTION("""COMPUTED_VALUE"""),"3.5")</f>
        <v>3.5</v>
      </c>
      <c r="AO1070" s="133">
        <f>IFERROR(__xludf.DUMMYFUNCTION("""COMPUTED_VALUE"""),3.0)</f>
        <v>3</v>
      </c>
      <c r="AP1070" s="155" t="s">
        <v>3736</v>
      </c>
    </row>
    <row r="1071">
      <c r="A1071" s="155">
        <f>IFERROR(__xludf.DUMMYFUNCTION("""COMPUTED_VALUE"""),178.0)</f>
        <v>178</v>
      </c>
      <c r="B1071" s="155" t="str">
        <f>IFERROR(__xludf.DUMMYFUNCTION("""COMPUTED_VALUE"""),"srar23ece@cmrit.ac.in")</f>
        <v>srar23ece@cmrit.ac.in</v>
      </c>
      <c r="C1071" s="174" t="str">
        <f>IFERROR(__xludf.DUMMYFUNCTION("""COMPUTED_VALUE"""),"S R Arun")</f>
        <v>S R Arun</v>
      </c>
      <c r="D1071" s="155" t="str">
        <f>IFERROR(__xludf.DUMMYFUNCTION("""COMPUTED_VALUE"""),"1CR23EC185")</f>
        <v>1CR23EC185</v>
      </c>
      <c r="E1071" s="563">
        <f>IFERROR(__xludf.DUMMYFUNCTION("""COMPUTED_VALUE"""),9.353719056E9)</f>
        <v>9353719056</v>
      </c>
      <c r="F1071" s="155" t="str">
        <f>IFERROR(__xludf.DUMMYFUNCTION("""COMPUTED_VALUE"""),"ECE")</f>
        <v>ECE</v>
      </c>
      <c r="G1071" s="158"/>
      <c r="H1071" s="559">
        <f>IFERROR(__xludf.DUMMYFUNCTION("""COMPUTED_VALUE"""),77.0)</f>
        <v>77</v>
      </c>
      <c r="I1071" s="559">
        <f>IFERROR(__xludf.DUMMYFUNCTION("""COMPUTED_VALUE"""),70.0)</f>
        <v>70</v>
      </c>
      <c r="J1071" s="559">
        <f>IFERROR(__xludf.DUMMYFUNCTION("""COMPUTED_VALUE"""),70.0)</f>
        <v>70</v>
      </c>
      <c r="K1071" s="559">
        <f>IFERROR(__xludf.DUMMYFUNCTION("""COMPUTED_VALUE"""),70.0)</f>
        <v>70</v>
      </c>
      <c r="L1071" s="560">
        <f>IFERROR(__xludf.DUMMYFUNCTION("""COMPUTED_VALUE"""),50.0)</f>
        <v>50</v>
      </c>
      <c r="M1071" s="561">
        <f>IFERROR(__xludf.DUMMYFUNCTION("""COMPUTED_VALUE"""),50.0)</f>
        <v>50</v>
      </c>
      <c r="N1071" s="561">
        <f>IFERROR(__xludf.DUMMYFUNCTION("""COMPUTED_VALUE"""),54.0)</f>
        <v>54</v>
      </c>
      <c r="O1071" s="560"/>
      <c r="P1071" s="562">
        <f>IFERROR(__xludf.DUMMYFUNCTION("""COMPUTED_VALUE"""),70.0)</f>
        <v>70</v>
      </c>
      <c r="Q1071" s="562">
        <f>IFERROR(__xludf.DUMMYFUNCTION("""COMPUTED_VALUE"""),50.0)</f>
        <v>50</v>
      </c>
      <c r="R1071" s="562">
        <f>IFERROR(__xludf.DUMMYFUNCTION("""COMPUTED_VALUE"""),50.0)</f>
        <v>50</v>
      </c>
      <c r="S1071" s="562"/>
      <c r="T1071" s="217">
        <f>IFERROR(__xludf.DUMMYFUNCTION("""COMPUTED_VALUE"""),18.0)</f>
        <v>18</v>
      </c>
      <c r="U1071" s="217">
        <f>IFERROR(__xludf.DUMMYFUNCTION("""COMPUTED_VALUE"""),21.0)</f>
        <v>21</v>
      </c>
      <c r="V1071" s="217">
        <f>IFERROR(__xludf.DUMMYFUNCTION("""COMPUTED_VALUE"""),38.0)</f>
        <v>38</v>
      </c>
      <c r="W1071" s="217">
        <f>IFERROR(__xludf.DUMMYFUNCTION("""COMPUTED_VALUE"""),84.0)</f>
        <v>84</v>
      </c>
      <c r="X1071" s="217">
        <f>IFERROR(__xludf.DUMMYFUNCTION("""COMPUTED_VALUE"""),76.0)</f>
        <v>76</v>
      </c>
      <c r="Y1071" s="217"/>
      <c r="Z1071" s="217"/>
      <c r="AA1071" s="481">
        <f>IFERROR(__xludf.DUMMYFUNCTION("""COMPUTED_VALUE"""),48.0)</f>
        <v>48</v>
      </c>
      <c r="AB1071" s="481">
        <f>IFERROR(__xludf.DUMMYFUNCTION("""COMPUTED_VALUE"""),60.0)</f>
        <v>60</v>
      </c>
      <c r="AC1071" s="481">
        <f>IFERROR(__xludf.DUMMYFUNCTION("""COMPUTED_VALUE"""),39.0)</f>
        <v>39</v>
      </c>
      <c r="AD1071" s="481"/>
      <c r="AE1071" s="481">
        <f>IFERROR(__xludf.DUMMYFUNCTION("""COMPUTED_VALUE"""),70.0)</f>
        <v>70</v>
      </c>
      <c r="AF1071" s="481"/>
      <c r="AG1071" s="481"/>
      <c r="AH1071" s="481">
        <f>IFERROR(__xludf.DUMMYFUNCTION("""COMPUTED_VALUE"""),23.0)</f>
        <v>23</v>
      </c>
      <c r="AI1071" s="158"/>
      <c r="AJ1071" s="158"/>
      <c r="AK1071" s="133">
        <f>IFERROR(__xludf.DUMMYFUNCTION("""COMPUTED_VALUE"""),4.0)</f>
        <v>4</v>
      </c>
      <c r="AL1071" s="133">
        <f>IFERROR(__xludf.DUMMYFUNCTION("""COMPUTED_VALUE"""),3.0)</f>
        <v>3</v>
      </c>
      <c r="AM1071" s="133">
        <f>IFERROR(__xludf.DUMMYFUNCTION("""COMPUTED_VALUE"""),3.0)</f>
        <v>3</v>
      </c>
      <c r="AN1071" s="133" t="str">
        <f>IFERROR(__xludf.DUMMYFUNCTION("""COMPUTED_VALUE"""),"2")</f>
        <v>2</v>
      </c>
      <c r="AO1071" s="133">
        <f>IFERROR(__xludf.DUMMYFUNCTION("""COMPUTED_VALUE"""),3.0)</f>
        <v>3</v>
      </c>
      <c r="AP1071" s="155" t="s">
        <v>3736</v>
      </c>
    </row>
    <row r="1072">
      <c r="A1072" s="155">
        <f>IFERROR(__xludf.DUMMYFUNCTION("""COMPUTED_VALUE"""),179.0)</f>
        <v>179</v>
      </c>
      <c r="B1072" s="155" t="str">
        <f>IFERROR(__xludf.DUMMYFUNCTION("""COMPUTED_VALUE"""),"ssva23ece@cmrit.ac.in")</f>
        <v>ssva23ece@cmrit.ac.in</v>
      </c>
      <c r="C1072" s="174" t="str">
        <f>IFERROR(__xludf.DUMMYFUNCTION("""COMPUTED_VALUE"""),"S SRI VATHSA")</f>
        <v>S SRI VATHSA</v>
      </c>
      <c r="D1072" s="155" t="str">
        <f>IFERROR(__xludf.DUMMYFUNCTION("""COMPUTED_VALUE"""),"1CR23EC186")</f>
        <v>1CR23EC186</v>
      </c>
      <c r="E1072" s="563">
        <f>IFERROR(__xludf.DUMMYFUNCTION("""COMPUTED_VALUE"""),6.361164252E9)</f>
        <v>6361164252</v>
      </c>
      <c r="F1072" s="155" t="str">
        <f>IFERROR(__xludf.DUMMYFUNCTION("""COMPUTED_VALUE"""),"ECE")</f>
        <v>ECE</v>
      </c>
      <c r="G1072" s="158"/>
      <c r="H1072" s="559">
        <f>IFERROR(__xludf.DUMMYFUNCTION("""COMPUTED_VALUE"""),74.0)</f>
        <v>74</v>
      </c>
      <c r="I1072" s="559">
        <f>IFERROR(__xludf.DUMMYFUNCTION("""COMPUTED_VALUE"""),83.0)</f>
        <v>83</v>
      </c>
      <c r="J1072" s="559">
        <f>IFERROR(__xludf.DUMMYFUNCTION("""COMPUTED_VALUE"""),70.0)</f>
        <v>70</v>
      </c>
      <c r="K1072" s="559">
        <f>IFERROR(__xludf.DUMMYFUNCTION("""COMPUTED_VALUE"""),70.0)</f>
        <v>70</v>
      </c>
      <c r="L1072" s="560">
        <f>IFERROR(__xludf.DUMMYFUNCTION("""COMPUTED_VALUE"""),50.0)</f>
        <v>50</v>
      </c>
      <c r="M1072" s="561">
        <f>IFERROR(__xludf.DUMMYFUNCTION("""COMPUTED_VALUE"""),50.0)</f>
        <v>50</v>
      </c>
      <c r="N1072" s="561">
        <f>IFERROR(__xludf.DUMMYFUNCTION("""COMPUTED_VALUE"""),54.0)</f>
        <v>54</v>
      </c>
      <c r="O1072" s="560"/>
      <c r="P1072" s="562">
        <f>IFERROR(__xludf.DUMMYFUNCTION("""COMPUTED_VALUE"""),73.0)</f>
        <v>73</v>
      </c>
      <c r="Q1072" s="562">
        <f>IFERROR(__xludf.DUMMYFUNCTION("""COMPUTED_VALUE"""),72.0)</f>
        <v>72</v>
      </c>
      <c r="R1072" s="562">
        <f>IFERROR(__xludf.DUMMYFUNCTION("""COMPUTED_VALUE"""),87.0)</f>
        <v>87</v>
      </c>
      <c r="S1072" s="562"/>
      <c r="T1072" s="217">
        <f>IFERROR(__xludf.DUMMYFUNCTION("""COMPUTED_VALUE"""),10.0)</f>
        <v>10</v>
      </c>
      <c r="U1072" s="217">
        <f>IFERROR(__xludf.DUMMYFUNCTION("""COMPUTED_VALUE"""),13.0)</f>
        <v>13</v>
      </c>
      <c r="V1072" s="217">
        <f>IFERROR(__xludf.DUMMYFUNCTION("""COMPUTED_VALUE"""),44.0)</f>
        <v>44</v>
      </c>
      <c r="W1072" s="217">
        <f>IFERROR(__xludf.DUMMYFUNCTION("""COMPUTED_VALUE"""),78.0)</f>
        <v>78</v>
      </c>
      <c r="X1072" s="217">
        <f>IFERROR(__xludf.DUMMYFUNCTION("""COMPUTED_VALUE"""),62.0)</f>
        <v>62</v>
      </c>
      <c r="Y1072" s="217"/>
      <c r="Z1072" s="217"/>
      <c r="AA1072" s="481">
        <f>IFERROR(__xludf.DUMMYFUNCTION("""COMPUTED_VALUE"""),84.0)</f>
        <v>84</v>
      </c>
      <c r="AB1072" s="481">
        <f>IFERROR(__xludf.DUMMYFUNCTION("""COMPUTED_VALUE"""),88.0)</f>
        <v>88</v>
      </c>
      <c r="AC1072" s="481">
        <f>IFERROR(__xludf.DUMMYFUNCTION("""COMPUTED_VALUE"""),70.0)</f>
        <v>70</v>
      </c>
      <c r="AD1072" s="481"/>
      <c r="AE1072" s="481">
        <f>IFERROR(__xludf.DUMMYFUNCTION("""COMPUTED_VALUE"""),76.0)</f>
        <v>76</v>
      </c>
      <c r="AF1072" s="481"/>
      <c r="AG1072" s="481">
        <f>IFERROR(__xludf.DUMMYFUNCTION("""COMPUTED_VALUE"""),71.0)</f>
        <v>71</v>
      </c>
      <c r="AH1072" s="481"/>
      <c r="AI1072" s="158"/>
      <c r="AJ1072" s="158"/>
      <c r="AK1072" s="133">
        <f>IFERROR(__xludf.DUMMYFUNCTION("""COMPUTED_VALUE"""),4.0)</f>
        <v>4</v>
      </c>
      <c r="AL1072" s="133">
        <f>IFERROR(__xludf.DUMMYFUNCTION("""COMPUTED_VALUE"""),3.0)</f>
        <v>3</v>
      </c>
      <c r="AM1072" s="133">
        <f>IFERROR(__xludf.DUMMYFUNCTION("""COMPUTED_VALUE"""),3.0)</f>
        <v>3</v>
      </c>
      <c r="AN1072" s="133" t="str">
        <f>IFERROR(__xludf.DUMMYFUNCTION("""COMPUTED_VALUE"""),"3.5")</f>
        <v>3.5</v>
      </c>
      <c r="AO1072" s="133">
        <f>IFERROR(__xludf.DUMMYFUNCTION("""COMPUTED_VALUE"""),3.0)</f>
        <v>3</v>
      </c>
      <c r="AP1072" s="155" t="s">
        <v>3736</v>
      </c>
    </row>
    <row r="1073">
      <c r="A1073" s="155">
        <f>IFERROR(__xludf.DUMMYFUNCTION("""COMPUTED_VALUE"""),180.0)</f>
        <v>180</v>
      </c>
      <c r="B1073" s="155" t="str">
        <f>IFERROR(__xludf.DUMMYFUNCTION("""COMPUTED_VALUE"""),"saba23ece@cmrit.ac.in")</f>
        <v>saba23ece@cmrit.ac.in</v>
      </c>
      <c r="C1073" s="174" t="str">
        <f>IFERROR(__xludf.DUMMYFUNCTION("""COMPUTED_VALUE"""),"SAHIL S BAJANTRI")</f>
        <v>SAHIL S BAJANTRI</v>
      </c>
      <c r="D1073" s="155" t="str">
        <f>IFERROR(__xludf.DUMMYFUNCTION("""COMPUTED_VALUE"""),"1CR23EC187")</f>
        <v>1CR23EC187</v>
      </c>
      <c r="E1073" s="563">
        <f>IFERROR(__xludf.DUMMYFUNCTION("""COMPUTED_VALUE"""),6.360726352E9)</f>
        <v>6360726352</v>
      </c>
      <c r="F1073" s="155" t="str">
        <f>IFERROR(__xludf.DUMMYFUNCTION("""COMPUTED_VALUE"""),"ECE")</f>
        <v>ECE</v>
      </c>
      <c r="G1073" s="158"/>
      <c r="H1073" s="559">
        <f>IFERROR(__xludf.DUMMYFUNCTION("""COMPUTED_VALUE"""),82.0)</f>
        <v>82</v>
      </c>
      <c r="I1073" s="559">
        <f>IFERROR(__xludf.DUMMYFUNCTION("""COMPUTED_VALUE"""),78.0)</f>
        <v>78</v>
      </c>
      <c r="J1073" s="559">
        <f>IFERROR(__xludf.DUMMYFUNCTION("""COMPUTED_VALUE"""),43.0)</f>
        <v>43</v>
      </c>
      <c r="K1073" s="559">
        <f>IFERROR(__xludf.DUMMYFUNCTION("""COMPUTED_VALUE"""),48.0)</f>
        <v>48</v>
      </c>
      <c r="L1073" s="560">
        <f>IFERROR(__xludf.DUMMYFUNCTION("""COMPUTED_VALUE"""),52.0)</f>
        <v>52</v>
      </c>
      <c r="M1073" s="561">
        <f>IFERROR(__xludf.DUMMYFUNCTION("""COMPUTED_VALUE"""),8.0)</f>
        <v>8</v>
      </c>
      <c r="N1073" s="561">
        <f>IFERROR(__xludf.DUMMYFUNCTION("""COMPUTED_VALUE"""),0.0)</f>
        <v>0</v>
      </c>
      <c r="O1073" s="560"/>
      <c r="P1073" s="562">
        <f>IFERROR(__xludf.DUMMYFUNCTION("""COMPUTED_VALUE"""),0.0)</f>
        <v>0</v>
      </c>
      <c r="Q1073" s="562">
        <f>IFERROR(__xludf.DUMMYFUNCTION("""COMPUTED_VALUE"""),0.0)</f>
        <v>0</v>
      </c>
      <c r="R1073" s="562">
        <f>IFERROR(__xludf.DUMMYFUNCTION("""COMPUTED_VALUE"""),0.0)</f>
        <v>0</v>
      </c>
      <c r="S1073" s="562"/>
      <c r="T1073" s="217">
        <f>IFERROR(__xludf.DUMMYFUNCTION("""COMPUTED_VALUE"""),11.0)</f>
        <v>11</v>
      </c>
      <c r="U1073" s="217">
        <f>IFERROR(__xludf.DUMMYFUNCTION("""COMPUTED_VALUE"""),15.0)</f>
        <v>15</v>
      </c>
      <c r="V1073" s="217">
        <f>IFERROR(__xludf.DUMMYFUNCTION("""COMPUTED_VALUE"""),48.0)</f>
        <v>48</v>
      </c>
      <c r="W1073" s="217">
        <f>IFERROR(__xludf.DUMMYFUNCTION("""COMPUTED_VALUE"""),66.0)</f>
        <v>66</v>
      </c>
      <c r="X1073" s="217">
        <f>IFERROR(__xludf.DUMMYFUNCTION("""COMPUTED_VALUE"""),74.0)</f>
        <v>74</v>
      </c>
      <c r="Y1073" s="217"/>
      <c r="Z1073" s="217"/>
      <c r="AA1073" s="481">
        <f>IFERROR(__xludf.DUMMYFUNCTION("""COMPUTED_VALUE"""),3.8)</f>
        <v>3.8</v>
      </c>
      <c r="AB1073" s="481">
        <f>IFERROR(__xludf.DUMMYFUNCTION("""COMPUTED_VALUE"""),65.0)</f>
        <v>65</v>
      </c>
      <c r="AC1073" s="481">
        <f>IFERROR(__xludf.DUMMYFUNCTION("""COMPUTED_VALUE"""),0.0)</f>
        <v>0</v>
      </c>
      <c r="AD1073" s="481"/>
      <c r="AE1073" s="481">
        <f>IFERROR(__xludf.DUMMYFUNCTION("""COMPUTED_VALUE"""),29.0)</f>
        <v>29</v>
      </c>
      <c r="AF1073" s="481"/>
      <c r="AG1073" s="481"/>
      <c r="AH1073" s="481"/>
      <c r="AI1073" s="158"/>
      <c r="AJ1073" s="158"/>
      <c r="AK1073" s="133">
        <f>IFERROR(__xludf.DUMMYFUNCTION("""COMPUTED_VALUE"""),2.0)</f>
        <v>2</v>
      </c>
      <c r="AL1073" s="133">
        <f>IFERROR(__xludf.DUMMYFUNCTION("""COMPUTED_VALUE"""),1.0)</f>
        <v>1</v>
      </c>
      <c r="AM1073" s="133">
        <f>IFERROR(__xludf.DUMMYFUNCTION("""COMPUTED_VALUE"""),3.0)</f>
        <v>3</v>
      </c>
      <c r="AN1073" s="133" t="str">
        <f>IFERROR(__xludf.DUMMYFUNCTION("""COMPUTED_VALUE"""),"2")</f>
        <v>2</v>
      </c>
      <c r="AO1073" s="133">
        <f>IFERROR(__xludf.DUMMYFUNCTION("""COMPUTED_VALUE"""),0.0)</f>
        <v>0</v>
      </c>
      <c r="AP1073" s="155" t="s">
        <v>3736</v>
      </c>
    </row>
    <row r="1074">
      <c r="A1074" s="155">
        <f>IFERROR(__xludf.DUMMYFUNCTION("""COMPUTED_VALUE"""),181.0)</f>
        <v>181</v>
      </c>
      <c r="B1074" s="155" t="str">
        <f>IFERROR(__xludf.DUMMYFUNCTION("""COMPUTED_VALUE"""),"sash23ece@cmrit.ac.in")</f>
        <v>sash23ece@cmrit.ac.in</v>
      </c>
      <c r="C1074" s="174" t="str">
        <f>IFERROR(__xludf.DUMMYFUNCTION("""COMPUTED_VALUE"""),"Sai shree S Reddy")</f>
        <v>Sai shree S Reddy</v>
      </c>
      <c r="D1074" s="155" t="str">
        <f>IFERROR(__xludf.DUMMYFUNCTION("""COMPUTED_VALUE"""),"1CR23EC188")</f>
        <v>1CR23EC188</v>
      </c>
      <c r="E1074" s="563">
        <f>IFERROR(__xludf.DUMMYFUNCTION("""COMPUTED_VALUE"""),6.363864115E9)</f>
        <v>6363864115</v>
      </c>
      <c r="F1074" s="155" t="str">
        <f>IFERROR(__xludf.DUMMYFUNCTION("""COMPUTED_VALUE"""),"ECE")</f>
        <v>ECE</v>
      </c>
      <c r="G1074" s="158"/>
      <c r="H1074" s="559">
        <f>IFERROR(__xludf.DUMMYFUNCTION("""COMPUTED_VALUE"""),86.0)</f>
        <v>86</v>
      </c>
      <c r="I1074" s="559">
        <f>IFERROR(__xludf.DUMMYFUNCTION("""COMPUTED_VALUE"""),89.0)</f>
        <v>89</v>
      </c>
      <c r="J1074" s="559">
        <f>IFERROR(__xludf.DUMMYFUNCTION("""COMPUTED_VALUE"""),70.0)</f>
        <v>70</v>
      </c>
      <c r="K1074" s="559">
        <f>IFERROR(__xludf.DUMMYFUNCTION("""COMPUTED_VALUE"""),70.0)</f>
        <v>70</v>
      </c>
      <c r="L1074" s="560">
        <f>IFERROR(__xludf.DUMMYFUNCTION("""COMPUTED_VALUE"""),50.0)</f>
        <v>50</v>
      </c>
      <c r="M1074" s="561">
        <f>IFERROR(__xludf.DUMMYFUNCTION("""COMPUTED_VALUE"""),50.0)</f>
        <v>50</v>
      </c>
      <c r="N1074" s="561">
        <f>IFERROR(__xludf.DUMMYFUNCTION("""COMPUTED_VALUE"""),53.0)</f>
        <v>53</v>
      </c>
      <c r="O1074" s="560"/>
      <c r="P1074" s="562">
        <f>IFERROR(__xludf.DUMMYFUNCTION("""COMPUTED_VALUE"""),77.0)</f>
        <v>77</v>
      </c>
      <c r="Q1074" s="562">
        <f>IFERROR(__xludf.DUMMYFUNCTION("""COMPUTED_VALUE"""),72.0)</f>
        <v>72</v>
      </c>
      <c r="R1074" s="562">
        <f>IFERROR(__xludf.DUMMYFUNCTION("""COMPUTED_VALUE"""),89.0)</f>
        <v>89</v>
      </c>
      <c r="S1074" s="562"/>
      <c r="T1074" s="217">
        <f>IFERROR(__xludf.DUMMYFUNCTION("""COMPUTED_VALUE"""),15.0)</f>
        <v>15</v>
      </c>
      <c r="U1074" s="217">
        <f>IFERROR(__xludf.DUMMYFUNCTION("""COMPUTED_VALUE"""),18.0)</f>
        <v>18</v>
      </c>
      <c r="V1074" s="217">
        <f>IFERROR(__xludf.DUMMYFUNCTION("""COMPUTED_VALUE"""),64.0)</f>
        <v>64</v>
      </c>
      <c r="W1074" s="217">
        <f>IFERROR(__xludf.DUMMYFUNCTION("""COMPUTED_VALUE"""),86.0)</f>
        <v>86</v>
      </c>
      <c r="X1074" s="217">
        <f>IFERROR(__xludf.DUMMYFUNCTION("""COMPUTED_VALUE"""),66.0)</f>
        <v>66</v>
      </c>
      <c r="Y1074" s="217"/>
      <c r="Z1074" s="217"/>
      <c r="AA1074" s="481">
        <f>IFERROR(__xludf.DUMMYFUNCTION("""COMPUTED_VALUE"""),70.0)</f>
        <v>70</v>
      </c>
      <c r="AB1074" s="481">
        <f>IFERROR(__xludf.DUMMYFUNCTION("""COMPUTED_VALUE"""),90.0)</f>
        <v>90</v>
      </c>
      <c r="AC1074" s="481">
        <f>IFERROR(__xludf.DUMMYFUNCTION("""COMPUTED_VALUE"""),86.0)</f>
        <v>86</v>
      </c>
      <c r="AD1074" s="481"/>
      <c r="AE1074" s="481">
        <f>IFERROR(__xludf.DUMMYFUNCTION("""COMPUTED_VALUE"""),82.0)</f>
        <v>82</v>
      </c>
      <c r="AF1074" s="481"/>
      <c r="AG1074" s="481">
        <f>IFERROR(__xludf.DUMMYFUNCTION("""COMPUTED_VALUE"""),92.0)</f>
        <v>92</v>
      </c>
      <c r="AH1074" s="481"/>
      <c r="AI1074" s="158"/>
      <c r="AJ1074" s="158"/>
      <c r="AK1074" s="133">
        <f>IFERROR(__xludf.DUMMYFUNCTION("""COMPUTED_VALUE"""),4.0)</f>
        <v>4</v>
      </c>
      <c r="AL1074" s="133">
        <f>IFERROR(__xludf.DUMMYFUNCTION("""COMPUTED_VALUE"""),3.0)</f>
        <v>3</v>
      </c>
      <c r="AM1074" s="133">
        <f>IFERROR(__xludf.DUMMYFUNCTION("""COMPUTED_VALUE"""),3.0)</f>
        <v>3</v>
      </c>
      <c r="AN1074" s="133" t="str">
        <f>IFERROR(__xludf.DUMMYFUNCTION("""COMPUTED_VALUE"""),"3.5")</f>
        <v>3.5</v>
      </c>
      <c r="AO1074" s="133">
        <f>IFERROR(__xludf.DUMMYFUNCTION("""COMPUTED_VALUE"""),3.0)</f>
        <v>3</v>
      </c>
      <c r="AP1074" s="155" t="s">
        <v>3736</v>
      </c>
    </row>
    <row r="1075">
      <c r="A1075" s="155">
        <f>IFERROR(__xludf.DUMMYFUNCTION("""COMPUTED_VALUE"""),182.0)</f>
        <v>182</v>
      </c>
      <c r="B1075" s="155" t="str">
        <f>IFERROR(__xludf.DUMMYFUNCTION("""COMPUTED_VALUE"""),"sare23ece@cmrit.ac.in")</f>
        <v>sare23ece@cmrit.ac.in</v>
      </c>
      <c r="C1075" s="174" t="str">
        <f>IFERROR(__xludf.DUMMYFUNCTION("""COMPUTED_VALUE"""),"SAI TEJA REDDY C ")</f>
        <v>SAI TEJA REDDY C </v>
      </c>
      <c r="D1075" s="155" t="str">
        <f>IFERROR(__xludf.DUMMYFUNCTION("""COMPUTED_VALUE"""),"1CR23EC189")</f>
        <v>1CR23EC189</v>
      </c>
      <c r="E1075" s="563">
        <f>IFERROR(__xludf.DUMMYFUNCTION("""COMPUTED_VALUE"""),9.731663668E9)</f>
        <v>9731663668</v>
      </c>
      <c r="F1075" s="155" t="str">
        <f>IFERROR(__xludf.DUMMYFUNCTION("""COMPUTED_VALUE"""),"ECE")</f>
        <v>ECE</v>
      </c>
      <c r="G1075" s="158"/>
      <c r="H1075" s="559">
        <f>IFERROR(__xludf.DUMMYFUNCTION("""COMPUTED_VALUE"""),73.0)</f>
        <v>73</v>
      </c>
      <c r="I1075" s="559">
        <f>IFERROR(__xludf.DUMMYFUNCTION("""COMPUTED_VALUE"""),70.0)</f>
        <v>70</v>
      </c>
      <c r="J1075" s="559">
        <f>IFERROR(__xludf.DUMMYFUNCTION("""COMPUTED_VALUE"""),70.0)</f>
        <v>70</v>
      </c>
      <c r="K1075" s="559">
        <f>IFERROR(__xludf.DUMMYFUNCTION("""COMPUTED_VALUE"""),70.0)</f>
        <v>70</v>
      </c>
      <c r="L1075" s="560">
        <f>IFERROR(__xludf.DUMMYFUNCTION("""COMPUTED_VALUE"""),62.0)</f>
        <v>62</v>
      </c>
      <c r="M1075" s="561">
        <f>IFERROR(__xludf.DUMMYFUNCTION("""COMPUTED_VALUE"""),50.0)</f>
        <v>50</v>
      </c>
      <c r="N1075" s="561">
        <f>IFERROR(__xludf.DUMMYFUNCTION("""COMPUTED_VALUE"""),64.0)</f>
        <v>64</v>
      </c>
      <c r="O1075" s="560"/>
      <c r="P1075" s="562">
        <f>IFERROR(__xludf.DUMMYFUNCTION("""COMPUTED_VALUE"""),50.0)</f>
        <v>50</v>
      </c>
      <c r="Q1075" s="562">
        <f>IFERROR(__xludf.DUMMYFUNCTION("""COMPUTED_VALUE"""),50.0)</f>
        <v>50</v>
      </c>
      <c r="R1075" s="562">
        <f>IFERROR(__xludf.DUMMYFUNCTION("""COMPUTED_VALUE"""),84.0)</f>
        <v>84</v>
      </c>
      <c r="S1075" s="562"/>
      <c r="T1075" s="217">
        <f>IFERROR(__xludf.DUMMYFUNCTION("""COMPUTED_VALUE"""),18.0)</f>
        <v>18</v>
      </c>
      <c r="U1075" s="217">
        <f>IFERROR(__xludf.DUMMYFUNCTION("""COMPUTED_VALUE"""),20.0)</f>
        <v>20</v>
      </c>
      <c r="V1075" s="217">
        <f>IFERROR(__xludf.DUMMYFUNCTION("""COMPUTED_VALUE"""),48.0)</f>
        <v>48</v>
      </c>
      <c r="W1075" s="217">
        <f>IFERROR(__xludf.DUMMYFUNCTION("""COMPUTED_VALUE"""),86.0)</f>
        <v>86</v>
      </c>
      <c r="X1075" s="217">
        <f>IFERROR(__xludf.DUMMYFUNCTION("""COMPUTED_VALUE"""),76.0)</f>
        <v>76</v>
      </c>
      <c r="Y1075" s="217"/>
      <c r="Z1075" s="217"/>
      <c r="AA1075" s="481">
        <f>IFERROR(__xludf.DUMMYFUNCTION("""COMPUTED_VALUE"""),60.0)</f>
        <v>60</v>
      </c>
      <c r="AB1075" s="481">
        <f>IFERROR(__xludf.DUMMYFUNCTION("""COMPUTED_VALUE"""),81.0)</f>
        <v>81</v>
      </c>
      <c r="AC1075" s="481">
        <f>IFERROR(__xludf.DUMMYFUNCTION("""COMPUTED_VALUE"""),80.0)</f>
        <v>80</v>
      </c>
      <c r="AD1075" s="481"/>
      <c r="AE1075" s="481">
        <f>IFERROR(__xludf.DUMMYFUNCTION("""COMPUTED_VALUE"""),29.0)</f>
        <v>29</v>
      </c>
      <c r="AF1075" s="481"/>
      <c r="AG1075" s="481"/>
      <c r="AH1075" s="481"/>
      <c r="AI1075" s="158"/>
      <c r="AJ1075" s="158"/>
      <c r="AK1075" s="133">
        <f>IFERROR(__xludf.DUMMYFUNCTION("""COMPUTED_VALUE"""),4.0)</f>
        <v>4</v>
      </c>
      <c r="AL1075" s="133">
        <f>IFERROR(__xludf.DUMMYFUNCTION("""COMPUTED_VALUE"""),3.0)</f>
        <v>3</v>
      </c>
      <c r="AM1075" s="133">
        <f>IFERROR(__xludf.DUMMYFUNCTION("""COMPUTED_VALUE"""),3.0)</f>
        <v>3</v>
      </c>
      <c r="AN1075" s="133" t="str">
        <f>IFERROR(__xludf.DUMMYFUNCTION("""COMPUTED_VALUE"""),"3")</f>
        <v>3</v>
      </c>
      <c r="AO1075" s="133">
        <f>IFERROR(__xludf.DUMMYFUNCTION("""COMPUTED_VALUE"""),3.0)</f>
        <v>3</v>
      </c>
      <c r="AP1075" s="155" t="s">
        <v>3736</v>
      </c>
    </row>
    <row r="1076">
      <c r="A1076" s="155">
        <f>IFERROR(__xludf.DUMMYFUNCTION("""COMPUTED_VALUE"""),183.0)</f>
        <v>183</v>
      </c>
      <c r="B1076" s="155" t="str">
        <f>IFERROR(__xludf.DUMMYFUNCTION("""COMPUTED_VALUE"""),"sate23ece@cmrit.ac.in")</f>
        <v>sate23ece@cmrit.ac.in</v>
      </c>
      <c r="C1076" s="174" t="str">
        <f>IFERROR(__xludf.DUMMYFUNCTION("""COMPUTED_VALUE"""),"SAI TEJASWI P")</f>
        <v>SAI TEJASWI P</v>
      </c>
      <c r="D1076" s="155" t="str">
        <f>IFERROR(__xludf.DUMMYFUNCTION("""COMPUTED_VALUE"""),"1CR23EC190")</f>
        <v>1CR23EC190</v>
      </c>
      <c r="E1076" s="563">
        <f>IFERROR(__xludf.DUMMYFUNCTION("""COMPUTED_VALUE"""),8.095187662E9)</f>
        <v>8095187662</v>
      </c>
      <c r="F1076" s="155" t="str">
        <f>IFERROR(__xludf.DUMMYFUNCTION("""COMPUTED_VALUE"""),"ECE")</f>
        <v>ECE</v>
      </c>
      <c r="G1076" s="158"/>
      <c r="H1076" s="559">
        <f>IFERROR(__xludf.DUMMYFUNCTION("""COMPUTED_VALUE"""),86.0)</f>
        <v>86</v>
      </c>
      <c r="I1076" s="559">
        <f>IFERROR(__xludf.DUMMYFUNCTION("""COMPUTED_VALUE"""),86.0)</f>
        <v>86</v>
      </c>
      <c r="J1076" s="559">
        <f>IFERROR(__xludf.DUMMYFUNCTION("""COMPUTED_VALUE"""),70.0)</f>
        <v>70</v>
      </c>
      <c r="K1076" s="559">
        <f>IFERROR(__xludf.DUMMYFUNCTION("""COMPUTED_VALUE"""),70.0)</f>
        <v>70</v>
      </c>
      <c r="L1076" s="560">
        <f>IFERROR(__xludf.DUMMYFUNCTION("""COMPUTED_VALUE"""),50.0)</f>
        <v>50</v>
      </c>
      <c r="M1076" s="561">
        <f>IFERROR(__xludf.DUMMYFUNCTION("""COMPUTED_VALUE"""),4.0)</f>
        <v>4</v>
      </c>
      <c r="N1076" s="561">
        <f>IFERROR(__xludf.DUMMYFUNCTION("""COMPUTED_VALUE"""),50.0)</f>
        <v>50</v>
      </c>
      <c r="O1076" s="560"/>
      <c r="P1076" s="562">
        <f>IFERROR(__xludf.DUMMYFUNCTION("""COMPUTED_VALUE"""),75.0)</f>
        <v>75</v>
      </c>
      <c r="Q1076" s="562">
        <f>IFERROR(__xludf.DUMMYFUNCTION("""COMPUTED_VALUE"""),50.0)</f>
        <v>50</v>
      </c>
      <c r="R1076" s="562">
        <f>IFERROR(__xludf.DUMMYFUNCTION("""COMPUTED_VALUE"""),87.0)</f>
        <v>87</v>
      </c>
      <c r="S1076" s="562"/>
      <c r="T1076" s="217">
        <f>IFERROR(__xludf.DUMMYFUNCTION("""COMPUTED_VALUE"""),17.0)</f>
        <v>17</v>
      </c>
      <c r="U1076" s="217">
        <f>IFERROR(__xludf.DUMMYFUNCTION("""COMPUTED_VALUE"""),17.0)</f>
        <v>17</v>
      </c>
      <c r="V1076" s="217">
        <f>IFERROR(__xludf.DUMMYFUNCTION("""COMPUTED_VALUE"""),40.0)</f>
        <v>40</v>
      </c>
      <c r="W1076" s="217">
        <f>IFERROR(__xludf.DUMMYFUNCTION("""COMPUTED_VALUE"""),74.0)</f>
        <v>74</v>
      </c>
      <c r="X1076" s="217">
        <f>IFERROR(__xludf.DUMMYFUNCTION("""COMPUTED_VALUE"""),76.0)</f>
        <v>76</v>
      </c>
      <c r="Y1076" s="217"/>
      <c r="Z1076" s="217"/>
      <c r="AA1076" s="481">
        <f>IFERROR(__xludf.DUMMYFUNCTION("""COMPUTED_VALUE"""),54.0)</f>
        <v>54</v>
      </c>
      <c r="AB1076" s="481">
        <f>IFERROR(__xludf.DUMMYFUNCTION("""COMPUTED_VALUE"""),84.0)</f>
        <v>84</v>
      </c>
      <c r="AC1076" s="481">
        <f>IFERROR(__xludf.DUMMYFUNCTION("""COMPUTED_VALUE"""),12.0)</f>
        <v>12</v>
      </c>
      <c r="AD1076" s="481"/>
      <c r="AE1076" s="481">
        <f>IFERROR(__xludf.DUMMYFUNCTION("""COMPUTED_VALUE"""),10.0)</f>
        <v>10</v>
      </c>
      <c r="AF1076" s="481"/>
      <c r="AG1076" s="481"/>
      <c r="AH1076" s="481">
        <f>IFERROR(__xludf.DUMMYFUNCTION("""COMPUTED_VALUE"""),0.0)</f>
        <v>0</v>
      </c>
      <c r="AI1076" s="158"/>
      <c r="AJ1076" s="158"/>
      <c r="AK1076" s="133">
        <f>IFERROR(__xludf.DUMMYFUNCTION("""COMPUTED_VALUE"""),4.0)</f>
        <v>4</v>
      </c>
      <c r="AL1076" s="133">
        <f>IFERROR(__xludf.DUMMYFUNCTION("""COMPUTED_VALUE"""),1.0)</f>
        <v>1</v>
      </c>
      <c r="AM1076" s="133">
        <f>IFERROR(__xludf.DUMMYFUNCTION("""COMPUTED_VALUE"""),3.0)</f>
        <v>3</v>
      </c>
      <c r="AN1076" s="133" t="str">
        <f>IFERROR(__xludf.DUMMYFUNCTION("""COMPUTED_VALUE"""),"2")</f>
        <v>2</v>
      </c>
      <c r="AO1076" s="133">
        <f>IFERROR(__xludf.DUMMYFUNCTION("""COMPUTED_VALUE"""),3.0)</f>
        <v>3</v>
      </c>
      <c r="AP1076" s="155" t="s">
        <v>3736</v>
      </c>
    </row>
    <row r="1077">
      <c r="A1077" s="155">
        <f>IFERROR(__xludf.DUMMYFUNCTION("""COMPUTED_VALUE"""),184.0)</f>
        <v>184</v>
      </c>
      <c r="B1077" s="155" t="str">
        <f>IFERROR(__xludf.DUMMYFUNCTION("""COMPUTED_VALUE"""),"sasa23ece@cmrit.ac.in")</f>
        <v>sasa23ece@cmrit.ac.in</v>
      </c>
      <c r="C1077" s="174" t="str">
        <f>IFERROR(__xludf.DUMMYFUNCTION("""COMPUTED_VALUE"""),"Samarth Santosh ")</f>
        <v>Samarth Santosh </v>
      </c>
      <c r="D1077" s="155" t="str">
        <f>IFERROR(__xludf.DUMMYFUNCTION("""COMPUTED_VALUE"""),"1CR23EC192")</f>
        <v>1CR23EC192</v>
      </c>
      <c r="E1077" s="563">
        <f>IFERROR(__xludf.DUMMYFUNCTION("""COMPUTED_VALUE"""),9.448609368E9)</f>
        <v>9448609368</v>
      </c>
      <c r="F1077" s="155" t="str">
        <f>IFERROR(__xludf.DUMMYFUNCTION("""COMPUTED_VALUE"""),"ECE")</f>
        <v>ECE</v>
      </c>
      <c r="G1077" s="158"/>
      <c r="H1077" s="559">
        <f>IFERROR(__xludf.DUMMYFUNCTION("""COMPUTED_VALUE"""),80.0)</f>
        <v>80</v>
      </c>
      <c r="I1077" s="559">
        <f>IFERROR(__xludf.DUMMYFUNCTION("""COMPUTED_VALUE"""),90.0)</f>
        <v>90</v>
      </c>
      <c r="J1077" s="559">
        <f>IFERROR(__xludf.DUMMYFUNCTION("""COMPUTED_VALUE"""),70.0)</f>
        <v>70</v>
      </c>
      <c r="K1077" s="559">
        <f>IFERROR(__xludf.DUMMYFUNCTION("""COMPUTED_VALUE"""),70.0)</f>
        <v>70</v>
      </c>
      <c r="L1077" s="560">
        <f>IFERROR(__xludf.DUMMYFUNCTION("""COMPUTED_VALUE"""),50.0)</f>
        <v>50</v>
      </c>
      <c r="M1077" s="561">
        <f>IFERROR(__xludf.DUMMYFUNCTION("""COMPUTED_VALUE"""),50.0)</f>
        <v>50</v>
      </c>
      <c r="N1077" s="561">
        <f>IFERROR(__xludf.DUMMYFUNCTION("""COMPUTED_VALUE"""),51.0)</f>
        <v>51</v>
      </c>
      <c r="O1077" s="560"/>
      <c r="P1077" s="562">
        <f>IFERROR(__xludf.DUMMYFUNCTION("""COMPUTED_VALUE"""),77.0)</f>
        <v>77</v>
      </c>
      <c r="Q1077" s="562">
        <f>IFERROR(__xludf.DUMMYFUNCTION("""COMPUTED_VALUE"""),56.0)</f>
        <v>56</v>
      </c>
      <c r="R1077" s="562">
        <f>IFERROR(__xludf.DUMMYFUNCTION("""COMPUTED_VALUE"""),50.0)</f>
        <v>50</v>
      </c>
      <c r="S1077" s="562"/>
      <c r="T1077" s="217">
        <f>IFERROR(__xludf.DUMMYFUNCTION("""COMPUTED_VALUE"""),16.0)</f>
        <v>16</v>
      </c>
      <c r="U1077" s="217">
        <f>IFERROR(__xludf.DUMMYFUNCTION("""COMPUTED_VALUE"""),15.0)</f>
        <v>15</v>
      </c>
      <c r="V1077" s="217">
        <f>IFERROR(__xludf.DUMMYFUNCTION("""COMPUTED_VALUE"""),52.0)</f>
        <v>52</v>
      </c>
      <c r="W1077" s="217">
        <f>IFERROR(__xludf.DUMMYFUNCTION("""COMPUTED_VALUE"""),84.0)</f>
        <v>84</v>
      </c>
      <c r="X1077" s="217">
        <f>IFERROR(__xludf.DUMMYFUNCTION("""COMPUTED_VALUE"""),80.0)</f>
        <v>80</v>
      </c>
      <c r="Y1077" s="217"/>
      <c r="Z1077" s="217"/>
      <c r="AA1077" s="481">
        <f>IFERROR(__xludf.DUMMYFUNCTION("""COMPUTED_VALUE"""),98.0)</f>
        <v>98</v>
      </c>
      <c r="AB1077" s="481">
        <f>IFERROR(__xludf.DUMMYFUNCTION("""COMPUTED_VALUE"""),98.0)</f>
        <v>98</v>
      </c>
      <c r="AC1077" s="481">
        <f>IFERROR(__xludf.DUMMYFUNCTION("""COMPUTED_VALUE"""),80.0)</f>
        <v>80</v>
      </c>
      <c r="AD1077" s="481"/>
      <c r="AE1077" s="481">
        <f>IFERROR(__xludf.DUMMYFUNCTION("""COMPUTED_VALUE"""),10.0)</f>
        <v>10</v>
      </c>
      <c r="AF1077" s="481"/>
      <c r="AG1077" s="481"/>
      <c r="AH1077" s="481"/>
      <c r="AI1077" s="158"/>
      <c r="AJ1077" s="158"/>
      <c r="AK1077" s="133">
        <f>IFERROR(__xludf.DUMMYFUNCTION("""COMPUTED_VALUE"""),4.0)</f>
        <v>4</v>
      </c>
      <c r="AL1077" s="133">
        <f>IFERROR(__xludf.DUMMYFUNCTION("""COMPUTED_VALUE"""),3.0)</f>
        <v>3</v>
      </c>
      <c r="AM1077" s="133">
        <f>IFERROR(__xludf.DUMMYFUNCTION("""COMPUTED_VALUE"""),3.0)</f>
        <v>3</v>
      </c>
      <c r="AN1077" s="133" t="str">
        <f>IFERROR(__xludf.DUMMYFUNCTION("""COMPUTED_VALUE"""),"3")</f>
        <v>3</v>
      </c>
      <c r="AO1077" s="133">
        <f>IFERROR(__xludf.DUMMYFUNCTION("""COMPUTED_VALUE"""),3.0)</f>
        <v>3</v>
      </c>
      <c r="AP1077" s="155" t="s">
        <v>3736</v>
      </c>
    </row>
    <row r="1078">
      <c r="A1078" s="155">
        <f>IFERROR(__xludf.DUMMYFUNCTION("""COMPUTED_VALUE"""),185.0)</f>
        <v>185</v>
      </c>
      <c r="B1078" s="155" t="str">
        <f>IFERROR(__xludf.DUMMYFUNCTION("""COMPUTED_VALUE"""),"sapa23ece@cmrit.ac.in")</f>
        <v>sapa23ece@cmrit.ac.in</v>
      </c>
      <c r="C1078" s="174" t="str">
        <f>IFERROR(__xludf.DUMMYFUNCTION("""COMPUTED_VALUE"""),"Sangeeta Subhasrao Parvatikar")</f>
        <v>Sangeeta Subhasrao Parvatikar</v>
      </c>
      <c r="D1078" s="155" t="str">
        <f>IFERROR(__xludf.DUMMYFUNCTION("""COMPUTED_VALUE"""),"1CR23EC193")</f>
        <v>1CR23EC193</v>
      </c>
      <c r="E1078" s="563">
        <f>IFERROR(__xludf.DUMMYFUNCTION("""COMPUTED_VALUE"""),6.361675645E9)</f>
        <v>6361675645</v>
      </c>
      <c r="F1078" s="155" t="str">
        <f>IFERROR(__xludf.DUMMYFUNCTION("""COMPUTED_VALUE"""),"ECE")</f>
        <v>ECE</v>
      </c>
      <c r="G1078" s="158"/>
      <c r="H1078" s="559">
        <f>IFERROR(__xludf.DUMMYFUNCTION("""COMPUTED_VALUE"""),83.0)</f>
        <v>83</v>
      </c>
      <c r="I1078" s="559">
        <f>IFERROR(__xludf.DUMMYFUNCTION("""COMPUTED_VALUE"""),83.0)</f>
        <v>83</v>
      </c>
      <c r="J1078" s="559">
        <f>IFERROR(__xludf.DUMMYFUNCTION("""COMPUTED_VALUE"""),72.0)</f>
        <v>72</v>
      </c>
      <c r="K1078" s="559">
        <f>IFERROR(__xludf.DUMMYFUNCTION("""COMPUTED_VALUE"""),70.0)</f>
        <v>70</v>
      </c>
      <c r="L1078" s="560">
        <f>IFERROR(__xludf.DUMMYFUNCTION("""COMPUTED_VALUE"""),50.0)</f>
        <v>50</v>
      </c>
      <c r="M1078" s="561">
        <f>IFERROR(__xludf.DUMMYFUNCTION("""COMPUTED_VALUE"""),50.0)</f>
        <v>50</v>
      </c>
      <c r="N1078" s="561">
        <f>IFERROR(__xludf.DUMMYFUNCTION("""COMPUTED_VALUE"""),28.0)</f>
        <v>28</v>
      </c>
      <c r="O1078" s="560"/>
      <c r="P1078" s="562">
        <f>IFERROR(__xludf.DUMMYFUNCTION("""COMPUTED_VALUE"""),78.0)</f>
        <v>78</v>
      </c>
      <c r="Q1078" s="562">
        <f>IFERROR(__xludf.DUMMYFUNCTION("""COMPUTED_VALUE"""),70.0)</f>
        <v>70</v>
      </c>
      <c r="R1078" s="562">
        <f>IFERROR(__xludf.DUMMYFUNCTION("""COMPUTED_VALUE"""),85.0)</f>
        <v>85</v>
      </c>
      <c r="S1078" s="562"/>
      <c r="T1078" s="217">
        <f>IFERROR(__xludf.DUMMYFUNCTION("""COMPUTED_VALUE"""),15.0)</f>
        <v>15</v>
      </c>
      <c r="U1078" s="217">
        <f>IFERROR(__xludf.DUMMYFUNCTION("""COMPUTED_VALUE"""),17.0)</f>
        <v>17</v>
      </c>
      <c r="V1078" s="217">
        <f>IFERROR(__xludf.DUMMYFUNCTION("""COMPUTED_VALUE"""),40.0)</f>
        <v>40</v>
      </c>
      <c r="W1078" s="217">
        <f>IFERROR(__xludf.DUMMYFUNCTION("""COMPUTED_VALUE"""),76.0)</f>
        <v>76</v>
      </c>
      <c r="X1078" s="217">
        <f>IFERROR(__xludf.DUMMYFUNCTION("""COMPUTED_VALUE"""),70.0)</f>
        <v>70</v>
      </c>
      <c r="Y1078" s="217"/>
      <c r="Z1078" s="217"/>
      <c r="AA1078" s="481">
        <f>IFERROR(__xludf.DUMMYFUNCTION("""COMPUTED_VALUE"""),86.0)</f>
        <v>86</v>
      </c>
      <c r="AB1078" s="481">
        <f>IFERROR(__xludf.DUMMYFUNCTION("""COMPUTED_VALUE"""),83.0)</f>
        <v>83</v>
      </c>
      <c r="AC1078" s="481">
        <f>IFERROR(__xludf.DUMMYFUNCTION("""COMPUTED_VALUE"""),60.0)</f>
        <v>60</v>
      </c>
      <c r="AD1078" s="481"/>
      <c r="AE1078" s="481">
        <f>IFERROR(__xludf.DUMMYFUNCTION("""COMPUTED_VALUE"""),45.0)</f>
        <v>45</v>
      </c>
      <c r="AF1078" s="481"/>
      <c r="AG1078" s="481"/>
      <c r="AH1078" s="481"/>
      <c r="AI1078" s="158"/>
      <c r="AJ1078" s="158"/>
      <c r="AK1078" s="133">
        <f>IFERROR(__xludf.DUMMYFUNCTION("""COMPUTED_VALUE"""),4.0)</f>
        <v>4</v>
      </c>
      <c r="AL1078" s="133">
        <f>IFERROR(__xludf.DUMMYFUNCTION("""COMPUTED_VALUE"""),2.0)</f>
        <v>2</v>
      </c>
      <c r="AM1078" s="133">
        <f>IFERROR(__xludf.DUMMYFUNCTION("""COMPUTED_VALUE"""),3.0)</f>
        <v>3</v>
      </c>
      <c r="AN1078" s="133" t="str">
        <f>IFERROR(__xludf.DUMMYFUNCTION("""COMPUTED_VALUE"""),"3")</f>
        <v>3</v>
      </c>
      <c r="AO1078" s="133">
        <f>IFERROR(__xludf.DUMMYFUNCTION("""COMPUTED_VALUE"""),3.0)</f>
        <v>3</v>
      </c>
      <c r="AP1078" s="155" t="s">
        <v>3736</v>
      </c>
    </row>
    <row r="1079">
      <c r="A1079" s="155">
        <f>IFERROR(__xludf.DUMMYFUNCTION("""COMPUTED_VALUE"""),186.0)</f>
        <v>186</v>
      </c>
      <c r="B1079" s="155" t="str">
        <f>IFERROR(__xludf.DUMMYFUNCTION("""COMPUTED_VALUE"""),"sansr23ece@cmrit.ac.in")</f>
        <v>sansr23ece@cmrit.ac.in</v>
      </c>
      <c r="C1079" s="174" t="str">
        <f>IFERROR(__xludf.DUMMYFUNCTION("""COMPUTED_VALUE"""),"SANJANA.S.RAO")</f>
        <v>SANJANA.S.RAO</v>
      </c>
      <c r="D1079" s="155" t="str">
        <f>IFERROR(__xludf.DUMMYFUNCTION("""COMPUTED_VALUE"""),"1CR23EC194")</f>
        <v>1CR23EC194</v>
      </c>
      <c r="E1079" s="563">
        <f>IFERROR(__xludf.DUMMYFUNCTION("""COMPUTED_VALUE"""),9.035420392E9)</f>
        <v>9035420392</v>
      </c>
      <c r="F1079" s="155" t="str">
        <f>IFERROR(__xludf.DUMMYFUNCTION("""COMPUTED_VALUE"""),"ECE")</f>
        <v>ECE</v>
      </c>
      <c r="G1079" s="158"/>
      <c r="H1079" s="559">
        <f>IFERROR(__xludf.DUMMYFUNCTION("""COMPUTED_VALUE"""),76.0)</f>
        <v>76</v>
      </c>
      <c r="I1079" s="559">
        <f>IFERROR(__xludf.DUMMYFUNCTION("""COMPUTED_VALUE"""),82.0)</f>
        <v>82</v>
      </c>
      <c r="J1079" s="559">
        <f>IFERROR(__xludf.DUMMYFUNCTION("""COMPUTED_VALUE"""),78.0)</f>
        <v>78</v>
      </c>
      <c r="K1079" s="559">
        <f>IFERROR(__xludf.DUMMYFUNCTION("""COMPUTED_VALUE"""),70.0)</f>
        <v>70</v>
      </c>
      <c r="L1079" s="560">
        <f>IFERROR(__xludf.DUMMYFUNCTION("""COMPUTED_VALUE"""),50.0)</f>
        <v>50</v>
      </c>
      <c r="M1079" s="561">
        <f>IFERROR(__xludf.DUMMYFUNCTION("""COMPUTED_VALUE"""),50.0)</f>
        <v>50</v>
      </c>
      <c r="N1079" s="561">
        <f>IFERROR(__xludf.DUMMYFUNCTION("""COMPUTED_VALUE"""),50.0)</f>
        <v>50</v>
      </c>
      <c r="O1079" s="560"/>
      <c r="P1079" s="562">
        <f>IFERROR(__xludf.DUMMYFUNCTION("""COMPUTED_VALUE"""),75.0)</f>
        <v>75</v>
      </c>
      <c r="Q1079" s="562">
        <f>IFERROR(__xludf.DUMMYFUNCTION("""COMPUTED_VALUE"""),88.0)</f>
        <v>88</v>
      </c>
      <c r="R1079" s="562">
        <f>IFERROR(__xludf.DUMMYFUNCTION("""COMPUTED_VALUE"""),93.0)</f>
        <v>93</v>
      </c>
      <c r="S1079" s="562"/>
      <c r="T1079" s="217">
        <f>IFERROR(__xludf.DUMMYFUNCTION("""COMPUTED_VALUE"""),11.0)</f>
        <v>11</v>
      </c>
      <c r="U1079" s="217">
        <f>IFERROR(__xludf.DUMMYFUNCTION("""COMPUTED_VALUE"""),17.0)</f>
        <v>17</v>
      </c>
      <c r="V1079" s="217">
        <f>IFERROR(__xludf.DUMMYFUNCTION("""COMPUTED_VALUE"""),50.0)</f>
        <v>50</v>
      </c>
      <c r="W1079" s="217">
        <f>IFERROR(__xludf.DUMMYFUNCTION("""COMPUTED_VALUE"""),84.0)</f>
        <v>84</v>
      </c>
      <c r="X1079" s="217">
        <f>IFERROR(__xludf.DUMMYFUNCTION("""COMPUTED_VALUE"""),68.0)</f>
        <v>68</v>
      </c>
      <c r="Y1079" s="217"/>
      <c r="Z1079" s="217"/>
      <c r="AA1079" s="481">
        <f>IFERROR(__xludf.DUMMYFUNCTION("""COMPUTED_VALUE"""),80.0)</f>
        <v>80</v>
      </c>
      <c r="AB1079" s="481">
        <f>IFERROR(__xludf.DUMMYFUNCTION("""COMPUTED_VALUE"""),80.0)</f>
        <v>80</v>
      </c>
      <c r="AC1079" s="481">
        <f>IFERROR(__xludf.DUMMYFUNCTION("""COMPUTED_VALUE"""),68.0)</f>
        <v>68</v>
      </c>
      <c r="AD1079" s="481"/>
      <c r="AE1079" s="481">
        <f>IFERROR(__xludf.DUMMYFUNCTION("""COMPUTED_VALUE"""),78.0)</f>
        <v>78</v>
      </c>
      <c r="AF1079" s="481"/>
      <c r="AG1079" s="481">
        <f>IFERROR(__xludf.DUMMYFUNCTION("""COMPUTED_VALUE"""),93.0)</f>
        <v>93</v>
      </c>
      <c r="AH1079" s="481"/>
      <c r="AI1079" s="158"/>
      <c r="AJ1079" s="158"/>
      <c r="AK1079" s="133">
        <f>IFERROR(__xludf.DUMMYFUNCTION("""COMPUTED_VALUE"""),4.0)</f>
        <v>4</v>
      </c>
      <c r="AL1079" s="133">
        <f>IFERROR(__xludf.DUMMYFUNCTION("""COMPUTED_VALUE"""),3.0)</f>
        <v>3</v>
      </c>
      <c r="AM1079" s="133">
        <f>IFERROR(__xludf.DUMMYFUNCTION("""COMPUTED_VALUE"""),3.0)</f>
        <v>3</v>
      </c>
      <c r="AN1079" s="133" t="str">
        <f>IFERROR(__xludf.DUMMYFUNCTION("""COMPUTED_VALUE"""),"3.5")</f>
        <v>3.5</v>
      </c>
      <c r="AO1079" s="133">
        <f>IFERROR(__xludf.DUMMYFUNCTION("""COMPUTED_VALUE"""),3.0)</f>
        <v>3</v>
      </c>
      <c r="AP1079" s="155" t="s">
        <v>3736</v>
      </c>
    </row>
    <row r="1080">
      <c r="A1080" s="155">
        <f>IFERROR(__xludf.DUMMYFUNCTION("""COMPUTED_VALUE"""),187.0)</f>
        <v>187</v>
      </c>
      <c r="B1080" s="155" t="str">
        <f>IFERROR(__xludf.DUMMYFUNCTION("""COMPUTED_VALUE"""),"sa23ece@cmrit.ac.in")</f>
        <v>sa23ece@cmrit.ac.in</v>
      </c>
      <c r="C1080" s="174" t="str">
        <f>IFERROR(__xludf.DUMMYFUNCTION("""COMPUTED_VALUE"""),"Sathvika")</f>
        <v>Sathvika</v>
      </c>
      <c r="D1080" s="155" t="str">
        <f>IFERROR(__xludf.DUMMYFUNCTION("""COMPUTED_VALUE"""),"1CR23EC195")</f>
        <v>1CR23EC195</v>
      </c>
      <c r="E1080" s="563">
        <f>IFERROR(__xludf.DUMMYFUNCTION("""COMPUTED_VALUE"""),8.762427587E9)</f>
        <v>8762427587</v>
      </c>
      <c r="F1080" s="155" t="str">
        <f>IFERROR(__xludf.DUMMYFUNCTION("""COMPUTED_VALUE"""),"ECE")</f>
        <v>ECE</v>
      </c>
      <c r="G1080" s="158"/>
      <c r="H1080" s="559">
        <f>IFERROR(__xludf.DUMMYFUNCTION("""COMPUTED_VALUE"""),87.0)</f>
        <v>87</v>
      </c>
      <c r="I1080" s="559">
        <f>IFERROR(__xludf.DUMMYFUNCTION("""COMPUTED_VALUE"""),89.0)</f>
        <v>89</v>
      </c>
      <c r="J1080" s="559">
        <f>IFERROR(__xludf.DUMMYFUNCTION("""COMPUTED_VALUE"""),85.0)</f>
        <v>85</v>
      </c>
      <c r="K1080" s="559">
        <f>IFERROR(__xludf.DUMMYFUNCTION("""COMPUTED_VALUE"""),70.0)</f>
        <v>70</v>
      </c>
      <c r="L1080" s="560">
        <f>IFERROR(__xludf.DUMMYFUNCTION("""COMPUTED_VALUE"""),50.0)</f>
        <v>50</v>
      </c>
      <c r="M1080" s="561">
        <f>IFERROR(__xludf.DUMMYFUNCTION("""COMPUTED_VALUE"""),50.0)</f>
        <v>50</v>
      </c>
      <c r="N1080" s="561">
        <f>IFERROR(__xludf.DUMMYFUNCTION("""COMPUTED_VALUE"""),50.0)</f>
        <v>50</v>
      </c>
      <c r="O1080" s="560"/>
      <c r="P1080" s="562">
        <f>IFERROR(__xludf.DUMMYFUNCTION("""COMPUTED_VALUE"""),50.0)</f>
        <v>50</v>
      </c>
      <c r="Q1080" s="562">
        <f>IFERROR(__xludf.DUMMYFUNCTION("""COMPUTED_VALUE"""),61.0)</f>
        <v>61</v>
      </c>
      <c r="R1080" s="562">
        <f>IFERROR(__xludf.DUMMYFUNCTION("""COMPUTED_VALUE"""),84.0)</f>
        <v>84</v>
      </c>
      <c r="S1080" s="562"/>
      <c r="T1080" s="217">
        <f>IFERROR(__xludf.DUMMYFUNCTION("""COMPUTED_VALUE"""),22.0)</f>
        <v>22</v>
      </c>
      <c r="U1080" s="217">
        <f>IFERROR(__xludf.DUMMYFUNCTION("""COMPUTED_VALUE"""),20.0)</f>
        <v>20</v>
      </c>
      <c r="V1080" s="217">
        <f>IFERROR(__xludf.DUMMYFUNCTION("""COMPUTED_VALUE"""),46.0)</f>
        <v>46</v>
      </c>
      <c r="W1080" s="217">
        <f>IFERROR(__xludf.DUMMYFUNCTION("""COMPUTED_VALUE"""),84.0)</f>
        <v>84</v>
      </c>
      <c r="X1080" s="217">
        <f>IFERROR(__xludf.DUMMYFUNCTION("""COMPUTED_VALUE"""),80.0)</f>
        <v>80</v>
      </c>
      <c r="Y1080" s="217"/>
      <c r="Z1080" s="217"/>
      <c r="AA1080" s="481">
        <f>IFERROR(__xludf.DUMMYFUNCTION("""COMPUTED_VALUE"""),65.0)</f>
        <v>65</v>
      </c>
      <c r="AB1080" s="481">
        <f>IFERROR(__xludf.DUMMYFUNCTION("""COMPUTED_VALUE"""),99.0)</f>
        <v>99</v>
      </c>
      <c r="AC1080" s="481">
        <f>IFERROR(__xludf.DUMMYFUNCTION("""COMPUTED_VALUE"""),95.0)</f>
        <v>95</v>
      </c>
      <c r="AD1080" s="481"/>
      <c r="AE1080" s="481">
        <f>IFERROR(__xludf.DUMMYFUNCTION("""COMPUTED_VALUE"""),77.0)</f>
        <v>77</v>
      </c>
      <c r="AF1080" s="481"/>
      <c r="AG1080" s="481"/>
      <c r="AH1080" s="481"/>
      <c r="AI1080" s="158"/>
      <c r="AJ1080" s="158"/>
      <c r="AK1080" s="133">
        <f>IFERROR(__xludf.DUMMYFUNCTION("""COMPUTED_VALUE"""),4.0)</f>
        <v>4</v>
      </c>
      <c r="AL1080" s="133">
        <f>IFERROR(__xludf.DUMMYFUNCTION("""COMPUTED_VALUE"""),3.0)</f>
        <v>3</v>
      </c>
      <c r="AM1080" s="133">
        <f>IFERROR(__xludf.DUMMYFUNCTION("""COMPUTED_VALUE"""),3.0)</f>
        <v>3</v>
      </c>
      <c r="AN1080" s="133" t="str">
        <f>IFERROR(__xludf.DUMMYFUNCTION("""COMPUTED_VALUE"""),"3.5")</f>
        <v>3.5</v>
      </c>
      <c r="AO1080" s="133">
        <f>IFERROR(__xludf.DUMMYFUNCTION("""COMPUTED_VALUE"""),3.0)</f>
        <v>3</v>
      </c>
      <c r="AP1080" s="155" t="s">
        <v>3736</v>
      </c>
    </row>
    <row r="1081">
      <c r="A1081" s="155">
        <f>IFERROR(__xludf.DUMMYFUNCTION("""COMPUTED_VALUE"""),188.0)</f>
        <v>188</v>
      </c>
      <c r="B1081" s="155" t="str">
        <f>IFERROR(__xludf.DUMMYFUNCTION("""COMPUTED_VALUE"""),"shsa23ece@cmrit.ac.in")</f>
        <v>shsa23ece@cmrit.ac.in</v>
      </c>
      <c r="C1081" s="174" t="str">
        <f>IFERROR(__xludf.DUMMYFUNCTION("""COMPUTED_VALUE"""),"SHAIK FATIMA SANA")</f>
        <v>SHAIK FATIMA SANA</v>
      </c>
      <c r="D1081" s="155" t="str">
        <f>IFERROR(__xludf.DUMMYFUNCTION("""COMPUTED_VALUE"""),"1CR23EC196")</f>
        <v>1CR23EC196</v>
      </c>
      <c r="E1081" s="563">
        <f>IFERROR(__xludf.DUMMYFUNCTION("""COMPUTED_VALUE"""),7.349495332E9)</f>
        <v>7349495332</v>
      </c>
      <c r="F1081" s="155" t="str">
        <f>IFERROR(__xludf.DUMMYFUNCTION("""COMPUTED_VALUE"""),"ECE")</f>
        <v>ECE</v>
      </c>
      <c r="G1081" s="158"/>
      <c r="H1081" s="559">
        <f>IFERROR(__xludf.DUMMYFUNCTION("""COMPUTED_VALUE"""),86.0)</f>
        <v>86</v>
      </c>
      <c r="I1081" s="559">
        <f>IFERROR(__xludf.DUMMYFUNCTION("""COMPUTED_VALUE"""),86.0)</f>
        <v>86</v>
      </c>
      <c r="J1081" s="559">
        <f>IFERROR(__xludf.DUMMYFUNCTION("""COMPUTED_VALUE"""),75.0)</f>
        <v>75</v>
      </c>
      <c r="K1081" s="559">
        <f>IFERROR(__xludf.DUMMYFUNCTION("""COMPUTED_VALUE"""),70.0)</f>
        <v>70</v>
      </c>
      <c r="L1081" s="560">
        <f>IFERROR(__xludf.DUMMYFUNCTION("""COMPUTED_VALUE"""),28.0)</f>
        <v>28</v>
      </c>
      <c r="M1081" s="561">
        <f>IFERROR(__xludf.DUMMYFUNCTION("""COMPUTED_VALUE"""),50.0)</f>
        <v>50</v>
      </c>
      <c r="N1081" s="561">
        <f>IFERROR(__xludf.DUMMYFUNCTION("""COMPUTED_VALUE"""),0.0)</f>
        <v>0</v>
      </c>
      <c r="O1081" s="560"/>
      <c r="P1081" s="562">
        <f>IFERROR(__xludf.DUMMYFUNCTION("""COMPUTED_VALUE"""),75.0)</f>
        <v>75</v>
      </c>
      <c r="Q1081" s="562">
        <f>IFERROR(__xludf.DUMMYFUNCTION("""COMPUTED_VALUE"""),88.0)</f>
        <v>88</v>
      </c>
      <c r="R1081" s="562">
        <f>IFERROR(__xludf.DUMMYFUNCTION("""COMPUTED_VALUE"""),70.0)</f>
        <v>70</v>
      </c>
      <c r="S1081" s="562"/>
      <c r="T1081" s="217">
        <f>IFERROR(__xludf.DUMMYFUNCTION("""COMPUTED_VALUE"""),16.0)</f>
        <v>16</v>
      </c>
      <c r="U1081" s="217">
        <f>IFERROR(__xludf.DUMMYFUNCTION("""COMPUTED_VALUE"""),15.0)</f>
        <v>15</v>
      </c>
      <c r="V1081" s="217">
        <f>IFERROR(__xludf.DUMMYFUNCTION("""COMPUTED_VALUE"""),28.0)</f>
        <v>28</v>
      </c>
      <c r="W1081" s="217">
        <f>IFERROR(__xludf.DUMMYFUNCTION("""COMPUTED_VALUE"""),74.0)</f>
        <v>74</v>
      </c>
      <c r="X1081" s="217">
        <f>IFERROR(__xludf.DUMMYFUNCTION("""COMPUTED_VALUE"""),68.0)</f>
        <v>68</v>
      </c>
      <c r="Y1081" s="217"/>
      <c r="Z1081" s="217"/>
      <c r="AA1081" s="481">
        <f>IFERROR(__xludf.DUMMYFUNCTION("""COMPUTED_VALUE"""),76.0)</f>
        <v>76</v>
      </c>
      <c r="AB1081" s="481">
        <f>IFERROR(__xludf.DUMMYFUNCTION("""COMPUTED_VALUE"""),75.0)</f>
        <v>75</v>
      </c>
      <c r="AC1081" s="481">
        <f>IFERROR(__xludf.DUMMYFUNCTION("""COMPUTED_VALUE"""),79.0)</f>
        <v>79</v>
      </c>
      <c r="AD1081" s="481"/>
      <c r="AE1081" s="481">
        <f>IFERROR(__xludf.DUMMYFUNCTION("""COMPUTED_VALUE"""),45.0)</f>
        <v>45</v>
      </c>
      <c r="AF1081" s="481"/>
      <c r="AG1081" s="481"/>
      <c r="AH1081" s="481"/>
      <c r="AI1081" s="158"/>
      <c r="AJ1081" s="158"/>
      <c r="AK1081" s="133">
        <f>IFERROR(__xludf.DUMMYFUNCTION("""COMPUTED_VALUE"""),4.0)</f>
        <v>4</v>
      </c>
      <c r="AL1081" s="133">
        <f>IFERROR(__xludf.DUMMYFUNCTION("""COMPUTED_VALUE"""),0.0)</f>
        <v>0</v>
      </c>
      <c r="AM1081" s="133">
        <f>IFERROR(__xludf.DUMMYFUNCTION("""COMPUTED_VALUE"""),3.0)</f>
        <v>3</v>
      </c>
      <c r="AN1081" s="133" t="str">
        <f>IFERROR(__xludf.DUMMYFUNCTION("""COMPUTED_VALUE"""),"3")</f>
        <v>3</v>
      </c>
      <c r="AO1081" s="133">
        <f>IFERROR(__xludf.DUMMYFUNCTION("""COMPUTED_VALUE"""),3.0)</f>
        <v>3</v>
      </c>
      <c r="AP1081" s="155" t="s">
        <v>3736</v>
      </c>
    </row>
    <row r="1082">
      <c r="A1082" s="155">
        <f>IFERROR(__xludf.DUMMYFUNCTION("""COMPUTED_VALUE"""),189.0)</f>
        <v>189</v>
      </c>
      <c r="B1082" s="155" t="str">
        <f>IFERROR(__xludf.DUMMYFUNCTION("""COMPUTED_VALUE"""),"shmo23ece@cmrit.ac.in")</f>
        <v>shmo23ece@cmrit.ac.in</v>
      </c>
      <c r="C1082" s="174" t="str">
        <f>IFERROR(__xludf.DUMMYFUNCTION("""COMPUTED_VALUE"""),"SHAIK PEDDAKHADARGARI MOHAMMAD THOUFIQ")</f>
        <v>SHAIK PEDDAKHADARGARI MOHAMMAD THOUFIQ</v>
      </c>
      <c r="D1082" s="155" t="str">
        <f>IFERROR(__xludf.DUMMYFUNCTION("""COMPUTED_VALUE"""),"1CR23EC197")</f>
        <v>1CR23EC197</v>
      </c>
      <c r="E1082" s="563">
        <f>IFERROR(__xludf.DUMMYFUNCTION("""COMPUTED_VALUE"""),9.502606786E9)</f>
        <v>9502606786</v>
      </c>
      <c r="F1082" s="155" t="str">
        <f>IFERROR(__xludf.DUMMYFUNCTION("""COMPUTED_VALUE"""),"ECE")</f>
        <v>ECE</v>
      </c>
      <c r="G1082" s="158"/>
      <c r="H1082" s="559">
        <f>IFERROR(__xludf.DUMMYFUNCTION("""COMPUTED_VALUE"""),86.0)</f>
        <v>86</v>
      </c>
      <c r="I1082" s="559">
        <f>IFERROR(__xludf.DUMMYFUNCTION("""COMPUTED_VALUE"""),77.0)</f>
        <v>77</v>
      </c>
      <c r="J1082" s="559">
        <f>IFERROR(__xludf.DUMMYFUNCTION("""COMPUTED_VALUE"""),60.0)</f>
        <v>60</v>
      </c>
      <c r="K1082" s="559">
        <f>IFERROR(__xludf.DUMMYFUNCTION("""COMPUTED_VALUE"""),70.0)</f>
        <v>70</v>
      </c>
      <c r="L1082" s="560">
        <f>IFERROR(__xludf.DUMMYFUNCTION("""COMPUTED_VALUE"""),50.0)</f>
        <v>50</v>
      </c>
      <c r="M1082" s="561">
        <f>IFERROR(__xludf.DUMMYFUNCTION("""COMPUTED_VALUE"""),50.0)</f>
        <v>50</v>
      </c>
      <c r="N1082" s="561">
        <f>IFERROR(__xludf.DUMMYFUNCTION("""COMPUTED_VALUE"""),50.0)</f>
        <v>50</v>
      </c>
      <c r="O1082" s="560"/>
      <c r="P1082" s="562">
        <f>IFERROR(__xludf.DUMMYFUNCTION("""COMPUTED_VALUE"""),70.0)</f>
        <v>70</v>
      </c>
      <c r="Q1082" s="562">
        <f>IFERROR(__xludf.DUMMYFUNCTION("""COMPUTED_VALUE"""),64.0)</f>
        <v>64</v>
      </c>
      <c r="R1082" s="562">
        <f>IFERROR(__xludf.DUMMYFUNCTION("""COMPUTED_VALUE"""),91.0)</f>
        <v>91</v>
      </c>
      <c r="S1082" s="562"/>
      <c r="T1082" s="217">
        <f>IFERROR(__xludf.DUMMYFUNCTION("""COMPUTED_VALUE"""),17.0)</f>
        <v>17</v>
      </c>
      <c r="U1082" s="217">
        <f>IFERROR(__xludf.DUMMYFUNCTION("""COMPUTED_VALUE"""),19.0)</f>
        <v>19</v>
      </c>
      <c r="V1082" s="217">
        <f>IFERROR(__xludf.DUMMYFUNCTION("""COMPUTED_VALUE"""),48.0)</f>
        <v>48</v>
      </c>
      <c r="W1082" s="217">
        <f>IFERROR(__xludf.DUMMYFUNCTION("""COMPUTED_VALUE"""),82.0)</f>
        <v>82</v>
      </c>
      <c r="X1082" s="217">
        <f>IFERROR(__xludf.DUMMYFUNCTION("""COMPUTED_VALUE"""),68.0)</f>
        <v>68</v>
      </c>
      <c r="Y1082" s="217"/>
      <c r="Z1082" s="217"/>
      <c r="AA1082" s="481">
        <f>IFERROR(__xludf.DUMMYFUNCTION("""COMPUTED_VALUE"""),41.0)</f>
        <v>41</v>
      </c>
      <c r="AB1082" s="481">
        <f>IFERROR(__xludf.DUMMYFUNCTION("""COMPUTED_VALUE"""),85.0)</f>
        <v>85</v>
      </c>
      <c r="AC1082" s="481">
        <f>IFERROR(__xludf.DUMMYFUNCTION("""COMPUTED_VALUE"""),70.0)</f>
        <v>70</v>
      </c>
      <c r="AD1082" s="481"/>
      <c r="AE1082" s="481">
        <f>IFERROR(__xludf.DUMMYFUNCTION("""COMPUTED_VALUE"""),14.0)</f>
        <v>14</v>
      </c>
      <c r="AF1082" s="481"/>
      <c r="AG1082" s="481"/>
      <c r="AH1082" s="481">
        <f>IFERROR(__xludf.DUMMYFUNCTION("""COMPUTED_VALUE"""),15.0)</f>
        <v>15</v>
      </c>
      <c r="AI1082" s="158"/>
      <c r="AJ1082" s="158"/>
      <c r="AK1082" s="133">
        <f>IFERROR(__xludf.DUMMYFUNCTION("""COMPUTED_VALUE"""),2.0)</f>
        <v>2</v>
      </c>
      <c r="AL1082" s="133">
        <f>IFERROR(__xludf.DUMMYFUNCTION("""COMPUTED_VALUE"""),3.0)</f>
        <v>3</v>
      </c>
      <c r="AM1082" s="133">
        <f>IFERROR(__xludf.DUMMYFUNCTION("""COMPUTED_VALUE"""),3.0)</f>
        <v>3</v>
      </c>
      <c r="AN1082" s="133" t="str">
        <f>IFERROR(__xludf.DUMMYFUNCTION("""COMPUTED_VALUE"""),"3")</f>
        <v>3</v>
      </c>
      <c r="AO1082" s="133">
        <f>IFERROR(__xludf.DUMMYFUNCTION("""COMPUTED_VALUE"""),3.0)</f>
        <v>3</v>
      </c>
      <c r="AP1082" s="155" t="s">
        <v>3736</v>
      </c>
    </row>
    <row r="1083">
      <c r="A1083" s="155">
        <f>IFERROR(__xludf.DUMMYFUNCTION("""COMPUTED_VALUE"""),190.0)</f>
        <v>190</v>
      </c>
      <c r="B1083" s="155" t="str">
        <f>IFERROR(__xludf.DUMMYFUNCTION("""COMPUTED_VALUE"""),"shh23ece@cmrit.ac.in")</f>
        <v>shh23ece@cmrit.ac.in</v>
      </c>
      <c r="C1083" s="174" t="str">
        <f>IFERROR(__xludf.DUMMYFUNCTION("""COMPUTED_VALUE"""),"SHALINI H")</f>
        <v>SHALINI H</v>
      </c>
      <c r="D1083" s="155" t="str">
        <f>IFERROR(__xludf.DUMMYFUNCTION("""COMPUTED_VALUE"""),"1CR23EC198")</f>
        <v>1CR23EC198</v>
      </c>
      <c r="E1083" s="563">
        <f>IFERROR(__xludf.DUMMYFUNCTION("""COMPUTED_VALUE"""),6.366252417E9)</f>
        <v>6366252417</v>
      </c>
      <c r="F1083" s="155" t="str">
        <f>IFERROR(__xludf.DUMMYFUNCTION("""COMPUTED_VALUE"""),"ECE")</f>
        <v>ECE</v>
      </c>
      <c r="G1083" s="158"/>
      <c r="H1083" s="559">
        <f>IFERROR(__xludf.DUMMYFUNCTION("""COMPUTED_VALUE"""),75.0)</f>
        <v>75</v>
      </c>
      <c r="I1083" s="559">
        <f>IFERROR(__xludf.DUMMYFUNCTION("""COMPUTED_VALUE"""),74.0)</f>
        <v>74</v>
      </c>
      <c r="J1083" s="559">
        <f>IFERROR(__xludf.DUMMYFUNCTION("""COMPUTED_VALUE"""),77.0)</f>
        <v>77</v>
      </c>
      <c r="K1083" s="559">
        <f>IFERROR(__xludf.DUMMYFUNCTION("""COMPUTED_VALUE"""),70.0)</f>
        <v>70</v>
      </c>
      <c r="L1083" s="560">
        <f>IFERROR(__xludf.DUMMYFUNCTION("""COMPUTED_VALUE"""),6.0)</f>
        <v>6</v>
      </c>
      <c r="M1083" s="561">
        <f>IFERROR(__xludf.DUMMYFUNCTION("""COMPUTED_VALUE"""),8.0)</f>
        <v>8</v>
      </c>
      <c r="N1083" s="561">
        <f>IFERROR(__xludf.DUMMYFUNCTION("""COMPUTED_VALUE"""),0.0)</f>
        <v>0</v>
      </c>
      <c r="O1083" s="560"/>
      <c r="P1083" s="562">
        <f>IFERROR(__xludf.DUMMYFUNCTION("""COMPUTED_VALUE"""),0.0)</f>
        <v>0</v>
      </c>
      <c r="Q1083" s="562">
        <f>IFERROR(__xludf.DUMMYFUNCTION("""COMPUTED_VALUE"""),67.0)</f>
        <v>67</v>
      </c>
      <c r="R1083" s="562">
        <f>IFERROR(__xludf.DUMMYFUNCTION("""COMPUTED_VALUE"""),0.0)</f>
        <v>0</v>
      </c>
      <c r="S1083" s="562"/>
      <c r="T1083" s="217">
        <f>IFERROR(__xludf.DUMMYFUNCTION("""COMPUTED_VALUE"""),15.0)</f>
        <v>15</v>
      </c>
      <c r="U1083" s="217"/>
      <c r="V1083" s="217">
        <f>IFERROR(__xludf.DUMMYFUNCTION("""COMPUTED_VALUE"""),44.0)</f>
        <v>44</v>
      </c>
      <c r="W1083" s="217">
        <f>IFERROR(__xludf.DUMMYFUNCTION("""COMPUTED_VALUE"""),74.0)</f>
        <v>74</v>
      </c>
      <c r="X1083" s="217">
        <f>IFERROR(__xludf.DUMMYFUNCTION("""COMPUTED_VALUE"""),76.0)</f>
        <v>76</v>
      </c>
      <c r="Y1083" s="217"/>
      <c r="Z1083" s="217"/>
      <c r="AA1083" s="481">
        <f>IFERROR(__xludf.DUMMYFUNCTION("""COMPUTED_VALUE"""),11.0)</f>
        <v>11</v>
      </c>
      <c r="AB1083" s="481">
        <f>IFERROR(__xludf.DUMMYFUNCTION("""COMPUTED_VALUE"""),18.0)</f>
        <v>18</v>
      </c>
      <c r="AC1083" s="481">
        <f>IFERROR(__xludf.DUMMYFUNCTION("""COMPUTED_VALUE"""),8.0)</f>
        <v>8</v>
      </c>
      <c r="AD1083" s="481"/>
      <c r="AE1083" s="481">
        <f>IFERROR(__xludf.DUMMYFUNCTION("""COMPUTED_VALUE"""),10.0)</f>
        <v>10</v>
      </c>
      <c r="AF1083" s="481"/>
      <c r="AG1083" s="481"/>
      <c r="AH1083" s="481"/>
      <c r="AI1083" s="158"/>
      <c r="AJ1083" s="158"/>
      <c r="AK1083" s="133">
        <f>IFERROR(__xludf.DUMMYFUNCTION("""COMPUTED_VALUE"""),4.0)</f>
        <v>4</v>
      </c>
      <c r="AL1083" s="133">
        <f>IFERROR(__xludf.DUMMYFUNCTION("""COMPUTED_VALUE"""),0.0)</f>
        <v>0</v>
      </c>
      <c r="AM1083" s="133">
        <f>IFERROR(__xludf.DUMMYFUNCTION("""COMPUTED_VALUE"""),3.0)</f>
        <v>3</v>
      </c>
      <c r="AN1083" s="133" t="str">
        <f>IFERROR(__xludf.DUMMYFUNCTION("""COMPUTED_VALUE"""),"0")</f>
        <v>0</v>
      </c>
      <c r="AO1083" s="133">
        <f>IFERROR(__xludf.DUMMYFUNCTION("""COMPUTED_VALUE"""),0.0)</f>
        <v>0</v>
      </c>
      <c r="AP1083" s="155" t="s">
        <v>3736</v>
      </c>
    </row>
    <row r="1084">
      <c r="A1084" s="155">
        <f>IFERROR(__xludf.DUMMYFUNCTION("""COMPUTED_VALUE"""),191.0)</f>
        <v>191</v>
      </c>
      <c r="B1084" s="155" t="str">
        <f>IFERROR(__xludf.DUMMYFUNCTION("""COMPUTED_VALUE"""),"shr23ece@cmrit.ac.in")</f>
        <v>shr23ece@cmrit.ac.in</v>
      </c>
      <c r="C1084" s="174" t="str">
        <f>IFERROR(__xludf.DUMMYFUNCTION("""COMPUTED_VALUE"""),"SHAMANTH.R")</f>
        <v>SHAMANTH.R</v>
      </c>
      <c r="D1084" s="155" t="str">
        <f>IFERROR(__xludf.DUMMYFUNCTION("""COMPUTED_VALUE"""),"1CR23EC199")</f>
        <v>1CR23EC199</v>
      </c>
      <c r="E1084" s="563">
        <f>IFERROR(__xludf.DUMMYFUNCTION("""COMPUTED_VALUE"""),9.482978987E9)</f>
        <v>9482978987</v>
      </c>
      <c r="F1084" s="155" t="str">
        <f>IFERROR(__xludf.DUMMYFUNCTION("""COMPUTED_VALUE"""),"ECE")</f>
        <v>ECE</v>
      </c>
      <c r="G1084" s="158"/>
      <c r="H1084" s="559">
        <f>IFERROR(__xludf.DUMMYFUNCTION("""COMPUTED_VALUE"""),81.0)</f>
        <v>81</v>
      </c>
      <c r="I1084" s="559">
        <f>IFERROR(__xludf.DUMMYFUNCTION("""COMPUTED_VALUE"""),84.0)</f>
        <v>84</v>
      </c>
      <c r="J1084" s="559">
        <f>IFERROR(__xludf.DUMMYFUNCTION("""COMPUTED_VALUE"""),45.0)</f>
        <v>45</v>
      </c>
      <c r="K1084" s="559">
        <f>IFERROR(__xludf.DUMMYFUNCTION("""COMPUTED_VALUE"""),70.0)</f>
        <v>70</v>
      </c>
      <c r="L1084" s="560">
        <f>IFERROR(__xludf.DUMMYFUNCTION("""COMPUTED_VALUE"""),50.0)</f>
        <v>50</v>
      </c>
      <c r="M1084" s="561">
        <f>IFERROR(__xludf.DUMMYFUNCTION("""COMPUTED_VALUE"""),50.0)</f>
        <v>50</v>
      </c>
      <c r="N1084" s="561">
        <f>IFERROR(__xludf.DUMMYFUNCTION("""COMPUTED_VALUE"""),50.0)</f>
        <v>50</v>
      </c>
      <c r="O1084" s="560"/>
      <c r="P1084" s="562">
        <f>IFERROR(__xludf.DUMMYFUNCTION("""COMPUTED_VALUE"""),83.0)</f>
        <v>83</v>
      </c>
      <c r="Q1084" s="562">
        <f>IFERROR(__xludf.DUMMYFUNCTION("""COMPUTED_VALUE"""),68.0)</f>
        <v>68</v>
      </c>
      <c r="R1084" s="562">
        <f>IFERROR(__xludf.DUMMYFUNCTION("""COMPUTED_VALUE"""),89.0)</f>
        <v>89</v>
      </c>
      <c r="S1084" s="562"/>
      <c r="T1084" s="217">
        <f>IFERROR(__xludf.DUMMYFUNCTION("""COMPUTED_VALUE"""),13.0)</f>
        <v>13</v>
      </c>
      <c r="U1084" s="217">
        <f>IFERROR(__xludf.DUMMYFUNCTION("""COMPUTED_VALUE"""),20.0)</f>
        <v>20</v>
      </c>
      <c r="V1084" s="217">
        <f>IFERROR(__xludf.DUMMYFUNCTION("""COMPUTED_VALUE"""),54.0)</f>
        <v>54</v>
      </c>
      <c r="W1084" s="217">
        <f>IFERROR(__xludf.DUMMYFUNCTION("""COMPUTED_VALUE"""),74.0)</f>
        <v>74</v>
      </c>
      <c r="X1084" s="217">
        <f>IFERROR(__xludf.DUMMYFUNCTION("""COMPUTED_VALUE"""),70.0)</f>
        <v>70</v>
      </c>
      <c r="Y1084" s="217"/>
      <c r="Z1084" s="217"/>
      <c r="AA1084" s="481">
        <f>IFERROR(__xludf.DUMMYFUNCTION("""COMPUTED_VALUE"""),80.0)</f>
        <v>80</v>
      </c>
      <c r="AB1084" s="481">
        <f>IFERROR(__xludf.DUMMYFUNCTION("""COMPUTED_VALUE"""),99.0)</f>
        <v>99</v>
      </c>
      <c r="AC1084" s="481">
        <f>IFERROR(__xludf.DUMMYFUNCTION("""COMPUTED_VALUE"""),70.0)</f>
        <v>70</v>
      </c>
      <c r="AD1084" s="481"/>
      <c r="AE1084" s="481">
        <f>IFERROR(__xludf.DUMMYFUNCTION("""COMPUTED_VALUE"""),87.0)</f>
        <v>87</v>
      </c>
      <c r="AF1084" s="481"/>
      <c r="AG1084" s="481"/>
      <c r="AH1084" s="481"/>
      <c r="AI1084" s="158"/>
      <c r="AJ1084" s="158"/>
      <c r="AK1084" s="133">
        <f>IFERROR(__xludf.DUMMYFUNCTION("""COMPUTED_VALUE"""),2.0)</f>
        <v>2</v>
      </c>
      <c r="AL1084" s="133">
        <f>IFERROR(__xludf.DUMMYFUNCTION("""COMPUTED_VALUE"""),3.0)</f>
        <v>3</v>
      </c>
      <c r="AM1084" s="133">
        <f>IFERROR(__xludf.DUMMYFUNCTION("""COMPUTED_VALUE"""),3.0)</f>
        <v>3</v>
      </c>
      <c r="AN1084" s="133" t="str">
        <f>IFERROR(__xludf.DUMMYFUNCTION("""COMPUTED_VALUE"""),"3.5")</f>
        <v>3.5</v>
      </c>
      <c r="AO1084" s="133">
        <f>IFERROR(__xludf.DUMMYFUNCTION("""COMPUTED_VALUE"""),3.0)</f>
        <v>3</v>
      </c>
      <c r="AP1084" s="155" t="s">
        <v>3736</v>
      </c>
    </row>
    <row r="1085">
      <c r="A1085" s="155">
        <f>IFERROR(__xludf.DUMMYFUNCTION("""COMPUTED_VALUE"""),192.0)</f>
        <v>192</v>
      </c>
      <c r="B1085" s="155" t="str">
        <f>IFERROR(__xludf.DUMMYFUNCTION("""COMPUTED_VALUE"""),"shre23ece@cmrit.ac.in")</f>
        <v>shre23ece@cmrit.ac.in</v>
      </c>
      <c r="C1085" s="174" t="str">
        <f>IFERROR(__xludf.DUMMYFUNCTION("""COMPUTED_VALUE"""),"SHASHANK REDDY S")</f>
        <v>SHASHANK REDDY S</v>
      </c>
      <c r="D1085" s="155" t="str">
        <f>IFERROR(__xludf.DUMMYFUNCTION("""COMPUTED_VALUE"""),"1CR23EC200")</f>
        <v>1CR23EC200</v>
      </c>
      <c r="E1085" s="563">
        <f>IFERROR(__xludf.DUMMYFUNCTION("""COMPUTED_VALUE"""),9.148189679E9)</f>
        <v>9148189679</v>
      </c>
      <c r="F1085" s="155" t="str">
        <f>IFERROR(__xludf.DUMMYFUNCTION("""COMPUTED_VALUE"""),"ECE")</f>
        <v>ECE</v>
      </c>
      <c r="G1085" s="158"/>
      <c r="H1085" s="559">
        <f>IFERROR(__xludf.DUMMYFUNCTION("""COMPUTED_VALUE"""),72.0)</f>
        <v>72</v>
      </c>
      <c r="I1085" s="559">
        <f>IFERROR(__xludf.DUMMYFUNCTION("""COMPUTED_VALUE"""),77.0)</f>
        <v>77</v>
      </c>
      <c r="J1085" s="559">
        <f>IFERROR(__xludf.DUMMYFUNCTION("""COMPUTED_VALUE"""),49.0)</f>
        <v>49</v>
      </c>
      <c r="K1085" s="559">
        <f>IFERROR(__xludf.DUMMYFUNCTION("""COMPUTED_VALUE"""),17.0)</f>
        <v>17</v>
      </c>
      <c r="L1085" s="560">
        <f>IFERROR(__xludf.DUMMYFUNCTION("""COMPUTED_VALUE"""),50.0)</f>
        <v>50</v>
      </c>
      <c r="M1085" s="561">
        <f>IFERROR(__xludf.DUMMYFUNCTION("""COMPUTED_VALUE"""),8.0)</f>
        <v>8</v>
      </c>
      <c r="N1085" s="561">
        <f>IFERROR(__xludf.DUMMYFUNCTION("""COMPUTED_VALUE"""),0.0)</f>
        <v>0</v>
      </c>
      <c r="O1085" s="560"/>
      <c r="P1085" s="562">
        <f>IFERROR(__xludf.DUMMYFUNCTION("""COMPUTED_VALUE"""),0.0)</f>
        <v>0</v>
      </c>
      <c r="Q1085" s="562">
        <f>IFERROR(__xludf.DUMMYFUNCTION("""COMPUTED_VALUE"""),72.0)</f>
        <v>72</v>
      </c>
      <c r="R1085" s="562">
        <f>IFERROR(__xludf.DUMMYFUNCTION("""COMPUTED_VALUE"""),40.0)</f>
        <v>40</v>
      </c>
      <c r="S1085" s="562"/>
      <c r="T1085" s="217">
        <f>IFERROR(__xludf.DUMMYFUNCTION("""COMPUTED_VALUE"""),13.0)</f>
        <v>13</v>
      </c>
      <c r="U1085" s="217">
        <f>IFERROR(__xludf.DUMMYFUNCTION("""COMPUTED_VALUE"""),13.0)</f>
        <v>13</v>
      </c>
      <c r="V1085" s="217">
        <f>IFERROR(__xludf.DUMMYFUNCTION("""COMPUTED_VALUE"""),56.0)</f>
        <v>56</v>
      </c>
      <c r="W1085" s="217">
        <f>IFERROR(__xludf.DUMMYFUNCTION("""COMPUTED_VALUE"""),70.0)</f>
        <v>70</v>
      </c>
      <c r="X1085" s="217"/>
      <c r="Y1085" s="217"/>
      <c r="Z1085" s="217"/>
      <c r="AA1085" s="481">
        <f>IFERROR(__xludf.DUMMYFUNCTION("""COMPUTED_VALUE"""),4.0)</f>
        <v>4</v>
      </c>
      <c r="AB1085" s="481">
        <f>IFERROR(__xludf.DUMMYFUNCTION("""COMPUTED_VALUE"""),83.0)</f>
        <v>83</v>
      </c>
      <c r="AC1085" s="481">
        <f>IFERROR(__xludf.DUMMYFUNCTION("""COMPUTED_VALUE"""),4.0)</f>
        <v>4</v>
      </c>
      <c r="AD1085" s="481"/>
      <c r="AE1085" s="481">
        <f>IFERROR(__xludf.DUMMYFUNCTION("""COMPUTED_VALUE"""),10.0)</f>
        <v>10</v>
      </c>
      <c r="AF1085" s="481"/>
      <c r="AG1085" s="481"/>
      <c r="AH1085" s="481"/>
      <c r="AI1085" s="158"/>
      <c r="AJ1085" s="158"/>
      <c r="AK1085" s="133">
        <f>IFERROR(__xludf.DUMMYFUNCTION("""COMPUTED_VALUE"""),2.0)</f>
        <v>2</v>
      </c>
      <c r="AL1085" s="133">
        <f>IFERROR(__xludf.DUMMYFUNCTION("""COMPUTED_VALUE"""),1.0)</f>
        <v>1</v>
      </c>
      <c r="AM1085" s="133">
        <f>IFERROR(__xludf.DUMMYFUNCTION("""COMPUTED_VALUE"""),3.0)</f>
        <v>3</v>
      </c>
      <c r="AN1085" s="133" t="str">
        <f>IFERROR(__xludf.DUMMYFUNCTION("""COMPUTED_VALUE"""),"2")</f>
        <v>2</v>
      </c>
      <c r="AO1085" s="133">
        <f>IFERROR(__xludf.DUMMYFUNCTION("""COMPUTED_VALUE"""),0.0)</f>
        <v>0</v>
      </c>
      <c r="AP1085" s="155" t="s">
        <v>3736</v>
      </c>
    </row>
    <row r="1086">
      <c r="A1086" s="155">
        <f>IFERROR(__xludf.DUMMYFUNCTION("""COMPUTED_VALUE"""),193.0)</f>
        <v>193</v>
      </c>
      <c r="B1086" s="155" t="str">
        <f>IFERROR(__xludf.DUMMYFUNCTION("""COMPUTED_VALUE"""),"shv23ece@cmrit.ac.in")</f>
        <v>shv23ece@cmrit.ac.in</v>
      </c>
      <c r="C1086" s="174" t="str">
        <f>IFERROR(__xludf.DUMMYFUNCTION("""COMPUTED_VALUE"""),"SHASHANK V")</f>
        <v>SHASHANK V</v>
      </c>
      <c r="D1086" s="155" t="str">
        <f>IFERROR(__xludf.DUMMYFUNCTION("""COMPUTED_VALUE"""),"1CR23EC201")</f>
        <v>1CR23EC201</v>
      </c>
      <c r="E1086" s="563">
        <f>IFERROR(__xludf.DUMMYFUNCTION("""COMPUTED_VALUE"""),7.348864418E9)</f>
        <v>7348864418</v>
      </c>
      <c r="F1086" s="155" t="str">
        <f>IFERROR(__xludf.DUMMYFUNCTION("""COMPUTED_VALUE"""),"ECE")</f>
        <v>ECE</v>
      </c>
      <c r="G1086" s="158"/>
      <c r="H1086" s="559">
        <f>IFERROR(__xludf.DUMMYFUNCTION("""COMPUTED_VALUE"""),71.0)</f>
        <v>71</v>
      </c>
      <c r="I1086" s="559">
        <f>IFERROR(__xludf.DUMMYFUNCTION("""COMPUTED_VALUE"""),73.0)</f>
        <v>73</v>
      </c>
      <c r="J1086" s="559">
        <f>IFERROR(__xludf.DUMMYFUNCTION("""COMPUTED_VALUE"""),70.0)</f>
        <v>70</v>
      </c>
      <c r="K1086" s="559">
        <f>IFERROR(__xludf.DUMMYFUNCTION("""COMPUTED_VALUE"""),70.0)</f>
        <v>70</v>
      </c>
      <c r="L1086" s="560">
        <f>IFERROR(__xludf.DUMMYFUNCTION("""COMPUTED_VALUE"""),50.0)</f>
        <v>50</v>
      </c>
      <c r="M1086" s="561">
        <f>IFERROR(__xludf.DUMMYFUNCTION("""COMPUTED_VALUE"""),18.0)</f>
        <v>18</v>
      </c>
      <c r="N1086" s="561">
        <f>IFERROR(__xludf.DUMMYFUNCTION("""COMPUTED_VALUE"""),50.0)</f>
        <v>50</v>
      </c>
      <c r="O1086" s="560"/>
      <c r="P1086" s="562">
        <f>IFERROR(__xludf.DUMMYFUNCTION("""COMPUTED_VALUE"""),84.0)</f>
        <v>84</v>
      </c>
      <c r="Q1086" s="562">
        <f>IFERROR(__xludf.DUMMYFUNCTION("""COMPUTED_VALUE"""),59.0)</f>
        <v>59</v>
      </c>
      <c r="R1086" s="562">
        <f>IFERROR(__xludf.DUMMYFUNCTION("""COMPUTED_VALUE"""),99.0)</f>
        <v>99</v>
      </c>
      <c r="S1086" s="562"/>
      <c r="T1086" s="217">
        <f>IFERROR(__xludf.DUMMYFUNCTION("""COMPUTED_VALUE"""),10.0)</f>
        <v>10</v>
      </c>
      <c r="U1086" s="217">
        <f>IFERROR(__xludf.DUMMYFUNCTION("""COMPUTED_VALUE"""),19.0)</f>
        <v>19</v>
      </c>
      <c r="V1086" s="217">
        <f>IFERROR(__xludf.DUMMYFUNCTION("""COMPUTED_VALUE"""),54.0)</f>
        <v>54</v>
      </c>
      <c r="W1086" s="217">
        <f>IFERROR(__xludf.DUMMYFUNCTION("""COMPUTED_VALUE"""),78.0)</f>
        <v>78</v>
      </c>
      <c r="X1086" s="217">
        <f>IFERROR(__xludf.DUMMYFUNCTION("""COMPUTED_VALUE"""),78.0)</f>
        <v>78</v>
      </c>
      <c r="Y1086" s="217"/>
      <c r="Z1086" s="217"/>
      <c r="AA1086" s="481">
        <f>IFERROR(__xludf.DUMMYFUNCTION("""COMPUTED_VALUE"""),90.0)</f>
        <v>90</v>
      </c>
      <c r="AB1086" s="481">
        <f>IFERROR(__xludf.DUMMYFUNCTION("""COMPUTED_VALUE"""),95.0)</f>
        <v>95</v>
      </c>
      <c r="AC1086" s="481">
        <f>IFERROR(__xludf.DUMMYFUNCTION("""COMPUTED_VALUE"""),60.0)</f>
        <v>60</v>
      </c>
      <c r="AD1086" s="481"/>
      <c r="AE1086" s="481">
        <f>IFERROR(__xludf.DUMMYFUNCTION("""COMPUTED_VALUE"""),31.0)</f>
        <v>31</v>
      </c>
      <c r="AF1086" s="481"/>
      <c r="AG1086" s="481">
        <f>IFERROR(__xludf.DUMMYFUNCTION("""COMPUTED_VALUE"""),84.0)</f>
        <v>84</v>
      </c>
      <c r="AH1086" s="481"/>
      <c r="AI1086" s="158"/>
      <c r="AJ1086" s="158"/>
      <c r="AK1086" s="133">
        <f>IFERROR(__xludf.DUMMYFUNCTION("""COMPUTED_VALUE"""),4.0)</f>
        <v>4</v>
      </c>
      <c r="AL1086" s="133">
        <f>IFERROR(__xludf.DUMMYFUNCTION("""COMPUTED_VALUE"""),1.0)</f>
        <v>1</v>
      </c>
      <c r="AM1086" s="133">
        <f>IFERROR(__xludf.DUMMYFUNCTION("""COMPUTED_VALUE"""),3.0)</f>
        <v>3</v>
      </c>
      <c r="AN1086" s="133" t="str">
        <f>IFERROR(__xludf.DUMMYFUNCTION("""COMPUTED_VALUE"""),"3")</f>
        <v>3</v>
      </c>
      <c r="AO1086" s="133">
        <f>IFERROR(__xludf.DUMMYFUNCTION("""COMPUTED_VALUE"""),3.0)</f>
        <v>3</v>
      </c>
      <c r="AP1086" s="155" t="s">
        <v>3736</v>
      </c>
    </row>
    <row r="1087">
      <c r="A1087" s="155">
        <f>IFERROR(__xludf.DUMMYFUNCTION("""COMPUTED_VALUE"""),194.0)</f>
        <v>194</v>
      </c>
      <c r="B1087" s="155" t="str">
        <f>IFERROR(__xludf.DUMMYFUNCTION("""COMPUTED_VALUE"""),"shmi23ece@cmrit.ac.in")</f>
        <v>shmi23ece@cmrit.ac.in</v>
      </c>
      <c r="C1087" s="174" t="str">
        <f>IFERROR(__xludf.DUMMYFUNCTION("""COMPUTED_VALUE"""),"SHISHIR MITHRA")</f>
        <v>SHISHIR MITHRA</v>
      </c>
      <c r="D1087" s="155" t="str">
        <f>IFERROR(__xludf.DUMMYFUNCTION("""COMPUTED_VALUE"""),"1CR23EC202")</f>
        <v>1CR23EC202</v>
      </c>
      <c r="E1087" s="563">
        <f>IFERROR(__xludf.DUMMYFUNCTION("""COMPUTED_VALUE"""),9.902344266E9)</f>
        <v>9902344266</v>
      </c>
      <c r="F1087" s="155" t="str">
        <f>IFERROR(__xludf.DUMMYFUNCTION("""COMPUTED_VALUE"""),"ECE")</f>
        <v>ECE</v>
      </c>
      <c r="G1087" s="158"/>
      <c r="H1087" s="559">
        <f>IFERROR(__xludf.DUMMYFUNCTION("""COMPUTED_VALUE"""),75.0)</f>
        <v>75</v>
      </c>
      <c r="I1087" s="559">
        <f>IFERROR(__xludf.DUMMYFUNCTION("""COMPUTED_VALUE"""),74.0)</f>
        <v>74</v>
      </c>
      <c r="J1087" s="559">
        <f>IFERROR(__xludf.DUMMYFUNCTION("""COMPUTED_VALUE"""),51.0)</f>
        <v>51</v>
      </c>
      <c r="K1087" s="559">
        <f>IFERROR(__xludf.DUMMYFUNCTION("""COMPUTED_VALUE"""),4.0)</f>
        <v>4</v>
      </c>
      <c r="L1087" s="560">
        <f>IFERROR(__xludf.DUMMYFUNCTION("""COMPUTED_VALUE"""),30.0)</f>
        <v>30</v>
      </c>
      <c r="M1087" s="561">
        <f>IFERROR(__xludf.DUMMYFUNCTION("""COMPUTED_VALUE"""),10.0)</f>
        <v>10</v>
      </c>
      <c r="N1087" s="561">
        <f>IFERROR(__xludf.DUMMYFUNCTION("""COMPUTED_VALUE"""),0.0)</f>
        <v>0</v>
      </c>
      <c r="O1087" s="560"/>
      <c r="P1087" s="562">
        <f>IFERROR(__xludf.DUMMYFUNCTION("""COMPUTED_VALUE"""),79.0)</f>
        <v>79</v>
      </c>
      <c r="Q1087" s="562">
        <f>IFERROR(__xludf.DUMMYFUNCTION("""COMPUTED_VALUE"""),0.0)</f>
        <v>0</v>
      </c>
      <c r="R1087" s="562">
        <f>IFERROR(__xludf.DUMMYFUNCTION("""COMPUTED_VALUE"""),0.0)</f>
        <v>0</v>
      </c>
      <c r="S1087" s="562"/>
      <c r="T1087" s="217">
        <f>IFERROR(__xludf.DUMMYFUNCTION("""COMPUTED_VALUE"""),11.0)</f>
        <v>11</v>
      </c>
      <c r="U1087" s="217">
        <f>IFERROR(__xludf.DUMMYFUNCTION("""COMPUTED_VALUE"""),12.0)</f>
        <v>12</v>
      </c>
      <c r="V1087" s="217">
        <f>IFERROR(__xludf.DUMMYFUNCTION("""COMPUTED_VALUE"""),46.0)</f>
        <v>46</v>
      </c>
      <c r="W1087" s="217">
        <f>IFERROR(__xludf.DUMMYFUNCTION("""COMPUTED_VALUE"""),0.0)</f>
        <v>0</v>
      </c>
      <c r="X1087" s="217"/>
      <c r="Y1087" s="217"/>
      <c r="Z1087" s="217"/>
      <c r="AA1087" s="481">
        <f>IFERROR(__xludf.DUMMYFUNCTION("""COMPUTED_VALUE"""),20.0)</f>
        <v>20</v>
      </c>
      <c r="AB1087" s="481">
        <f>IFERROR(__xludf.DUMMYFUNCTION("""COMPUTED_VALUE"""),48.0)</f>
        <v>48</v>
      </c>
      <c r="AC1087" s="481">
        <f>IFERROR(__xludf.DUMMYFUNCTION("""COMPUTED_VALUE"""),0.0)</f>
        <v>0</v>
      </c>
      <c r="AD1087" s="481"/>
      <c r="AE1087" s="481">
        <f>IFERROR(__xludf.DUMMYFUNCTION("""COMPUTED_VALUE"""),10.0)</f>
        <v>10</v>
      </c>
      <c r="AF1087" s="481"/>
      <c r="AG1087" s="481"/>
      <c r="AH1087" s="481">
        <f>IFERROR(__xludf.DUMMYFUNCTION("""COMPUTED_VALUE"""),0.0)</f>
        <v>0</v>
      </c>
      <c r="AI1087" s="158"/>
      <c r="AJ1087" s="158"/>
      <c r="AK1087" s="133">
        <f>IFERROR(__xludf.DUMMYFUNCTION("""COMPUTED_VALUE"""),2.0)</f>
        <v>2</v>
      </c>
      <c r="AL1087" s="133">
        <f>IFERROR(__xludf.DUMMYFUNCTION("""COMPUTED_VALUE"""),0.0)</f>
        <v>0</v>
      </c>
      <c r="AM1087" s="133">
        <f>IFERROR(__xludf.DUMMYFUNCTION("""COMPUTED_VALUE"""),2.0)</f>
        <v>2</v>
      </c>
      <c r="AN1087" s="133" t="str">
        <f>IFERROR(__xludf.DUMMYFUNCTION("""COMPUTED_VALUE"""),"0")</f>
        <v>0</v>
      </c>
      <c r="AO1087" s="133">
        <f>IFERROR(__xludf.DUMMYFUNCTION("""COMPUTED_VALUE"""),1.0)</f>
        <v>1</v>
      </c>
      <c r="AP1087" s="155" t="s">
        <v>3736</v>
      </c>
    </row>
    <row r="1088">
      <c r="A1088" s="155">
        <f>IFERROR(__xludf.DUMMYFUNCTION("""COMPUTED_VALUE"""),195.0)</f>
        <v>195</v>
      </c>
      <c r="B1088" s="155" t="str">
        <f>IFERROR(__xludf.DUMMYFUNCTION("""COMPUTED_VALUE"""),"shkl23ece@cmrit.ac.in")</f>
        <v>shkl23ece@cmrit.ac.in</v>
      </c>
      <c r="C1088" s="174" t="str">
        <f>IFERROR(__xludf.DUMMYFUNCTION("""COMPUTED_VALUE"""),"Shravani KL")</f>
        <v>Shravani KL</v>
      </c>
      <c r="D1088" s="155" t="str">
        <f>IFERROR(__xludf.DUMMYFUNCTION("""COMPUTED_VALUE"""),"1CR23EC203")</f>
        <v>1CR23EC203</v>
      </c>
      <c r="E1088" s="563">
        <f>IFERROR(__xludf.DUMMYFUNCTION("""COMPUTED_VALUE"""),9.611844116E9)</f>
        <v>9611844116</v>
      </c>
      <c r="F1088" s="155" t="str">
        <f>IFERROR(__xludf.DUMMYFUNCTION("""COMPUTED_VALUE"""),"ECE")</f>
        <v>ECE</v>
      </c>
      <c r="G1088" s="158"/>
      <c r="H1088" s="559">
        <f>IFERROR(__xludf.DUMMYFUNCTION("""COMPUTED_VALUE"""),71.0)</f>
        <v>71</v>
      </c>
      <c r="I1088" s="559">
        <f>IFERROR(__xludf.DUMMYFUNCTION("""COMPUTED_VALUE"""),70.0)</f>
        <v>70</v>
      </c>
      <c r="J1088" s="559">
        <f>IFERROR(__xludf.DUMMYFUNCTION("""COMPUTED_VALUE"""),70.0)</f>
        <v>70</v>
      </c>
      <c r="K1088" s="559">
        <f>IFERROR(__xludf.DUMMYFUNCTION("""COMPUTED_VALUE"""),70.0)</f>
        <v>70</v>
      </c>
      <c r="L1088" s="560">
        <f>IFERROR(__xludf.DUMMYFUNCTION("""COMPUTED_VALUE"""),50.0)</f>
        <v>50</v>
      </c>
      <c r="M1088" s="561">
        <f>IFERROR(__xludf.DUMMYFUNCTION("""COMPUTED_VALUE"""),24.0)</f>
        <v>24</v>
      </c>
      <c r="N1088" s="561">
        <f>IFERROR(__xludf.DUMMYFUNCTION("""COMPUTED_VALUE"""),50.0)</f>
        <v>50</v>
      </c>
      <c r="O1088" s="560"/>
      <c r="P1088" s="562">
        <f>IFERROR(__xludf.DUMMYFUNCTION("""COMPUTED_VALUE"""),0.0)</f>
        <v>0</v>
      </c>
      <c r="Q1088" s="562">
        <f>IFERROR(__xludf.DUMMYFUNCTION("""COMPUTED_VALUE"""),67.0)</f>
        <v>67</v>
      </c>
      <c r="R1088" s="562">
        <f>IFERROR(__xludf.DUMMYFUNCTION("""COMPUTED_VALUE"""),74.0)</f>
        <v>74</v>
      </c>
      <c r="S1088" s="562"/>
      <c r="T1088" s="217">
        <f>IFERROR(__xludf.DUMMYFUNCTION("""COMPUTED_VALUE"""),8.0)</f>
        <v>8</v>
      </c>
      <c r="U1088" s="217">
        <f>IFERROR(__xludf.DUMMYFUNCTION("""COMPUTED_VALUE"""),16.0)</f>
        <v>16</v>
      </c>
      <c r="V1088" s="217">
        <f>IFERROR(__xludf.DUMMYFUNCTION("""COMPUTED_VALUE"""),44.0)</f>
        <v>44</v>
      </c>
      <c r="W1088" s="217">
        <f>IFERROR(__xludf.DUMMYFUNCTION("""COMPUTED_VALUE"""),72.0)</f>
        <v>72</v>
      </c>
      <c r="X1088" s="217">
        <f>IFERROR(__xludf.DUMMYFUNCTION("""COMPUTED_VALUE"""),66.0)</f>
        <v>66</v>
      </c>
      <c r="Y1088" s="217"/>
      <c r="Z1088" s="217"/>
      <c r="AA1088" s="481">
        <f>IFERROR(__xludf.DUMMYFUNCTION("""COMPUTED_VALUE"""),10.0)</f>
        <v>10</v>
      </c>
      <c r="AB1088" s="481">
        <f>IFERROR(__xludf.DUMMYFUNCTION("""COMPUTED_VALUE"""),34.0)</f>
        <v>34</v>
      </c>
      <c r="AC1088" s="481">
        <f>IFERROR(__xludf.DUMMYFUNCTION("""COMPUTED_VALUE"""),52.0)</f>
        <v>52</v>
      </c>
      <c r="AD1088" s="481"/>
      <c r="AE1088" s="481">
        <f>IFERROR(__xludf.DUMMYFUNCTION("""COMPUTED_VALUE"""),15.0)</f>
        <v>15</v>
      </c>
      <c r="AF1088" s="481"/>
      <c r="AG1088" s="481"/>
      <c r="AH1088" s="481"/>
      <c r="AI1088" s="158"/>
      <c r="AJ1088" s="158"/>
      <c r="AK1088" s="133">
        <f>IFERROR(__xludf.DUMMYFUNCTION("""COMPUTED_VALUE"""),4.0)</f>
        <v>4</v>
      </c>
      <c r="AL1088" s="133">
        <f>IFERROR(__xludf.DUMMYFUNCTION("""COMPUTED_VALUE"""),1.0)</f>
        <v>1</v>
      </c>
      <c r="AM1088" s="133">
        <f>IFERROR(__xludf.DUMMYFUNCTION("""COMPUTED_VALUE"""),3.0)</f>
        <v>3</v>
      </c>
      <c r="AN1088" s="133" t="str">
        <f>IFERROR(__xludf.DUMMYFUNCTION("""COMPUTED_VALUE"""),"0")</f>
        <v>0</v>
      </c>
      <c r="AO1088" s="133">
        <f>IFERROR(__xludf.DUMMYFUNCTION("""COMPUTED_VALUE"""),0.0)</f>
        <v>0</v>
      </c>
      <c r="AP1088" s="155" t="s">
        <v>3736</v>
      </c>
    </row>
    <row r="1089">
      <c r="A1089" s="155">
        <f>IFERROR(__xludf.DUMMYFUNCTION("""COMPUTED_VALUE"""),196.0)</f>
        <v>196</v>
      </c>
      <c r="B1089" s="155" t="str">
        <f>IFERROR(__xludf.DUMMYFUNCTION("""COMPUTED_VALUE"""),"shs23ece@cmrit.ac.in")</f>
        <v>shs23ece@cmrit.ac.in</v>
      </c>
      <c r="C1089" s="174" t="str">
        <f>IFERROR(__xludf.DUMMYFUNCTION("""COMPUTED_VALUE"""),"SHRAVANI S")</f>
        <v>SHRAVANI S</v>
      </c>
      <c r="D1089" s="155" t="str">
        <f>IFERROR(__xludf.DUMMYFUNCTION("""COMPUTED_VALUE"""),"1CR23EC204")</f>
        <v>1CR23EC204</v>
      </c>
      <c r="E1089" s="563">
        <f>IFERROR(__xludf.DUMMYFUNCTION("""COMPUTED_VALUE"""),9.591898777E9)</f>
        <v>9591898777</v>
      </c>
      <c r="F1089" s="155" t="str">
        <f>IFERROR(__xludf.DUMMYFUNCTION("""COMPUTED_VALUE"""),"ECE")</f>
        <v>ECE</v>
      </c>
      <c r="G1089" s="158"/>
      <c r="H1089" s="559">
        <f>IFERROR(__xludf.DUMMYFUNCTION("""COMPUTED_VALUE"""),74.0)</f>
        <v>74</v>
      </c>
      <c r="I1089" s="559">
        <f>IFERROR(__xludf.DUMMYFUNCTION("""COMPUTED_VALUE"""),73.0)</f>
        <v>73</v>
      </c>
      <c r="J1089" s="559">
        <f>IFERROR(__xludf.DUMMYFUNCTION("""COMPUTED_VALUE"""),70.0)</f>
        <v>70</v>
      </c>
      <c r="K1089" s="559">
        <f>IFERROR(__xludf.DUMMYFUNCTION("""COMPUTED_VALUE"""),70.0)</f>
        <v>70</v>
      </c>
      <c r="L1089" s="560">
        <f>IFERROR(__xludf.DUMMYFUNCTION("""COMPUTED_VALUE"""),50.0)</f>
        <v>50</v>
      </c>
      <c r="M1089" s="561">
        <f>IFERROR(__xludf.DUMMYFUNCTION("""COMPUTED_VALUE"""),15.0)</f>
        <v>15</v>
      </c>
      <c r="N1089" s="561">
        <f>IFERROR(__xludf.DUMMYFUNCTION("""COMPUTED_VALUE"""),50.0)</f>
        <v>50</v>
      </c>
      <c r="O1089" s="560"/>
      <c r="P1089" s="562">
        <f>IFERROR(__xludf.DUMMYFUNCTION("""COMPUTED_VALUE"""),84.0)</f>
        <v>84</v>
      </c>
      <c r="Q1089" s="562">
        <f>IFERROR(__xludf.DUMMYFUNCTION("""COMPUTED_VALUE"""),61.0)</f>
        <v>61</v>
      </c>
      <c r="R1089" s="562">
        <f>IFERROR(__xludf.DUMMYFUNCTION("""COMPUTED_VALUE"""),85.0)</f>
        <v>85</v>
      </c>
      <c r="S1089" s="562"/>
      <c r="T1089" s="217">
        <f>IFERROR(__xludf.DUMMYFUNCTION("""COMPUTED_VALUE"""),13.0)</f>
        <v>13</v>
      </c>
      <c r="U1089" s="217">
        <f>IFERROR(__xludf.DUMMYFUNCTION("""COMPUTED_VALUE"""),18.0)</f>
        <v>18</v>
      </c>
      <c r="V1089" s="217">
        <f>IFERROR(__xludf.DUMMYFUNCTION("""COMPUTED_VALUE"""),46.0)</f>
        <v>46</v>
      </c>
      <c r="W1089" s="217">
        <f>IFERROR(__xludf.DUMMYFUNCTION("""COMPUTED_VALUE"""),72.0)</f>
        <v>72</v>
      </c>
      <c r="X1089" s="217">
        <f>IFERROR(__xludf.DUMMYFUNCTION("""COMPUTED_VALUE"""),68.0)</f>
        <v>68</v>
      </c>
      <c r="Y1089" s="217"/>
      <c r="Z1089" s="217"/>
      <c r="AA1089" s="481">
        <f>IFERROR(__xludf.DUMMYFUNCTION("""COMPUTED_VALUE"""),76.0)</f>
        <v>76</v>
      </c>
      <c r="AB1089" s="481">
        <f>IFERROR(__xludf.DUMMYFUNCTION("""COMPUTED_VALUE"""),74.0)</f>
        <v>74</v>
      </c>
      <c r="AC1089" s="481">
        <f>IFERROR(__xludf.DUMMYFUNCTION("""COMPUTED_VALUE"""),97.0)</f>
        <v>97</v>
      </c>
      <c r="AD1089" s="481"/>
      <c r="AE1089" s="481">
        <f>IFERROR(__xludf.DUMMYFUNCTION("""COMPUTED_VALUE"""),70.0)</f>
        <v>70</v>
      </c>
      <c r="AF1089" s="481"/>
      <c r="AG1089" s="481"/>
      <c r="AH1089" s="481"/>
      <c r="AI1089" s="158"/>
      <c r="AJ1089" s="158"/>
      <c r="AK1089" s="133">
        <f>IFERROR(__xludf.DUMMYFUNCTION("""COMPUTED_VALUE"""),4.0)</f>
        <v>4</v>
      </c>
      <c r="AL1089" s="133">
        <f>IFERROR(__xludf.DUMMYFUNCTION("""COMPUTED_VALUE"""),1.0)</f>
        <v>1</v>
      </c>
      <c r="AM1089" s="133">
        <f>IFERROR(__xludf.DUMMYFUNCTION("""COMPUTED_VALUE"""),3.0)</f>
        <v>3</v>
      </c>
      <c r="AN1089" s="133" t="str">
        <f>IFERROR(__xludf.DUMMYFUNCTION("""COMPUTED_VALUE"""),"3.5")</f>
        <v>3.5</v>
      </c>
      <c r="AO1089" s="133">
        <f>IFERROR(__xludf.DUMMYFUNCTION("""COMPUTED_VALUE"""),3.0)</f>
        <v>3</v>
      </c>
      <c r="AP1089" s="155" t="s">
        <v>3736</v>
      </c>
    </row>
    <row r="1090">
      <c r="A1090" s="155">
        <f>IFERROR(__xludf.DUMMYFUNCTION("""COMPUTED_VALUE"""),197.0)</f>
        <v>197</v>
      </c>
      <c r="B1090" s="155" t="str">
        <f>IFERROR(__xludf.DUMMYFUNCTION("""COMPUTED_VALUE"""),"shum23ece@cmrit.ac.in")</f>
        <v>shum23ece@cmrit.ac.in</v>
      </c>
      <c r="C1090" s="174" t="str">
        <f>IFERROR(__xludf.DUMMYFUNCTION("""COMPUTED_VALUE"""),"Shweta Umeshchandra Karjinni ")</f>
        <v>Shweta Umeshchandra Karjinni </v>
      </c>
      <c r="D1090" s="155" t="str">
        <f>IFERROR(__xludf.DUMMYFUNCTION("""COMPUTED_VALUE"""),"1CR23EC205")</f>
        <v>1CR23EC205</v>
      </c>
      <c r="E1090" s="563">
        <f>IFERROR(__xludf.DUMMYFUNCTION("""COMPUTED_VALUE"""),8.217827602E9)</f>
        <v>8217827602</v>
      </c>
      <c r="F1090" s="155" t="str">
        <f>IFERROR(__xludf.DUMMYFUNCTION("""COMPUTED_VALUE"""),"ECE")</f>
        <v>ECE</v>
      </c>
      <c r="G1090" s="158"/>
      <c r="H1090" s="559">
        <f>IFERROR(__xludf.DUMMYFUNCTION("""COMPUTED_VALUE"""),82.0)</f>
        <v>82</v>
      </c>
      <c r="I1090" s="559">
        <f>IFERROR(__xludf.DUMMYFUNCTION("""COMPUTED_VALUE"""),86.0)</f>
        <v>86</v>
      </c>
      <c r="J1090" s="559">
        <f>IFERROR(__xludf.DUMMYFUNCTION("""COMPUTED_VALUE"""),78.0)</f>
        <v>78</v>
      </c>
      <c r="K1090" s="559">
        <f>IFERROR(__xludf.DUMMYFUNCTION("""COMPUTED_VALUE"""),70.0)</f>
        <v>70</v>
      </c>
      <c r="L1090" s="560">
        <f>IFERROR(__xludf.DUMMYFUNCTION("""COMPUTED_VALUE"""),50.0)</f>
        <v>50</v>
      </c>
      <c r="M1090" s="561">
        <f>IFERROR(__xludf.DUMMYFUNCTION("""COMPUTED_VALUE"""),26.0)</f>
        <v>26</v>
      </c>
      <c r="N1090" s="561">
        <f>IFERROR(__xludf.DUMMYFUNCTION("""COMPUTED_VALUE"""),50.0)</f>
        <v>50</v>
      </c>
      <c r="O1090" s="560"/>
      <c r="P1090" s="562">
        <f>IFERROR(__xludf.DUMMYFUNCTION("""COMPUTED_VALUE"""),70.0)</f>
        <v>70</v>
      </c>
      <c r="Q1090" s="562">
        <f>IFERROR(__xludf.DUMMYFUNCTION("""COMPUTED_VALUE"""),88.0)</f>
        <v>88</v>
      </c>
      <c r="R1090" s="562">
        <f>IFERROR(__xludf.DUMMYFUNCTION("""COMPUTED_VALUE"""),95.0)</f>
        <v>95</v>
      </c>
      <c r="S1090" s="562"/>
      <c r="T1090" s="217">
        <f>IFERROR(__xludf.DUMMYFUNCTION("""COMPUTED_VALUE"""),18.0)</f>
        <v>18</v>
      </c>
      <c r="U1090" s="217">
        <f>IFERROR(__xludf.DUMMYFUNCTION("""COMPUTED_VALUE"""),14.0)</f>
        <v>14</v>
      </c>
      <c r="V1090" s="217">
        <f>IFERROR(__xludf.DUMMYFUNCTION("""COMPUTED_VALUE"""),46.0)</f>
        <v>46</v>
      </c>
      <c r="W1090" s="217">
        <f>IFERROR(__xludf.DUMMYFUNCTION("""COMPUTED_VALUE"""),84.0)</f>
        <v>84</v>
      </c>
      <c r="X1090" s="217">
        <f>IFERROR(__xludf.DUMMYFUNCTION("""COMPUTED_VALUE"""),72.0)</f>
        <v>72</v>
      </c>
      <c r="Y1090" s="217"/>
      <c r="Z1090" s="217"/>
      <c r="AA1090" s="481">
        <f>IFERROR(__xludf.DUMMYFUNCTION("""COMPUTED_VALUE"""),92.0)</f>
        <v>92</v>
      </c>
      <c r="AB1090" s="481">
        <f>IFERROR(__xludf.DUMMYFUNCTION("""COMPUTED_VALUE"""),88.0)</f>
        <v>88</v>
      </c>
      <c r="AC1090" s="481">
        <f>IFERROR(__xludf.DUMMYFUNCTION("""COMPUTED_VALUE"""),64.0)</f>
        <v>64</v>
      </c>
      <c r="AD1090" s="481"/>
      <c r="AE1090" s="481">
        <f>IFERROR(__xludf.DUMMYFUNCTION("""COMPUTED_VALUE"""),70.0)</f>
        <v>70</v>
      </c>
      <c r="AF1090" s="481"/>
      <c r="AG1090" s="481">
        <f>IFERROR(__xludf.DUMMYFUNCTION("""COMPUTED_VALUE"""),91.0)</f>
        <v>91</v>
      </c>
      <c r="AH1090" s="481"/>
      <c r="AI1090" s="158"/>
      <c r="AJ1090" s="158"/>
      <c r="AK1090" s="133">
        <f>IFERROR(__xludf.DUMMYFUNCTION("""COMPUTED_VALUE"""),4.0)</f>
        <v>4</v>
      </c>
      <c r="AL1090" s="133">
        <f>IFERROR(__xludf.DUMMYFUNCTION("""COMPUTED_VALUE"""),1.0)</f>
        <v>1</v>
      </c>
      <c r="AM1090" s="133">
        <f>IFERROR(__xludf.DUMMYFUNCTION("""COMPUTED_VALUE"""),3.0)</f>
        <v>3</v>
      </c>
      <c r="AN1090" s="133" t="str">
        <f>IFERROR(__xludf.DUMMYFUNCTION("""COMPUTED_VALUE"""),"3.5")</f>
        <v>3.5</v>
      </c>
      <c r="AO1090" s="133">
        <f>IFERROR(__xludf.DUMMYFUNCTION("""COMPUTED_VALUE"""),3.0)</f>
        <v>3</v>
      </c>
      <c r="AP1090" s="155" t="s">
        <v>3736</v>
      </c>
    </row>
    <row r="1091">
      <c r="A1091" s="155">
        <f>IFERROR(__xludf.DUMMYFUNCTION("""COMPUTED_VALUE"""),198.0)</f>
        <v>198</v>
      </c>
      <c r="B1091" s="155" t="str">
        <f>IFERROR(__xludf.DUMMYFUNCTION("""COMPUTED_VALUE"""),"sop23ece@cmrit.ac.in")</f>
        <v>sop23ece@cmrit.ac.in</v>
      </c>
      <c r="C1091" s="174" t="str">
        <f>IFERROR(__xludf.DUMMYFUNCTION("""COMPUTED_VALUE"""),"SOHAN P")</f>
        <v>SOHAN P</v>
      </c>
      <c r="D1091" s="155" t="str">
        <f>IFERROR(__xludf.DUMMYFUNCTION("""COMPUTED_VALUE"""),"1CR23EC207")</f>
        <v>1CR23EC207</v>
      </c>
      <c r="E1091" s="563">
        <f>IFERROR(__xludf.DUMMYFUNCTION("""COMPUTED_VALUE"""),7.795412571E9)</f>
        <v>7795412571</v>
      </c>
      <c r="F1091" s="155" t="str">
        <f>IFERROR(__xludf.DUMMYFUNCTION("""COMPUTED_VALUE"""),"ECE")</f>
        <v>ECE</v>
      </c>
      <c r="G1091" s="158"/>
      <c r="H1091" s="559">
        <f>IFERROR(__xludf.DUMMYFUNCTION("""COMPUTED_VALUE"""),79.0)</f>
        <v>79</v>
      </c>
      <c r="I1091" s="559">
        <f>IFERROR(__xludf.DUMMYFUNCTION("""COMPUTED_VALUE"""),78.0)</f>
        <v>78</v>
      </c>
      <c r="J1091" s="559">
        <f>IFERROR(__xludf.DUMMYFUNCTION("""COMPUTED_VALUE"""),57.0)</f>
        <v>57</v>
      </c>
      <c r="K1091" s="559">
        <f>IFERROR(__xludf.DUMMYFUNCTION("""COMPUTED_VALUE"""),70.0)</f>
        <v>70</v>
      </c>
      <c r="L1091" s="560">
        <f>IFERROR(__xludf.DUMMYFUNCTION("""COMPUTED_VALUE"""),50.0)</f>
        <v>50</v>
      </c>
      <c r="M1091" s="561">
        <f>IFERROR(__xludf.DUMMYFUNCTION("""COMPUTED_VALUE"""),50.0)</f>
        <v>50</v>
      </c>
      <c r="N1091" s="561">
        <f>IFERROR(__xludf.DUMMYFUNCTION("""COMPUTED_VALUE"""),50.0)</f>
        <v>50</v>
      </c>
      <c r="O1091" s="560"/>
      <c r="P1091" s="562">
        <f>IFERROR(__xludf.DUMMYFUNCTION("""COMPUTED_VALUE"""),75.0)</f>
        <v>75</v>
      </c>
      <c r="Q1091" s="562">
        <f>IFERROR(__xludf.DUMMYFUNCTION("""COMPUTED_VALUE"""),64.0)</f>
        <v>64</v>
      </c>
      <c r="R1091" s="562">
        <f>IFERROR(__xludf.DUMMYFUNCTION("""COMPUTED_VALUE"""),50.0)</f>
        <v>50</v>
      </c>
      <c r="S1091" s="562"/>
      <c r="T1091" s="217">
        <f>IFERROR(__xludf.DUMMYFUNCTION("""COMPUTED_VALUE"""),20.0)</f>
        <v>20</v>
      </c>
      <c r="U1091" s="217">
        <f>IFERROR(__xludf.DUMMYFUNCTION("""COMPUTED_VALUE"""),18.0)</f>
        <v>18</v>
      </c>
      <c r="V1091" s="217">
        <f>IFERROR(__xludf.DUMMYFUNCTION("""COMPUTED_VALUE"""),38.0)</f>
        <v>38</v>
      </c>
      <c r="W1091" s="217">
        <f>IFERROR(__xludf.DUMMYFUNCTION("""COMPUTED_VALUE"""),80.0)</f>
        <v>80</v>
      </c>
      <c r="X1091" s="217">
        <f>IFERROR(__xludf.DUMMYFUNCTION("""COMPUTED_VALUE"""),66.0)</f>
        <v>66</v>
      </c>
      <c r="Y1091" s="217"/>
      <c r="Z1091" s="217"/>
      <c r="AA1091" s="481">
        <f>IFERROR(__xludf.DUMMYFUNCTION("""COMPUTED_VALUE"""),63.2)</f>
        <v>63.2</v>
      </c>
      <c r="AB1091" s="481">
        <f>IFERROR(__xludf.DUMMYFUNCTION("""COMPUTED_VALUE"""),74.0)</f>
        <v>74</v>
      </c>
      <c r="AC1091" s="481">
        <f>IFERROR(__xludf.DUMMYFUNCTION("""COMPUTED_VALUE"""),69.0)</f>
        <v>69</v>
      </c>
      <c r="AD1091" s="481"/>
      <c r="AE1091" s="481">
        <f>IFERROR(__xludf.DUMMYFUNCTION("""COMPUTED_VALUE"""),70.0)</f>
        <v>70</v>
      </c>
      <c r="AF1091" s="481"/>
      <c r="AG1091" s="481"/>
      <c r="AH1091" s="481">
        <f>IFERROR(__xludf.DUMMYFUNCTION("""COMPUTED_VALUE"""),0.0)</f>
        <v>0</v>
      </c>
      <c r="AI1091" s="158"/>
      <c r="AJ1091" s="158"/>
      <c r="AK1091" s="133">
        <f>IFERROR(__xludf.DUMMYFUNCTION("""COMPUTED_VALUE"""),2.0)</f>
        <v>2</v>
      </c>
      <c r="AL1091" s="133">
        <f>IFERROR(__xludf.DUMMYFUNCTION("""COMPUTED_VALUE"""),3.0)</f>
        <v>3</v>
      </c>
      <c r="AM1091" s="133">
        <f>IFERROR(__xludf.DUMMYFUNCTION("""COMPUTED_VALUE"""),3.0)</f>
        <v>3</v>
      </c>
      <c r="AN1091" s="133" t="str">
        <f>IFERROR(__xludf.DUMMYFUNCTION("""COMPUTED_VALUE"""),"3.5")</f>
        <v>3.5</v>
      </c>
      <c r="AO1091" s="133">
        <f>IFERROR(__xludf.DUMMYFUNCTION("""COMPUTED_VALUE"""),3.0)</f>
        <v>3</v>
      </c>
      <c r="AP1091" s="155" t="s">
        <v>3736</v>
      </c>
    </row>
    <row r="1092">
      <c r="A1092" s="155">
        <f>IFERROR(__xludf.DUMMYFUNCTION("""COMPUTED_VALUE"""),199.0)</f>
        <v>199</v>
      </c>
      <c r="B1092" s="155" t="str">
        <f>IFERROR(__xludf.DUMMYFUNCTION("""COMPUTED_VALUE"""),"so23ece@cmrit.ac.in")</f>
        <v>so23ece@cmrit.ac.in</v>
      </c>
      <c r="C1092" s="174" t="str">
        <f>IFERROR(__xludf.DUMMYFUNCTION("""COMPUTED_VALUE"""),"SOURAADHITHYA")</f>
        <v>SOURAADHITHYA</v>
      </c>
      <c r="D1092" s="155" t="str">
        <f>IFERROR(__xludf.DUMMYFUNCTION("""COMPUTED_VALUE"""),"1CR23EC208")</f>
        <v>1CR23EC208</v>
      </c>
      <c r="E1092" s="563">
        <f>IFERROR(__xludf.DUMMYFUNCTION("""COMPUTED_VALUE"""),8.618175984E9)</f>
        <v>8618175984</v>
      </c>
      <c r="F1092" s="155" t="str">
        <f>IFERROR(__xludf.DUMMYFUNCTION("""COMPUTED_VALUE"""),"ECE")</f>
        <v>ECE</v>
      </c>
      <c r="G1092" s="158"/>
      <c r="H1092" s="559">
        <f>IFERROR(__xludf.DUMMYFUNCTION("""COMPUTED_VALUE"""),80.0)</f>
        <v>80</v>
      </c>
      <c r="I1092" s="559">
        <f>IFERROR(__xludf.DUMMYFUNCTION("""COMPUTED_VALUE"""),89.0)</f>
        <v>89</v>
      </c>
      <c r="J1092" s="559">
        <f>IFERROR(__xludf.DUMMYFUNCTION("""COMPUTED_VALUE"""),71.0)</f>
        <v>71</v>
      </c>
      <c r="K1092" s="559">
        <f>IFERROR(__xludf.DUMMYFUNCTION("""COMPUTED_VALUE"""),70.0)</f>
        <v>70</v>
      </c>
      <c r="L1092" s="560">
        <f>IFERROR(__xludf.DUMMYFUNCTION("""COMPUTED_VALUE"""),50.0)</f>
        <v>50</v>
      </c>
      <c r="M1092" s="561">
        <f>IFERROR(__xludf.DUMMYFUNCTION("""COMPUTED_VALUE"""),50.0)</f>
        <v>50</v>
      </c>
      <c r="N1092" s="561">
        <f>IFERROR(__xludf.DUMMYFUNCTION("""COMPUTED_VALUE"""),50.0)</f>
        <v>50</v>
      </c>
      <c r="O1092" s="560"/>
      <c r="P1092" s="562">
        <f>IFERROR(__xludf.DUMMYFUNCTION("""COMPUTED_VALUE"""),70.0)</f>
        <v>70</v>
      </c>
      <c r="Q1092" s="562">
        <f>IFERROR(__xludf.DUMMYFUNCTION("""COMPUTED_VALUE"""),56.0)</f>
        <v>56</v>
      </c>
      <c r="R1092" s="562">
        <f>IFERROR(__xludf.DUMMYFUNCTION("""COMPUTED_VALUE"""),50.0)</f>
        <v>50</v>
      </c>
      <c r="S1092" s="562"/>
      <c r="T1092" s="217">
        <f>IFERROR(__xludf.DUMMYFUNCTION("""COMPUTED_VALUE"""),12.0)</f>
        <v>12</v>
      </c>
      <c r="U1092" s="217">
        <f>IFERROR(__xludf.DUMMYFUNCTION("""COMPUTED_VALUE"""),20.0)</f>
        <v>20</v>
      </c>
      <c r="V1092" s="217">
        <f>IFERROR(__xludf.DUMMYFUNCTION("""COMPUTED_VALUE"""),30.0)</f>
        <v>30</v>
      </c>
      <c r="W1092" s="217">
        <f>IFERROR(__xludf.DUMMYFUNCTION("""COMPUTED_VALUE"""),84.0)</f>
        <v>84</v>
      </c>
      <c r="X1092" s="217">
        <f>IFERROR(__xludf.DUMMYFUNCTION("""COMPUTED_VALUE"""),56.0)</f>
        <v>56</v>
      </c>
      <c r="Y1092" s="217"/>
      <c r="Z1092" s="217"/>
      <c r="AA1092" s="481">
        <f>IFERROR(__xludf.DUMMYFUNCTION("""COMPUTED_VALUE"""),80.0)</f>
        <v>80</v>
      </c>
      <c r="AB1092" s="481">
        <f>IFERROR(__xludf.DUMMYFUNCTION("""COMPUTED_VALUE"""),100.0)</f>
        <v>100</v>
      </c>
      <c r="AC1092" s="481">
        <f>IFERROR(__xludf.DUMMYFUNCTION("""COMPUTED_VALUE"""),77.0)</f>
        <v>77</v>
      </c>
      <c r="AD1092" s="481"/>
      <c r="AE1092" s="481">
        <f>IFERROR(__xludf.DUMMYFUNCTION("""COMPUTED_VALUE"""),27.0)</f>
        <v>27</v>
      </c>
      <c r="AF1092" s="481"/>
      <c r="AG1092" s="481"/>
      <c r="AH1092" s="481">
        <f>IFERROR(__xludf.DUMMYFUNCTION("""COMPUTED_VALUE"""),70.0)</f>
        <v>70</v>
      </c>
      <c r="AI1092" s="158"/>
      <c r="AJ1092" s="158"/>
      <c r="AK1092" s="133">
        <f>IFERROR(__xludf.DUMMYFUNCTION("""COMPUTED_VALUE"""),4.0)</f>
        <v>4</v>
      </c>
      <c r="AL1092" s="133">
        <f>IFERROR(__xludf.DUMMYFUNCTION("""COMPUTED_VALUE"""),3.0)</f>
        <v>3</v>
      </c>
      <c r="AM1092" s="133">
        <f>IFERROR(__xludf.DUMMYFUNCTION("""COMPUTED_VALUE"""),3.0)</f>
        <v>3</v>
      </c>
      <c r="AN1092" s="133" t="str">
        <f>IFERROR(__xludf.DUMMYFUNCTION("""COMPUTED_VALUE"""),"3")</f>
        <v>3</v>
      </c>
      <c r="AO1092" s="133">
        <f>IFERROR(__xludf.DUMMYFUNCTION("""COMPUTED_VALUE"""),3.0)</f>
        <v>3</v>
      </c>
      <c r="AP1092" s="155" t="s">
        <v>3736</v>
      </c>
    </row>
    <row r="1093">
      <c r="A1093" s="155">
        <f>IFERROR(__xludf.DUMMYFUNCTION("""COMPUTED_VALUE"""),200.0)</f>
        <v>200</v>
      </c>
      <c r="B1093" s="155" t="str">
        <f>IFERROR(__xludf.DUMMYFUNCTION("""COMPUTED_VALUE"""),"sosh23ece@cmrit.ac.in")</f>
        <v>sosh23ece@cmrit.ac.in</v>
      </c>
      <c r="C1093" s="174" t="str">
        <f>IFERROR(__xludf.DUMMYFUNCTION("""COMPUTED_VALUE"""),"Sowmyashree")</f>
        <v>Sowmyashree</v>
      </c>
      <c r="D1093" s="155" t="str">
        <f>IFERROR(__xludf.DUMMYFUNCTION("""COMPUTED_VALUE"""),"1CR23EC209")</f>
        <v>1CR23EC209</v>
      </c>
      <c r="E1093" s="563">
        <f>IFERROR(__xludf.DUMMYFUNCTION("""COMPUTED_VALUE"""),8.884476139E9)</f>
        <v>8884476139</v>
      </c>
      <c r="F1093" s="155" t="str">
        <f>IFERROR(__xludf.DUMMYFUNCTION("""COMPUTED_VALUE"""),"ECE")</f>
        <v>ECE</v>
      </c>
      <c r="G1093" s="158"/>
      <c r="H1093" s="559">
        <f>IFERROR(__xludf.DUMMYFUNCTION("""COMPUTED_VALUE"""),88.0)</f>
        <v>88</v>
      </c>
      <c r="I1093" s="559">
        <f>IFERROR(__xludf.DUMMYFUNCTION("""COMPUTED_VALUE"""),83.0)</f>
        <v>83</v>
      </c>
      <c r="J1093" s="559">
        <f>IFERROR(__xludf.DUMMYFUNCTION("""COMPUTED_VALUE"""),71.0)</f>
        <v>71</v>
      </c>
      <c r="K1093" s="559">
        <f>IFERROR(__xludf.DUMMYFUNCTION("""COMPUTED_VALUE"""),70.0)</f>
        <v>70</v>
      </c>
      <c r="L1093" s="560">
        <f>IFERROR(__xludf.DUMMYFUNCTION("""COMPUTED_VALUE"""),55.0)</f>
        <v>55</v>
      </c>
      <c r="M1093" s="561">
        <f>IFERROR(__xludf.DUMMYFUNCTION("""COMPUTED_VALUE"""),50.0)</f>
        <v>50</v>
      </c>
      <c r="N1093" s="561">
        <f>IFERROR(__xludf.DUMMYFUNCTION("""COMPUTED_VALUE"""),50.0)</f>
        <v>50</v>
      </c>
      <c r="O1093" s="560"/>
      <c r="P1093" s="562">
        <f>IFERROR(__xludf.DUMMYFUNCTION("""COMPUTED_VALUE"""),70.0)</f>
        <v>70</v>
      </c>
      <c r="Q1093" s="562">
        <f>IFERROR(__xludf.DUMMYFUNCTION("""COMPUTED_VALUE"""),75.0)</f>
        <v>75</v>
      </c>
      <c r="R1093" s="562">
        <f>IFERROR(__xludf.DUMMYFUNCTION("""COMPUTED_VALUE"""),89.0)</f>
        <v>89</v>
      </c>
      <c r="S1093" s="562"/>
      <c r="T1093" s="217">
        <f>IFERROR(__xludf.DUMMYFUNCTION("""COMPUTED_VALUE"""),16.0)</f>
        <v>16</v>
      </c>
      <c r="U1093" s="217">
        <f>IFERROR(__xludf.DUMMYFUNCTION("""COMPUTED_VALUE"""),16.0)</f>
        <v>16</v>
      </c>
      <c r="V1093" s="217">
        <f>IFERROR(__xludf.DUMMYFUNCTION("""COMPUTED_VALUE"""),42.0)</f>
        <v>42</v>
      </c>
      <c r="W1093" s="217">
        <f>IFERROR(__xludf.DUMMYFUNCTION("""COMPUTED_VALUE"""),78.0)</f>
        <v>78</v>
      </c>
      <c r="X1093" s="217">
        <f>IFERROR(__xludf.DUMMYFUNCTION("""COMPUTED_VALUE"""),68.0)</f>
        <v>68</v>
      </c>
      <c r="Y1093" s="217"/>
      <c r="Z1093" s="217"/>
      <c r="AA1093" s="481">
        <f>IFERROR(__xludf.DUMMYFUNCTION("""COMPUTED_VALUE"""),67.0)</f>
        <v>67</v>
      </c>
      <c r="AB1093" s="481">
        <f>IFERROR(__xludf.DUMMYFUNCTION("""COMPUTED_VALUE"""),85.0)</f>
        <v>85</v>
      </c>
      <c r="AC1093" s="481">
        <f>IFERROR(__xludf.DUMMYFUNCTION("""COMPUTED_VALUE"""),63.0)</f>
        <v>63</v>
      </c>
      <c r="AD1093" s="481"/>
      <c r="AE1093" s="481">
        <f>IFERROR(__xludf.DUMMYFUNCTION("""COMPUTED_VALUE"""),70.0)</f>
        <v>70</v>
      </c>
      <c r="AF1093" s="481"/>
      <c r="AG1093" s="481"/>
      <c r="AH1093" s="481"/>
      <c r="AI1093" s="158"/>
      <c r="AJ1093" s="158"/>
      <c r="AK1093" s="133">
        <f>IFERROR(__xludf.DUMMYFUNCTION("""COMPUTED_VALUE"""),4.0)</f>
        <v>4</v>
      </c>
      <c r="AL1093" s="133">
        <f>IFERROR(__xludf.DUMMYFUNCTION("""COMPUTED_VALUE"""),3.0)</f>
        <v>3</v>
      </c>
      <c r="AM1093" s="133">
        <f>IFERROR(__xludf.DUMMYFUNCTION("""COMPUTED_VALUE"""),3.0)</f>
        <v>3</v>
      </c>
      <c r="AN1093" s="133" t="str">
        <f>IFERROR(__xludf.DUMMYFUNCTION("""COMPUTED_VALUE"""),"3.5")</f>
        <v>3.5</v>
      </c>
      <c r="AO1093" s="133">
        <f>IFERROR(__xludf.DUMMYFUNCTION("""COMPUTED_VALUE"""),3.0)</f>
        <v>3</v>
      </c>
      <c r="AP1093" s="155" t="s">
        <v>3736</v>
      </c>
    </row>
    <row r="1094">
      <c r="A1094" s="155">
        <f>IFERROR(__xludf.DUMMYFUNCTION("""COMPUTED_VALUE"""),201.0)</f>
        <v>201</v>
      </c>
      <c r="B1094" s="155" t="str">
        <f>IFERROR(__xludf.DUMMYFUNCTION("""COMPUTED_VALUE"""),"sptr23ece@cmrit.ac.in")</f>
        <v>sptr23ece@cmrit.ac.in</v>
      </c>
      <c r="C1094" s="174" t="str">
        <f>IFERROR(__xludf.DUMMYFUNCTION("""COMPUTED_VALUE"""),"Spandana T R")</f>
        <v>Spandana T R</v>
      </c>
      <c r="D1094" s="155" t="str">
        <f>IFERROR(__xludf.DUMMYFUNCTION("""COMPUTED_VALUE"""),"1CR23EC210")</f>
        <v>1CR23EC210</v>
      </c>
      <c r="E1094" s="563">
        <f>IFERROR(__xludf.DUMMYFUNCTION("""COMPUTED_VALUE"""),9.008789067E9)</f>
        <v>9008789067</v>
      </c>
      <c r="F1094" s="155" t="str">
        <f>IFERROR(__xludf.DUMMYFUNCTION("""COMPUTED_VALUE"""),"ECE")</f>
        <v>ECE</v>
      </c>
      <c r="G1094" s="158"/>
      <c r="H1094" s="559">
        <f>IFERROR(__xludf.DUMMYFUNCTION("""COMPUTED_VALUE"""),86.0)</f>
        <v>86</v>
      </c>
      <c r="I1094" s="559">
        <f>IFERROR(__xludf.DUMMYFUNCTION("""COMPUTED_VALUE"""),78.0)</f>
        <v>78</v>
      </c>
      <c r="J1094" s="559">
        <f>IFERROR(__xludf.DUMMYFUNCTION("""COMPUTED_VALUE"""),72.0)</f>
        <v>72</v>
      </c>
      <c r="K1094" s="559">
        <f>IFERROR(__xludf.DUMMYFUNCTION("""COMPUTED_VALUE"""),70.0)</f>
        <v>70</v>
      </c>
      <c r="L1094" s="560">
        <f>IFERROR(__xludf.DUMMYFUNCTION("""COMPUTED_VALUE"""),59.0)</f>
        <v>59</v>
      </c>
      <c r="M1094" s="561">
        <f>IFERROR(__xludf.DUMMYFUNCTION("""COMPUTED_VALUE"""),7.0)</f>
        <v>7</v>
      </c>
      <c r="N1094" s="561">
        <f>IFERROR(__xludf.DUMMYFUNCTION("""COMPUTED_VALUE"""),50.0)</f>
        <v>50</v>
      </c>
      <c r="O1094" s="560"/>
      <c r="P1094" s="562">
        <f>IFERROR(__xludf.DUMMYFUNCTION("""COMPUTED_VALUE"""),70.0)</f>
        <v>70</v>
      </c>
      <c r="Q1094" s="562">
        <f>IFERROR(__xludf.DUMMYFUNCTION("""COMPUTED_VALUE"""),56.0)</f>
        <v>56</v>
      </c>
      <c r="R1094" s="562">
        <f>IFERROR(__xludf.DUMMYFUNCTION("""COMPUTED_VALUE"""),82.0)</f>
        <v>82</v>
      </c>
      <c r="S1094" s="562"/>
      <c r="T1094" s="217">
        <f>IFERROR(__xludf.DUMMYFUNCTION("""COMPUTED_VALUE"""),14.0)</f>
        <v>14</v>
      </c>
      <c r="U1094" s="217">
        <f>IFERROR(__xludf.DUMMYFUNCTION("""COMPUTED_VALUE"""),18.0)</f>
        <v>18</v>
      </c>
      <c r="V1094" s="217">
        <f>IFERROR(__xludf.DUMMYFUNCTION("""COMPUTED_VALUE"""),52.0)</f>
        <v>52</v>
      </c>
      <c r="W1094" s="217">
        <f>IFERROR(__xludf.DUMMYFUNCTION("""COMPUTED_VALUE"""),76.0)</f>
        <v>76</v>
      </c>
      <c r="X1094" s="217">
        <f>IFERROR(__xludf.DUMMYFUNCTION("""COMPUTED_VALUE"""),72.0)</f>
        <v>72</v>
      </c>
      <c r="Y1094" s="217"/>
      <c r="Z1094" s="217"/>
      <c r="AA1094" s="481">
        <f>IFERROR(__xludf.DUMMYFUNCTION("""COMPUTED_VALUE"""),68.0)</f>
        <v>68</v>
      </c>
      <c r="AB1094" s="481">
        <f>IFERROR(__xludf.DUMMYFUNCTION("""COMPUTED_VALUE"""),100.0)</f>
        <v>100</v>
      </c>
      <c r="AC1094" s="481">
        <f>IFERROR(__xludf.DUMMYFUNCTION("""COMPUTED_VALUE"""),77.0)</f>
        <v>77</v>
      </c>
      <c r="AD1094" s="481"/>
      <c r="AE1094" s="481">
        <f>IFERROR(__xludf.DUMMYFUNCTION("""COMPUTED_VALUE"""),70.0)</f>
        <v>70</v>
      </c>
      <c r="AF1094" s="481"/>
      <c r="AG1094" s="481"/>
      <c r="AH1094" s="481"/>
      <c r="AI1094" s="158"/>
      <c r="AJ1094" s="158"/>
      <c r="AK1094" s="133">
        <f>IFERROR(__xludf.DUMMYFUNCTION("""COMPUTED_VALUE"""),4.0)</f>
        <v>4</v>
      </c>
      <c r="AL1094" s="133">
        <f>IFERROR(__xludf.DUMMYFUNCTION("""COMPUTED_VALUE"""),1.0)</f>
        <v>1</v>
      </c>
      <c r="AM1094" s="133">
        <f>IFERROR(__xludf.DUMMYFUNCTION("""COMPUTED_VALUE"""),3.0)</f>
        <v>3</v>
      </c>
      <c r="AN1094" s="133" t="str">
        <f>IFERROR(__xludf.DUMMYFUNCTION("""COMPUTED_VALUE"""),"3.5")</f>
        <v>3.5</v>
      </c>
      <c r="AO1094" s="133">
        <f>IFERROR(__xludf.DUMMYFUNCTION("""COMPUTED_VALUE"""),3.0)</f>
        <v>3</v>
      </c>
      <c r="AP1094" s="155" t="s">
        <v>3736</v>
      </c>
    </row>
    <row r="1095">
      <c r="A1095" s="155">
        <f>IFERROR(__xludf.DUMMYFUNCTION("""COMPUTED_VALUE"""),202.0)</f>
        <v>202</v>
      </c>
      <c r="B1095" s="155" t="str">
        <f>IFERROR(__xludf.DUMMYFUNCTION("""COMPUTED_VALUE"""),"srsa23ece@cmrit.ac.in")</f>
        <v>srsa23ece@cmrit.ac.in</v>
      </c>
      <c r="C1095" s="174" t="str">
        <f>IFERROR(__xludf.DUMMYFUNCTION("""COMPUTED_VALUE"""),"SRESTHA SARKAR")</f>
        <v>SRESTHA SARKAR</v>
      </c>
      <c r="D1095" s="155" t="str">
        <f>IFERROR(__xludf.DUMMYFUNCTION("""COMPUTED_VALUE"""),"1CR23EC211")</f>
        <v>1CR23EC211</v>
      </c>
      <c r="E1095" s="563">
        <f>IFERROR(__xludf.DUMMYFUNCTION("""COMPUTED_VALUE"""),8.017393847E9)</f>
        <v>8017393847</v>
      </c>
      <c r="F1095" s="155" t="str">
        <f>IFERROR(__xludf.DUMMYFUNCTION("""COMPUTED_VALUE"""),"ECE")</f>
        <v>ECE</v>
      </c>
      <c r="G1095" s="158"/>
      <c r="H1095" s="559">
        <f>IFERROR(__xludf.DUMMYFUNCTION("""COMPUTED_VALUE"""),95.0)</f>
        <v>95</v>
      </c>
      <c r="I1095" s="559">
        <f>IFERROR(__xludf.DUMMYFUNCTION("""COMPUTED_VALUE"""),92.0)</f>
        <v>92</v>
      </c>
      <c r="J1095" s="559">
        <f>IFERROR(__xludf.DUMMYFUNCTION("""COMPUTED_VALUE"""),85.0)</f>
        <v>85</v>
      </c>
      <c r="K1095" s="559">
        <f>IFERROR(__xludf.DUMMYFUNCTION("""COMPUTED_VALUE"""),77.0)</f>
        <v>77</v>
      </c>
      <c r="L1095" s="560">
        <f>IFERROR(__xludf.DUMMYFUNCTION("""COMPUTED_VALUE"""),56.0)</f>
        <v>56</v>
      </c>
      <c r="M1095" s="561">
        <f>IFERROR(__xludf.DUMMYFUNCTION("""COMPUTED_VALUE"""),50.0)</f>
        <v>50</v>
      </c>
      <c r="N1095" s="561">
        <f>IFERROR(__xludf.DUMMYFUNCTION("""COMPUTED_VALUE"""),50.0)</f>
        <v>50</v>
      </c>
      <c r="O1095" s="560"/>
      <c r="P1095" s="562">
        <f>IFERROR(__xludf.DUMMYFUNCTION("""COMPUTED_VALUE"""),78.0)</f>
        <v>78</v>
      </c>
      <c r="Q1095" s="562">
        <f>IFERROR(__xludf.DUMMYFUNCTION("""COMPUTED_VALUE"""),88.0)</f>
        <v>88</v>
      </c>
      <c r="R1095" s="562">
        <f>IFERROR(__xludf.DUMMYFUNCTION("""COMPUTED_VALUE"""),92.0)</f>
        <v>92</v>
      </c>
      <c r="S1095" s="562"/>
      <c r="T1095" s="217">
        <f>IFERROR(__xludf.DUMMYFUNCTION("""COMPUTED_VALUE"""),12.0)</f>
        <v>12</v>
      </c>
      <c r="U1095" s="217">
        <f>IFERROR(__xludf.DUMMYFUNCTION("""COMPUTED_VALUE"""),19.0)</f>
        <v>19</v>
      </c>
      <c r="V1095" s="217">
        <f>IFERROR(__xludf.DUMMYFUNCTION("""COMPUTED_VALUE"""),60.0)</f>
        <v>60</v>
      </c>
      <c r="W1095" s="217">
        <f>IFERROR(__xludf.DUMMYFUNCTION("""COMPUTED_VALUE"""),70.0)</f>
        <v>70</v>
      </c>
      <c r="X1095" s="217">
        <f>IFERROR(__xludf.DUMMYFUNCTION("""COMPUTED_VALUE"""),66.0)</f>
        <v>66</v>
      </c>
      <c r="Y1095" s="217"/>
      <c r="Z1095" s="217"/>
      <c r="AA1095" s="481">
        <f>IFERROR(__xludf.DUMMYFUNCTION("""COMPUTED_VALUE"""),100.0)</f>
        <v>100</v>
      </c>
      <c r="AB1095" s="481">
        <f>IFERROR(__xludf.DUMMYFUNCTION("""COMPUTED_VALUE"""),100.0)</f>
        <v>100</v>
      </c>
      <c r="AC1095" s="481">
        <f>IFERROR(__xludf.DUMMYFUNCTION("""COMPUTED_VALUE"""),60.0)</f>
        <v>60</v>
      </c>
      <c r="AD1095" s="481"/>
      <c r="AE1095" s="481">
        <f>IFERROR(__xludf.DUMMYFUNCTION("""COMPUTED_VALUE"""),40.0)</f>
        <v>40</v>
      </c>
      <c r="AF1095" s="481"/>
      <c r="AG1095" s="481"/>
      <c r="AH1095" s="481">
        <f>IFERROR(__xludf.DUMMYFUNCTION("""COMPUTED_VALUE"""),13.0)</f>
        <v>13</v>
      </c>
      <c r="AI1095" s="158"/>
      <c r="AJ1095" s="158"/>
      <c r="AK1095" s="133">
        <f>IFERROR(__xludf.DUMMYFUNCTION("""COMPUTED_VALUE"""),4.0)</f>
        <v>4</v>
      </c>
      <c r="AL1095" s="133">
        <f>IFERROR(__xludf.DUMMYFUNCTION("""COMPUTED_VALUE"""),3.0)</f>
        <v>3</v>
      </c>
      <c r="AM1095" s="133">
        <f>IFERROR(__xludf.DUMMYFUNCTION("""COMPUTED_VALUE"""),3.0)</f>
        <v>3</v>
      </c>
      <c r="AN1095" s="133" t="str">
        <f>IFERROR(__xludf.DUMMYFUNCTION("""COMPUTED_VALUE"""),"3")</f>
        <v>3</v>
      </c>
      <c r="AO1095" s="133">
        <f>IFERROR(__xludf.DUMMYFUNCTION("""COMPUTED_VALUE"""),3.0)</f>
        <v>3</v>
      </c>
      <c r="AP1095" s="155" t="s">
        <v>3736</v>
      </c>
    </row>
    <row r="1096">
      <c r="A1096" s="155">
        <f>IFERROR(__xludf.DUMMYFUNCTION("""COMPUTED_VALUE"""),203.0)</f>
        <v>203</v>
      </c>
      <c r="B1096" s="155" t="str">
        <f>IFERROR(__xludf.DUMMYFUNCTION("""COMPUTED_VALUE"""),"srb23ece@cmrit.ac.in")</f>
        <v>srb23ece@cmrit.ac.in</v>
      </c>
      <c r="C1096" s="174" t="str">
        <f>IFERROR(__xludf.DUMMYFUNCTION("""COMPUTED_VALUE"""),"Sri Vardhan B")</f>
        <v>Sri Vardhan B</v>
      </c>
      <c r="D1096" s="155" t="str">
        <f>IFERROR(__xludf.DUMMYFUNCTION("""COMPUTED_VALUE"""),"1CR23EC212")</f>
        <v>1CR23EC212</v>
      </c>
      <c r="E1096" s="563">
        <f>IFERROR(__xludf.DUMMYFUNCTION("""COMPUTED_VALUE"""),9.591116299E9)</f>
        <v>9591116299</v>
      </c>
      <c r="F1096" s="155" t="str">
        <f>IFERROR(__xludf.DUMMYFUNCTION("""COMPUTED_VALUE"""),"ECE")</f>
        <v>ECE</v>
      </c>
      <c r="G1096" s="158"/>
      <c r="H1096" s="559">
        <f>IFERROR(__xludf.DUMMYFUNCTION("""COMPUTED_VALUE"""),74.0)</f>
        <v>74</v>
      </c>
      <c r="I1096" s="559">
        <f>IFERROR(__xludf.DUMMYFUNCTION("""COMPUTED_VALUE"""),74.0)</f>
        <v>74</v>
      </c>
      <c r="J1096" s="559">
        <f>IFERROR(__xludf.DUMMYFUNCTION("""COMPUTED_VALUE"""),62.0)</f>
        <v>62</v>
      </c>
      <c r="K1096" s="559">
        <f>IFERROR(__xludf.DUMMYFUNCTION("""COMPUTED_VALUE"""),70.0)</f>
        <v>70</v>
      </c>
      <c r="L1096" s="560">
        <f>IFERROR(__xludf.DUMMYFUNCTION("""COMPUTED_VALUE"""),27.0)</f>
        <v>27</v>
      </c>
      <c r="M1096" s="561">
        <f>IFERROR(__xludf.DUMMYFUNCTION("""COMPUTED_VALUE"""),50.0)</f>
        <v>50</v>
      </c>
      <c r="N1096" s="561">
        <f>IFERROR(__xludf.DUMMYFUNCTION("""COMPUTED_VALUE"""),50.0)</f>
        <v>50</v>
      </c>
      <c r="O1096" s="560"/>
      <c r="P1096" s="562">
        <f>IFERROR(__xludf.DUMMYFUNCTION("""COMPUTED_VALUE"""),77.0)</f>
        <v>77</v>
      </c>
      <c r="Q1096" s="562">
        <f>IFERROR(__xludf.DUMMYFUNCTION("""COMPUTED_VALUE"""),64.0)</f>
        <v>64</v>
      </c>
      <c r="R1096" s="562">
        <f>IFERROR(__xludf.DUMMYFUNCTION("""COMPUTED_VALUE"""),50.0)</f>
        <v>50</v>
      </c>
      <c r="S1096" s="562"/>
      <c r="T1096" s="217">
        <f>IFERROR(__xludf.DUMMYFUNCTION("""COMPUTED_VALUE"""),13.0)</f>
        <v>13</v>
      </c>
      <c r="U1096" s="217">
        <f>IFERROR(__xludf.DUMMYFUNCTION("""COMPUTED_VALUE"""),18.0)</f>
        <v>18</v>
      </c>
      <c r="V1096" s="217">
        <f>IFERROR(__xludf.DUMMYFUNCTION("""COMPUTED_VALUE"""),38.0)</f>
        <v>38</v>
      </c>
      <c r="W1096" s="217">
        <f>IFERROR(__xludf.DUMMYFUNCTION("""COMPUTED_VALUE"""),82.0)</f>
        <v>82</v>
      </c>
      <c r="X1096" s="217">
        <f>IFERROR(__xludf.DUMMYFUNCTION("""COMPUTED_VALUE"""),72.0)</f>
        <v>72</v>
      </c>
      <c r="Y1096" s="217"/>
      <c r="Z1096" s="217"/>
      <c r="AA1096" s="481">
        <f>IFERROR(__xludf.DUMMYFUNCTION("""COMPUTED_VALUE"""),69.0)</f>
        <v>69</v>
      </c>
      <c r="AB1096" s="481">
        <f>IFERROR(__xludf.DUMMYFUNCTION("""COMPUTED_VALUE"""),93.0)</f>
        <v>93</v>
      </c>
      <c r="AC1096" s="481">
        <f>IFERROR(__xludf.DUMMYFUNCTION("""COMPUTED_VALUE"""),80.0)</f>
        <v>80</v>
      </c>
      <c r="AD1096" s="481"/>
      <c r="AE1096" s="481">
        <f>IFERROR(__xludf.DUMMYFUNCTION("""COMPUTED_VALUE"""),90.0)</f>
        <v>90</v>
      </c>
      <c r="AF1096" s="481"/>
      <c r="AG1096" s="481"/>
      <c r="AH1096" s="481"/>
      <c r="AI1096" s="158"/>
      <c r="AJ1096" s="158"/>
      <c r="AK1096" s="133">
        <f>IFERROR(__xludf.DUMMYFUNCTION("""COMPUTED_VALUE"""),2.0)</f>
        <v>2</v>
      </c>
      <c r="AL1096" s="133">
        <f>IFERROR(__xludf.DUMMYFUNCTION("""COMPUTED_VALUE"""),0.0)</f>
        <v>0</v>
      </c>
      <c r="AM1096" s="133">
        <f>IFERROR(__xludf.DUMMYFUNCTION("""COMPUTED_VALUE"""),3.0)</f>
        <v>3</v>
      </c>
      <c r="AN1096" s="133" t="str">
        <f>IFERROR(__xludf.DUMMYFUNCTION("""COMPUTED_VALUE"""),"3.5")</f>
        <v>3.5</v>
      </c>
      <c r="AO1096" s="133">
        <f>IFERROR(__xludf.DUMMYFUNCTION("""COMPUTED_VALUE"""),3.0)</f>
        <v>3</v>
      </c>
      <c r="AP1096" s="155" t="s">
        <v>3736</v>
      </c>
    </row>
    <row r="1097">
      <c r="A1097" s="155">
        <f>IFERROR(__xludf.DUMMYFUNCTION("""COMPUTED_VALUE"""),204.0)</f>
        <v>204</v>
      </c>
      <c r="B1097" s="155" t="str">
        <f>IFERROR(__xludf.DUMMYFUNCTION("""COMPUTED_VALUE"""),"srsh23ece@cmrit.ac.in")</f>
        <v>srsh23ece@cmrit.ac.in</v>
      </c>
      <c r="C1097" s="174" t="str">
        <f>IFERROR(__xludf.DUMMYFUNCTION("""COMPUTED_VALUE"""),"SRIJAN SHIVAKUMAR KAKHANDAKI")</f>
        <v>SRIJAN SHIVAKUMAR KAKHANDAKI</v>
      </c>
      <c r="D1097" s="155" t="str">
        <f>IFERROR(__xludf.DUMMYFUNCTION("""COMPUTED_VALUE"""),"1CR23EC213")</f>
        <v>1CR23EC213</v>
      </c>
      <c r="E1097" s="563">
        <f>IFERROR(__xludf.DUMMYFUNCTION("""COMPUTED_VALUE"""),9.108129684E9)</f>
        <v>9108129684</v>
      </c>
      <c r="F1097" s="155" t="str">
        <f>IFERROR(__xludf.DUMMYFUNCTION("""COMPUTED_VALUE"""),"ECE")</f>
        <v>ECE</v>
      </c>
      <c r="G1097" s="158"/>
      <c r="H1097" s="559">
        <f>IFERROR(__xludf.DUMMYFUNCTION("""COMPUTED_VALUE"""),88.0)</f>
        <v>88</v>
      </c>
      <c r="I1097" s="559">
        <f>IFERROR(__xludf.DUMMYFUNCTION("""COMPUTED_VALUE"""),88.0)</f>
        <v>88</v>
      </c>
      <c r="J1097" s="559">
        <f>IFERROR(__xludf.DUMMYFUNCTION("""COMPUTED_VALUE"""),72.0)</f>
        <v>72</v>
      </c>
      <c r="K1097" s="559">
        <f>IFERROR(__xludf.DUMMYFUNCTION("""COMPUTED_VALUE"""),79.0)</f>
        <v>79</v>
      </c>
      <c r="L1097" s="560">
        <f>IFERROR(__xludf.DUMMYFUNCTION("""COMPUTED_VALUE"""),50.0)</f>
        <v>50</v>
      </c>
      <c r="M1097" s="561">
        <f>IFERROR(__xludf.DUMMYFUNCTION("""COMPUTED_VALUE"""),0.0)</f>
        <v>0</v>
      </c>
      <c r="N1097" s="561">
        <f>IFERROR(__xludf.DUMMYFUNCTION("""COMPUTED_VALUE"""),0.0)</f>
        <v>0</v>
      </c>
      <c r="O1097" s="560"/>
      <c r="P1097" s="562">
        <f>IFERROR(__xludf.DUMMYFUNCTION("""COMPUTED_VALUE"""),75.0)</f>
        <v>75</v>
      </c>
      <c r="Q1097" s="562">
        <f>IFERROR(__xludf.DUMMYFUNCTION("""COMPUTED_VALUE"""),0.0)</f>
        <v>0</v>
      </c>
      <c r="R1097" s="562">
        <f>IFERROR(__xludf.DUMMYFUNCTION("""COMPUTED_VALUE"""),45.0)</f>
        <v>45</v>
      </c>
      <c r="S1097" s="562"/>
      <c r="T1097" s="217">
        <f>IFERROR(__xludf.DUMMYFUNCTION("""COMPUTED_VALUE"""),11.0)</f>
        <v>11</v>
      </c>
      <c r="U1097" s="217">
        <f>IFERROR(__xludf.DUMMYFUNCTION("""COMPUTED_VALUE"""),16.0)</f>
        <v>16</v>
      </c>
      <c r="V1097" s="217">
        <f>IFERROR(__xludf.DUMMYFUNCTION("""COMPUTED_VALUE"""),52.0)</f>
        <v>52</v>
      </c>
      <c r="W1097" s="217">
        <f>IFERROR(__xludf.DUMMYFUNCTION("""COMPUTED_VALUE"""),86.0)</f>
        <v>86</v>
      </c>
      <c r="X1097" s="217"/>
      <c r="Y1097" s="217"/>
      <c r="Z1097" s="217"/>
      <c r="AA1097" s="481">
        <f>IFERROR(__xludf.DUMMYFUNCTION("""COMPUTED_VALUE"""),100.0)</f>
        <v>100</v>
      </c>
      <c r="AB1097" s="481">
        <f>IFERROR(__xludf.DUMMYFUNCTION("""COMPUTED_VALUE"""),100.0)</f>
        <v>100</v>
      </c>
      <c r="AC1097" s="481">
        <f>IFERROR(__xludf.DUMMYFUNCTION("""COMPUTED_VALUE"""),0.0)</f>
        <v>0</v>
      </c>
      <c r="AD1097" s="481"/>
      <c r="AE1097" s="481">
        <f>IFERROR(__xludf.DUMMYFUNCTION("""COMPUTED_VALUE"""),10.0)</f>
        <v>10</v>
      </c>
      <c r="AF1097" s="481"/>
      <c r="AG1097" s="481"/>
      <c r="AH1097" s="481">
        <f>IFERROR(__xludf.DUMMYFUNCTION("""COMPUTED_VALUE"""),0.0)</f>
        <v>0</v>
      </c>
      <c r="AI1097" s="158"/>
      <c r="AJ1097" s="158"/>
      <c r="AK1097" s="133">
        <f>IFERROR(__xludf.DUMMYFUNCTION("""COMPUTED_VALUE"""),4.0)</f>
        <v>4</v>
      </c>
      <c r="AL1097" s="133">
        <f>IFERROR(__xludf.DUMMYFUNCTION("""COMPUTED_VALUE"""),1.0)</f>
        <v>1</v>
      </c>
      <c r="AM1097" s="133">
        <f>IFERROR(__xludf.DUMMYFUNCTION("""COMPUTED_VALUE"""),3.0)</f>
        <v>3</v>
      </c>
      <c r="AN1097" s="133" t="str">
        <f>IFERROR(__xludf.DUMMYFUNCTION("""COMPUTED_VALUE"""),"2")</f>
        <v>2</v>
      </c>
      <c r="AO1097" s="133">
        <f>IFERROR(__xludf.DUMMYFUNCTION("""COMPUTED_VALUE"""),1.0)</f>
        <v>1</v>
      </c>
      <c r="AP1097" s="155" t="s">
        <v>3736</v>
      </c>
    </row>
    <row r="1098">
      <c r="A1098" s="155">
        <f>IFERROR(__xludf.DUMMYFUNCTION("""COMPUTED_VALUE"""),205.0)</f>
        <v>205</v>
      </c>
      <c r="B1098" s="155" t="str">
        <f>IFERROR(__xludf.DUMMYFUNCTION("""COMPUTED_VALUE"""),"sruh23ece@cmrit.ac.in")</f>
        <v>sruh23ece@cmrit.ac.in</v>
      </c>
      <c r="C1098" s="174" t="str">
        <f>IFERROR(__xludf.DUMMYFUNCTION("""COMPUTED_VALUE"""),"SRUSHTI BENNEHALLI HANUMESH")</f>
        <v>SRUSHTI BENNEHALLI HANUMESH</v>
      </c>
      <c r="D1098" s="155" t="str">
        <f>IFERROR(__xludf.DUMMYFUNCTION("""COMPUTED_VALUE"""),"1CR23EC215")</f>
        <v>1CR23EC215</v>
      </c>
      <c r="E1098" s="563">
        <f>IFERROR(__xludf.DUMMYFUNCTION("""COMPUTED_VALUE"""),8.105148087E9)</f>
        <v>8105148087</v>
      </c>
      <c r="F1098" s="155" t="str">
        <f>IFERROR(__xludf.DUMMYFUNCTION("""COMPUTED_VALUE"""),"ECE")</f>
        <v>ECE</v>
      </c>
      <c r="G1098" s="158"/>
      <c r="H1098" s="559">
        <f>IFERROR(__xludf.DUMMYFUNCTION("""COMPUTED_VALUE"""),86.0)</f>
        <v>86</v>
      </c>
      <c r="I1098" s="559">
        <f>IFERROR(__xludf.DUMMYFUNCTION("""COMPUTED_VALUE"""),76.0)</f>
        <v>76</v>
      </c>
      <c r="J1098" s="559">
        <f>IFERROR(__xludf.DUMMYFUNCTION("""COMPUTED_VALUE"""),74.0)</f>
        <v>74</v>
      </c>
      <c r="K1098" s="559">
        <f>IFERROR(__xludf.DUMMYFUNCTION("""COMPUTED_VALUE"""),70.0)</f>
        <v>70</v>
      </c>
      <c r="L1098" s="560">
        <f>IFERROR(__xludf.DUMMYFUNCTION("""COMPUTED_VALUE"""),50.0)</f>
        <v>50</v>
      </c>
      <c r="M1098" s="561">
        <f>IFERROR(__xludf.DUMMYFUNCTION("""COMPUTED_VALUE"""),10.0)</f>
        <v>10</v>
      </c>
      <c r="N1098" s="561">
        <f>IFERROR(__xludf.DUMMYFUNCTION("""COMPUTED_VALUE"""),50.0)</f>
        <v>50</v>
      </c>
      <c r="O1098" s="560"/>
      <c r="P1098" s="562">
        <f>IFERROR(__xludf.DUMMYFUNCTION("""COMPUTED_VALUE"""),75.0)</f>
        <v>75</v>
      </c>
      <c r="Q1098" s="562">
        <f>IFERROR(__xludf.DUMMYFUNCTION("""COMPUTED_VALUE"""),70.0)</f>
        <v>70</v>
      </c>
      <c r="R1098" s="562">
        <f>IFERROR(__xludf.DUMMYFUNCTION("""COMPUTED_VALUE"""),84.0)</f>
        <v>84</v>
      </c>
      <c r="S1098" s="562"/>
      <c r="T1098" s="217">
        <f>IFERROR(__xludf.DUMMYFUNCTION("""COMPUTED_VALUE"""),11.0)</f>
        <v>11</v>
      </c>
      <c r="U1098" s="217">
        <f>IFERROR(__xludf.DUMMYFUNCTION("""COMPUTED_VALUE"""),20.0)</f>
        <v>20</v>
      </c>
      <c r="V1098" s="217">
        <f>IFERROR(__xludf.DUMMYFUNCTION("""COMPUTED_VALUE"""),52.0)</f>
        <v>52</v>
      </c>
      <c r="W1098" s="217">
        <f>IFERROR(__xludf.DUMMYFUNCTION("""COMPUTED_VALUE"""),80.0)</f>
        <v>80</v>
      </c>
      <c r="X1098" s="217">
        <f>IFERROR(__xludf.DUMMYFUNCTION("""COMPUTED_VALUE"""),72.0)</f>
        <v>72</v>
      </c>
      <c r="Y1098" s="217"/>
      <c r="Z1098" s="217"/>
      <c r="AA1098" s="481">
        <f>IFERROR(__xludf.DUMMYFUNCTION("""COMPUTED_VALUE"""),82.0)</f>
        <v>82</v>
      </c>
      <c r="AB1098" s="481">
        <f>IFERROR(__xludf.DUMMYFUNCTION("""COMPUTED_VALUE"""),100.0)</f>
        <v>100</v>
      </c>
      <c r="AC1098" s="481">
        <f>IFERROR(__xludf.DUMMYFUNCTION("""COMPUTED_VALUE"""),77.0)</f>
        <v>77</v>
      </c>
      <c r="AD1098" s="481"/>
      <c r="AE1098" s="481">
        <f>IFERROR(__xludf.DUMMYFUNCTION("""COMPUTED_VALUE"""),70.0)</f>
        <v>70</v>
      </c>
      <c r="AF1098" s="481"/>
      <c r="AG1098" s="481"/>
      <c r="AH1098" s="481"/>
      <c r="AI1098" s="158"/>
      <c r="AJ1098" s="158"/>
      <c r="AK1098" s="133">
        <f>IFERROR(__xludf.DUMMYFUNCTION("""COMPUTED_VALUE"""),4.0)</f>
        <v>4</v>
      </c>
      <c r="AL1098" s="133">
        <f>IFERROR(__xludf.DUMMYFUNCTION("""COMPUTED_VALUE"""),1.0)</f>
        <v>1</v>
      </c>
      <c r="AM1098" s="133">
        <f>IFERROR(__xludf.DUMMYFUNCTION("""COMPUTED_VALUE"""),3.0)</f>
        <v>3</v>
      </c>
      <c r="AN1098" s="133" t="str">
        <f>IFERROR(__xludf.DUMMYFUNCTION("""COMPUTED_VALUE"""),"3.5")</f>
        <v>3.5</v>
      </c>
      <c r="AO1098" s="133">
        <f>IFERROR(__xludf.DUMMYFUNCTION("""COMPUTED_VALUE"""),3.0)</f>
        <v>3</v>
      </c>
      <c r="AP1098" s="155" t="s">
        <v>3736</v>
      </c>
    </row>
    <row r="1099">
      <c r="A1099" s="155">
        <f>IFERROR(__xludf.DUMMYFUNCTION("""COMPUTED_VALUE"""),206.0)</f>
        <v>206</v>
      </c>
      <c r="B1099" s="155" t="str">
        <f>IFERROR(__xludf.DUMMYFUNCTION("""COMPUTED_VALUE"""),"srha23ece@cmrit.ac.in")</f>
        <v>srha23ece@cmrit.ac.in</v>
      </c>
      <c r="C1099" s="174" t="str">
        <f>IFERROR(__xludf.DUMMYFUNCTION("""COMPUTED_VALUE"""),"SRUSHTI R HANCHATE")</f>
        <v>SRUSHTI R HANCHATE</v>
      </c>
      <c r="D1099" s="155" t="str">
        <f>IFERROR(__xludf.DUMMYFUNCTION("""COMPUTED_VALUE"""),"1CR23EC216")</f>
        <v>1CR23EC216</v>
      </c>
      <c r="E1099" s="563">
        <f>IFERROR(__xludf.DUMMYFUNCTION("""COMPUTED_VALUE"""),9.48086773E9)</f>
        <v>9480867730</v>
      </c>
      <c r="F1099" s="155" t="str">
        <f>IFERROR(__xludf.DUMMYFUNCTION("""COMPUTED_VALUE"""),"ECE")</f>
        <v>ECE</v>
      </c>
      <c r="G1099" s="158"/>
      <c r="H1099" s="559">
        <f>IFERROR(__xludf.DUMMYFUNCTION("""COMPUTED_VALUE"""),83.0)</f>
        <v>83</v>
      </c>
      <c r="I1099" s="559">
        <f>IFERROR(__xludf.DUMMYFUNCTION("""COMPUTED_VALUE"""),77.0)</f>
        <v>77</v>
      </c>
      <c r="J1099" s="559">
        <f>IFERROR(__xludf.DUMMYFUNCTION("""COMPUTED_VALUE"""),70.0)</f>
        <v>70</v>
      </c>
      <c r="K1099" s="559">
        <f>IFERROR(__xludf.DUMMYFUNCTION("""COMPUTED_VALUE"""),70.0)</f>
        <v>70</v>
      </c>
      <c r="L1099" s="560">
        <f>IFERROR(__xludf.DUMMYFUNCTION("""COMPUTED_VALUE"""),50.0)</f>
        <v>50</v>
      </c>
      <c r="M1099" s="561">
        <f>IFERROR(__xludf.DUMMYFUNCTION("""COMPUTED_VALUE"""),23.0)</f>
        <v>23</v>
      </c>
      <c r="N1099" s="561">
        <f>IFERROR(__xludf.DUMMYFUNCTION("""COMPUTED_VALUE"""),50.0)</f>
        <v>50</v>
      </c>
      <c r="O1099" s="560"/>
      <c r="P1099" s="562">
        <f>IFERROR(__xludf.DUMMYFUNCTION("""COMPUTED_VALUE"""),70.0)</f>
        <v>70</v>
      </c>
      <c r="Q1099" s="562">
        <f>IFERROR(__xludf.DUMMYFUNCTION("""COMPUTED_VALUE"""),67.0)</f>
        <v>67</v>
      </c>
      <c r="R1099" s="562">
        <f>IFERROR(__xludf.DUMMYFUNCTION("""COMPUTED_VALUE"""),84.0)</f>
        <v>84</v>
      </c>
      <c r="S1099" s="562"/>
      <c r="T1099" s="217">
        <f>IFERROR(__xludf.DUMMYFUNCTION("""COMPUTED_VALUE"""),10.0)</f>
        <v>10</v>
      </c>
      <c r="U1099" s="217">
        <f>IFERROR(__xludf.DUMMYFUNCTION("""COMPUTED_VALUE"""),12.0)</f>
        <v>12</v>
      </c>
      <c r="V1099" s="217">
        <f>IFERROR(__xludf.DUMMYFUNCTION("""COMPUTED_VALUE"""),54.0)</f>
        <v>54</v>
      </c>
      <c r="W1099" s="217">
        <f>IFERROR(__xludf.DUMMYFUNCTION("""COMPUTED_VALUE"""),74.0)</f>
        <v>74</v>
      </c>
      <c r="X1099" s="217">
        <f>IFERROR(__xludf.DUMMYFUNCTION("""COMPUTED_VALUE"""),74.0)</f>
        <v>74</v>
      </c>
      <c r="Y1099" s="217"/>
      <c r="Z1099" s="217"/>
      <c r="AA1099" s="481">
        <f>IFERROR(__xludf.DUMMYFUNCTION("""COMPUTED_VALUE"""),45.0)</f>
        <v>45</v>
      </c>
      <c r="AB1099" s="481">
        <f>IFERROR(__xludf.DUMMYFUNCTION("""COMPUTED_VALUE"""),92.0)</f>
        <v>92</v>
      </c>
      <c r="AC1099" s="481">
        <f>IFERROR(__xludf.DUMMYFUNCTION("""COMPUTED_VALUE"""),77.0)</f>
        <v>77</v>
      </c>
      <c r="AD1099" s="481"/>
      <c r="AE1099" s="481">
        <f>IFERROR(__xludf.DUMMYFUNCTION("""COMPUTED_VALUE"""),40.0)</f>
        <v>40</v>
      </c>
      <c r="AF1099" s="481"/>
      <c r="AG1099" s="481"/>
      <c r="AH1099" s="481"/>
      <c r="AI1099" s="158"/>
      <c r="AJ1099" s="158"/>
      <c r="AK1099" s="133">
        <f>IFERROR(__xludf.DUMMYFUNCTION("""COMPUTED_VALUE"""),4.0)</f>
        <v>4</v>
      </c>
      <c r="AL1099" s="133">
        <f>IFERROR(__xludf.DUMMYFUNCTION("""COMPUTED_VALUE"""),1.0)</f>
        <v>1</v>
      </c>
      <c r="AM1099" s="133">
        <f>IFERROR(__xludf.DUMMYFUNCTION("""COMPUTED_VALUE"""),3.0)</f>
        <v>3</v>
      </c>
      <c r="AN1099" s="133" t="str">
        <f>IFERROR(__xludf.DUMMYFUNCTION("""COMPUTED_VALUE"""),"3")</f>
        <v>3</v>
      </c>
      <c r="AO1099" s="133">
        <f>IFERROR(__xludf.DUMMYFUNCTION("""COMPUTED_VALUE"""),3.0)</f>
        <v>3</v>
      </c>
      <c r="AP1099" s="155" t="s">
        <v>3736</v>
      </c>
    </row>
    <row r="1100">
      <c r="A1100" s="155">
        <f>IFERROR(__xludf.DUMMYFUNCTION("""COMPUTED_VALUE"""),207.0)</f>
        <v>207</v>
      </c>
      <c r="B1100" s="155" t="str">
        <f>IFERROR(__xludf.DUMMYFUNCTION("""COMPUTED_VALUE"""),"stkh23ece@cmrit.ac.in")</f>
        <v>stkh23ece@cmrit.ac.in</v>
      </c>
      <c r="C1100" s="174" t="str">
        <f>IFERROR(__xludf.DUMMYFUNCTION("""COMPUTED_VALUE"""),"Stavya Khajuria")</f>
        <v>Stavya Khajuria</v>
      </c>
      <c r="D1100" s="155" t="str">
        <f>IFERROR(__xludf.DUMMYFUNCTION("""COMPUTED_VALUE"""),"1CR23EC217")</f>
        <v>1CR23EC217</v>
      </c>
      <c r="E1100" s="563">
        <f>IFERROR(__xludf.DUMMYFUNCTION("""COMPUTED_VALUE"""),6.005770266E9)</f>
        <v>6005770266</v>
      </c>
      <c r="F1100" s="155" t="str">
        <f>IFERROR(__xludf.DUMMYFUNCTION("""COMPUTED_VALUE"""),"ECE")</f>
        <v>ECE</v>
      </c>
      <c r="G1100" s="158"/>
      <c r="H1100" s="559">
        <f>IFERROR(__xludf.DUMMYFUNCTION("""COMPUTED_VALUE"""),81.0)</f>
        <v>81</v>
      </c>
      <c r="I1100" s="559">
        <f>IFERROR(__xludf.DUMMYFUNCTION("""COMPUTED_VALUE"""),86.0)</f>
        <v>86</v>
      </c>
      <c r="J1100" s="559">
        <f>IFERROR(__xludf.DUMMYFUNCTION("""COMPUTED_VALUE"""),70.0)</f>
        <v>70</v>
      </c>
      <c r="K1100" s="559">
        <f>IFERROR(__xludf.DUMMYFUNCTION("""COMPUTED_VALUE"""),70.0)</f>
        <v>70</v>
      </c>
      <c r="L1100" s="560">
        <f>IFERROR(__xludf.DUMMYFUNCTION("""COMPUTED_VALUE"""),50.0)</f>
        <v>50</v>
      </c>
      <c r="M1100" s="561">
        <f>IFERROR(__xludf.DUMMYFUNCTION("""COMPUTED_VALUE"""),0.0)</f>
        <v>0</v>
      </c>
      <c r="N1100" s="561">
        <f>IFERROR(__xludf.DUMMYFUNCTION("""COMPUTED_VALUE"""),25.0)</f>
        <v>25</v>
      </c>
      <c r="O1100" s="560"/>
      <c r="P1100" s="562">
        <f>IFERROR(__xludf.DUMMYFUNCTION("""COMPUTED_VALUE"""),50.0)</f>
        <v>50</v>
      </c>
      <c r="Q1100" s="562">
        <f>IFERROR(__xludf.DUMMYFUNCTION("""COMPUTED_VALUE"""),64.0)</f>
        <v>64</v>
      </c>
      <c r="R1100" s="562">
        <f>IFERROR(__xludf.DUMMYFUNCTION("""COMPUTED_VALUE"""),50.0)</f>
        <v>50</v>
      </c>
      <c r="S1100" s="562"/>
      <c r="T1100" s="217">
        <f>IFERROR(__xludf.DUMMYFUNCTION("""COMPUTED_VALUE"""),14.0)</f>
        <v>14</v>
      </c>
      <c r="U1100" s="217"/>
      <c r="V1100" s="217">
        <f>IFERROR(__xludf.DUMMYFUNCTION("""COMPUTED_VALUE"""),0.0)</f>
        <v>0</v>
      </c>
      <c r="W1100" s="217">
        <f>IFERROR(__xludf.DUMMYFUNCTION("""COMPUTED_VALUE"""),78.0)</f>
        <v>78</v>
      </c>
      <c r="X1100" s="217">
        <f>IFERROR(__xludf.DUMMYFUNCTION("""COMPUTED_VALUE"""),76.0)</f>
        <v>76</v>
      </c>
      <c r="Y1100" s="217"/>
      <c r="Z1100" s="217"/>
      <c r="AA1100" s="481">
        <f>IFERROR(__xludf.DUMMYFUNCTION("""COMPUTED_VALUE"""),0.0)</f>
        <v>0</v>
      </c>
      <c r="AB1100" s="481">
        <f>IFERROR(__xludf.DUMMYFUNCTION("""COMPUTED_VALUE"""),70.0)</f>
        <v>70</v>
      </c>
      <c r="AC1100" s="481">
        <f>IFERROR(__xludf.DUMMYFUNCTION("""COMPUTED_VALUE"""),0.0)</f>
        <v>0</v>
      </c>
      <c r="AD1100" s="481">
        <f>IFERROR(__xludf.DUMMYFUNCTION("""COMPUTED_VALUE"""),70.0)</f>
        <v>70</v>
      </c>
      <c r="AE1100" s="481">
        <f>IFERROR(__xludf.DUMMYFUNCTION("""COMPUTED_VALUE"""),10.0)</f>
        <v>10</v>
      </c>
      <c r="AF1100" s="481"/>
      <c r="AG1100" s="481"/>
      <c r="AH1100" s="481"/>
      <c r="AI1100" s="158"/>
      <c r="AJ1100" s="158"/>
      <c r="AK1100" s="133">
        <f>IFERROR(__xludf.DUMMYFUNCTION("""COMPUTED_VALUE"""),4.0)</f>
        <v>4</v>
      </c>
      <c r="AL1100" s="133">
        <f>IFERROR(__xludf.DUMMYFUNCTION("""COMPUTED_VALUE"""),1.0)</f>
        <v>1</v>
      </c>
      <c r="AM1100" s="133">
        <f>IFERROR(__xludf.DUMMYFUNCTION("""COMPUTED_VALUE"""),3.0)</f>
        <v>3</v>
      </c>
      <c r="AN1100" s="133" t="str">
        <f>IFERROR(__xludf.DUMMYFUNCTION("""COMPUTED_VALUE"""),"3")</f>
        <v>3</v>
      </c>
      <c r="AO1100" s="133">
        <f>IFERROR(__xludf.DUMMYFUNCTION("""COMPUTED_VALUE"""),3.0)</f>
        <v>3</v>
      </c>
      <c r="AP1100" s="155" t="s">
        <v>3736</v>
      </c>
    </row>
    <row r="1101">
      <c r="A1101" s="155">
        <f>IFERROR(__xludf.DUMMYFUNCTION("""COMPUTED_VALUE"""),208.0)</f>
        <v>208</v>
      </c>
      <c r="B1101" s="155" t="str">
        <f>IFERROR(__xludf.DUMMYFUNCTION("""COMPUTED_VALUE"""),"subi23ece@cmrit.ac.in")</f>
        <v>subi23ece@cmrit.ac.in</v>
      </c>
      <c r="C1101" s="174" t="str">
        <f>IFERROR(__xludf.DUMMYFUNCTION("""COMPUTED_VALUE"""),"SUBHAM BISWAL")</f>
        <v>SUBHAM BISWAL</v>
      </c>
      <c r="D1101" s="155" t="str">
        <f>IFERROR(__xludf.DUMMYFUNCTION("""COMPUTED_VALUE"""),"1CR23EC218")</f>
        <v>1CR23EC218</v>
      </c>
      <c r="E1101" s="563">
        <f>IFERROR(__xludf.DUMMYFUNCTION("""COMPUTED_VALUE"""),8.360602138E9)</f>
        <v>8360602138</v>
      </c>
      <c r="F1101" s="155" t="str">
        <f>IFERROR(__xludf.DUMMYFUNCTION("""COMPUTED_VALUE"""),"ECE")</f>
        <v>ECE</v>
      </c>
      <c r="G1101" s="158"/>
      <c r="H1101" s="559">
        <f>IFERROR(__xludf.DUMMYFUNCTION("""COMPUTED_VALUE"""),83.0)</f>
        <v>83</v>
      </c>
      <c r="I1101" s="559">
        <f>IFERROR(__xludf.DUMMYFUNCTION("""COMPUTED_VALUE"""),78.0)</f>
        <v>78</v>
      </c>
      <c r="J1101" s="559">
        <f>IFERROR(__xludf.DUMMYFUNCTION("""COMPUTED_VALUE"""),70.0)</f>
        <v>70</v>
      </c>
      <c r="K1101" s="559">
        <f>IFERROR(__xludf.DUMMYFUNCTION("""COMPUTED_VALUE"""),70.0)</f>
        <v>70</v>
      </c>
      <c r="L1101" s="560">
        <f>IFERROR(__xludf.DUMMYFUNCTION("""COMPUTED_VALUE"""),50.0)</f>
        <v>50</v>
      </c>
      <c r="M1101" s="561">
        <f>IFERROR(__xludf.DUMMYFUNCTION("""COMPUTED_VALUE"""),50.0)</f>
        <v>50</v>
      </c>
      <c r="N1101" s="561">
        <f>IFERROR(__xludf.DUMMYFUNCTION("""COMPUTED_VALUE"""),55.0)</f>
        <v>55</v>
      </c>
      <c r="O1101" s="560"/>
      <c r="P1101" s="562">
        <f>IFERROR(__xludf.DUMMYFUNCTION("""COMPUTED_VALUE"""),70.0)</f>
        <v>70</v>
      </c>
      <c r="Q1101" s="562">
        <f>IFERROR(__xludf.DUMMYFUNCTION("""COMPUTED_VALUE"""),56.0)</f>
        <v>56</v>
      </c>
      <c r="R1101" s="562">
        <f>IFERROR(__xludf.DUMMYFUNCTION("""COMPUTED_VALUE"""),99.0)</f>
        <v>99</v>
      </c>
      <c r="S1101" s="562"/>
      <c r="T1101" s="217">
        <f>IFERROR(__xludf.DUMMYFUNCTION("""COMPUTED_VALUE"""),10.0)</f>
        <v>10</v>
      </c>
      <c r="U1101" s="217">
        <f>IFERROR(__xludf.DUMMYFUNCTION("""COMPUTED_VALUE"""),12.0)</f>
        <v>12</v>
      </c>
      <c r="V1101" s="217">
        <f>IFERROR(__xludf.DUMMYFUNCTION("""COMPUTED_VALUE"""),36.0)</f>
        <v>36</v>
      </c>
      <c r="W1101" s="217">
        <f>IFERROR(__xludf.DUMMYFUNCTION("""COMPUTED_VALUE"""),82.0)</f>
        <v>82</v>
      </c>
      <c r="X1101" s="217">
        <f>IFERROR(__xludf.DUMMYFUNCTION("""COMPUTED_VALUE"""),74.0)</f>
        <v>74</v>
      </c>
      <c r="Y1101" s="217"/>
      <c r="Z1101" s="217"/>
      <c r="AA1101" s="481">
        <f>IFERROR(__xludf.DUMMYFUNCTION("""COMPUTED_VALUE"""),77.0)</f>
        <v>77</v>
      </c>
      <c r="AB1101" s="481">
        <f>IFERROR(__xludf.DUMMYFUNCTION("""COMPUTED_VALUE"""),97.0)</f>
        <v>97</v>
      </c>
      <c r="AC1101" s="481">
        <f>IFERROR(__xludf.DUMMYFUNCTION("""COMPUTED_VALUE"""),63.0)</f>
        <v>63</v>
      </c>
      <c r="AD1101" s="481"/>
      <c r="AE1101" s="481">
        <f>IFERROR(__xludf.DUMMYFUNCTION("""COMPUTED_VALUE"""),70.0)</f>
        <v>70</v>
      </c>
      <c r="AF1101" s="481"/>
      <c r="AG1101" s="481"/>
      <c r="AH1101" s="481"/>
      <c r="AI1101" s="158"/>
      <c r="AJ1101" s="158"/>
      <c r="AK1101" s="133">
        <f>IFERROR(__xludf.DUMMYFUNCTION("""COMPUTED_VALUE"""),4.0)</f>
        <v>4</v>
      </c>
      <c r="AL1101" s="133">
        <f>IFERROR(__xludf.DUMMYFUNCTION("""COMPUTED_VALUE"""),3.0)</f>
        <v>3</v>
      </c>
      <c r="AM1101" s="133">
        <f>IFERROR(__xludf.DUMMYFUNCTION("""COMPUTED_VALUE"""),3.0)</f>
        <v>3</v>
      </c>
      <c r="AN1101" s="133" t="str">
        <f>IFERROR(__xludf.DUMMYFUNCTION("""COMPUTED_VALUE"""),"3.5")</f>
        <v>3.5</v>
      </c>
      <c r="AO1101" s="133">
        <f>IFERROR(__xludf.DUMMYFUNCTION("""COMPUTED_VALUE"""),3.0)</f>
        <v>3</v>
      </c>
      <c r="AP1101" s="155" t="s">
        <v>3736</v>
      </c>
    </row>
    <row r="1102">
      <c r="A1102" s="155">
        <f>IFERROR(__xludf.DUMMYFUNCTION("""COMPUTED_VALUE"""),209.0)</f>
        <v>209</v>
      </c>
      <c r="B1102" s="155" t="str">
        <f>IFERROR(__xludf.DUMMYFUNCTION("""COMPUTED_VALUE"""),"sura23ece@cmrit.ac.in")</f>
        <v>sura23ece@cmrit.ac.in</v>
      </c>
      <c r="C1102" s="174" t="str">
        <f>IFERROR(__xludf.DUMMYFUNCTION("""COMPUTED_VALUE"""),"SUDHANSU RANJAN")</f>
        <v>SUDHANSU RANJAN</v>
      </c>
      <c r="D1102" s="155" t="str">
        <f>IFERROR(__xludf.DUMMYFUNCTION("""COMPUTED_VALUE"""),"1CR23EC219")</f>
        <v>1CR23EC219</v>
      </c>
      <c r="E1102" s="563">
        <f>IFERROR(__xludf.DUMMYFUNCTION("""COMPUTED_VALUE"""),9.83209315E9)</f>
        <v>9832093150</v>
      </c>
      <c r="F1102" s="155" t="str">
        <f>IFERROR(__xludf.DUMMYFUNCTION("""COMPUTED_VALUE"""),"ECE")</f>
        <v>ECE</v>
      </c>
      <c r="G1102" s="158"/>
      <c r="H1102" s="559">
        <f>IFERROR(__xludf.DUMMYFUNCTION("""COMPUTED_VALUE"""),82.0)</f>
        <v>82</v>
      </c>
      <c r="I1102" s="559">
        <f>IFERROR(__xludf.DUMMYFUNCTION("""COMPUTED_VALUE"""),79.0)</f>
        <v>79</v>
      </c>
      <c r="J1102" s="559">
        <f>IFERROR(__xludf.DUMMYFUNCTION("""COMPUTED_VALUE"""),74.0)</f>
        <v>74</v>
      </c>
      <c r="K1102" s="559">
        <f>IFERROR(__xludf.DUMMYFUNCTION("""COMPUTED_VALUE"""),70.0)</f>
        <v>70</v>
      </c>
      <c r="L1102" s="560">
        <f>IFERROR(__xludf.DUMMYFUNCTION("""COMPUTED_VALUE"""),50.0)</f>
        <v>50</v>
      </c>
      <c r="M1102" s="561">
        <f>IFERROR(__xludf.DUMMYFUNCTION("""COMPUTED_VALUE"""),50.0)</f>
        <v>50</v>
      </c>
      <c r="N1102" s="561">
        <f>IFERROR(__xludf.DUMMYFUNCTION("""COMPUTED_VALUE"""),59.0)</f>
        <v>59</v>
      </c>
      <c r="O1102" s="560"/>
      <c r="P1102" s="562">
        <f>IFERROR(__xludf.DUMMYFUNCTION("""COMPUTED_VALUE"""),50.0)</f>
        <v>50</v>
      </c>
      <c r="Q1102" s="562">
        <f>IFERROR(__xludf.DUMMYFUNCTION("""COMPUTED_VALUE"""),64.0)</f>
        <v>64</v>
      </c>
      <c r="R1102" s="562">
        <f>IFERROR(__xludf.DUMMYFUNCTION("""COMPUTED_VALUE"""),100.0)</f>
        <v>100</v>
      </c>
      <c r="S1102" s="562"/>
      <c r="T1102" s="217">
        <f>IFERROR(__xludf.DUMMYFUNCTION("""COMPUTED_VALUE"""),13.0)</f>
        <v>13</v>
      </c>
      <c r="U1102" s="217">
        <f>IFERROR(__xludf.DUMMYFUNCTION("""COMPUTED_VALUE"""),20.0)</f>
        <v>20</v>
      </c>
      <c r="V1102" s="217">
        <f>IFERROR(__xludf.DUMMYFUNCTION("""COMPUTED_VALUE"""),38.0)</f>
        <v>38</v>
      </c>
      <c r="W1102" s="217">
        <f>IFERROR(__xludf.DUMMYFUNCTION("""COMPUTED_VALUE"""),78.0)</f>
        <v>78</v>
      </c>
      <c r="X1102" s="217">
        <f>IFERROR(__xludf.DUMMYFUNCTION("""COMPUTED_VALUE"""),68.0)</f>
        <v>68</v>
      </c>
      <c r="Y1102" s="217"/>
      <c r="Z1102" s="217"/>
      <c r="AA1102" s="481">
        <f>IFERROR(__xludf.DUMMYFUNCTION("""COMPUTED_VALUE"""),0.0)</f>
        <v>0</v>
      </c>
      <c r="AB1102" s="481">
        <f>IFERROR(__xludf.DUMMYFUNCTION("""COMPUTED_VALUE"""),60.0)</f>
        <v>60</v>
      </c>
      <c r="AC1102" s="481">
        <f>IFERROR(__xludf.DUMMYFUNCTION("""COMPUTED_VALUE"""),70.0)</f>
        <v>70</v>
      </c>
      <c r="AD1102" s="481"/>
      <c r="AE1102" s="481">
        <f>IFERROR(__xludf.DUMMYFUNCTION("""COMPUTED_VALUE"""),78.0)</f>
        <v>78</v>
      </c>
      <c r="AF1102" s="481"/>
      <c r="AG1102" s="481"/>
      <c r="AH1102" s="481"/>
      <c r="AI1102" s="158"/>
      <c r="AJ1102" s="158"/>
      <c r="AK1102" s="133">
        <f>IFERROR(__xludf.DUMMYFUNCTION("""COMPUTED_VALUE"""),4.0)</f>
        <v>4</v>
      </c>
      <c r="AL1102" s="133">
        <f>IFERROR(__xludf.DUMMYFUNCTION("""COMPUTED_VALUE"""),3.0)</f>
        <v>3</v>
      </c>
      <c r="AM1102" s="133">
        <f>IFERROR(__xludf.DUMMYFUNCTION("""COMPUTED_VALUE"""),3.0)</f>
        <v>3</v>
      </c>
      <c r="AN1102" s="133" t="str">
        <f>IFERROR(__xludf.DUMMYFUNCTION("""COMPUTED_VALUE"""),"3.5")</f>
        <v>3.5</v>
      </c>
      <c r="AO1102" s="133">
        <f>IFERROR(__xludf.DUMMYFUNCTION("""COMPUTED_VALUE"""),3.0)</f>
        <v>3</v>
      </c>
      <c r="AP1102" s="155" t="s">
        <v>3736</v>
      </c>
    </row>
    <row r="1103">
      <c r="A1103" s="155">
        <f>IFERROR(__xludf.DUMMYFUNCTION("""COMPUTED_VALUE"""),210.0)</f>
        <v>210</v>
      </c>
      <c r="B1103" s="155" t="str">
        <f>IFERROR(__xludf.DUMMYFUNCTION("""COMPUTED_VALUE"""),"sure23ece@cmrit.ac.in")</f>
        <v>sure23ece@cmrit.ac.in</v>
      </c>
      <c r="C1103" s="174" t="str">
        <f>IFERROR(__xludf.DUMMYFUNCTION("""COMPUTED_VALUE"""),"SUMANTH REDDY THODEM")</f>
        <v>SUMANTH REDDY THODEM</v>
      </c>
      <c r="D1103" s="155" t="str">
        <f>IFERROR(__xludf.DUMMYFUNCTION("""COMPUTED_VALUE"""),"1CR23EC220")</f>
        <v>1CR23EC220</v>
      </c>
      <c r="E1103" s="563">
        <f>IFERROR(__xludf.DUMMYFUNCTION("""COMPUTED_VALUE"""),7.619492305E9)</f>
        <v>7619492305</v>
      </c>
      <c r="F1103" s="155" t="str">
        <f>IFERROR(__xludf.DUMMYFUNCTION("""COMPUTED_VALUE"""),"ECE")</f>
        <v>ECE</v>
      </c>
      <c r="G1103" s="158"/>
      <c r="H1103" s="559">
        <f>IFERROR(__xludf.DUMMYFUNCTION("""COMPUTED_VALUE"""),82.0)</f>
        <v>82</v>
      </c>
      <c r="I1103" s="559">
        <f>IFERROR(__xludf.DUMMYFUNCTION("""COMPUTED_VALUE"""),84.0)</f>
        <v>84</v>
      </c>
      <c r="J1103" s="559">
        <f>IFERROR(__xludf.DUMMYFUNCTION("""COMPUTED_VALUE"""),70.0)</f>
        <v>70</v>
      </c>
      <c r="K1103" s="559">
        <f>IFERROR(__xludf.DUMMYFUNCTION("""COMPUTED_VALUE"""),70.0)</f>
        <v>70</v>
      </c>
      <c r="L1103" s="560">
        <f>IFERROR(__xludf.DUMMYFUNCTION("""COMPUTED_VALUE"""),50.0)</f>
        <v>50</v>
      </c>
      <c r="M1103" s="561">
        <f>IFERROR(__xludf.DUMMYFUNCTION("""COMPUTED_VALUE"""),50.0)</f>
        <v>50</v>
      </c>
      <c r="N1103" s="561">
        <f>IFERROR(__xludf.DUMMYFUNCTION("""COMPUTED_VALUE"""),22.0)</f>
        <v>22</v>
      </c>
      <c r="O1103" s="560"/>
      <c r="P1103" s="562">
        <f>IFERROR(__xludf.DUMMYFUNCTION("""COMPUTED_VALUE"""),83.0)</f>
        <v>83</v>
      </c>
      <c r="Q1103" s="562">
        <f>IFERROR(__xludf.DUMMYFUNCTION("""COMPUTED_VALUE"""),72.0)</f>
        <v>72</v>
      </c>
      <c r="R1103" s="562">
        <f>IFERROR(__xludf.DUMMYFUNCTION("""COMPUTED_VALUE"""),87.0)</f>
        <v>87</v>
      </c>
      <c r="S1103" s="562"/>
      <c r="T1103" s="217">
        <f>IFERROR(__xludf.DUMMYFUNCTION("""COMPUTED_VALUE"""),18.0)</f>
        <v>18</v>
      </c>
      <c r="U1103" s="217">
        <f>IFERROR(__xludf.DUMMYFUNCTION("""COMPUTED_VALUE"""),13.0)</f>
        <v>13</v>
      </c>
      <c r="V1103" s="217">
        <f>IFERROR(__xludf.DUMMYFUNCTION("""COMPUTED_VALUE"""),54.0)</f>
        <v>54</v>
      </c>
      <c r="W1103" s="217">
        <f>IFERROR(__xludf.DUMMYFUNCTION("""COMPUTED_VALUE"""),70.0)</f>
        <v>70</v>
      </c>
      <c r="X1103" s="217">
        <f>IFERROR(__xludf.DUMMYFUNCTION("""COMPUTED_VALUE"""),66.0)</f>
        <v>66</v>
      </c>
      <c r="Y1103" s="217"/>
      <c r="Z1103" s="217"/>
      <c r="AA1103" s="481">
        <f>IFERROR(__xludf.DUMMYFUNCTION("""COMPUTED_VALUE"""),0.0)</f>
        <v>0</v>
      </c>
      <c r="AB1103" s="481">
        <f>IFERROR(__xludf.DUMMYFUNCTION("""COMPUTED_VALUE"""),82.0)</f>
        <v>82</v>
      </c>
      <c r="AC1103" s="481">
        <f>IFERROR(__xludf.DUMMYFUNCTION("""COMPUTED_VALUE"""),44.0)</f>
        <v>44</v>
      </c>
      <c r="AD1103" s="481"/>
      <c r="AE1103" s="481">
        <f>IFERROR(__xludf.DUMMYFUNCTION("""COMPUTED_VALUE"""),13.0)</f>
        <v>13</v>
      </c>
      <c r="AF1103" s="481"/>
      <c r="AG1103" s="481"/>
      <c r="AH1103" s="481">
        <f>IFERROR(__xludf.DUMMYFUNCTION("""COMPUTED_VALUE"""),0.0)</f>
        <v>0</v>
      </c>
      <c r="AI1103" s="158"/>
      <c r="AJ1103" s="158"/>
      <c r="AK1103" s="133">
        <f>IFERROR(__xludf.DUMMYFUNCTION("""COMPUTED_VALUE"""),4.0)</f>
        <v>4</v>
      </c>
      <c r="AL1103" s="133">
        <f>IFERROR(__xludf.DUMMYFUNCTION("""COMPUTED_VALUE"""),2.0)</f>
        <v>2</v>
      </c>
      <c r="AM1103" s="133">
        <f>IFERROR(__xludf.DUMMYFUNCTION("""COMPUTED_VALUE"""),3.0)</f>
        <v>3</v>
      </c>
      <c r="AN1103" s="133" t="str">
        <f>IFERROR(__xludf.DUMMYFUNCTION("""COMPUTED_VALUE"""),"2")</f>
        <v>2</v>
      </c>
      <c r="AO1103" s="133">
        <f>IFERROR(__xludf.DUMMYFUNCTION("""COMPUTED_VALUE"""),3.0)</f>
        <v>3</v>
      </c>
      <c r="AP1103" s="155" t="s">
        <v>3736</v>
      </c>
    </row>
    <row r="1104">
      <c r="A1104" s="155">
        <f>IFERROR(__xludf.DUMMYFUNCTION("""COMPUTED_VALUE"""),211.0)</f>
        <v>211</v>
      </c>
      <c r="B1104" s="155" t="str">
        <f>IFERROR(__xludf.DUMMYFUNCTION("""COMPUTED_VALUE"""),"sukt23ece@cmrit.ac.in")</f>
        <v>sukt23ece@cmrit.ac.in</v>
      </c>
      <c r="C1104" s="174" t="str">
        <f>IFERROR(__xludf.DUMMYFUNCTION("""COMPUTED_VALUE"""),"Surya kt")</f>
        <v>Surya kt</v>
      </c>
      <c r="D1104" s="155" t="str">
        <f>IFERROR(__xludf.DUMMYFUNCTION("""COMPUTED_VALUE"""),"1CR23EC221")</f>
        <v>1CR23EC221</v>
      </c>
      <c r="E1104" s="563">
        <f>IFERROR(__xludf.DUMMYFUNCTION("""COMPUTED_VALUE"""),9.663447002E9)</f>
        <v>9663447002</v>
      </c>
      <c r="F1104" s="155" t="str">
        <f>IFERROR(__xludf.DUMMYFUNCTION("""COMPUTED_VALUE"""),"ECE")</f>
        <v>ECE</v>
      </c>
      <c r="G1104" s="158"/>
      <c r="H1104" s="559">
        <f>IFERROR(__xludf.DUMMYFUNCTION("""COMPUTED_VALUE"""),80.0)</f>
        <v>80</v>
      </c>
      <c r="I1104" s="559">
        <f>IFERROR(__xludf.DUMMYFUNCTION("""COMPUTED_VALUE"""),83.0)</f>
        <v>83</v>
      </c>
      <c r="J1104" s="559">
        <f>IFERROR(__xludf.DUMMYFUNCTION("""COMPUTED_VALUE"""),70.0)</f>
        <v>70</v>
      </c>
      <c r="K1104" s="559">
        <f>IFERROR(__xludf.DUMMYFUNCTION("""COMPUTED_VALUE"""),70.0)</f>
        <v>70</v>
      </c>
      <c r="L1104" s="560">
        <f>IFERROR(__xludf.DUMMYFUNCTION("""COMPUTED_VALUE"""),50.0)</f>
        <v>50</v>
      </c>
      <c r="M1104" s="561">
        <f>IFERROR(__xludf.DUMMYFUNCTION("""COMPUTED_VALUE"""),0.0)</f>
        <v>0</v>
      </c>
      <c r="N1104" s="561">
        <f>IFERROR(__xludf.DUMMYFUNCTION("""COMPUTED_VALUE"""),40.0)</f>
        <v>40</v>
      </c>
      <c r="O1104" s="560"/>
      <c r="P1104" s="562">
        <f>IFERROR(__xludf.DUMMYFUNCTION("""COMPUTED_VALUE"""),83.0)</f>
        <v>83</v>
      </c>
      <c r="Q1104" s="562">
        <f>IFERROR(__xludf.DUMMYFUNCTION("""COMPUTED_VALUE"""),0.0)</f>
        <v>0</v>
      </c>
      <c r="R1104" s="562">
        <f>IFERROR(__xludf.DUMMYFUNCTION("""COMPUTED_VALUE"""),0.0)</f>
        <v>0</v>
      </c>
      <c r="S1104" s="562"/>
      <c r="T1104" s="217">
        <f>IFERROR(__xludf.DUMMYFUNCTION("""COMPUTED_VALUE"""),12.0)</f>
        <v>12</v>
      </c>
      <c r="U1104" s="217">
        <f>IFERROR(__xludf.DUMMYFUNCTION("""COMPUTED_VALUE"""),18.0)</f>
        <v>18</v>
      </c>
      <c r="V1104" s="217">
        <f>IFERROR(__xludf.DUMMYFUNCTION("""COMPUTED_VALUE"""),42.0)</f>
        <v>42</v>
      </c>
      <c r="W1104" s="217">
        <f>IFERROR(__xludf.DUMMYFUNCTION("""COMPUTED_VALUE"""),82.0)</f>
        <v>82</v>
      </c>
      <c r="X1104" s="217">
        <f>IFERROR(__xludf.DUMMYFUNCTION("""COMPUTED_VALUE"""),60.0)</f>
        <v>60</v>
      </c>
      <c r="Y1104" s="217"/>
      <c r="Z1104" s="217"/>
      <c r="AA1104" s="481">
        <f>IFERROR(__xludf.DUMMYFUNCTION("""COMPUTED_VALUE"""),0.0)</f>
        <v>0</v>
      </c>
      <c r="AB1104" s="481">
        <f>IFERROR(__xludf.DUMMYFUNCTION("""COMPUTED_VALUE"""),64.0)</f>
        <v>64</v>
      </c>
      <c r="AC1104" s="481">
        <f>IFERROR(__xludf.DUMMYFUNCTION("""COMPUTED_VALUE"""),80.0)</f>
        <v>80</v>
      </c>
      <c r="AD1104" s="481"/>
      <c r="AE1104" s="481">
        <f>IFERROR(__xludf.DUMMYFUNCTION("""COMPUTED_VALUE"""),10.0)</f>
        <v>10</v>
      </c>
      <c r="AF1104" s="481"/>
      <c r="AG1104" s="481"/>
      <c r="AH1104" s="481">
        <f>IFERROR(__xludf.DUMMYFUNCTION("""COMPUTED_VALUE"""),0.0)</f>
        <v>0</v>
      </c>
      <c r="AI1104" s="158"/>
      <c r="AJ1104" s="158"/>
      <c r="AK1104" s="133">
        <f>IFERROR(__xludf.DUMMYFUNCTION("""COMPUTED_VALUE"""),4.0)</f>
        <v>4</v>
      </c>
      <c r="AL1104" s="133">
        <f>IFERROR(__xludf.DUMMYFUNCTION("""COMPUTED_VALUE"""),1.0)</f>
        <v>1</v>
      </c>
      <c r="AM1104" s="133">
        <f>IFERROR(__xludf.DUMMYFUNCTION("""COMPUTED_VALUE"""),3.0)</f>
        <v>3</v>
      </c>
      <c r="AN1104" s="133" t="str">
        <f>IFERROR(__xludf.DUMMYFUNCTION("""COMPUTED_VALUE"""),"3")</f>
        <v>3</v>
      </c>
      <c r="AO1104" s="133">
        <f>IFERROR(__xludf.DUMMYFUNCTION("""COMPUTED_VALUE"""),1.0)</f>
        <v>1</v>
      </c>
      <c r="AP1104" s="155" t="s">
        <v>3736</v>
      </c>
    </row>
    <row r="1105">
      <c r="A1105" s="155">
        <f>IFERROR(__xludf.DUMMYFUNCTION("""COMPUTED_VALUE"""),212.0)</f>
        <v>212</v>
      </c>
      <c r="B1105" s="155" t="str">
        <f>IFERROR(__xludf.DUMMYFUNCTION("""COMPUTED_VALUE"""),"sujo23ece@cmrit.ac.in")</f>
        <v>sujo23ece@cmrit.ac.in</v>
      </c>
      <c r="C1105" s="174" t="str">
        <f>IFERROR(__xludf.DUMMYFUNCTION("""COMPUTED_VALUE"""),"SUSAN JOSEPH ANDREW")</f>
        <v>SUSAN JOSEPH ANDREW</v>
      </c>
      <c r="D1105" s="155" t="str">
        <f>IFERROR(__xludf.DUMMYFUNCTION("""COMPUTED_VALUE"""),"1CR23EC222")</f>
        <v>1CR23EC222</v>
      </c>
      <c r="E1105" s="563">
        <f>IFERROR(__xludf.DUMMYFUNCTION("""COMPUTED_VALUE"""),9.008743637E9)</f>
        <v>9008743637</v>
      </c>
      <c r="F1105" s="155" t="str">
        <f>IFERROR(__xludf.DUMMYFUNCTION("""COMPUTED_VALUE"""),"ECE")</f>
        <v>ECE</v>
      </c>
      <c r="G1105" s="158"/>
      <c r="H1105" s="559">
        <f>IFERROR(__xludf.DUMMYFUNCTION("""COMPUTED_VALUE"""),86.0)</f>
        <v>86</v>
      </c>
      <c r="I1105" s="559">
        <f>IFERROR(__xludf.DUMMYFUNCTION("""COMPUTED_VALUE"""),96.0)</f>
        <v>96</v>
      </c>
      <c r="J1105" s="559">
        <f>IFERROR(__xludf.DUMMYFUNCTION("""COMPUTED_VALUE"""),87.0)</f>
        <v>87</v>
      </c>
      <c r="K1105" s="559">
        <f>IFERROR(__xludf.DUMMYFUNCTION("""COMPUTED_VALUE"""),76.0)</f>
        <v>76</v>
      </c>
      <c r="L1105" s="560">
        <f>IFERROR(__xludf.DUMMYFUNCTION("""COMPUTED_VALUE"""),50.0)</f>
        <v>50</v>
      </c>
      <c r="M1105" s="561">
        <f>IFERROR(__xludf.DUMMYFUNCTION("""COMPUTED_VALUE"""),11.0)</f>
        <v>11</v>
      </c>
      <c r="N1105" s="561">
        <f>IFERROR(__xludf.DUMMYFUNCTION("""COMPUTED_VALUE"""),50.0)</f>
        <v>50</v>
      </c>
      <c r="O1105" s="560"/>
      <c r="P1105" s="562">
        <f>IFERROR(__xludf.DUMMYFUNCTION("""COMPUTED_VALUE"""),84.0)</f>
        <v>84</v>
      </c>
      <c r="Q1105" s="562">
        <f>IFERROR(__xludf.DUMMYFUNCTION("""COMPUTED_VALUE"""),88.0)</f>
        <v>88</v>
      </c>
      <c r="R1105" s="562">
        <f>IFERROR(__xludf.DUMMYFUNCTION("""COMPUTED_VALUE"""),93.0)</f>
        <v>93</v>
      </c>
      <c r="S1105" s="562"/>
      <c r="T1105" s="217">
        <f>IFERROR(__xludf.DUMMYFUNCTION("""COMPUTED_VALUE"""),10.0)</f>
        <v>10</v>
      </c>
      <c r="U1105" s="217">
        <f>IFERROR(__xludf.DUMMYFUNCTION("""COMPUTED_VALUE"""),12.0)</f>
        <v>12</v>
      </c>
      <c r="V1105" s="217">
        <f>IFERROR(__xludf.DUMMYFUNCTION("""COMPUTED_VALUE"""),62.0)</f>
        <v>62</v>
      </c>
      <c r="W1105" s="217">
        <f>IFERROR(__xludf.DUMMYFUNCTION("""COMPUTED_VALUE"""),62.0)</f>
        <v>62</v>
      </c>
      <c r="X1105" s="217">
        <f>IFERROR(__xludf.DUMMYFUNCTION("""COMPUTED_VALUE"""),60.0)</f>
        <v>60</v>
      </c>
      <c r="Y1105" s="217"/>
      <c r="Z1105" s="217"/>
      <c r="AA1105" s="481">
        <f>IFERROR(__xludf.DUMMYFUNCTION("""COMPUTED_VALUE"""),100.0)</f>
        <v>100</v>
      </c>
      <c r="AB1105" s="481">
        <f>IFERROR(__xludf.DUMMYFUNCTION("""COMPUTED_VALUE"""),100.0)</f>
        <v>100</v>
      </c>
      <c r="AC1105" s="481">
        <f>IFERROR(__xludf.DUMMYFUNCTION("""COMPUTED_VALUE"""),72.0)</f>
        <v>72</v>
      </c>
      <c r="AD1105" s="481"/>
      <c r="AE1105" s="481">
        <f>IFERROR(__xludf.DUMMYFUNCTION("""COMPUTED_VALUE"""),83.0)</f>
        <v>83</v>
      </c>
      <c r="AF1105" s="481"/>
      <c r="AG1105" s="481"/>
      <c r="AH1105" s="481">
        <f>IFERROR(__xludf.DUMMYFUNCTION("""COMPUTED_VALUE"""),85.0)</f>
        <v>85</v>
      </c>
      <c r="AI1105" s="158"/>
      <c r="AJ1105" s="158"/>
      <c r="AK1105" s="133">
        <f>IFERROR(__xludf.DUMMYFUNCTION("""COMPUTED_VALUE"""),4.0)</f>
        <v>4</v>
      </c>
      <c r="AL1105" s="133">
        <f>IFERROR(__xludf.DUMMYFUNCTION("""COMPUTED_VALUE"""),1.0)</f>
        <v>1</v>
      </c>
      <c r="AM1105" s="133">
        <f>IFERROR(__xludf.DUMMYFUNCTION("""COMPUTED_VALUE"""),3.0)</f>
        <v>3</v>
      </c>
      <c r="AN1105" s="133" t="str">
        <f>IFERROR(__xludf.DUMMYFUNCTION("""COMPUTED_VALUE"""),"3.5")</f>
        <v>3.5</v>
      </c>
      <c r="AO1105" s="133">
        <f>IFERROR(__xludf.DUMMYFUNCTION("""COMPUTED_VALUE"""),3.0)</f>
        <v>3</v>
      </c>
      <c r="AP1105" s="155" t="s">
        <v>3736</v>
      </c>
    </row>
    <row r="1106">
      <c r="A1106" s="155">
        <f>IFERROR(__xludf.DUMMYFUNCTION("""COMPUTED_VALUE"""),213.0)</f>
        <v>213</v>
      </c>
      <c r="B1106" s="155" t="str">
        <f>IFERROR(__xludf.DUMMYFUNCTION("""COMPUTED_VALUE"""),"sush23ece@cmrit.ac.in")</f>
        <v>sush23ece@cmrit.ac.in</v>
      </c>
      <c r="C1106" s="174" t="str">
        <f>IFERROR(__xludf.DUMMYFUNCTION("""COMPUTED_VALUE"""),"SUSHANT SHARMA")</f>
        <v>SUSHANT SHARMA</v>
      </c>
      <c r="D1106" s="155" t="str">
        <f>IFERROR(__xludf.DUMMYFUNCTION("""COMPUTED_VALUE"""),"1CR23EC223")</f>
        <v>1CR23EC223</v>
      </c>
      <c r="E1106" s="563">
        <f>IFERROR(__xludf.DUMMYFUNCTION("""COMPUTED_VALUE"""),7.738971347E9)</f>
        <v>7738971347</v>
      </c>
      <c r="F1106" s="155" t="str">
        <f>IFERROR(__xludf.DUMMYFUNCTION("""COMPUTED_VALUE"""),"ECE")</f>
        <v>ECE</v>
      </c>
      <c r="G1106" s="158"/>
      <c r="H1106" s="559">
        <f>IFERROR(__xludf.DUMMYFUNCTION("""COMPUTED_VALUE"""),89.0)</f>
        <v>89</v>
      </c>
      <c r="I1106" s="559">
        <f>IFERROR(__xludf.DUMMYFUNCTION("""COMPUTED_VALUE"""),86.0)</f>
        <v>86</v>
      </c>
      <c r="J1106" s="559">
        <f>IFERROR(__xludf.DUMMYFUNCTION("""COMPUTED_VALUE"""),71.0)</f>
        <v>71</v>
      </c>
      <c r="K1106" s="559">
        <f>IFERROR(__xludf.DUMMYFUNCTION("""COMPUTED_VALUE"""),70.0)</f>
        <v>70</v>
      </c>
      <c r="L1106" s="560">
        <f>IFERROR(__xludf.DUMMYFUNCTION("""COMPUTED_VALUE"""),50.0)</f>
        <v>50</v>
      </c>
      <c r="M1106" s="561">
        <f>IFERROR(__xludf.DUMMYFUNCTION("""COMPUTED_VALUE"""),50.0)</f>
        <v>50</v>
      </c>
      <c r="N1106" s="561">
        <f>IFERROR(__xludf.DUMMYFUNCTION("""COMPUTED_VALUE"""),50.0)</f>
        <v>50</v>
      </c>
      <c r="O1106" s="560"/>
      <c r="P1106" s="562">
        <f>IFERROR(__xludf.DUMMYFUNCTION("""COMPUTED_VALUE"""),70.0)</f>
        <v>70</v>
      </c>
      <c r="Q1106" s="562">
        <f>IFERROR(__xludf.DUMMYFUNCTION("""COMPUTED_VALUE"""),56.0)</f>
        <v>56</v>
      </c>
      <c r="R1106" s="562">
        <f>IFERROR(__xludf.DUMMYFUNCTION("""COMPUTED_VALUE"""),100.0)</f>
        <v>100</v>
      </c>
      <c r="S1106" s="562"/>
      <c r="T1106" s="217">
        <f>IFERROR(__xludf.DUMMYFUNCTION("""COMPUTED_VALUE"""),12.0)</f>
        <v>12</v>
      </c>
      <c r="U1106" s="217">
        <f>IFERROR(__xludf.DUMMYFUNCTION("""COMPUTED_VALUE"""),18.0)</f>
        <v>18</v>
      </c>
      <c r="V1106" s="217">
        <f>IFERROR(__xludf.DUMMYFUNCTION("""COMPUTED_VALUE"""),30.0)</f>
        <v>30</v>
      </c>
      <c r="W1106" s="217">
        <f>IFERROR(__xludf.DUMMYFUNCTION("""COMPUTED_VALUE"""),82.0)</f>
        <v>82</v>
      </c>
      <c r="X1106" s="217">
        <f>IFERROR(__xludf.DUMMYFUNCTION("""COMPUTED_VALUE"""),70.0)</f>
        <v>70</v>
      </c>
      <c r="Y1106" s="217"/>
      <c r="Z1106" s="217"/>
      <c r="AA1106" s="481">
        <f>IFERROR(__xludf.DUMMYFUNCTION("""COMPUTED_VALUE"""),84.0)</f>
        <v>84</v>
      </c>
      <c r="AB1106" s="481">
        <f>IFERROR(__xludf.DUMMYFUNCTION("""COMPUTED_VALUE"""),100.0)</f>
        <v>100</v>
      </c>
      <c r="AC1106" s="481">
        <f>IFERROR(__xludf.DUMMYFUNCTION("""COMPUTED_VALUE"""),63.0)</f>
        <v>63</v>
      </c>
      <c r="AD1106" s="481"/>
      <c r="AE1106" s="481">
        <f>IFERROR(__xludf.DUMMYFUNCTION("""COMPUTED_VALUE"""),79.0)</f>
        <v>79</v>
      </c>
      <c r="AF1106" s="481"/>
      <c r="AG1106" s="481"/>
      <c r="AH1106" s="481"/>
      <c r="AI1106" s="158"/>
      <c r="AJ1106" s="158"/>
      <c r="AK1106" s="133">
        <f>IFERROR(__xludf.DUMMYFUNCTION("""COMPUTED_VALUE"""),4.0)</f>
        <v>4</v>
      </c>
      <c r="AL1106" s="133">
        <f>IFERROR(__xludf.DUMMYFUNCTION("""COMPUTED_VALUE"""),3.0)</f>
        <v>3</v>
      </c>
      <c r="AM1106" s="133">
        <f>IFERROR(__xludf.DUMMYFUNCTION("""COMPUTED_VALUE"""),3.0)</f>
        <v>3</v>
      </c>
      <c r="AN1106" s="133" t="str">
        <f>IFERROR(__xludf.DUMMYFUNCTION("""COMPUTED_VALUE"""),"3.5")</f>
        <v>3.5</v>
      </c>
      <c r="AO1106" s="133">
        <f>IFERROR(__xludf.DUMMYFUNCTION("""COMPUTED_VALUE"""),3.0)</f>
        <v>3</v>
      </c>
      <c r="AP1106" s="155" t="s">
        <v>3736</v>
      </c>
    </row>
    <row r="1107">
      <c r="A1107" s="155">
        <f>IFERROR(__xludf.DUMMYFUNCTION("""COMPUTED_VALUE"""),214.0)</f>
        <v>214</v>
      </c>
      <c r="B1107" s="155" t="str">
        <f>IFERROR(__xludf.DUMMYFUNCTION("""COMPUTED_VALUE"""),"suv23ece@cmrit.ac.in")</f>
        <v>suv23ece@cmrit.ac.in</v>
      </c>
      <c r="C1107" s="174" t="str">
        <f>IFERROR(__xludf.DUMMYFUNCTION("""COMPUTED_VALUE"""),"SUSHMITHA V")</f>
        <v>SUSHMITHA V</v>
      </c>
      <c r="D1107" s="155" t="str">
        <f>IFERROR(__xludf.DUMMYFUNCTION("""COMPUTED_VALUE"""),"1CR23EC224")</f>
        <v>1CR23EC224</v>
      </c>
      <c r="E1107" s="563">
        <f>IFERROR(__xludf.DUMMYFUNCTION("""COMPUTED_VALUE"""),9.945022343E9)</f>
        <v>9945022343</v>
      </c>
      <c r="F1107" s="155" t="str">
        <f>IFERROR(__xludf.DUMMYFUNCTION("""COMPUTED_VALUE"""),"ECE")</f>
        <v>ECE</v>
      </c>
      <c r="G1107" s="158"/>
      <c r="H1107" s="559">
        <f>IFERROR(__xludf.DUMMYFUNCTION("""COMPUTED_VALUE"""),76.0)</f>
        <v>76</v>
      </c>
      <c r="I1107" s="559">
        <f>IFERROR(__xludf.DUMMYFUNCTION("""COMPUTED_VALUE"""),76.0)</f>
        <v>76</v>
      </c>
      <c r="J1107" s="559">
        <f>IFERROR(__xludf.DUMMYFUNCTION("""COMPUTED_VALUE"""),70.0)</f>
        <v>70</v>
      </c>
      <c r="K1107" s="559">
        <f>IFERROR(__xludf.DUMMYFUNCTION("""COMPUTED_VALUE"""),70.0)</f>
        <v>70</v>
      </c>
      <c r="L1107" s="560">
        <f>IFERROR(__xludf.DUMMYFUNCTION("""COMPUTED_VALUE"""),50.0)</f>
        <v>50</v>
      </c>
      <c r="M1107" s="561">
        <f>IFERROR(__xludf.DUMMYFUNCTION("""COMPUTED_VALUE"""),16.0)</f>
        <v>16</v>
      </c>
      <c r="N1107" s="561">
        <f>IFERROR(__xludf.DUMMYFUNCTION("""COMPUTED_VALUE"""),50.0)</f>
        <v>50</v>
      </c>
      <c r="O1107" s="560"/>
      <c r="P1107" s="562">
        <f>IFERROR(__xludf.DUMMYFUNCTION("""COMPUTED_VALUE"""),70.0)</f>
        <v>70</v>
      </c>
      <c r="Q1107" s="562">
        <f>IFERROR(__xludf.DUMMYFUNCTION("""COMPUTED_VALUE"""),67.0)</f>
        <v>67</v>
      </c>
      <c r="R1107" s="562">
        <f>IFERROR(__xludf.DUMMYFUNCTION("""COMPUTED_VALUE"""),80.0)</f>
        <v>80</v>
      </c>
      <c r="S1107" s="562"/>
      <c r="T1107" s="217">
        <f>IFERROR(__xludf.DUMMYFUNCTION("""COMPUTED_VALUE"""),21.0)</f>
        <v>21</v>
      </c>
      <c r="U1107" s="217">
        <f>IFERROR(__xludf.DUMMYFUNCTION("""COMPUTED_VALUE"""),21.0)</f>
        <v>21</v>
      </c>
      <c r="V1107" s="217">
        <f>IFERROR(__xludf.DUMMYFUNCTION("""COMPUTED_VALUE"""),48.0)</f>
        <v>48</v>
      </c>
      <c r="W1107" s="217">
        <f>IFERROR(__xludf.DUMMYFUNCTION("""COMPUTED_VALUE"""),76.0)</f>
        <v>76</v>
      </c>
      <c r="X1107" s="217">
        <f>IFERROR(__xludf.DUMMYFUNCTION("""COMPUTED_VALUE"""),72.0)</f>
        <v>72</v>
      </c>
      <c r="Y1107" s="217"/>
      <c r="Z1107" s="217"/>
      <c r="AA1107" s="481">
        <f>IFERROR(__xludf.DUMMYFUNCTION("""COMPUTED_VALUE"""),6.2)</f>
        <v>6.2</v>
      </c>
      <c r="AB1107" s="481">
        <f>IFERROR(__xludf.DUMMYFUNCTION("""COMPUTED_VALUE"""),77.0)</f>
        <v>77</v>
      </c>
      <c r="AC1107" s="481">
        <f>IFERROR(__xludf.DUMMYFUNCTION("""COMPUTED_VALUE"""),77.0)</f>
        <v>77</v>
      </c>
      <c r="AD1107" s="481"/>
      <c r="AE1107" s="481">
        <f>IFERROR(__xludf.DUMMYFUNCTION("""COMPUTED_VALUE"""),73.0)</f>
        <v>73</v>
      </c>
      <c r="AF1107" s="481"/>
      <c r="AG1107" s="481"/>
      <c r="AH1107" s="481"/>
      <c r="AI1107" s="158"/>
      <c r="AJ1107" s="158"/>
      <c r="AK1107" s="133">
        <f>IFERROR(__xludf.DUMMYFUNCTION("""COMPUTED_VALUE"""),4.0)</f>
        <v>4</v>
      </c>
      <c r="AL1107" s="133">
        <f>IFERROR(__xludf.DUMMYFUNCTION("""COMPUTED_VALUE"""),1.0)</f>
        <v>1</v>
      </c>
      <c r="AM1107" s="133">
        <f>IFERROR(__xludf.DUMMYFUNCTION("""COMPUTED_VALUE"""),3.0)</f>
        <v>3</v>
      </c>
      <c r="AN1107" s="133" t="str">
        <f>IFERROR(__xludf.DUMMYFUNCTION("""COMPUTED_VALUE"""),"3.5")</f>
        <v>3.5</v>
      </c>
      <c r="AO1107" s="133">
        <f>IFERROR(__xludf.DUMMYFUNCTION("""COMPUTED_VALUE"""),3.0)</f>
        <v>3</v>
      </c>
      <c r="AP1107" s="155" t="s">
        <v>3736</v>
      </c>
    </row>
    <row r="1108">
      <c r="A1108" s="155">
        <f>IFERROR(__xludf.DUMMYFUNCTION("""COMPUTED_VALUE"""),215.0)</f>
        <v>215</v>
      </c>
      <c r="B1108" s="155" t="str">
        <f>IFERROR(__xludf.DUMMYFUNCTION("""COMPUTED_VALUE"""),"swmr23ece@cmrit.ac.in")</f>
        <v>swmr23ece@cmrit.ac.in</v>
      </c>
      <c r="C1108" s="174" t="str">
        <f>IFERROR(__xludf.DUMMYFUNCTION("""COMPUTED_VALUE"""),"Swaroop M R")</f>
        <v>Swaroop M R</v>
      </c>
      <c r="D1108" s="155" t="str">
        <f>IFERROR(__xludf.DUMMYFUNCTION("""COMPUTED_VALUE"""),"1CR23EC225")</f>
        <v>1CR23EC225</v>
      </c>
      <c r="E1108" s="563">
        <f>IFERROR(__xludf.DUMMYFUNCTION("""COMPUTED_VALUE"""),8.431347269E9)</f>
        <v>8431347269</v>
      </c>
      <c r="F1108" s="155" t="str">
        <f>IFERROR(__xludf.DUMMYFUNCTION("""COMPUTED_VALUE"""),"ECE")</f>
        <v>ECE</v>
      </c>
      <c r="G1108" s="158"/>
      <c r="H1108" s="559">
        <f>IFERROR(__xludf.DUMMYFUNCTION("""COMPUTED_VALUE"""),83.0)</f>
        <v>83</v>
      </c>
      <c r="I1108" s="559">
        <f>IFERROR(__xludf.DUMMYFUNCTION("""COMPUTED_VALUE"""),77.0)</f>
        <v>77</v>
      </c>
      <c r="J1108" s="559">
        <f>IFERROR(__xludf.DUMMYFUNCTION("""COMPUTED_VALUE"""),70.0)</f>
        <v>70</v>
      </c>
      <c r="K1108" s="559">
        <f>IFERROR(__xludf.DUMMYFUNCTION("""COMPUTED_VALUE"""),70.0)</f>
        <v>70</v>
      </c>
      <c r="L1108" s="560">
        <f>IFERROR(__xludf.DUMMYFUNCTION("""COMPUTED_VALUE"""),50.0)</f>
        <v>50</v>
      </c>
      <c r="M1108" s="561">
        <f>IFERROR(__xludf.DUMMYFUNCTION("""COMPUTED_VALUE"""),50.0)</f>
        <v>50</v>
      </c>
      <c r="N1108" s="561">
        <f>IFERROR(__xludf.DUMMYFUNCTION("""COMPUTED_VALUE"""),50.0)</f>
        <v>50</v>
      </c>
      <c r="O1108" s="560"/>
      <c r="P1108" s="562">
        <f>IFERROR(__xludf.DUMMYFUNCTION("""COMPUTED_VALUE"""),73.0)</f>
        <v>73</v>
      </c>
      <c r="Q1108" s="562">
        <f>IFERROR(__xludf.DUMMYFUNCTION("""COMPUTED_VALUE"""),0.0)</f>
        <v>0</v>
      </c>
      <c r="R1108" s="562">
        <f>IFERROR(__xludf.DUMMYFUNCTION("""COMPUTED_VALUE"""),50.0)</f>
        <v>50</v>
      </c>
      <c r="S1108" s="562"/>
      <c r="T1108" s="217">
        <f>IFERROR(__xludf.DUMMYFUNCTION("""COMPUTED_VALUE"""),21.0)</f>
        <v>21</v>
      </c>
      <c r="U1108" s="217">
        <f>IFERROR(__xludf.DUMMYFUNCTION("""COMPUTED_VALUE"""),20.0)</f>
        <v>20</v>
      </c>
      <c r="V1108" s="217">
        <f>IFERROR(__xludf.DUMMYFUNCTION("""COMPUTED_VALUE"""),0.0)</f>
        <v>0</v>
      </c>
      <c r="W1108" s="217">
        <f>IFERROR(__xludf.DUMMYFUNCTION("""COMPUTED_VALUE"""),86.0)</f>
        <v>86</v>
      </c>
      <c r="X1108" s="217">
        <f>IFERROR(__xludf.DUMMYFUNCTION("""COMPUTED_VALUE"""),74.0)</f>
        <v>74</v>
      </c>
      <c r="Y1108" s="217"/>
      <c r="Z1108" s="217"/>
      <c r="AA1108" s="481">
        <f>IFERROR(__xludf.DUMMYFUNCTION("""COMPUTED_VALUE"""),84.0)</f>
        <v>84</v>
      </c>
      <c r="AB1108" s="481">
        <f>IFERROR(__xludf.DUMMYFUNCTION("""COMPUTED_VALUE"""),80.0)</f>
        <v>80</v>
      </c>
      <c r="AC1108" s="481">
        <f>IFERROR(__xludf.DUMMYFUNCTION("""COMPUTED_VALUE"""),86.0)</f>
        <v>86</v>
      </c>
      <c r="AD1108" s="481"/>
      <c r="AE1108" s="481">
        <f>IFERROR(__xludf.DUMMYFUNCTION("""COMPUTED_VALUE"""),95.0)</f>
        <v>95</v>
      </c>
      <c r="AF1108" s="481"/>
      <c r="AG1108" s="481"/>
      <c r="AH1108" s="481"/>
      <c r="AI1108" s="158"/>
      <c r="AJ1108" s="158"/>
      <c r="AK1108" s="133">
        <f>IFERROR(__xludf.DUMMYFUNCTION("""COMPUTED_VALUE"""),4.0)</f>
        <v>4</v>
      </c>
      <c r="AL1108" s="133">
        <f>IFERROR(__xludf.DUMMYFUNCTION("""COMPUTED_VALUE"""),3.0)</f>
        <v>3</v>
      </c>
      <c r="AM1108" s="133">
        <f>IFERROR(__xludf.DUMMYFUNCTION("""COMPUTED_VALUE"""),3.0)</f>
        <v>3</v>
      </c>
      <c r="AN1108" s="133" t="str">
        <f>IFERROR(__xludf.DUMMYFUNCTION("""COMPUTED_VALUE"""),"3.5")</f>
        <v>3.5</v>
      </c>
      <c r="AO1108" s="133">
        <f>IFERROR(__xludf.DUMMYFUNCTION("""COMPUTED_VALUE"""),1.0)</f>
        <v>1</v>
      </c>
      <c r="AP1108" s="155" t="s">
        <v>3736</v>
      </c>
    </row>
    <row r="1109">
      <c r="A1109" s="155">
        <f>IFERROR(__xludf.DUMMYFUNCTION("""COMPUTED_VALUE"""),216.0)</f>
        <v>216</v>
      </c>
      <c r="B1109" s="155" t="str">
        <f>IFERROR(__xludf.DUMMYFUNCTION("""COMPUTED_VALUE"""),"teku23ece@cmrit.ac.in")</f>
        <v>teku23ece@cmrit.ac.in</v>
      </c>
      <c r="C1109" s="174" t="str">
        <f>IFERROR(__xludf.DUMMYFUNCTION("""COMPUTED_VALUE"""),"TEJAS KUMAR")</f>
        <v>TEJAS KUMAR</v>
      </c>
      <c r="D1109" s="155" t="str">
        <f>IFERROR(__xludf.DUMMYFUNCTION("""COMPUTED_VALUE"""),"1CR23EC226")</f>
        <v>1CR23EC226</v>
      </c>
      <c r="E1109" s="563">
        <f>IFERROR(__xludf.DUMMYFUNCTION("""COMPUTED_VALUE"""),7.67754766E9)</f>
        <v>7677547660</v>
      </c>
      <c r="F1109" s="155" t="str">
        <f>IFERROR(__xludf.DUMMYFUNCTION("""COMPUTED_VALUE"""),"ECE")</f>
        <v>ECE</v>
      </c>
      <c r="G1109" s="158"/>
      <c r="H1109" s="559">
        <f>IFERROR(__xludf.DUMMYFUNCTION("""COMPUTED_VALUE"""),84.0)</f>
        <v>84</v>
      </c>
      <c r="I1109" s="559">
        <f>IFERROR(__xludf.DUMMYFUNCTION("""COMPUTED_VALUE"""),86.0)</f>
        <v>86</v>
      </c>
      <c r="J1109" s="559">
        <f>IFERROR(__xludf.DUMMYFUNCTION("""COMPUTED_VALUE"""),77.0)</f>
        <v>77</v>
      </c>
      <c r="K1109" s="559">
        <f>IFERROR(__xludf.DUMMYFUNCTION("""COMPUTED_VALUE"""),70.0)</f>
        <v>70</v>
      </c>
      <c r="L1109" s="560">
        <f>IFERROR(__xludf.DUMMYFUNCTION("""COMPUTED_VALUE"""),50.0)</f>
        <v>50</v>
      </c>
      <c r="M1109" s="561">
        <f>IFERROR(__xludf.DUMMYFUNCTION("""COMPUTED_VALUE"""),50.0)</f>
        <v>50</v>
      </c>
      <c r="N1109" s="561">
        <f>IFERROR(__xludf.DUMMYFUNCTION("""COMPUTED_VALUE"""),65.0)</f>
        <v>65</v>
      </c>
      <c r="O1109" s="560"/>
      <c r="P1109" s="562">
        <f>IFERROR(__xludf.DUMMYFUNCTION("""COMPUTED_VALUE"""),70.0)</f>
        <v>70</v>
      </c>
      <c r="Q1109" s="562">
        <f>IFERROR(__xludf.DUMMYFUNCTION("""COMPUTED_VALUE"""),64.0)</f>
        <v>64</v>
      </c>
      <c r="R1109" s="562">
        <f>IFERROR(__xludf.DUMMYFUNCTION("""COMPUTED_VALUE"""),50.0)</f>
        <v>50</v>
      </c>
      <c r="S1109" s="562"/>
      <c r="T1109" s="217">
        <f>IFERROR(__xludf.DUMMYFUNCTION("""COMPUTED_VALUE"""),10.0)</f>
        <v>10</v>
      </c>
      <c r="U1109" s="217">
        <f>IFERROR(__xludf.DUMMYFUNCTION("""COMPUTED_VALUE"""),15.0)</f>
        <v>15</v>
      </c>
      <c r="V1109" s="217">
        <f>IFERROR(__xludf.DUMMYFUNCTION("""COMPUTED_VALUE"""),44.0)</f>
        <v>44</v>
      </c>
      <c r="W1109" s="217">
        <f>IFERROR(__xludf.DUMMYFUNCTION("""COMPUTED_VALUE"""),80.0)</f>
        <v>80</v>
      </c>
      <c r="X1109" s="217">
        <f>IFERROR(__xludf.DUMMYFUNCTION("""COMPUTED_VALUE"""),78.0)</f>
        <v>78</v>
      </c>
      <c r="Y1109" s="217"/>
      <c r="Z1109" s="217"/>
      <c r="AA1109" s="481">
        <f>IFERROR(__xludf.DUMMYFUNCTION("""COMPUTED_VALUE"""),74.19999999999999)</f>
        <v>74.2</v>
      </c>
      <c r="AB1109" s="481">
        <f>IFERROR(__xludf.DUMMYFUNCTION("""COMPUTED_VALUE"""),74.0)</f>
        <v>74</v>
      </c>
      <c r="AC1109" s="481">
        <f>IFERROR(__xludf.DUMMYFUNCTION("""COMPUTED_VALUE"""),100.0)</f>
        <v>100</v>
      </c>
      <c r="AD1109" s="481"/>
      <c r="AE1109" s="481">
        <f>IFERROR(__xludf.DUMMYFUNCTION("""COMPUTED_VALUE"""),85.0)</f>
        <v>85</v>
      </c>
      <c r="AF1109" s="481"/>
      <c r="AG1109" s="481"/>
      <c r="AH1109" s="481">
        <f>IFERROR(__xludf.DUMMYFUNCTION("""COMPUTED_VALUE"""),38.0)</f>
        <v>38</v>
      </c>
      <c r="AI1109" s="158"/>
      <c r="AJ1109" s="158"/>
      <c r="AK1109" s="133">
        <f>IFERROR(__xludf.DUMMYFUNCTION("""COMPUTED_VALUE"""),4.0)</f>
        <v>4</v>
      </c>
      <c r="AL1109" s="133">
        <f>IFERROR(__xludf.DUMMYFUNCTION("""COMPUTED_VALUE"""),3.0)</f>
        <v>3</v>
      </c>
      <c r="AM1109" s="133">
        <f>IFERROR(__xludf.DUMMYFUNCTION("""COMPUTED_VALUE"""),3.0)</f>
        <v>3</v>
      </c>
      <c r="AN1109" s="133" t="str">
        <f>IFERROR(__xludf.DUMMYFUNCTION("""COMPUTED_VALUE"""),"3.5")</f>
        <v>3.5</v>
      </c>
      <c r="AO1109" s="133">
        <f>IFERROR(__xludf.DUMMYFUNCTION("""COMPUTED_VALUE"""),3.0)</f>
        <v>3</v>
      </c>
      <c r="AP1109" s="155" t="s">
        <v>3736</v>
      </c>
    </row>
    <row r="1110">
      <c r="A1110" s="155">
        <f>IFERROR(__xludf.DUMMYFUNCTION("""COMPUTED_VALUE"""),217.0)</f>
        <v>217</v>
      </c>
      <c r="B1110" s="155" t="str">
        <f>IFERROR(__xludf.DUMMYFUNCTION("""COMPUTED_VALUE"""),"th23ece@cmrit.ac.in")</f>
        <v>th23ece@cmrit.ac.in</v>
      </c>
      <c r="C1110" s="174" t="str">
        <f>IFERROR(__xludf.DUMMYFUNCTION("""COMPUTED_VALUE"""),"THARUNESH")</f>
        <v>THARUNESH</v>
      </c>
      <c r="D1110" s="155" t="str">
        <f>IFERROR(__xludf.DUMMYFUNCTION("""COMPUTED_VALUE"""),"1CR23EC227")</f>
        <v>1CR23EC227</v>
      </c>
      <c r="E1110" s="563">
        <f>IFERROR(__xludf.DUMMYFUNCTION("""COMPUTED_VALUE"""),9.7410008882E10)</f>
        <v>97410008882</v>
      </c>
      <c r="F1110" s="155" t="str">
        <f>IFERROR(__xludf.DUMMYFUNCTION("""COMPUTED_VALUE"""),"ECE")</f>
        <v>ECE</v>
      </c>
      <c r="G1110" s="158"/>
      <c r="H1110" s="559">
        <f>IFERROR(__xludf.DUMMYFUNCTION("""COMPUTED_VALUE"""),83.0)</f>
        <v>83</v>
      </c>
      <c r="I1110" s="559">
        <f>IFERROR(__xludf.DUMMYFUNCTION("""COMPUTED_VALUE"""),86.0)</f>
        <v>86</v>
      </c>
      <c r="J1110" s="559">
        <f>IFERROR(__xludf.DUMMYFUNCTION("""COMPUTED_VALUE"""),62.0)</f>
        <v>62</v>
      </c>
      <c r="K1110" s="559">
        <f>IFERROR(__xludf.DUMMYFUNCTION("""COMPUTED_VALUE"""),70.0)</f>
        <v>70</v>
      </c>
      <c r="L1110" s="560">
        <f>IFERROR(__xludf.DUMMYFUNCTION("""COMPUTED_VALUE"""),50.0)</f>
        <v>50</v>
      </c>
      <c r="M1110" s="561">
        <f>IFERROR(__xludf.DUMMYFUNCTION("""COMPUTED_VALUE"""),50.0)</f>
        <v>50</v>
      </c>
      <c r="N1110" s="561">
        <f>IFERROR(__xludf.DUMMYFUNCTION("""COMPUTED_VALUE"""),0.0)</f>
        <v>0</v>
      </c>
      <c r="O1110" s="560"/>
      <c r="P1110" s="562">
        <f>IFERROR(__xludf.DUMMYFUNCTION("""COMPUTED_VALUE"""),50.0)</f>
        <v>50</v>
      </c>
      <c r="Q1110" s="562">
        <f>IFERROR(__xludf.DUMMYFUNCTION("""COMPUTED_VALUE"""),72.0)</f>
        <v>72</v>
      </c>
      <c r="R1110" s="562">
        <f>IFERROR(__xludf.DUMMYFUNCTION("""COMPUTED_VALUE"""),50.0)</f>
        <v>50</v>
      </c>
      <c r="S1110" s="562"/>
      <c r="T1110" s="217">
        <f>IFERROR(__xludf.DUMMYFUNCTION("""COMPUTED_VALUE"""),10.0)</f>
        <v>10</v>
      </c>
      <c r="U1110" s="217">
        <f>IFERROR(__xludf.DUMMYFUNCTION("""COMPUTED_VALUE"""),16.0)</f>
        <v>16</v>
      </c>
      <c r="V1110" s="217">
        <f>IFERROR(__xludf.DUMMYFUNCTION("""COMPUTED_VALUE"""),56.0)</f>
        <v>56</v>
      </c>
      <c r="W1110" s="217">
        <f>IFERROR(__xludf.DUMMYFUNCTION("""COMPUTED_VALUE"""),66.0)</f>
        <v>66</v>
      </c>
      <c r="X1110" s="217">
        <f>IFERROR(__xludf.DUMMYFUNCTION("""COMPUTED_VALUE"""),60.0)</f>
        <v>60</v>
      </c>
      <c r="Y1110" s="217"/>
      <c r="Z1110" s="217"/>
      <c r="AA1110" s="481">
        <f>IFERROR(__xludf.DUMMYFUNCTION("""COMPUTED_VALUE"""),59.2)</f>
        <v>59.2</v>
      </c>
      <c r="AB1110" s="481">
        <f>IFERROR(__xludf.DUMMYFUNCTION("""COMPUTED_VALUE"""),63.0)</f>
        <v>63</v>
      </c>
      <c r="AC1110" s="481">
        <f>IFERROR(__xludf.DUMMYFUNCTION("""COMPUTED_VALUE"""),75.0)</f>
        <v>75</v>
      </c>
      <c r="AD1110" s="481"/>
      <c r="AE1110" s="481">
        <f>IFERROR(__xludf.DUMMYFUNCTION("""COMPUTED_VALUE"""),14.0)</f>
        <v>14</v>
      </c>
      <c r="AF1110" s="481"/>
      <c r="AG1110" s="481"/>
      <c r="AH1110" s="481"/>
      <c r="AI1110" s="158"/>
      <c r="AJ1110" s="158"/>
      <c r="AK1110" s="133">
        <f>IFERROR(__xludf.DUMMYFUNCTION("""COMPUTED_VALUE"""),2.0)</f>
        <v>2</v>
      </c>
      <c r="AL1110" s="133">
        <f>IFERROR(__xludf.DUMMYFUNCTION("""COMPUTED_VALUE"""),2.0)</f>
        <v>2</v>
      </c>
      <c r="AM1110" s="133">
        <f>IFERROR(__xludf.DUMMYFUNCTION("""COMPUTED_VALUE"""),3.0)</f>
        <v>3</v>
      </c>
      <c r="AN1110" s="133" t="str">
        <f>IFERROR(__xludf.DUMMYFUNCTION("""COMPUTED_VALUE"""),"3")</f>
        <v>3</v>
      </c>
      <c r="AO1110" s="133">
        <f>IFERROR(__xludf.DUMMYFUNCTION("""COMPUTED_VALUE"""),3.0)</f>
        <v>3</v>
      </c>
      <c r="AP1110" s="155" t="s">
        <v>3736</v>
      </c>
    </row>
    <row r="1111">
      <c r="A1111" s="155">
        <f>IFERROR(__xludf.DUMMYFUNCTION("""COMPUTED_VALUE"""),218.0)</f>
        <v>218</v>
      </c>
      <c r="B1111" s="155" t="str">
        <f>IFERROR(__xludf.DUMMYFUNCTION("""COMPUTED_VALUE"""),"thhm23ece@cmrit.ac.in")</f>
        <v>thhm23ece@cmrit.ac.in</v>
      </c>
      <c r="C1111" s="174" t="str">
        <f>IFERROR(__xludf.DUMMYFUNCTION("""COMPUTED_VALUE"""),"Thilak HM")</f>
        <v>Thilak HM</v>
      </c>
      <c r="D1111" s="155" t="str">
        <f>IFERROR(__xludf.DUMMYFUNCTION("""COMPUTED_VALUE"""),"1CR23EC228")</f>
        <v>1CR23EC228</v>
      </c>
      <c r="E1111" s="563">
        <f>IFERROR(__xludf.DUMMYFUNCTION("""COMPUTED_VALUE"""),8.105285773E9)</f>
        <v>8105285773</v>
      </c>
      <c r="F1111" s="155" t="str">
        <f>IFERROR(__xludf.DUMMYFUNCTION("""COMPUTED_VALUE"""),"ECE")</f>
        <v>ECE</v>
      </c>
      <c r="G1111" s="158"/>
      <c r="H1111" s="559">
        <f>IFERROR(__xludf.DUMMYFUNCTION("""COMPUTED_VALUE"""),81.0)</f>
        <v>81</v>
      </c>
      <c r="I1111" s="559">
        <f>IFERROR(__xludf.DUMMYFUNCTION("""COMPUTED_VALUE"""),72.0)</f>
        <v>72</v>
      </c>
      <c r="J1111" s="559">
        <f>IFERROR(__xludf.DUMMYFUNCTION("""COMPUTED_VALUE"""),70.0)</f>
        <v>70</v>
      </c>
      <c r="K1111" s="559">
        <f>IFERROR(__xludf.DUMMYFUNCTION("""COMPUTED_VALUE"""),70.0)</f>
        <v>70</v>
      </c>
      <c r="L1111" s="560">
        <f>IFERROR(__xludf.DUMMYFUNCTION("""COMPUTED_VALUE"""),25.0)</f>
        <v>25</v>
      </c>
      <c r="M1111" s="561">
        <f>IFERROR(__xludf.DUMMYFUNCTION("""COMPUTED_VALUE"""),8.0)</f>
        <v>8</v>
      </c>
      <c r="N1111" s="561">
        <f>IFERROR(__xludf.DUMMYFUNCTION("""COMPUTED_VALUE"""),13.0)</f>
        <v>13</v>
      </c>
      <c r="O1111" s="560"/>
      <c r="P1111" s="562">
        <f>IFERROR(__xludf.DUMMYFUNCTION("""COMPUTED_VALUE"""),0.0)</f>
        <v>0</v>
      </c>
      <c r="Q1111" s="562">
        <f>IFERROR(__xludf.DUMMYFUNCTION("""COMPUTED_VALUE"""),0.0)</f>
        <v>0</v>
      </c>
      <c r="R1111" s="562">
        <f>IFERROR(__xludf.DUMMYFUNCTION("""COMPUTED_VALUE"""),0.0)</f>
        <v>0</v>
      </c>
      <c r="S1111" s="562"/>
      <c r="T1111" s="217">
        <f>IFERROR(__xludf.DUMMYFUNCTION("""COMPUTED_VALUE"""),10.0)</f>
        <v>10</v>
      </c>
      <c r="U1111" s="217">
        <f>IFERROR(__xludf.DUMMYFUNCTION("""COMPUTED_VALUE"""),17.0)</f>
        <v>17</v>
      </c>
      <c r="V1111" s="217">
        <f>IFERROR(__xludf.DUMMYFUNCTION("""COMPUTED_VALUE"""),54.0)</f>
        <v>54</v>
      </c>
      <c r="W1111" s="217">
        <f>IFERROR(__xludf.DUMMYFUNCTION("""COMPUTED_VALUE"""),80.0)</f>
        <v>80</v>
      </c>
      <c r="X1111" s="217">
        <f>IFERROR(__xludf.DUMMYFUNCTION("""COMPUTED_VALUE"""),64.0)</f>
        <v>64</v>
      </c>
      <c r="Y1111" s="217"/>
      <c r="Z1111" s="217"/>
      <c r="AA1111" s="481">
        <f>IFERROR(__xludf.DUMMYFUNCTION("""COMPUTED_VALUE"""),9.0)</f>
        <v>9</v>
      </c>
      <c r="AB1111" s="481">
        <f>IFERROR(__xludf.DUMMYFUNCTION("""COMPUTED_VALUE"""),65.0)</f>
        <v>65</v>
      </c>
      <c r="AC1111" s="481">
        <f>IFERROR(__xludf.DUMMYFUNCTION("""COMPUTED_VALUE"""),27.0)</f>
        <v>27</v>
      </c>
      <c r="AD1111" s="481"/>
      <c r="AE1111" s="481">
        <f>IFERROR(__xludf.DUMMYFUNCTION("""COMPUTED_VALUE"""),12.0)</f>
        <v>12</v>
      </c>
      <c r="AF1111" s="481"/>
      <c r="AG1111" s="481"/>
      <c r="AH1111" s="481"/>
      <c r="AI1111" s="158"/>
      <c r="AJ1111" s="158"/>
      <c r="AK1111" s="133">
        <f>IFERROR(__xludf.DUMMYFUNCTION("""COMPUTED_VALUE"""),4.0)</f>
        <v>4</v>
      </c>
      <c r="AL1111" s="133">
        <f>IFERROR(__xludf.DUMMYFUNCTION("""COMPUTED_VALUE"""),0.0)</f>
        <v>0</v>
      </c>
      <c r="AM1111" s="133">
        <f>IFERROR(__xludf.DUMMYFUNCTION("""COMPUTED_VALUE"""),3.0)</f>
        <v>3</v>
      </c>
      <c r="AN1111" s="133" t="str">
        <f>IFERROR(__xludf.DUMMYFUNCTION("""COMPUTED_VALUE"""),"2")</f>
        <v>2</v>
      </c>
      <c r="AO1111" s="133">
        <f>IFERROR(__xludf.DUMMYFUNCTION("""COMPUTED_VALUE"""),0.0)</f>
        <v>0</v>
      </c>
      <c r="AP1111" s="155" t="s">
        <v>3736</v>
      </c>
    </row>
    <row r="1112">
      <c r="A1112" s="155">
        <f>IFERROR(__xludf.DUMMYFUNCTION("""COMPUTED_VALUE"""),219.0)</f>
        <v>219</v>
      </c>
      <c r="B1112" s="155" t="str">
        <f>IFERROR(__xludf.DUMMYFUNCTION("""COMPUTED_VALUE"""),"thpa23ece@cmrit.ac.in")</f>
        <v>thpa23ece@cmrit.ac.in</v>
      </c>
      <c r="C1112" s="174" t="str">
        <f>IFERROR(__xludf.DUMMYFUNCTION("""COMPUTED_VALUE"""),"THIPPARAJULA PANDU NANDA KUMAR")</f>
        <v>THIPPARAJULA PANDU NANDA KUMAR</v>
      </c>
      <c r="D1112" s="155" t="str">
        <f>IFERROR(__xludf.DUMMYFUNCTION("""COMPUTED_VALUE"""),"1CR23EC229")</f>
        <v>1CR23EC229</v>
      </c>
      <c r="E1112" s="563">
        <f>IFERROR(__xludf.DUMMYFUNCTION("""COMPUTED_VALUE"""),9.063748161E9)</f>
        <v>9063748161</v>
      </c>
      <c r="F1112" s="155" t="str">
        <f>IFERROR(__xludf.DUMMYFUNCTION("""COMPUTED_VALUE"""),"ECE")</f>
        <v>ECE</v>
      </c>
      <c r="G1112" s="158"/>
      <c r="H1112" s="559">
        <f>IFERROR(__xludf.DUMMYFUNCTION("""COMPUTED_VALUE"""),71.0)</f>
        <v>71</v>
      </c>
      <c r="I1112" s="559">
        <f>IFERROR(__xludf.DUMMYFUNCTION("""COMPUTED_VALUE"""),65.0)</f>
        <v>65</v>
      </c>
      <c r="J1112" s="559">
        <f>IFERROR(__xludf.DUMMYFUNCTION("""COMPUTED_VALUE"""),15.0)</f>
        <v>15</v>
      </c>
      <c r="K1112" s="559">
        <f>IFERROR(__xludf.DUMMYFUNCTION("""COMPUTED_VALUE"""),26.0)</f>
        <v>26</v>
      </c>
      <c r="L1112" s="560">
        <f>IFERROR(__xludf.DUMMYFUNCTION("""COMPUTED_VALUE"""),5.0)</f>
        <v>5</v>
      </c>
      <c r="M1112" s="561">
        <f>IFERROR(__xludf.DUMMYFUNCTION("""COMPUTED_VALUE"""),0.0)</f>
        <v>0</v>
      </c>
      <c r="N1112" s="561">
        <f>IFERROR(__xludf.DUMMYFUNCTION("""COMPUTED_VALUE"""),0.0)</f>
        <v>0</v>
      </c>
      <c r="O1112" s="560"/>
      <c r="P1112" s="562">
        <f>IFERROR(__xludf.DUMMYFUNCTION("""COMPUTED_VALUE"""),0.0)</f>
        <v>0</v>
      </c>
      <c r="Q1112" s="562">
        <f>IFERROR(__xludf.DUMMYFUNCTION("""COMPUTED_VALUE"""),0.0)</f>
        <v>0</v>
      </c>
      <c r="R1112" s="562">
        <f>IFERROR(__xludf.DUMMYFUNCTION("""COMPUTED_VALUE"""),0.0)</f>
        <v>0</v>
      </c>
      <c r="S1112" s="562"/>
      <c r="T1112" s="217"/>
      <c r="U1112" s="217">
        <f>IFERROR(__xludf.DUMMYFUNCTION("""COMPUTED_VALUE"""),19.0)</f>
        <v>19</v>
      </c>
      <c r="V1112" s="217">
        <f>IFERROR(__xludf.DUMMYFUNCTION("""COMPUTED_VALUE"""),50.0)</f>
        <v>50</v>
      </c>
      <c r="W1112" s="217">
        <f>IFERROR(__xludf.DUMMYFUNCTION("""COMPUTED_VALUE"""),78.0)</f>
        <v>78</v>
      </c>
      <c r="X1112" s="217">
        <f>IFERROR(__xludf.DUMMYFUNCTION("""COMPUTED_VALUE"""),80.0)</f>
        <v>80</v>
      </c>
      <c r="Y1112" s="217"/>
      <c r="Z1112" s="217"/>
      <c r="AA1112" s="481">
        <f>IFERROR(__xludf.DUMMYFUNCTION("""COMPUTED_VALUE"""),1.4000000000000001)</f>
        <v>1.4</v>
      </c>
      <c r="AB1112" s="481">
        <f>IFERROR(__xludf.DUMMYFUNCTION("""COMPUTED_VALUE"""),16.0)</f>
        <v>16</v>
      </c>
      <c r="AC1112" s="481">
        <f>IFERROR(__xludf.DUMMYFUNCTION("""COMPUTED_VALUE"""),45.0)</f>
        <v>45</v>
      </c>
      <c r="AD1112" s="481"/>
      <c r="AE1112" s="481">
        <f>IFERROR(__xludf.DUMMYFUNCTION("""COMPUTED_VALUE"""),10.0)</f>
        <v>10</v>
      </c>
      <c r="AF1112" s="481"/>
      <c r="AG1112" s="481"/>
      <c r="AH1112" s="481"/>
      <c r="AI1112" s="158"/>
      <c r="AJ1112" s="158"/>
      <c r="AK1112" s="133">
        <f>IFERROR(__xludf.DUMMYFUNCTION("""COMPUTED_VALUE"""),2.0)</f>
        <v>2</v>
      </c>
      <c r="AL1112" s="133">
        <f>IFERROR(__xludf.DUMMYFUNCTION("""COMPUTED_VALUE"""),0.0)</f>
        <v>0</v>
      </c>
      <c r="AM1112" s="133">
        <f>IFERROR(__xludf.DUMMYFUNCTION("""COMPUTED_VALUE"""),3.0)</f>
        <v>3</v>
      </c>
      <c r="AN1112" s="133" t="str">
        <f>IFERROR(__xludf.DUMMYFUNCTION("""COMPUTED_VALUE"""),"0")</f>
        <v>0</v>
      </c>
      <c r="AO1112" s="133">
        <f>IFERROR(__xludf.DUMMYFUNCTION("""COMPUTED_VALUE"""),0.0)</f>
        <v>0</v>
      </c>
      <c r="AP1112" s="155" t="s">
        <v>3736</v>
      </c>
    </row>
    <row r="1113">
      <c r="A1113" s="155">
        <f>IFERROR(__xludf.DUMMYFUNCTION("""COMPUTED_VALUE"""),220.0)</f>
        <v>220</v>
      </c>
      <c r="B1113" s="155" t="str">
        <f>IFERROR(__xludf.DUMMYFUNCTION("""COMPUTED_VALUE"""),"thva23ece@cmrit.ac.in")</f>
        <v>thva23ece@cmrit.ac.in</v>
      </c>
      <c r="C1113" s="174" t="str">
        <f>IFERROR(__xludf.DUMMYFUNCTION("""COMPUTED_VALUE"""),"THUMMALA VAALMIKI MANUHAS")</f>
        <v>THUMMALA VAALMIKI MANUHAS</v>
      </c>
      <c r="D1113" s="155" t="str">
        <f>IFERROR(__xludf.DUMMYFUNCTION("""COMPUTED_VALUE"""),"1CR23EC230")</f>
        <v>1CR23EC230</v>
      </c>
      <c r="E1113" s="563">
        <f>IFERROR(__xludf.DUMMYFUNCTION("""COMPUTED_VALUE"""),9.010866567E9)</f>
        <v>9010866567</v>
      </c>
      <c r="F1113" s="155" t="str">
        <f>IFERROR(__xludf.DUMMYFUNCTION("""COMPUTED_VALUE"""),"ECE")</f>
        <v>ECE</v>
      </c>
      <c r="G1113" s="158"/>
      <c r="H1113" s="559">
        <f>IFERROR(__xludf.DUMMYFUNCTION("""COMPUTED_VALUE"""),81.0)</f>
        <v>81</v>
      </c>
      <c r="I1113" s="559">
        <f>IFERROR(__xludf.DUMMYFUNCTION("""COMPUTED_VALUE"""),75.0)</f>
        <v>75</v>
      </c>
      <c r="J1113" s="559">
        <f>IFERROR(__xludf.DUMMYFUNCTION("""COMPUTED_VALUE"""),65.0)</f>
        <v>65</v>
      </c>
      <c r="K1113" s="559">
        <f>IFERROR(__xludf.DUMMYFUNCTION("""COMPUTED_VALUE"""),25.0)</f>
        <v>25</v>
      </c>
      <c r="L1113" s="560">
        <f>IFERROR(__xludf.DUMMYFUNCTION("""COMPUTED_VALUE"""),50.0)</f>
        <v>50</v>
      </c>
      <c r="M1113" s="561">
        <f>IFERROR(__xludf.DUMMYFUNCTION("""COMPUTED_VALUE"""),7.0)</f>
        <v>7</v>
      </c>
      <c r="N1113" s="561">
        <f>IFERROR(__xludf.DUMMYFUNCTION("""COMPUTED_VALUE"""),0.0)</f>
        <v>0</v>
      </c>
      <c r="O1113" s="560"/>
      <c r="P1113" s="562">
        <f>IFERROR(__xludf.DUMMYFUNCTION("""COMPUTED_VALUE"""),0.0)</f>
        <v>0</v>
      </c>
      <c r="Q1113" s="562">
        <f>IFERROR(__xludf.DUMMYFUNCTION("""COMPUTED_VALUE"""),0.0)</f>
        <v>0</v>
      </c>
      <c r="R1113" s="562">
        <f>IFERROR(__xludf.DUMMYFUNCTION("""COMPUTED_VALUE"""),0.0)</f>
        <v>0</v>
      </c>
      <c r="S1113" s="562"/>
      <c r="T1113" s="217">
        <f>IFERROR(__xludf.DUMMYFUNCTION("""COMPUTED_VALUE"""),22.0)</f>
        <v>22</v>
      </c>
      <c r="U1113" s="217">
        <f>IFERROR(__xludf.DUMMYFUNCTION("""COMPUTED_VALUE"""),17.0)</f>
        <v>17</v>
      </c>
      <c r="V1113" s="217">
        <f>IFERROR(__xludf.DUMMYFUNCTION("""COMPUTED_VALUE"""),48.0)</f>
        <v>48</v>
      </c>
      <c r="W1113" s="217">
        <f>IFERROR(__xludf.DUMMYFUNCTION("""COMPUTED_VALUE"""),80.0)</f>
        <v>80</v>
      </c>
      <c r="X1113" s="217"/>
      <c r="Y1113" s="217"/>
      <c r="Z1113" s="217"/>
      <c r="AA1113" s="481">
        <f>IFERROR(__xludf.DUMMYFUNCTION("""COMPUTED_VALUE"""),12.8)</f>
        <v>12.8</v>
      </c>
      <c r="AB1113" s="481">
        <f>IFERROR(__xludf.DUMMYFUNCTION("""COMPUTED_VALUE"""),25.0)</f>
        <v>25</v>
      </c>
      <c r="AC1113" s="481">
        <f>IFERROR(__xludf.DUMMYFUNCTION("""COMPUTED_VALUE"""),0.0)</f>
        <v>0</v>
      </c>
      <c r="AD1113" s="481"/>
      <c r="AE1113" s="481">
        <f>IFERROR(__xludf.DUMMYFUNCTION("""COMPUTED_VALUE"""),10.0)</f>
        <v>10</v>
      </c>
      <c r="AF1113" s="481"/>
      <c r="AG1113" s="481"/>
      <c r="AH1113" s="481"/>
      <c r="AI1113" s="158"/>
      <c r="AJ1113" s="158"/>
      <c r="AK1113" s="133">
        <f>IFERROR(__xludf.DUMMYFUNCTION("""COMPUTED_VALUE"""),2.0)</f>
        <v>2</v>
      </c>
      <c r="AL1113" s="133">
        <f>IFERROR(__xludf.DUMMYFUNCTION("""COMPUTED_VALUE"""),1.0)</f>
        <v>1</v>
      </c>
      <c r="AM1113" s="133">
        <f>IFERROR(__xludf.DUMMYFUNCTION("""COMPUTED_VALUE"""),3.0)</f>
        <v>3</v>
      </c>
      <c r="AN1113" s="133" t="str">
        <f>IFERROR(__xludf.DUMMYFUNCTION("""COMPUTED_VALUE"""),"0")</f>
        <v>0</v>
      </c>
      <c r="AO1113" s="133">
        <f>IFERROR(__xludf.DUMMYFUNCTION("""COMPUTED_VALUE"""),0.0)</f>
        <v>0</v>
      </c>
      <c r="AP1113" s="155" t="s">
        <v>3736</v>
      </c>
    </row>
    <row r="1114">
      <c r="A1114" s="155">
        <f>IFERROR(__xludf.DUMMYFUNCTION("""COMPUTED_VALUE"""),221.0)</f>
        <v>221</v>
      </c>
      <c r="B1114" s="155" t="str">
        <f>IFERROR(__xludf.DUMMYFUNCTION("""COMPUTED_VALUE"""),"trra23ece@cmrit.ac.in")</f>
        <v>trra23ece@cmrit.ac.in</v>
      </c>
      <c r="C1114" s="174" t="str">
        <f>IFERROR(__xludf.DUMMYFUNCTION("""COMPUTED_VALUE"""),"Trisha D Rai ")</f>
        <v>Trisha D Rai </v>
      </c>
      <c r="D1114" s="155" t="str">
        <f>IFERROR(__xludf.DUMMYFUNCTION("""COMPUTED_VALUE"""),"1CR23EC231")</f>
        <v>1CR23EC231</v>
      </c>
      <c r="E1114" s="563">
        <f>IFERROR(__xludf.DUMMYFUNCTION("""COMPUTED_VALUE"""),6.364125455E9)</f>
        <v>6364125455</v>
      </c>
      <c r="F1114" s="155" t="str">
        <f>IFERROR(__xludf.DUMMYFUNCTION("""COMPUTED_VALUE"""),"ECE")</f>
        <v>ECE</v>
      </c>
      <c r="G1114" s="158"/>
      <c r="H1114" s="559">
        <f>IFERROR(__xludf.DUMMYFUNCTION("""COMPUTED_VALUE"""),87.0)</f>
        <v>87</v>
      </c>
      <c r="I1114" s="559">
        <f>IFERROR(__xludf.DUMMYFUNCTION("""COMPUTED_VALUE"""),88.0)</f>
        <v>88</v>
      </c>
      <c r="J1114" s="559">
        <f>IFERROR(__xludf.DUMMYFUNCTION("""COMPUTED_VALUE"""),70.0)</f>
        <v>70</v>
      </c>
      <c r="K1114" s="559">
        <f>IFERROR(__xludf.DUMMYFUNCTION("""COMPUTED_VALUE"""),70.0)</f>
        <v>70</v>
      </c>
      <c r="L1114" s="560">
        <f>IFERROR(__xludf.DUMMYFUNCTION("""COMPUTED_VALUE"""),50.0)</f>
        <v>50</v>
      </c>
      <c r="M1114" s="561">
        <f>IFERROR(__xludf.DUMMYFUNCTION("""COMPUTED_VALUE"""),50.0)</f>
        <v>50</v>
      </c>
      <c r="N1114" s="561">
        <f>IFERROR(__xludf.DUMMYFUNCTION("""COMPUTED_VALUE"""),50.0)</f>
        <v>50</v>
      </c>
      <c r="O1114" s="560"/>
      <c r="P1114" s="562">
        <f>IFERROR(__xludf.DUMMYFUNCTION("""COMPUTED_VALUE"""),75.0)</f>
        <v>75</v>
      </c>
      <c r="Q1114" s="562">
        <f>IFERROR(__xludf.DUMMYFUNCTION("""COMPUTED_VALUE"""),61.0)</f>
        <v>61</v>
      </c>
      <c r="R1114" s="562">
        <f>IFERROR(__xludf.DUMMYFUNCTION("""COMPUTED_VALUE"""),83.0)</f>
        <v>83</v>
      </c>
      <c r="S1114" s="562"/>
      <c r="T1114" s="217">
        <f>IFERROR(__xludf.DUMMYFUNCTION("""COMPUTED_VALUE"""),10.0)</f>
        <v>10</v>
      </c>
      <c r="U1114" s="217">
        <f>IFERROR(__xludf.DUMMYFUNCTION("""COMPUTED_VALUE"""),15.0)</f>
        <v>15</v>
      </c>
      <c r="V1114" s="217">
        <f>IFERROR(__xludf.DUMMYFUNCTION("""COMPUTED_VALUE"""),58.0)</f>
        <v>58</v>
      </c>
      <c r="W1114" s="217">
        <f>IFERROR(__xludf.DUMMYFUNCTION("""COMPUTED_VALUE"""),76.0)</f>
        <v>76</v>
      </c>
      <c r="X1114" s="217">
        <f>IFERROR(__xludf.DUMMYFUNCTION("""COMPUTED_VALUE"""),76.0)</f>
        <v>76</v>
      </c>
      <c r="Y1114" s="217"/>
      <c r="Z1114" s="217"/>
      <c r="AA1114" s="481">
        <f>IFERROR(__xludf.DUMMYFUNCTION("""COMPUTED_VALUE"""),12.0)</f>
        <v>12</v>
      </c>
      <c r="AB1114" s="481">
        <f>IFERROR(__xludf.DUMMYFUNCTION("""COMPUTED_VALUE"""),98.0)</f>
        <v>98</v>
      </c>
      <c r="AC1114" s="481">
        <f>IFERROR(__xludf.DUMMYFUNCTION("""COMPUTED_VALUE"""),70.0)</f>
        <v>70</v>
      </c>
      <c r="AD1114" s="481"/>
      <c r="AE1114" s="481">
        <f>IFERROR(__xludf.DUMMYFUNCTION("""COMPUTED_VALUE"""),82.0)</f>
        <v>82</v>
      </c>
      <c r="AF1114" s="481"/>
      <c r="AG1114" s="481"/>
      <c r="AH1114" s="481">
        <f>IFERROR(__xludf.DUMMYFUNCTION("""COMPUTED_VALUE"""),14.0)</f>
        <v>14</v>
      </c>
      <c r="AI1114" s="158"/>
      <c r="AJ1114" s="158"/>
      <c r="AK1114" s="133">
        <f>IFERROR(__xludf.DUMMYFUNCTION("""COMPUTED_VALUE"""),4.0)</f>
        <v>4</v>
      </c>
      <c r="AL1114" s="133">
        <f>IFERROR(__xludf.DUMMYFUNCTION("""COMPUTED_VALUE"""),3.0)</f>
        <v>3</v>
      </c>
      <c r="AM1114" s="133">
        <f>IFERROR(__xludf.DUMMYFUNCTION("""COMPUTED_VALUE"""),3.0)</f>
        <v>3</v>
      </c>
      <c r="AN1114" s="133" t="str">
        <f>IFERROR(__xludf.DUMMYFUNCTION("""COMPUTED_VALUE"""),"3.5")</f>
        <v>3.5</v>
      </c>
      <c r="AO1114" s="133">
        <f>IFERROR(__xludf.DUMMYFUNCTION("""COMPUTED_VALUE"""),3.0)</f>
        <v>3</v>
      </c>
      <c r="AP1114" s="155" t="s">
        <v>3736</v>
      </c>
    </row>
    <row r="1115">
      <c r="A1115" s="155">
        <f>IFERROR(__xludf.DUMMYFUNCTION("""COMPUTED_VALUE"""),222.0)</f>
        <v>222</v>
      </c>
      <c r="B1115" s="155" t="str">
        <f>IFERROR(__xludf.DUMMYFUNCTION("""COMPUTED_VALUE"""),"trma23ece@cmrit.ac.in")</f>
        <v>trma23ece@cmrit.ac.in</v>
      </c>
      <c r="C1115" s="174" t="str">
        <f>IFERROR(__xludf.DUMMYFUNCTION("""COMPUTED_VALUE"""),"Trupti S Malagi")</f>
        <v>Trupti S Malagi</v>
      </c>
      <c r="D1115" s="155" t="str">
        <f>IFERROR(__xludf.DUMMYFUNCTION("""COMPUTED_VALUE"""),"1CR23EC232")</f>
        <v>1CR23EC232</v>
      </c>
      <c r="E1115" s="563">
        <f>IFERROR(__xludf.DUMMYFUNCTION("""COMPUTED_VALUE"""),6.364632527E9)</f>
        <v>6364632527</v>
      </c>
      <c r="F1115" s="155" t="str">
        <f>IFERROR(__xludf.DUMMYFUNCTION("""COMPUTED_VALUE"""),"ECE")</f>
        <v>ECE</v>
      </c>
      <c r="G1115" s="158"/>
      <c r="H1115" s="559">
        <f>IFERROR(__xludf.DUMMYFUNCTION("""COMPUTED_VALUE"""),82.0)</f>
        <v>82</v>
      </c>
      <c r="I1115" s="559">
        <f>IFERROR(__xludf.DUMMYFUNCTION("""COMPUTED_VALUE"""),78.0)</f>
        <v>78</v>
      </c>
      <c r="J1115" s="559">
        <f>IFERROR(__xludf.DUMMYFUNCTION("""COMPUTED_VALUE"""),46.0)</f>
        <v>46</v>
      </c>
      <c r="K1115" s="559">
        <f>IFERROR(__xludf.DUMMYFUNCTION("""COMPUTED_VALUE"""),70.0)</f>
        <v>70</v>
      </c>
      <c r="L1115" s="560">
        <f>IFERROR(__xludf.DUMMYFUNCTION("""COMPUTED_VALUE"""),43.0)</f>
        <v>43</v>
      </c>
      <c r="M1115" s="561">
        <f>IFERROR(__xludf.DUMMYFUNCTION("""COMPUTED_VALUE"""),20.0)</f>
        <v>20</v>
      </c>
      <c r="N1115" s="561">
        <f>IFERROR(__xludf.DUMMYFUNCTION("""COMPUTED_VALUE"""),0.0)</f>
        <v>0</v>
      </c>
      <c r="O1115" s="560"/>
      <c r="P1115" s="562">
        <f>IFERROR(__xludf.DUMMYFUNCTION("""COMPUTED_VALUE"""),78.0)</f>
        <v>78</v>
      </c>
      <c r="Q1115" s="562">
        <f>IFERROR(__xludf.DUMMYFUNCTION("""COMPUTED_VALUE"""),81.0)</f>
        <v>81</v>
      </c>
      <c r="R1115" s="562">
        <f>IFERROR(__xludf.DUMMYFUNCTION("""COMPUTED_VALUE"""),0.0)</f>
        <v>0</v>
      </c>
      <c r="S1115" s="562"/>
      <c r="T1115" s="217">
        <f>IFERROR(__xludf.DUMMYFUNCTION("""COMPUTED_VALUE"""),12.0)</f>
        <v>12</v>
      </c>
      <c r="U1115" s="217">
        <f>IFERROR(__xludf.DUMMYFUNCTION("""COMPUTED_VALUE"""),16.0)</f>
        <v>16</v>
      </c>
      <c r="V1115" s="217">
        <f>IFERROR(__xludf.DUMMYFUNCTION("""COMPUTED_VALUE"""),44.0)</f>
        <v>44</v>
      </c>
      <c r="W1115" s="217">
        <f>IFERROR(__xludf.DUMMYFUNCTION("""COMPUTED_VALUE"""),0.0)</f>
        <v>0</v>
      </c>
      <c r="X1115" s="217"/>
      <c r="Y1115" s="217"/>
      <c r="Z1115" s="217"/>
      <c r="AA1115" s="481">
        <f>IFERROR(__xludf.DUMMYFUNCTION("""COMPUTED_VALUE"""),10.0)</f>
        <v>10</v>
      </c>
      <c r="AB1115" s="481">
        <f>IFERROR(__xludf.DUMMYFUNCTION("""COMPUTED_VALUE"""),73.0)</f>
        <v>73</v>
      </c>
      <c r="AC1115" s="481">
        <f>IFERROR(__xludf.DUMMYFUNCTION("""COMPUTED_VALUE"""),5.0)</f>
        <v>5</v>
      </c>
      <c r="AD1115" s="481"/>
      <c r="AE1115" s="481">
        <f>IFERROR(__xludf.DUMMYFUNCTION("""COMPUTED_VALUE"""),10.0)</f>
        <v>10</v>
      </c>
      <c r="AF1115" s="481"/>
      <c r="AG1115" s="481"/>
      <c r="AH1115" s="481">
        <f>IFERROR(__xludf.DUMMYFUNCTION("""COMPUTED_VALUE"""),0.0)</f>
        <v>0</v>
      </c>
      <c r="AI1115" s="158"/>
      <c r="AJ1115" s="158"/>
      <c r="AK1115" s="133">
        <f>IFERROR(__xludf.DUMMYFUNCTION("""COMPUTED_VALUE"""),2.0)</f>
        <v>2</v>
      </c>
      <c r="AL1115" s="133">
        <f>IFERROR(__xludf.DUMMYFUNCTION("""COMPUTED_VALUE"""),0.0)</f>
        <v>0</v>
      </c>
      <c r="AM1115" s="133">
        <f>IFERROR(__xludf.DUMMYFUNCTION("""COMPUTED_VALUE"""),2.0)</f>
        <v>2</v>
      </c>
      <c r="AN1115" s="133" t="str">
        <f>IFERROR(__xludf.DUMMYFUNCTION("""COMPUTED_VALUE"""),"2")</f>
        <v>2</v>
      </c>
      <c r="AO1115" s="133">
        <f>IFERROR(__xludf.DUMMYFUNCTION("""COMPUTED_VALUE"""),2.0)</f>
        <v>2</v>
      </c>
      <c r="AP1115" s="155" t="s">
        <v>3736</v>
      </c>
    </row>
    <row r="1116">
      <c r="A1116" s="155">
        <f>IFERROR(__xludf.DUMMYFUNCTION("""COMPUTED_VALUE"""),223.0)</f>
        <v>223</v>
      </c>
      <c r="B1116" s="155" t="str">
        <f>IFERROR(__xludf.DUMMYFUNCTION("""COMPUTED_VALUE"""),"tvsa23ece@cmrit.ac.in")</f>
        <v>tvsa23ece@cmrit.ac.in</v>
      </c>
      <c r="C1116" s="174" t="str">
        <f>IFERROR(__xludf.DUMMYFUNCTION("""COMPUTED_VALUE"""),"Tvarita R Sambrani")</f>
        <v>Tvarita R Sambrani</v>
      </c>
      <c r="D1116" s="155" t="str">
        <f>IFERROR(__xludf.DUMMYFUNCTION("""COMPUTED_VALUE"""),"1CR23EC233")</f>
        <v>1CR23EC233</v>
      </c>
      <c r="E1116" s="563">
        <f>IFERROR(__xludf.DUMMYFUNCTION("""COMPUTED_VALUE"""),7.795475775E9)</f>
        <v>7795475775</v>
      </c>
      <c r="F1116" s="155" t="str">
        <f>IFERROR(__xludf.DUMMYFUNCTION("""COMPUTED_VALUE"""),"ECE")</f>
        <v>ECE</v>
      </c>
      <c r="G1116" s="158"/>
      <c r="H1116" s="559">
        <f>IFERROR(__xludf.DUMMYFUNCTION("""COMPUTED_VALUE"""),77.0)</f>
        <v>77</v>
      </c>
      <c r="I1116" s="559">
        <f>IFERROR(__xludf.DUMMYFUNCTION("""COMPUTED_VALUE"""),83.0)</f>
        <v>83</v>
      </c>
      <c r="J1116" s="559">
        <f>IFERROR(__xludf.DUMMYFUNCTION("""COMPUTED_VALUE"""),71.0)</f>
        <v>71</v>
      </c>
      <c r="K1116" s="559">
        <f>IFERROR(__xludf.DUMMYFUNCTION("""COMPUTED_VALUE"""),70.0)</f>
        <v>70</v>
      </c>
      <c r="L1116" s="560">
        <f>IFERROR(__xludf.DUMMYFUNCTION("""COMPUTED_VALUE"""),50.0)</f>
        <v>50</v>
      </c>
      <c r="M1116" s="561">
        <f>IFERROR(__xludf.DUMMYFUNCTION("""COMPUTED_VALUE"""),21.0)</f>
        <v>21</v>
      </c>
      <c r="N1116" s="561">
        <f>IFERROR(__xludf.DUMMYFUNCTION("""COMPUTED_VALUE"""),50.0)</f>
        <v>50</v>
      </c>
      <c r="O1116" s="560"/>
      <c r="P1116" s="562">
        <f>IFERROR(__xludf.DUMMYFUNCTION("""COMPUTED_VALUE"""),75.0)</f>
        <v>75</v>
      </c>
      <c r="Q1116" s="562">
        <f>IFERROR(__xludf.DUMMYFUNCTION("""COMPUTED_VALUE"""),61.0)</f>
        <v>61</v>
      </c>
      <c r="R1116" s="562">
        <f>IFERROR(__xludf.DUMMYFUNCTION("""COMPUTED_VALUE"""),85.0)</f>
        <v>85</v>
      </c>
      <c r="S1116" s="562"/>
      <c r="T1116" s="217">
        <f>IFERROR(__xludf.DUMMYFUNCTION("""COMPUTED_VALUE"""),22.0)</f>
        <v>22</v>
      </c>
      <c r="U1116" s="217">
        <f>IFERROR(__xludf.DUMMYFUNCTION("""COMPUTED_VALUE"""),15.0)</f>
        <v>15</v>
      </c>
      <c r="V1116" s="217">
        <f>IFERROR(__xludf.DUMMYFUNCTION("""COMPUTED_VALUE"""),48.0)</f>
        <v>48</v>
      </c>
      <c r="W1116" s="217">
        <f>IFERROR(__xludf.DUMMYFUNCTION("""COMPUTED_VALUE"""),84.0)</f>
        <v>84</v>
      </c>
      <c r="X1116" s="217">
        <f>IFERROR(__xludf.DUMMYFUNCTION("""COMPUTED_VALUE"""),78.0)</f>
        <v>78</v>
      </c>
      <c r="Y1116" s="217"/>
      <c r="Z1116" s="217"/>
      <c r="AA1116" s="481">
        <f>IFERROR(__xludf.DUMMYFUNCTION("""COMPUTED_VALUE"""),53.0)</f>
        <v>53</v>
      </c>
      <c r="AB1116" s="481">
        <f>IFERROR(__xludf.DUMMYFUNCTION("""COMPUTED_VALUE"""),94.0)</f>
        <v>94</v>
      </c>
      <c r="AC1116" s="481">
        <f>IFERROR(__xludf.DUMMYFUNCTION("""COMPUTED_VALUE"""),42.0)</f>
        <v>42</v>
      </c>
      <c r="AD1116" s="481"/>
      <c r="AE1116" s="481">
        <f>IFERROR(__xludf.DUMMYFUNCTION("""COMPUTED_VALUE"""),74.0)</f>
        <v>74</v>
      </c>
      <c r="AF1116" s="481"/>
      <c r="AG1116" s="481"/>
      <c r="AH1116" s="481"/>
      <c r="AI1116" s="158"/>
      <c r="AJ1116" s="158"/>
      <c r="AK1116" s="133">
        <f>IFERROR(__xludf.DUMMYFUNCTION("""COMPUTED_VALUE"""),4.0)</f>
        <v>4</v>
      </c>
      <c r="AL1116" s="133">
        <f>IFERROR(__xludf.DUMMYFUNCTION("""COMPUTED_VALUE"""),1.0)</f>
        <v>1</v>
      </c>
      <c r="AM1116" s="133">
        <f>IFERROR(__xludf.DUMMYFUNCTION("""COMPUTED_VALUE"""),3.0)</f>
        <v>3</v>
      </c>
      <c r="AN1116" s="133" t="str">
        <f>IFERROR(__xludf.DUMMYFUNCTION("""COMPUTED_VALUE"""),"2")</f>
        <v>2</v>
      </c>
      <c r="AO1116" s="133">
        <f>IFERROR(__xludf.DUMMYFUNCTION("""COMPUTED_VALUE"""),3.0)</f>
        <v>3</v>
      </c>
      <c r="AP1116" s="155" t="s">
        <v>3736</v>
      </c>
    </row>
    <row r="1117">
      <c r="A1117" s="155">
        <f>IFERROR(__xludf.DUMMYFUNCTION("""COMPUTED_VALUE"""),224.0)</f>
        <v>224</v>
      </c>
      <c r="B1117" s="155" t="str">
        <f>IFERROR(__xludf.DUMMYFUNCTION("""COMPUTED_VALUE"""),"vash23ece@cmrit.ac.in")</f>
        <v>vash23ece@cmrit.ac.in</v>
      </c>
      <c r="C1117" s="174" t="str">
        <f>IFERROR(__xludf.DUMMYFUNCTION("""COMPUTED_VALUE"""),"V A SHAKTHI SRI YAMINI")</f>
        <v>V A SHAKTHI SRI YAMINI</v>
      </c>
      <c r="D1117" s="155" t="str">
        <f>IFERROR(__xludf.DUMMYFUNCTION("""COMPUTED_VALUE"""),"1CR23EC234")</f>
        <v>1CR23EC234</v>
      </c>
      <c r="E1117" s="563">
        <f>IFERROR(__xludf.DUMMYFUNCTION("""COMPUTED_VALUE"""),7.349605978E9)</f>
        <v>7349605978</v>
      </c>
      <c r="F1117" s="155" t="str">
        <f>IFERROR(__xludf.DUMMYFUNCTION("""COMPUTED_VALUE"""),"ECE")</f>
        <v>ECE</v>
      </c>
      <c r="G1117" s="158"/>
      <c r="H1117" s="559">
        <f>IFERROR(__xludf.DUMMYFUNCTION("""COMPUTED_VALUE"""),82.0)</f>
        <v>82</v>
      </c>
      <c r="I1117" s="559">
        <f>IFERROR(__xludf.DUMMYFUNCTION("""COMPUTED_VALUE"""),81.0)</f>
        <v>81</v>
      </c>
      <c r="J1117" s="559">
        <f>IFERROR(__xludf.DUMMYFUNCTION("""COMPUTED_VALUE"""),48.0)</f>
        <v>48</v>
      </c>
      <c r="K1117" s="559">
        <f>IFERROR(__xludf.DUMMYFUNCTION("""COMPUTED_VALUE"""),70.0)</f>
        <v>70</v>
      </c>
      <c r="L1117" s="560">
        <f>IFERROR(__xludf.DUMMYFUNCTION("""COMPUTED_VALUE"""),50.0)</f>
        <v>50</v>
      </c>
      <c r="M1117" s="561">
        <f>IFERROR(__xludf.DUMMYFUNCTION("""COMPUTED_VALUE"""),16.0)</f>
        <v>16</v>
      </c>
      <c r="N1117" s="561">
        <f>IFERROR(__xludf.DUMMYFUNCTION("""COMPUTED_VALUE"""),0.0)</f>
        <v>0</v>
      </c>
      <c r="O1117" s="560"/>
      <c r="P1117" s="562">
        <f>IFERROR(__xludf.DUMMYFUNCTION("""COMPUTED_VALUE"""),78.0)</f>
        <v>78</v>
      </c>
      <c r="Q1117" s="562">
        <f>IFERROR(__xludf.DUMMYFUNCTION("""COMPUTED_VALUE"""),82.0)</f>
        <v>82</v>
      </c>
      <c r="R1117" s="562">
        <f>IFERROR(__xludf.DUMMYFUNCTION("""COMPUTED_VALUE"""),0.0)</f>
        <v>0</v>
      </c>
      <c r="S1117" s="562"/>
      <c r="T1117" s="217">
        <f>IFERROR(__xludf.DUMMYFUNCTION("""COMPUTED_VALUE"""),17.0)</f>
        <v>17</v>
      </c>
      <c r="U1117" s="217">
        <f>IFERROR(__xludf.DUMMYFUNCTION("""COMPUTED_VALUE"""),15.0)</f>
        <v>15</v>
      </c>
      <c r="V1117" s="217">
        <f>IFERROR(__xludf.DUMMYFUNCTION("""COMPUTED_VALUE"""),42.0)</f>
        <v>42</v>
      </c>
      <c r="W1117" s="217">
        <f>IFERROR(__xludf.DUMMYFUNCTION("""COMPUTED_VALUE"""),0.0)</f>
        <v>0</v>
      </c>
      <c r="X1117" s="217"/>
      <c r="Y1117" s="217"/>
      <c r="Z1117" s="217"/>
      <c r="AA1117" s="481">
        <f>IFERROR(__xludf.DUMMYFUNCTION("""COMPUTED_VALUE"""),20.0)</f>
        <v>20</v>
      </c>
      <c r="AB1117" s="481">
        <f>IFERROR(__xludf.DUMMYFUNCTION("""COMPUTED_VALUE"""),98.0)</f>
        <v>98</v>
      </c>
      <c r="AC1117" s="481">
        <f>IFERROR(__xludf.DUMMYFUNCTION("""COMPUTED_VALUE"""),5.0)</f>
        <v>5</v>
      </c>
      <c r="AD1117" s="481"/>
      <c r="AE1117" s="481">
        <f>IFERROR(__xludf.DUMMYFUNCTION("""COMPUTED_VALUE"""),10.0)</f>
        <v>10</v>
      </c>
      <c r="AF1117" s="481"/>
      <c r="AG1117" s="481"/>
      <c r="AH1117" s="481">
        <f>IFERROR(__xludf.DUMMYFUNCTION("""COMPUTED_VALUE"""),0.0)</f>
        <v>0</v>
      </c>
      <c r="AI1117" s="158"/>
      <c r="AJ1117" s="158"/>
      <c r="AK1117" s="133">
        <f>IFERROR(__xludf.DUMMYFUNCTION("""COMPUTED_VALUE"""),2.0)</f>
        <v>2</v>
      </c>
      <c r="AL1117" s="133">
        <f>IFERROR(__xludf.DUMMYFUNCTION("""COMPUTED_VALUE"""),1.0)</f>
        <v>1</v>
      </c>
      <c r="AM1117" s="133">
        <f>IFERROR(__xludf.DUMMYFUNCTION("""COMPUTED_VALUE"""),2.0)</f>
        <v>2</v>
      </c>
      <c r="AN1117" s="133" t="str">
        <f>IFERROR(__xludf.DUMMYFUNCTION("""COMPUTED_VALUE"""),"2")</f>
        <v>2</v>
      </c>
      <c r="AO1117" s="133">
        <f>IFERROR(__xludf.DUMMYFUNCTION("""COMPUTED_VALUE"""),2.0)</f>
        <v>2</v>
      </c>
      <c r="AP1117" s="155" t="s">
        <v>3736</v>
      </c>
    </row>
    <row r="1118">
      <c r="A1118" s="155">
        <f>IFERROR(__xludf.DUMMYFUNCTION("""COMPUTED_VALUE"""),225.0)</f>
        <v>225</v>
      </c>
      <c r="B1118" s="155" t="str">
        <f>IFERROR(__xludf.DUMMYFUNCTION("""COMPUTED_VALUE"""),"vav23ece@cmrit.ac.in")</f>
        <v>vav23ece@cmrit.ac.in</v>
      </c>
      <c r="C1118" s="174" t="str">
        <f>IFERROR(__xludf.DUMMYFUNCTION("""COMPUTED_VALUE"""),"Vaishnavi V")</f>
        <v>Vaishnavi V</v>
      </c>
      <c r="D1118" s="155" t="str">
        <f>IFERROR(__xludf.DUMMYFUNCTION("""COMPUTED_VALUE"""),"1CR23EC235")</f>
        <v>1CR23EC235</v>
      </c>
      <c r="E1118" s="563">
        <f>IFERROR(__xludf.DUMMYFUNCTION("""COMPUTED_VALUE"""),7.975409334E9)</f>
        <v>7975409334</v>
      </c>
      <c r="F1118" s="155" t="str">
        <f>IFERROR(__xludf.DUMMYFUNCTION("""COMPUTED_VALUE"""),"ECE")</f>
        <v>ECE</v>
      </c>
      <c r="G1118" s="158"/>
      <c r="H1118" s="559">
        <f>IFERROR(__xludf.DUMMYFUNCTION("""COMPUTED_VALUE"""),85.0)</f>
        <v>85</v>
      </c>
      <c r="I1118" s="559">
        <f>IFERROR(__xludf.DUMMYFUNCTION("""COMPUTED_VALUE"""),90.0)</f>
        <v>90</v>
      </c>
      <c r="J1118" s="559">
        <f>IFERROR(__xludf.DUMMYFUNCTION("""COMPUTED_VALUE"""),74.0)</f>
        <v>74</v>
      </c>
      <c r="K1118" s="559">
        <f>IFERROR(__xludf.DUMMYFUNCTION("""COMPUTED_VALUE"""),70.0)</f>
        <v>70</v>
      </c>
      <c r="L1118" s="560">
        <f>IFERROR(__xludf.DUMMYFUNCTION("""COMPUTED_VALUE"""),55.0)</f>
        <v>55</v>
      </c>
      <c r="M1118" s="561">
        <f>IFERROR(__xludf.DUMMYFUNCTION("""COMPUTED_VALUE"""),50.0)</f>
        <v>50</v>
      </c>
      <c r="N1118" s="561">
        <f>IFERROR(__xludf.DUMMYFUNCTION("""COMPUTED_VALUE"""),50.0)</f>
        <v>50</v>
      </c>
      <c r="O1118" s="560"/>
      <c r="P1118" s="562">
        <f>IFERROR(__xludf.DUMMYFUNCTION("""COMPUTED_VALUE"""),75.0)</f>
        <v>75</v>
      </c>
      <c r="Q1118" s="562">
        <f>IFERROR(__xludf.DUMMYFUNCTION("""COMPUTED_VALUE"""),75.0)</f>
        <v>75</v>
      </c>
      <c r="R1118" s="562">
        <f>IFERROR(__xludf.DUMMYFUNCTION("""COMPUTED_VALUE"""),93.0)</f>
        <v>93</v>
      </c>
      <c r="S1118" s="562"/>
      <c r="T1118" s="217">
        <f>IFERROR(__xludf.DUMMYFUNCTION("""COMPUTED_VALUE"""),17.0)</f>
        <v>17</v>
      </c>
      <c r="U1118" s="217">
        <f>IFERROR(__xludf.DUMMYFUNCTION("""COMPUTED_VALUE"""),17.0)</f>
        <v>17</v>
      </c>
      <c r="V1118" s="217">
        <f>IFERROR(__xludf.DUMMYFUNCTION("""COMPUTED_VALUE"""),52.0)</f>
        <v>52</v>
      </c>
      <c r="W1118" s="217">
        <f>IFERROR(__xludf.DUMMYFUNCTION("""COMPUTED_VALUE"""),58.0)</f>
        <v>58</v>
      </c>
      <c r="X1118" s="217">
        <f>IFERROR(__xludf.DUMMYFUNCTION("""COMPUTED_VALUE"""),56.0)</f>
        <v>56</v>
      </c>
      <c r="Y1118" s="217"/>
      <c r="Z1118" s="217"/>
      <c r="AA1118" s="481">
        <f>IFERROR(__xludf.DUMMYFUNCTION("""COMPUTED_VALUE"""),54.8)</f>
        <v>54.8</v>
      </c>
      <c r="AB1118" s="481">
        <f>IFERROR(__xludf.DUMMYFUNCTION("""COMPUTED_VALUE"""),95.0)</f>
        <v>95</v>
      </c>
      <c r="AC1118" s="481">
        <f>IFERROR(__xludf.DUMMYFUNCTION("""COMPUTED_VALUE"""),74.0)</f>
        <v>74</v>
      </c>
      <c r="AD1118" s="481"/>
      <c r="AE1118" s="481">
        <f>IFERROR(__xludf.DUMMYFUNCTION("""COMPUTED_VALUE"""),75.0)</f>
        <v>75</v>
      </c>
      <c r="AF1118" s="481"/>
      <c r="AG1118" s="481">
        <f>IFERROR(__xludf.DUMMYFUNCTION("""COMPUTED_VALUE"""),97.0)</f>
        <v>97</v>
      </c>
      <c r="AH1118" s="481"/>
      <c r="AI1118" s="158"/>
      <c r="AJ1118" s="158"/>
      <c r="AK1118" s="133">
        <f>IFERROR(__xludf.DUMMYFUNCTION("""COMPUTED_VALUE"""),4.0)</f>
        <v>4</v>
      </c>
      <c r="AL1118" s="133">
        <f>IFERROR(__xludf.DUMMYFUNCTION("""COMPUTED_VALUE"""),3.0)</f>
        <v>3</v>
      </c>
      <c r="AM1118" s="133">
        <f>IFERROR(__xludf.DUMMYFUNCTION("""COMPUTED_VALUE"""),3.0)</f>
        <v>3</v>
      </c>
      <c r="AN1118" s="133" t="str">
        <f>IFERROR(__xludf.DUMMYFUNCTION("""COMPUTED_VALUE"""),"3.5")</f>
        <v>3.5</v>
      </c>
      <c r="AO1118" s="133">
        <f>IFERROR(__xludf.DUMMYFUNCTION("""COMPUTED_VALUE"""),3.0)</f>
        <v>3</v>
      </c>
      <c r="AP1118" s="155" t="s">
        <v>3736</v>
      </c>
    </row>
    <row r="1119">
      <c r="A1119" s="155">
        <f>IFERROR(__xludf.DUMMYFUNCTION("""COMPUTED_VALUE"""),226.0)</f>
        <v>226</v>
      </c>
      <c r="B1119" s="155" t="str">
        <f>IFERROR(__xludf.DUMMYFUNCTION("""COMPUTED_VALUE"""),"vasi23ece@cmrit.ac.in")</f>
        <v>vasi23ece@cmrit.ac.in</v>
      </c>
      <c r="C1119" s="174" t="str">
        <f>IFERROR(__xludf.DUMMYFUNCTION("""COMPUTED_VALUE"""),"VANSHIKA SINHA")</f>
        <v>VANSHIKA SINHA</v>
      </c>
      <c r="D1119" s="155" t="str">
        <f>IFERROR(__xludf.DUMMYFUNCTION("""COMPUTED_VALUE"""),"1CR23EC236")</f>
        <v>1CR23EC236</v>
      </c>
      <c r="E1119" s="563">
        <f>IFERROR(__xludf.DUMMYFUNCTION("""COMPUTED_VALUE"""),9.341265034E9)</f>
        <v>9341265034</v>
      </c>
      <c r="F1119" s="155" t="str">
        <f>IFERROR(__xludf.DUMMYFUNCTION("""COMPUTED_VALUE"""),"ECE")</f>
        <v>ECE</v>
      </c>
      <c r="G1119" s="158"/>
      <c r="H1119" s="559">
        <f>IFERROR(__xludf.DUMMYFUNCTION("""COMPUTED_VALUE"""),82.0)</f>
        <v>82</v>
      </c>
      <c r="I1119" s="559">
        <f>IFERROR(__xludf.DUMMYFUNCTION("""COMPUTED_VALUE"""),86.0)</f>
        <v>86</v>
      </c>
      <c r="J1119" s="559">
        <f>IFERROR(__xludf.DUMMYFUNCTION("""COMPUTED_VALUE"""),70.0)</f>
        <v>70</v>
      </c>
      <c r="K1119" s="559">
        <f>IFERROR(__xludf.DUMMYFUNCTION("""COMPUTED_VALUE"""),70.0)</f>
        <v>70</v>
      </c>
      <c r="L1119" s="560">
        <f>IFERROR(__xludf.DUMMYFUNCTION("""COMPUTED_VALUE"""),50.0)</f>
        <v>50</v>
      </c>
      <c r="M1119" s="561">
        <f>IFERROR(__xludf.DUMMYFUNCTION("""COMPUTED_VALUE"""),50.0)</f>
        <v>50</v>
      </c>
      <c r="N1119" s="561">
        <f>IFERROR(__xludf.DUMMYFUNCTION("""COMPUTED_VALUE"""),50.0)</f>
        <v>50</v>
      </c>
      <c r="O1119" s="560"/>
      <c r="P1119" s="562">
        <f>IFERROR(__xludf.DUMMYFUNCTION("""COMPUTED_VALUE"""),75.0)</f>
        <v>75</v>
      </c>
      <c r="Q1119" s="562">
        <f>IFERROR(__xludf.DUMMYFUNCTION("""COMPUTED_VALUE"""),64.0)</f>
        <v>64</v>
      </c>
      <c r="R1119" s="562">
        <f>IFERROR(__xludf.DUMMYFUNCTION("""COMPUTED_VALUE"""),92.0)</f>
        <v>92</v>
      </c>
      <c r="S1119" s="562"/>
      <c r="T1119" s="217">
        <f>IFERROR(__xludf.DUMMYFUNCTION("""COMPUTED_VALUE"""),11.0)</f>
        <v>11</v>
      </c>
      <c r="U1119" s="217">
        <f>IFERROR(__xludf.DUMMYFUNCTION("""COMPUTED_VALUE"""),19.0)</f>
        <v>19</v>
      </c>
      <c r="V1119" s="217">
        <f>IFERROR(__xludf.DUMMYFUNCTION("""COMPUTED_VALUE"""),0.0)</f>
        <v>0</v>
      </c>
      <c r="W1119" s="217">
        <f>IFERROR(__xludf.DUMMYFUNCTION("""COMPUTED_VALUE"""),76.0)</f>
        <v>76</v>
      </c>
      <c r="X1119" s="217">
        <f>IFERROR(__xludf.DUMMYFUNCTION("""COMPUTED_VALUE"""),72.0)</f>
        <v>72</v>
      </c>
      <c r="Y1119" s="217"/>
      <c r="Z1119" s="217"/>
      <c r="AA1119" s="481">
        <f>IFERROR(__xludf.DUMMYFUNCTION("""COMPUTED_VALUE"""),30.0)</f>
        <v>30</v>
      </c>
      <c r="AB1119" s="481">
        <f>IFERROR(__xludf.DUMMYFUNCTION("""COMPUTED_VALUE"""),87.5)</f>
        <v>87.5</v>
      </c>
      <c r="AC1119" s="481">
        <f>IFERROR(__xludf.DUMMYFUNCTION("""COMPUTED_VALUE"""),18.0)</f>
        <v>18</v>
      </c>
      <c r="AD1119" s="481">
        <f>IFERROR(__xludf.DUMMYFUNCTION("""COMPUTED_VALUE"""),92.0)</f>
        <v>92</v>
      </c>
      <c r="AE1119" s="481">
        <f>IFERROR(__xludf.DUMMYFUNCTION("""COMPUTED_VALUE"""),70.0)</f>
        <v>70</v>
      </c>
      <c r="AF1119" s="481"/>
      <c r="AG1119" s="481"/>
      <c r="AH1119" s="481"/>
      <c r="AI1119" s="158"/>
      <c r="AJ1119" s="158"/>
      <c r="AK1119" s="133">
        <f>IFERROR(__xludf.DUMMYFUNCTION("""COMPUTED_VALUE"""),4.0)</f>
        <v>4</v>
      </c>
      <c r="AL1119" s="133">
        <f>IFERROR(__xludf.DUMMYFUNCTION("""COMPUTED_VALUE"""),3.0)</f>
        <v>3</v>
      </c>
      <c r="AM1119" s="133">
        <f>IFERROR(__xludf.DUMMYFUNCTION("""COMPUTED_VALUE"""),3.0)</f>
        <v>3</v>
      </c>
      <c r="AN1119" s="133" t="str">
        <f>IFERROR(__xludf.DUMMYFUNCTION("""COMPUTED_VALUE"""),"3.5")</f>
        <v>3.5</v>
      </c>
      <c r="AO1119" s="133">
        <f>IFERROR(__xludf.DUMMYFUNCTION("""COMPUTED_VALUE"""),3.0)</f>
        <v>3</v>
      </c>
      <c r="AP1119" s="155" t="s">
        <v>3736</v>
      </c>
    </row>
    <row r="1120">
      <c r="A1120" s="155">
        <f>IFERROR(__xludf.DUMMYFUNCTION("""COMPUTED_VALUE"""),227.0)</f>
        <v>227</v>
      </c>
      <c r="B1120" s="155" t="str">
        <f>IFERROR(__xludf.DUMMYFUNCTION("""COMPUTED_VALUE"""),"vabe23ece@cmrit.ac.in")</f>
        <v>vabe23ece@cmrit.ac.in</v>
      </c>
      <c r="C1120" s="174" t="str">
        <f>IFERROR(__xludf.DUMMYFUNCTION("""COMPUTED_VALUE"""),"Varsha v belamgi")</f>
        <v>Varsha v belamgi</v>
      </c>
      <c r="D1120" s="155" t="str">
        <f>IFERROR(__xludf.DUMMYFUNCTION("""COMPUTED_VALUE"""),"1CR23EC237")</f>
        <v>1CR23EC237</v>
      </c>
      <c r="E1120" s="563">
        <f>IFERROR(__xludf.DUMMYFUNCTION("""COMPUTED_VALUE"""),6.363456867E9)</f>
        <v>6363456867</v>
      </c>
      <c r="F1120" s="155" t="str">
        <f>IFERROR(__xludf.DUMMYFUNCTION("""COMPUTED_VALUE"""),"ECE")</f>
        <v>ECE</v>
      </c>
      <c r="G1120" s="158"/>
      <c r="H1120" s="559">
        <f>IFERROR(__xludf.DUMMYFUNCTION("""COMPUTED_VALUE"""),71.0)</f>
        <v>71</v>
      </c>
      <c r="I1120" s="559">
        <f>IFERROR(__xludf.DUMMYFUNCTION("""COMPUTED_VALUE"""),76.0)</f>
        <v>76</v>
      </c>
      <c r="J1120" s="559">
        <f>IFERROR(__xludf.DUMMYFUNCTION("""COMPUTED_VALUE"""),70.0)</f>
        <v>70</v>
      </c>
      <c r="K1120" s="559">
        <f>IFERROR(__xludf.DUMMYFUNCTION("""COMPUTED_VALUE"""),70.0)</f>
        <v>70</v>
      </c>
      <c r="L1120" s="560">
        <f>IFERROR(__xludf.DUMMYFUNCTION("""COMPUTED_VALUE"""),50.0)</f>
        <v>50</v>
      </c>
      <c r="M1120" s="561">
        <f>IFERROR(__xludf.DUMMYFUNCTION("""COMPUTED_VALUE"""),3.0)</f>
        <v>3</v>
      </c>
      <c r="N1120" s="561">
        <f>IFERROR(__xludf.DUMMYFUNCTION("""COMPUTED_VALUE"""),14.0)</f>
        <v>14</v>
      </c>
      <c r="O1120" s="560"/>
      <c r="P1120" s="562">
        <f>IFERROR(__xludf.DUMMYFUNCTION("""COMPUTED_VALUE"""),75.0)</f>
        <v>75</v>
      </c>
      <c r="Q1120" s="562">
        <f>IFERROR(__xludf.DUMMYFUNCTION("""COMPUTED_VALUE"""),61.0)</f>
        <v>61</v>
      </c>
      <c r="R1120" s="562">
        <f>IFERROR(__xludf.DUMMYFUNCTION("""COMPUTED_VALUE"""),50.0)</f>
        <v>50</v>
      </c>
      <c r="S1120" s="562"/>
      <c r="T1120" s="217">
        <f>IFERROR(__xludf.DUMMYFUNCTION("""COMPUTED_VALUE"""),9.0)</f>
        <v>9</v>
      </c>
      <c r="U1120" s="217">
        <f>IFERROR(__xludf.DUMMYFUNCTION("""COMPUTED_VALUE"""),10.0)</f>
        <v>10</v>
      </c>
      <c r="V1120" s="217">
        <f>IFERROR(__xludf.DUMMYFUNCTION("""COMPUTED_VALUE"""),54.0)</f>
        <v>54</v>
      </c>
      <c r="W1120" s="217">
        <f>IFERROR(__xludf.DUMMYFUNCTION("""COMPUTED_VALUE"""),78.0)</f>
        <v>78</v>
      </c>
      <c r="X1120" s="217"/>
      <c r="Y1120" s="217"/>
      <c r="Z1120" s="217"/>
      <c r="AA1120" s="481">
        <f>IFERROR(__xludf.DUMMYFUNCTION("""COMPUTED_VALUE"""),7.4)</f>
        <v>7.4</v>
      </c>
      <c r="AB1120" s="481">
        <f>IFERROR(__xludf.DUMMYFUNCTION("""COMPUTED_VALUE"""),97.0)</f>
        <v>97</v>
      </c>
      <c r="AC1120" s="481">
        <f>IFERROR(__xludf.DUMMYFUNCTION("""COMPUTED_VALUE"""),19.0)</f>
        <v>19</v>
      </c>
      <c r="AD1120" s="481"/>
      <c r="AE1120" s="481">
        <f>IFERROR(__xludf.DUMMYFUNCTION("""COMPUTED_VALUE"""),10.0)</f>
        <v>10</v>
      </c>
      <c r="AF1120" s="481"/>
      <c r="AG1120" s="481"/>
      <c r="AH1120" s="481"/>
      <c r="AI1120" s="158"/>
      <c r="AJ1120" s="158"/>
      <c r="AK1120" s="133">
        <f>IFERROR(__xludf.DUMMYFUNCTION("""COMPUTED_VALUE"""),4.0)</f>
        <v>4</v>
      </c>
      <c r="AL1120" s="133">
        <f>IFERROR(__xludf.DUMMYFUNCTION("""COMPUTED_VALUE"""),1.0)</f>
        <v>1</v>
      </c>
      <c r="AM1120" s="133">
        <f>IFERROR(__xludf.DUMMYFUNCTION("""COMPUTED_VALUE"""),3.0)</f>
        <v>3</v>
      </c>
      <c r="AN1120" s="133" t="str">
        <f>IFERROR(__xludf.DUMMYFUNCTION("""COMPUTED_VALUE"""),"2")</f>
        <v>2</v>
      </c>
      <c r="AO1120" s="133">
        <f>IFERROR(__xludf.DUMMYFUNCTION("""COMPUTED_VALUE"""),3.0)</f>
        <v>3</v>
      </c>
      <c r="AP1120" s="155" t="s">
        <v>3736</v>
      </c>
    </row>
    <row r="1121">
      <c r="A1121" s="155">
        <f>IFERROR(__xludf.DUMMYFUNCTION("""COMPUTED_VALUE"""),228.0)</f>
        <v>228</v>
      </c>
      <c r="B1121" s="155" t="str">
        <f>IFERROR(__xludf.DUMMYFUNCTION("""COMPUTED_VALUE"""),"vebm23ece@cmrit.ac.in")</f>
        <v>vebm23ece@cmrit.ac.in</v>
      </c>
      <c r="C1121" s="174" t="str">
        <f>IFERROR(__xludf.DUMMYFUNCTION("""COMPUTED_VALUE"""),"Vedhanth B M")</f>
        <v>Vedhanth B M</v>
      </c>
      <c r="D1121" s="155" t="str">
        <f>IFERROR(__xludf.DUMMYFUNCTION("""COMPUTED_VALUE"""),"1CR23EC239")</f>
        <v>1CR23EC239</v>
      </c>
      <c r="E1121" s="563">
        <f>IFERROR(__xludf.DUMMYFUNCTION("""COMPUTED_VALUE"""),8.660277298E9)</f>
        <v>8660277298</v>
      </c>
      <c r="F1121" s="155" t="str">
        <f>IFERROR(__xludf.DUMMYFUNCTION("""COMPUTED_VALUE"""),"ECE")</f>
        <v>ECE</v>
      </c>
      <c r="G1121" s="158"/>
      <c r="H1121" s="559">
        <f>IFERROR(__xludf.DUMMYFUNCTION("""COMPUTED_VALUE"""),71.0)</f>
        <v>71</v>
      </c>
      <c r="I1121" s="559">
        <f>IFERROR(__xludf.DUMMYFUNCTION("""COMPUTED_VALUE"""),70.0)</f>
        <v>70</v>
      </c>
      <c r="J1121" s="559">
        <f>IFERROR(__xludf.DUMMYFUNCTION("""COMPUTED_VALUE"""),56.0)</f>
        <v>56</v>
      </c>
      <c r="K1121" s="559">
        <f>IFERROR(__xludf.DUMMYFUNCTION("""COMPUTED_VALUE"""),70.0)</f>
        <v>70</v>
      </c>
      <c r="L1121" s="560">
        <f>IFERROR(__xludf.DUMMYFUNCTION("""COMPUTED_VALUE"""),50.0)</f>
        <v>50</v>
      </c>
      <c r="M1121" s="561">
        <f>IFERROR(__xludf.DUMMYFUNCTION("""COMPUTED_VALUE"""),18.0)</f>
        <v>18</v>
      </c>
      <c r="N1121" s="561">
        <f>IFERROR(__xludf.DUMMYFUNCTION("""COMPUTED_VALUE"""),8.0)</f>
        <v>8</v>
      </c>
      <c r="O1121" s="560"/>
      <c r="P1121" s="562">
        <f>IFERROR(__xludf.DUMMYFUNCTION("""COMPUTED_VALUE"""),0.0)</f>
        <v>0</v>
      </c>
      <c r="Q1121" s="562">
        <f>IFERROR(__xludf.DUMMYFUNCTION("""COMPUTED_VALUE"""),0.0)</f>
        <v>0</v>
      </c>
      <c r="R1121" s="562">
        <f>IFERROR(__xludf.DUMMYFUNCTION("""COMPUTED_VALUE"""),0.0)</f>
        <v>0</v>
      </c>
      <c r="S1121" s="562"/>
      <c r="T1121" s="217">
        <f>IFERROR(__xludf.DUMMYFUNCTION("""COMPUTED_VALUE"""),20.0)</f>
        <v>20</v>
      </c>
      <c r="U1121" s="217">
        <f>IFERROR(__xludf.DUMMYFUNCTION("""COMPUTED_VALUE"""),16.0)</f>
        <v>16</v>
      </c>
      <c r="V1121" s="217">
        <f>IFERROR(__xludf.DUMMYFUNCTION("""COMPUTED_VALUE"""),52.0)</f>
        <v>52</v>
      </c>
      <c r="W1121" s="217">
        <f>IFERROR(__xludf.DUMMYFUNCTION("""COMPUTED_VALUE"""),76.0)</f>
        <v>76</v>
      </c>
      <c r="X1121" s="217">
        <f>IFERROR(__xludf.DUMMYFUNCTION("""COMPUTED_VALUE"""),72.0)</f>
        <v>72</v>
      </c>
      <c r="Y1121" s="217"/>
      <c r="Z1121" s="217"/>
      <c r="AA1121" s="481">
        <f>IFERROR(__xludf.DUMMYFUNCTION("""COMPUTED_VALUE"""),90.0)</f>
        <v>90</v>
      </c>
      <c r="AB1121" s="481">
        <f>IFERROR(__xludf.DUMMYFUNCTION("""COMPUTED_VALUE"""),68.0)</f>
        <v>68</v>
      </c>
      <c r="AC1121" s="481">
        <f>IFERROR(__xludf.DUMMYFUNCTION("""COMPUTED_VALUE"""),80.0)</f>
        <v>80</v>
      </c>
      <c r="AD1121" s="481"/>
      <c r="AE1121" s="481">
        <f>IFERROR(__xludf.DUMMYFUNCTION("""COMPUTED_VALUE"""),19.0)</f>
        <v>19</v>
      </c>
      <c r="AF1121" s="481"/>
      <c r="AG1121" s="481"/>
      <c r="AH1121" s="481"/>
      <c r="AI1121" s="158"/>
      <c r="AJ1121" s="158"/>
      <c r="AK1121" s="133">
        <f>IFERROR(__xludf.DUMMYFUNCTION("""COMPUTED_VALUE"""),2.0)</f>
        <v>2</v>
      </c>
      <c r="AL1121" s="133">
        <f>IFERROR(__xludf.DUMMYFUNCTION("""COMPUTED_VALUE"""),1.0)</f>
        <v>1</v>
      </c>
      <c r="AM1121" s="133">
        <f>IFERROR(__xludf.DUMMYFUNCTION("""COMPUTED_VALUE"""),3.0)</f>
        <v>3</v>
      </c>
      <c r="AN1121" s="133" t="str">
        <f>IFERROR(__xludf.DUMMYFUNCTION("""COMPUTED_VALUE"""),"3")</f>
        <v>3</v>
      </c>
      <c r="AO1121" s="133">
        <f>IFERROR(__xludf.DUMMYFUNCTION("""COMPUTED_VALUE"""),0.0)</f>
        <v>0</v>
      </c>
      <c r="AP1121" s="155" t="s">
        <v>3736</v>
      </c>
    </row>
    <row r="1122">
      <c r="A1122" s="155">
        <f>IFERROR(__xludf.DUMMYFUNCTION("""COMPUTED_VALUE"""),229.0)</f>
        <v>229</v>
      </c>
      <c r="B1122" s="155" t="str">
        <f>IFERROR(__xludf.DUMMYFUNCTION("""COMPUTED_VALUE"""),"vesy23ece@cmrit.ac.in")</f>
        <v>vesy23ece@cmrit.ac.in</v>
      </c>
      <c r="C1122" s="174" t="str">
        <f>IFERROR(__xludf.DUMMYFUNCTION("""COMPUTED_VALUE"""),"VENNAPUSA SYAM PRAKASH REDDY ")</f>
        <v>VENNAPUSA SYAM PRAKASH REDDY </v>
      </c>
      <c r="D1122" s="155" t="str">
        <f>IFERROR(__xludf.DUMMYFUNCTION("""COMPUTED_VALUE"""),"1CR23EC240")</f>
        <v>1CR23EC240</v>
      </c>
      <c r="E1122" s="563">
        <f>IFERROR(__xludf.DUMMYFUNCTION("""COMPUTED_VALUE"""),8.885838476E9)</f>
        <v>8885838476</v>
      </c>
      <c r="F1122" s="155" t="str">
        <f>IFERROR(__xludf.DUMMYFUNCTION("""COMPUTED_VALUE"""),"ECE")</f>
        <v>ECE</v>
      </c>
      <c r="G1122" s="158"/>
      <c r="H1122" s="559">
        <f>IFERROR(__xludf.DUMMYFUNCTION("""COMPUTED_VALUE"""),73.0)</f>
        <v>73</v>
      </c>
      <c r="I1122" s="559">
        <f>IFERROR(__xludf.DUMMYFUNCTION("""COMPUTED_VALUE"""),72.0)</f>
        <v>72</v>
      </c>
      <c r="J1122" s="559">
        <f>IFERROR(__xludf.DUMMYFUNCTION("""COMPUTED_VALUE"""),70.0)</f>
        <v>70</v>
      </c>
      <c r="K1122" s="559">
        <f>IFERROR(__xludf.DUMMYFUNCTION("""COMPUTED_VALUE"""),70.0)</f>
        <v>70</v>
      </c>
      <c r="L1122" s="560">
        <f>IFERROR(__xludf.DUMMYFUNCTION("""COMPUTED_VALUE"""),50.0)</f>
        <v>50</v>
      </c>
      <c r="M1122" s="561">
        <f>IFERROR(__xludf.DUMMYFUNCTION("""COMPUTED_VALUE"""),50.0)</f>
        <v>50</v>
      </c>
      <c r="N1122" s="561">
        <f>IFERROR(__xludf.DUMMYFUNCTION("""COMPUTED_VALUE"""),50.0)</f>
        <v>50</v>
      </c>
      <c r="O1122" s="560"/>
      <c r="P1122" s="562">
        <f>IFERROR(__xludf.DUMMYFUNCTION("""COMPUTED_VALUE"""),75.0)</f>
        <v>75</v>
      </c>
      <c r="Q1122" s="562">
        <f>IFERROR(__xludf.DUMMYFUNCTION("""COMPUTED_VALUE"""),64.0)</f>
        <v>64</v>
      </c>
      <c r="R1122" s="562">
        <f>IFERROR(__xludf.DUMMYFUNCTION("""COMPUTED_VALUE"""),50.0)</f>
        <v>50</v>
      </c>
      <c r="S1122" s="562"/>
      <c r="T1122" s="217">
        <f>IFERROR(__xludf.DUMMYFUNCTION("""COMPUTED_VALUE"""),17.0)</f>
        <v>17</v>
      </c>
      <c r="U1122" s="217">
        <f>IFERROR(__xludf.DUMMYFUNCTION("""COMPUTED_VALUE"""),17.0)</f>
        <v>17</v>
      </c>
      <c r="V1122" s="217">
        <f>IFERROR(__xludf.DUMMYFUNCTION("""COMPUTED_VALUE"""),42.0)</f>
        <v>42</v>
      </c>
      <c r="W1122" s="217">
        <f>IFERROR(__xludf.DUMMYFUNCTION("""COMPUTED_VALUE"""),82.0)</f>
        <v>82</v>
      </c>
      <c r="X1122" s="217">
        <f>IFERROR(__xludf.DUMMYFUNCTION("""COMPUTED_VALUE"""),68.0)</f>
        <v>68</v>
      </c>
      <c r="Y1122" s="217"/>
      <c r="Z1122" s="217"/>
      <c r="AA1122" s="481">
        <f>IFERROR(__xludf.DUMMYFUNCTION("""COMPUTED_VALUE"""),20.0)</f>
        <v>20</v>
      </c>
      <c r="AB1122" s="481">
        <f>IFERROR(__xludf.DUMMYFUNCTION("""COMPUTED_VALUE"""),79.0)</f>
        <v>79</v>
      </c>
      <c r="AC1122" s="481">
        <f>IFERROR(__xludf.DUMMYFUNCTION("""COMPUTED_VALUE"""),12.0)</f>
        <v>12</v>
      </c>
      <c r="AD1122" s="481"/>
      <c r="AE1122" s="481">
        <f>IFERROR(__xludf.DUMMYFUNCTION("""COMPUTED_VALUE"""),11.0)</f>
        <v>11</v>
      </c>
      <c r="AF1122" s="481"/>
      <c r="AG1122" s="481"/>
      <c r="AH1122" s="481"/>
      <c r="AI1122" s="158"/>
      <c r="AJ1122" s="158"/>
      <c r="AK1122" s="133">
        <f>IFERROR(__xludf.DUMMYFUNCTION("""COMPUTED_VALUE"""),4.0)</f>
        <v>4</v>
      </c>
      <c r="AL1122" s="133">
        <f>IFERROR(__xludf.DUMMYFUNCTION("""COMPUTED_VALUE"""),3.0)</f>
        <v>3</v>
      </c>
      <c r="AM1122" s="133">
        <f>IFERROR(__xludf.DUMMYFUNCTION("""COMPUTED_VALUE"""),3.0)</f>
        <v>3</v>
      </c>
      <c r="AN1122" s="133" t="str">
        <f>IFERROR(__xludf.DUMMYFUNCTION("""COMPUTED_VALUE"""),"2")</f>
        <v>2</v>
      </c>
      <c r="AO1122" s="133">
        <f>IFERROR(__xludf.DUMMYFUNCTION("""COMPUTED_VALUE"""),3.0)</f>
        <v>3</v>
      </c>
      <c r="AP1122" s="155" t="s">
        <v>3736</v>
      </c>
    </row>
    <row r="1123">
      <c r="A1123" s="155">
        <f>IFERROR(__xludf.DUMMYFUNCTION("""COMPUTED_VALUE"""),230.0)</f>
        <v>230</v>
      </c>
      <c r="B1123" s="155" t="str">
        <f>IFERROR(__xludf.DUMMYFUNCTION("""COMPUTED_VALUE"""),"vihv23ece@cmrit.ac.in")</f>
        <v>vihv23ece@cmrit.ac.in</v>
      </c>
      <c r="C1123" s="174" t="str">
        <f>IFERROR(__xludf.DUMMYFUNCTION("""COMPUTED_VALUE"""),"VIJETHA HV")</f>
        <v>VIJETHA HV</v>
      </c>
      <c r="D1123" s="155" t="str">
        <f>IFERROR(__xludf.DUMMYFUNCTION("""COMPUTED_VALUE"""),"1CR23EC242")</f>
        <v>1CR23EC242</v>
      </c>
      <c r="E1123" s="563">
        <f>IFERROR(__xludf.DUMMYFUNCTION("""COMPUTED_VALUE"""),7.349117571E9)</f>
        <v>7349117571</v>
      </c>
      <c r="F1123" s="155" t="str">
        <f>IFERROR(__xludf.DUMMYFUNCTION("""COMPUTED_VALUE"""),"ECE")</f>
        <v>ECE</v>
      </c>
      <c r="G1123" s="158"/>
      <c r="H1123" s="559">
        <f>IFERROR(__xludf.DUMMYFUNCTION("""COMPUTED_VALUE"""),75.0)</f>
        <v>75</v>
      </c>
      <c r="I1123" s="559">
        <f>IFERROR(__xludf.DUMMYFUNCTION("""COMPUTED_VALUE"""),72.0)</f>
        <v>72</v>
      </c>
      <c r="J1123" s="559">
        <f>IFERROR(__xludf.DUMMYFUNCTION("""COMPUTED_VALUE"""),70.0)</f>
        <v>70</v>
      </c>
      <c r="K1123" s="559">
        <f>IFERROR(__xludf.DUMMYFUNCTION("""COMPUTED_VALUE"""),70.0)</f>
        <v>70</v>
      </c>
      <c r="L1123" s="560">
        <f>IFERROR(__xludf.DUMMYFUNCTION("""COMPUTED_VALUE"""),50.0)</f>
        <v>50</v>
      </c>
      <c r="M1123" s="561">
        <f>IFERROR(__xludf.DUMMYFUNCTION("""COMPUTED_VALUE"""),12.0)</f>
        <v>12</v>
      </c>
      <c r="N1123" s="561">
        <f>IFERROR(__xludf.DUMMYFUNCTION("""COMPUTED_VALUE"""),26.0)</f>
        <v>26</v>
      </c>
      <c r="O1123" s="560"/>
      <c r="P1123" s="562">
        <f>IFERROR(__xludf.DUMMYFUNCTION("""COMPUTED_VALUE"""),75.0)</f>
        <v>75</v>
      </c>
      <c r="Q1123" s="562">
        <f>IFERROR(__xludf.DUMMYFUNCTION("""COMPUTED_VALUE"""),61.0)</f>
        <v>61</v>
      </c>
      <c r="R1123" s="562">
        <f>IFERROR(__xludf.DUMMYFUNCTION("""COMPUTED_VALUE"""),83.0)</f>
        <v>83</v>
      </c>
      <c r="S1123" s="562"/>
      <c r="T1123" s="217">
        <f>IFERROR(__xludf.DUMMYFUNCTION("""COMPUTED_VALUE"""),19.0)</f>
        <v>19</v>
      </c>
      <c r="U1123" s="217">
        <f>IFERROR(__xludf.DUMMYFUNCTION("""COMPUTED_VALUE"""),13.0)</f>
        <v>13</v>
      </c>
      <c r="V1123" s="217">
        <f>IFERROR(__xludf.DUMMYFUNCTION("""COMPUTED_VALUE"""),52.0)</f>
        <v>52</v>
      </c>
      <c r="W1123" s="217">
        <f>IFERROR(__xludf.DUMMYFUNCTION("""COMPUTED_VALUE"""),82.0)</f>
        <v>82</v>
      </c>
      <c r="X1123" s="217">
        <f>IFERROR(__xludf.DUMMYFUNCTION("""COMPUTED_VALUE"""),66.0)</f>
        <v>66</v>
      </c>
      <c r="Y1123" s="217"/>
      <c r="Z1123" s="217"/>
      <c r="AA1123" s="481">
        <f>IFERROR(__xludf.DUMMYFUNCTION("""COMPUTED_VALUE"""),20.6)</f>
        <v>20.6</v>
      </c>
      <c r="AB1123" s="481">
        <f>IFERROR(__xludf.DUMMYFUNCTION("""COMPUTED_VALUE"""),71.0)</f>
        <v>71</v>
      </c>
      <c r="AC1123" s="481">
        <f>IFERROR(__xludf.DUMMYFUNCTION("""COMPUTED_VALUE"""),70.0)</f>
        <v>70</v>
      </c>
      <c r="AD1123" s="481"/>
      <c r="AE1123" s="481">
        <f>IFERROR(__xludf.DUMMYFUNCTION("""COMPUTED_VALUE"""),10.0)</f>
        <v>10</v>
      </c>
      <c r="AF1123" s="481"/>
      <c r="AG1123" s="481"/>
      <c r="AH1123" s="481">
        <f>IFERROR(__xludf.DUMMYFUNCTION("""COMPUTED_VALUE"""),0.0)</f>
        <v>0</v>
      </c>
      <c r="AI1123" s="158"/>
      <c r="AJ1123" s="158"/>
      <c r="AK1123" s="133">
        <f>IFERROR(__xludf.DUMMYFUNCTION("""COMPUTED_VALUE"""),4.0)</f>
        <v>4</v>
      </c>
      <c r="AL1123" s="133">
        <f>IFERROR(__xludf.DUMMYFUNCTION("""COMPUTED_VALUE"""),1.0)</f>
        <v>1</v>
      </c>
      <c r="AM1123" s="133">
        <f>IFERROR(__xludf.DUMMYFUNCTION("""COMPUTED_VALUE"""),3.0)</f>
        <v>3</v>
      </c>
      <c r="AN1123" s="133" t="str">
        <f>IFERROR(__xludf.DUMMYFUNCTION("""COMPUTED_VALUE"""),"3")</f>
        <v>3</v>
      </c>
      <c r="AO1123" s="133">
        <f>IFERROR(__xludf.DUMMYFUNCTION("""COMPUTED_VALUE"""),3.0)</f>
        <v>3</v>
      </c>
      <c r="AP1123" s="155" t="s">
        <v>3736</v>
      </c>
    </row>
    <row r="1124">
      <c r="A1124" s="155">
        <f>IFERROR(__xludf.DUMMYFUNCTION("""COMPUTED_VALUE"""),231.0)</f>
        <v>231</v>
      </c>
      <c r="B1124" s="155" t="str">
        <f>IFERROR(__xludf.DUMMYFUNCTION("""COMPUTED_VALUE"""),"vik23ece@cmrit.ac.in")</f>
        <v>vik23ece@cmrit.ac.in</v>
      </c>
      <c r="C1124" s="174" t="str">
        <f>IFERROR(__xludf.DUMMYFUNCTION("""COMPUTED_VALUE"""),"VIKRAM K.SALIAN")</f>
        <v>VIKRAM K.SALIAN</v>
      </c>
      <c r="D1124" s="155" t="str">
        <f>IFERROR(__xludf.DUMMYFUNCTION("""COMPUTED_VALUE"""),"1CR23EC243")</f>
        <v>1CR23EC243</v>
      </c>
      <c r="E1124" s="563">
        <f>IFERROR(__xludf.DUMMYFUNCTION("""COMPUTED_VALUE"""),6.366335396E9)</f>
        <v>6366335396</v>
      </c>
      <c r="F1124" s="155" t="str">
        <f>IFERROR(__xludf.DUMMYFUNCTION("""COMPUTED_VALUE"""),"ECE")</f>
        <v>ECE</v>
      </c>
      <c r="G1124" s="158"/>
      <c r="H1124" s="559">
        <f>IFERROR(__xludf.DUMMYFUNCTION("""COMPUTED_VALUE"""),86.0)</f>
        <v>86</v>
      </c>
      <c r="I1124" s="559">
        <f>IFERROR(__xludf.DUMMYFUNCTION("""COMPUTED_VALUE"""),80.0)</f>
        <v>80</v>
      </c>
      <c r="J1124" s="559">
        <f>IFERROR(__xludf.DUMMYFUNCTION("""COMPUTED_VALUE"""),62.0)</f>
        <v>62</v>
      </c>
      <c r="K1124" s="559">
        <f>IFERROR(__xludf.DUMMYFUNCTION("""COMPUTED_VALUE"""),70.0)</f>
        <v>70</v>
      </c>
      <c r="L1124" s="560">
        <f>IFERROR(__xludf.DUMMYFUNCTION("""COMPUTED_VALUE"""),50.0)</f>
        <v>50</v>
      </c>
      <c r="M1124" s="561">
        <f>IFERROR(__xludf.DUMMYFUNCTION("""COMPUTED_VALUE"""),50.0)</f>
        <v>50</v>
      </c>
      <c r="N1124" s="561">
        <f>IFERROR(__xludf.DUMMYFUNCTION("""COMPUTED_VALUE"""),18.0)</f>
        <v>18</v>
      </c>
      <c r="O1124" s="560"/>
      <c r="P1124" s="562">
        <f>IFERROR(__xludf.DUMMYFUNCTION("""COMPUTED_VALUE"""),83.0)</f>
        <v>83</v>
      </c>
      <c r="Q1124" s="562">
        <f>IFERROR(__xludf.DUMMYFUNCTION("""COMPUTED_VALUE"""),72.0)</f>
        <v>72</v>
      </c>
      <c r="R1124" s="562">
        <f>IFERROR(__xludf.DUMMYFUNCTION("""COMPUTED_VALUE"""),87.0)</f>
        <v>87</v>
      </c>
      <c r="S1124" s="562"/>
      <c r="T1124" s="217">
        <f>IFERROR(__xludf.DUMMYFUNCTION("""COMPUTED_VALUE"""),20.0)</f>
        <v>20</v>
      </c>
      <c r="U1124" s="217">
        <f>IFERROR(__xludf.DUMMYFUNCTION("""COMPUTED_VALUE"""),15.0)</f>
        <v>15</v>
      </c>
      <c r="V1124" s="217">
        <f>IFERROR(__xludf.DUMMYFUNCTION("""COMPUTED_VALUE"""),58.0)</f>
        <v>58</v>
      </c>
      <c r="W1124" s="217">
        <f>IFERROR(__xludf.DUMMYFUNCTION("""COMPUTED_VALUE"""),70.0)</f>
        <v>70</v>
      </c>
      <c r="X1124" s="217">
        <f>IFERROR(__xludf.DUMMYFUNCTION("""COMPUTED_VALUE"""),62.0)</f>
        <v>62</v>
      </c>
      <c r="Y1124" s="217"/>
      <c r="Z1124" s="217"/>
      <c r="AA1124" s="481">
        <f>IFERROR(__xludf.DUMMYFUNCTION("""COMPUTED_VALUE"""),0.0)</f>
        <v>0</v>
      </c>
      <c r="AB1124" s="481">
        <f>IFERROR(__xludf.DUMMYFUNCTION("""COMPUTED_VALUE"""),83.0)</f>
        <v>83</v>
      </c>
      <c r="AC1124" s="481">
        <f>IFERROR(__xludf.DUMMYFUNCTION("""COMPUTED_VALUE"""),70.0)</f>
        <v>70</v>
      </c>
      <c r="AD1124" s="481"/>
      <c r="AE1124" s="481">
        <f>IFERROR(__xludf.DUMMYFUNCTION("""COMPUTED_VALUE"""),70.0)</f>
        <v>70</v>
      </c>
      <c r="AF1124" s="481"/>
      <c r="AG1124" s="481"/>
      <c r="AH1124" s="481">
        <f>IFERROR(__xludf.DUMMYFUNCTION("""COMPUTED_VALUE"""),0.0)</f>
        <v>0</v>
      </c>
      <c r="AI1124" s="158"/>
      <c r="AJ1124" s="158"/>
      <c r="AK1124" s="133">
        <f>IFERROR(__xludf.DUMMYFUNCTION("""COMPUTED_VALUE"""),2.0)</f>
        <v>2</v>
      </c>
      <c r="AL1124" s="133">
        <f>IFERROR(__xludf.DUMMYFUNCTION("""COMPUTED_VALUE"""),2.0)</f>
        <v>2</v>
      </c>
      <c r="AM1124" s="133">
        <f>IFERROR(__xludf.DUMMYFUNCTION("""COMPUTED_VALUE"""),3.0)</f>
        <v>3</v>
      </c>
      <c r="AN1124" s="133" t="str">
        <f>IFERROR(__xludf.DUMMYFUNCTION("""COMPUTED_VALUE"""),"3.5")</f>
        <v>3.5</v>
      </c>
      <c r="AO1124" s="133">
        <f>IFERROR(__xludf.DUMMYFUNCTION("""COMPUTED_VALUE"""),3.0)</f>
        <v>3</v>
      </c>
      <c r="AP1124" s="155" t="s">
        <v>3736</v>
      </c>
    </row>
    <row r="1125">
      <c r="A1125" s="155">
        <f>IFERROR(__xludf.DUMMYFUNCTION("""COMPUTED_VALUE"""),232.0)</f>
        <v>232</v>
      </c>
      <c r="B1125" s="155" t="str">
        <f>IFERROR(__xludf.DUMMYFUNCTION("""COMPUTED_VALUE"""),"vir23ece@cmrit.ac.in")</f>
        <v>vir23ece@cmrit.ac.in</v>
      </c>
      <c r="C1125" s="174" t="str">
        <f>IFERROR(__xludf.DUMMYFUNCTION("""COMPUTED_VALUE"""),"Vinay R")</f>
        <v>Vinay R</v>
      </c>
      <c r="D1125" s="155" t="str">
        <f>IFERROR(__xludf.DUMMYFUNCTION("""COMPUTED_VALUE"""),"1CR23EC244")</f>
        <v>1CR23EC244</v>
      </c>
      <c r="E1125" s="563">
        <f>IFERROR(__xludf.DUMMYFUNCTION("""COMPUTED_VALUE"""),9.591000817E9)</f>
        <v>9591000817</v>
      </c>
      <c r="F1125" s="155" t="str">
        <f>IFERROR(__xludf.DUMMYFUNCTION("""COMPUTED_VALUE"""),"ECE")</f>
        <v>ECE</v>
      </c>
      <c r="G1125" s="158"/>
      <c r="H1125" s="559">
        <f>IFERROR(__xludf.DUMMYFUNCTION("""COMPUTED_VALUE"""),75.0)</f>
        <v>75</v>
      </c>
      <c r="I1125" s="559">
        <f>IFERROR(__xludf.DUMMYFUNCTION("""COMPUTED_VALUE"""),82.0)</f>
        <v>82</v>
      </c>
      <c r="J1125" s="559">
        <f>IFERROR(__xludf.DUMMYFUNCTION("""COMPUTED_VALUE"""),70.0)</f>
        <v>70</v>
      </c>
      <c r="K1125" s="559">
        <f>IFERROR(__xludf.DUMMYFUNCTION("""COMPUTED_VALUE"""),70.0)</f>
        <v>70</v>
      </c>
      <c r="L1125" s="560">
        <f>IFERROR(__xludf.DUMMYFUNCTION("""COMPUTED_VALUE"""),50.0)</f>
        <v>50</v>
      </c>
      <c r="M1125" s="561">
        <f>IFERROR(__xludf.DUMMYFUNCTION("""COMPUTED_VALUE"""),50.0)</f>
        <v>50</v>
      </c>
      <c r="N1125" s="561">
        <f>IFERROR(__xludf.DUMMYFUNCTION("""COMPUTED_VALUE"""),50.0)</f>
        <v>50</v>
      </c>
      <c r="O1125" s="560"/>
      <c r="P1125" s="562">
        <f>IFERROR(__xludf.DUMMYFUNCTION("""COMPUTED_VALUE"""),70.0)</f>
        <v>70</v>
      </c>
      <c r="Q1125" s="562">
        <f>IFERROR(__xludf.DUMMYFUNCTION("""COMPUTED_VALUE"""),79.0)</f>
        <v>79</v>
      </c>
      <c r="R1125" s="562">
        <f>IFERROR(__xludf.DUMMYFUNCTION("""COMPUTED_VALUE"""),94.0)</f>
        <v>94</v>
      </c>
      <c r="S1125" s="562"/>
      <c r="T1125" s="217">
        <f>IFERROR(__xludf.DUMMYFUNCTION("""COMPUTED_VALUE"""),11.0)</f>
        <v>11</v>
      </c>
      <c r="U1125" s="217">
        <f>IFERROR(__xludf.DUMMYFUNCTION("""COMPUTED_VALUE"""),21.0)</f>
        <v>21</v>
      </c>
      <c r="V1125" s="217">
        <f>IFERROR(__xludf.DUMMYFUNCTION("""COMPUTED_VALUE"""),34.0)</f>
        <v>34</v>
      </c>
      <c r="W1125" s="217">
        <f>IFERROR(__xludf.DUMMYFUNCTION("""COMPUTED_VALUE"""),84.0)</f>
        <v>84</v>
      </c>
      <c r="X1125" s="217">
        <f>IFERROR(__xludf.DUMMYFUNCTION("""COMPUTED_VALUE"""),80.0)</f>
        <v>80</v>
      </c>
      <c r="Y1125" s="217"/>
      <c r="Z1125" s="217"/>
      <c r="AA1125" s="481">
        <f>IFERROR(__xludf.DUMMYFUNCTION("""COMPUTED_VALUE"""),60.0)</f>
        <v>60</v>
      </c>
      <c r="AB1125" s="481">
        <f>IFERROR(__xludf.DUMMYFUNCTION("""COMPUTED_VALUE"""),84.0)</f>
        <v>84</v>
      </c>
      <c r="AC1125" s="481">
        <f>IFERROR(__xludf.DUMMYFUNCTION("""COMPUTED_VALUE"""),60.0)</f>
        <v>60</v>
      </c>
      <c r="AD1125" s="481"/>
      <c r="AE1125" s="481">
        <f>IFERROR(__xludf.DUMMYFUNCTION("""COMPUTED_VALUE"""),70.0)</f>
        <v>70</v>
      </c>
      <c r="AF1125" s="481"/>
      <c r="AG1125" s="481"/>
      <c r="AH1125" s="481">
        <f>IFERROR(__xludf.DUMMYFUNCTION("""COMPUTED_VALUE"""),74.0)</f>
        <v>74</v>
      </c>
      <c r="AI1125" s="158"/>
      <c r="AJ1125" s="158"/>
      <c r="AK1125" s="133">
        <f>IFERROR(__xludf.DUMMYFUNCTION("""COMPUTED_VALUE"""),4.0)</f>
        <v>4</v>
      </c>
      <c r="AL1125" s="133">
        <f>IFERROR(__xludf.DUMMYFUNCTION("""COMPUTED_VALUE"""),3.0)</f>
        <v>3</v>
      </c>
      <c r="AM1125" s="133">
        <f>IFERROR(__xludf.DUMMYFUNCTION("""COMPUTED_VALUE"""),3.0)</f>
        <v>3</v>
      </c>
      <c r="AN1125" s="133" t="str">
        <f>IFERROR(__xludf.DUMMYFUNCTION("""COMPUTED_VALUE"""),"3.5")</f>
        <v>3.5</v>
      </c>
      <c r="AO1125" s="133">
        <f>IFERROR(__xludf.DUMMYFUNCTION("""COMPUTED_VALUE"""),3.0)</f>
        <v>3</v>
      </c>
      <c r="AP1125" s="155" t="s">
        <v>3736</v>
      </c>
    </row>
    <row r="1126">
      <c r="A1126" s="155">
        <f>IFERROR(__xludf.DUMMYFUNCTION("""COMPUTED_VALUE"""),233.0)</f>
        <v>233</v>
      </c>
      <c r="B1126" s="155" t="str">
        <f>IFERROR(__xludf.DUMMYFUNCTION("""COMPUTED_VALUE"""),"vi23ece@cmrit.ac.in")</f>
        <v>vi23ece@cmrit.ac.in</v>
      </c>
      <c r="C1126" s="174" t="str">
        <f>IFERROR(__xludf.DUMMYFUNCTION("""COMPUTED_VALUE"""),"Vinaykumar")</f>
        <v>Vinaykumar</v>
      </c>
      <c r="D1126" s="155" t="str">
        <f>IFERROR(__xludf.DUMMYFUNCTION("""COMPUTED_VALUE"""),"1CR23EC245")</f>
        <v>1CR23EC245</v>
      </c>
      <c r="E1126" s="563">
        <f>IFERROR(__xludf.DUMMYFUNCTION("""COMPUTED_VALUE"""),7.975455224E9)</f>
        <v>7975455224</v>
      </c>
      <c r="F1126" s="155" t="str">
        <f>IFERROR(__xludf.DUMMYFUNCTION("""COMPUTED_VALUE"""),"ECE")</f>
        <v>ECE</v>
      </c>
      <c r="G1126" s="158"/>
      <c r="H1126" s="559">
        <f>IFERROR(__xludf.DUMMYFUNCTION("""COMPUTED_VALUE"""),79.0)</f>
        <v>79</v>
      </c>
      <c r="I1126" s="559">
        <f>IFERROR(__xludf.DUMMYFUNCTION("""COMPUTED_VALUE"""),80.0)</f>
        <v>80</v>
      </c>
      <c r="J1126" s="559">
        <f>IFERROR(__xludf.DUMMYFUNCTION("""COMPUTED_VALUE"""),70.0)</f>
        <v>70</v>
      </c>
      <c r="K1126" s="559">
        <f>IFERROR(__xludf.DUMMYFUNCTION("""COMPUTED_VALUE"""),70.0)</f>
        <v>70</v>
      </c>
      <c r="L1126" s="560">
        <f>IFERROR(__xludf.DUMMYFUNCTION("""COMPUTED_VALUE"""),32.0)</f>
        <v>32</v>
      </c>
      <c r="M1126" s="561">
        <f>IFERROR(__xludf.DUMMYFUNCTION("""COMPUTED_VALUE"""),50.0)</f>
        <v>50</v>
      </c>
      <c r="N1126" s="561">
        <f>IFERROR(__xludf.DUMMYFUNCTION("""COMPUTED_VALUE"""),50.0)</f>
        <v>50</v>
      </c>
      <c r="O1126" s="560"/>
      <c r="P1126" s="562">
        <f>IFERROR(__xludf.DUMMYFUNCTION("""COMPUTED_VALUE"""),50.0)</f>
        <v>50</v>
      </c>
      <c r="Q1126" s="562">
        <f>IFERROR(__xludf.DUMMYFUNCTION("""COMPUTED_VALUE"""),64.0)</f>
        <v>64</v>
      </c>
      <c r="R1126" s="562">
        <f>IFERROR(__xludf.DUMMYFUNCTION("""COMPUTED_VALUE"""),50.0)</f>
        <v>50</v>
      </c>
      <c r="S1126" s="562"/>
      <c r="T1126" s="217">
        <f>IFERROR(__xludf.DUMMYFUNCTION("""COMPUTED_VALUE"""),12.0)</f>
        <v>12</v>
      </c>
      <c r="U1126" s="217">
        <f>IFERROR(__xludf.DUMMYFUNCTION("""COMPUTED_VALUE"""),21.0)</f>
        <v>21</v>
      </c>
      <c r="V1126" s="217">
        <f>IFERROR(__xludf.DUMMYFUNCTION("""COMPUTED_VALUE"""),44.0)</f>
        <v>44</v>
      </c>
      <c r="W1126" s="217">
        <f>IFERROR(__xludf.DUMMYFUNCTION("""COMPUTED_VALUE"""),84.0)</f>
        <v>84</v>
      </c>
      <c r="X1126" s="217">
        <f>IFERROR(__xludf.DUMMYFUNCTION("""COMPUTED_VALUE"""),70.0)</f>
        <v>70</v>
      </c>
      <c r="Y1126" s="217"/>
      <c r="Z1126" s="217"/>
      <c r="AA1126" s="481">
        <f>IFERROR(__xludf.DUMMYFUNCTION("""COMPUTED_VALUE"""),38.0)</f>
        <v>38</v>
      </c>
      <c r="AB1126" s="481">
        <f>IFERROR(__xludf.DUMMYFUNCTION("""COMPUTED_VALUE"""),84.0)</f>
        <v>84</v>
      </c>
      <c r="AC1126" s="481">
        <f>IFERROR(__xludf.DUMMYFUNCTION("""COMPUTED_VALUE"""),61.0)</f>
        <v>61</v>
      </c>
      <c r="AD1126" s="481"/>
      <c r="AE1126" s="481">
        <f>IFERROR(__xludf.DUMMYFUNCTION("""COMPUTED_VALUE"""),29.0)</f>
        <v>29</v>
      </c>
      <c r="AF1126" s="481"/>
      <c r="AG1126" s="481">
        <f>IFERROR(__xludf.DUMMYFUNCTION("""COMPUTED_VALUE"""),74.0)</f>
        <v>74</v>
      </c>
      <c r="AH1126" s="481"/>
      <c r="AI1126" s="158"/>
      <c r="AJ1126" s="158"/>
      <c r="AK1126" s="133">
        <f>IFERROR(__xludf.DUMMYFUNCTION("""COMPUTED_VALUE"""),4.0)</f>
        <v>4</v>
      </c>
      <c r="AL1126" s="133">
        <f>IFERROR(__xludf.DUMMYFUNCTION("""COMPUTED_VALUE"""),0.0)</f>
        <v>0</v>
      </c>
      <c r="AM1126" s="133">
        <f>IFERROR(__xludf.DUMMYFUNCTION("""COMPUTED_VALUE"""),3.0)</f>
        <v>3</v>
      </c>
      <c r="AN1126" s="133" t="str">
        <f>IFERROR(__xludf.DUMMYFUNCTION("""COMPUTED_VALUE"""),"3")</f>
        <v>3</v>
      </c>
      <c r="AO1126" s="133">
        <f>IFERROR(__xludf.DUMMYFUNCTION("""COMPUTED_VALUE"""),3.0)</f>
        <v>3</v>
      </c>
      <c r="AP1126" s="155" t="s">
        <v>3736</v>
      </c>
    </row>
    <row r="1127">
      <c r="A1127" s="155">
        <f>IFERROR(__xludf.DUMMYFUNCTION("""COMPUTED_VALUE"""),234.0)</f>
        <v>234</v>
      </c>
      <c r="B1127" s="155" t="str">
        <f>IFERROR(__xludf.DUMMYFUNCTION("""COMPUTED_VALUE"""),"vish23ece@cmrit.ac.in")</f>
        <v>vish23ece@cmrit.ac.in</v>
      </c>
      <c r="C1127" s="174" t="str">
        <f>IFERROR(__xludf.DUMMYFUNCTION("""COMPUTED_VALUE"""),"VISHWAS ")</f>
        <v>VISHWAS </v>
      </c>
      <c r="D1127" s="155" t="str">
        <f>IFERROR(__xludf.DUMMYFUNCTION("""COMPUTED_VALUE"""),"1CR23EC246")</f>
        <v>1CR23EC246</v>
      </c>
      <c r="E1127" s="563">
        <f>IFERROR(__xludf.DUMMYFUNCTION("""COMPUTED_VALUE"""),7.338235685E9)</f>
        <v>7338235685</v>
      </c>
      <c r="F1127" s="155" t="str">
        <f>IFERROR(__xludf.DUMMYFUNCTION("""COMPUTED_VALUE"""),"ECE")</f>
        <v>ECE</v>
      </c>
      <c r="G1127" s="158"/>
      <c r="H1127" s="559">
        <f>IFERROR(__xludf.DUMMYFUNCTION("""COMPUTED_VALUE"""),72.0)</f>
        <v>72</v>
      </c>
      <c r="I1127" s="559">
        <f>IFERROR(__xludf.DUMMYFUNCTION("""COMPUTED_VALUE"""),70.0)</f>
        <v>70</v>
      </c>
      <c r="J1127" s="559">
        <f>IFERROR(__xludf.DUMMYFUNCTION("""COMPUTED_VALUE"""),34.0)</f>
        <v>34</v>
      </c>
      <c r="K1127" s="559">
        <f>IFERROR(__xludf.DUMMYFUNCTION("""COMPUTED_VALUE"""),70.0)</f>
        <v>70</v>
      </c>
      <c r="L1127" s="560">
        <f>IFERROR(__xludf.DUMMYFUNCTION("""COMPUTED_VALUE"""),56.0)</f>
        <v>56</v>
      </c>
      <c r="M1127" s="561">
        <f>IFERROR(__xludf.DUMMYFUNCTION("""COMPUTED_VALUE"""),50.0)</f>
        <v>50</v>
      </c>
      <c r="N1127" s="561">
        <f>IFERROR(__xludf.DUMMYFUNCTION("""COMPUTED_VALUE"""),34.0)</f>
        <v>34</v>
      </c>
      <c r="O1127" s="560"/>
      <c r="P1127" s="562">
        <f>IFERROR(__xludf.DUMMYFUNCTION("""COMPUTED_VALUE"""),0.0)</f>
        <v>0</v>
      </c>
      <c r="Q1127" s="562">
        <f>IFERROR(__xludf.DUMMYFUNCTION("""COMPUTED_VALUE"""),0.0)</f>
        <v>0</v>
      </c>
      <c r="R1127" s="562">
        <f>IFERROR(__xludf.DUMMYFUNCTION("""COMPUTED_VALUE"""),0.0)</f>
        <v>0</v>
      </c>
      <c r="S1127" s="562"/>
      <c r="T1127" s="217"/>
      <c r="U1127" s="217">
        <f>IFERROR(__xludf.DUMMYFUNCTION("""COMPUTED_VALUE"""),19.0)</f>
        <v>19</v>
      </c>
      <c r="V1127" s="217">
        <f>IFERROR(__xludf.DUMMYFUNCTION("""COMPUTED_VALUE"""),28.0)</f>
        <v>28</v>
      </c>
      <c r="W1127" s="217">
        <f>IFERROR(__xludf.DUMMYFUNCTION("""COMPUTED_VALUE"""),82.0)</f>
        <v>82</v>
      </c>
      <c r="X1127" s="217"/>
      <c r="Y1127" s="217"/>
      <c r="Z1127" s="217"/>
      <c r="AA1127" s="481">
        <f>IFERROR(__xludf.DUMMYFUNCTION("""COMPUTED_VALUE"""),0.0)</f>
        <v>0</v>
      </c>
      <c r="AB1127" s="481">
        <f>IFERROR(__xludf.DUMMYFUNCTION("""COMPUTED_VALUE"""),13.0)</f>
        <v>13</v>
      </c>
      <c r="AC1127" s="481">
        <f>IFERROR(__xludf.DUMMYFUNCTION("""COMPUTED_VALUE"""),10.0)</f>
        <v>10</v>
      </c>
      <c r="AD1127" s="481"/>
      <c r="AE1127" s="481">
        <f>IFERROR(__xludf.DUMMYFUNCTION("""COMPUTED_VALUE"""),10.0)</f>
        <v>10</v>
      </c>
      <c r="AF1127" s="481"/>
      <c r="AG1127" s="481"/>
      <c r="AH1127" s="481"/>
      <c r="AI1127" s="158"/>
      <c r="AJ1127" s="158"/>
      <c r="AK1127" s="133">
        <f>IFERROR(__xludf.DUMMYFUNCTION("""COMPUTED_VALUE"""),2.0)</f>
        <v>2</v>
      </c>
      <c r="AL1127" s="133">
        <f>IFERROR(__xludf.DUMMYFUNCTION("""COMPUTED_VALUE"""),2.0)</f>
        <v>2</v>
      </c>
      <c r="AM1127" s="133">
        <f>IFERROR(__xludf.DUMMYFUNCTION("""COMPUTED_VALUE"""),3.0)</f>
        <v>3</v>
      </c>
      <c r="AN1127" s="133" t="str">
        <f>IFERROR(__xludf.DUMMYFUNCTION("""COMPUTED_VALUE"""),"0")</f>
        <v>0</v>
      </c>
      <c r="AO1127" s="133">
        <f>IFERROR(__xludf.DUMMYFUNCTION("""COMPUTED_VALUE"""),0.0)</f>
        <v>0</v>
      </c>
      <c r="AP1127" s="155" t="s">
        <v>3736</v>
      </c>
    </row>
    <row r="1128">
      <c r="A1128" s="155">
        <f>IFERROR(__xludf.DUMMYFUNCTION("""COMPUTED_VALUE"""),235.0)</f>
        <v>235</v>
      </c>
      <c r="B1128" s="155" t="str">
        <f>IFERROR(__xludf.DUMMYFUNCTION("""COMPUTED_VALUE"""),"viba23ece@cmrit.ac.in")</f>
        <v>viba23ece@cmrit.ac.in</v>
      </c>
      <c r="C1128" s="174" t="str">
        <f>IFERROR(__xludf.DUMMYFUNCTION("""COMPUTED_VALUE"""),"Vivek Mallappa Bagennavar")</f>
        <v>Vivek Mallappa Bagennavar</v>
      </c>
      <c r="D1128" s="155" t="str">
        <f>IFERROR(__xludf.DUMMYFUNCTION("""COMPUTED_VALUE"""),"1CR23EC247")</f>
        <v>1CR23EC247</v>
      </c>
      <c r="E1128" s="563">
        <f>IFERROR(__xludf.DUMMYFUNCTION("""COMPUTED_VALUE"""),6.360059677E9)</f>
        <v>6360059677</v>
      </c>
      <c r="F1128" s="155" t="str">
        <f>IFERROR(__xludf.DUMMYFUNCTION("""COMPUTED_VALUE"""),"ECE")</f>
        <v>ECE</v>
      </c>
      <c r="G1128" s="158"/>
      <c r="H1128" s="559">
        <f>IFERROR(__xludf.DUMMYFUNCTION("""COMPUTED_VALUE"""),79.0)</f>
        <v>79</v>
      </c>
      <c r="I1128" s="559">
        <f>IFERROR(__xludf.DUMMYFUNCTION("""COMPUTED_VALUE"""),74.0)</f>
        <v>74</v>
      </c>
      <c r="J1128" s="559">
        <f>IFERROR(__xludf.DUMMYFUNCTION("""COMPUTED_VALUE"""),19.0)</f>
        <v>19</v>
      </c>
      <c r="K1128" s="559">
        <f>IFERROR(__xludf.DUMMYFUNCTION("""COMPUTED_VALUE"""),6.0)</f>
        <v>6</v>
      </c>
      <c r="L1128" s="560">
        <f>IFERROR(__xludf.DUMMYFUNCTION("""COMPUTED_VALUE"""),49.0)</f>
        <v>49</v>
      </c>
      <c r="M1128" s="561">
        <f>IFERROR(__xludf.DUMMYFUNCTION("""COMPUTED_VALUE"""),0.0)</f>
        <v>0</v>
      </c>
      <c r="N1128" s="561">
        <f>IFERROR(__xludf.DUMMYFUNCTION("""COMPUTED_VALUE"""),0.0)</f>
        <v>0</v>
      </c>
      <c r="O1128" s="560"/>
      <c r="P1128" s="562">
        <f>IFERROR(__xludf.DUMMYFUNCTION("""COMPUTED_VALUE"""),0.0)</f>
        <v>0</v>
      </c>
      <c r="Q1128" s="562">
        <f>IFERROR(__xludf.DUMMYFUNCTION("""COMPUTED_VALUE"""),0.0)</f>
        <v>0</v>
      </c>
      <c r="R1128" s="562">
        <f>IFERROR(__xludf.DUMMYFUNCTION("""COMPUTED_VALUE"""),0.0)</f>
        <v>0</v>
      </c>
      <c r="S1128" s="562"/>
      <c r="T1128" s="217">
        <f>IFERROR(__xludf.DUMMYFUNCTION("""COMPUTED_VALUE"""),21.0)</f>
        <v>21</v>
      </c>
      <c r="U1128" s="217">
        <f>IFERROR(__xludf.DUMMYFUNCTION("""COMPUTED_VALUE"""),18.0)</f>
        <v>18</v>
      </c>
      <c r="V1128" s="217">
        <f>IFERROR(__xludf.DUMMYFUNCTION("""COMPUTED_VALUE"""),0.0)</f>
        <v>0</v>
      </c>
      <c r="W1128" s="217">
        <f>IFERROR(__xludf.DUMMYFUNCTION("""COMPUTED_VALUE"""),82.0)</f>
        <v>82</v>
      </c>
      <c r="X1128" s="217"/>
      <c r="Y1128" s="217"/>
      <c r="Z1128" s="217"/>
      <c r="AA1128" s="481">
        <f>IFERROR(__xludf.DUMMYFUNCTION("""COMPUTED_VALUE"""),18.0)</f>
        <v>18</v>
      </c>
      <c r="AB1128" s="481">
        <f>IFERROR(__xludf.DUMMYFUNCTION("""COMPUTED_VALUE"""),93.0)</f>
        <v>93</v>
      </c>
      <c r="AC1128" s="481">
        <f>IFERROR(__xludf.DUMMYFUNCTION("""COMPUTED_VALUE"""),0.0)</f>
        <v>0</v>
      </c>
      <c r="AD1128" s="481"/>
      <c r="AE1128" s="481">
        <f>IFERROR(__xludf.DUMMYFUNCTION("""COMPUTED_VALUE"""),10.0)</f>
        <v>10</v>
      </c>
      <c r="AF1128" s="481"/>
      <c r="AG1128" s="481"/>
      <c r="AH1128" s="481"/>
      <c r="AI1128" s="158"/>
      <c r="AJ1128" s="158"/>
      <c r="AK1128" s="133">
        <f>IFERROR(__xludf.DUMMYFUNCTION("""COMPUTED_VALUE"""),2.0)</f>
        <v>2</v>
      </c>
      <c r="AL1128" s="133">
        <f>IFERROR(__xludf.DUMMYFUNCTION("""COMPUTED_VALUE"""),0.0)</f>
        <v>0</v>
      </c>
      <c r="AM1128" s="133">
        <f>IFERROR(__xludf.DUMMYFUNCTION("""COMPUTED_VALUE"""),3.0)</f>
        <v>3</v>
      </c>
      <c r="AN1128" s="133" t="str">
        <f>IFERROR(__xludf.DUMMYFUNCTION("""COMPUTED_VALUE"""),"2")</f>
        <v>2</v>
      </c>
      <c r="AO1128" s="133">
        <f>IFERROR(__xludf.DUMMYFUNCTION("""COMPUTED_VALUE"""),0.0)</f>
        <v>0</v>
      </c>
      <c r="AP1128" s="155" t="s">
        <v>3736</v>
      </c>
    </row>
    <row r="1129">
      <c r="A1129" s="155">
        <f>IFERROR(__xludf.DUMMYFUNCTION("""COMPUTED_VALUE"""),236.0)</f>
        <v>236</v>
      </c>
      <c r="B1129" s="155" t="str">
        <f>IFERROR(__xludf.DUMMYFUNCTION("""COMPUTED_VALUE"""),"yama23ece@cmrit.ac.in")</f>
        <v>yama23ece@cmrit.ac.in</v>
      </c>
      <c r="C1129" s="174" t="str">
        <f>IFERROR(__xludf.DUMMYFUNCTION("""COMPUTED_VALUE"""),"YAMANURAPPA")</f>
        <v>YAMANURAPPA</v>
      </c>
      <c r="D1129" s="155" t="str">
        <f>IFERROR(__xludf.DUMMYFUNCTION("""COMPUTED_VALUE"""),"1CR23EC248")</f>
        <v>1CR23EC248</v>
      </c>
      <c r="E1129" s="563">
        <f>IFERROR(__xludf.DUMMYFUNCTION("""COMPUTED_VALUE"""),8.088886882E9)</f>
        <v>8088886882</v>
      </c>
      <c r="F1129" s="155" t="str">
        <f>IFERROR(__xludf.DUMMYFUNCTION("""COMPUTED_VALUE"""),"ECE")</f>
        <v>ECE</v>
      </c>
      <c r="G1129" s="158"/>
      <c r="H1129" s="559">
        <f>IFERROR(__xludf.DUMMYFUNCTION("""COMPUTED_VALUE"""),70.0)</f>
        <v>70</v>
      </c>
      <c r="I1129" s="559">
        <f>IFERROR(__xludf.DUMMYFUNCTION("""COMPUTED_VALUE"""),73.0)</f>
        <v>73</v>
      </c>
      <c r="J1129" s="559">
        <f>IFERROR(__xludf.DUMMYFUNCTION("""COMPUTED_VALUE"""),70.0)</f>
        <v>70</v>
      </c>
      <c r="K1129" s="559">
        <f>IFERROR(__xludf.DUMMYFUNCTION("""COMPUTED_VALUE"""),70.0)</f>
        <v>70</v>
      </c>
      <c r="L1129" s="560">
        <f>IFERROR(__xludf.DUMMYFUNCTION("""COMPUTED_VALUE"""),50.0)</f>
        <v>50</v>
      </c>
      <c r="M1129" s="561">
        <f>IFERROR(__xludf.DUMMYFUNCTION("""COMPUTED_VALUE"""),50.0)</f>
        <v>50</v>
      </c>
      <c r="N1129" s="561">
        <f>IFERROR(__xludf.DUMMYFUNCTION("""COMPUTED_VALUE"""),50.0)</f>
        <v>50</v>
      </c>
      <c r="O1129" s="560"/>
      <c r="P1129" s="562">
        <f>IFERROR(__xludf.DUMMYFUNCTION("""COMPUTED_VALUE"""),50.0)</f>
        <v>50</v>
      </c>
      <c r="Q1129" s="562">
        <f>IFERROR(__xludf.DUMMYFUNCTION("""COMPUTED_VALUE"""),50.0)</f>
        <v>50</v>
      </c>
      <c r="R1129" s="562">
        <f>IFERROR(__xludf.DUMMYFUNCTION("""COMPUTED_VALUE"""),50.0)</f>
        <v>50</v>
      </c>
      <c r="S1129" s="562"/>
      <c r="T1129" s="217">
        <f>IFERROR(__xludf.DUMMYFUNCTION("""COMPUTED_VALUE"""),21.0)</f>
        <v>21</v>
      </c>
      <c r="U1129" s="217">
        <f>IFERROR(__xludf.DUMMYFUNCTION("""COMPUTED_VALUE"""),17.0)</f>
        <v>17</v>
      </c>
      <c r="V1129" s="217">
        <f>IFERROR(__xludf.DUMMYFUNCTION("""COMPUTED_VALUE"""),48.0)</f>
        <v>48</v>
      </c>
      <c r="W1129" s="217">
        <f>IFERROR(__xludf.DUMMYFUNCTION("""COMPUTED_VALUE"""),82.0)</f>
        <v>82</v>
      </c>
      <c r="X1129" s="217">
        <f>IFERROR(__xludf.DUMMYFUNCTION("""COMPUTED_VALUE"""),70.0)</f>
        <v>70</v>
      </c>
      <c r="Y1129" s="217"/>
      <c r="Z1129" s="217"/>
      <c r="AA1129" s="481">
        <f>IFERROR(__xludf.DUMMYFUNCTION("""COMPUTED_VALUE"""),34.0)</f>
        <v>34</v>
      </c>
      <c r="AB1129" s="481">
        <f>IFERROR(__xludf.DUMMYFUNCTION("""COMPUTED_VALUE"""),71.0)</f>
        <v>71</v>
      </c>
      <c r="AC1129" s="481">
        <f>IFERROR(__xludf.DUMMYFUNCTION("""COMPUTED_VALUE"""),100.0)</f>
        <v>100</v>
      </c>
      <c r="AD1129" s="481"/>
      <c r="AE1129" s="481">
        <f>IFERROR(__xludf.DUMMYFUNCTION("""COMPUTED_VALUE"""),70.0)</f>
        <v>70</v>
      </c>
      <c r="AF1129" s="481"/>
      <c r="AG1129" s="481"/>
      <c r="AH1129" s="481"/>
      <c r="AI1129" s="158"/>
      <c r="AJ1129" s="158"/>
      <c r="AK1129" s="133">
        <f>IFERROR(__xludf.DUMMYFUNCTION("""COMPUTED_VALUE"""),4.0)</f>
        <v>4</v>
      </c>
      <c r="AL1129" s="133">
        <f>IFERROR(__xludf.DUMMYFUNCTION("""COMPUTED_VALUE"""),3.0)</f>
        <v>3</v>
      </c>
      <c r="AM1129" s="133">
        <f>IFERROR(__xludf.DUMMYFUNCTION("""COMPUTED_VALUE"""),3.0)</f>
        <v>3</v>
      </c>
      <c r="AN1129" s="133" t="str">
        <f>IFERROR(__xludf.DUMMYFUNCTION("""COMPUTED_VALUE"""),"3.5")</f>
        <v>3.5</v>
      </c>
      <c r="AO1129" s="133">
        <f>IFERROR(__xludf.DUMMYFUNCTION("""COMPUTED_VALUE"""),3.0)</f>
        <v>3</v>
      </c>
      <c r="AP1129" s="155" t="s">
        <v>3736</v>
      </c>
    </row>
    <row r="1130">
      <c r="A1130" s="155">
        <f>IFERROR(__xludf.DUMMYFUNCTION("""COMPUTED_VALUE"""),237.0)</f>
        <v>237</v>
      </c>
      <c r="B1130" s="155" t="str">
        <f>IFERROR(__xludf.DUMMYFUNCTION("""COMPUTED_VALUE"""),"yaar23ece@cmrit.ac.in")</f>
        <v>yaar23ece@cmrit.ac.in</v>
      </c>
      <c r="C1130" s="174" t="str">
        <f>IFERROR(__xludf.DUMMYFUNCTION("""COMPUTED_VALUE"""),"YARRAPUREDDY ARSHITHA REDDY")</f>
        <v>YARRAPUREDDY ARSHITHA REDDY</v>
      </c>
      <c r="D1130" s="155" t="str">
        <f>IFERROR(__xludf.DUMMYFUNCTION("""COMPUTED_VALUE"""),"1CR23EC249")</f>
        <v>1CR23EC249</v>
      </c>
      <c r="E1130" s="563">
        <f>IFERROR(__xludf.DUMMYFUNCTION("""COMPUTED_VALUE"""),8.985233311E9)</f>
        <v>8985233311</v>
      </c>
      <c r="F1130" s="155" t="str">
        <f>IFERROR(__xludf.DUMMYFUNCTION("""COMPUTED_VALUE"""),"ECE")</f>
        <v>ECE</v>
      </c>
      <c r="G1130" s="158"/>
      <c r="H1130" s="559">
        <f>IFERROR(__xludf.DUMMYFUNCTION("""COMPUTED_VALUE"""),80.0)</f>
        <v>80</v>
      </c>
      <c r="I1130" s="559">
        <f>IFERROR(__xludf.DUMMYFUNCTION("""COMPUTED_VALUE"""),90.0)</f>
        <v>90</v>
      </c>
      <c r="J1130" s="559">
        <f>IFERROR(__xludf.DUMMYFUNCTION("""COMPUTED_VALUE"""),74.0)</f>
        <v>74</v>
      </c>
      <c r="K1130" s="559">
        <f>IFERROR(__xludf.DUMMYFUNCTION("""COMPUTED_VALUE"""),70.0)</f>
        <v>70</v>
      </c>
      <c r="L1130" s="560">
        <f>IFERROR(__xludf.DUMMYFUNCTION("""COMPUTED_VALUE"""),62.0)</f>
        <v>62</v>
      </c>
      <c r="M1130" s="561">
        <f>IFERROR(__xludf.DUMMYFUNCTION("""COMPUTED_VALUE"""),10.0)</f>
        <v>10</v>
      </c>
      <c r="N1130" s="561">
        <f>IFERROR(__xludf.DUMMYFUNCTION("""COMPUTED_VALUE"""),16.0)</f>
        <v>16</v>
      </c>
      <c r="O1130" s="560"/>
      <c r="P1130" s="562">
        <f>IFERROR(__xludf.DUMMYFUNCTION("""COMPUTED_VALUE"""),75.0)</f>
        <v>75</v>
      </c>
      <c r="Q1130" s="562">
        <f>IFERROR(__xludf.DUMMYFUNCTION("""COMPUTED_VALUE"""),61.0)</f>
        <v>61</v>
      </c>
      <c r="R1130" s="562">
        <f>IFERROR(__xludf.DUMMYFUNCTION("""COMPUTED_VALUE"""),0.0)</f>
        <v>0</v>
      </c>
      <c r="S1130" s="562"/>
      <c r="T1130" s="217">
        <f>IFERROR(__xludf.DUMMYFUNCTION("""COMPUTED_VALUE"""),12.0)</f>
        <v>12</v>
      </c>
      <c r="U1130" s="217">
        <f>IFERROR(__xludf.DUMMYFUNCTION("""COMPUTED_VALUE"""),18.0)</f>
        <v>18</v>
      </c>
      <c r="V1130" s="217">
        <f>IFERROR(__xludf.DUMMYFUNCTION("""COMPUTED_VALUE"""),24.0)</f>
        <v>24</v>
      </c>
      <c r="W1130" s="217">
        <f>IFERROR(__xludf.DUMMYFUNCTION("""COMPUTED_VALUE"""),44.0)</f>
        <v>44</v>
      </c>
      <c r="X1130" s="217">
        <f>IFERROR(__xludf.DUMMYFUNCTION("""COMPUTED_VALUE"""),40.0)</f>
        <v>40</v>
      </c>
      <c r="Y1130" s="217"/>
      <c r="Z1130" s="217"/>
      <c r="AA1130" s="481">
        <f>IFERROR(__xludf.DUMMYFUNCTION("""COMPUTED_VALUE"""),14.0)</f>
        <v>14</v>
      </c>
      <c r="AB1130" s="481">
        <f>IFERROR(__xludf.DUMMYFUNCTION("""COMPUTED_VALUE"""),85.0)</f>
        <v>85</v>
      </c>
      <c r="AC1130" s="481">
        <f>IFERROR(__xludf.DUMMYFUNCTION("""COMPUTED_VALUE"""),10.0)</f>
        <v>10</v>
      </c>
      <c r="AD1130" s="481"/>
      <c r="AE1130" s="481">
        <f>IFERROR(__xludf.DUMMYFUNCTION("""COMPUTED_VALUE"""),10.0)</f>
        <v>10</v>
      </c>
      <c r="AF1130" s="481"/>
      <c r="AG1130" s="481"/>
      <c r="AH1130" s="481">
        <f>IFERROR(__xludf.DUMMYFUNCTION("""COMPUTED_VALUE"""),20.0)</f>
        <v>20</v>
      </c>
      <c r="AI1130" s="158"/>
      <c r="AJ1130" s="158"/>
      <c r="AK1130" s="133">
        <f>IFERROR(__xludf.DUMMYFUNCTION("""COMPUTED_VALUE"""),4.0)</f>
        <v>4</v>
      </c>
      <c r="AL1130" s="133">
        <f>IFERROR(__xludf.DUMMYFUNCTION("""COMPUTED_VALUE"""),1.0)</f>
        <v>1</v>
      </c>
      <c r="AM1130" s="133">
        <f>IFERROR(__xludf.DUMMYFUNCTION("""COMPUTED_VALUE"""),2.0)</f>
        <v>2</v>
      </c>
      <c r="AN1130" s="133" t="str">
        <f>IFERROR(__xludf.DUMMYFUNCTION("""COMPUTED_VALUE"""),"2")</f>
        <v>2</v>
      </c>
      <c r="AO1130" s="133">
        <f>IFERROR(__xludf.DUMMYFUNCTION("""COMPUTED_VALUE"""),2.0)</f>
        <v>2</v>
      </c>
      <c r="AP1130" s="155" t="s">
        <v>3736</v>
      </c>
    </row>
    <row r="1131">
      <c r="A1131" s="155">
        <f>IFERROR(__xludf.DUMMYFUNCTION("""COMPUTED_VALUE"""),238.0)</f>
        <v>238</v>
      </c>
      <c r="B1131" s="155" t="str">
        <f>IFERROR(__xludf.DUMMYFUNCTION("""COMPUTED_VALUE"""),"yapa23ece@cmrit.ac.in")</f>
        <v>yapa23ece@cmrit.ac.in</v>
      </c>
      <c r="C1131" s="174" t="str">
        <f>IFERROR(__xludf.DUMMYFUNCTION("""COMPUTED_VALUE"""),"YASH PATEL")</f>
        <v>YASH PATEL</v>
      </c>
      <c r="D1131" s="155" t="str">
        <f>IFERROR(__xludf.DUMMYFUNCTION("""COMPUTED_VALUE"""),"1CR23EC250")</f>
        <v>1CR23EC250</v>
      </c>
      <c r="E1131" s="563">
        <f>IFERROR(__xludf.DUMMYFUNCTION("""COMPUTED_VALUE"""),9.17150515E9)</f>
        <v>9171505150</v>
      </c>
      <c r="F1131" s="155" t="str">
        <f>IFERROR(__xludf.DUMMYFUNCTION("""COMPUTED_VALUE"""),"ECE")</f>
        <v>ECE</v>
      </c>
      <c r="G1131" s="158"/>
      <c r="H1131" s="559">
        <f>IFERROR(__xludf.DUMMYFUNCTION("""COMPUTED_VALUE"""),80.0)</f>
        <v>80</v>
      </c>
      <c r="I1131" s="559">
        <f>IFERROR(__xludf.DUMMYFUNCTION("""COMPUTED_VALUE"""),88.0)</f>
        <v>88</v>
      </c>
      <c r="J1131" s="559">
        <f>IFERROR(__xludf.DUMMYFUNCTION("""COMPUTED_VALUE"""),80.0)</f>
        <v>80</v>
      </c>
      <c r="K1131" s="559">
        <f>IFERROR(__xludf.DUMMYFUNCTION("""COMPUTED_VALUE"""),70.0)</f>
        <v>70</v>
      </c>
      <c r="L1131" s="560">
        <f>IFERROR(__xludf.DUMMYFUNCTION("""COMPUTED_VALUE"""),50.0)</f>
        <v>50</v>
      </c>
      <c r="M1131" s="561">
        <f>IFERROR(__xludf.DUMMYFUNCTION("""COMPUTED_VALUE"""),50.0)</f>
        <v>50</v>
      </c>
      <c r="N1131" s="561">
        <f>IFERROR(__xludf.DUMMYFUNCTION("""COMPUTED_VALUE"""),52.0)</f>
        <v>52</v>
      </c>
      <c r="O1131" s="560"/>
      <c r="P1131" s="562">
        <f>IFERROR(__xludf.DUMMYFUNCTION("""COMPUTED_VALUE"""),75.0)</f>
        <v>75</v>
      </c>
      <c r="Q1131" s="562">
        <f>IFERROR(__xludf.DUMMYFUNCTION("""COMPUTED_VALUE"""),64.0)</f>
        <v>64</v>
      </c>
      <c r="R1131" s="562">
        <f>IFERROR(__xludf.DUMMYFUNCTION("""COMPUTED_VALUE"""),99.0)</f>
        <v>99</v>
      </c>
      <c r="S1131" s="562"/>
      <c r="T1131" s="217">
        <f>IFERROR(__xludf.DUMMYFUNCTION("""COMPUTED_VALUE"""),11.0)</f>
        <v>11</v>
      </c>
      <c r="U1131" s="217">
        <f>IFERROR(__xludf.DUMMYFUNCTION("""COMPUTED_VALUE"""),16.0)</f>
        <v>16</v>
      </c>
      <c r="V1131" s="217">
        <f>IFERROR(__xludf.DUMMYFUNCTION("""COMPUTED_VALUE"""),38.0)</f>
        <v>38</v>
      </c>
      <c r="W1131" s="217">
        <f>IFERROR(__xludf.DUMMYFUNCTION("""COMPUTED_VALUE"""),78.0)</f>
        <v>78</v>
      </c>
      <c r="X1131" s="217">
        <f>IFERROR(__xludf.DUMMYFUNCTION("""COMPUTED_VALUE"""),64.0)</f>
        <v>64</v>
      </c>
      <c r="Y1131" s="217"/>
      <c r="Z1131" s="217"/>
      <c r="AA1131" s="481">
        <f>IFERROR(__xludf.DUMMYFUNCTION("""COMPUTED_VALUE"""),95.0)</f>
        <v>95</v>
      </c>
      <c r="AB1131" s="481">
        <f>IFERROR(__xludf.DUMMYFUNCTION("""COMPUTED_VALUE"""),100.0)</f>
        <v>100</v>
      </c>
      <c r="AC1131" s="481">
        <f>IFERROR(__xludf.DUMMYFUNCTION("""COMPUTED_VALUE"""),61.0)</f>
        <v>61</v>
      </c>
      <c r="AD1131" s="481"/>
      <c r="AE1131" s="481">
        <f>IFERROR(__xludf.DUMMYFUNCTION("""COMPUTED_VALUE"""),90.0)</f>
        <v>90</v>
      </c>
      <c r="AF1131" s="481"/>
      <c r="AG1131" s="481"/>
      <c r="AH1131" s="481">
        <f>IFERROR(__xludf.DUMMYFUNCTION("""COMPUTED_VALUE"""),33.0)</f>
        <v>33</v>
      </c>
      <c r="AI1131" s="158"/>
      <c r="AJ1131" s="158"/>
      <c r="AK1131" s="133">
        <f>IFERROR(__xludf.DUMMYFUNCTION("""COMPUTED_VALUE"""),4.0)</f>
        <v>4</v>
      </c>
      <c r="AL1131" s="133">
        <f>IFERROR(__xludf.DUMMYFUNCTION("""COMPUTED_VALUE"""),3.0)</f>
        <v>3</v>
      </c>
      <c r="AM1131" s="133">
        <f>IFERROR(__xludf.DUMMYFUNCTION("""COMPUTED_VALUE"""),3.0)</f>
        <v>3</v>
      </c>
      <c r="AN1131" s="133" t="str">
        <f>IFERROR(__xludf.DUMMYFUNCTION("""COMPUTED_VALUE"""),"3.5")</f>
        <v>3.5</v>
      </c>
      <c r="AO1131" s="133">
        <f>IFERROR(__xludf.DUMMYFUNCTION("""COMPUTED_VALUE"""),3.0)</f>
        <v>3</v>
      </c>
      <c r="AP1131" s="155" t="s">
        <v>3736</v>
      </c>
    </row>
    <row r="1132">
      <c r="A1132" s="155">
        <f>IFERROR(__xludf.DUMMYFUNCTION("""COMPUTED_VALUE"""),239.0)</f>
        <v>239</v>
      </c>
      <c r="B1132" s="155" t="str">
        <f>IFERROR(__xludf.DUMMYFUNCTION("""COMPUTED_VALUE"""),"yans23ece@cmrit.ac.in")</f>
        <v>yans23ece@cmrit.ac.in</v>
      </c>
      <c r="C1132" s="174" t="str">
        <f>IFERROR(__xludf.DUMMYFUNCTION("""COMPUTED_VALUE"""),"Yashas N S ")</f>
        <v>Yashas N S </v>
      </c>
      <c r="D1132" s="155" t="str">
        <f>IFERROR(__xludf.DUMMYFUNCTION("""COMPUTED_VALUE"""),"1CR23EC251")</f>
        <v>1CR23EC251</v>
      </c>
      <c r="E1132" s="563">
        <f>IFERROR(__xludf.DUMMYFUNCTION("""COMPUTED_VALUE"""),9.036305039E9)</f>
        <v>9036305039</v>
      </c>
      <c r="F1132" s="155" t="str">
        <f>IFERROR(__xludf.DUMMYFUNCTION("""COMPUTED_VALUE"""),"ECE")</f>
        <v>ECE</v>
      </c>
      <c r="G1132" s="158"/>
      <c r="H1132" s="559">
        <f>IFERROR(__xludf.DUMMYFUNCTION("""COMPUTED_VALUE"""),84.0)</f>
        <v>84</v>
      </c>
      <c r="I1132" s="559">
        <f>IFERROR(__xludf.DUMMYFUNCTION("""COMPUTED_VALUE"""),87.0)</f>
        <v>87</v>
      </c>
      <c r="J1132" s="559">
        <f>IFERROR(__xludf.DUMMYFUNCTION("""COMPUTED_VALUE"""),51.0)</f>
        <v>51</v>
      </c>
      <c r="K1132" s="559">
        <f>IFERROR(__xludf.DUMMYFUNCTION("""COMPUTED_VALUE"""),72.0)</f>
        <v>72</v>
      </c>
      <c r="L1132" s="560">
        <f>IFERROR(__xludf.DUMMYFUNCTION("""COMPUTED_VALUE"""),50.0)</f>
        <v>50</v>
      </c>
      <c r="M1132" s="561">
        <f>IFERROR(__xludf.DUMMYFUNCTION("""COMPUTED_VALUE"""),50.0)</f>
        <v>50</v>
      </c>
      <c r="N1132" s="561">
        <f>IFERROR(__xludf.DUMMYFUNCTION("""COMPUTED_VALUE"""),50.0)</f>
        <v>50</v>
      </c>
      <c r="O1132" s="560"/>
      <c r="P1132" s="562">
        <f>IFERROR(__xludf.DUMMYFUNCTION("""COMPUTED_VALUE"""),50.0)</f>
        <v>50</v>
      </c>
      <c r="Q1132" s="562">
        <f>IFERROR(__xludf.DUMMYFUNCTION("""COMPUTED_VALUE"""),79.0)</f>
        <v>79</v>
      </c>
      <c r="R1132" s="562">
        <f>IFERROR(__xludf.DUMMYFUNCTION("""COMPUTED_VALUE"""),50.0)</f>
        <v>50</v>
      </c>
      <c r="S1132" s="562"/>
      <c r="T1132" s="217">
        <f>IFERROR(__xludf.DUMMYFUNCTION("""COMPUTED_VALUE"""),12.0)</f>
        <v>12</v>
      </c>
      <c r="U1132" s="217">
        <f>IFERROR(__xludf.DUMMYFUNCTION("""COMPUTED_VALUE"""),19.0)</f>
        <v>19</v>
      </c>
      <c r="V1132" s="217">
        <f>IFERROR(__xludf.DUMMYFUNCTION("""COMPUTED_VALUE"""),32.0)</f>
        <v>32</v>
      </c>
      <c r="W1132" s="217">
        <f>IFERROR(__xludf.DUMMYFUNCTION("""COMPUTED_VALUE"""),76.0)</f>
        <v>76</v>
      </c>
      <c r="X1132" s="217">
        <f>IFERROR(__xludf.DUMMYFUNCTION("""COMPUTED_VALUE"""),66.0)</f>
        <v>66</v>
      </c>
      <c r="Y1132" s="217"/>
      <c r="Z1132" s="217"/>
      <c r="AA1132" s="481">
        <f>IFERROR(__xludf.DUMMYFUNCTION("""COMPUTED_VALUE"""),66.0)</f>
        <v>66</v>
      </c>
      <c r="AB1132" s="481">
        <f>IFERROR(__xludf.DUMMYFUNCTION("""COMPUTED_VALUE"""),95.0)</f>
        <v>95</v>
      </c>
      <c r="AC1132" s="481">
        <f>IFERROR(__xludf.DUMMYFUNCTION("""COMPUTED_VALUE"""),60.0)</f>
        <v>60</v>
      </c>
      <c r="AD1132" s="481"/>
      <c r="AE1132" s="481">
        <f>IFERROR(__xludf.DUMMYFUNCTION("""COMPUTED_VALUE"""),20.0)</f>
        <v>20</v>
      </c>
      <c r="AF1132" s="481"/>
      <c r="AG1132" s="481"/>
      <c r="AH1132" s="481">
        <f>IFERROR(__xludf.DUMMYFUNCTION("""COMPUTED_VALUE"""),18.0)</f>
        <v>18</v>
      </c>
      <c r="AI1132" s="158"/>
      <c r="AJ1132" s="158"/>
      <c r="AK1132" s="133">
        <f>IFERROR(__xludf.DUMMYFUNCTION("""COMPUTED_VALUE"""),2.0)</f>
        <v>2</v>
      </c>
      <c r="AL1132" s="133">
        <f>IFERROR(__xludf.DUMMYFUNCTION("""COMPUTED_VALUE"""),3.0)</f>
        <v>3</v>
      </c>
      <c r="AM1132" s="133">
        <f>IFERROR(__xludf.DUMMYFUNCTION("""COMPUTED_VALUE"""),3.0)</f>
        <v>3</v>
      </c>
      <c r="AN1132" s="133" t="str">
        <f>IFERROR(__xludf.DUMMYFUNCTION("""COMPUTED_VALUE"""),"3")</f>
        <v>3</v>
      </c>
      <c r="AO1132" s="133">
        <f>IFERROR(__xludf.DUMMYFUNCTION("""COMPUTED_VALUE"""),3.0)</f>
        <v>3</v>
      </c>
      <c r="AP1132" s="155" t="s">
        <v>3736</v>
      </c>
    </row>
    <row r="1133">
      <c r="A1133" s="155">
        <f>IFERROR(__xludf.DUMMYFUNCTION("""COMPUTED_VALUE"""),240.0)</f>
        <v>240</v>
      </c>
      <c r="B1133" s="155" t="str">
        <f>IFERROR(__xludf.DUMMYFUNCTION("""COMPUTED_VALUE"""),"yam23ece@cmrit.ac.in")</f>
        <v>yam23ece@cmrit.ac.in</v>
      </c>
      <c r="C1133" s="174" t="str">
        <f>IFERROR(__xludf.DUMMYFUNCTION("""COMPUTED_VALUE"""),"YASHWANTH M")</f>
        <v>YASHWANTH M</v>
      </c>
      <c r="D1133" s="155" t="str">
        <f>IFERROR(__xludf.DUMMYFUNCTION("""COMPUTED_VALUE"""),"1CR23EC253")</f>
        <v>1CR23EC253</v>
      </c>
      <c r="E1133" s="563">
        <f>IFERROR(__xludf.DUMMYFUNCTION("""COMPUTED_VALUE"""),6.360655877E9)</f>
        <v>6360655877</v>
      </c>
      <c r="F1133" s="155" t="str">
        <f>IFERROR(__xludf.DUMMYFUNCTION("""COMPUTED_VALUE"""),"ECE")</f>
        <v>ECE</v>
      </c>
      <c r="G1133" s="158"/>
      <c r="H1133" s="559">
        <f>IFERROR(__xludf.DUMMYFUNCTION("""COMPUTED_VALUE"""),70.0)</f>
        <v>70</v>
      </c>
      <c r="I1133" s="559">
        <f>IFERROR(__xludf.DUMMYFUNCTION("""COMPUTED_VALUE"""),70.0)</f>
        <v>70</v>
      </c>
      <c r="J1133" s="559">
        <f>IFERROR(__xludf.DUMMYFUNCTION("""COMPUTED_VALUE"""),38.0)</f>
        <v>38</v>
      </c>
      <c r="K1133" s="559">
        <f>IFERROR(__xludf.DUMMYFUNCTION("""COMPUTED_VALUE"""),51.0)</f>
        <v>51</v>
      </c>
      <c r="L1133" s="560">
        <f>IFERROR(__xludf.DUMMYFUNCTION("""COMPUTED_VALUE"""),50.0)</f>
        <v>50</v>
      </c>
      <c r="M1133" s="561">
        <f>IFERROR(__xludf.DUMMYFUNCTION("""COMPUTED_VALUE"""),0.0)</f>
        <v>0</v>
      </c>
      <c r="N1133" s="561">
        <f>IFERROR(__xludf.DUMMYFUNCTION("""COMPUTED_VALUE"""),0.0)</f>
        <v>0</v>
      </c>
      <c r="O1133" s="560"/>
      <c r="P1133" s="562">
        <f>IFERROR(__xludf.DUMMYFUNCTION("""COMPUTED_VALUE"""),0.0)</f>
        <v>0</v>
      </c>
      <c r="Q1133" s="562">
        <f>IFERROR(__xludf.DUMMYFUNCTION("""COMPUTED_VALUE"""),0.0)</f>
        <v>0</v>
      </c>
      <c r="R1133" s="562">
        <f>IFERROR(__xludf.DUMMYFUNCTION("""COMPUTED_VALUE"""),0.0)</f>
        <v>0</v>
      </c>
      <c r="S1133" s="562"/>
      <c r="T1133" s="217">
        <f>IFERROR(__xludf.DUMMYFUNCTION("""COMPUTED_VALUE"""),23.0)</f>
        <v>23</v>
      </c>
      <c r="U1133" s="217">
        <f>IFERROR(__xludf.DUMMYFUNCTION("""COMPUTED_VALUE"""),21.0)</f>
        <v>21</v>
      </c>
      <c r="V1133" s="217">
        <f>IFERROR(__xludf.DUMMYFUNCTION("""COMPUTED_VALUE"""),46.0)</f>
        <v>46</v>
      </c>
      <c r="W1133" s="217">
        <f>IFERROR(__xludf.DUMMYFUNCTION("""COMPUTED_VALUE"""),52.0)</f>
        <v>52</v>
      </c>
      <c r="X1133" s="217">
        <f>IFERROR(__xludf.DUMMYFUNCTION("""COMPUTED_VALUE"""),70.0)</f>
        <v>70</v>
      </c>
      <c r="Y1133" s="217"/>
      <c r="Z1133" s="217"/>
      <c r="AA1133" s="481">
        <f>IFERROR(__xludf.DUMMYFUNCTION("""COMPUTED_VALUE"""),35.8)</f>
        <v>35.8</v>
      </c>
      <c r="AB1133" s="481">
        <f>IFERROR(__xludf.DUMMYFUNCTION("""COMPUTED_VALUE"""),64.0)</f>
        <v>64</v>
      </c>
      <c r="AC1133" s="481">
        <f>IFERROR(__xludf.DUMMYFUNCTION("""COMPUTED_VALUE"""),4.0)</f>
        <v>4</v>
      </c>
      <c r="AD1133" s="481"/>
      <c r="AE1133" s="481">
        <f>IFERROR(__xludf.DUMMYFUNCTION("""COMPUTED_VALUE"""),10.0)</f>
        <v>10</v>
      </c>
      <c r="AF1133" s="481"/>
      <c r="AG1133" s="481"/>
      <c r="AH1133" s="481"/>
      <c r="AI1133" s="158"/>
      <c r="AJ1133" s="158"/>
      <c r="AK1133" s="133">
        <f>IFERROR(__xludf.DUMMYFUNCTION("""COMPUTED_VALUE"""),2.0)</f>
        <v>2</v>
      </c>
      <c r="AL1133" s="133">
        <f>IFERROR(__xludf.DUMMYFUNCTION("""COMPUTED_VALUE"""),1.0)</f>
        <v>1</v>
      </c>
      <c r="AM1133" s="133">
        <f>IFERROR(__xludf.DUMMYFUNCTION("""COMPUTED_VALUE"""),3.0)</f>
        <v>3</v>
      </c>
      <c r="AN1133" s="133" t="str">
        <f>IFERROR(__xludf.DUMMYFUNCTION("""COMPUTED_VALUE"""),"2")</f>
        <v>2</v>
      </c>
      <c r="AO1133" s="133">
        <f>IFERROR(__xludf.DUMMYFUNCTION("""COMPUTED_VALUE"""),0.0)</f>
        <v>0</v>
      </c>
      <c r="AP1133" s="155" t="s">
        <v>3736</v>
      </c>
    </row>
    <row r="1134">
      <c r="A1134" s="155">
        <f>IFERROR(__xludf.DUMMYFUNCTION("""COMPUTED_VALUE"""),241.0)</f>
        <v>241</v>
      </c>
      <c r="B1134" s="155" t="str">
        <f>IFERROR(__xludf.DUMMYFUNCTION("""COMPUTED_VALUE"""),"yums23ece@cmrit.ac.in")</f>
        <v>yums23ece@cmrit.ac.in</v>
      </c>
      <c r="C1134" s="174" t="str">
        <f>IFERROR(__xludf.DUMMYFUNCTION("""COMPUTED_VALUE"""),"Yuktha.M.S")</f>
        <v>Yuktha.M.S</v>
      </c>
      <c r="D1134" s="155" t="str">
        <f>IFERROR(__xludf.DUMMYFUNCTION("""COMPUTED_VALUE"""),"1CR23EC254")</f>
        <v>1CR23EC254</v>
      </c>
      <c r="E1134" s="563">
        <f>IFERROR(__xludf.DUMMYFUNCTION("""COMPUTED_VALUE"""),9.740373177E9)</f>
        <v>9740373177</v>
      </c>
      <c r="F1134" s="155" t="str">
        <f>IFERROR(__xludf.DUMMYFUNCTION("""COMPUTED_VALUE"""),"ECE")</f>
        <v>ECE</v>
      </c>
      <c r="G1134" s="158"/>
      <c r="H1134" s="559">
        <f>IFERROR(__xludf.DUMMYFUNCTION("""COMPUTED_VALUE"""),80.0)</f>
        <v>80</v>
      </c>
      <c r="I1134" s="559">
        <f>IFERROR(__xludf.DUMMYFUNCTION("""COMPUTED_VALUE"""),81.0)</f>
        <v>81</v>
      </c>
      <c r="J1134" s="559">
        <f>IFERROR(__xludf.DUMMYFUNCTION("""COMPUTED_VALUE"""),46.0)</f>
        <v>46</v>
      </c>
      <c r="K1134" s="559">
        <f>IFERROR(__xludf.DUMMYFUNCTION("""COMPUTED_VALUE"""),70.0)</f>
        <v>70</v>
      </c>
      <c r="L1134" s="560">
        <f>IFERROR(__xludf.DUMMYFUNCTION("""COMPUTED_VALUE"""),50.0)</f>
        <v>50</v>
      </c>
      <c r="M1134" s="561">
        <f>IFERROR(__xludf.DUMMYFUNCTION("""COMPUTED_VALUE"""),8.0)</f>
        <v>8</v>
      </c>
      <c r="N1134" s="561">
        <f>IFERROR(__xludf.DUMMYFUNCTION("""COMPUTED_VALUE"""),14.0)</f>
        <v>14</v>
      </c>
      <c r="O1134" s="560"/>
      <c r="P1134" s="562">
        <f>IFERROR(__xludf.DUMMYFUNCTION("""COMPUTED_VALUE"""),70.0)</f>
        <v>70</v>
      </c>
      <c r="Q1134" s="562">
        <f>IFERROR(__xludf.DUMMYFUNCTION("""COMPUTED_VALUE"""),81.0)</f>
        <v>81</v>
      </c>
      <c r="R1134" s="562">
        <f>IFERROR(__xludf.DUMMYFUNCTION("""COMPUTED_VALUE"""),0.0)</f>
        <v>0</v>
      </c>
      <c r="S1134" s="562"/>
      <c r="T1134" s="217">
        <f>IFERROR(__xludf.DUMMYFUNCTION("""COMPUTED_VALUE"""),16.0)</f>
        <v>16</v>
      </c>
      <c r="U1134" s="217">
        <f>IFERROR(__xludf.DUMMYFUNCTION("""COMPUTED_VALUE"""),16.0)</f>
        <v>16</v>
      </c>
      <c r="V1134" s="217">
        <f>IFERROR(__xludf.DUMMYFUNCTION("""COMPUTED_VALUE"""),36.0)</f>
        <v>36</v>
      </c>
      <c r="W1134" s="217">
        <f>IFERROR(__xludf.DUMMYFUNCTION("""COMPUTED_VALUE"""),0.0)</f>
        <v>0</v>
      </c>
      <c r="X1134" s="217"/>
      <c r="Y1134" s="217"/>
      <c r="Z1134" s="217"/>
      <c r="AA1134" s="481">
        <f>IFERROR(__xludf.DUMMYFUNCTION("""COMPUTED_VALUE"""),60.0)</f>
        <v>60</v>
      </c>
      <c r="AB1134" s="481">
        <f>IFERROR(__xludf.DUMMYFUNCTION("""COMPUTED_VALUE"""),91.0)</f>
        <v>91</v>
      </c>
      <c r="AC1134" s="481">
        <f>IFERROR(__xludf.DUMMYFUNCTION("""COMPUTED_VALUE"""),16.0)</f>
        <v>16</v>
      </c>
      <c r="AD1134" s="481"/>
      <c r="AE1134" s="481">
        <f>IFERROR(__xludf.DUMMYFUNCTION("""COMPUTED_VALUE"""),10.0)</f>
        <v>10</v>
      </c>
      <c r="AF1134" s="481"/>
      <c r="AG1134" s="481"/>
      <c r="AH1134" s="481"/>
      <c r="AI1134" s="158"/>
      <c r="AJ1134" s="158"/>
      <c r="AK1134" s="133">
        <f>IFERROR(__xludf.DUMMYFUNCTION("""COMPUTED_VALUE"""),2.0)</f>
        <v>2</v>
      </c>
      <c r="AL1134" s="133">
        <f>IFERROR(__xludf.DUMMYFUNCTION("""COMPUTED_VALUE"""),1.0)</f>
        <v>1</v>
      </c>
      <c r="AM1134" s="133">
        <f>IFERROR(__xludf.DUMMYFUNCTION("""COMPUTED_VALUE"""),2.0)</f>
        <v>2</v>
      </c>
      <c r="AN1134" s="133" t="str">
        <f>IFERROR(__xludf.DUMMYFUNCTION("""COMPUTED_VALUE"""),"2")</f>
        <v>2</v>
      </c>
      <c r="AO1134" s="133">
        <f>IFERROR(__xludf.DUMMYFUNCTION("""COMPUTED_VALUE"""),2.0)</f>
        <v>2</v>
      </c>
      <c r="AP1134" s="155" t="s">
        <v>3736</v>
      </c>
    </row>
    <row r="1135">
      <c r="A1135" s="155">
        <f>IFERROR(__xludf.DUMMYFUNCTION("""COMPUTED_VALUE"""),242.0)</f>
        <v>242</v>
      </c>
      <c r="B1135" s="155" t="str">
        <f>IFERROR(__xludf.DUMMYFUNCTION("""COMPUTED_VALUE"""),"archit.ece24le@cmrit.ac.in")</f>
        <v>archit.ece24le@cmrit.ac.in</v>
      </c>
      <c r="C1135" s="174" t="str">
        <f>IFERROR(__xludf.DUMMYFUNCTION("""COMPUTED_VALUE"""),"Archit")</f>
        <v>Archit</v>
      </c>
      <c r="D1135" s="155" t="str">
        <f>IFERROR(__xludf.DUMMYFUNCTION("""COMPUTED_VALUE"""),"1CR23EC255")</f>
        <v>1CR23EC255</v>
      </c>
      <c r="E1135" s="563"/>
      <c r="F1135" s="155" t="str">
        <f>IFERROR(__xludf.DUMMYFUNCTION("""COMPUTED_VALUE"""),"ECE")</f>
        <v>ECE</v>
      </c>
      <c r="G1135" s="158"/>
      <c r="H1135" s="559">
        <f>IFERROR(__xludf.DUMMYFUNCTION("""COMPUTED_VALUE"""),70.0)</f>
        <v>70</v>
      </c>
      <c r="I1135" s="559">
        <f>IFERROR(__xludf.DUMMYFUNCTION("""COMPUTED_VALUE"""),70.0)</f>
        <v>70</v>
      </c>
      <c r="J1135" s="559">
        <f>IFERROR(__xludf.DUMMYFUNCTION("""COMPUTED_VALUE"""),70.0)</f>
        <v>70</v>
      </c>
      <c r="K1135" s="559">
        <f>IFERROR(__xludf.DUMMYFUNCTION("""COMPUTED_VALUE"""),70.0)</f>
        <v>70</v>
      </c>
      <c r="L1135" s="560">
        <f>IFERROR(__xludf.DUMMYFUNCTION("""COMPUTED_VALUE"""),50.0)</f>
        <v>50</v>
      </c>
      <c r="M1135" s="561">
        <f>IFERROR(__xludf.DUMMYFUNCTION("""COMPUTED_VALUE"""),50.0)</f>
        <v>50</v>
      </c>
      <c r="N1135" s="561">
        <f>IFERROR(__xludf.DUMMYFUNCTION("""COMPUTED_VALUE"""),0.0)</f>
        <v>0</v>
      </c>
      <c r="O1135" s="560"/>
      <c r="P1135" s="562">
        <f>IFERROR(__xludf.DUMMYFUNCTION("""COMPUTED_VALUE"""),50.0)</f>
        <v>50</v>
      </c>
      <c r="Q1135" s="562">
        <f>IFERROR(__xludf.DUMMYFUNCTION("""COMPUTED_VALUE"""),52.0)</f>
        <v>52</v>
      </c>
      <c r="R1135" s="562">
        <f>IFERROR(__xludf.DUMMYFUNCTION("""COMPUTED_VALUE"""),50.0)</f>
        <v>50</v>
      </c>
      <c r="S1135" s="562"/>
      <c r="T1135" s="217"/>
      <c r="U1135" s="217"/>
      <c r="V1135" s="217"/>
      <c r="W1135" s="217">
        <f>IFERROR(__xludf.DUMMYFUNCTION("""COMPUTED_VALUE"""),0.0)</f>
        <v>0</v>
      </c>
      <c r="X1135" s="217">
        <f>IFERROR(__xludf.DUMMYFUNCTION("""COMPUTED_VALUE"""),72.0)</f>
        <v>72</v>
      </c>
      <c r="Y1135" s="217"/>
      <c r="Z1135" s="217"/>
      <c r="AA1135" s="481"/>
      <c r="AB1135" s="481"/>
      <c r="AC1135" s="481">
        <f>IFERROR(__xludf.DUMMYFUNCTION("""COMPUTED_VALUE"""),85.0)</f>
        <v>85</v>
      </c>
      <c r="AD1135" s="481"/>
      <c r="AE1135" s="481">
        <f>IFERROR(__xludf.DUMMYFUNCTION("""COMPUTED_VALUE"""),12.0)</f>
        <v>12</v>
      </c>
      <c r="AF1135" s="481"/>
      <c r="AG1135" s="481"/>
      <c r="AH1135" s="481">
        <f>IFERROR(__xludf.DUMMYFUNCTION("""COMPUTED_VALUE"""),13.0)</f>
        <v>13</v>
      </c>
      <c r="AI1135" s="158"/>
      <c r="AJ1135" s="158"/>
      <c r="AK1135" s="133">
        <f>IFERROR(__xludf.DUMMYFUNCTION("""COMPUTED_VALUE"""),4.0)</f>
        <v>4</v>
      </c>
      <c r="AL1135" s="133">
        <f>IFERROR(__xludf.DUMMYFUNCTION("""COMPUTED_VALUE"""),2.0)</f>
        <v>2</v>
      </c>
      <c r="AM1135" s="133">
        <f>IFERROR(__xludf.DUMMYFUNCTION("""COMPUTED_VALUE"""),0.0)</f>
        <v>0</v>
      </c>
      <c r="AN1135" s="133" t="str">
        <f>IFERROR(__xludf.DUMMYFUNCTION("""COMPUTED_VALUE"""),"0")</f>
        <v>0</v>
      </c>
      <c r="AO1135" s="133">
        <f>IFERROR(__xludf.DUMMYFUNCTION("""COMPUTED_VALUE"""),3.0)</f>
        <v>3</v>
      </c>
      <c r="AP1135" s="155" t="s">
        <v>3736</v>
      </c>
    </row>
    <row r="1136">
      <c r="A1136" s="155">
        <f>IFERROR(__xludf.DUMMYFUNCTION("""COMPUTED_VALUE"""),243.0)</f>
        <v>243</v>
      </c>
      <c r="B1136" s="155" t="str">
        <f>IFERROR(__xludf.DUMMYFUNCTION("""COMPUTED_VALUE"""),"veka22ece@cmrit.ac.in")</f>
        <v>veka22ece@cmrit.ac.in</v>
      </c>
      <c r="C1136" s="174" t="str">
        <f>IFERROR(__xludf.DUMMYFUNCTION("""COMPUTED_VALUE"""),"Veeresh kale")</f>
        <v>Veeresh kale</v>
      </c>
      <c r="D1136" s="155" t="str">
        <f>IFERROR(__xludf.DUMMYFUNCTION("""COMPUTED_VALUE"""),"1CR23EC424")</f>
        <v>1CR23EC424</v>
      </c>
      <c r="E1136" s="563">
        <f>IFERROR(__xludf.DUMMYFUNCTION("""COMPUTED_VALUE"""),7.411004632E9)</f>
        <v>7411004632</v>
      </c>
      <c r="F1136" s="155" t="str">
        <f>IFERROR(__xludf.DUMMYFUNCTION("""COMPUTED_VALUE"""),"ECE")</f>
        <v>ECE</v>
      </c>
      <c r="G1136" s="158" t="str">
        <f>IFERROR(__xludf.DUMMYFUNCTION("""COMPUTED_VALUE"""),"Re-admitted to 5th Semester")</f>
        <v>Re-admitted to 5th Semester</v>
      </c>
      <c r="H1136" s="559">
        <f>IFERROR(__xludf.DUMMYFUNCTION("""COMPUTED_VALUE"""),80.0)</f>
        <v>80</v>
      </c>
      <c r="I1136" s="559">
        <f>IFERROR(__xludf.DUMMYFUNCTION("""COMPUTED_VALUE"""),60.0)</f>
        <v>60</v>
      </c>
      <c r="J1136" s="559">
        <f>IFERROR(__xludf.DUMMYFUNCTION("""COMPUTED_VALUE"""),70.0)</f>
        <v>70</v>
      </c>
      <c r="K1136" s="559">
        <f>IFERROR(__xludf.DUMMYFUNCTION("""COMPUTED_VALUE"""),20.5)</f>
        <v>20.5</v>
      </c>
      <c r="L1136" s="560">
        <f>IFERROR(__xludf.DUMMYFUNCTION("""COMPUTED_VALUE"""),0.0)</f>
        <v>0</v>
      </c>
      <c r="M1136" s="561">
        <f>IFERROR(__xludf.DUMMYFUNCTION("""COMPUTED_VALUE"""),31.0)</f>
        <v>31</v>
      </c>
      <c r="N1136" s="561">
        <f>IFERROR(__xludf.DUMMYFUNCTION("""COMPUTED_VALUE"""),0.0)</f>
        <v>0</v>
      </c>
      <c r="O1136" s="560"/>
      <c r="P1136" s="562">
        <f>IFERROR(__xludf.DUMMYFUNCTION("""COMPUTED_VALUE"""),0.0)</f>
        <v>0</v>
      </c>
      <c r="Q1136" s="562">
        <f>IFERROR(__xludf.DUMMYFUNCTION("""COMPUTED_VALUE"""),0.0)</f>
        <v>0</v>
      </c>
      <c r="R1136" s="562">
        <f>IFERROR(__xludf.DUMMYFUNCTION("""COMPUTED_VALUE"""),0.0)</f>
        <v>0</v>
      </c>
      <c r="S1136" s="562"/>
      <c r="T1136" s="217">
        <f>IFERROR(__xludf.DUMMYFUNCTION("""COMPUTED_VALUE"""),62.0)</f>
        <v>62</v>
      </c>
      <c r="U1136" s="217">
        <f>IFERROR(__xludf.DUMMYFUNCTION("""COMPUTED_VALUE"""),70.0)</f>
        <v>70</v>
      </c>
      <c r="V1136" s="217">
        <f>IFERROR(__xludf.DUMMYFUNCTION("""COMPUTED_VALUE"""),62.0)</f>
        <v>62</v>
      </c>
      <c r="W1136" s="217">
        <f>IFERROR(__xludf.DUMMYFUNCTION("""COMPUTED_VALUE"""),70.0)</f>
        <v>70</v>
      </c>
      <c r="X1136" s="217">
        <f>IFERROR(__xludf.DUMMYFUNCTION("""COMPUTED_VALUE"""),80.0)</f>
        <v>80</v>
      </c>
      <c r="Y1136" s="217"/>
      <c r="Z1136" s="217"/>
      <c r="AA1136" s="481"/>
      <c r="AB1136" s="481">
        <f>IFERROR(__xludf.DUMMYFUNCTION("""COMPUTED_VALUE"""),27.5)</f>
        <v>27.5</v>
      </c>
      <c r="AC1136" s="481"/>
      <c r="AD1136" s="481"/>
      <c r="AE1136" s="481">
        <f>IFERROR(__xludf.DUMMYFUNCTION("""COMPUTED_VALUE"""),10.0)</f>
        <v>10</v>
      </c>
      <c r="AF1136" s="481"/>
      <c r="AG1136" s="481">
        <f>IFERROR(__xludf.DUMMYFUNCTION("""COMPUTED_VALUE"""),0.0)</f>
        <v>0</v>
      </c>
      <c r="AH1136" s="481"/>
      <c r="AI1136" s="158"/>
      <c r="AJ1136" s="158"/>
      <c r="AK1136" s="133"/>
      <c r="AL1136" s="133"/>
      <c r="AM1136" s="133"/>
      <c r="AN1136" s="133"/>
      <c r="AO1136" s="133"/>
      <c r="AP1136" s="155" t="s">
        <v>3736</v>
      </c>
    </row>
    <row r="1137">
      <c r="A1137" s="155">
        <f>IFERROR(__xludf.DUMMYFUNCTION("""COMPUTED_VALUE"""),244.0)</f>
        <v>244</v>
      </c>
      <c r="B1137" s="155" t="str">
        <f>IFERROR(__xludf.DUMMYFUNCTION("""COMPUTED_VALUE"""),"akash.ece24le@cmrit.ac.in")</f>
        <v>akash.ece24le@cmrit.ac.in</v>
      </c>
      <c r="C1137" s="174" t="str">
        <f>IFERROR(__xludf.DUMMYFUNCTION("""COMPUTED_VALUE"""),"Akash N")</f>
        <v>Akash N</v>
      </c>
      <c r="D1137" s="155" t="str">
        <f>IFERROR(__xludf.DUMMYFUNCTION("""COMPUTED_VALUE"""),"1CR24EC400")</f>
        <v>1CR24EC400</v>
      </c>
      <c r="E1137" s="563">
        <f>IFERROR(__xludf.DUMMYFUNCTION("""COMPUTED_VALUE"""),8.27711376E9)</f>
        <v>8277113760</v>
      </c>
      <c r="F1137" s="155" t="str">
        <f>IFERROR(__xludf.DUMMYFUNCTION("""COMPUTED_VALUE"""),"ECE")</f>
        <v>ECE</v>
      </c>
      <c r="G1137" s="158"/>
      <c r="H1137" s="559">
        <f>IFERROR(__xludf.DUMMYFUNCTION("""COMPUTED_VALUE"""),40.0)</f>
        <v>40</v>
      </c>
      <c r="I1137" s="559">
        <f>IFERROR(__xludf.DUMMYFUNCTION("""COMPUTED_VALUE"""),32.0)</f>
        <v>32</v>
      </c>
      <c r="J1137" s="559">
        <f>IFERROR(__xludf.DUMMYFUNCTION("""COMPUTED_VALUE"""),32.0)</f>
        <v>32</v>
      </c>
      <c r="K1137" s="559">
        <f>IFERROR(__xludf.DUMMYFUNCTION("""COMPUTED_VALUE"""),15.0)</f>
        <v>15</v>
      </c>
      <c r="L1137" s="560">
        <f>IFERROR(__xludf.DUMMYFUNCTION("""COMPUTED_VALUE"""),10.0)</f>
        <v>10</v>
      </c>
      <c r="M1137" s="561">
        <f>IFERROR(__xludf.DUMMYFUNCTION("""COMPUTED_VALUE"""),15.0)</f>
        <v>15</v>
      </c>
      <c r="N1137" s="561">
        <f>IFERROR(__xludf.DUMMYFUNCTION("""COMPUTED_VALUE"""),0.0)</f>
        <v>0</v>
      </c>
      <c r="O1137" s="560"/>
      <c r="P1137" s="562">
        <f>IFERROR(__xludf.DUMMYFUNCTION("""COMPUTED_VALUE"""),0.0)</f>
        <v>0</v>
      </c>
      <c r="Q1137" s="562">
        <f>IFERROR(__xludf.DUMMYFUNCTION("""COMPUTED_VALUE"""),0.0)</f>
        <v>0</v>
      </c>
      <c r="R1137" s="562">
        <f>IFERROR(__xludf.DUMMYFUNCTION("""COMPUTED_VALUE"""),0.0)</f>
        <v>0</v>
      </c>
      <c r="S1137" s="562"/>
      <c r="T1137" s="217"/>
      <c r="U1137" s="217"/>
      <c r="V1137" s="217">
        <f>IFERROR(__xludf.DUMMYFUNCTION("""COMPUTED_VALUE"""),42.0)</f>
        <v>42</v>
      </c>
      <c r="W1137" s="217">
        <f>IFERROR(__xludf.DUMMYFUNCTION("""COMPUTED_VALUE"""),68.0)</f>
        <v>68</v>
      </c>
      <c r="X1137" s="217"/>
      <c r="Y1137" s="217"/>
      <c r="Z1137" s="217"/>
      <c r="AA1137" s="481"/>
      <c r="AB1137" s="481">
        <f>IFERROR(__xludf.DUMMYFUNCTION("""COMPUTED_VALUE"""),0.0)</f>
        <v>0</v>
      </c>
      <c r="AC1137" s="481">
        <f>IFERROR(__xludf.DUMMYFUNCTION("""COMPUTED_VALUE"""),0.0)</f>
        <v>0</v>
      </c>
      <c r="AD1137" s="481"/>
      <c r="AE1137" s="481">
        <f>IFERROR(__xludf.DUMMYFUNCTION("""COMPUTED_VALUE"""),10.0)</f>
        <v>10</v>
      </c>
      <c r="AF1137" s="481"/>
      <c r="AG1137" s="481"/>
      <c r="AH1137" s="481"/>
      <c r="AI1137" s="158"/>
      <c r="AJ1137" s="158"/>
      <c r="AK1137" s="133">
        <f>IFERROR(__xludf.DUMMYFUNCTION("""COMPUTED_VALUE"""),0.0)</f>
        <v>0</v>
      </c>
      <c r="AL1137" s="133">
        <f>IFERROR(__xludf.DUMMYFUNCTION("""COMPUTED_VALUE"""),0.0)</f>
        <v>0</v>
      </c>
      <c r="AM1137" s="133">
        <f>IFERROR(__xludf.DUMMYFUNCTION("""COMPUTED_VALUE"""),0.0)</f>
        <v>0</v>
      </c>
      <c r="AN1137" s="133" t="str">
        <f>IFERROR(__xludf.DUMMYFUNCTION("""COMPUTED_VALUE"""),"0")</f>
        <v>0</v>
      </c>
      <c r="AO1137" s="133">
        <f>IFERROR(__xludf.DUMMYFUNCTION("""COMPUTED_VALUE"""),0.0)</f>
        <v>0</v>
      </c>
      <c r="AP1137" s="155" t="s">
        <v>3736</v>
      </c>
    </row>
    <row r="1138">
      <c r="A1138" s="155">
        <f>IFERROR(__xludf.DUMMYFUNCTION("""COMPUTED_VALUE"""),245.0)</f>
        <v>245</v>
      </c>
      <c r="B1138" s="155" t="str">
        <f>IFERROR(__xludf.DUMMYFUNCTION("""COMPUTED_VALUE"""),"bkeshava.ece24le@cmrit.ac.in")</f>
        <v>bkeshava.ece24le@cmrit.ac.in</v>
      </c>
      <c r="C1138" s="174" t="str">
        <f>IFERROR(__xludf.DUMMYFUNCTION("""COMPUTED_VALUE"""),"B Keshavakumar")</f>
        <v>B Keshavakumar</v>
      </c>
      <c r="D1138" s="155" t="str">
        <f>IFERROR(__xludf.DUMMYFUNCTION("""COMPUTED_VALUE"""),"1CR24EC401")</f>
        <v>1CR24EC401</v>
      </c>
      <c r="E1138" s="563">
        <f>IFERROR(__xludf.DUMMYFUNCTION("""COMPUTED_VALUE"""),6.362657839E9)</f>
        <v>6362657839</v>
      </c>
      <c r="F1138" s="155" t="str">
        <f>IFERROR(__xludf.DUMMYFUNCTION("""COMPUTED_VALUE"""),"ECE")</f>
        <v>ECE</v>
      </c>
      <c r="G1138" s="158"/>
      <c r="H1138" s="559">
        <f>IFERROR(__xludf.DUMMYFUNCTION("""COMPUTED_VALUE"""),70.0)</f>
        <v>70</v>
      </c>
      <c r="I1138" s="559">
        <f>IFERROR(__xludf.DUMMYFUNCTION("""COMPUTED_VALUE"""),70.0)</f>
        <v>70</v>
      </c>
      <c r="J1138" s="559">
        <f>IFERROR(__xludf.DUMMYFUNCTION("""COMPUTED_VALUE"""),70.0)</f>
        <v>70</v>
      </c>
      <c r="K1138" s="559">
        <f>IFERROR(__xludf.DUMMYFUNCTION("""COMPUTED_VALUE"""),70.0)</f>
        <v>70</v>
      </c>
      <c r="L1138" s="560">
        <f>IFERROR(__xludf.DUMMYFUNCTION("""COMPUTED_VALUE"""),0.0)</f>
        <v>0</v>
      </c>
      <c r="M1138" s="561">
        <f>IFERROR(__xludf.DUMMYFUNCTION("""COMPUTED_VALUE"""),0.0)</f>
        <v>0</v>
      </c>
      <c r="N1138" s="561">
        <f>IFERROR(__xludf.DUMMYFUNCTION("""COMPUTED_VALUE"""),7.0)</f>
        <v>7</v>
      </c>
      <c r="O1138" s="560"/>
      <c r="P1138" s="562">
        <f>IFERROR(__xludf.DUMMYFUNCTION("""COMPUTED_VALUE"""),0.0)</f>
        <v>0</v>
      </c>
      <c r="Q1138" s="562">
        <f>IFERROR(__xludf.DUMMYFUNCTION("""COMPUTED_VALUE"""),0.0)</f>
        <v>0</v>
      </c>
      <c r="R1138" s="562">
        <f>IFERROR(__xludf.DUMMYFUNCTION("""COMPUTED_VALUE"""),0.0)</f>
        <v>0</v>
      </c>
      <c r="S1138" s="562"/>
      <c r="T1138" s="217"/>
      <c r="U1138" s="217"/>
      <c r="V1138" s="217">
        <f>IFERROR(__xludf.DUMMYFUNCTION("""COMPUTED_VALUE"""),52.0)</f>
        <v>52</v>
      </c>
      <c r="W1138" s="217">
        <f>IFERROR(__xludf.DUMMYFUNCTION("""COMPUTED_VALUE"""),74.0)</f>
        <v>74</v>
      </c>
      <c r="X1138" s="217">
        <f>IFERROR(__xludf.DUMMYFUNCTION("""COMPUTED_VALUE"""),70.0)</f>
        <v>70</v>
      </c>
      <c r="Y1138" s="217"/>
      <c r="Z1138" s="217"/>
      <c r="AA1138" s="481"/>
      <c r="AB1138" s="481">
        <f>IFERROR(__xludf.DUMMYFUNCTION("""COMPUTED_VALUE"""),80.0)</f>
        <v>80</v>
      </c>
      <c r="AC1138" s="481">
        <f>IFERROR(__xludf.DUMMYFUNCTION("""COMPUTED_VALUE"""),80.0)</f>
        <v>80</v>
      </c>
      <c r="AD1138" s="481"/>
      <c r="AE1138" s="481">
        <f>IFERROR(__xludf.DUMMYFUNCTION("""COMPUTED_VALUE"""),10.0)</f>
        <v>10</v>
      </c>
      <c r="AF1138" s="481"/>
      <c r="AG1138" s="481"/>
      <c r="AH1138" s="481"/>
      <c r="AI1138" s="158"/>
      <c r="AJ1138" s="158"/>
      <c r="AK1138" s="133">
        <f>IFERROR(__xludf.DUMMYFUNCTION("""COMPUTED_VALUE"""),4.0)</f>
        <v>4</v>
      </c>
      <c r="AL1138" s="133">
        <f>IFERROR(__xludf.DUMMYFUNCTION("""COMPUTED_VALUE"""),0.0)</f>
        <v>0</v>
      </c>
      <c r="AM1138" s="133">
        <f>IFERROR(__xludf.DUMMYFUNCTION("""COMPUTED_VALUE"""),0.0)</f>
        <v>0</v>
      </c>
      <c r="AN1138" s="133" t="str">
        <f>IFERROR(__xludf.DUMMYFUNCTION("""COMPUTED_VALUE"""),"3")</f>
        <v>3</v>
      </c>
      <c r="AO1138" s="133">
        <f>IFERROR(__xludf.DUMMYFUNCTION("""COMPUTED_VALUE"""),0.0)</f>
        <v>0</v>
      </c>
      <c r="AP1138" s="155" t="s">
        <v>3736</v>
      </c>
    </row>
    <row r="1139">
      <c r="A1139" s="155">
        <f>IFERROR(__xludf.DUMMYFUNCTION("""COMPUTED_VALUE"""),246.0)</f>
        <v>246</v>
      </c>
      <c r="B1139" s="155" t="str">
        <f>IFERROR(__xludf.DUMMYFUNCTION("""COMPUTED_VALUE"""),"bharath.ece24le@cmrit.ac.in")</f>
        <v>bharath.ece24le@cmrit.ac.in</v>
      </c>
      <c r="C1139" s="174" t="str">
        <f>IFERROR(__xludf.DUMMYFUNCTION("""COMPUTED_VALUE"""),"BHARATH KUMAR R")</f>
        <v>BHARATH KUMAR R</v>
      </c>
      <c r="D1139" s="155" t="str">
        <f>IFERROR(__xludf.DUMMYFUNCTION("""COMPUTED_VALUE"""),"1CR24EC402")</f>
        <v>1CR24EC402</v>
      </c>
      <c r="E1139" s="563">
        <f>IFERROR(__xludf.DUMMYFUNCTION("""COMPUTED_VALUE"""),9.108515191E9)</f>
        <v>9108515191</v>
      </c>
      <c r="F1139" s="155" t="str">
        <f>IFERROR(__xludf.DUMMYFUNCTION("""COMPUTED_VALUE"""),"ECE")</f>
        <v>ECE</v>
      </c>
      <c r="G1139" s="158"/>
      <c r="H1139" s="559">
        <f>IFERROR(__xludf.DUMMYFUNCTION("""COMPUTED_VALUE"""),44.0)</f>
        <v>44</v>
      </c>
      <c r="I1139" s="559">
        <f>IFERROR(__xludf.DUMMYFUNCTION("""COMPUTED_VALUE"""),28.0)</f>
        <v>28</v>
      </c>
      <c r="J1139" s="559">
        <f>IFERROR(__xludf.DUMMYFUNCTION("""COMPUTED_VALUE"""),70.0)</f>
        <v>70</v>
      </c>
      <c r="K1139" s="559">
        <f>IFERROR(__xludf.DUMMYFUNCTION("""COMPUTED_VALUE"""),70.0)</f>
        <v>70</v>
      </c>
      <c r="L1139" s="560">
        <f>IFERROR(__xludf.DUMMYFUNCTION("""COMPUTED_VALUE"""),3.0)</f>
        <v>3</v>
      </c>
      <c r="M1139" s="561">
        <f>IFERROR(__xludf.DUMMYFUNCTION("""COMPUTED_VALUE"""),3.0)</f>
        <v>3</v>
      </c>
      <c r="N1139" s="561">
        <f>IFERROR(__xludf.DUMMYFUNCTION("""COMPUTED_VALUE"""),50.0)</f>
        <v>50</v>
      </c>
      <c r="O1139" s="560"/>
      <c r="P1139" s="562">
        <f>IFERROR(__xludf.DUMMYFUNCTION("""COMPUTED_VALUE"""),50.0)</f>
        <v>50</v>
      </c>
      <c r="Q1139" s="562">
        <f>IFERROR(__xludf.DUMMYFUNCTION("""COMPUTED_VALUE"""),56.0)</f>
        <v>56</v>
      </c>
      <c r="R1139" s="562">
        <f>IFERROR(__xludf.DUMMYFUNCTION("""COMPUTED_VALUE"""),89.0)</f>
        <v>89</v>
      </c>
      <c r="S1139" s="562"/>
      <c r="T1139" s="217"/>
      <c r="U1139" s="217"/>
      <c r="V1139" s="217">
        <f>IFERROR(__xludf.DUMMYFUNCTION("""COMPUTED_VALUE"""),26.0)</f>
        <v>26</v>
      </c>
      <c r="W1139" s="217">
        <f>IFERROR(__xludf.DUMMYFUNCTION("""COMPUTED_VALUE"""),80.0)</f>
        <v>80</v>
      </c>
      <c r="X1139" s="217">
        <f>IFERROR(__xludf.DUMMYFUNCTION("""COMPUTED_VALUE"""),70.0)</f>
        <v>70</v>
      </c>
      <c r="Y1139" s="217"/>
      <c r="Z1139" s="217"/>
      <c r="AA1139" s="481"/>
      <c r="AB1139" s="481">
        <f>IFERROR(__xludf.DUMMYFUNCTION("""COMPUTED_VALUE"""),63.0)</f>
        <v>63</v>
      </c>
      <c r="AC1139" s="481">
        <f>IFERROR(__xludf.DUMMYFUNCTION("""COMPUTED_VALUE"""),63.0)</f>
        <v>63</v>
      </c>
      <c r="AD1139" s="481"/>
      <c r="AE1139" s="481">
        <f>IFERROR(__xludf.DUMMYFUNCTION("""COMPUTED_VALUE"""),60.0)</f>
        <v>60</v>
      </c>
      <c r="AF1139" s="481"/>
      <c r="AG1139" s="481"/>
      <c r="AH1139" s="481">
        <f>IFERROR(__xludf.DUMMYFUNCTION("""COMPUTED_VALUE"""),49.0)</f>
        <v>49</v>
      </c>
      <c r="AI1139" s="158"/>
      <c r="AJ1139" s="158"/>
      <c r="AK1139" s="133">
        <f>IFERROR(__xludf.DUMMYFUNCTION("""COMPUTED_VALUE"""),0.0)</f>
        <v>0</v>
      </c>
      <c r="AL1139" s="133">
        <f>IFERROR(__xludf.DUMMYFUNCTION("""COMPUTED_VALUE"""),0.0)</f>
        <v>0</v>
      </c>
      <c r="AM1139" s="133">
        <f>IFERROR(__xludf.DUMMYFUNCTION("""COMPUTED_VALUE"""),0.0)</f>
        <v>0</v>
      </c>
      <c r="AN1139" s="133" t="str">
        <f>IFERROR(__xludf.DUMMYFUNCTION("""COMPUTED_VALUE"""),"3")</f>
        <v>3</v>
      </c>
      <c r="AO1139" s="133">
        <f>IFERROR(__xludf.DUMMYFUNCTION("""COMPUTED_VALUE"""),3.0)</f>
        <v>3</v>
      </c>
      <c r="AP1139" s="155" t="s">
        <v>3736</v>
      </c>
    </row>
    <row r="1140">
      <c r="A1140" s="155">
        <f>IFERROR(__xludf.DUMMYFUNCTION("""COMPUTED_VALUE"""),247.0)</f>
        <v>247</v>
      </c>
      <c r="B1140" s="155" t="str">
        <f>IFERROR(__xludf.DUMMYFUNCTION("""COMPUTED_VALUE"""),"chaithra.ece24le@cmrit.ac.in")</f>
        <v>chaithra.ece24le@cmrit.ac.in</v>
      </c>
      <c r="C1140" s="174" t="str">
        <f>IFERROR(__xludf.DUMMYFUNCTION("""COMPUTED_VALUE"""),"Chaithra B B")</f>
        <v>Chaithra B B</v>
      </c>
      <c r="D1140" s="155" t="str">
        <f>IFERROR(__xludf.DUMMYFUNCTION("""COMPUTED_VALUE"""),"1CR24EC403")</f>
        <v>1CR24EC403</v>
      </c>
      <c r="E1140" s="563">
        <f>IFERROR(__xludf.DUMMYFUNCTION("""COMPUTED_VALUE"""),9.741213534E9)</f>
        <v>9741213534</v>
      </c>
      <c r="F1140" s="155" t="str">
        <f>IFERROR(__xludf.DUMMYFUNCTION("""COMPUTED_VALUE"""),"ECE")</f>
        <v>ECE</v>
      </c>
      <c r="G1140" s="158"/>
      <c r="H1140" s="559">
        <f>IFERROR(__xludf.DUMMYFUNCTION("""COMPUTED_VALUE"""),70.0)</f>
        <v>70</v>
      </c>
      <c r="I1140" s="559">
        <f>IFERROR(__xludf.DUMMYFUNCTION("""COMPUTED_VALUE"""),70.0)</f>
        <v>70</v>
      </c>
      <c r="J1140" s="559">
        <f>IFERROR(__xludf.DUMMYFUNCTION("""COMPUTED_VALUE"""),70.0)</f>
        <v>70</v>
      </c>
      <c r="K1140" s="559">
        <f>IFERROR(__xludf.DUMMYFUNCTION("""COMPUTED_VALUE"""),70.0)</f>
        <v>70</v>
      </c>
      <c r="L1140" s="560">
        <f>IFERROR(__xludf.DUMMYFUNCTION("""COMPUTED_VALUE"""),3.0)</f>
        <v>3</v>
      </c>
      <c r="M1140" s="561">
        <f>IFERROR(__xludf.DUMMYFUNCTION("""COMPUTED_VALUE"""),50.0)</f>
        <v>50</v>
      </c>
      <c r="N1140" s="561">
        <f>IFERROR(__xludf.DUMMYFUNCTION("""COMPUTED_VALUE"""),12.0)</f>
        <v>12</v>
      </c>
      <c r="O1140" s="560"/>
      <c r="P1140" s="562">
        <f>IFERROR(__xludf.DUMMYFUNCTION("""COMPUTED_VALUE"""),0.0)</f>
        <v>0</v>
      </c>
      <c r="Q1140" s="562">
        <f>IFERROR(__xludf.DUMMYFUNCTION("""COMPUTED_VALUE"""),56.0)</f>
        <v>56</v>
      </c>
      <c r="R1140" s="562">
        <f>IFERROR(__xludf.DUMMYFUNCTION("""COMPUTED_VALUE"""),60.0)</f>
        <v>60</v>
      </c>
      <c r="S1140" s="562"/>
      <c r="T1140" s="217"/>
      <c r="U1140" s="217"/>
      <c r="V1140" s="217">
        <f>IFERROR(__xludf.DUMMYFUNCTION("""COMPUTED_VALUE"""),32.0)</f>
        <v>32</v>
      </c>
      <c r="W1140" s="217">
        <f>IFERROR(__xludf.DUMMYFUNCTION("""COMPUTED_VALUE"""),82.0)</f>
        <v>82</v>
      </c>
      <c r="X1140" s="217">
        <f>IFERROR(__xludf.DUMMYFUNCTION("""COMPUTED_VALUE"""),80.0)</f>
        <v>80</v>
      </c>
      <c r="Y1140" s="217"/>
      <c r="Z1140" s="217"/>
      <c r="AA1140" s="481"/>
      <c r="AB1140" s="481">
        <f>IFERROR(__xludf.DUMMYFUNCTION("""COMPUTED_VALUE"""),100.0)</f>
        <v>100</v>
      </c>
      <c r="AC1140" s="481">
        <f>IFERROR(__xludf.DUMMYFUNCTION("""COMPUTED_VALUE"""),100.0)</f>
        <v>100</v>
      </c>
      <c r="AD1140" s="481"/>
      <c r="AE1140" s="481">
        <f>IFERROR(__xludf.DUMMYFUNCTION("""COMPUTED_VALUE"""),11.0)</f>
        <v>11</v>
      </c>
      <c r="AF1140" s="481"/>
      <c r="AG1140" s="481">
        <f>IFERROR(__xludf.DUMMYFUNCTION("""COMPUTED_VALUE"""),81.0)</f>
        <v>81</v>
      </c>
      <c r="AH1140" s="481"/>
      <c r="AI1140" s="158"/>
      <c r="AJ1140" s="158"/>
      <c r="AK1140" s="133">
        <f>IFERROR(__xludf.DUMMYFUNCTION("""COMPUTED_VALUE"""),4.0)</f>
        <v>4</v>
      </c>
      <c r="AL1140" s="133">
        <f>IFERROR(__xludf.DUMMYFUNCTION("""COMPUTED_VALUE"""),0.0)</f>
        <v>0</v>
      </c>
      <c r="AM1140" s="133">
        <f>IFERROR(__xludf.DUMMYFUNCTION("""COMPUTED_VALUE"""),0.0)</f>
        <v>0</v>
      </c>
      <c r="AN1140" s="133" t="str">
        <f>IFERROR(__xludf.DUMMYFUNCTION("""COMPUTED_VALUE"""),"3")</f>
        <v>3</v>
      </c>
      <c r="AO1140" s="133">
        <f>IFERROR(__xludf.DUMMYFUNCTION("""COMPUTED_VALUE"""),0.0)</f>
        <v>0</v>
      </c>
      <c r="AP1140" s="155" t="s">
        <v>3736</v>
      </c>
    </row>
    <row r="1141">
      <c r="A1141" s="155">
        <f>IFERROR(__xludf.DUMMYFUNCTION("""COMPUTED_VALUE"""),248.0)</f>
        <v>248</v>
      </c>
      <c r="B1141" s="155" t="str">
        <f>IFERROR(__xludf.DUMMYFUNCTION("""COMPUTED_VALUE"""),"chethan.ece24le@cmrit.ac.in")</f>
        <v>chethan.ece24le@cmrit.ac.in</v>
      </c>
      <c r="C1141" s="174" t="str">
        <f>IFERROR(__xludf.DUMMYFUNCTION("""COMPUTED_VALUE"""),"Chethan D R")</f>
        <v>Chethan D R</v>
      </c>
      <c r="D1141" s="155" t="str">
        <f>IFERROR(__xludf.DUMMYFUNCTION("""COMPUTED_VALUE"""),"1CR24EC404")</f>
        <v>1CR24EC404</v>
      </c>
      <c r="E1141" s="563">
        <f>IFERROR(__xludf.DUMMYFUNCTION("""COMPUTED_VALUE"""),8.496807726E9)</f>
        <v>8496807726</v>
      </c>
      <c r="F1141" s="155" t="str">
        <f>IFERROR(__xludf.DUMMYFUNCTION("""COMPUTED_VALUE"""),"ECE")</f>
        <v>ECE</v>
      </c>
      <c r="G1141" s="158"/>
      <c r="H1141" s="559">
        <f>IFERROR(__xludf.DUMMYFUNCTION("""COMPUTED_VALUE"""),70.0)</f>
        <v>70</v>
      </c>
      <c r="I1141" s="559">
        <f>IFERROR(__xludf.DUMMYFUNCTION("""COMPUTED_VALUE"""),70.0)</f>
        <v>70</v>
      </c>
      <c r="J1141" s="559">
        <f>IFERROR(__xludf.DUMMYFUNCTION("""COMPUTED_VALUE"""),70.0)</f>
        <v>70</v>
      </c>
      <c r="K1141" s="559">
        <f>IFERROR(__xludf.DUMMYFUNCTION("""COMPUTED_VALUE"""),70.0)</f>
        <v>70</v>
      </c>
      <c r="L1141" s="560">
        <f>IFERROR(__xludf.DUMMYFUNCTION("""COMPUTED_VALUE"""),17.0)</f>
        <v>17</v>
      </c>
      <c r="M1141" s="561">
        <f>IFERROR(__xludf.DUMMYFUNCTION("""COMPUTED_VALUE"""),0.0)</f>
        <v>0</v>
      </c>
      <c r="N1141" s="561">
        <f>IFERROR(__xludf.DUMMYFUNCTION("""COMPUTED_VALUE"""),31.0)</f>
        <v>31</v>
      </c>
      <c r="O1141" s="560"/>
      <c r="P1141" s="562">
        <f>IFERROR(__xludf.DUMMYFUNCTION("""COMPUTED_VALUE"""),0.0)</f>
        <v>0</v>
      </c>
      <c r="Q1141" s="562">
        <f>IFERROR(__xludf.DUMMYFUNCTION("""COMPUTED_VALUE"""),56.0)</f>
        <v>56</v>
      </c>
      <c r="R1141" s="562">
        <f>IFERROR(__xludf.DUMMYFUNCTION("""COMPUTED_VALUE"""),85.0)</f>
        <v>85</v>
      </c>
      <c r="S1141" s="562"/>
      <c r="T1141" s="217"/>
      <c r="U1141" s="217"/>
      <c r="V1141" s="217">
        <f>IFERROR(__xludf.DUMMYFUNCTION("""COMPUTED_VALUE"""),54.0)</f>
        <v>54</v>
      </c>
      <c r="W1141" s="217">
        <f>IFERROR(__xludf.DUMMYFUNCTION("""COMPUTED_VALUE"""),82.0)</f>
        <v>82</v>
      </c>
      <c r="X1141" s="217">
        <f>IFERROR(__xludf.DUMMYFUNCTION("""COMPUTED_VALUE"""),68.0)</f>
        <v>68</v>
      </c>
      <c r="Y1141" s="217"/>
      <c r="Z1141" s="217"/>
      <c r="AA1141" s="481"/>
      <c r="AB1141" s="481">
        <f>IFERROR(__xludf.DUMMYFUNCTION("""COMPUTED_VALUE"""),70.0)</f>
        <v>70</v>
      </c>
      <c r="AC1141" s="481">
        <f>IFERROR(__xludf.DUMMYFUNCTION("""COMPUTED_VALUE"""),70.0)</f>
        <v>70</v>
      </c>
      <c r="AD1141" s="481"/>
      <c r="AE1141" s="481">
        <f>IFERROR(__xludf.DUMMYFUNCTION("""COMPUTED_VALUE"""),12.0)</f>
        <v>12</v>
      </c>
      <c r="AF1141" s="481"/>
      <c r="AG1141" s="481"/>
      <c r="AH1141" s="481">
        <f>IFERROR(__xludf.DUMMYFUNCTION("""COMPUTED_VALUE"""),32.0)</f>
        <v>32</v>
      </c>
      <c r="AI1141" s="158"/>
      <c r="AJ1141" s="158"/>
      <c r="AK1141" s="133">
        <f>IFERROR(__xludf.DUMMYFUNCTION("""COMPUTED_VALUE"""),4.0)</f>
        <v>4</v>
      </c>
      <c r="AL1141" s="133">
        <f>IFERROR(__xludf.DUMMYFUNCTION("""COMPUTED_VALUE"""),0.0)</f>
        <v>0</v>
      </c>
      <c r="AM1141" s="133">
        <f>IFERROR(__xludf.DUMMYFUNCTION("""COMPUTED_VALUE"""),0.0)</f>
        <v>0</v>
      </c>
      <c r="AN1141" s="133" t="str">
        <f>IFERROR(__xludf.DUMMYFUNCTION("""COMPUTED_VALUE"""),"3")</f>
        <v>3</v>
      </c>
      <c r="AO1141" s="133">
        <f>IFERROR(__xludf.DUMMYFUNCTION("""COMPUTED_VALUE"""),0.0)</f>
        <v>0</v>
      </c>
      <c r="AP1141" s="155" t="s">
        <v>3736</v>
      </c>
    </row>
    <row r="1142">
      <c r="A1142" s="155">
        <f>IFERROR(__xludf.DUMMYFUNCTION("""COMPUTED_VALUE"""),249.0)</f>
        <v>249</v>
      </c>
      <c r="B1142" s="155" t="str">
        <f>IFERROR(__xludf.DUMMYFUNCTION("""COMPUTED_VALUE"""),"darshan.ece24le@cmrit.ac.in")</f>
        <v>darshan.ece24le@cmrit.ac.in</v>
      </c>
      <c r="C1142" s="174" t="str">
        <f>IFERROR(__xludf.DUMMYFUNCTION("""COMPUTED_VALUE"""),"Darshan B V")</f>
        <v>Darshan B V</v>
      </c>
      <c r="D1142" s="155" t="str">
        <f>IFERROR(__xludf.DUMMYFUNCTION("""COMPUTED_VALUE"""),"1CR24EC405")</f>
        <v>1CR24EC405</v>
      </c>
      <c r="E1142" s="563">
        <f>IFERROR(__xludf.DUMMYFUNCTION("""COMPUTED_VALUE"""),9.35329719E9)</f>
        <v>9353297190</v>
      </c>
      <c r="F1142" s="155" t="str">
        <f>IFERROR(__xludf.DUMMYFUNCTION("""COMPUTED_VALUE"""),"ECE")</f>
        <v>ECE</v>
      </c>
      <c r="G1142" s="158"/>
      <c r="H1142" s="559">
        <f>IFERROR(__xludf.DUMMYFUNCTION("""COMPUTED_VALUE"""),70.0)</f>
        <v>70</v>
      </c>
      <c r="I1142" s="559">
        <f>IFERROR(__xludf.DUMMYFUNCTION("""COMPUTED_VALUE"""),70.0)</f>
        <v>70</v>
      </c>
      <c r="J1142" s="559">
        <f>IFERROR(__xludf.DUMMYFUNCTION("""COMPUTED_VALUE"""),53.0)</f>
        <v>53</v>
      </c>
      <c r="K1142" s="559">
        <f>IFERROR(__xludf.DUMMYFUNCTION("""COMPUTED_VALUE"""),81.0)</f>
        <v>81</v>
      </c>
      <c r="L1142" s="560">
        <f>IFERROR(__xludf.DUMMYFUNCTION("""COMPUTED_VALUE"""),0.0)</f>
        <v>0</v>
      </c>
      <c r="M1142" s="561">
        <f>IFERROR(__xludf.DUMMYFUNCTION("""COMPUTED_VALUE"""),50.0)</f>
        <v>50</v>
      </c>
      <c r="N1142" s="561">
        <f>IFERROR(__xludf.DUMMYFUNCTION("""COMPUTED_VALUE"""),50.0)</f>
        <v>50</v>
      </c>
      <c r="O1142" s="560"/>
      <c r="P1142" s="562">
        <f>IFERROR(__xludf.DUMMYFUNCTION("""COMPUTED_VALUE"""),50.0)</f>
        <v>50</v>
      </c>
      <c r="Q1142" s="562">
        <f>IFERROR(__xludf.DUMMYFUNCTION("""COMPUTED_VALUE"""),0.0)</f>
        <v>0</v>
      </c>
      <c r="R1142" s="562">
        <f>IFERROR(__xludf.DUMMYFUNCTION("""COMPUTED_VALUE"""),24.0)</f>
        <v>24</v>
      </c>
      <c r="S1142" s="562"/>
      <c r="T1142" s="217"/>
      <c r="U1142" s="217"/>
      <c r="V1142" s="217">
        <f>IFERROR(__xludf.DUMMYFUNCTION("""COMPUTED_VALUE"""),12.0)</f>
        <v>12</v>
      </c>
      <c r="W1142" s="217">
        <f>IFERROR(__xludf.DUMMYFUNCTION("""COMPUTED_VALUE"""),80.0)</f>
        <v>80</v>
      </c>
      <c r="X1142" s="217">
        <f>IFERROR(__xludf.DUMMYFUNCTION("""COMPUTED_VALUE"""),66.0)</f>
        <v>66</v>
      </c>
      <c r="Y1142" s="217"/>
      <c r="Z1142" s="217"/>
      <c r="AA1142" s="481"/>
      <c r="AB1142" s="481">
        <f>IFERROR(__xludf.DUMMYFUNCTION("""COMPUTED_VALUE"""),16.0)</f>
        <v>16</v>
      </c>
      <c r="AC1142" s="481">
        <f>IFERROR(__xludf.DUMMYFUNCTION("""COMPUTED_VALUE"""),16.0)</f>
        <v>16</v>
      </c>
      <c r="AD1142" s="481"/>
      <c r="AE1142" s="481">
        <f>IFERROR(__xludf.DUMMYFUNCTION("""COMPUTED_VALUE"""),16.0)</f>
        <v>16</v>
      </c>
      <c r="AF1142" s="481"/>
      <c r="AG1142" s="481"/>
      <c r="AH1142" s="481"/>
      <c r="AI1142" s="158"/>
      <c r="AJ1142" s="158"/>
      <c r="AK1142" s="133">
        <f>IFERROR(__xludf.DUMMYFUNCTION("""COMPUTED_VALUE"""),2.0)</f>
        <v>2</v>
      </c>
      <c r="AL1142" s="133">
        <f>IFERROR(__xludf.DUMMYFUNCTION("""COMPUTED_VALUE"""),0.0)</f>
        <v>0</v>
      </c>
      <c r="AM1142" s="133">
        <f>IFERROR(__xludf.DUMMYFUNCTION("""COMPUTED_VALUE"""),0.0)</f>
        <v>0</v>
      </c>
      <c r="AN1142" s="133" t="str">
        <f>IFERROR(__xludf.DUMMYFUNCTION("""COMPUTED_VALUE"""),"0")</f>
        <v>0</v>
      </c>
      <c r="AO1142" s="133">
        <f>IFERROR(__xludf.DUMMYFUNCTION("""COMPUTED_VALUE"""),1.0)</f>
        <v>1</v>
      </c>
      <c r="AP1142" s="155" t="s">
        <v>3736</v>
      </c>
    </row>
    <row r="1143">
      <c r="A1143" s="155">
        <f>IFERROR(__xludf.DUMMYFUNCTION("""COMPUTED_VALUE"""),250.0)</f>
        <v>250</v>
      </c>
      <c r="B1143" s="155" t="str">
        <f>IFERROR(__xludf.DUMMYFUNCTION("""COMPUTED_VALUE"""),"dhanunjay.ece24le@cmrit.ac.in")</f>
        <v>dhanunjay.ece24le@cmrit.ac.in</v>
      </c>
      <c r="C1143" s="174" t="str">
        <f>IFERROR(__xludf.DUMMYFUNCTION("""COMPUTED_VALUE"""),"Dhanunjay K")</f>
        <v>Dhanunjay K</v>
      </c>
      <c r="D1143" s="155" t="str">
        <f>IFERROR(__xludf.DUMMYFUNCTION("""COMPUTED_VALUE"""),"1CR24EC406")</f>
        <v>1CR24EC406</v>
      </c>
      <c r="E1143" s="563">
        <f>IFERROR(__xludf.DUMMYFUNCTION("""COMPUTED_VALUE"""),9.110613949E9)</f>
        <v>9110613949</v>
      </c>
      <c r="F1143" s="155" t="str">
        <f>IFERROR(__xludf.DUMMYFUNCTION("""COMPUTED_VALUE"""),"ECE")</f>
        <v>ECE</v>
      </c>
      <c r="G1143" s="158"/>
      <c r="H1143" s="559">
        <f>IFERROR(__xludf.DUMMYFUNCTION("""COMPUTED_VALUE"""),70.0)</f>
        <v>70</v>
      </c>
      <c r="I1143" s="559">
        <f>IFERROR(__xludf.DUMMYFUNCTION("""COMPUTED_VALUE"""),70.0)</f>
        <v>70</v>
      </c>
      <c r="J1143" s="559">
        <f>IFERROR(__xludf.DUMMYFUNCTION("""COMPUTED_VALUE"""),71.0)</f>
        <v>71</v>
      </c>
      <c r="K1143" s="559">
        <f>IFERROR(__xludf.DUMMYFUNCTION("""COMPUTED_VALUE"""),82.0)</f>
        <v>82</v>
      </c>
      <c r="L1143" s="560">
        <f>IFERROR(__xludf.DUMMYFUNCTION("""COMPUTED_VALUE"""),28.0)</f>
        <v>28</v>
      </c>
      <c r="M1143" s="561">
        <f>IFERROR(__xludf.DUMMYFUNCTION("""COMPUTED_VALUE"""),50.0)</f>
        <v>50</v>
      </c>
      <c r="N1143" s="561">
        <f>IFERROR(__xludf.DUMMYFUNCTION("""COMPUTED_VALUE"""),47.0)</f>
        <v>47</v>
      </c>
      <c r="O1143" s="560"/>
      <c r="P1143" s="562">
        <f>IFERROR(__xludf.DUMMYFUNCTION("""COMPUTED_VALUE"""),50.0)</f>
        <v>50</v>
      </c>
      <c r="Q1143" s="562">
        <f>IFERROR(__xludf.DUMMYFUNCTION("""COMPUTED_VALUE"""),81.0)</f>
        <v>81</v>
      </c>
      <c r="R1143" s="562">
        <f>IFERROR(__xludf.DUMMYFUNCTION("""COMPUTED_VALUE"""),87.0)</f>
        <v>87</v>
      </c>
      <c r="S1143" s="562"/>
      <c r="T1143" s="217"/>
      <c r="U1143" s="217"/>
      <c r="V1143" s="217">
        <f>IFERROR(__xludf.DUMMYFUNCTION("""COMPUTED_VALUE"""),28.0)</f>
        <v>28</v>
      </c>
      <c r="W1143" s="217">
        <f>IFERROR(__xludf.DUMMYFUNCTION("""COMPUTED_VALUE"""),74.0)</f>
        <v>74</v>
      </c>
      <c r="X1143" s="217">
        <f>IFERROR(__xludf.DUMMYFUNCTION("""COMPUTED_VALUE"""),60.0)</f>
        <v>60</v>
      </c>
      <c r="Y1143" s="217"/>
      <c r="Z1143" s="217"/>
      <c r="AA1143" s="481"/>
      <c r="AB1143" s="481">
        <f>IFERROR(__xludf.DUMMYFUNCTION("""COMPUTED_VALUE"""),10.0)</f>
        <v>10</v>
      </c>
      <c r="AC1143" s="481">
        <f>IFERROR(__xludf.DUMMYFUNCTION("""COMPUTED_VALUE"""),10.0)</f>
        <v>10</v>
      </c>
      <c r="AD1143" s="481"/>
      <c r="AE1143" s="481">
        <f>IFERROR(__xludf.DUMMYFUNCTION("""COMPUTED_VALUE"""),70.0)</f>
        <v>70</v>
      </c>
      <c r="AF1143" s="481"/>
      <c r="AG1143" s="481">
        <f>IFERROR(__xludf.DUMMYFUNCTION("""COMPUTED_VALUE"""),72.0)</f>
        <v>72</v>
      </c>
      <c r="AH1143" s="481"/>
      <c r="AI1143" s="158"/>
      <c r="AJ1143" s="158"/>
      <c r="AK1143" s="133">
        <f>IFERROR(__xludf.DUMMYFUNCTION("""COMPUTED_VALUE"""),4.0)</f>
        <v>4</v>
      </c>
      <c r="AL1143" s="133">
        <f>IFERROR(__xludf.DUMMYFUNCTION("""COMPUTED_VALUE"""),0.0)</f>
        <v>0</v>
      </c>
      <c r="AM1143" s="133">
        <f>IFERROR(__xludf.DUMMYFUNCTION("""COMPUTED_VALUE"""),0.0)</f>
        <v>0</v>
      </c>
      <c r="AN1143" s="133" t="str">
        <f>IFERROR(__xludf.DUMMYFUNCTION("""COMPUTED_VALUE"""),"0")</f>
        <v>0</v>
      </c>
      <c r="AO1143" s="133">
        <f>IFERROR(__xludf.DUMMYFUNCTION("""COMPUTED_VALUE"""),3.0)</f>
        <v>3</v>
      </c>
      <c r="AP1143" s="155" t="s">
        <v>3736</v>
      </c>
    </row>
    <row r="1144">
      <c r="A1144" s="155">
        <f>IFERROR(__xludf.DUMMYFUNCTION("""COMPUTED_VALUE"""),251.0)</f>
        <v>251</v>
      </c>
      <c r="B1144" s="155" t="str">
        <f>IFERROR(__xludf.DUMMYFUNCTION("""COMPUTED_VALUE"""),"divya.ece24le@cmrit.ac.in")</f>
        <v>divya.ece24le@cmrit.ac.in</v>
      </c>
      <c r="C1144" s="174" t="str">
        <f>IFERROR(__xludf.DUMMYFUNCTION("""COMPUTED_VALUE"""),"DIVYA.N")</f>
        <v>DIVYA.N</v>
      </c>
      <c r="D1144" s="155" t="str">
        <f>IFERROR(__xludf.DUMMYFUNCTION("""COMPUTED_VALUE"""),"1CR24EC407")</f>
        <v>1CR24EC407</v>
      </c>
      <c r="E1144" s="563">
        <f>IFERROR(__xludf.DUMMYFUNCTION("""COMPUTED_VALUE"""),6.362020969E9)</f>
        <v>6362020969</v>
      </c>
      <c r="F1144" s="155" t="str">
        <f>IFERROR(__xludf.DUMMYFUNCTION("""COMPUTED_VALUE"""),"ECE")</f>
        <v>ECE</v>
      </c>
      <c r="G1144" s="158"/>
      <c r="H1144" s="559">
        <f>IFERROR(__xludf.DUMMYFUNCTION("""COMPUTED_VALUE"""),70.0)</f>
        <v>70</v>
      </c>
      <c r="I1144" s="559">
        <f>IFERROR(__xludf.DUMMYFUNCTION("""COMPUTED_VALUE"""),70.0)</f>
        <v>70</v>
      </c>
      <c r="J1144" s="559">
        <f>IFERROR(__xludf.DUMMYFUNCTION("""COMPUTED_VALUE"""),70.0)</f>
        <v>70</v>
      </c>
      <c r="K1144" s="559">
        <f>IFERROR(__xludf.DUMMYFUNCTION("""COMPUTED_VALUE"""),70.0)</f>
        <v>70</v>
      </c>
      <c r="L1144" s="560">
        <f>IFERROR(__xludf.DUMMYFUNCTION("""COMPUTED_VALUE"""),0.0)</f>
        <v>0</v>
      </c>
      <c r="M1144" s="561">
        <f>IFERROR(__xludf.DUMMYFUNCTION("""COMPUTED_VALUE"""),3.0)</f>
        <v>3</v>
      </c>
      <c r="N1144" s="561">
        <f>IFERROR(__xludf.DUMMYFUNCTION("""COMPUTED_VALUE"""),11.0)</f>
        <v>11</v>
      </c>
      <c r="O1144" s="560"/>
      <c r="P1144" s="562">
        <f>IFERROR(__xludf.DUMMYFUNCTION("""COMPUTED_VALUE"""),0.0)</f>
        <v>0</v>
      </c>
      <c r="Q1144" s="562">
        <f>IFERROR(__xludf.DUMMYFUNCTION("""COMPUTED_VALUE"""),50.0)</f>
        <v>50</v>
      </c>
      <c r="R1144" s="562">
        <f>IFERROR(__xludf.DUMMYFUNCTION("""COMPUTED_VALUE"""),0.0)</f>
        <v>0</v>
      </c>
      <c r="S1144" s="562"/>
      <c r="T1144" s="217"/>
      <c r="U1144" s="217"/>
      <c r="V1144" s="217">
        <f>IFERROR(__xludf.DUMMYFUNCTION("""COMPUTED_VALUE"""),48.0)</f>
        <v>48</v>
      </c>
      <c r="W1144" s="217">
        <f>IFERROR(__xludf.DUMMYFUNCTION("""COMPUTED_VALUE"""),78.0)</f>
        <v>78</v>
      </c>
      <c r="X1144" s="217">
        <f>IFERROR(__xludf.DUMMYFUNCTION("""COMPUTED_VALUE"""),32.0)</f>
        <v>32</v>
      </c>
      <c r="Y1144" s="217"/>
      <c r="Z1144" s="217"/>
      <c r="AA1144" s="481"/>
      <c r="AB1144" s="481">
        <f>IFERROR(__xludf.DUMMYFUNCTION("""COMPUTED_VALUE"""),0.0)</f>
        <v>0</v>
      </c>
      <c r="AC1144" s="481">
        <f>IFERROR(__xludf.DUMMYFUNCTION("""COMPUTED_VALUE"""),0.0)</f>
        <v>0</v>
      </c>
      <c r="AD1144" s="481"/>
      <c r="AE1144" s="481">
        <f>IFERROR(__xludf.DUMMYFUNCTION("""COMPUTED_VALUE"""),10.0)</f>
        <v>10</v>
      </c>
      <c r="AF1144" s="481"/>
      <c r="AG1144" s="481"/>
      <c r="AH1144" s="481">
        <f>IFERROR(__xludf.DUMMYFUNCTION("""COMPUTED_VALUE"""),15.0)</f>
        <v>15</v>
      </c>
      <c r="AI1144" s="158"/>
      <c r="AJ1144" s="158"/>
      <c r="AK1144" s="133">
        <f>IFERROR(__xludf.DUMMYFUNCTION("""COMPUTED_VALUE"""),4.0)</f>
        <v>4</v>
      </c>
      <c r="AL1144" s="133">
        <f>IFERROR(__xludf.DUMMYFUNCTION("""COMPUTED_VALUE"""),0.0)</f>
        <v>0</v>
      </c>
      <c r="AM1144" s="133">
        <f>IFERROR(__xludf.DUMMYFUNCTION("""COMPUTED_VALUE"""),0.0)</f>
        <v>0</v>
      </c>
      <c r="AN1144" s="133" t="str">
        <f>IFERROR(__xludf.DUMMYFUNCTION("""COMPUTED_VALUE"""),"0")</f>
        <v>0</v>
      </c>
      <c r="AO1144" s="133">
        <f>IFERROR(__xludf.DUMMYFUNCTION("""COMPUTED_VALUE"""),0.0)</f>
        <v>0</v>
      </c>
      <c r="AP1144" s="155" t="s">
        <v>3736</v>
      </c>
    </row>
    <row r="1145">
      <c r="A1145" s="155">
        <f>IFERROR(__xludf.DUMMYFUNCTION("""COMPUTED_VALUE"""),252.0)</f>
        <v>252</v>
      </c>
      <c r="B1145" s="155" t="str">
        <f>IFERROR(__xludf.DUMMYFUNCTION("""COMPUTED_VALUE"""),"geetha.ece24le@cmrit.ac.in")</f>
        <v>geetha.ece24le@cmrit.ac.in</v>
      </c>
      <c r="C1145" s="174" t="str">
        <f>IFERROR(__xludf.DUMMYFUNCTION("""COMPUTED_VALUE"""),"GEETHA H")</f>
        <v>GEETHA H</v>
      </c>
      <c r="D1145" s="155" t="str">
        <f>IFERROR(__xludf.DUMMYFUNCTION("""COMPUTED_VALUE"""),"1CR24EC408")</f>
        <v>1CR24EC408</v>
      </c>
      <c r="E1145" s="563">
        <f>IFERROR(__xludf.DUMMYFUNCTION("""COMPUTED_VALUE"""),8.951712736E9)</f>
        <v>8951712736</v>
      </c>
      <c r="F1145" s="155" t="str">
        <f>IFERROR(__xludf.DUMMYFUNCTION("""COMPUTED_VALUE"""),"ECE")</f>
        <v>ECE</v>
      </c>
      <c r="G1145" s="158"/>
      <c r="H1145" s="559">
        <f>IFERROR(__xludf.DUMMYFUNCTION("""COMPUTED_VALUE"""),70.0)</f>
        <v>70</v>
      </c>
      <c r="I1145" s="559">
        <f>IFERROR(__xludf.DUMMYFUNCTION("""COMPUTED_VALUE"""),70.0)</f>
        <v>70</v>
      </c>
      <c r="J1145" s="559">
        <f>IFERROR(__xludf.DUMMYFUNCTION("""COMPUTED_VALUE"""),70.0)</f>
        <v>70</v>
      </c>
      <c r="K1145" s="559">
        <f>IFERROR(__xludf.DUMMYFUNCTION("""COMPUTED_VALUE"""),70.0)</f>
        <v>70</v>
      </c>
      <c r="L1145" s="560">
        <f>IFERROR(__xludf.DUMMYFUNCTION("""COMPUTED_VALUE"""),0.0)</f>
        <v>0</v>
      </c>
      <c r="M1145" s="561">
        <f>IFERROR(__xludf.DUMMYFUNCTION("""COMPUTED_VALUE"""),50.0)</f>
        <v>50</v>
      </c>
      <c r="N1145" s="561">
        <f>IFERROR(__xludf.DUMMYFUNCTION("""COMPUTED_VALUE"""),16.0)</f>
        <v>16</v>
      </c>
      <c r="O1145" s="560"/>
      <c r="P1145" s="562">
        <f>IFERROR(__xludf.DUMMYFUNCTION("""COMPUTED_VALUE"""),0.0)</f>
        <v>0</v>
      </c>
      <c r="Q1145" s="562">
        <f>IFERROR(__xludf.DUMMYFUNCTION("""COMPUTED_VALUE"""),56.0)</f>
        <v>56</v>
      </c>
      <c r="R1145" s="562">
        <f>IFERROR(__xludf.DUMMYFUNCTION("""COMPUTED_VALUE"""),84.0)</f>
        <v>84</v>
      </c>
      <c r="S1145" s="562"/>
      <c r="T1145" s="217"/>
      <c r="U1145" s="217"/>
      <c r="V1145" s="217">
        <f>IFERROR(__xludf.DUMMYFUNCTION("""COMPUTED_VALUE"""),46.0)</f>
        <v>46</v>
      </c>
      <c r="W1145" s="217">
        <f>IFERROR(__xludf.DUMMYFUNCTION("""COMPUTED_VALUE"""),86.0)</f>
        <v>86</v>
      </c>
      <c r="X1145" s="217">
        <f>IFERROR(__xludf.DUMMYFUNCTION("""COMPUTED_VALUE"""),80.0)</f>
        <v>80</v>
      </c>
      <c r="Y1145" s="217"/>
      <c r="Z1145" s="217"/>
      <c r="AA1145" s="481"/>
      <c r="AB1145" s="481">
        <f>IFERROR(__xludf.DUMMYFUNCTION("""COMPUTED_VALUE"""),100.0)</f>
        <v>100</v>
      </c>
      <c r="AC1145" s="481">
        <f>IFERROR(__xludf.DUMMYFUNCTION("""COMPUTED_VALUE"""),100.0)</f>
        <v>100</v>
      </c>
      <c r="AD1145" s="481"/>
      <c r="AE1145" s="481">
        <f>IFERROR(__xludf.DUMMYFUNCTION("""COMPUTED_VALUE"""),12.0)</f>
        <v>12</v>
      </c>
      <c r="AF1145" s="481"/>
      <c r="AG1145" s="481">
        <f>IFERROR(__xludf.DUMMYFUNCTION("""COMPUTED_VALUE"""),75.0)</f>
        <v>75</v>
      </c>
      <c r="AH1145" s="481"/>
      <c r="AI1145" s="158"/>
      <c r="AJ1145" s="158"/>
      <c r="AK1145" s="133">
        <f>IFERROR(__xludf.DUMMYFUNCTION("""COMPUTED_VALUE"""),4.0)</f>
        <v>4</v>
      </c>
      <c r="AL1145" s="133">
        <f>IFERROR(__xludf.DUMMYFUNCTION("""COMPUTED_VALUE"""),0.0)</f>
        <v>0</v>
      </c>
      <c r="AM1145" s="133">
        <f>IFERROR(__xludf.DUMMYFUNCTION("""COMPUTED_VALUE"""),0.0)</f>
        <v>0</v>
      </c>
      <c r="AN1145" s="133" t="str">
        <f>IFERROR(__xludf.DUMMYFUNCTION("""COMPUTED_VALUE"""),"3")</f>
        <v>3</v>
      </c>
      <c r="AO1145" s="133">
        <f>IFERROR(__xludf.DUMMYFUNCTION("""COMPUTED_VALUE"""),0.0)</f>
        <v>0</v>
      </c>
      <c r="AP1145" s="155" t="s">
        <v>3736</v>
      </c>
    </row>
    <row r="1146">
      <c r="A1146" s="155">
        <f>IFERROR(__xludf.DUMMYFUNCTION("""COMPUTED_VALUE"""),253.0)</f>
        <v>253</v>
      </c>
      <c r="B1146" s="155" t="str">
        <f>IFERROR(__xludf.DUMMYFUNCTION("""COMPUTED_VALUE"""),"gokul.ece24le@cmrit.ac.in")</f>
        <v>gokul.ece24le@cmrit.ac.in</v>
      </c>
      <c r="C1146" s="174" t="str">
        <f>IFERROR(__xludf.DUMMYFUNCTION("""COMPUTED_VALUE"""),"GOKUL U")</f>
        <v>GOKUL U</v>
      </c>
      <c r="D1146" s="155" t="str">
        <f>IFERROR(__xludf.DUMMYFUNCTION("""COMPUTED_VALUE"""),"1CR24EC409")</f>
        <v>1CR24EC409</v>
      </c>
      <c r="E1146" s="563">
        <f>IFERROR(__xludf.DUMMYFUNCTION("""COMPUTED_VALUE"""),7.483112327E9)</f>
        <v>7483112327</v>
      </c>
      <c r="F1146" s="155" t="str">
        <f>IFERROR(__xludf.DUMMYFUNCTION("""COMPUTED_VALUE"""),"ECE")</f>
        <v>ECE</v>
      </c>
      <c r="G1146" s="158"/>
      <c r="H1146" s="559">
        <f>IFERROR(__xludf.DUMMYFUNCTION("""COMPUTED_VALUE"""),76.0)</f>
        <v>76</v>
      </c>
      <c r="I1146" s="559">
        <f>IFERROR(__xludf.DUMMYFUNCTION("""COMPUTED_VALUE"""),76.0)</f>
        <v>76</v>
      </c>
      <c r="J1146" s="559">
        <f>IFERROR(__xludf.DUMMYFUNCTION("""COMPUTED_VALUE"""),70.0)</f>
        <v>70</v>
      </c>
      <c r="K1146" s="559">
        <f>IFERROR(__xludf.DUMMYFUNCTION("""COMPUTED_VALUE"""),79.0)</f>
        <v>79</v>
      </c>
      <c r="L1146" s="560">
        <f>IFERROR(__xludf.DUMMYFUNCTION("""COMPUTED_VALUE"""),15.0)</f>
        <v>15</v>
      </c>
      <c r="M1146" s="561">
        <f>IFERROR(__xludf.DUMMYFUNCTION("""COMPUTED_VALUE"""),20.0)</f>
        <v>20</v>
      </c>
      <c r="N1146" s="561">
        <f>IFERROR(__xludf.DUMMYFUNCTION("""COMPUTED_VALUE"""),50.0)</f>
        <v>50</v>
      </c>
      <c r="O1146" s="560"/>
      <c r="P1146" s="562">
        <f>IFERROR(__xludf.DUMMYFUNCTION("""COMPUTED_VALUE"""),50.0)</f>
        <v>50</v>
      </c>
      <c r="Q1146" s="562">
        <f>IFERROR(__xludf.DUMMYFUNCTION("""COMPUTED_VALUE"""),0.0)</f>
        <v>0</v>
      </c>
      <c r="R1146" s="562">
        <f>IFERROR(__xludf.DUMMYFUNCTION("""COMPUTED_VALUE"""),0.0)</f>
        <v>0</v>
      </c>
      <c r="S1146" s="562"/>
      <c r="T1146" s="217"/>
      <c r="U1146" s="217"/>
      <c r="V1146" s="217">
        <f>IFERROR(__xludf.DUMMYFUNCTION("""COMPUTED_VALUE"""),22.0)</f>
        <v>22</v>
      </c>
      <c r="W1146" s="217">
        <f>IFERROR(__xludf.DUMMYFUNCTION("""COMPUTED_VALUE"""),82.0)</f>
        <v>82</v>
      </c>
      <c r="X1146" s="217">
        <f>IFERROR(__xludf.DUMMYFUNCTION("""COMPUTED_VALUE"""),68.0)</f>
        <v>68</v>
      </c>
      <c r="Y1146" s="217"/>
      <c r="Z1146" s="217"/>
      <c r="AA1146" s="481"/>
      <c r="AB1146" s="481">
        <f>IFERROR(__xludf.DUMMYFUNCTION("""COMPUTED_VALUE"""),3.0)</f>
        <v>3</v>
      </c>
      <c r="AC1146" s="481">
        <f>IFERROR(__xludf.DUMMYFUNCTION("""COMPUTED_VALUE"""),3.0)</f>
        <v>3</v>
      </c>
      <c r="AD1146" s="481"/>
      <c r="AE1146" s="481">
        <f>IFERROR(__xludf.DUMMYFUNCTION("""COMPUTED_VALUE"""),16.0)</f>
        <v>16</v>
      </c>
      <c r="AF1146" s="481"/>
      <c r="AG1146" s="481"/>
      <c r="AH1146" s="481"/>
      <c r="AI1146" s="158"/>
      <c r="AJ1146" s="158"/>
      <c r="AK1146" s="133">
        <f>IFERROR(__xludf.DUMMYFUNCTION("""COMPUTED_VALUE"""),4.0)</f>
        <v>4</v>
      </c>
      <c r="AL1146" s="133">
        <f>IFERROR(__xludf.DUMMYFUNCTION("""COMPUTED_VALUE"""),0.0)</f>
        <v>0</v>
      </c>
      <c r="AM1146" s="133">
        <f>IFERROR(__xludf.DUMMYFUNCTION("""COMPUTED_VALUE"""),0.0)</f>
        <v>0</v>
      </c>
      <c r="AN1146" s="133" t="str">
        <f>IFERROR(__xludf.DUMMYFUNCTION("""COMPUTED_VALUE"""),"0")</f>
        <v>0</v>
      </c>
      <c r="AO1146" s="133">
        <f>IFERROR(__xludf.DUMMYFUNCTION("""COMPUTED_VALUE"""),1.0)</f>
        <v>1</v>
      </c>
      <c r="AP1146" s="155" t="s">
        <v>3736</v>
      </c>
    </row>
    <row r="1147">
      <c r="A1147" s="155">
        <f>IFERROR(__xludf.DUMMYFUNCTION("""COMPUTED_VALUE"""),254.0)</f>
        <v>254</v>
      </c>
      <c r="B1147" s="155" t="str">
        <f>IFERROR(__xludf.DUMMYFUNCTION("""COMPUTED_VALUE"""),"jeevan.ece24le@cmrit.ac.in")</f>
        <v>jeevan.ece24le@cmrit.ac.in</v>
      </c>
      <c r="C1147" s="174" t="str">
        <f>IFERROR(__xludf.DUMMYFUNCTION("""COMPUTED_VALUE"""),"JEEVAN B.V")</f>
        <v>JEEVAN B.V</v>
      </c>
      <c r="D1147" s="155" t="str">
        <f>IFERROR(__xludf.DUMMYFUNCTION("""COMPUTED_VALUE"""),"1CR24EC410")</f>
        <v>1CR24EC410</v>
      </c>
      <c r="E1147" s="563"/>
      <c r="F1147" s="155" t="str">
        <f>IFERROR(__xludf.DUMMYFUNCTION("""COMPUTED_VALUE"""),"ECE")</f>
        <v>ECE</v>
      </c>
      <c r="G1147" s="158"/>
      <c r="H1147" s="559">
        <f>IFERROR(__xludf.DUMMYFUNCTION("""COMPUTED_VALUE"""),70.0)</f>
        <v>70</v>
      </c>
      <c r="I1147" s="559">
        <f>IFERROR(__xludf.DUMMYFUNCTION("""COMPUTED_VALUE"""),70.0)</f>
        <v>70</v>
      </c>
      <c r="J1147" s="559">
        <f>IFERROR(__xludf.DUMMYFUNCTION("""COMPUTED_VALUE"""),70.0)</f>
        <v>70</v>
      </c>
      <c r="K1147" s="559">
        <f>IFERROR(__xludf.DUMMYFUNCTION("""COMPUTED_VALUE"""),70.0)</f>
        <v>70</v>
      </c>
      <c r="L1147" s="560">
        <f>IFERROR(__xludf.DUMMYFUNCTION("""COMPUTED_VALUE"""),0.0)</f>
        <v>0</v>
      </c>
      <c r="M1147" s="561">
        <f>IFERROR(__xludf.DUMMYFUNCTION("""COMPUTED_VALUE"""),20.0)</f>
        <v>20</v>
      </c>
      <c r="N1147" s="561">
        <f>IFERROR(__xludf.DUMMYFUNCTION("""COMPUTED_VALUE"""),5.0)</f>
        <v>5</v>
      </c>
      <c r="O1147" s="560"/>
      <c r="P1147" s="562">
        <f>IFERROR(__xludf.DUMMYFUNCTION("""COMPUTED_VALUE"""),0.0)</f>
        <v>0</v>
      </c>
      <c r="Q1147" s="562">
        <f>IFERROR(__xludf.DUMMYFUNCTION("""COMPUTED_VALUE"""),56.0)</f>
        <v>56</v>
      </c>
      <c r="R1147" s="562">
        <f>IFERROR(__xludf.DUMMYFUNCTION("""COMPUTED_VALUE"""),80.0)</f>
        <v>80</v>
      </c>
      <c r="S1147" s="562"/>
      <c r="T1147" s="217"/>
      <c r="U1147" s="217"/>
      <c r="V1147" s="217">
        <f>IFERROR(__xludf.DUMMYFUNCTION("""COMPUTED_VALUE"""),60.0)</f>
        <v>60</v>
      </c>
      <c r="W1147" s="217">
        <f>IFERROR(__xludf.DUMMYFUNCTION("""COMPUTED_VALUE"""),82.0)</f>
        <v>82</v>
      </c>
      <c r="X1147" s="217">
        <f>IFERROR(__xludf.DUMMYFUNCTION("""COMPUTED_VALUE"""),82.0)</f>
        <v>82</v>
      </c>
      <c r="Y1147" s="217"/>
      <c r="Z1147" s="217"/>
      <c r="AA1147" s="481"/>
      <c r="AB1147" s="481">
        <f>IFERROR(__xludf.DUMMYFUNCTION("""COMPUTED_VALUE"""),100.0)</f>
        <v>100</v>
      </c>
      <c r="AC1147" s="481">
        <f>IFERROR(__xludf.DUMMYFUNCTION("""COMPUTED_VALUE"""),100.0)</f>
        <v>100</v>
      </c>
      <c r="AD1147" s="481"/>
      <c r="AE1147" s="481">
        <f>IFERROR(__xludf.DUMMYFUNCTION("""COMPUTED_VALUE"""),13.0)</f>
        <v>13</v>
      </c>
      <c r="AF1147" s="481"/>
      <c r="AG1147" s="481"/>
      <c r="AH1147" s="481">
        <f>IFERROR(__xludf.DUMMYFUNCTION("""COMPUTED_VALUE"""),35.0)</f>
        <v>35</v>
      </c>
      <c r="AI1147" s="158"/>
      <c r="AJ1147" s="158"/>
      <c r="AK1147" s="133">
        <f>IFERROR(__xludf.DUMMYFUNCTION("""COMPUTED_VALUE"""),4.0)</f>
        <v>4</v>
      </c>
      <c r="AL1147" s="133">
        <f>IFERROR(__xludf.DUMMYFUNCTION("""COMPUTED_VALUE"""),0.0)</f>
        <v>0</v>
      </c>
      <c r="AM1147" s="133">
        <f>IFERROR(__xludf.DUMMYFUNCTION("""COMPUTED_VALUE"""),0.0)</f>
        <v>0</v>
      </c>
      <c r="AN1147" s="133" t="str">
        <f>IFERROR(__xludf.DUMMYFUNCTION("""COMPUTED_VALUE"""),"3")</f>
        <v>3</v>
      </c>
      <c r="AO1147" s="133">
        <f>IFERROR(__xludf.DUMMYFUNCTION("""COMPUTED_VALUE"""),0.0)</f>
        <v>0</v>
      </c>
      <c r="AP1147" s="155" t="s">
        <v>3736</v>
      </c>
    </row>
    <row r="1148">
      <c r="A1148" s="155">
        <f>IFERROR(__xludf.DUMMYFUNCTION("""COMPUTED_VALUE"""),255.0)</f>
        <v>255</v>
      </c>
      <c r="B1148" s="155" t="str">
        <f>IFERROR(__xludf.DUMMYFUNCTION("""COMPUTED_VALUE"""),"kiran.ece24le@cmrit.ac.in")</f>
        <v>kiran.ece24le@cmrit.ac.in</v>
      </c>
      <c r="C1148" s="174" t="str">
        <f>IFERROR(__xludf.DUMMYFUNCTION("""COMPUTED_VALUE"""),"Kiran R")</f>
        <v>Kiran R</v>
      </c>
      <c r="D1148" s="155" t="str">
        <f>IFERROR(__xludf.DUMMYFUNCTION("""COMPUTED_VALUE"""),"1CR24EC411")</f>
        <v>1CR24EC411</v>
      </c>
      <c r="E1148" s="563">
        <f>IFERROR(__xludf.DUMMYFUNCTION("""COMPUTED_VALUE"""),8.197896756E9)</f>
        <v>8197896756</v>
      </c>
      <c r="F1148" s="155" t="str">
        <f>IFERROR(__xludf.DUMMYFUNCTION("""COMPUTED_VALUE"""),"ECE")</f>
        <v>ECE</v>
      </c>
      <c r="G1148" s="158"/>
      <c r="H1148" s="559">
        <f>IFERROR(__xludf.DUMMYFUNCTION("""COMPUTED_VALUE"""),84.0)</f>
        <v>84</v>
      </c>
      <c r="I1148" s="559">
        <f>IFERROR(__xludf.DUMMYFUNCTION("""COMPUTED_VALUE"""),76.0)</f>
        <v>76</v>
      </c>
      <c r="J1148" s="559">
        <f>IFERROR(__xludf.DUMMYFUNCTION("""COMPUTED_VALUE"""),53.0)</f>
        <v>53</v>
      </c>
      <c r="K1148" s="559">
        <f>IFERROR(__xludf.DUMMYFUNCTION("""COMPUTED_VALUE"""),70.0)</f>
        <v>70</v>
      </c>
      <c r="L1148" s="560">
        <f>IFERROR(__xludf.DUMMYFUNCTION("""COMPUTED_VALUE"""),13.0)</f>
        <v>13</v>
      </c>
      <c r="M1148" s="561">
        <f>IFERROR(__xludf.DUMMYFUNCTION("""COMPUTED_VALUE"""),8.0)</f>
        <v>8</v>
      </c>
      <c r="N1148" s="561">
        <f>IFERROR(__xludf.DUMMYFUNCTION("""COMPUTED_VALUE"""),31.0)</f>
        <v>31</v>
      </c>
      <c r="O1148" s="560"/>
      <c r="P1148" s="562">
        <f>IFERROR(__xludf.DUMMYFUNCTION("""COMPUTED_VALUE"""),0.0)</f>
        <v>0</v>
      </c>
      <c r="Q1148" s="562">
        <f>IFERROR(__xludf.DUMMYFUNCTION("""COMPUTED_VALUE"""),0.0)</f>
        <v>0</v>
      </c>
      <c r="R1148" s="562">
        <f>IFERROR(__xludf.DUMMYFUNCTION("""COMPUTED_VALUE"""),0.0)</f>
        <v>0</v>
      </c>
      <c r="S1148" s="562"/>
      <c r="T1148" s="217"/>
      <c r="U1148" s="217"/>
      <c r="V1148" s="217">
        <f>IFERROR(__xludf.DUMMYFUNCTION("""COMPUTED_VALUE"""),48.0)</f>
        <v>48</v>
      </c>
      <c r="W1148" s="217">
        <f>IFERROR(__xludf.DUMMYFUNCTION("""COMPUTED_VALUE"""),84.0)</f>
        <v>84</v>
      </c>
      <c r="X1148" s="217">
        <f>IFERROR(__xludf.DUMMYFUNCTION("""COMPUTED_VALUE"""),76.0)</f>
        <v>76</v>
      </c>
      <c r="Y1148" s="217"/>
      <c r="Z1148" s="217"/>
      <c r="AA1148" s="481"/>
      <c r="AB1148" s="481">
        <f>IFERROR(__xludf.DUMMYFUNCTION("""COMPUTED_VALUE"""),18.0)</f>
        <v>18</v>
      </c>
      <c r="AC1148" s="481">
        <f>IFERROR(__xludf.DUMMYFUNCTION("""COMPUTED_VALUE"""),18.0)</f>
        <v>18</v>
      </c>
      <c r="AD1148" s="481"/>
      <c r="AE1148" s="481">
        <f>IFERROR(__xludf.DUMMYFUNCTION("""COMPUTED_VALUE"""),10.0)</f>
        <v>10</v>
      </c>
      <c r="AF1148" s="481"/>
      <c r="AG1148" s="481"/>
      <c r="AH1148" s="481"/>
      <c r="AI1148" s="158"/>
      <c r="AJ1148" s="158"/>
      <c r="AK1148" s="133">
        <f>IFERROR(__xludf.DUMMYFUNCTION("""COMPUTED_VALUE"""),2.0)</f>
        <v>2</v>
      </c>
      <c r="AL1148" s="133">
        <f>IFERROR(__xludf.DUMMYFUNCTION("""COMPUTED_VALUE"""),0.0)</f>
        <v>0</v>
      </c>
      <c r="AM1148" s="133">
        <f>IFERROR(__xludf.DUMMYFUNCTION("""COMPUTED_VALUE"""),0.0)</f>
        <v>0</v>
      </c>
      <c r="AN1148" s="133" t="str">
        <f>IFERROR(__xludf.DUMMYFUNCTION("""COMPUTED_VALUE"""),"0")</f>
        <v>0</v>
      </c>
      <c r="AO1148" s="133">
        <f>IFERROR(__xludf.DUMMYFUNCTION("""COMPUTED_VALUE"""),0.0)</f>
        <v>0</v>
      </c>
      <c r="AP1148" s="155" t="s">
        <v>3736</v>
      </c>
    </row>
    <row r="1149">
      <c r="A1149" s="155">
        <f>IFERROR(__xludf.DUMMYFUNCTION("""COMPUTED_VALUE"""),256.0)</f>
        <v>256</v>
      </c>
      <c r="B1149" s="155" t="str">
        <f>IFERROR(__xludf.DUMMYFUNCTION("""COMPUTED_VALUE"""),"netravati.ece24le@cmrit.ac.in")</f>
        <v>netravati.ece24le@cmrit.ac.in</v>
      </c>
      <c r="C1149" s="174" t="str">
        <f>IFERROR(__xludf.DUMMYFUNCTION("""COMPUTED_VALUE"""),"Netravati Parashuram Sontakki")</f>
        <v>Netravati Parashuram Sontakki</v>
      </c>
      <c r="D1149" s="155" t="str">
        <f>IFERROR(__xludf.DUMMYFUNCTION("""COMPUTED_VALUE"""),"1CR24EC412")</f>
        <v>1CR24EC412</v>
      </c>
      <c r="E1149" s="563">
        <f>IFERROR(__xludf.DUMMYFUNCTION("""COMPUTED_VALUE"""),8.050134677E9)</f>
        <v>8050134677</v>
      </c>
      <c r="F1149" s="155" t="str">
        <f>IFERROR(__xludf.DUMMYFUNCTION("""COMPUTED_VALUE"""),"ECE")</f>
        <v>ECE</v>
      </c>
      <c r="G1149" s="158"/>
      <c r="H1149" s="559">
        <f>IFERROR(__xludf.DUMMYFUNCTION("""COMPUTED_VALUE"""),70.0)</f>
        <v>70</v>
      </c>
      <c r="I1149" s="559">
        <f>IFERROR(__xludf.DUMMYFUNCTION("""COMPUTED_VALUE"""),70.0)</f>
        <v>70</v>
      </c>
      <c r="J1149" s="559">
        <f>IFERROR(__xludf.DUMMYFUNCTION("""COMPUTED_VALUE"""),70.0)</f>
        <v>70</v>
      </c>
      <c r="K1149" s="559">
        <f>IFERROR(__xludf.DUMMYFUNCTION("""COMPUTED_VALUE"""),70.0)</f>
        <v>70</v>
      </c>
      <c r="L1149" s="560">
        <f>IFERROR(__xludf.DUMMYFUNCTION("""COMPUTED_VALUE"""),3.0)</f>
        <v>3</v>
      </c>
      <c r="M1149" s="561">
        <f>IFERROR(__xludf.DUMMYFUNCTION("""COMPUTED_VALUE"""),3.0)</f>
        <v>3</v>
      </c>
      <c r="N1149" s="561">
        <f>IFERROR(__xludf.DUMMYFUNCTION("""COMPUTED_VALUE"""),25.0)</f>
        <v>25</v>
      </c>
      <c r="O1149" s="560"/>
      <c r="P1149" s="562">
        <f>IFERROR(__xludf.DUMMYFUNCTION("""COMPUTED_VALUE"""),50.0)</f>
        <v>50</v>
      </c>
      <c r="Q1149" s="562">
        <f>IFERROR(__xludf.DUMMYFUNCTION("""COMPUTED_VALUE"""),74.0)</f>
        <v>74</v>
      </c>
      <c r="R1149" s="562">
        <f>IFERROR(__xludf.DUMMYFUNCTION("""COMPUTED_VALUE"""),72.0)</f>
        <v>72</v>
      </c>
      <c r="S1149" s="562"/>
      <c r="T1149" s="217"/>
      <c r="U1149" s="217"/>
      <c r="V1149" s="217">
        <f>IFERROR(__xludf.DUMMYFUNCTION("""COMPUTED_VALUE"""),40.0)</f>
        <v>40</v>
      </c>
      <c r="W1149" s="217">
        <f>IFERROR(__xludf.DUMMYFUNCTION("""COMPUTED_VALUE"""),78.0)</f>
        <v>78</v>
      </c>
      <c r="X1149" s="217">
        <f>IFERROR(__xludf.DUMMYFUNCTION("""COMPUTED_VALUE"""),74.0)</f>
        <v>74</v>
      </c>
      <c r="Y1149" s="217"/>
      <c r="Z1149" s="217"/>
      <c r="AA1149" s="481"/>
      <c r="AB1149" s="481">
        <f>IFERROR(__xludf.DUMMYFUNCTION("""COMPUTED_VALUE"""),90.0)</f>
        <v>90</v>
      </c>
      <c r="AC1149" s="481">
        <f>IFERROR(__xludf.DUMMYFUNCTION("""COMPUTED_VALUE"""),90.0)</f>
        <v>90</v>
      </c>
      <c r="AD1149" s="481"/>
      <c r="AE1149" s="481">
        <f>IFERROR(__xludf.DUMMYFUNCTION("""COMPUTED_VALUE"""),70.0)</f>
        <v>70</v>
      </c>
      <c r="AF1149" s="481"/>
      <c r="AG1149" s="481">
        <f>IFERROR(__xludf.DUMMYFUNCTION("""COMPUTED_VALUE"""),71.0)</f>
        <v>71</v>
      </c>
      <c r="AH1149" s="481"/>
      <c r="AI1149" s="158"/>
      <c r="AJ1149" s="158"/>
      <c r="AK1149" s="133">
        <f>IFERROR(__xludf.DUMMYFUNCTION("""COMPUTED_VALUE"""),4.0)</f>
        <v>4</v>
      </c>
      <c r="AL1149" s="133">
        <f>IFERROR(__xludf.DUMMYFUNCTION("""COMPUTED_VALUE"""),0.0)</f>
        <v>0</v>
      </c>
      <c r="AM1149" s="133">
        <f>IFERROR(__xludf.DUMMYFUNCTION("""COMPUTED_VALUE"""),0.0)</f>
        <v>0</v>
      </c>
      <c r="AN1149" s="133" t="str">
        <f>IFERROR(__xludf.DUMMYFUNCTION("""COMPUTED_VALUE"""),"3.5")</f>
        <v>3.5</v>
      </c>
      <c r="AO1149" s="133">
        <f>IFERROR(__xludf.DUMMYFUNCTION("""COMPUTED_VALUE"""),3.0)</f>
        <v>3</v>
      </c>
      <c r="AP1149" s="155" t="s">
        <v>3736</v>
      </c>
    </row>
    <row r="1150">
      <c r="A1150" s="155">
        <f>IFERROR(__xludf.DUMMYFUNCTION("""COMPUTED_VALUE"""),257.0)</f>
        <v>257</v>
      </c>
      <c r="B1150" s="155" t="str">
        <f>IFERROR(__xludf.DUMMYFUNCTION("""COMPUTED_VALUE"""),"nithina.ece24le@cmrit.ac.in")</f>
        <v>nithina.ece24le@cmrit.ac.in</v>
      </c>
      <c r="C1150" s="174" t="str">
        <f>IFERROR(__xludf.DUMMYFUNCTION("""COMPUTED_VALUE"""),"Nithina")</f>
        <v>Nithina</v>
      </c>
      <c r="D1150" s="155" t="str">
        <f>IFERROR(__xludf.DUMMYFUNCTION("""COMPUTED_VALUE"""),"1CR24EC413")</f>
        <v>1CR24EC413</v>
      </c>
      <c r="E1150" s="563">
        <f>IFERROR(__xludf.DUMMYFUNCTION("""COMPUTED_VALUE"""),9.980943512E9)</f>
        <v>9980943512</v>
      </c>
      <c r="F1150" s="155" t="str">
        <f>IFERROR(__xludf.DUMMYFUNCTION("""COMPUTED_VALUE"""),"ECE")</f>
        <v>ECE</v>
      </c>
      <c r="G1150" s="158"/>
      <c r="H1150" s="559">
        <f>IFERROR(__xludf.DUMMYFUNCTION("""COMPUTED_VALUE"""),70.0)</f>
        <v>70</v>
      </c>
      <c r="I1150" s="559">
        <f>IFERROR(__xludf.DUMMYFUNCTION("""COMPUTED_VALUE"""),70.0)</f>
        <v>70</v>
      </c>
      <c r="J1150" s="559">
        <f>IFERROR(__xludf.DUMMYFUNCTION("""COMPUTED_VALUE"""),70.0)</f>
        <v>70</v>
      </c>
      <c r="K1150" s="559">
        <f>IFERROR(__xludf.DUMMYFUNCTION("""COMPUTED_VALUE"""),70.0)</f>
        <v>70</v>
      </c>
      <c r="L1150" s="560">
        <f>IFERROR(__xludf.DUMMYFUNCTION("""COMPUTED_VALUE"""),17.0)</f>
        <v>17</v>
      </c>
      <c r="M1150" s="561">
        <f>IFERROR(__xludf.DUMMYFUNCTION("""COMPUTED_VALUE"""),0.0)</f>
        <v>0</v>
      </c>
      <c r="N1150" s="561">
        <f>IFERROR(__xludf.DUMMYFUNCTION("""COMPUTED_VALUE"""),0.0)</f>
        <v>0</v>
      </c>
      <c r="O1150" s="560"/>
      <c r="P1150" s="562">
        <f>IFERROR(__xludf.DUMMYFUNCTION("""COMPUTED_VALUE"""),50.0)</f>
        <v>50</v>
      </c>
      <c r="Q1150" s="562">
        <f>IFERROR(__xludf.DUMMYFUNCTION("""COMPUTED_VALUE"""),0.0)</f>
        <v>0</v>
      </c>
      <c r="R1150" s="562">
        <f>IFERROR(__xludf.DUMMYFUNCTION("""COMPUTED_VALUE"""),47.0)</f>
        <v>47</v>
      </c>
      <c r="S1150" s="562"/>
      <c r="T1150" s="217"/>
      <c r="U1150" s="217"/>
      <c r="V1150" s="217">
        <f>IFERROR(__xludf.DUMMYFUNCTION("""COMPUTED_VALUE"""),40.0)</f>
        <v>40</v>
      </c>
      <c r="W1150" s="217">
        <f>IFERROR(__xludf.DUMMYFUNCTION("""COMPUTED_VALUE"""),78.0)</f>
        <v>78</v>
      </c>
      <c r="X1150" s="217">
        <f>IFERROR(__xludf.DUMMYFUNCTION("""COMPUTED_VALUE"""),74.0)</f>
        <v>74</v>
      </c>
      <c r="Y1150" s="217"/>
      <c r="Z1150" s="217"/>
      <c r="AA1150" s="481"/>
      <c r="AB1150" s="481">
        <f>IFERROR(__xludf.DUMMYFUNCTION("""COMPUTED_VALUE"""),90.0)</f>
        <v>90</v>
      </c>
      <c r="AC1150" s="481">
        <f>IFERROR(__xludf.DUMMYFUNCTION("""COMPUTED_VALUE"""),90.0)</f>
        <v>90</v>
      </c>
      <c r="AD1150" s="481"/>
      <c r="AE1150" s="481">
        <f>IFERROR(__xludf.DUMMYFUNCTION("""COMPUTED_VALUE"""),70.0)</f>
        <v>70</v>
      </c>
      <c r="AF1150" s="481"/>
      <c r="AG1150" s="481"/>
      <c r="AH1150" s="481"/>
      <c r="AI1150" s="158"/>
      <c r="AJ1150" s="158"/>
      <c r="AK1150" s="133">
        <f>IFERROR(__xludf.DUMMYFUNCTION("""COMPUTED_VALUE"""),4.0)</f>
        <v>4</v>
      </c>
      <c r="AL1150" s="133">
        <f>IFERROR(__xludf.DUMMYFUNCTION("""COMPUTED_VALUE"""),0.0)</f>
        <v>0</v>
      </c>
      <c r="AM1150" s="133">
        <f>IFERROR(__xludf.DUMMYFUNCTION("""COMPUTED_VALUE"""),0.0)</f>
        <v>0</v>
      </c>
      <c r="AN1150" s="133" t="str">
        <f>IFERROR(__xludf.DUMMYFUNCTION("""COMPUTED_VALUE"""),"3.5")</f>
        <v>3.5</v>
      </c>
      <c r="AO1150" s="133">
        <f>IFERROR(__xludf.DUMMYFUNCTION("""COMPUTED_VALUE"""),1.0)</f>
        <v>1</v>
      </c>
      <c r="AP1150" s="155" t="s">
        <v>3736</v>
      </c>
    </row>
    <row r="1151">
      <c r="A1151" s="155">
        <f>IFERROR(__xludf.DUMMYFUNCTION("""COMPUTED_VALUE"""),258.0)</f>
        <v>258</v>
      </c>
      <c r="B1151" s="155" t="str">
        <f>IFERROR(__xludf.DUMMYFUNCTION("""COMPUTED_VALUE"""),"prashant.ece24le@cmrit.ac.in")</f>
        <v>prashant.ece24le@cmrit.ac.in</v>
      </c>
      <c r="C1151" s="174" t="str">
        <f>IFERROR(__xludf.DUMMYFUNCTION("""COMPUTED_VALUE"""),"PRASHANT MENI")</f>
        <v>PRASHANT MENI</v>
      </c>
      <c r="D1151" s="155" t="str">
        <f>IFERROR(__xludf.DUMMYFUNCTION("""COMPUTED_VALUE"""),"1CR24EC414")</f>
        <v>1CR24EC414</v>
      </c>
      <c r="E1151" s="563">
        <f>IFERROR(__xludf.DUMMYFUNCTION("""COMPUTED_VALUE"""),8.088917722E9)</f>
        <v>8088917722</v>
      </c>
      <c r="F1151" s="155" t="str">
        <f>IFERROR(__xludf.DUMMYFUNCTION("""COMPUTED_VALUE"""),"ECE")</f>
        <v>ECE</v>
      </c>
      <c r="G1151" s="158"/>
      <c r="H1151" s="559">
        <f>IFERROR(__xludf.DUMMYFUNCTION("""COMPUTED_VALUE"""),70.0)</f>
        <v>70</v>
      </c>
      <c r="I1151" s="559">
        <f>IFERROR(__xludf.DUMMYFUNCTION("""COMPUTED_VALUE"""),72.0)</f>
        <v>72</v>
      </c>
      <c r="J1151" s="559">
        <f>IFERROR(__xludf.DUMMYFUNCTION("""COMPUTED_VALUE"""),70.0)</f>
        <v>70</v>
      </c>
      <c r="K1151" s="559">
        <f>IFERROR(__xludf.DUMMYFUNCTION("""COMPUTED_VALUE"""),70.0)</f>
        <v>70</v>
      </c>
      <c r="L1151" s="560">
        <f>IFERROR(__xludf.DUMMYFUNCTION("""COMPUTED_VALUE"""),15.0)</f>
        <v>15</v>
      </c>
      <c r="M1151" s="561">
        <f>IFERROR(__xludf.DUMMYFUNCTION("""COMPUTED_VALUE"""),7.0)</f>
        <v>7</v>
      </c>
      <c r="N1151" s="561">
        <f>IFERROR(__xludf.DUMMYFUNCTION("""COMPUTED_VALUE"""),55.0)</f>
        <v>55</v>
      </c>
      <c r="O1151" s="560"/>
      <c r="P1151" s="562">
        <f>IFERROR(__xludf.DUMMYFUNCTION("""COMPUTED_VALUE"""),0.0)</f>
        <v>0</v>
      </c>
      <c r="Q1151" s="562">
        <f>IFERROR(__xludf.DUMMYFUNCTION("""COMPUTED_VALUE"""),50.0)</f>
        <v>50</v>
      </c>
      <c r="R1151" s="562">
        <f>IFERROR(__xludf.DUMMYFUNCTION("""COMPUTED_VALUE"""),85.0)</f>
        <v>85</v>
      </c>
      <c r="S1151" s="562"/>
      <c r="T1151" s="217"/>
      <c r="U1151" s="217"/>
      <c r="V1151" s="217">
        <f>IFERROR(__xludf.DUMMYFUNCTION("""COMPUTED_VALUE"""),50.0)</f>
        <v>50</v>
      </c>
      <c r="W1151" s="217">
        <f>IFERROR(__xludf.DUMMYFUNCTION("""COMPUTED_VALUE"""),84.0)</f>
        <v>84</v>
      </c>
      <c r="X1151" s="217">
        <f>IFERROR(__xludf.DUMMYFUNCTION("""COMPUTED_VALUE"""),74.0)</f>
        <v>74</v>
      </c>
      <c r="Y1151" s="217"/>
      <c r="Z1151" s="217"/>
      <c r="AA1151" s="481"/>
      <c r="AB1151" s="481">
        <f>IFERROR(__xludf.DUMMYFUNCTION("""COMPUTED_VALUE"""),100.0)</f>
        <v>100</v>
      </c>
      <c r="AC1151" s="481">
        <f>IFERROR(__xludf.DUMMYFUNCTION("""COMPUTED_VALUE"""),100.0)</f>
        <v>100</v>
      </c>
      <c r="AD1151" s="481"/>
      <c r="AE1151" s="481">
        <f>IFERROR(__xludf.DUMMYFUNCTION("""COMPUTED_VALUE"""),35.0)</f>
        <v>35</v>
      </c>
      <c r="AF1151" s="481"/>
      <c r="AG1151" s="481"/>
      <c r="AH1151" s="481">
        <f>IFERROR(__xludf.DUMMYFUNCTION("""COMPUTED_VALUE"""),25.0)</f>
        <v>25</v>
      </c>
      <c r="AI1151" s="158"/>
      <c r="AJ1151" s="158"/>
      <c r="AK1151" s="133">
        <f>IFERROR(__xludf.DUMMYFUNCTION("""COMPUTED_VALUE"""),4.0)</f>
        <v>4</v>
      </c>
      <c r="AL1151" s="133">
        <f>IFERROR(__xludf.DUMMYFUNCTION("""COMPUTED_VALUE"""),0.0)</f>
        <v>0</v>
      </c>
      <c r="AM1151" s="133">
        <f>IFERROR(__xludf.DUMMYFUNCTION("""COMPUTED_VALUE"""),0.0)</f>
        <v>0</v>
      </c>
      <c r="AN1151" s="133" t="str">
        <f>IFERROR(__xludf.DUMMYFUNCTION("""COMPUTED_VALUE"""),"3")</f>
        <v>3</v>
      </c>
      <c r="AO1151" s="133">
        <f>IFERROR(__xludf.DUMMYFUNCTION("""COMPUTED_VALUE"""),0.0)</f>
        <v>0</v>
      </c>
      <c r="AP1151" s="155" t="s">
        <v>3736</v>
      </c>
    </row>
    <row r="1152">
      <c r="A1152" s="155">
        <f>IFERROR(__xludf.DUMMYFUNCTION("""COMPUTED_VALUE"""),259.0)</f>
        <v>259</v>
      </c>
      <c r="B1152" s="155" t="str">
        <f>IFERROR(__xludf.DUMMYFUNCTION("""COMPUTED_VALUE"""),"ranjithkumar.ece24le@cmrit.ac.in")</f>
        <v>ranjithkumar.ece24le@cmrit.ac.in</v>
      </c>
      <c r="C1152" s="174" t="str">
        <f>IFERROR(__xludf.DUMMYFUNCTION("""COMPUTED_VALUE"""),"RANJITH KUMAR V")</f>
        <v>RANJITH KUMAR V</v>
      </c>
      <c r="D1152" s="155" t="str">
        <f>IFERROR(__xludf.DUMMYFUNCTION("""COMPUTED_VALUE"""),"1CR24EC415")</f>
        <v>1CR24EC415</v>
      </c>
      <c r="E1152" s="563">
        <f>IFERROR(__xludf.DUMMYFUNCTION("""COMPUTED_VALUE"""),9.035726955E9)</f>
        <v>9035726955</v>
      </c>
      <c r="F1152" s="155" t="str">
        <f>IFERROR(__xludf.DUMMYFUNCTION("""COMPUTED_VALUE"""),"ECE")</f>
        <v>ECE</v>
      </c>
      <c r="G1152" s="158"/>
      <c r="H1152" s="559">
        <f>IFERROR(__xludf.DUMMYFUNCTION("""COMPUTED_VALUE"""),80.0)</f>
        <v>80</v>
      </c>
      <c r="I1152" s="559">
        <f>IFERROR(__xludf.DUMMYFUNCTION("""COMPUTED_VALUE"""),76.0)</f>
        <v>76</v>
      </c>
      <c r="J1152" s="559">
        <f>IFERROR(__xludf.DUMMYFUNCTION("""COMPUTED_VALUE"""),0.0)</f>
        <v>0</v>
      </c>
      <c r="K1152" s="559">
        <f>IFERROR(__xludf.DUMMYFUNCTION("""COMPUTED_VALUE"""),0.0)</f>
        <v>0</v>
      </c>
      <c r="L1152" s="560">
        <f>IFERROR(__xludf.DUMMYFUNCTION("""COMPUTED_VALUE"""),7.0)</f>
        <v>7</v>
      </c>
      <c r="M1152" s="561">
        <f>IFERROR(__xludf.DUMMYFUNCTION("""COMPUTED_VALUE"""),15.0)</f>
        <v>15</v>
      </c>
      <c r="N1152" s="561">
        <f>IFERROR(__xludf.DUMMYFUNCTION("""COMPUTED_VALUE"""),3.0)</f>
        <v>3</v>
      </c>
      <c r="O1152" s="560"/>
      <c r="P1152" s="562">
        <f>IFERROR(__xludf.DUMMYFUNCTION("""COMPUTED_VALUE"""),0.0)</f>
        <v>0</v>
      </c>
      <c r="Q1152" s="562">
        <f>IFERROR(__xludf.DUMMYFUNCTION("""COMPUTED_VALUE"""),0.0)</f>
        <v>0</v>
      </c>
      <c r="R1152" s="562">
        <f>IFERROR(__xludf.DUMMYFUNCTION("""COMPUTED_VALUE"""),0.0)</f>
        <v>0</v>
      </c>
      <c r="S1152" s="562"/>
      <c r="T1152" s="217"/>
      <c r="U1152" s="217"/>
      <c r="V1152" s="217">
        <f>IFERROR(__xludf.DUMMYFUNCTION("""COMPUTED_VALUE"""),44.0)</f>
        <v>44</v>
      </c>
      <c r="W1152" s="217">
        <f>IFERROR(__xludf.DUMMYFUNCTION("""COMPUTED_VALUE"""),58.0)</f>
        <v>58</v>
      </c>
      <c r="X1152" s="217">
        <f>IFERROR(__xludf.DUMMYFUNCTION("""COMPUTED_VALUE"""),76.0)</f>
        <v>76</v>
      </c>
      <c r="Y1152" s="217"/>
      <c r="Z1152" s="217"/>
      <c r="AA1152" s="481"/>
      <c r="AB1152" s="481">
        <f>IFERROR(__xludf.DUMMYFUNCTION("""COMPUTED_VALUE"""),0.0)</f>
        <v>0</v>
      </c>
      <c r="AC1152" s="481">
        <f>IFERROR(__xludf.DUMMYFUNCTION("""COMPUTED_VALUE"""),0.0)</f>
        <v>0</v>
      </c>
      <c r="AD1152" s="481"/>
      <c r="AE1152" s="481">
        <f>IFERROR(__xludf.DUMMYFUNCTION("""COMPUTED_VALUE"""),10.0)</f>
        <v>10</v>
      </c>
      <c r="AF1152" s="481"/>
      <c r="AG1152" s="481"/>
      <c r="AH1152" s="481"/>
      <c r="AI1152" s="158"/>
      <c r="AJ1152" s="158"/>
      <c r="AK1152" s="133">
        <f>IFERROR(__xludf.DUMMYFUNCTION("""COMPUTED_VALUE"""),2.0)</f>
        <v>2</v>
      </c>
      <c r="AL1152" s="133">
        <f>IFERROR(__xludf.DUMMYFUNCTION("""COMPUTED_VALUE"""),0.0)</f>
        <v>0</v>
      </c>
      <c r="AM1152" s="133">
        <f>IFERROR(__xludf.DUMMYFUNCTION("""COMPUTED_VALUE"""),0.0)</f>
        <v>0</v>
      </c>
      <c r="AN1152" s="133" t="str">
        <f>IFERROR(__xludf.DUMMYFUNCTION("""COMPUTED_VALUE"""),"0")</f>
        <v>0</v>
      </c>
      <c r="AO1152" s="133">
        <f>IFERROR(__xludf.DUMMYFUNCTION("""COMPUTED_VALUE"""),0.0)</f>
        <v>0</v>
      </c>
      <c r="AP1152" s="155" t="s">
        <v>3736</v>
      </c>
    </row>
    <row r="1153">
      <c r="A1153" s="155">
        <f>IFERROR(__xludf.DUMMYFUNCTION("""COMPUTED_VALUE"""),260.0)</f>
        <v>260</v>
      </c>
      <c r="B1153" s="155" t="str">
        <f>IFERROR(__xludf.DUMMYFUNCTION("""COMPUTED_VALUE"""),"saishjagadish.ece24le@cmrit.ac.in")</f>
        <v>saishjagadish.ece24le@cmrit.ac.in</v>
      </c>
      <c r="C1153" s="174" t="str">
        <f>IFERROR(__xludf.DUMMYFUNCTION("""COMPUTED_VALUE"""),"Saish Jagadish Upase")</f>
        <v>Saish Jagadish Upase</v>
      </c>
      <c r="D1153" s="155" t="str">
        <f>IFERROR(__xludf.DUMMYFUNCTION("""COMPUTED_VALUE"""),"1CR24EC416")</f>
        <v>1CR24EC416</v>
      </c>
      <c r="E1153" s="563">
        <f>IFERROR(__xludf.DUMMYFUNCTION("""COMPUTED_VALUE"""),8.971413777E9)</f>
        <v>8971413777</v>
      </c>
      <c r="F1153" s="155" t="str">
        <f>IFERROR(__xludf.DUMMYFUNCTION("""COMPUTED_VALUE"""),"ECE")</f>
        <v>ECE</v>
      </c>
      <c r="G1153" s="158"/>
      <c r="H1153" s="559">
        <f>IFERROR(__xludf.DUMMYFUNCTION("""COMPUTED_VALUE"""),70.0)</f>
        <v>70</v>
      </c>
      <c r="I1153" s="559">
        <f>IFERROR(__xludf.DUMMYFUNCTION("""COMPUTED_VALUE"""),72.0)</f>
        <v>72</v>
      </c>
      <c r="J1153" s="559">
        <f>IFERROR(__xludf.DUMMYFUNCTION("""COMPUTED_VALUE"""),70.0)</f>
        <v>70</v>
      </c>
      <c r="K1153" s="559">
        <f>IFERROR(__xludf.DUMMYFUNCTION("""COMPUTED_VALUE"""),70.0)</f>
        <v>70</v>
      </c>
      <c r="L1153" s="560">
        <f>IFERROR(__xludf.DUMMYFUNCTION("""COMPUTED_VALUE"""),4.0)</f>
        <v>4</v>
      </c>
      <c r="M1153" s="561">
        <f>IFERROR(__xludf.DUMMYFUNCTION("""COMPUTED_VALUE"""),7.0)</f>
        <v>7</v>
      </c>
      <c r="N1153" s="561">
        <f>IFERROR(__xludf.DUMMYFUNCTION("""COMPUTED_VALUE"""),52.0)</f>
        <v>52</v>
      </c>
      <c r="O1153" s="560"/>
      <c r="P1153" s="562">
        <f>IFERROR(__xludf.DUMMYFUNCTION("""COMPUTED_VALUE"""),50.0)</f>
        <v>50</v>
      </c>
      <c r="Q1153" s="562">
        <f>IFERROR(__xludf.DUMMYFUNCTION("""COMPUTED_VALUE"""),74.0)</f>
        <v>74</v>
      </c>
      <c r="R1153" s="562">
        <f>IFERROR(__xludf.DUMMYFUNCTION("""COMPUTED_VALUE"""),50.0)</f>
        <v>50</v>
      </c>
      <c r="S1153" s="562"/>
      <c r="T1153" s="217"/>
      <c r="U1153" s="217"/>
      <c r="V1153" s="217">
        <f>IFERROR(__xludf.DUMMYFUNCTION("""COMPUTED_VALUE"""),40.0)</f>
        <v>40</v>
      </c>
      <c r="W1153" s="217">
        <f>IFERROR(__xludf.DUMMYFUNCTION("""COMPUTED_VALUE"""),76.0)</f>
        <v>76</v>
      </c>
      <c r="X1153" s="217">
        <f>IFERROR(__xludf.DUMMYFUNCTION("""COMPUTED_VALUE"""),80.0)</f>
        <v>80</v>
      </c>
      <c r="Y1153" s="217"/>
      <c r="Z1153" s="217"/>
      <c r="AA1153" s="481"/>
      <c r="AB1153" s="481">
        <f>IFERROR(__xludf.DUMMYFUNCTION("""COMPUTED_VALUE"""),73.0)</f>
        <v>73</v>
      </c>
      <c r="AC1153" s="481">
        <f>IFERROR(__xludf.DUMMYFUNCTION("""COMPUTED_VALUE"""),73.0)</f>
        <v>73</v>
      </c>
      <c r="AD1153" s="481"/>
      <c r="AE1153" s="481">
        <f>IFERROR(__xludf.DUMMYFUNCTION("""COMPUTED_VALUE"""),77.0)</f>
        <v>77</v>
      </c>
      <c r="AF1153" s="481"/>
      <c r="AG1153" s="481"/>
      <c r="AH1153" s="481">
        <f>IFERROR(__xludf.DUMMYFUNCTION("""COMPUTED_VALUE"""),19.0)</f>
        <v>19</v>
      </c>
      <c r="AI1153" s="158"/>
      <c r="AJ1153" s="158"/>
      <c r="AK1153" s="133">
        <f>IFERROR(__xludf.DUMMYFUNCTION("""COMPUTED_VALUE"""),4.0)</f>
        <v>4</v>
      </c>
      <c r="AL1153" s="133">
        <f>IFERROR(__xludf.DUMMYFUNCTION("""COMPUTED_VALUE"""),0.0)</f>
        <v>0</v>
      </c>
      <c r="AM1153" s="133">
        <f>IFERROR(__xludf.DUMMYFUNCTION("""COMPUTED_VALUE"""),0.0)</f>
        <v>0</v>
      </c>
      <c r="AN1153" s="133" t="str">
        <f>IFERROR(__xludf.DUMMYFUNCTION("""COMPUTED_VALUE"""),"3.5")</f>
        <v>3.5</v>
      </c>
      <c r="AO1153" s="133">
        <f>IFERROR(__xludf.DUMMYFUNCTION("""COMPUTED_VALUE"""),3.0)</f>
        <v>3</v>
      </c>
      <c r="AP1153" s="155" t="s">
        <v>3736</v>
      </c>
    </row>
    <row r="1154">
      <c r="A1154" s="155">
        <f>IFERROR(__xludf.DUMMYFUNCTION("""COMPUTED_VALUE"""),261.0)</f>
        <v>261</v>
      </c>
      <c r="B1154" s="155" t="str">
        <f>IFERROR(__xludf.DUMMYFUNCTION("""COMPUTED_VALUE"""),"shashank.ece24le@cmrit.ac.in")</f>
        <v>shashank.ece24le@cmrit.ac.in</v>
      </c>
      <c r="C1154" s="174" t="str">
        <f>IFERROR(__xludf.DUMMYFUNCTION("""COMPUTED_VALUE"""),"SHASHANK Y")</f>
        <v>SHASHANK Y</v>
      </c>
      <c r="D1154" s="155" t="str">
        <f>IFERROR(__xludf.DUMMYFUNCTION("""COMPUTED_VALUE"""),"1CR24EC417")</f>
        <v>1CR24EC417</v>
      </c>
      <c r="E1154" s="563">
        <f>IFERROR(__xludf.DUMMYFUNCTION("""COMPUTED_VALUE"""),7.204990514E9)</f>
        <v>7204990514</v>
      </c>
      <c r="F1154" s="155" t="str">
        <f>IFERROR(__xludf.DUMMYFUNCTION("""COMPUTED_VALUE"""),"ECE")</f>
        <v>ECE</v>
      </c>
      <c r="G1154" s="158"/>
      <c r="H1154" s="559">
        <f>IFERROR(__xludf.DUMMYFUNCTION("""COMPUTED_VALUE"""),70.0)</f>
        <v>70</v>
      </c>
      <c r="I1154" s="559">
        <f>IFERROR(__xludf.DUMMYFUNCTION("""COMPUTED_VALUE"""),70.0)</f>
        <v>70</v>
      </c>
      <c r="J1154" s="559">
        <f>IFERROR(__xludf.DUMMYFUNCTION("""COMPUTED_VALUE"""),45.0)</f>
        <v>45</v>
      </c>
      <c r="K1154" s="559">
        <f>IFERROR(__xludf.DUMMYFUNCTION("""COMPUTED_VALUE"""),70.0)</f>
        <v>70</v>
      </c>
      <c r="L1154" s="560">
        <f>IFERROR(__xludf.DUMMYFUNCTION("""COMPUTED_VALUE"""),12.0)</f>
        <v>12</v>
      </c>
      <c r="M1154" s="561">
        <f>IFERROR(__xludf.DUMMYFUNCTION("""COMPUTED_VALUE"""),9.0)</f>
        <v>9</v>
      </c>
      <c r="N1154" s="561">
        <f>IFERROR(__xludf.DUMMYFUNCTION("""COMPUTED_VALUE"""),13.0)</f>
        <v>13</v>
      </c>
      <c r="O1154" s="560"/>
      <c r="P1154" s="562">
        <f>IFERROR(__xludf.DUMMYFUNCTION("""COMPUTED_VALUE"""),0.0)</f>
        <v>0</v>
      </c>
      <c r="Q1154" s="562">
        <f>IFERROR(__xludf.DUMMYFUNCTION("""COMPUTED_VALUE"""),0.0)</f>
        <v>0</v>
      </c>
      <c r="R1154" s="562">
        <f>IFERROR(__xludf.DUMMYFUNCTION("""COMPUTED_VALUE"""),0.0)</f>
        <v>0</v>
      </c>
      <c r="S1154" s="562"/>
      <c r="T1154" s="217"/>
      <c r="U1154" s="217"/>
      <c r="V1154" s="217">
        <f>IFERROR(__xludf.DUMMYFUNCTION("""COMPUTED_VALUE"""),52.0)</f>
        <v>52</v>
      </c>
      <c r="W1154" s="217">
        <f>IFERROR(__xludf.DUMMYFUNCTION("""COMPUTED_VALUE"""),80.0)</f>
        <v>80</v>
      </c>
      <c r="X1154" s="217">
        <f>IFERROR(__xludf.DUMMYFUNCTION("""COMPUTED_VALUE"""),56.0)</f>
        <v>56</v>
      </c>
      <c r="Y1154" s="217"/>
      <c r="Z1154" s="217"/>
      <c r="AA1154" s="481"/>
      <c r="AB1154" s="481">
        <f>IFERROR(__xludf.DUMMYFUNCTION("""COMPUTED_VALUE"""),100.0)</f>
        <v>100</v>
      </c>
      <c r="AC1154" s="481">
        <f>IFERROR(__xludf.DUMMYFUNCTION("""COMPUTED_VALUE"""),100.0)</f>
        <v>100</v>
      </c>
      <c r="AD1154" s="481"/>
      <c r="AE1154" s="481">
        <f>IFERROR(__xludf.DUMMYFUNCTION("""COMPUTED_VALUE"""),12.0)</f>
        <v>12</v>
      </c>
      <c r="AF1154" s="481"/>
      <c r="AG1154" s="481"/>
      <c r="AH1154" s="481"/>
      <c r="AI1154" s="158"/>
      <c r="AJ1154" s="158"/>
      <c r="AK1154" s="133">
        <f>IFERROR(__xludf.DUMMYFUNCTION("""COMPUTED_VALUE"""),2.0)</f>
        <v>2</v>
      </c>
      <c r="AL1154" s="133">
        <f>IFERROR(__xludf.DUMMYFUNCTION("""COMPUTED_VALUE"""),0.0)</f>
        <v>0</v>
      </c>
      <c r="AM1154" s="133">
        <f>IFERROR(__xludf.DUMMYFUNCTION("""COMPUTED_VALUE"""),0.0)</f>
        <v>0</v>
      </c>
      <c r="AN1154" s="133" t="str">
        <f>IFERROR(__xludf.DUMMYFUNCTION("""COMPUTED_VALUE"""),"3")</f>
        <v>3</v>
      </c>
      <c r="AO1154" s="133">
        <f>IFERROR(__xludf.DUMMYFUNCTION("""COMPUTED_VALUE"""),0.0)</f>
        <v>0</v>
      </c>
      <c r="AP1154" s="155" t="s">
        <v>3736</v>
      </c>
    </row>
    <row r="1155">
      <c r="A1155" s="155">
        <f>IFERROR(__xludf.DUMMYFUNCTION("""COMPUTED_VALUE"""),262.0)</f>
        <v>262</v>
      </c>
      <c r="B1155" s="155" t="str">
        <f>IFERROR(__xludf.DUMMYFUNCTION("""COMPUTED_VALUE"""),"srujan.ece24le@cmrit.ac.in")</f>
        <v>srujan.ece24le@cmrit.ac.in</v>
      </c>
      <c r="C1155" s="174" t="str">
        <f>IFERROR(__xludf.DUMMYFUNCTION("""COMPUTED_VALUE"""),"SRUJAN B")</f>
        <v>SRUJAN B</v>
      </c>
      <c r="D1155" s="155" t="str">
        <f>IFERROR(__xludf.DUMMYFUNCTION("""COMPUTED_VALUE"""),"1CR24EC418")</f>
        <v>1CR24EC418</v>
      </c>
      <c r="E1155" s="563">
        <f>IFERROR(__xludf.DUMMYFUNCTION("""COMPUTED_VALUE"""),9.113882369E9)</f>
        <v>9113882369</v>
      </c>
      <c r="F1155" s="155" t="str">
        <f>IFERROR(__xludf.DUMMYFUNCTION("""COMPUTED_VALUE"""),"ECE")</f>
        <v>ECE</v>
      </c>
      <c r="G1155" s="158"/>
      <c r="H1155" s="559">
        <f>IFERROR(__xludf.DUMMYFUNCTION("""COMPUTED_VALUE"""),60.0)</f>
        <v>60</v>
      </c>
      <c r="I1155" s="559">
        <f>IFERROR(__xludf.DUMMYFUNCTION("""COMPUTED_VALUE"""),44.0)</f>
        <v>44</v>
      </c>
      <c r="J1155" s="559">
        <f>IFERROR(__xludf.DUMMYFUNCTION("""COMPUTED_VALUE"""),58.0)</f>
        <v>58</v>
      </c>
      <c r="K1155" s="559">
        <f>IFERROR(__xludf.DUMMYFUNCTION("""COMPUTED_VALUE"""),70.0)</f>
        <v>70</v>
      </c>
      <c r="L1155" s="560">
        <f>IFERROR(__xludf.DUMMYFUNCTION("""COMPUTED_VALUE"""),38.0)</f>
        <v>38</v>
      </c>
      <c r="M1155" s="561">
        <f>IFERROR(__xludf.DUMMYFUNCTION("""COMPUTED_VALUE"""),10.0)</f>
        <v>10</v>
      </c>
      <c r="N1155" s="561">
        <f>IFERROR(__xludf.DUMMYFUNCTION("""COMPUTED_VALUE"""),50.0)</f>
        <v>50</v>
      </c>
      <c r="O1155" s="560"/>
      <c r="P1155" s="562">
        <f>IFERROR(__xludf.DUMMYFUNCTION("""COMPUTED_VALUE"""),0.0)</f>
        <v>0</v>
      </c>
      <c r="Q1155" s="562">
        <f>IFERROR(__xludf.DUMMYFUNCTION("""COMPUTED_VALUE"""),0.0)</f>
        <v>0</v>
      </c>
      <c r="R1155" s="562">
        <f>IFERROR(__xludf.DUMMYFUNCTION("""COMPUTED_VALUE"""),0.0)</f>
        <v>0</v>
      </c>
      <c r="S1155" s="562"/>
      <c r="T1155" s="217"/>
      <c r="U1155" s="217"/>
      <c r="V1155" s="217">
        <f>IFERROR(__xludf.DUMMYFUNCTION("""COMPUTED_VALUE"""),32.0)</f>
        <v>32</v>
      </c>
      <c r="W1155" s="217">
        <f>IFERROR(__xludf.DUMMYFUNCTION("""COMPUTED_VALUE"""),80.0)</f>
        <v>80</v>
      </c>
      <c r="X1155" s="217">
        <f>IFERROR(__xludf.DUMMYFUNCTION("""COMPUTED_VALUE"""),64.0)</f>
        <v>64</v>
      </c>
      <c r="Y1155" s="217"/>
      <c r="Z1155" s="217"/>
      <c r="AA1155" s="481"/>
      <c r="AB1155" s="481">
        <f>IFERROR(__xludf.DUMMYFUNCTION("""COMPUTED_VALUE"""),100.0)</f>
        <v>100</v>
      </c>
      <c r="AC1155" s="481">
        <f>IFERROR(__xludf.DUMMYFUNCTION("""COMPUTED_VALUE"""),100.0)</f>
        <v>100</v>
      </c>
      <c r="AD1155" s="481"/>
      <c r="AE1155" s="481">
        <f>IFERROR(__xludf.DUMMYFUNCTION("""COMPUTED_VALUE"""),13.0)</f>
        <v>13</v>
      </c>
      <c r="AF1155" s="481"/>
      <c r="AG1155" s="481"/>
      <c r="AH1155" s="481"/>
      <c r="AI1155" s="158"/>
      <c r="AJ1155" s="158"/>
      <c r="AK1155" s="133">
        <f>IFERROR(__xludf.DUMMYFUNCTION("""COMPUTED_VALUE"""),0.0)</f>
        <v>0</v>
      </c>
      <c r="AL1155" s="133">
        <f>IFERROR(__xludf.DUMMYFUNCTION("""COMPUTED_VALUE"""),0.0)</f>
        <v>0</v>
      </c>
      <c r="AM1155" s="133">
        <f>IFERROR(__xludf.DUMMYFUNCTION("""COMPUTED_VALUE"""),0.0)</f>
        <v>0</v>
      </c>
      <c r="AN1155" s="133" t="str">
        <f>IFERROR(__xludf.DUMMYFUNCTION("""COMPUTED_VALUE"""),"3")</f>
        <v>3</v>
      </c>
      <c r="AO1155" s="133">
        <f>IFERROR(__xludf.DUMMYFUNCTION("""COMPUTED_VALUE"""),0.0)</f>
        <v>0</v>
      </c>
      <c r="AP1155" s="155" t="s">
        <v>3736</v>
      </c>
    </row>
    <row r="1156">
      <c r="A1156" s="155">
        <f>IFERROR(__xludf.DUMMYFUNCTION("""COMPUTED_VALUE"""),263.0)</f>
        <v>263</v>
      </c>
      <c r="B1156" s="155" t="str">
        <f>IFERROR(__xludf.DUMMYFUNCTION("""COMPUTED_VALUE"""),"sudarshana.ece24le@cmrit.ac.in")</f>
        <v>sudarshana.ece24le@cmrit.ac.in</v>
      </c>
      <c r="C1156" s="174" t="str">
        <f>IFERROR(__xludf.DUMMYFUNCTION("""COMPUTED_VALUE"""),"Sudarshana L G")</f>
        <v>Sudarshana L G</v>
      </c>
      <c r="D1156" s="155" t="str">
        <f>IFERROR(__xludf.DUMMYFUNCTION("""COMPUTED_VALUE"""),"1CR24EC419")</f>
        <v>1CR24EC419</v>
      </c>
      <c r="E1156" s="563">
        <f>IFERROR(__xludf.DUMMYFUNCTION("""COMPUTED_VALUE"""),9.845335992E9)</f>
        <v>9845335992</v>
      </c>
      <c r="F1156" s="155" t="str">
        <f>IFERROR(__xludf.DUMMYFUNCTION("""COMPUTED_VALUE"""),"ECE")</f>
        <v>ECE</v>
      </c>
      <c r="G1156" s="158"/>
      <c r="H1156" s="559">
        <f>IFERROR(__xludf.DUMMYFUNCTION("""COMPUTED_VALUE"""),0.0)</f>
        <v>0</v>
      </c>
      <c r="I1156" s="559">
        <f>IFERROR(__xludf.DUMMYFUNCTION("""COMPUTED_VALUE"""),0.0)</f>
        <v>0</v>
      </c>
      <c r="J1156" s="559">
        <f>IFERROR(__xludf.DUMMYFUNCTION("""COMPUTED_VALUE"""),0.0)</f>
        <v>0</v>
      </c>
      <c r="K1156" s="559">
        <f>IFERROR(__xludf.DUMMYFUNCTION("""COMPUTED_VALUE"""),0.0)</f>
        <v>0</v>
      </c>
      <c r="L1156" s="560">
        <f>IFERROR(__xludf.DUMMYFUNCTION("""COMPUTED_VALUE"""),0.0)</f>
        <v>0</v>
      </c>
      <c r="M1156" s="561">
        <f>IFERROR(__xludf.DUMMYFUNCTION("""COMPUTED_VALUE"""),0.0)</f>
        <v>0</v>
      </c>
      <c r="N1156" s="561">
        <f>IFERROR(__xludf.DUMMYFUNCTION("""COMPUTED_VALUE"""),0.0)</f>
        <v>0</v>
      </c>
      <c r="O1156" s="560"/>
      <c r="P1156" s="562">
        <f>IFERROR(__xludf.DUMMYFUNCTION("""COMPUTED_VALUE"""),0.0)</f>
        <v>0</v>
      </c>
      <c r="Q1156" s="562">
        <f>IFERROR(__xludf.DUMMYFUNCTION("""COMPUTED_VALUE"""),0.0)</f>
        <v>0</v>
      </c>
      <c r="R1156" s="562">
        <f>IFERROR(__xludf.DUMMYFUNCTION("""COMPUTED_VALUE"""),0.0)</f>
        <v>0</v>
      </c>
      <c r="S1156" s="562"/>
      <c r="T1156" s="217"/>
      <c r="U1156" s="217"/>
      <c r="V1156" s="217">
        <f>IFERROR(__xludf.DUMMYFUNCTION("""COMPUTED_VALUE"""),34.0)</f>
        <v>34</v>
      </c>
      <c r="W1156" s="217">
        <f>IFERROR(__xludf.DUMMYFUNCTION("""COMPUTED_VALUE"""),80.0)</f>
        <v>80</v>
      </c>
      <c r="X1156" s="217">
        <f>IFERROR(__xludf.DUMMYFUNCTION("""COMPUTED_VALUE"""),44.0)</f>
        <v>44</v>
      </c>
      <c r="Y1156" s="217"/>
      <c r="Z1156" s="217"/>
      <c r="AA1156" s="481"/>
      <c r="AB1156" s="481">
        <f>IFERROR(__xludf.DUMMYFUNCTION("""COMPUTED_VALUE"""),70.0)</f>
        <v>70</v>
      </c>
      <c r="AC1156" s="481">
        <f>IFERROR(__xludf.DUMMYFUNCTION("""COMPUTED_VALUE"""),70.0)</f>
        <v>70</v>
      </c>
      <c r="AD1156" s="481"/>
      <c r="AE1156" s="481">
        <f>IFERROR(__xludf.DUMMYFUNCTION("""COMPUTED_VALUE"""),10.0)</f>
        <v>10</v>
      </c>
      <c r="AF1156" s="481"/>
      <c r="AG1156" s="481"/>
      <c r="AH1156" s="481"/>
      <c r="AI1156" s="158"/>
      <c r="AJ1156" s="158"/>
      <c r="AK1156" s="133">
        <f>IFERROR(__xludf.DUMMYFUNCTION("""COMPUTED_VALUE"""),0.0)</f>
        <v>0</v>
      </c>
      <c r="AL1156" s="133">
        <f>IFERROR(__xludf.DUMMYFUNCTION("""COMPUTED_VALUE"""),0.0)</f>
        <v>0</v>
      </c>
      <c r="AM1156" s="133">
        <f>IFERROR(__xludf.DUMMYFUNCTION("""COMPUTED_VALUE"""),0.0)</f>
        <v>0</v>
      </c>
      <c r="AN1156" s="133" t="str">
        <f>IFERROR(__xludf.DUMMYFUNCTION("""COMPUTED_VALUE"""),"3")</f>
        <v>3</v>
      </c>
      <c r="AO1156" s="133">
        <f>IFERROR(__xludf.DUMMYFUNCTION("""COMPUTED_VALUE"""),0.0)</f>
        <v>0</v>
      </c>
      <c r="AP1156" s="155" t="s">
        <v>3736</v>
      </c>
    </row>
    <row r="1157">
      <c r="A1157" s="155">
        <f>IFERROR(__xludf.DUMMYFUNCTION("""COMPUTED_VALUE"""),264.0)</f>
        <v>264</v>
      </c>
      <c r="B1157" s="155" t="str">
        <f>IFERROR(__xludf.DUMMYFUNCTION("""COMPUTED_VALUE"""),"udayakiran.ece24le@cmrit.ac.in")</f>
        <v>udayakiran.ece24le@cmrit.ac.in</v>
      </c>
      <c r="C1157" s="174" t="str">
        <f>IFERROR(__xludf.DUMMYFUNCTION("""COMPUTED_VALUE"""),"UDAYAKIRAN R")</f>
        <v>UDAYAKIRAN R</v>
      </c>
      <c r="D1157" s="155" t="str">
        <f>IFERROR(__xludf.DUMMYFUNCTION("""COMPUTED_VALUE"""),"1CR24EC421")</f>
        <v>1CR24EC421</v>
      </c>
      <c r="E1157" s="563">
        <f>IFERROR(__xludf.DUMMYFUNCTION("""COMPUTED_VALUE"""),8.867061906E9)</f>
        <v>8867061906</v>
      </c>
      <c r="F1157" s="155" t="str">
        <f>IFERROR(__xludf.DUMMYFUNCTION("""COMPUTED_VALUE"""),"ECE")</f>
        <v>ECE</v>
      </c>
      <c r="G1157" s="158"/>
      <c r="H1157" s="559">
        <f>IFERROR(__xludf.DUMMYFUNCTION("""COMPUTED_VALUE"""),32.0)</f>
        <v>32</v>
      </c>
      <c r="I1157" s="559">
        <f>IFERROR(__xludf.DUMMYFUNCTION("""COMPUTED_VALUE"""),44.0)</f>
        <v>44</v>
      </c>
      <c r="J1157" s="559">
        <f>IFERROR(__xludf.DUMMYFUNCTION("""COMPUTED_VALUE"""),40.0)</f>
        <v>40</v>
      </c>
      <c r="K1157" s="559">
        <f>IFERROR(__xludf.DUMMYFUNCTION("""COMPUTED_VALUE"""),53.0)</f>
        <v>53</v>
      </c>
      <c r="L1157" s="560">
        <f>IFERROR(__xludf.DUMMYFUNCTION("""COMPUTED_VALUE"""),5.0)</f>
        <v>5</v>
      </c>
      <c r="M1157" s="561">
        <f>IFERROR(__xludf.DUMMYFUNCTION("""COMPUTED_VALUE"""),6.0)</f>
        <v>6</v>
      </c>
      <c r="N1157" s="561">
        <f>IFERROR(__xludf.DUMMYFUNCTION("""COMPUTED_VALUE"""),0.0)</f>
        <v>0</v>
      </c>
      <c r="O1157" s="560"/>
      <c r="P1157" s="562">
        <f>IFERROR(__xludf.DUMMYFUNCTION("""COMPUTED_VALUE"""),0.0)</f>
        <v>0</v>
      </c>
      <c r="Q1157" s="562">
        <f>IFERROR(__xludf.DUMMYFUNCTION("""COMPUTED_VALUE"""),0.0)</f>
        <v>0</v>
      </c>
      <c r="R1157" s="562">
        <f>IFERROR(__xludf.DUMMYFUNCTION("""COMPUTED_VALUE"""),85.0)</f>
        <v>85</v>
      </c>
      <c r="S1157" s="562"/>
      <c r="T1157" s="217"/>
      <c r="U1157" s="217"/>
      <c r="V1157" s="217">
        <f>IFERROR(__xludf.DUMMYFUNCTION("""COMPUTED_VALUE"""),38.0)</f>
        <v>38</v>
      </c>
      <c r="W1157" s="217">
        <f>IFERROR(__xludf.DUMMYFUNCTION("""COMPUTED_VALUE"""),80.0)</f>
        <v>80</v>
      </c>
      <c r="X1157" s="217">
        <f>IFERROR(__xludf.DUMMYFUNCTION("""COMPUTED_VALUE"""),74.0)</f>
        <v>74</v>
      </c>
      <c r="Y1157" s="217"/>
      <c r="Z1157" s="217"/>
      <c r="AA1157" s="481"/>
      <c r="AB1157" s="481">
        <f>IFERROR(__xludf.DUMMYFUNCTION("""COMPUTED_VALUE"""),90.0)</f>
        <v>90</v>
      </c>
      <c r="AC1157" s="481">
        <f>IFERROR(__xludf.DUMMYFUNCTION("""COMPUTED_VALUE"""),90.0)</f>
        <v>90</v>
      </c>
      <c r="AD1157" s="481"/>
      <c r="AE1157" s="481">
        <f>IFERROR(__xludf.DUMMYFUNCTION("""COMPUTED_VALUE"""),75.0)</f>
        <v>75</v>
      </c>
      <c r="AF1157" s="481"/>
      <c r="AG1157" s="481"/>
      <c r="AH1157" s="481"/>
      <c r="AI1157" s="158"/>
      <c r="AJ1157" s="158"/>
      <c r="AK1157" s="133">
        <f>IFERROR(__xludf.DUMMYFUNCTION("""COMPUTED_VALUE"""),0.0)</f>
        <v>0</v>
      </c>
      <c r="AL1157" s="133">
        <f>IFERROR(__xludf.DUMMYFUNCTION("""COMPUTED_VALUE"""),0.0)</f>
        <v>0</v>
      </c>
      <c r="AM1157" s="133">
        <f>IFERROR(__xludf.DUMMYFUNCTION("""COMPUTED_VALUE"""),0.0)</f>
        <v>0</v>
      </c>
      <c r="AN1157" s="133" t="str">
        <f>IFERROR(__xludf.DUMMYFUNCTION("""COMPUTED_VALUE"""),"3.5")</f>
        <v>3.5</v>
      </c>
      <c r="AO1157" s="133">
        <f>IFERROR(__xludf.DUMMYFUNCTION("""COMPUTED_VALUE"""),0.0)</f>
        <v>0</v>
      </c>
      <c r="AP1157" s="155" t="s">
        <v>3736</v>
      </c>
    </row>
    <row r="1158">
      <c r="A1158" s="155">
        <f>IFERROR(__xludf.DUMMYFUNCTION("""COMPUTED_VALUE"""),265.0)</f>
        <v>265</v>
      </c>
      <c r="B1158" s="155" t="str">
        <f>IFERROR(__xludf.DUMMYFUNCTION("""COMPUTED_VALUE"""),"ullastc.ece24le@cmrit.ac.in")</f>
        <v>ullastc.ece24le@cmrit.ac.in</v>
      </c>
      <c r="C1158" s="174" t="str">
        <f>IFERROR(__xludf.DUMMYFUNCTION("""COMPUTED_VALUE"""),"Ullas T C")</f>
        <v>Ullas T C</v>
      </c>
      <c r="D1158" s="155" t="str">
        <f>IFERROR(__xludf.DUMMYFUNCTION("""COMPUTED_VALUE"""),"1CR24EC422")</f>
        <v>1CR24EC422</v>
      </c>
      <c r="E1158" s="563">
        <f>IFERROR(__xludf.DUMMYFUNCTION("""COMPUTED_VALUE"""),9.113940434E9)</f>
        <v>9113940434</v>
      </c>
      <c r="F1158" s="155" t="str">
        <f>IFERROR(__xludf.DUMMYFUNCTION("""COMPUTED_VALUE"""),"ECE")</f>
        <v>ECE</v>
      </c>
      <c r="G1158" s="158"/>
      <c r="H1158" s="559">
        <f>IFERROR(__xludf.DUMMYFUNCTION("""COMPUTED_VALUE"""),70.0)</f>
        <v>70</v>
      </c>
      <c r="I1158" s="559">
        <f>IFERROR(__xludf.DUMMYFUNCTION("""COMPUTED_VALUE"""),70.0)</f>
        <v>70</v>
      </c>
      <c r="J1158" s="559">
        <f>IFERROR(__xludf.DUMMYFUNCTION("""COMPUTED_VALUE"""),56.0)</f>
        <v>56</v>
      </c>
      <c r="K1158" s="559">
        <f>IFERROR(__xludf.DUMMYFUNCTION("""COMPUTED_VALUE"""),70.0)</f>
        <v>70</v>
      </c>
      <c r="L1158" s="560">
        <f>IFERROR(__xludf.DUMMYFUNCTION("""COMPUTED_VALUE"""),5.0)</f>
        <v>5</v>
      </c>
      <c r="M1158" s="561">
        <f>IFERROR(__xludf.DUMMYFUNCTION("""COMPUTED_VALUE"""),13.0)</f>
        <v>13</v>
      </c>
      <c r="N1158" s="561">
        <f>IFERROR(__xludf.DUMMYFUNCTION("""COMPUTED_VALUE"""),0.0)</f>
        <v>0</v>
      </c>
      <c r="O1158" s="560"/>
      <c r="P1158" s="562">
        <f>IFERROR(__xludf.DUMMYFUNCTION("""COMPUTED_VALUE"""),0.0)</f>
        <v>0</v>
      </c>
      <c r="Q1158" s="562">
        <f>IFERROR(__xludf.DUMMYFUNCTION("""COMPUTED_VALUE"""),0.0)</f>
        <v>0</v>
      </c>
      <c r="R1158" s="562">
        <f>IFERROR(__xludf.DUMMYFUNCTION("""COMPUTED_VALUE"""),0.0)</f>
        <v>0</v>
      </c>
      <c r="S1158" s="562"/>
      <c r="T1158" s="217"/>
      <c r="U1158" s="217"/>
      <c r="V1158" s="217">
        <f>IFERROR(__xludf.DUMMYFUNCTION("""COMPUTED_VALUE"""),32.0)</f>
        <v>32</v>
      </c>
      <c r="W1158" s="217">
        <f>IFERROR(__xludf.DUMMYFUNCTION("""COMPUTED_VALUE"""),82.0)</f>
        <v>82</v>
      </c>
      <c r="X1158" s="217">
        <f>IFERROR(__xludf.DUMMYFUNCTION("""COMPUTED_VALUE"""),70.0)</f>
        <v>70</v>
      </c>
      <c r="Y1158" s="217"/>
      <c r="Z1158" s="217"/>
      <c r="AA1158" s="481"/>
      <c r="AB1158" s="481">
        <f>IFERROR(__xludf.DUMMYFUNCTION("""COMPUTED_VALUE"""),78.0)</f>
        <v>78</v>
      </c>
      <c r="AC1158" s="481">
        <f>IFERROR(__xludf.DUMMYFUNCTION("""COMPUTED_VALUE"""),78.0)</f>
        <v>78</v>
      </c>
      <c r="AD1158" s="481"/>
      <c r="AE1158" s="481">
        <f>IFERROR(__xludf.DUMMYFUNCTION("""COMPUTED_VALUE"""),60.0)</f>
        <v>60</v>
      </c>
      <c r="AF1158" s="481"/>
      <c r="AG1158" s="481"/>
      <c r="AH1158" s="481"/>
      <c r="AI1158" s="158"/>
      <c r="AJ1158" s="158"/>
      <c r="AK1158" s="133">
        <f>IFERROR(__xludf.DUMMYFUNCTION("""COMPUTED_VALUE"""),2.0)</f>
        <v>2</v>
      </c>
      <c r="AL1158" s="133">
        <f>IFERROR(__xludf.DUMMYFUNCTION("""COMPUTED_VALUE"""),0.0)</f>
        <v>0</v>
      </c>
      <c r="AM1158" s="133">
        <f>IFERROR(__xludf.DUMMYFUNCTION("""COMPUTED_VALUE"""),0.0)</f>
        <v>0</v>
      </c>
      <c r="AN1158" s="133" t="str">
        <f>IFERROR(__xludf.DUMMYFUNCTION("""COMPUTED_VALUE"""),"3")</f>
        <v>3</v>
      </c>
      <c r="AO1158" s="133">
        <f>IFERROR(__xludf.DUMMYFUNCTION("""COMPUTED_VALUE"""),0.0)</f>
        <v>0</v>
      </c>
      <c r="AP1158" s="155" t="s">
        <v>3736</v>
      </c>
    </row>
    <row r="1159">
      <c r="A1159" s="155">
        <f>IFERROR(__xludf.DUMMYFUNCTION("""COMPUTED_VALUE"""),266.0)</f>
        <v>266</v>
      </c>
      <c r="B1159" s="155" t="str">
        <f>IFERROR(__xludf.DUMMYFUNCTION("""COMPUTED_VALUE"""),"yadhunandan.ece24le@cmrit.ac.in")</f>
        <v>yadhunandan.ece24le@cmrit.ac.in</v>
      </c>
      <c r="C1159" s="174" t="str">
        <f>IFERROR(__xludf.DUMMYFUNCTION("""COMPUTED_VALUE"""),"YADHUNANDAN K S")</f>
        <v>YADHUNANDAN K S</v>
      </c>
      <c r="D1159" s="155" t="str">
        <f>IFERROR(__xludf.DUMMYFUNCTION("""COMPUTED_VALUE"""),"1CR24EC423")</f>
        <v>1CR24EC423</v>
      </c>
      <c r="E1159" s="563">
        <f>IFERROR(__xludf.DUMMYFUNCTION("""COMPUTED_VALUE"""),7.411221055E9)</f>
        <v>7411221055</v>
      </c>
      <c r="F1159" s="155" t="str">
        <f>IFERROR(__xludf.DUMMYFUNCTION("""COMPUTED_VALUE"""),"ECE")</f>
        <v>ECE</v>
      </c>
      <c r="G1159" s="158"/>
      <c r="H1159" s="559">
        <f>IFERROR(__xludf.DUMMYFUNCTION("""COMPUTED_VALUE"""),70.0)</f>
        <v>70</v>
      </c>
      <c r="I1159" s="559">
        <f>IFERROR(__xludf.DUMMYFUNCTION("""COMPUTED_VALUE"""),70.0)</f>
        <v>70</v>
      </c>
      <c r="J1159" s="559">
        <f>IFERROR(__xludf.DUMMYFUNCTION("""COMPUTED_VALUE"""),70.0)</f>
        <v>70</v>
      </c>
      <c r="K1159" s="559">
        <f>IFERROR(__xludf.DUMMYFUNCTION("""COMPUTED_VALUE"""),70.0)</f>
        <v>70</v>
      </c>
      <c r="L1159" s="560">
        <f>IFERROR(__xludf.DUMMYFUNCTION("""COMPUTED_VALUE"""),38.0)</f>
        <v>38</v>
      </c>
      <c r="M1159" s="561">
        <f>IFERROR(__xludf.DUMMYFUNCTION("""COMPUTED_VALUE"""),25.0)</f>
        <v>25</v>
      </c>
      <c r="N1159" s="561">
        <f>IFERROR(__xludf.DUMMYFUNCTION("""COMPUTED_VALUE"""),11.0)</f>
        <v>11</v>
      </c>
      <c r="O1159" s="560"/>
      <c r="P1159" s="562">
        <f>IFERROR(__xludf.DUMMYFUNCTION("""COMPUTED_VALUE"""),50.0)</f>
        <v>50</v>
      </c>
      <c r="Q1159" s="562">
        <f>IFERROR(__xludf.DUMMYFUNCTION("""COMPUTED_VALUE"""),50.0)</f>
        <v>50</v>
      </c>
      <c r="R1159" s="562">
        <f>IFERROR(__xludf.DUMMYFUNCTION("""COMPUTED_VALUE"""),66.0)</f>
        <v>66</v>
      </c>
      <c r="S1159" s="562"/>
      <c r="T1159" s="217"/>
      <c r="U1159" s="217"/>
      <c r="V1159" s="217">
        <f>IFERROR(__xludf.DUMMYFUNCTION("""COMPUTED_VALUE"""),46.0)</f>
        <v>46</v>
      </c>
      <c r="W1159" s="217">
        <f>IFERROR(__xludf.DUMMYFUNCTION("""COMPUTED_VALUE"""),80.0)</f>
        <v>80</v>
      </c>
      <c r="X1159" s="217">
        <f>IFERROR(__xludf.DUMMYFUNCTION("""COMPUTED_VALUE"""),64.0)</f>
        <v>64</v>
      </c>
      <c r="Y1159" s="217"/>
      <c r="Z1159" s="217"/>
      <c r="AA1159" s="481"/>
      <c r="AB1159" s="481">
        <f>IFERROR(__xludf.DUMMYFUNCTION("""COMPUTED_VALUE"""),100.0)</f>
        <v>100</v>
      </c>
      <c r="AC1159" s="481">
        <f>IFERROR(__xludf.DUMMYFUNCTION("""COMPUTED_VALUE"""),100.0)</f>
        <v>100</v>
      </c>
      <c r="AD1159" s="481"/>
      <c r="AE1159" s="481">
        <f>IFERROR(__xludf.DUMMYFUNCTION("""COMPUTED_VALUE"""),60.0)</f>
        <v>60</v>
      </c>
      <c r="AF1159" s="481"/>
      <c r="AG1159" s="481">
        <f>IFERROR(__xludf.DUMMYFUNCTION("""COMPUTED_VALUE"""),71.0)</f>
        <v>71</v>
      </c>
      <c r="AH1159" s="481"/>
      <c r="AI1159" s="158"/>
      <c r="AJ1159" s="158"/>
      <c r="AK1159" s="133">
        <f>IFERROR(__xludf.DUMMYFUNCTION("""COMPUTED_VALUE"""),4.0)</f>
        <v>4</v>
      </c>
      <c r="AL1159" s="133">
        <f>IFERROR(__xludf.DUMMYFUNCTION("""COMPUTED_VALUE"""),0.0)</f>
        <v>0</v>
      </c>
      <c r="AM1159" s="133">
        <f>IFERROR(__xludf.DUMMYFUNCTION("""COMPUTED_VALUE"""),0.0)</f>
        <v>0</v>
      </c>
      <c r="AN1159" s="133" t="str">
        <f>IFERROR(__xludf.DUMMYFUNCTION("""COMPUTED_VALUE"""),"3")</f>
        <v>3</v>
      </c>
      <c r="AO1159" s="133">
        <f>IFERROR(__xludf.DUMMYFUNCTION("""COMPUTED_VALUE"""),3.0)</f>
        <v>3</v>
      </c>
      <c r="AP1159" s="155" t="s">
        <v>3736</v>
      </c>
    </row>
    <row r="1160">
      <c r="A1160" s="155"/>
      <c r="B1160" s="155"/>
      <c r="C1160" s="174"/>
      <c r="D1160" s="155"/>
      <c r="E1160" s="563"/>
      <c r="F1160" s="155"/>
      <c r="G1160" s="158"/>
      <c r="H1160" s="559"/>
      <c r="I1160" s="559"/>
      <c r="J1160" s="559"/>
      <c r="K1160" s="559"/>
      <c r="L1160" s="560"/>
      <c r="M1160" s="560"/>
      <c r="N1160" s="560"/>
      <c r="O1160" s="560"/>
      <c r="P1160" s="562"/>
      <c r="Q1160" s="562"/>
      <c r="R1160" s="562"/>
      <c r="S1160" s="562"/>
      <c r="T1160" s="217"/>
      <c r="U1160" s="217"/>
      <c r="V1160" s="217"/>
      <c r="W1160" s="217"/>
      <c r="X1160" s="217"/>
      <c r="Y1160" s="217"/>
      <c r="Z1160" s="217"/>
      <c r="AA1160" s="481"/>
      <c r="AB1160" s="481"/>
      <c r="AC1160" s="481"/>
      <c r="AD1160" s="481"/>
      <c r="AE1160" s="481"/>
      <c r="AF1160" s="481"/>
      <c r="AG1160" s="481"/>
      <c r="AH1160" s="481"/>
      <c r="AI1160" s="158"/>
      <c r="AJ1160" s="158"/>
      <c r="AK1160" s="133"/>
      <c r="AL1160" s="133"/>
      <c r="AM1160" s="133"/>
      <c r="AN1160" s="133"/>
      <c r="AO1160" s="133"/>
      <c r="AP1160" s="155" t="s">
        <v>3736</v>
      </c>
    </row>
    <row r="1161">
      <c r="A1161" s="155"/>
      <c r="B1161" s="155"/>
      <c r="C1161" s="174"/>
      <c r="D1161" s="155"/>
      <c r="E1161" s="563"/>
      <c r="F1161" s="155"/>
      <c r="G1161" s="158"/>
      <c r="H1161" s="559"/>
      <c r="I1161" s="559"/>
      <c r="J1161" s="559"/>
      <c r="K1161" s="559"/>
      <c r="L1161" s="560"/>
      <c r="M1161" s="560"/>
      <c r="N1161" s="560"/>
      <c r="O1161" s="560"/>
      <c r="P1161" s="562"/>
      <c r="Q1161" s="562"/>
      <c r="R1161" s="562"/>
      <c r="S1161" s="562"/>
      <c r="T1161" s="217"/>
      <c r="U1161" s="217"/>
      <c r="V1161" s="217"/>
      <c r="W1161" s="217"/>
      <c r="X1161" s="217"/>
      <c r="Y1161" s="217"/>
      <c r="Z1161" s="217"/>
      <c r="AA1161" s="481"/>
      <c r="AB1161" s="481"/>
      <c r="AC1161" s="481"/>
      <c r="AD1161" s="481"/>
      <c r="AE1161" s="481"/>
      <c r="AF1161" s="481"/>
      <c r="AG1161" s="481"/>
      <c r="AH1161" s="481"/>
      <c r="AI1161" s="158"/>
      <c r="AJ1161" s="158"/>
      <c r="AK1161" s="133"/>
      <c r="AL1161" s="133"/>
      <c r="AM1161" s="133"/>
      <c r="AN1161" s="133"/>
      <c r="AO1161" s="133"/>
      <c r="AP1161" s="155" t="s">
        <v>3736</v>
      </c>
    </row>
    <row r="1162">
      <c r="A1162" s="155"/>
      <c r="B1162" s="155"/>
      <c r="C1162" s="174"/>
      <c r="D1162" s="155"/>
      <c r="E1162" s="563"/>
      <c r="F1162" s="155"/>
      <c r="G1162" s="158"/>
      <c r="H1162" s="559"/>
      <c r="I1162" s="559"/>
      <c r="J1162" s="559"/>
      <c r="K1162" s="559"/>
      <c r="L1162" s="560"/>
      <c r="M1162" s="560"/>
      <c r="N1162" s="560"/>
      <c r="O1162" s="560"/>
      <c r="P1162" s="562"/>
      <c r="Q1162" s="562"/>
      <c r="R1162" s="562"/>
      <c r="S1162" s="562"/>
      <c r="T1162" s="217"/>
      <c r="U1162" s="217"/>
      <c r="V1162" s="217"/>
      <c r="W1162" s="217"/>
      <c r="X1162" s="217"/>
      <c r="Y1162" s="217"/>
      <c r="Z1162" s="217"/>
      <c r="AA1162" s="481"/>
      <c r="AB1162" s="481"/>
      <c r="AC1162" s="481"/>
      <c r="AD1162" s="481"/>
      <c r="AE1162" s="481"/>
      <c r="AF1162" s="481"/>
      <c r="AG1162" s="481"/>
      <c r="AH1162" s="481"/>
      <c r="AI1162" s="158"/>
      <c r="AJ1162" s="158"/>
      <c r="AK1162" s="133"/>
      <c r="AL1162" s="133"/>
      <c r="AM1162" s="133"/>
      <c r="AN1162" s="133"/>
      <c r="AO1162" s="133"/>
      <c r="AP1162" s="155" t="s">
        <v>3736</v>
      </c>
    </row>
    <row r="1163">
      <c r="A1163" s="155"/>
      <c r="B1163" s="155"/>
      <c r="C1163" s="174"/>
      <c r="D1163" s="155"/>
      <c r="E1163" s="563"/>
      <c r="F1163" s="155"/>
      <c r="G1163" s="158"/>
      <c r="H1163" s="559"/>
      <c r="I1163" s="559"/>
      <c r="J1163" s="559"/>
      <c r="K1163" s="559"/>
      <c r="L1163" s="560"/>
      <c r="M1163" s="560"/>
      <c r="N1163" s="560"/>
      <c r="O1163" s="560"/>
      <c r="P1163" s="562"/>
      <c r="Q1163" s="562"/>
      <c r="R1163" s="562"/>
      <c r="S1163" s="562"/>
      <c r="T1163" s="217"/>
      <c r="U1163" s="217"/>
      <c r="V1163" s="217"/>
      <c r="W1163" s="217"/>
      <c r="X1163" s="217"/>
      <c r="Y1163" s="217"/>
      <c r="Z1163" s="217"/>
      <c r="AA1163" s="481"/>
      <c r="AB1163" s="481"/>
      <c r="AC1163" s="481"/>
      <c r="AD1163" s="481"/>
      <c r="AE1163" s="481"/>
      <c r="AF1163" s="481"/>
      <c r="AG1163" s="481"/>
      <c r="AH1163" s="481"/>
      <c r="AI1163" s="158"/>
      <c r="AJ1163" s="158"/>
      <c r="AK1163" s="133"/>
      <c r="AL1163" s="133"/>
      <c r="AM1163" s="133"/>
      <c r="AN1163" s="133"/>
      <c r="AO1163" s="133"/>
      <c r="AP1163" s="155" t="s">
        <v>3736</v>
      </c>
    </row>
    <row r="1164">
      <c r="A1164" s="155"/>
      <c r="B1164" s="155"/>
      <c r="C1164" s="174"/>
      <c r="D1164" s="155"/>
      <c r="E1164" s="563"/>
      <c r="F1164" s="155"/>
      <c r="G1164" s="158"/>
      <c r="H1164" s="559"/>
      <c r="I1164" s="559"/>
      <c r="J1164" s="559"/>
      <c r="K1164" s="559"/>
      <c r="L1164" s="560"/>
      <c r="M1164" s="560"/>
      <c r="N1164" s="560"/>
      <c r="O1164" s="560"/>
      <c r="P1164" s="562"/>
      <c r="Q1164" s="562"/>
      <c r="R1164" s="562"/>
      <c r="S1164" s="562"/>
      <c r="T1164" s="217"/>
      <c r="U1164" s="217"/>
      <c r="V1164" s="217"/>
      <c r="W1164" s="217"/>
      <c r="X1164" s="217"/>
      <c r="Y1164" s="217"/>
      <c r="Z1164" s="217"/>
      <c r="AA1164" s="481"/>
      <c r="AB1164" s="481"/>
      <c r="AC1164" s="481"/>
      <c r="AD1164" s="481"/>
      <c r="AE1164" s="481"/>
      <c r="AF1164" s="481"/>
      <c r="AG1164" s="481"/>
      <c r="AH1164" s="481"/>
      <c r="AI1164" s="158"/>
      <c r="AJ1164" s="158"/>
      <c r="AK1164" s="133"/>
      <c r="AL1164" s="133"/>
      <c r="AM1164" s="133"/>
      <c r="AN1164" s="133"/>
      <c r="AO1164" s="133"/>
      <c r="AP1164" s="155" t="s">
        <v>3736</v>
      </c>
    </row>
    <row r="1165">
      <c r="A1165" s="155"/>
      <c r="B1165" s="155"/>
      <c r="C1165" s="174"/>
      <c r="D1165" s="155"/>
      <c r="E1165" s="563"/>
      <c r="F1165" s="155"/>
      <c r="G1165" s="158"/>
      <c r="H1165" s="559"/>
      <c r="I1165" s="559"/>
      <c r="J1165" s="559"/>
      <c r="K1165" s="559"/>
      <c r="L1165" s="560"/>
      <c r="M1165" s="560"/>
      <c r="N1165" s="560"/>
      <c r="O1165" s="560"/>
      <c r="P1165" s="562"/>
      <c r="Q1165" s="562"/>
      <c r="R1165" s="562"/>
      <c r="S1165" s="562"/>
      <c r="T1165" s="217"/>
      <c r="U1165" s="217"/>
      <c r="V1165" s="217"/>
      <c r="W1165" s="217"/>
      <c r="X1165" s="217"/>
      <c r="Y1165" s="217"/>
      <c r="Z1165" s="217"/>
      <c r="AA1165" s="481"/>
      <c r="AB1165" s="481"/>
      <c r="AC1165" s="481"/>
      <c r="AD1165" s="481"/>
      <c r="AE1165" s="481"/>
      <c r="AF1165" s="481"/>
      <c r="AG1165" s="481"/>
      <c r="AH1165" s="481"/>
      <c r="AI1165" s="158"/>
      <c r="AJ1165" s="158"/>
      <c r="AK1165" s="133"/>
      <c r="AL1165" s="133"/>
      <c r="AM1165" s="133"/>
      <c r="AN1165" s="133"/>
      <c r="AO1165" s="133"/>
      <c r="AP1165" s="155" t="s">
        <v>3736</v>
      </c>
    </row>
    <row r="1166">
      <c r="A1166" s="155"/>
      <c r="B1166" s="155"/>
      <c r="C1166" s="174"/>
      <c r="D1166" s="155"/>
      <c r="E1166" s="563"/>
      <c r="F1166" s="155"/>
      <c r="G1166" s="158"/>
      <c r="H1166" s="559"/>
      <c r="I1166" s="559"/>
      <c r="J1166" s="559"/>
      <c r="K1166" s="559"/>
      <c r="L1166" s="560"/>
      <c r="M1166" s="560"/>
      <c r="N1166" s="560"/>
      <c r="O1166" s="560"/>
      <c r="P1166" s="562"/>
      <c r="Q1166" s="562"/>
      <c r="R1166" s="562"/>
      <c r="S1166" s="562"/>
      <c r="T1166" s="217"/>
      <c r="U1166" s="217"/>
      <c r="V1166" s="217"/>
      <c r="W1166" s="217"/>
      <c r="X1166" s="217"/>
      <c r="Y1166" s="217"/>
      <c r="Z1166" s="217"/>
      <c r="AA1166" s="481"/>
      <c r="AB1166" s="481"/>
      <c r="AC1166" s="481"/>
      <c r="AD1166" s="481"/>
      <c r="AE1166" s="481"/>
      <c r="AF1166" s="481"/>
      <c r="AG1166" s="481"/>
      <c r="AH1166" s="481"/>
      <c r="AI1166" s="158"/>
      <c r="AJ1166" s="158"/>
      <c r="AK1166" s="133"/>
      <c r="AL1166" s="133"/>
      <c r="AM1166" s="133"/>
      <c r="AN1166" s="133"/>
      <c r="AO1166" s="133"/>
      <c r="AP1166" s="155" t="s">
        <v>3736</v>
      </c>
    </row>
    <row r="1167">
      <c r="A1167" s="155"/>
      <c r="B1167" s="155"/>
      <c r="C1167" s="174"/>
      <c r="D1167" s="155"/>
      <c r="E1167" s="563"/>
      <c r="F1167" s="155"/>
      <c r="G1167" s="158"/>
      <c r="H1167" s="559"/>
      <c r="I1167" s="559"/>
      <c r="J1167" s="559"/>
      <c r="K1167" s="559"/>
      <c r="L1167" s="560"/>
      <c r="M1167" s="560"/>
      <c r="N1167" s="560"/>
      <c r="O1167" s="560"/>
      <c r="P1167" s="562"/>
      <c r="Q1167" s="562"/>
      <c r="R1167" s="562"/>
      <c r="S1167" s="562"/>
      <c r="T1167" s="217"/>
      <c r="U1167" s="217"/>
      <c r="V1167" s="217"/>
      <c r="W1167" s="217"/>
      <c r="X1167" s="217"/>
      <c r="Y1167" s="217"/>
      <c r="Z1167" s="217"/>
      <c r="AA1167" s="481"/>
      <c r="AB1167" s="481"/>
      <c r="AC1167" s="481"/>
      <c r="AD1167" s="481"/>
      <c r="AE1167" s="481"/>
      <c r="AF1167" s="481"/>
      <c r="AG1167" s="481"/>
      <c r="AH1167" s="481"/>
      <c r="AI1167" s="158"/>
      <c r="AJ1167" s="158"/>
      <c r="AK1167" s="133"/>
      <c r="AL1167" s="133"/>
      <c r="AM1167" s="133"/>
      <c r="AN1167" s="133"/>
      <c r="AO1167" s="133"/>
      <c r="AP1167" s="155" t="s">
        <v>3736</v>
      </c>
    </row>
    <row r="1168">
      <c r="A1168" s="155"/>
      <c r="B1168" s="155"/>
      <c r="C1168" s="174"/>
      <c r="D1168" s="155"/>
      <c r="E1168" s="563"/>
      <c r="F1168" s="155"/>
      <c r="G1168" s="158"/>
      <c r="H1168" s="559"/>
      <c r="I1168" s="559"/>
      <c r="J1168" s="559"/>
      <c r="K1168" s="559"/>
      <c r="L1168" s="560"/>
      <c r="M1168" s="560"/>
      <c r="N1168" s="560"/>
      <c r="O1168" s="560"/>
      <c r="P1168" s="562"/>
      <c r="Q1168" s="562"/>
      <c r="R1168" s="562"/>
      <c r="S1168" s="562"/>
      <c r="T1168" s="217"/>
      <c r="U1168" s="217"/>
      <c r="V1168" s="217"/>
      <c r="W1168" s="217"/>
      <c r="X1168" s="217"/>
      <c r="Y1168" s="217"/>
      <c r="Z1168" s="217"/>
      <c r="AA1168" s="481"/>
      <c r="AB1168" s="481"/>
      <c r="AC1168" s="481"/>
      <c r="AD1168" s="481"/>
      <c r="AE1168" s="481"/>
      <c r="AF1168" s="481"/>
      <c r="AG1168" s="481"/>
      <c r="AH1168" s="481"/>
      <c r="AI1168" s="158"/>
      <c r="AJ1168" s="158"/>
      <c r="AK1168" s="133"/>
      <c r="AL1168" s="133"/>
      <c r="AM1168" s="133"/>
      <c r="AN1168" s="133"/>
      <c r="AO1168" s="133"/>
      <c r="AP1168" s="155" t="s">
        <v>3736</v>
      </c>
    </row>
    <row r="1169">
      <c r="A1169" s="155"/>
      <c r="B1169" s="155"/>
      <c r="C1169" s="174"/>
      <c r="D1169" s="155"/>
      <c r="E1169" s="563"/>
      <c r="F1169" s="155"/>
      <c r="G1169" s="158"/>
      <c r="H1169" s="559"/>
      <c r="I1169" s="559"/>
      <c r="J1169" s="559"/>
      <c r="K1169" s="559"/>
      <c r="L1169" s="560"/>
      <c r="M1169" s="560"/>
      <c r="N1169" s="560"/>
      <c r="O1169" s="560"/>
      <c r="P1169" s="562"/>
      <c r="Q1169" s="562"/>
      <c r="R1169" s="562"/>
      <c r="S1169" s="562"/>
      <c r="T1169" s="217"/>
      <c r="U1169" s="217"/>
      <c r="V1169" s="217"/>
      <c r="W1169" s="217"/>
      <c r="X1169" s="217"/>
      <c r="Y1169" s="217"/>
      <c r="Z1169" s="217"/>
      <c r="AA1169" s="481"/>
      <c r="AB1169" s="481"/>
      <c r="AC1169" s="481"/>
      <c r="AD1169" s="481"/>
      <c r="AE1169" s="481"/>
      <c r="AF1169" s="481"/>
      <c r="AG1169" s="481"/>
      <c r="AH1169" s="481"/>
      <c r="AI1169" s="158"/>
      <c r="AJ1169" s="158"/>
      <c r="AK1169" s="133"/>
      <c r="AL1169" s="133"/>
      <c r="AM1169" s="133"/>
      <c r="AN1169" s="133"/>
      <c r="AO1169" s="133"/>
      <c r="AP1169" s="155" t="s">
        <v>3736</v>
      </c>
    </row>
    <row r="1170">
      <c r="A1170" s="155"/>
      <c r="B1170" s="155"/>
      <c r="C1170" s="174"/>
      <c r="D1170" s="155"/>
      <c r="E1170" s="563"/>
      <c r="F1170" s="155"/>
      <c r="G1170" s="158"/>
      <c r="H1170" s="559"/>
      <c r="I1170" s="559"/>
      <c r="J1170" s="559"/>
      <c r="K1170" s="559"/>
      <c r="L1170" s="560"/>
      <c r="M1170" s="560"/>
      <c r="N1170" s="560"/>
      <c r="O1170" s="560"/>
      <c r="P1170" s="562"/>
      <c r="Q1170" s="562"/>
      <c r="R1170" s="562"/>
      <c r="S1170" s="562"/>
      <c r="T1170" s="217"/>
      <c r="U1170" s="217"/>
      <c r="V1170" s="217"/>
      <c r="W1170" s="217"/>
      <c r="X1170" s="217"/>
      <c r="Y1170" s="217"/>
      <c r="Z1170" s="217"/>
      <c r="AA1170" s="481"/>
      <c r="AB1170" s="481"/>
      <c r="AC1170" s="481"/>
      <c r="AD1170" s="481"/>
      <c r="AE1170" s="481"/>
      <c r="AF1170" s="481"/>
      <c r="AG1170" s="481"/>
      <c r="AH1170" s="481"/>
      <c r="AI1170" s="158"/>
      <c r="AJ1170" s="158"/>
      <c r="AK1170" s="133"/>
      <c r="AL1170" s="133"/>
      <c r="AM1170" s="133"/>
      <c r="AN1170" s="133"/>
      <c r="AO1170" s="133"/>
      <c r="AP1170" s="155" t="s">
        <v>3736</v>
      </c>
    </row>
    <row r="1171">
      <c r="A1171" s="155"/>
      <c r="B1171" s="155"/>
      <c r="C1171" s="174"/>
      <c r="D1171" s="155"/>
      <c r="E1171" s="563"/>
      <c r="F1171" s="155"/>
      <c r="G1171" s="158"/>
      <c r="H1171" s="559"/>
      <c r="I1171" s="559"/>
      <c r="J1171" s="559"/>
      <c r="K1171" s="559"/>
      <c r="L1171" s="560"/>
      <c r="M1171" s="560"/>
      <c r="N1171" s="560"/>
      <c r="O1171" s="560"/>
      <c r="P1171" s="562"/>
      <c r="Q1171" s="562"/>
      <c r="R1171" s="562"/>
      <c r="S1171" s="562"/>
      <c r="T1171" s="217"/>
      <c r="U1171" s="217"/>
      <c r="V1171" s="217"/>
      <c r="W1171" s="217"/>
      <c r="X1171" s="217"/>
      <c r="Y1171" s="217"/>
      <c r="Z1171" s="217"/>
      <c r="AA1171" s="481"/>
      <c r="AB1171" s="481"/>
      <c r="AC1171" s="481"/>
      <c r="AD1171" s="481"/>
      <c r="AE1171" s="481"/>
      <c r="AF1171" s="481"/>
      <c r="AG1171" s="481"/>
      <c r="AH1171" s="481"/>
      <c r="AI1171" s="158"/>
      <c r="AJ1171" s="158"/>
      <c r="AK1171" s="133"/>
      <c r="AL1171" s="133"/>
      <c r="AM1171" s="133"/>
      <c r="AN1171" s="133"/>
      <c r="AO1171" s="133"/>
      <c r="AP1171" s="155" t="s">
        <v>3736</v>
      </c>
    </row>
    <row r="1172">
      <c r="A1172" s="155"/>
      <c r="B1172" s="155"/>
      <c r="C1172" s="174"/>
      <c r="D1172" s="155"/>
      <c r="E1172" s="563"/>
      <c r="F1172" s="155"/>
      <c r="G1172" s="158"/>
      <c r="H1172" s="559"/>
      <c r="I1172" s="559"/>
      <c r="J1172" s="559"/>
      <c r="K1172" s="559"/>
      <c r="L1172" s="560"/>
      <c r="M1172" s="560"/>
      <c r="N1172" s="560"/>
      <c r="O1172" s="560"/>
      <c r="P1172" s="562"/>
      <c r="Q1172" s="562"/>
      <c r="R1172" s="562"/>
      <c r="S1172" s="562"/>
      <c r="T1172" s="217"/>
      <c r="U1172" s="217"/>
      <c r="V1172" s="217"/>
      <c r="W1172" s="217"/>
      <c r="X1172" s="217"/>
      <c r="Y1172" s="217"/>
      <c r="Z1172" s="217"/>
      <c r="AA1172" s="481"/>
      <c r="AB1172" s="481"/>
      <c r="AC1172" s="481"/>
      <c r="AD1172" s="481"/>
      <c r="AE1172" s="481"/>
      <c r="AF1172" s="481"/>
      <c r="AG1172" s="481"/>
      <c r="AH1172" s="481"/>
      <c r="AI1172" s="158"/>
      <c r="AJ1172" s="158"/>
      <c r="AK1172" s="133"/>
      <c r="AL1172" s="133"/>
      <c r="AM1172" s="133"/>
      <c r="AN1172" s="133"/>
      <c r="AO1172" s="133"/>
      <c r="AP1172" s="155" t="s">
        <v>3736</v>
      </c>
    </row>
    <row r="1173">
      <c r="A1173" s="155"/>
      <c r="B1173" s="155"/>
      <c r="C1173" s="174"/>
      <c r="D1173" s="155"/>
      <c r="E1173" s="563"/>
      <c r="F1173" s="155"/>
      <c r="G1173" s="158"/>
      <c r="H1173" s="559"/>
      <c r="I1173" s="559"/>
      <c r="J1173" s="559"/>
      <c r="K1173" s="559"/>
      <c r="L1173" s="560"/>
      <c r="M1173" s="560"/>
      <c r="N1173" s="560"/>
      <c r="O1173" s="560"/>
      <c r="P1173" s="562"/>
      <c r="Q1173" s="562"/>
      <c r="R1173" s="562"/>
      <c r="S1173" s="562"/>
      <c r="T1173" s="217"/>
      <c r="U1173" s="217"/>
      <c r="V1173" s="217"/>
      <c r="W1173" s="217"/>
      <c r="X1173" s="217"/>
      <c r="Y1173" s="217"/>
      <c r="Z1173" s="217"/>
      <c r="AA1173" s="481"/>
      <c r="AB1173" s="481"/>
      <c r="AC1173" s="481"/>
      <c r="AD1173" s="481"/>
      <c r="AE1173" s="481"/>
      <c r="AF1173" s="481"/>
      <c r="AG1173" s="481"/>
      <c r="AH1173" s="481"/>
      <c r="AI1173" s="158"/>
      <c r="AJ1173" s="158"/>
      <c r="AK1173" s="133"/>
      <c r="AL1173" s="133"/>
      <c r="AM1173" s="133"/>
      <c r="AN1173" s="133"/>
      <c r="AO1173" s="133"/>
      <c r="AP1173" s="155" t="s">
        <v>3736</v>
      </c>
    </row>
    <row r="1174">
      <c r="A1174" s="155"/>
      <c r="B1174" s="155"/>
      <c r="C1174" s="174"/>
      <c r="D1174" s="155"/>
      <c r="E1174" s="563"/>
      <c r="F1174" s="155"/>
      <c r="G1174" s="158"/>
      <c r="H1174" s="559"/>
      <c r="I1174" s="559"/>
      <c r="J1174" s="559"/>
      <c r="K1174" s="559"/>
      <c r="L1174" s="560"/>
      <c r="M1174" s="560"/>
      <c r="N1174" s="560"/>
      <c r="O1174" s="560"/>
      <c r="P1174" s="562"/>
      <c r="Q1174" s="562"/>
      <c r="R1174" s="562"/>
      <c r="S1174" s="562"/>
      <c r="T1174" s="217"/>
      <c r="U1174" s="217"/>
      <c r="V1174" s="217"/>
      <c r="W1174" s="217"/>
      <c r="X1174" s="217"/>
      <c r="Y1174" s="217"/>
      <c r="Z1174" s="217"/>
      <c r="AA1174" s="481"/>
      <c r="AB1174" s="481"/>
      <c r="AC1174" s="481"/>
      <c r="AD1174" s="481"/>
      <c r="AE1174" s="481"/>
      <c r="AF1174" s="481"/>
      <c r="AG1174" s="481"/>
      <c r="AH1174" s="481"/>
      <c r="AI1174" s="158"/>
      <c r="AJ1174" s="158"/>
      <c r="AK1174" s="133"/>
      <c r="AL1174" s="133"/>
      <c r="AM1174" s="133"/>
      <c r="AN1174" s="133"/>
      <c r="AO1174" s="133"/>
      <c r="AP1174" s="155" t="s">
        <v>3736</v>
      </c>
    </row>
    <row r="1175">
      <c r="A1175" s="155"/>
      <c r="B1175" s="155"/>
      <c r="C1175" s="174"/>
      <c r="D1175" s="155"/>
      <c r="E1175" s="563"/>
      <c r="F1175" s="155"/>
      <c r="G1175" s="158"/>
      <c r="H1175" s="559"/>
      <c r="I1175" s="559"/>
      <c r="J1175" s="559"/>
      <c r="K1175" s="559"/>
      <c r="L1175" s="560"/>
      <c r="M1175" s="560"/>
      <c r="N1175" s="560"/>
      <c r="O1175" s="560"/>
      <c r="P1175" s="562"/>
      <c r="Q1175" s="562"/>
      <c r="R1175" s="562"/>
      <c r="S1175" s="562"/>
      <c r="T1175" s="217"/>
      <c r="U1175" s="217"/>
      <c r="V1175" s="217"/>
      <c r="W1175" s="217"/>
      <c r="X1175" s="217"/>
      <c r="Y1175" s="217"/>
      <c r="Z1175" s="217"/>
      <c r="AA1175" s="481"/>
      <c r="AB1175" s="481"/>
      <c r="AC1175" s="481"/>
      <c r="AD1175" s="481"/>
      <c r="AE1175" s="481"/>
      <c r="AF1175" s="481"/>
      <c r="AG1175" s="481"/>
      <c r="AH1175" s="481"/>
      <c r="AI1175" s="158"/>
      <c r="AJ1175" s="158"/>
      <c r="AK1175" s="133"/>
      <c r="AL1175" s="133"/>
      <c r="AM1175" s="133"/>
      <c r="AN1175" s="133"/>
      <c r="AO1175" s="133"/>
      <c r="AP1175" s="155" t="s">
        <v>3736</v>
      </c>
    </row>
    <row r="1176">
      <c r="A1176" s="155"/>
      <c r="B1176" s="155"/>
      <c r="C1176" s="174"/>
      <c r="D1176" s="155"/>
      <c r="E1176" s="563"/>
      <c r="F1176" s="155"/>
      <c r="G1176" s="158"/>
      <c r="H1176" s="559"/>
      <c r="I1176" s="559"/>
      <c r="J1176" s="559"/>
      <c r="K1176" s="559"/>
      <c r="L1176" s="560"/>
      <c r="M1176" s="560"/>
      <c r="N1176" s="560"/>
      <c r="O1176" s="560"/>
      <c r="P1176" s="562"/>
      <c r="Q1176" s="562"/>
      <c r="R1176" s="562"/>
      <c r="S1176" s="562"/>
      <c r="T1176" s="217"/>
      <c r="U1176" s="217"/>
      <c r="V1176" s="217"/>
      <c r="W1176" s="217"/>
      <c r="X1176" s="217"/>
      <c r="Y1176" s="217"/>
      <c r="Z1176" s="217"/>
      <c r="AA1176" s="481"/>
      <c r="AB1176" s="481"/>
      <c r="AC1176" s="481"/>
      <c r="AD1176" s="481"/>
      <c r="AE1176" s="481"/>
      <c r="AF1176" s="481"/>
      <c r="AG1176" s="481"/>
      <c r="AH1176" s="481"/>
      <c r="AI1176" s="158"/>
      <c r="AJ1176" s="158"/>
      <c r="AK1176" s="133"/>
      <c r="AL1176" s="133"/>
      <c r="AM1176" s="133"/>
      <c r="AN1176" s="133"/>
      <c r="AO1176" s="133"/>
      <c r="AP1176" s="155" t="s">
        <v>3736</v>
      </c>
    </row>
    <row r="1177">
      <c r="A1177" s="155"/>
      <c r="B1177" s="155"/>
      <c r="C1177" s="174"/>
      <c r="D1177" s="155"/>
      <c r="E1177" s="563"/>
      <c r="F1177" s="155"/>
      <c r="G1177" s="158"/>
      <c r="H1177" s="559"/>
      <c r="I1177" s="559"/>
      <c r="J1177" s="559"/>
      <c r="K1177" s="559"/>
      <c r="L1177" s="560"/>
      <c r="M1177" s="560"/>
      <c r="N1177" s="560"/>
      <c r="O1177" s="560"/>
      <c r="P1177" s="562"/>
      <c r="Q1177" s="562"/>
      <c r="R1177" s="562"/>
      <c r="S1177" s="562"/>
      <c r="T1177" s="217"/>
      <c r="U1177" s="217"/>
      <c r="V1177" s="217"/>
      <c r="W1177" s="217"/>
      <c r="X1177" s="217"/>
      <c r="Y1177" s="217"/>
      <c r="Z1177" s="217"/>
      <c r="AA1177" s="481"/>
      <c r="AB1177" s="481"/>
      <c r="AC1177" s="481"/>
      <c r="AD1177" s="481"/>
      <c r="AE1177" s="481"/>
      <c r="AF1177" s="481"/>
      <c r="AG1177" s="481"/>
      <c r="AH1177" s="481"/>
      <c r="AI1177" s="158"/>
      <c r="AJ1177" s="158"/>
      <c r="AK1177" s="133"/>
      <c r="AL1177" s="133"/>
      <c r="AM1177" s="133"/>
      <c r="AN1177" s="133"/>
      <c r="AO1177" s="133"/>
      <c r="AP1177" s="155" t="s">
        <v>3736</v>
      </c>
    </row>
    <row r="1178">
      <c r="A1178" s="155"/>
      <c r="B1178" s="155"/>
      <c r="C1178" s="174"/>
      <c r="D1178" s="155"/>
      <c r="E1178" s="563"/>
      <c r="F1178" s="155"/>
      <c r="G1178" s="158"/>
      <c r="H1178" s="559"/>
      <c r="I1178" s="559"/>
      <c r="J1178" s="559"/>
      <c r="K1178" s="559"/>
      <c r="L1178" s="560"/>
      <c r="M1178" s="560"/>
      <c r="N1178" s="560"/>
      <c r="O1178" s="560"/>
      <c r="P1178" s="562"/>
      <c r="Q1178" s="562"/>
      <c r="R1178" s="562"/>
      <c r="S1178" s="562"/>
      <c r="T1178" s="217"/>
      <c r="U1178" s="217"/>
      <c r="V1178" s="217"/>
      <c r="W1178" s="217"/>
      <c r="X1178" s="217"/>
      <c r="Y1178" s="217"/>
      <c r="Z1178" s="217"/>
      <c r="AA1178" s="481"/>
      <c r="AB1178" s="481"/>
      <c r="AC1178" s="481"/>
      <c r="AD1178" s="481"/>
      <c r="AE1178" s="481"/>
      <c r="AF1178" s="481"/>
      <c r="AG1178" s="481"/>
      <c r="AH1178" s="481"/>
      <c r="AI1178" s="158"/>
      <c r="AJ1178" s="158"/>
      <c r="AK1178" s="133"/>
      <c r="AL1178" s="133"/>
      <c r="AM1178" s="133"/>
      <c r="AN1178" s="133"/>
      <c r="AO1178" s="133"/>
      <c r="AP1178" s="155" t="s">
        <v>3736</v>
      </c>
    </row>
    <row r="1179">
      <c r="A1179" s="155"/>
      <c r="B1179" s="155"/>
      <c r="C1179" s="174"/>
      <c r="D1179" s="155"/>
      <c r="E1179" s="563"/>
      <c r="F1179" s="155"/>
      <c r="G1179" s="158"/>
      <c r="H1179" s="559"/>
      <c r="I1179" s="559"/>
      <c r="J1179" s="559"/>
      <c r="K1179" s="559"/>
      <c r="L1179" s="560"/>
      <c r="M1179" s="560"/>
      <c r="N1179" s="560"/>
      <c r="O1179" s="560"/>
      <c r="P1179" s="562"/>
      <c r="Q1179" s="562"/>
      <c r="R1179" s="562"/>
      <c r="S1179" s="562"/>
      <c r="T1179" s="217"/>
      <c r="U1179" s="217"/>
      <c r="V1179" s="217"/>
      <c r="W1179" s="217"/>
      <c r="X1179" s="217"/>
      <c r="Y1179" s="217"/>
      <c r="Z1179" s="217"/>
      <c r="AA1179" s="481"/>
      <c r="AB1179" s="481"/>
      <c r="AC1179" s="481"/>
      <c r="AD1179" s="481"/>
      <c r="AE1179" s="481"/>
      <c r="AF1179" s="481"/>
      <c r="AG1179" s="481"/>
      <c r="AH1179" s="481"/>
      <c r="AI1179" s="158"/>
      <c r="AJ1179" s="158"/>
      <c r="AK1179" s="133"/>
      <c r="AL1179" s="133"/>
      <c r="AM1179" s="133"/>
      <c r="AN1179" s="133"/>
      <c r="AO1179" s="133"/>
      <c r="AP1179" s="155" t="s">
        <v>3736</v>
      </c>
    </row>
    <row r="1180">
      <c r="A1180" s="155"/>
      <c r="B1180" s="155"/>
      <c r="C1180" s="174"/>
      <c r="D1180" s="155"/>
      <c r="E1180" s="563"/>
      <c r="F1180" s="155"/>
      <c r="G1180" s="158"/>
      <c r="H1180" s="559"/>
      <c r="I1180" s="559"/>
      <c r="J1180" s="559"/>
      <c r="K1180" s="559"/>
      <c r="L1180" s="560"/>
      <c r="M1180" s="560"/>
      <c r="N1180" s="560"/>
      <c r="O1180" s="560"/>
      <c r="P1180" s="562"/>
      <c r="Q1180" s="562"/>
      <c r="R1180" s="562"/>
      <c r="S1180" s="562"/>
      <c r="T1180" s="217"/>
      <c r="U1180" s="217"/>
      <c r="V1180" s="217"/>
      <c r="W1180" s="217"/>
      <c r="X1180" s="217"/>
      <c r="Y1180" s="217"/>
      <c r="Z1180" s="217"/>
      <c r="AA1180" s="481"/>
      <c r="AB1180" s="481"/>
      <c r="AC1180" s="481"/>
      <c r="AD1180" s="481"/>
      <c r="AE1180" s="481"/>
      <c r="AF1180" s="481"/>
      <c r="AG1180" s="481"/>
      <c r="AH1180" s="481"/>
      <c r="AI1180" s="158"/>
      <c r="AJ1180" s="158"/>
      <c r="AK1180" s="133"/>
      <c r="AL1180" s="133"/>
      <c r="AM1180" s="133"/>
      <c r="AN1180" s="133"/>
      <c r="AO1180" s="133"/>
      <c r="AP1180" s="155" t="s">
        <v>3736</v>
      </c>
    </row>
    <row r="1181">
      <c r="A1181" s="155"/>
      <c r="B1181" s="155"/>
      <c r="C1181" s="174"/>
      <c r="D1181" s="155"/>
      <c r="E1181" s="563"/>
      <c r="F1181" s="155"/>
      <c r="G1181" s="158"/>
      <c r="H1181" s="559"/>
      <c r="I1181" s="559"/>
      <c r="J1181" s="559"/>
      <c r="K1181" s="559"/>
      <c r="L1181" s="560"/>
      <c r="M1181" s="560"/>
      <c r="N1181" s="560"/>
      <c r="O1181" s="560"/>
      <c r="P1181" s="562"/>
      <c r="Q1181" s="562"/>
      <c r="R1181" s="562"/>
      <c r="S1181" s="562"/>
      <c r="T1181" s="217"/>
      <c r="U1181" s="217"/>
      <c r="V1181" s="217"/>
      <c r="W1181" s="217"/>
      <c r="X1181" s="217"/>
      <c r="Y1181" s="217"/>
      <c r="Z1181" s="217"/>
      <c r="AA1181" s="481"/>
      <c r="AB1181" s="481"/>
      <c r="AC1181" s="481"/>
      <c r="AD1181" s="481"/>
      <c r="AE1181" s="481"/>
      <c r="AF1181" s="481"/>
      <c r="AG1181" s="481"/>
      <c r="AH1181" s="481"/>
      <c r="AI1181" s="158"/>
      <c r="AJ1181" s="158"/>
      <c r="AK1181" s="133"/>
      <c r="AL1181" s="133"/>
      <c r="AM1181" s="133"/>
      <c r="AN1181" s="133"/>
      <c r="AO1181" s="133"/>
      <c r="AP1181" s="155" t="s">
        <v>3736</v>
      </c>
    </row>
    <row r="1182">
      <c r="A1182" s="155"/>
      <c r="B1182" s="155"/>
      <c r="C1182" s="174"/>
      <c r="D1182" s="155"/>
      <c r="E1182" s="563"/>
      <c r="F1182" s="155"/>
      <c r="G1182" s="158"/>
      <c r="H1182" s="559"/>
      <c r="I1182" s="559"/>
      <c r="J1182" s="559"/>
      <c r="K1182" s="559"/>
      <c r="L1182" s="560"/>
      <c r="M1182" s="560"/>
      <c r="N1182" s="560"/>
      <c r="O1182" s="560"/>
      <c r="P1182" s="562"/>
      <c r="Q1182" s="562"/>
      <c r="R1182" s="562"/>
      <c r="S1182" s="562"/>
      <c r="T1182" s="217"/>
      <c r="U1182" s="217"/>
      <c r="V1182" s="217"/>
      <c r="W1182" s="217"/>
      <c r="X1182" s="217"/>
      <c r="Y1182" s="217"/>
      <c r="Z1182" s="217"/>
      <c r="AA1182" s="481"/>
      <c r="AB1182" s="481"/>
      <c r="AC1182" s="481"/>
      <c r="AD1182" s="481"/>
      <c r="AE1182" s="481"/>
      <c r="AF1182" s="481"/>
      <c r="AG1182" s="481"/>
      <c r="AH1182" s="481"/>
      <c r="AI1182" s="158"/>
      <c r="AJ1182" s="158"/>
      <c r="AK1182" s="133"/>
      <c r="AL1182" s="133"/>
      <c r="AM1182" s="133"/>
      <c r="AN1182" s="133"/>
      <c r="AO1182" s="133"/>
      <c r="AP1182" s="155" t="s">
        <v>3736</v>
      </c>
    </row>
    <row r="1183">
      <c r="A1183" s="155"/>
      <c r="B1183" s="155"/>
      <c r="C1183" s="174"/>
      <c r="D1183" s="155"/>
      <c r="E1183" s="563"/>
      <c r="F1183" s="155"/>
      <c r="G1183" s="158"/>
      <c r="H1183" s="559"/>
      <c r="I1183" s="559"/>
      <c r="J1183" s="559"/>
      <c r="K1183" s="559"/>
      <c r="L1183" s="560"/>
      <c r="M1183" s="560"/>
      <c r="N1183" s="560"/>
      <c r="O1183" s="560"/>
      <c r="P1183" s="562"/>
      <c r="Q1183" s="562"/>
      <c r="R1183" s="562"/>
      <c r="S1183" s="562"/>
      <c r="T1183" s="217"/>
      <c r="U1183" s="217"/>
      <c r="V1183" s="217"/>
      <c r="W1183" s="217"/>
      <c r="X1183" s="217"/>
      <c r="Y1183" s="217"/>
      <c r="Z1183" s="217"/>
      <c r="AA1183" s="481"/>
      <c r="AB1183" s="481"/>
      <c r="AC1183" s="481"/>
      <c r="AD1183" s="481"/>
      <c r="AE1183" s="481"/>
      <c r="AF1183" s="481"/>
      <c r="AG1183" s="481"/>
      <c r="AH1183" s="481"/>
      <c r="AI1183" s="158"/>
      <c r="AJ1183" s="158"/>
      <c r="AK1183" s="133"/>
      <c r="AL1183" s="133"/>
      <c r="AM1183" s="133"/>
      <c r="AN1183" s="133"/>
      <c r="AO1183" s="133"/>
      <c r="AP1183" s="155" t="s">
        <v>3736</v>
      </c>
    </row>
    <row r="1184">
      <c r="A1184" s="155"/>
      <c r="B1184" s="155"/>
      <c r="C1184" s="174"/>
      <c r="D1184" s="155"/>
      <c r="E1184" s="563"/>
      <c r="F1184" s="155"/>
      <c r="G1184" s="158"/>
      <c r="H1184" s="559"/>
      <c r="I1184" s="559"/>
      <c r="J1184" s="559"/>
      <c r="K1184" s="559"/>
      <c r="L1184" s="560"/>
      <c r="M1184" s="560"/>
      <c r="N1184" s="560"/>
      <c r="O1184" s="560"/>
      <c r="P1184" s="562"/>
      <c r="Q1184" s="562"/>
      <c r="R1184" s="562"/>
      <c r="S1184" s="562"/>
      <c r="T1184" s="217"/>
      <c r="U1184" s="217"/>
      <c r="V1184" s="217"/>
      <c r="W1184" s="217"/>
      <c r="X1184" s="217"/>
      <c r="Y1184" s="217"/>
      <c r="Z1184" s="217"/>
      <c r="AA1184" s="481"/>
      <c r="AB1184" s="481"/>
      <c r="AC1184" s="481"/>
      <c r="AD1184" s="481"/>
      <c r="AE1184" s="481"/>
      <c r="AF1184" s="481"/>
      <c r="AG1184" s="481"/>
      <c r="AH1184" s="481"/>
      <c r="AI1184" s="158"/>
      <c r="AJ1184" s="158"/>
      <c r="AK1184" s="133"/>
      <c r="AL1184" s="133"/>
      <c r="AM1184" s="133"/>
      <c r="AN1184" s="133"/>
      <c r="AO1184" s="133"/>
      <c r="AP1184" s="155" t="s">
        <v>3736</v>
      </c>
    </row>
    <row r="1185">
      <c r="A1185" s="155"/>
      <c r="B1185" s="155"/>
      <c r="C1185" s="174"/>
      <c r="D1185" s="155"/>
      <c r="E1185" s="563"/>
      <c r="F1185" s="155"/>
      <c r="G1185" s="158"/>
      <c r="H1185" s="559"/>
      <c r="I1185" s="559"/>
      <c r="J1185" s="559"/>
      <c r="K1185" s="559"/>
      <c r="L1185" s="560"/>
      <c r="M1185" s="560"/>
      <c r="N1185" s="560"/>
      <c r="O1185" s="560"/>
      <c r="P1185" s="562"/>
      <c r="Q1185" s="562"/>
      <c r="R1185" s="562"/>
      <c r="S1185" s="562"/>
      <c r="T1185" s="217"/>
      <c r="U1185" s="217"/>
      <c r="V1185" s="217"/>
      <c r="W1185" s="217"/>
      <c r="X1185" s="217"/>
      <c r="Y1185" s="217"/>
      <c r="Z1185" s="217"/>
      <c r="AA1185" s="481"/>
      <c r="AB1185" s="481"/>
      <c r="AC1185" s="481"/>
      <c r="AD1185" s="481"/>
      <c r="AE1185" s="481"/>
      <c r="AF1185" s="481"/>
      <c r="AG1185" s="481"/>
      <c r="AH1185" s="481"/>
      <c r="AI1185" s="158"/>
      <c r="AJ1185" s="158"/>
      <c r="AK1185" s="133"/>
      <c r="AL1185" s="133"/>
      <c r="AM1185" s="133"/>
      <c r="AN1185" s="133"/>
      <c r="AO1185" s="133"/>
      <c r="AP1185" s="155" t="s">
        <v>3736</v>
      </c>
    </row>
    <row r="1186">
      <c r="A1186" s="155"/>
      <c r="B1186" s="155"/>
      <c r="C1186" s="174"/>
      <c r="D1186" s="155"/>
      <c r="E1186" s="563"/>
      <c r="F1186" s="155"/>
      <c r="G1186" s="158"/>
      <c r="H1186" s="559"/>
      <c r="I1186" s="559"/>
      <c r="J1186" s="559"/>
      <c r="K1186" s="559"/>
      <c r="L1186" s="560"/>
      <c r="M1186" s="560"/>
      <c r="N1186" s="560"/>
      <c r="O1186" s="560"/>
      <c r="P1186" s="562"/>
      <c r="Q1186" s="562"/>
      <c r="R1186" s="562"/>
      <c r="S1186" s="562"/>
      <c r="T1186" s="217"/>
      <c r="U1186" s="217"/>
      <c r="V1186" s="217"/>
      <c r="W1186" s="217"/>
      <c r="X1186" s="217"/>
      <c r="Y1186" s="217"/>
      <c r="Z1186" s="217"/>
      <c r="AA1186" s="481"/>
      <c r="AB1186" s="481"/>
      <c r="AC1186" s="481"/>
      <c r="AD1186" s="481"/>
      <c r="AE1186" s="481"/>
      <c r="AF1186" s="481"/>
      <c r="AG1186" s="481"/>
      <c r="AH1186" s="481"/>
      <c r="AI1186" s="158"/>
      <c r="AJ1186" s="158"/>
      <c r="AK1186" s="133"/>
      <c r="AL1186" s="133"/>
      <c r="AM1186" s="133"/>
      <c r="AN1186" s="133"/>
      <c r="AO1186" s="133"/>
      <c r="AP1186" s="155" t="s">
        <v>3736</v>
      </c>
    </row>
    <row r="1187">
      <c r="A1187" s="155"/>
      <c r="B1187" s="155"/>
      <c r="C1187" s="174"/>
      <c r="D1187" s="155"/>
      <c r="E1187" s="563"/>
      <c r="F1187" s="155"/>
      <c r="G1187" s="158"/>
      <c r="H1187" s="559"/>
      <c r="I1187" s="559"/>
      <c r="J1187" s="559"/>
      <c r="K1187" s="559"/>
      <c r="L1187" s="560"/>
      <c r="M1187" s="560"/>
      <c r="N1187" s="560"/>
      <c r="O1187" s="560"/>
      <c r="P1187" s="562"/>
      <c r="Q1187" s="562"/>
      <c r="R1187" s="562"/>
      <c r="S1187" s="562"/>
      <c r="T1187" s="217"/>
      <c r="U1187" s="217"/>
      <c r="V1187" s="217"/>
      <c r="W1187" s="217"/>
      <c r="X1187" s="217"/>
      <c r="Y1187" s="217"/>
      <c r="Z1187" s="217"/>
      <c r="AA1187" s="481"/>
      <c r="AB1187" s="481"/>
      <c r="AC1187" s="481"/>
      <c r="AD1187" s="481"/>
      <c r="AE1187" s="481"/>
      <c r="AF1187" s="481"/>
      <c r="AG1187" s="481"/>
      <c r="AH1187" s="481"/>
      <c r="AI1187" s="158"/>
      <c r="AJ1187" s="158"/>
      <c r="AK1187" s="133"/>
      <c r="AL1187" s="133"/>
      <c r="AM1187" s="133"/>
      <c r="AN1187" s="133"/>
      <c r="AO1187" s="133"/>
      <c r="AP1187" s="155" t="s">
        <v>3736</v>
      </c>
    </row>
    <row r="1188">
      <c r="A1188" s="155"/>
      <c r="B1188" s="155"/>
      <c r="C1188" s="174"/>
      <c r="D1188" s="155"/>
      <c r="E1188" s="563"/>
      <c r="F1188" s="155"/>
      <c r="G1188" s="158"/>
      <c r="H1188" s="559"/>
      <c r="I1188" s="559"/>
      <c r="J1188" s="559"/>
      <c r="K1188" s="559"/>
      <c r="L1188" s="560"/>
      <c r="M1188" s="560"/>
      <c r="N1188" s="560"/>
      <c r="O1188" s="560"/>
      <c r="P1188" s="562"/>
      <c r="Q1188" s="562"/>
      <c r="R1188" s="562"/>
      <c r="S1188" s="562"/>
      <c r="T1188" s="217"/>
      <c r="U1188" s="217"/>
      <c r="V1188" s="217"/>
      <c r="W1188" s="217"/>
      <c r="X1188" s="217"/>
      <c r="Y1188" s="217"/>
      <c r="Z1188" s="217"/>
      <c r="AA1188" s="481"/>
      <c r="AB1188" s="481"/>
      <c r="AC1188" s="481"/>
      <c r="AD1188" s="481"/>
      <c r="AE1188" s="481"/>
      <c r="AF1188" s="481"/>
      <c r="AG1188" s="481"/>
      <c r="AH1188" s="481"/>
      <c r="AI1188" s="158"/>
      <c r="AJ1188" s="158"/>
      <c r="AK1188" s="133"/>
      <c r="AL1188" s="133"/>
      <c r="AM1188" s="133"/>
      <c r="AN1188" s="133"/>
      <c r="AO1188" s="133"/>
      <c r="AP1188" s="155" t="s">
        <v>3736</v>
      </c>
    </row>
    <row r="1189">
      <c r="A1189" s="155"/>
      <c r="B1189" s="155"/>
      <c r="C1189" s="174"/>
      <c r="D1189" s="155"/>
      <c r="E1189" s="563"/>
      <c r="F1189" s="155"/>
      <c r="G1189" s="158"/>
      <c r="H1189" s="559"/>
      <c r="I1189" s="559"/>
      <c r="J1189" s="559"/>
      <c r="K1189" s="559"/>
      <c r="L1189" s="560"/>
      <c r="M1189" s="560"/>
      <c r="N1189" s="560"/>
      <c r="O1189" s="560"/>
      <c r="P1189" s="562"/>
      <c r="Q1189" s="562"/>
      <c r="R1189" s="562"/>
      <c r="S1189" s="562"/>
      <c r="T1189" s="217"/>
      <c r="U1189" s="217"/>
      <c r="V1189" s="217"/>
      <c r="W1189" s="217"/>
      <c r="X1189" s="217"/>
      <c r="Y1189" s="217"/>
      <c r="Z1189" s="217"/>
      <c r="AA1189" s="481"/>
      <c r="AB1189" s="481"/>
      <c r="AC1189" s="481"/>
      <c r="AD1189" s="481"/>
      <c r="AE1189" s="481"/>
      <c r="AF1189" s="481"/>
      <c r="AG1189" s="481"/>
      <c r="AH1189" s="481"/>
      <c r="AI1189" s="158"/>
      <c r="AJ1189" s="158"/>
      <c r="AK1189" s="133"/>
      <c r="AL1189" s="133"/>
      <c r="AM1189" s="133"/>
      <c r="AN1189" s="133"/>
      <c r="AO1189" s="133"/>
      <c r="AP1189" s="155"/>
    </row>
    <row r="1190">
      <c r="A1190" s="155"/>
      <c r="B1190" s="155"/>
      <c r="C1190" s="174"/>
      <c r="D1190" s="155"/>
      <c r="E1190" s="563"/>
      <c r="F1190" s="155"/>
      <c r="G1190" s="158"/>
      <c r="H1190" s="559"/>
      <c r="I1190" s="559"/>
      <c r="J1190" s="559"/>
      <c r="K1190" s="559"/>
      <c r="L1190" s="560"/>
      <c r="M1190" s="560"/>
      <c r="N1190" s="560"/>
      <c r="O1190" s="560"/>
      <c r="P1190" s="562"/>
      <c r="Q1190" s="562"/>
      <c r="R1190" s="562"/>
      <c r="S1190" s="562"/>
      <c r="T1190" s="217"/>
      <c r="U1190" s="217"/>
      <c r="V1190" s="217"/>
      <c r="W1190" s="217"/>
      <c r="X1190" s="217"/>
      <c r="Y1190" s="217"/>
      <c r="Z1190" s="217"/>
      <c r="AA1190" s="481"/>
      <c r="AB1190" s="481"/>
      <c r="AC1190" s="481"/>
      <c r="AD1190" s="481"/>
      <c r="AE1190" s="481"/>
      <c r="AF1190" s="481"/>
      <c r="AG1190" s="481"/>
      <c r="AH1190" s="481"/>
      <c r="AI1190" s="158"/>
      <c r="AJ1190" s="158"/>
      <c r="AK1190" s="133"/>
      <c r="AL1190" s="133"/>
      <c r="AM1190" s="133"/>
      <c r="AN1190" s="133"/>
      <c r="AO1190" s="133"/>
      <c r="AP1190" s="155"/>
    </row>
    <row r="1191">
      <c r="A1191" s="155"/>
      <c r="B1191" s="155"/>
      <c r="C1191" s="174"/>
      <c r="D1191" s="155"/>
      <c r="E1191" s="563"/>
      <c r="F1191" s="155"/>
      <c r="G1191" s="158"/>
      <c r="H1191" s="559"/>
      <c r="I1191" s="559"/>
      <c r="J1191" s="559"/>
      <c r="K1191" s="559"/>
      <c r="L1191" s="560"/>
      <c r="M1191" s="560"/>
      <c r="N1191" s="560"/>
      <c r="O1191" s="560"/>
      <c r="P1191" s="562"/>
      <c r="Q1191" s="562"/>
      <c r="R1191" s="562"/>
      <c r="S1191" s="562"/>
      <c r="T1191" s="217"/>
      <c r="U1191" s="217"/>
      <c r="V1191" s="217"/>
      <c r="W1191" s="217"/>
      <c r="X1191" s="217"/>
      <c r="Y1191" s="217"/>
      <c r="Z1191" s="217"/>
      <c r="AA1191" s="481"/>
      <c r="AB1191" s="481"/>
      <c r="AC1191" s="481"/>
      <c r="AD1191" s="481"/>
      <c r="AE1191" s="481"/>
      <c r="AF1191" s="481"/>
      <c r="AG1191" s="481"/>
      <c r="AH1191" s="481"/>
      <c r="AI1191" s="158"/>
      <c r="AJ1191" s="158"/>
      <c r="AK1191" s="133"/>
      <c r="AL1191" s="133"/>
      <c r="AM1191" s="133"/>
      <c r="AN1191" s="133"/>
      <c r="AO1191" s="133"/>
      <c r="AP1191" s="155"/>
    </row>
    <row r="1192">
      <c r="A1192" s="155"/>
      <c r="B1192" s="155"/>
      <c r="C1192" s="174"/>
      <c r="D1192" s="155"/>
      <c r="E1192" s="563"/>
      <c r="F1192" s="155"/>
      <c r="G1192" s="158"/>
      <c r="H1192" s="559"/>
      <c r="I1192" s="559"/>
      <c r="J1192" s="559"/>
      <c r="K1192" s="559"/>
      <c r="L1192" s="560"/>
      <c r="M1192" s="560"/>
      <c r="N1192" s="560"/>
      <c r="O1192" s="560"/>
      <c r="P1192" s="562"/>
      <c r="Q1192" s="562"/>
      <c r="R1192" s="562"/>
      <c r="S1192" s="562"/>
      <c r="T1192" s="217"/>
      <c r="U1192" s="217"/>
      <c r="V1192" s="217"/>
      <c r="W1192" s="217"/>
      <c r="X1192" s="217"/>
      <c r="Y1192" s="217"/>
      <c r="Z1192" s="217"/>
      <c r="AA1192" s="481"/>
      <c r="AB1192" s="481"/>
      <c r="AC1192" s="481"/>
      <c r="AD1192" s="481"/>
      <c r="AE1192" s="481"/>
      <c r="AF1192" s="481"/>
      <c r="AG1192" s="481"/>
      <c r="AH1192" s="481"/>
      <c r="AI1192" s="158"/>
      <c r="AJ1192" s="158"/>
      <c r="AK1192" s="133"/>
      <c r="AL1192" s="133"/>
      <c r="AM1192" s="133"/>
      <c r="AN1192" s="133"/>
      <c r="AO1192" s="133"/>
      <c r="AP1192" s="155"/>
    </row>
    <row r="1193">
      <c r="A1193" s="155"/>
      <c r="B1193" s="155"/>
      <c r="C1193" s="174"/>
      <c r="D1193" s="155"/>
      <c r="E1193" s="563"/>
      <c r="F1193" s="155"/>
      <c r="G1193" s="158"/>
      <c r="H1193" s="559"/>
      <c r="I1193" s="559"/>
      <c r="J1193" s="559"/>
      <c r="K1193" s="559"/>
      <c r="L1193" s="560"/>
      <c r="M1193" s="560"/>
      <c r="N1193" s="560"/>
      <c r="O1193" s="560"/>
      <c r="P1193" s="562"/>
      <c r="Q1193" s="562"/>
      <c r="R1193" s="562"/>
      <c r="S1193" s="562"/>
      <c r="T1193" s="217"/>
      <c r="U1193" s="217"/>
      <c r="V1193" s="217"/>
      <c r="W1193" s="217"/>
      <c r="X1193" s="217"/>
      <c r="Y1193" s="217"/>
      <c r="Z1193" s="217"/>
      <c r="AA1193" s="481"/>
      <c r="AB1193" s="481"/>
      <c r="AC1193" s="481"/>
      <c r="AD1193" s="481"/>
      <c r="AE1193" s="481"/>
      <c r="AF1193" s="481"/>
      <c r="AG1193" s="481"/>
      <c r="AH1193" s="481"/>
      <c r="AI1193" s="158"/>
      <c r="AJ1193" s="158"/>
      <c r="AK1193" s="133"/>
      <c r="AL1193" s="133"/>
      <c r="AM1193" s="133"/>
      <c r="AN1193" s="133"/>
      <c r="AO1193" s="133"/>
      <c r="AP1193" s="155"/>
    </row>
    <row r="1194">
      <c r="A1194" s="155"/>
      <c r="B1194" s="155"/>
      <c r="C1194" s="174"/>
      <c r="D1194" s="155"/>
      <c r="E1194" s="563"/>
      <c r="F1194" s="155"/>
      <c r="G1194" s="158"/>
      <c r="H1194" s="559"/>
      <c r="I1194" s="559"/>
      <c r="J1194" s="559"/>
      <c r="K1194" s="559"/>
      <c r="L1194" s="560"/>
      <c r="M1194" s="560"/>
      <c r="N1194" s="560"/>
      <c r="O1194" s="560"/>
      <c r="P1194" s="562"/>
      <c r="Q1194" s="562"/>
      <c r="R1194" s="562"/>
      <c r="S1194" s="562"/>
      <c r="T1194" s="217"/>
      <c r="U1194" s="217"/>
      <c r="V1194" s="217"/>
      <c r="W1194" s="217"/>
      <c r="X1194" s="217"/>
      <c r="Y1194" s="217"/>
      <c r="Z1194" s="217"/>
      <c r="AA1194" s="481"/>
      <c r="AB1194" s="481"/>
      <c r="AC1194" s="481"/>
      <c r="AD1194" s="481"/>
      <c r="AE1194" s="481"/>
      <c r="AF1194" s="481"/>
      <c r="AG1194" s="481"/>
      <c r="AH1194" s="481"/>
      <c r="AI1194" s="158"/>
      <c r="AJ1194" s="158"/>
      <c r="AK1194" s="133"/>
      <c r="AL1194" s="133"/>
      <c r="AM1194" s="133"/>
      <c r="AN1194" s="133"/>
      <c r="AO1194" s="133"/>
      <c r="AP1194" s="155"/>
    </row>
    <row r="1195">
      <c r="A1195" s="155"/>
      <c r="B1195" s="155"/>
      <c r="C1195" s="174"/>
      <c r="D1195" s="155"/>
      <c r="E1195" s="563"/>
      <c r="F1195" s="155"/>
      <c r="G1195" s="158"/>
      <c r="H1195" s="559"/>
      <c r="I1195" s="559"/>
      <c r="J1195" s="559"/>
      <c r="K1195" s="559"/>
      <c r="L1195" s="560"/>
      <c r="M1195" s="560"/>
      <c r="N1195" s="560"/>
      <c r="O1195" s="560"/>
      <c r="P1195" s="562"/>
      <c r="Q1195" s="562"/>
      <c r="R1195" s="562"/>
      <c r="S1195" s="562"/>
      <c r="T1195" s="217"/>
      <c r="U1195" s="217"/>
      <c r="V1195" s="217"/>
      <c r="W1195" s="217"/>
      <c r="X1195" s="217"/>
      <c r="Y1195" s="217"/>
      <c r="Z1195" s="217"/>
      <c r="AA1195" s="481"/>
      <c r="AB1195" s="481"/>
      <c r="AC1195" s="481"/>
      <c r="AD1195" s="481"/>
      <c r="AE1195" s="481"/>
      <c r="AF1195" s="481"/>
      <c r="AG1195" s="481"/>
      <c r="AH1195" s="481"/>
      <c r="AI1195" s="158"/>
      <c r="AJ1195" s="158"/>
      <c r="AK1195" s="133"/>
      <c r="AL1195" s="133"/>
      <c r="AM1195" s="133"/>
      <c r="AN1195" s="133"/>
      <c r="AO1195" s="133"/>
      <c r="AP1195" s="155"/>
    </row>
    <row r="1196">
      <c r="A1196" s="155"/>
      <c r="B1196" s="155"/>
      <c r="C1196" s="174"/>
      <c r="D1196" s="155"/>
      <c r="E1196" s="563"/>
      <c r="F1196" s="155"/>
      <c r="G1196" s="158"/>
      <c r="H1196" s="559"/>
      <c r="I1196" s="559"/>
      <c r="J1196" s="559"/>
      <c r="K1196" s="559"/>
      <c r="L1196" s="560"/>
      <c r="M1196" s="560"/>
      <c r="N1196" s="560"/>
      <c r="O1196" s="560"/>
      <c r="P1196" s="562"/>
      <c r="Q1196" s="562"/>
      <c r="R1196" s="562"/>
      <c r="S1196" s="562"/>
      <c r="T1196" s="217"/>
      <c r="U1196" s="217"/>
      <c r="V1196" s="217"/>
      <c r="W1196" s="217"/>
      <c r="X1196" s="217"/>
      <c r="Y1196" s="217"/>
      <c r="Z1196" s="217"/>
      <c r="AA1196" s="481"/>
      <c r="AB1196" s="481"/>
      <c r="AC1196" s="481"/>
      <c r="AD1196" s="481"/>
      <c r="AE1196" s="481"/>
      <c r="AF1196" s="481"/>
      <c r="AG1196" s="481"/>
      <c r="AH1196" s="481"/>
      <c r="AI1196" s="158"/>
      <c r="AJ1196" s="158"/>
      <c r="AK1196" s="133"/>
      <c r="AL1196" s="133"/>
      <c r="AM1196" s="133"/>
      <c r="AN1196" s="133"/>
      <c r="AO1196" s="133"/>
      <c r="AP1196" s="155"/>
    </row>
    <row r="1197">
      <c r="A1197" s="155"/>
      <c r="B1197" s="155"/>
      <c r="C1197" s="174"/>
      <c r="D1197" s="155"/>
      <c r="E1197" s="563"/>
      <c r="F1197" s="155"/>
      <c r="G1197" s="158"/>
      <c r="H1197" s="559"/>
      <c r="I1197" s="559"/>
      <c r="J1197" s="559"/>
      <c r="K1197" s="559"/>
      <c r="L1197" s="560"/>
      <c r="M1197" s="560"/>
      <c r="N1197" s="560"/>
      <c r="O1197" s="560"/>
      <c r="P1197" s="562"/>
      <c r="Q1197" s="562"/>
      <c r="R1197" s="562"/>
      <c r="S1197" s="562"/>
      <c r="T1197" s="217"/>
      <c r="U1197" s="217"/>
      <c r="V1197" s="217"/>
      <c r="W1197" s="217"/>
      <c r="X1197" s="217"/>
      <c r="Y1197" s="217"/>
      <c r="Z1197" s="217"/>
      <c r="AA1197" s="481"/>
      <c r="AB1197" s="481"/>
      <c r="AC1197" s="481"/>
      <c r="AD1197" s="481"/>
      <c r="AE1197" s="481"/>
      <c r="AF1197" s="481"/>
      <c r="AG1197" s="481"/>
      <c r="AH1197" s="481"/>
      <c r="AI1197" s="158"/>
      <c r="AJ1197" s="158"/>
      <c r="AK1197" s="133"/>
      <c r="AL1197" s="133"/>
      <c r="AM1197" s="133"/>
      <c r="AN1197" s="133"/>
      <c r="AO1197" s="133"/>
      <c r="AP1197" s="155"/>
    </row>
    <row r="1198">
      <c r="A1198" s="155"/>
      <c r="B1198" s="155"/>
      <c r="C1198" s="174"/>
      <c r="D1198" s="155"/>
      <c r="E1198" s="563"/>
      <c r="F1198" s="155"/>
      <c r="G1198" s="158"/>
      <c r="H1198" s="559"/>
      <c r="I1198" s="559"/>
      <c r="J1198" s="559"/>
      <c r="K1198" s="559"/>
      <c r="L1198" s="560"/>
      <c r="M1198" s="560"/>
      <c r="N1198" s="560"/>
      <c r="O1198" s="560"/>
      <c r="P1198" s="562"/>
      <c r="Q1198" s="562"/>
      <c r="R1198" s="562"/>
      <c r="S1198" s="562"/>
      <c r="T1198" s="217"/>
      <c r="U1198" s="217"/>
      <c r="V1198" s="217"/>
      <c r="W1198" s="217"/>
      <c r="X1198" s="217"/>
      <c r="Y1198" s="217"/>
      <c r="Z1198" s="217"/>
      <c r="AA1198" s="481"/>
      <c r="AB1198" s="481"/>
      <c r="AC1198" s="481"/>
      <c r="AD1198" s="481"/>
      <c r="AE1198" s="481"/>
      <c r="AF1198" s="481"/>
      <c r="AG1198" s="481"/>
      <c r="AH1198" s="481"/>
      <c r="AI1198" s="158"/>
      <c r="AJ1198" s="158"/>
      <c r="AK1198" s="133"/>
      <c r="AL1198" s="133"/>
      <c r="AM1198" s="133"/>
      <c r="AN1198" s="133"/>
      <c r="AO1198" s="133"/>
      <c r="AP1198" s="155"/>
    </row>
    <row r="1199">
      <c r="A1199" s="155"/>
      <c r="B1199" s="155"/>
      <c r="C1199" s="174"/>
      <c r="D1199" s="155"/>
      <c r="E1199" s="563"/>
      <c r="F1199" s="155"/>
      <c r="G1199" s="158"/>
      <c r="H1199" s="559"/>
      <c r="I1199" s="559"/>
      <c r="J1199" s="559"/>
      <c r="K1199" s="559"/>
      <c r="L1199" s="560"/>
      <c r="M1199" s="560"/>
      <c r="N1199" s="560"/>
      <c r="O1199" s="560"/>
      <c r="P1199" s="562"/>
      <c r="Q1199" s="562"/>
      <c r="R1199" s="562"/>
      <c r="S1199" s="562"/>
      <c r="T1199" s="217"/>
      <c r="U1199" s="217"/>
      <c r="V1199" s="217"/>
      <c r="W1199" s="217"/>
      <c r="X1199" s="217"/>
      <c r="Y1199" s="217"/>
      <c r="Z1199" s="217"/>
      <c r="AA1199" s="481"/>
      <c r="AB1199" s="481"/>
      <c r="AC1199" s="481"/>
      <c r="AD1199" s="481"/>
      <c r="AE1199" s="481"/>
      <c r="AF1199" s="481"/>
      <c r="AG1199" s="481"/>
      <c r="AH1199" s="481"/>
      <c r="AI1199" s="158"/>
      <c r="AJ1199" s="158"/>
      <c r="AK1199" s="133"/>
      <c r="AL1199" s="133"/>
      <c r="AM1199" s="133"/>
      <c r="AN1199" s="133"/>
      <c r="AO1199" s="133"/>
      <c r="AP1199" s="155"/>
    </row>
    <row r="1200">
      <c r="A1200" s="155"/>
      <c r="B1200" s="155"/>
      <c r="C1200" s="174"/>
      <c r="D1200" s="155"/>
      <c r="E1200" s="563"/>
      <c r="F1200" s="155"/>
      <c r="G1200" s="158"/>
      <c r="H1200" s="559"/>
      <c r="I1200" s="559"/>
      <c r="J1200" s="559"/>
      <c r="K1200" s="559"/>
      <c r="L1200" s="560"/>
      <c r="M1200" s="560"/>
      <c r="N1200" s="560"/>
      <c r="O1200" s="560"/>
      <c r="P1200" s="562"/>
      <c r="Q1200" s="562"/>
      <c r="R1200" s="562"/>
      <c r="S1200" s="562"/>
      <c r="T1200" s="217"/>
      <c r="U1200" s="217"/>
      <c r="V1200" s="217"/>
      <c r="W1200" s="217"/>
      <c r="X1200" s="217"/>
      <c r="Y1200" s="217"/>
      <c r="Z1200" s="217"/>
      <c r="AA1200" s="481"/>
      <c r="AB1200" s="481"/>
      <c r="AC1200" s="481"/>
      <c r="AD1200" s="481"/>
      <c r="AE1200" s="481"/>
      <c r="AF1200" s="481"/>
      <c r="AG1200" s="481"/>
      <c r="AH1200" s="481"/>
      <c r="AI1200" s="158"/>
      <c r="AJ1200" s="158"/>
      <c r="AK1200" s="133"/>
      <c r="AL1200" s="133"/>
      <c r="AM1200" s="133"/>
      <c r="AN1200" s="133"/>
      <c r="AO1200" s="133"/>
      <c r="AP1200" s="155"/>
    </row>
    <row r="1201">
      <c r="A1201" s="155"/>
      <c r="B1201" s="155"/>
      <c r="C1201" s="174"/>
      <c r="D1201" s="155"/>
      <c r="E1201" s="563"/>
      <c r="F1201" s="155"/>
      <c r="G1201" s="158"/>
      <c r="H1201" s="559"/>
      <c r="I1201" s="559"/>
      <c r="J1201" s="559"/>
      <c r="K1201" s="559"/>
      <c r="L1201" s="560"/>
      <c r="M1201" s="560"/>
      <c r="N1201" s="560"/>
      <c r="O1201" s="560"/>
      <c r="P1201" s="562"/>
      <c r="Q1201" s="562"/>
      <c r="R1201" s="562"/>
      <c r="S1201" s="562"/>
      <c r="T1201" s="217"/>
      <c r="U1201" s="217"/>
      <c r="V1201" s="217"/>
      <c r="W1201" s="217"/>
      <c r="X1201" s="217"/>
      <c r="Y1201" s="217"/>
      <c r="Z1201" s="217"/>
      <c r="AA1201" s="481"/>
      <c r="AB1201" s="481"/>
      <c r="AC1201" s="481"/>
      <c r="AD1201" s="481"/>
      <c r="AE1201" s="481"/>
      <c r="AF1201" s="481"/>
      <c r="AG1201" s="481"/>
      <c r="AH1201" s="481"/>
      <c r="AI1201" s="158"/>
      <c r="AJ1201" s="158"/>
      <c r="AK1201" s="133"/>
      <c r="AL1201" s="133"/>
      <c r="AM1201" s="133"/>
      <c r="AN1201" s="133"/>
      <c r="AO1201" s="133"/>
      <c r="AP1201" s="155"/>
    </row>
    <row r="1202">
      <c r="A1202" s="155"/>
      <c r="B1202" s="155"/>
      <c r="C1202" s="174"/>
      <c r="D1202" s="155"/>
      <c r="E1202" s="563"/>
      <c r="F1202" s="155"/>
      <c r="G1202" s="158"/>
      <c r="H1202" s="559"/>
      <c r="I1202" s="559"/>
      <c r="J1202" s="559"/>
      <c r="K1202" s="559"/>
      <c r="L1202" s="560"/>
      <c r="M1202" s="560"/>
      <c r="N1202" s="560"/>
      <c r="O1202" s="560"/>
      <c r="P1202" s="562"/>
      <c r="Q1202" s="562"/>
      <c r="R1202" s="562"/>
      <c r="S1202" s="562"/>
      <c r="T1202" s="217"/>
      <c r="U1202" s="217"/>
      <c r="V1202" s="217"/>
      <c r="W1202" s="217"/>
      <c r="X1202" s="217"/>
      <c r="Y1202" s="217"/>
      <c r="Z1202" s="217"/>
      <c r="AA1202" s="481"/>
      <c r="AB1202" s="481"/>
      <c r="AC1202" s="481"/>
      <c r="AD1202" s="481"/>
      <c r="AE1202" s="481"/>
      <c r="AF1202" s="481"/>
      <c r="AG1202" s="481"/>
      <c r="AH1202" s="481"/>
      <c r="AI1202" s="158"/>
      <c r="AJ1202" s="158"/>
      <c r="AK1202" s="133"/>
      <c r="AL1202" s="133"/>
      <c r="AM1202" s="133"/>
      <c r="AN1202" s="133"/>
      <c r="AO1202" s="133"/>
      <c r="AP1202" s="155"/>
    </row>
    <row r="1203">
      <c r="A1203" s="155"/>
      <c r="B1203" s="155"/>
      <c r="C1203" s="174"/>
      <c r="D1203" s="155"/>
      <c r="E1203" s="563"/>
      <c r="F1203" s="155"/>
      <c r="G1203" s="158"/>
      <c r="H1203" s="559"/>
      <c r="I1203" s="559"/>
      <c r="J1203" s="559"/>
      <c r="K1203" s="559"/>
      <c r="L1203" s="560"/>
      <c r="M1203" s="560"/>
      <c r="N1203" s="560"/>
      <c r="O1203" s="560"/>
      <c r="P1203" s="562"/>
      <c r="Q1203" s="562"/>
      <c r="R1203" s="562"/>
      <c r="S1203" s="562"/>
      <c r="T1203" s="217"/>
      <c r="U1203" s="217"/>
      <c r="V1203" s="217"/>
      <c r="W1203" s="217"/>
      <c r="X1203" s="217"/>
      <c r="Y1203" s="217"/>
      <c r="Z1203" s="217"/>
      <c r="AA1203" s="481"/>
      <c r="AB1203" s="481"/>
      <c r="AC1203" s="481"/>
      <c r="AD1203" s="481"/>
      <c r="AE1203" s="481"/>
      <c r="AF1203" s="481"/>
      <c r="AG1203" s="481"/>
      <c r="AH1203" s="481"/>
      <c r="AI1203" s="158"/>
      <c r="AJ1203" s="158"/>
      <c r="AK1203" s="133"/>
      <c r="AL1203" s="133"/>
      <c r="AM1203" s="133"/>
      <c r="AN1203" s="133"/>
      <c r="AO1203" s="133"/>
      <c r="AP1203" s="155"/>
    </row>
    <row r="1204">
      <c r="A1204" s="155"/>
      <c r="B1204" s="155"/>
      <c r="C1204" s="174"/>
      <c r="D1204" s="155"/>
      <c r="E1204" s="563"/>
      <c r="F1204" s="155"/>
      <c r="G1204" s="158"/>
      <c r="H1204" s="559"/>
      <c r="I1204" s="559"/>
      <c r="J1204" s="559"/>
      <c r="K1204" s="559"/>
      <c r="L1204" s="560"/>
      <c r="M1204" s="560"/>
      <c r="N1204" s="560"/>
      <c r="O1204" s="560"/>
      <c r="P1204" s="562"/>
      <c r="Q1204" s="562"/>
      <c r="R1204" s="562"/>
      <c r="S1204" s="562"/>
      <c r="T1204" s="217"/>
      <c r="U1204" s="217"/>
      <c r="V1204" s="217"/>
      <c r="W1204" s="217"/>
      <c r="X1204" s="217"/>
      <c r="Y1204" s="217"/>
      <c r="Z1204" s="217"/>
      <c r="AA1204" s="481"/>
      <c r="AB1204" s="481"/>
      <c r="AC1204" s="481"/>
      <c r="AD1204" s="481"/>
      <c r="AE1204" s="481"/>
      <c r="AF1204" s="481"/>
      <c r="AG1204" s="481"/>
      <c r="AH1204" s="481"/>
      <c r="AI1204" s="158"/>
      <c r="AJ1204" s="158"/>
      <c r="AK1204" s="133"/>
      <c r="AL1204" s="133"/>
      <c r="AM1204" s="133"/>
      <c r="AN1204" s="133"/>
      <c r="AO1204" s="133"/>
      <c r="AP1204" s="155"/>
    </row>
    <row r="1205">
      <c r="A1205" s="155"/>
      <c r="B1205" s="155"/>
      <c r="C1205" s="174"/>
      <c r="D1205" s="155"/>
      <c r="E1205" s="563"/>
      <c r="F1205" s="155"/>
      <c r="G1205" s="158"/>
      <c r="H1205" s="559"/>
      <c r="I1205" s="559"/>
      <c r="J1205" s="559"/>
      <c r="K1205" s="559"/>
      <c r="L1205" s="560"/>
      <c r="M1205" s="560"/>
      <c r="N1205" s="560"/>
      <c r="O1205" s="560"/>
      <c r="P1205" s="562"/>
      <c r="Q1205" s="562"/>
      <c r="R1205" s="562"/>
      <c r="S1205" s="562"/>
      <c r="T1205" s="217"/>
      <c r="U1205" s="217"/>
      <c r="V1205" s="217"/>
      <c r="W1205" s="217"/>
      <c r="X1205" s="217"/>
      <c r="Y1205" s="217"/>
      <c r="Z1205" s="217"/>
      <c r="AA1205" s="481"/>
      <c r="AB1205" s="481"/>
      <c r="AC1205" s="481"/>
      <c r="AD1205" s="481"/>
      <c r="AE1205" s="481"/>
      <c r="AF1205" s="481"/>
      <c r="AG1205" s="481"/>
      <c r="AH1205" s="481"/>
      <c r="AI1205" s="158"/>
      <c r="AJ1205" s="158"/>
      <c r="AK1205" s="133"/>
      <c r="AL1205" s="133"/>
      <c r="AM1205" s="133"/>
      <c r="AN1205" s="133"/>
      <c r="AO1205" s="133"/>
      <c r="AP1205" s="155"/>
    </row>
    <row r="1206">
      <c r="A1206" s="155"/>
      <c r="B1206" s="155"/>
      <c r="C1206" s="174"/>
      <c r="D1206" s="155"/>
      <c r="E1206" s="563"/>
      <c r="F1206" s="155"/>
      <c r="G1206" s="158"/>
      <c r="H1206" s="559"/>
      <c r="I1206" s="559"/>
      <c r="J1206" s="559"/>
      <c r="K1206" s="559"/>
      <c r="L1206" s="560"/>
      <c r="M1206" s="560"/>
      <c r="N1206" s="560"/>
      <c r="O1206" s="560"/>
      <c r="P1206" s="562"/>
      <c r="Q1206" s="562"/>
      <c r="R1206" s="562"/>
      <c r="S1206" s="562"/>
      <c r="T1206" s="217"/>
      <c r="U1206" s="217"/>
      <c r="V1206" s="217"/>
      <c r="W1206" s="217"/>
      <c r="X1206" s="217"/>
      <c r="Y1206" s="217"/>
      <c r="Z1206" s="217"/>
      <c r="AA1206" s="481"/>
      <c r="AB1206" s="481"/>
      <c r="AC1206" s="481"/>
      <c r="AD1206" s="481"/>
      <c r="AE1206" s="481"/>
      <c r="AF1206" s="481"/>
      <c r="AG1206" s="481"/>
      <c r="AH1206" s="481"/>
      <c r="AI1206" s="158"/>
      <c r="AJ1206" s="158"/>
      <c r="AK1206" s="133"/>
      <c r="AL1206" s="133"/>
      <c r="AM1206" s="133"/>
      <c r="AN1206" s="133"/>
      <c r="AO1206" s="133"/>
      <c r="AP1206" s="155"/>
    </row>
    <row r="1207">
      <c r="A1207" s="155"/>
      <c r="B1207" s="155"/>
      <c r="C1207" s="174"/>
      <c r="D1207" s="155"/>
      <c r="E1207" s="563"/>
      <c r="F1207" s="155"/>
      <c r="G1207" s="158"/>
      <c r="H1207" s="559"/>
      <c r="I1207" s="559"/>
      <c r="J1207" s="559"/>
      <c r="K1207" s="559"/>
      <c r="L1207" s="560"/>
      <c r="M1207" s="560"/>
      <c r="N1207" s="560"/>
      <c r="O1207" s="560"/>
      <c r="P1207" s="562"/>
      <c r="Q1207" s="562"/>
      <c r="R1207" s="562"/>
      <c r="S1207" s="562"/>
      <c r="T1207" s="217"/>
      <c r="U1207" s="217"/>
      <c r="V1207" s="217"/>
      <c r="W1207" s="217"/>
      <c r="X1207" s="217"/>
      <c r="Y1207" s="217"/>
      <c r="Z1207" s="217"/>
      <c r="AA1207" s="481"/>
      <c r="AB1207" s="481"/>
      <c r="AC1207" s="481"/>
      <c r="AD1207" s="481"/>
      <c r="AE1207" s="481"/>
      <c r="AF1207" s="481"/>
      <c r="AG1207" s="481"/>
      <c r="AH1207" s="481"/>
      <c r="AI1207" s="158"/>
      <c r="AJ1207" s="158"/>
      <c r="AK1207" s="133"/>
      <c r="AL1207" s="133"/>
      <c r="AM1207" s="133"/>
      <c r="AN1207" s="133"/>
      <c r="AO1207" s="133"/>
      <c r="AP1207" s="155"/>
    </row>
    <row r="1208">
      <c r="A1208" s="155"/>
      <c r="B1208" s="155"/>
      <c r="C1208" s="174"/>
      <c r="D1208" s="155"/>
      <c r="E1208" s="563"/>
      <c r="F1208" s="155"/>
      <c r="G1208" s="158"/>
      <c r="H1208" s="559"/>
      <c r="I1208" s="559"/>
      <c r="J1208" s="559"/>
      <c r="K1208" s="559"/>
      <c r="L1208" s="560"/>
      <c r="M1208" s="560"/>
      <c r="N1208" s="560"/>
      <c r="O1208" s="560"/>
      <c r="P1208" s="562"/>
      <c r="Q1208" s="562"/>
      <c r="R1208" s="562"/>
      <c r="S1208" s="562"/>
      <c r="T1208" s="217"/>
      <c r="U1208" s="217"/>
      <c r="V1208" s="217"/>
      <c r="W1208" s="217"/>
      <c r="X1208" s="217"/>
      <c r="Y1208" s="217"/>
      <c r="Z1208" s="217"/>
      <c r="AA1208" s="481"/>
      <c r="AB1208" s="481"/>
      <c r="AC1208" s="481"/>
      <c r="AD1208" s="481"/>
      <c r="AE1208" s="481"/>
      <c r="AF1208" s="481"/>
      <c r="AG1208" s="481"/>
      <c r="AH1208" s="481"/>
      <c r="AI1208" s="158"/>
      <c r="AJ1208" s="158"/>
      <c r="AK1208" s="133"/>
      <c r="AL1208" s="133"/>
      <c r="AM1208" s="133"/>
      <c r="AN1208" s="133"/>
      <c r="AO1208" s="133"/>
      <c r="AP1208" s="155"/>
    </row>
    <row r="1209">
      <c r="A1209" s="155"/>
      <c r="B1209" s="155"/>
      <c r="C1209" s="174"/>
      <c r="D1209" s="155"/>
      <c r="E1209" s="563"/>
      <c r="F1209" s="155"/>
      <c r="G1209" s="158"/>
      <c r="H1209" s="559"/>
      <c r="I1209" s="559"/>
      <c r="J1209" s="559"/>
      <c r="K1209" s="559"/>
      <c r="L1209" s="560"/>
      <c r="M1209" s="560"/>
      <c r="N1209" s="560"/>
      <c r="O1209" s="560"/>
      <c r="P1209" s="562"/>
      <c r="Q1209" s="562"/>
      <c r="R1209" s="562"/>
      <c r="S1209" s="562"/>
      <c r="T1209" s="217"/>
      <c r="U1209" s="217"/>
      <c r="V1209" s="217"/>
      <c r="W1209" s="217"/>
      <c r="X1209" s="217"/>
      <c r="Y1209" s="217"/>
      <c r="Z1209" s="217"/>
      <c r="AA1209" s="481"/>
      <c r="AB1209" s="481"/>
      <c r="AC1209" s="481"/>
      <c r="AD1209" s="481"/>
      <c r="AE1209" s="481"/>
      <c r="AF1209" s="481"/>
      <c r="AG1209" s="481"/>
      <c r="AH1209" s="481"/>
      <c r="AI1209" s="158"/>
      <c r="AJ1209" s="158"/>
      <c r="AK1209" s="133"/>
      <c r="AL1209" s="133"/>
      <c r="AM1209" s="133"/>
      <c r="AN1209" s="133"/>
      <c r="AO1209" s="133"/>
      <c r="AP1209" s="155"/>
    </row>
    <row r="1210">
      <c r="A1210" s="155"/>
      <c r="B1210" s="155"/>
      <c r="C1210" s="174"/>
      <c r="D1210" s="155"/>
      <c r="E1210" s="563"/>
      <c r="F1210" s="155"/>
      <c r="G1210" s="158"/>
      <c r="H1210" s="559"/>
      <c r="I1210" s="559"/>
      <c r="J1210" s="559"/>
      <c r="K1210" s="559"/>
      <c r="L1210" s="560"/>
      <c r="M1210" s="560"/>
      <c r="N1210" s="560"/>
      <c r="O1210" s="560"/>
      <c r="P1210" s="562"/>
      <c r="Q1210" s="562"/>
      <c r="R1210" s="562"/>
      <c r="S1210" s="562"/>
      <c r="T1210" s="217"/>
      <c r="U1210" s="217"/>
      <c r="V1210" s="217"/>
      <c r="W1210" s="217"/>
      <c r="X1210" s="217"/>
      <c r="Y1210" s="217"/>
      <c r="Z1210" s="217"/>
      <c r="AA1210" s="481"/>
      <c r="AB1210" s="481"/>
      <c r="AC1210" s="481"/>
      <c r="AD1210" s="481"/>
      <c r="AE1210" s="481"/>
      <c r="AF1210" s="481"/>
      <c r="AG1210" s="481"/>
      <c r="AH1210" s="481"/>
      <c r="AI1210" s="158"/>
      <c r="AJ1210" s="158"/>
      <c r="AK1210" s="133"/>
      <c r="AL1210" s="133"/>
      <c r="AM1210" s="133"/>
      <c r="AN1210" s="133"/>
      <c r="AO1210" s="133"/>
      <c r="AP1210" s="155"/>
    </row>
    <row r="1211">
      <c r="A1211" s="155"/>
      <c r="B1211" s="155"/>
      <c r="C1211" s="174"/>
      <c r="D1211" s="155"/>
      <c r="E1211" s="563"/>
      <c r="F1211" s="155"/>
      <c r="G1211" s="158"/>
      <c r="H1211" s="559"/>
      <c r="I1211" s="559"/>
      <c r="J1211" s="559"/>
      <c r="K1211" s="559"/>
      <c r="L1211" s="560"/>
      <c r="M1211" s="560"/>
      <c r="N1211" s="560"/>
      <c r="O1211" s="560"/>
      <c r="P1211" s="562"/>
      <c r="Q1211" s="562"/>
      <c r="R1211" s="562"/>
      <c r="S1211" s="562"/>
      <c r="T1211" s="217"/>
      <c r="U1211" s="217"/>
      <c r="V1211" s="217"/>
      <c r="W1211" s="217"/>
      <c r="X1211" s="217"/>
      <c r="Y1211" s="217"/>
      <c r="Z1211" s="217"/>
      <c r="AA1211" s="481"/>
      <c r="AB1211" s="481"/>
      <c r="AC1211" s="481"/>
      <c r="AD1211" s="481"/>
      <c r="AE1211" s="481"/>
      <c r="AF1211" s="481"/>
      <c r="AG1211" s="481"/>
      <c r="AH1211" s="481"/>
      <c r="AI1211" s="158"/>
      <c r="AJ1211" s="158"/>
      <c r="AK1211" s="133"/>
      <c r="AL1211" s="133"/>
      <c r="AM1211" s="133"/>
      <c r="AN1211" s="133"/>
      <c r="AO1211" s="133"/>
      <c r="AP1211" s="155"/>
    </row>
    <row r="1212">
      <c r="A1212" s="155"/>
      <c r="B1212" s="155"/>
      <c r="C1212" s="174"/>
      <c r="D1212" s="155"/>
      <c r="E1212" s="563"/>
      <c r="F1212" s="155"/>
      <c r="G1212" s="158"/>
      <c r="H1212" s="559"/>
      <c r="I1212" s="559"/>
      <c r="J1212" s="559"/>
      <c r="K1212" s="559"/>
      <c r="L1212" s="560"/>
      <c r="M1212" s="560"/>
      <c r="N1212" s="560"/>
      <c r="O1212" s="560"/>
      <c r="P1212" s="562"/>
      <c r="Q1212" s="562"/>
      <c r="R1212" s="562"/>
      <c r="S1212" s="562"/>
      <c r="T1212" s="217"/>
      <c r="U1212" s="217"/>
      <c r="V1212" s="217"/>
      <c r="W1212" s="217"/>
      <c r="X1212" s="217"/>
      <c r="Y1212" s="217"/>
      <c r="Z1212" s="217"/>
      <c r="AA1212" s="481"/>
      <c r="AB1212" s="481"/>
      <c r="AC1212" s="481"/>
      <c r="AD1212" s="481"/>
      <c r="AE1212" s="481"/>
      <c r="AF1212" s="481"/>
      <c r="AG1212" s="481"/>
      <c r="AH1212" s="481"/>
      <c r="AI1212" s="158"/>
      <c r="AJ1212" s="158"/>
      <c r="AK1212" s="133"/>
      <c r="AL1212" s="133"/>
      <c r="AM1212" s="133"/>
      <c r="AN1212" s="133"/>
      <c r="AO1212" s="133"/>
      <c r="AP1212" s="155"/>
    </row>
    <row r="1213">
      <c r="A1213" s="155"/>
      <c r="B1213" s="155"/>
      <c r="C1213" s="174"/>
      <c r="D1213" s="155"/>
      <c r="E1213" s="563"/>
      <c r="F1213" s="155"/>
      <c r="G1213" s="158"/>
      <c r="H1213" s="559"/>
      <c r="I1213" s="559"/>
      <c r="J1213" s="559"/>
      <c r="K1213" s="559"/>
      <c r="L1213" s="560"/>
      <c r="M1213" s="560"/>
      <c r="N1213" s="560"/>
      <c r="O1213" s="560"/>
      <c r="P1213" s="562"/>
      <c r="Q1213" s="562"/>
      <c r="R1213" s="562"/>
      <c r="S1213" s="562"/>
      <c r="T1213" s="217"/>
      <c r="U1213" s="217"/>
      <c r="V1213" s="217"/>
      <c r="W1213" s="217"/>
      <c r="X1213" s="217"/>
      <c r="Y1213" s="217"/>
      <c r="Z1213" s="217"/>
      <c r="AA1213" s="481"/>
      <c r="AB1213" s="481"/>
      <c r="AC1213" s="481"/>
      <c r="AD1213" s="481"/>
      <c r="AE1213" s="481"/>
      <c r="AF1213" s="481"/>
      <c r="AG1213" s="481"/>
      <c r="AH1213" s="481"/>
      <c r="AI1213" s="158"/>
      <c r="AJ1213" s="158"/>
      <c r="AK1213" s="133"/>
      <c r="AL1213" s="133"/>
      <c r="AM1213" s="133"/>
      <c r="AN1213" s="133"/>
      <c r="AO1213" s="133"/>
      <c r="AP1213" s="155"/>
    </row>
    <row r="1214">
      <c r="A1214" s="155"/>
      <c r="B1214" s="155"/>
      <c r="C1214" s="174"/>
      <c r="D1214" s="155"/>
      <c r="E1214" s="563"/>
      <c r="F1214" s="155"/>
      <c r="G1214" s="158"/>
      <c r="H1214" s="559"/>
      <c r="I1214" s="559"/>
      <c r="J1214" s="559"/>
      <c r="K1214" s="559"/>
      <c r="L1214" s="560"/>
      <c r="M1214" s="560"/>
      <c r="N1214" s="560"/>
      <c r="O1214" s="560"/>
      <c r="P1214" s="562"/>
      <c r="Q1214" s="562"/>
      <c r="R1214" s="562"/>
      <c r="S1214" s="562"/>
      <c r="T1214" s="217"/>
      <c r="U1214" s="217"/>
      <c r="V1214" s="217"/>
      <c r="W1214" s="217"/>
      <c r="X1214" s="217"/>
      <c r="Y1214" s="217"/>
      <c r="Z1214" s="217"/>
      <c r="AA1214" s="481"/>
      <c r="AB1214" s="481"/>
      <c r="AC1214" s="481"/>
      <c r="AD1214" s="481"/>
      <c r="AE1214" s="481"/>
      <c r="AF1214" s="481"/>
      <c r="AG1214" s="481"/>
      <c r="AH1214" s="481"/>
      <c r="AI1214" s="158"/>
      <c r="AJ1214" s="158"/>
      <c r="AK1214" s="133"/>
      <c r="AL1214" s="133"/>
      <c r="AM1214" s="133"/>
      <c r="AN1214" s="133"/>
      <c r="AO1214" s="133"/>
      <c r="AP1214" s="155"/>
    </row>
    <row r="1215">
      <c r="A1215" s="155"/>
      <c r="B1215" s="155"/>
      <c r="C1215" s="174"/>
      <c r="D1215" s="155"/>
      <c r="E1215" s="563"/>
      <c r="F1215" s="155"/>
      <c r="G1215" s="158"/>
      <c r="H1215" s="559"/>
      <c r="I1215" s="559"/>
      <c r="J1215" s="559"/>
      <c r="K1215" s="559"/>
      <c r="L1215" s="560"/>
      <c r="M1215" s="560"/>
      <c r="N1215" s="560"/>
      <c r="O1215" s="560"/>
      <c r="P1215" s="562"/>
      <c r="Q1215" s="562"/>
      <c r="R1215" s="562"/>
      <c r="S1215" s="562"/>
      <c r="T1215" s="217"/>
      <c r="U1215" s="217"/>
      <c r="V1215" s="217"/>
      <c r="W1215" s="217"/>
      <c r="X1215" s="217"/>
      <c r="Y1215" s="217"/>
      <c r="Z1215" s="217"/>
      <c r="AA1215" s="481"/>
      <c r="AB1215" s="481"/>
      <c r="AC1215" s="481"/>
      <c r="AD1215" s="481"/>
      <c r="AE1215" s="481"/>
      <c r="AF1215" s="481"/>
      <c r="AG1215" s="481"/>
      <c r="AH1215" s="481"/>
      <c r="AI1215" s="158"/>
      <c r="AJ1215" s="158"/>
      <c r="AK1215" s="133"/>
      <c r="AL1215" s="133"/>
      <c r="AM1215" s="133"/>
      <c r="AN1215" s="133"/>
      <c r="AO1215" s="133"/>
      <c r="AP1215" s="155"/>
    </row>
    <row r="1216">
      <c r="A1216" s="155"/>
      <c r="B1216" s="155"/>
      <c r="C1216" s="174"/>
      <c r="D1216" s="155"/>
      <c r="E1216" s="563"/>
      <c r="F1216" s="155"/>
      <c r="G1216" s="158"/>
      <c r="H1216" s="559"/>
      <c r="I1216" s="559"/>
      <c r="J1216" s="559"/>
      <c r="K1216" s="559"/>
      <c r="L1216" s="560"/>
      <c r="M1216" s="560"/>
      <c r="N1216" s="560"/>
      <c r="O1216" s="560"/>
      <c r="P1216" s="562"/>
      <c r="Q1216" s="562"/>
      <c r="R1216" s="562"/>
      <c r="S1216" s="562"/>
      <c r="T1216" s="217"/>
      <c r="U1216" s="217"/>
      <c r="V1216" s="217"/>
      <c r="W1216" s="217"/>
      <c r="X1216" s="217"/>
      <c r="Y1216" s="217"/>
      <c r="Z1216" s="217"/>
      <c r="AA1216" s="481"/>
      <c r="AB1216" s="481"/>
      <c r="AC1216" s="481"/>
      <c r="AD1216" s="481"/>
      <c r="AE1216" s="481"/>
      <c r="AF1216" s="481"/>
      <c r="AG1216" s="481"/>
      <c r="AH1216" s="481"/>
      <c r="AI1216" s="158"/>
      <c r="AJ1216" s="158"/>
      <c r="AK1216" s="133"/>
      <c r="AL1216" s="133"/>
      <c r="AM1216" s="133"/>
      <c r="AN1216" s="133"/>
      <c r="AO1216" s="133"/>
      <c r="AP1216" s="155"/>
    </row>
    <row r="1217">
      <c r="A1217" s="155"/>
      <c r="B1217" s="155"/>
      <c r="C1217" s="174"/>
      <c r="D1217" s="155"/>
      <c r="E1217" s="563"/>
      <c r="F1217" s="155"/>
      <c r="G1217" s="158"/>
      <c r="H1217" s="559"/>
      <c r="I1217" s="559"/>
      <c r="J1217" s="559"/>
      <c r="K1217" s="559"/>
      <c r="L1217" s="560"/>
      <c r="M1217" s="560"/>
      <c r="N1217" s="560"/>
      <c r="O1217" s="560"/>
      <c r="P1217" s="562"/>
      <c r="Q1217" s="562"/>
      <c r="R1217" s="562"/>
      <c r="S1217" s="562"/>
      <c r="T1217" s="217"/>
      <c r="U1217" s="217"/>
      <c r="V1217" s="217"/>
      <c r="W1217" s="217"/>
      <c r="X1217" s="217"/>
      <c r="Y1217" s="217"/>
      <c r="Z1217" s="217"/>
      <c r="AA1217" s="481"/>
      <c r="AB1217" s="481"/>
      <c r="AC1217" s="481"/>
      <c r="AD1217" s="481"/>
      <c r="AE1217" s="481"/>
      <c r="AF1217" s="481"/>
      <c r="AG1217" s="481"/>
      <c r="AH1217" s="481"/>
      <c r="AI1217" s="158"/>
      <c r="AJ1217" s="158"/>
      <c r="AK1217" s="133"/>
      <c r="AL1217" s="133"/>
      <c r="AM1217" s="133"/>
      <c r="AN1217" s="133"/>
      <c r="AO1217" s="133"/>
      <c r="AP1217" s="155"/>
    </row>
    <row r="1218">
      <c r="A1218" s="155"/>
      <c r="B1218" s="155"/>
      <c r="C1218" s="174"/>
      <c r="D1218" s="155"/>
      <c r="E1218" s="563"/>
      <c r="F1218" s="155"/>
      <c r="G1218" s="158"/>
      <c r="H1218" s="559"/>
      <c r="I1218" s="559"/>
      <c r="J1218" s="559"/>
      <c r="K1218" s="559"/>
      <c r="L1218" s="560"/>
      <c r="M1218" s="560"/>
      <c r="N1218" s="560"/>
      <c r="O1218" s="560"/>
      <c r="P1218" s="562"/>
      <c r="Q1218" s="562"/>
      <c r="R1218" s="562"/>
      <c r="S1218" s="562"/>
      <c r="T1218" s="217"/>
      <c r="U1218" s="217"/>
      <c r="V1218" s="217"/>
      <c r="W1218" s="217"/>
      <c r="X1218" s="217"/>
      <c r="Y1218" s="217"/>
      <c r="Z1218" s="217"/>
      <c r="AA1218" s="481"/>
      <c r="AB1218" s="481"/>
      <c r="AC1218" s="481"/>
      <c r="AD1218" s="481"/>
      <c r="AE1218" s="481"/>
      <c r="AF1218" s="481"/>
      <c r="AG1218" s="481"/>
      <c r="AH1218" s="481"/>
      <c r="AI1218" s="158"/>
      <c r="AJ1218" s="158"/>
      <c r="AK1218" s="133"/>
      <c r="AL1218" s="133"/>
      <c r="AM1218" s="133"/>
      <c r="AN1218" s="133"/>
      <c r="AO1218" s="133"/>
      <c r="AP1218" s="155"/>
    </row>
    <row r="1219">
      <c r="A1219" s="155"/>
      <c r="B1219" s="155"/>
      <c r="C1219" s="174"/>
      <c r="D1219" s="155"/>
      <c r="E1219" s="563"/>
      <c r="F1219" s="155"/>
      <c r="G1219" s="158"/>
      <c r="H1219" s="559"/>
      <c r="I1219" s="559"/>
      <c r="J1219" s="559"/>
      <c r="K1219" s="559"/>
      <c r="L1219" s="560"/>
      <c r="M1219" s="560"/>
      <c r="N1219" s="560"/>
      <c r="O1219" s="560"/>
      <c r="P1219" s="562"/>
      <c r="Q1219" s="562"/>
      <c r="R1219" s="562"/>
      <c r="S1219" s="562"/>
      <c r="T1219" s="217"/>
      <c r="U1219" s="217"/>
      <c r="V1219" s="217"/>
      <c r="W1219" s="217"/>
      <c r="X1219" s="217"/>
      <c r="Y1219" s="217"/>
      <c r="Z1219" s="217"/>
      <c r="AA1219" s="481"/>
      <c r="AB1219" s="481"/>
      <c r="AC1219" s="481"/>
      <c r="AD1219" s="481"/>
      <c r="AE1219" s="481"/>
      <c r="AF1219" s="481"/>
      <c r="AG1219" s="481"/>
      <c r="AH1219" s="481"/>
      <c r="AI1219" s="158"/>
      <c r="AJ1219" s="158"/>
      <c r="AK1219" s="133"/>
      <c r="AL1219" s="133"/>
      <c r="AM1219" s="133"/>
      <c r="AN1219" s="133"/>
      <c r="AO1219" s="133"/>
      <c r="AP1219" s="155"/>
    </row>
    <row r="1220">
      <c r="A1220" s="155"/>
      <c r="B1220" s="155"/>
      <c r="C1220" s="174"/>
      <c r="D1220" s="155"/>
      <c r="E1220" s="563"/>
      <c r="F1220" s="155"/>
      <c r="G1220" s="158"/>
      <c r="H1220" s="559"/>
      <c r="I1220" s="559"/>
      <c r="J1220" s="559"/>
      <c r="K1220" s="559"/>
      <c r="L1220" s="560"/>
      <c r="M1220" s="560"/>
      <c r="N1220" s="560"/>
      <c r="O1220" s="560"/>
      <c r="P1220" s="562"/>
      <c r="Q1220" s="562"/>
      <c r="R1220" s="562"/>
      <c r="S1220" s="562"/>
      <c r="T1220" s="217"/>
      <c r="U1220" s="217"/>
      <c r="V1220" s="217"/>
      <c r="W1220" s="217"/>
      <c r="X1220" s="217"/>
      <c r="Y1220" s="217"/>
      <c r="Z1220" s="217"/>
      <c r="AA1220" s="481"/>
      <c r="AB1220" s="481"/>
      <c r="AC1220" s="481"/>
      <c r="AD1220" s="481"/>
      <c r="AE1220" s="481"/>
      <c r="AF1220" s="481"/>
      <c r="AG1220" s="481"/>
      <c r="AH1220" s="481"/>
      <c r="AI1220" s="158"/>
      <c r="AJ1220" s="158"/>
      <c r="AK1220" s="133"/>
      <c r="AL1220" s="133"/>
      <c r="AM1220" s="133"/>
      <c r="AN1220" s="133"/>
      <c r="AO1220" s="133"/>
      <c r="AP1220" s="155"/>
    </row>
    <row r="1221">
      <c r="A1221" s="155"/>
      <c r="B1221" s="155"/>
      <c r="C1221" s="174"/>
      <c r="D1221" s="155"/>
      <c r="E1221" s="563"/>
      <c r="F1221" s="155"/>
      <c r="G1221" s="158"/>
      <c r="H1221" s="559"/>
      <c r="I1221" s="559"/>
      <c r="J1221" s="559"/>
      <c r="K1221" s="559"/>
      <c r="L1221" s="560"/>
      <c r="M1221" s="560"/>
      <c r="N1221" s="560"/>
      <c r="O1221" s="560"/>
      <c r="P1221" s="562"/>
      <c r="Q1221" s="562"/>
      <c r="R1221" s="562"/>
      <c r="S1221" s="562"/>
      <c r="T1221" s="217"/>
      <c r="U1221" s="217"/>
      <c r="V1221" s="217"/>
      <c r="W1221" s="217"/>
      <c r="X1221" s="217"/>
      <c r="Y1221" s="217"/>
      <c r="Z1221" s="217"/>
      <c r="AA1221" s="481"/>
      <c r="AB1221" s="481"/>
      <c r="AC1221" s="481"/>
      <c r="AD1221" s="481"/>
      <c r="AE1221" s="481"/>
      <c r="AF1221" s="481"/>
      <c r="AG1221" s="481"/>
      <c r="AH1221" s="481"/>
      <c r="AI1221" s="158"/>
      <c r="AJ1221" s="158"/>
      <c r="AK1221" s="133"/>
      <c r="AL1221" s="133"/>
      <c r="AM1221" s="133"/>
      <c r="AN1221" s="133"/>
      <c r="AO1221" s="133"/>
      <c r="AP1221" s="155"/>
    </row>
    <row r="1222">
      <c r="A1222" s="155"/>
      <c r="B1222" s="155"/>
      <c r="C1222" s="174"/>
      <c r="D1222" s="155"/>
      <c r="E1222" s="563"/>
      <c r="F1222" s="155"/>
      <c r="G1222" s="158"/>
      <c r="H1222" s="559"/>
      <c r="I1222" s="559"/>
      <c r="J1222" s="559"/>
      <c r="K1222" s="559"/>
      <c r="L1222" s="560"/>
      <c r="M1222" s="560"/>
      <c r="N1222" s="560"/>
      <c r="O1222" s="560"/>
      <c r="P1222" s="562"/>
      <c r="Q1222" s="562"/>
      <c r="R1222" s="562"/>
      <c r="S1222" s="562"/>
      <c r="T1222" s="217"/>
      <c r="U1222" s="217"/>
      <c r="V1222" s="217"/>
      <c r="W1222" s="217"/>
      <c r="X1222" s="217"/>
      <c r="Y1222" s="217"/>
      <c r="Z1222" s="217"/>
      <c r="AA1222" s="481"/>
      <c r="AB1222" s="481"/>
      <c r="AC1222" s="481"/>
      <c r="AD1222" s="481"/>
      <c r="AE1222" s="481"/>
      <c r="AF1222" s="481"/>
      <c r="AG1222" s="481"/>
      <c r="AH1222" s="481"/>
      <c r="AI1222" s="158"/>
      <c r="AJ1222" s="158"/>
      <c r="AK1222" s="133"/>
      <c r="AL1222" s="133"/>
      <c r="AM1222" s="133"/>
      <c r="AN1222" s="133"/>
      <c r="AO1222" s="133"/>
      <c r="AP1222" s="155"/>
    </row>
    <row r="1223">
      <c r="A1223" s="155"/>
      <c r="B1223" s="155"/>
      <c r="C1223" s="174"/>
      <c r="D1223" s="155"/>
      <c r="E1223" s="563"/>
      <c r="F1223" s="155"/>
      <c r="G1223" s="158"/>
      <c r="H1223" s="559"/>
      <c r="I1223" s="559"/>
      <c r="J1223" s="559"/>
      <c r="K1223" s="559"/>
      <c r="L1223" s="560"/>
      <c r="M1223" s="560"/>
      <c r="N1223" s="560"/>
      <c r="O1223" s="560"/>
      <c r="P1223" s="562"/>
      <c r="Q1223" s="562"/>
      <c r="R1223" s="562"/>
      <c r="S1223" s="562"/>
      <c r="T1223" s="217"/>
      <c r="U1223" s="217"/>
      <c r="V1223" s="217"/>
      <c r="W1223" s="217"/>
      <c r="X1223" s="217"/>
      <c r="Y1223" s="217"/>
      <c r="Z1223" s="217"/>
      <c r="AA1223" s="481"/>
      <c r="AB1223" s="481"/>
      <c r="AC1223" s="481"/>
      <c r="AD1223" s="481"/>
      <c r="AE1223" s="481"/>
      <c r="AF1223" s="481"/>
      <c r="AG1223" s="481"/>
      <c r="AH1223" s="481"/>
      <c r="AI1223" s="158"/>
      <c r="AJ1223" s="158"/>
      <c r="AK1223" s="133"/>
      <c r="AL1223" s="133"/>
      <c r="AM1223" s="133"/>
      <c r="AN1223" s="133"/>
      <c r="AO1223" s="133"/>
      <c r="AP1223" s="155"/>
    </row>
    <row r="1224">
      <c r="A1224" s="155"/>
      <c r="B1224" s="155"/>
      <c r="C1224" s="174"/>
      <c r="D1224" s="155"/>
      <c r="E1224" s="563"/>
      <c r="F1224" s="155"/>
      <c r="G1224" s="158"/>
      <c r="H1224" s="559"/>
      <c r="I1224" s="559"/>
      <c r="J1224" s="559"/>
      <c r="K1224" s="559"/>
      <c r="L1224" s="560"/>
      <c r="M1224" s="560"/>
      <c r="N1224" s="560"/>
      <c r="O1224" s="560"/>
      <c r="P1224" s="562"/>
      <c r="Q1224" s="562"/>
      <c r="R1224" s="562"/>
      <c r="S1224" s="562"/>
      <c r="T1224" s="217"/>
      <c r="U1224" s="217"/>
      <c r="V1224" s="217"/>
      <c r="W1224" s="217"/>
      <c r="X1224" s="217"/>
      <c r="Y1224" s="217"/>
      <c r="Z1224" s="217"/>
      <c r="AA1224" s="481"/>
      <c r="AB1224" s="481"/>
      <c r="AC1224" s="481"/>
      <c r="AD1224" s="481"/>
      <c r="AE1224" s="481"/>
      <c r="AF1224" s="481"/>
      <c r="AG1224" s="481"/>
      <c r="AH1224" s="481"/>
      <c r="AI1224" s="158"/>
      <c r="AJ1224" s="158"/>
      <c r="AK1224" s="133"/>
      <c r="AL1224" s="133"/>
      <c r="AM1224" s="133"/>
      <c r="AN1224" s="133"/>
      <c r="AO1224" s="133"/>
      <c r="AP1224" s="155"/>
    </row>
    <row r="1225">
      <c r="A1225" s="155"/>
      <c r="B1225" s="155"/>
      <c r="C1225" s="174"/>
      <c r="D1225" s="155"/>
      <c r="E1225" s="563"/>
      <c r="F1225" s="155"/>
      <c r="G1225" s="158"/>
      <c r="H1225" s="559"/>
      <c r="I1225" s="559"/>
      <c r="J1225" s="559"/>
      <c r="K1225" s="559"/>
      <c r="L1225" s="560"/>
      <c r="M1225" s="560"/>
      <c r="N1225" s="560"/>
      <c r="O1225" s="560"/>
      <c r="P1225" s="562"/>
      <c r="Q1225" s="562"/>
      <c r="R1225" s="562"/>
      <c r="S1225" s="562"/>
      <c r="T1225" s="217"/>
      <c r="U1225" s="217"/>
      <c r="V1225" s="217"/>
      <c r="W1225" s="217"/>
      <c r="X1225" s="217"/>
      <c r="Y1225" s="217"/>
      <c r="Z1225" s="217"/>
      <c r="AA1225" s="481"/>
      <c r="AB1225" s="481"/>
      <c r="AC1225" s="481"/>
      <c r="AD1225" s="481"/>
      <c r="AE1225" s="481"/>
      <c r="AF1225" s="481"/>
      <c r="AG1225" s="481"/>
      <c r="AH1225" s="481"/>
      <c r="AI1225" s="158"/>
      <c r="AJ1225" s="158"/>
      <c r="AK1225" s="133"/>
      <c r="AL1225" s="133"/>
      <c r="AM1225" s="133"/>
      <c r="AN1225" s="133"/>
      <c r="AO1225" s="133"/>
      <c r="AP1225" s="155"/>
    </row>
    <row r="1226">
      <c r="A1226" s="155"/>
      <c r="B1226" s="155"/>
      <c r="C1226" s="174"/>
      <c r="D1226" s="155"/>
      <c r="E1226" s="563"/>
      <c r="F1226" s="155"/>
      <c r="G1226" s="158"/>
      <c r="H1226" s="559"/>
      <c r="I1226" s="559"/>
      <c r="J1226" s="559"/>
      <c r="K1226" s="559"/>
      <c r="L1226" s="560"/>
      <c r="M1226" s="560"/>
      <c r="N1226" s="560"/>
      <c r="O1226" s="560"/>
      <c r="P1226" s="562"/>
      <c r="Q1226" s="562"/>
      <c r="R1226" s="562"/>
      <c r="S1226" s="562"/>
      <c r="T1226" s="217"/>
      <c r="U1226" s="217"/>
      <c r="V1226" s="217"/>
      <c r="W1226" s="217"/>
      <c r="X1226" s="217"/>
      <c r="Y1226" s="217"/>
      <c r="Z1226" s="217"/>
      <c r="AA1226" s="481"/>
      <c r="AB1226" s="481"/>
      <c r="AC1226" s="481"/>
      <c r="AD1226" s="481"/>
      <c r="AE1226" s="481"/>
      <c r="AF1226" s="481"/>
      <c r="AG1226" s="481"/>
      <c r="AH1226" s="481"/>
      <c r="AI1226" s="158"/>
      <c r="AJ1226" s="158"/>
      <c r="AK1226" s="133"/>
      <c r="AL1226" s="133"/>
      <c r="AM1226" s="133"/>
      <c r="AN1226" s="133"/>
      <c r="AO1226" s="133"/>
      <c r="AP1226" s="155"/>
    </row>
    <row r="1227">
      <c r="A1227" s="155"/>
      <c r="B1227" s="155"/>
      <c r="C1227" s="174"/>
      <c r="D1227" s="155"/>
      <c r="E1227" s="563"/>
      <c r="F1227" s="155"/>
      <c r="G1227" s="158"/>
      <c r="H1227" s="559"/>
      <c r="I1227" s="559"/>
      <c r="J1227" s="559"/>
      <c r="K1227" s="559"/>
      <c r="L1227" s="560"/>
      <c r="M1227" s="560"/>
      <c r="N1227" s="560"/>
      <c r="O1227" s="560"/>
      <c r="P1227" s="562"/>
      <c r="Q1227" s="562"/>
      <c r="R1227" s="562"/>
      <c r="S1227" s="562"/>
      <c r="T1227" s="217"/>
      <c r="U1227" s="217"/>
      <c r="V1227" s="217"/>
      <c r="W1227" s="217"/>
      <c r="X1227" s="217"/>
      <c r="Y1227" s="217"/>
      <c r="Z1227" s="217"/>
      <c r="AA1227" s="481"/>
      <c r="AB1227" s="481"/>
      <c r="AC1227" s="481"/>
      <c r="AD1227" s="481"/>
      <c r="AE1227" s="481"/>
      <c r="AF1227" s="481"/>
      <c r="AG1227" s="481"/>
      <c r="AH1227" s="481"/>
      <c r="AI1227" s="158"/>
      <c r="AJ1227" s="158"/>
      <c r="AK1227" s="133"/>
      <c r="AL1227" s="133"/>
      <c r="AM1227" s="133"/>
      <c r="AN1227" s="133"/>
      <c r="AO1227" s="133"/>
      <c r="AP1227" s="155"/>
    </row>
    <row r="1228">
      <c r="A1228" s="155"/>
      <c r="B1228" s="155"/>
      <c r="C1228" s="174"/>
      <c r="D1228" s="155"/>
      <c r="E1228" s="563"/>
      <c r="F1228" s="155"/>
      <c r="G1228" s="158"/>
      <c r="H1228" s="559"/>
      <c r="I1228" s="559"/>
      <c r="J1228" s="559"/>
      <c r="K1228" s="559"/>
      <c r="L1228" s="560"/>
      <c r="M1228" s="560"/>
      <c r="N1228" s="560"/>
      <c r="O1228" s="560"/>
      <c r="P1228" s="562"/>
      <c r="Q1228" s="562"/>
      <c r="R1228" s="562"/>
      <c r="S1228" s="562"/>
      <c r="T1228" s="217"/>
      <c r="U1228" s="217"/>
      <c r="V1228" s="217"/>
      <c r="W1228" s="217"/>
      <c r="X1228" s="217"/>
      <c r="Y1228" s="217"/>
      <c r="Z1228" s="217"/>
      <c r="AA1228" s="481"/>
      <c r="AB1228" s="481"/>
      <c r="AC1228" s="481"/>
      <c r="AD1228" s="481"/>
      <c r="AE1228" s="481"/>
      <c r="AF1228" s="481"/>
      <c r="AG1228" s="481"/>
      <c r="AH1228" s="481"/>
      <c r="AI1228" s="158"/>
      <c r="AJ1228" s="158"/>
      <c r="AK1228" s="133"/>
      <c r="AL1228" s="133"/>
      <c r="AM1228" s="133"/>
      <c r="AN1228" s="133"/>
      <c r="AO1228" s="133"/>
      <c r="AP1228" s="155"/>
    </row>
    <row r="1229">
      <c r="A1229" s="155"/>
      <c r="B1229" s="155"/>
      <c r="C1229" s="174"/>
      <c r="D1229" s="155"/>
      <c r="E1229" s="563"/>
      <c r="F1229" s="155"/>
      <c r="G1229" s="158"/>
      <c r="H1229" s="559"/>
      <c r="I1229" s="559"/>
      <c r="J1229" s="559"/>
      <c r="K1229" s="559"/>
      <c r="L1229" s="560"/>
      <c r="M1229" s="560"/>
      <c r="N1229" s="560"/>
      <c r="O1229" s="560"/>
      <c r="P1229" s="562"/>
      <c r="Q1229" s="562"/>
      <c r="R1229" s="562"/>
      <c r="S1229" s="562"/>
      <c r="T1229" s="217"/>
      <c r="U1229" s="217"/>
      <c r="V1229" s="217"/>
      <c r="W1229" s="217"/>
      <c r="X1229" s="217"/>
      <c r="Y1229" s="217"/>
      <c r="Z1229" s="217"/>
      <c r="AA1229" s="481"/>
      <c r="AB1229" s="481"/>
      <c r="AC1229" s="481"/>
      <c r="AD1229" s="481"/>
      <c r="AE1229" s="481"/>
      <c r="AF1229" s="481"/>
      <c r="AG1229" s="481"/>
      <c r="AH1229" s="481"/>
      <c r="AI1229" s="158"/>
      <c r="AJ1229" s="158"/>
      <c r="AK1229" s="133"/>
      <c r="AL1229" s="133"/>
      <c r="AM1229" s="133"/>
      <c r="AN1229" s="133"/>
      <c r="AO1229" s="133"/>
      <c r="AP1229" s="155"/>
    </row>
    <row r="1230">
      <c r="A1230" s="155"/>
      <c r="B1230" s="155"/>
      <c r="C1230" s="174"/>
      <c r="D1230" s="155"/>
      <c r="E1230" s="563"/>
      <c r="F1230" s="155"/>
      <c r="G1230" s="158"/>
      <c r="H1230" s="559"/>
      <c r="I1230" s="559"/>
      <c r="J1230" s="559"/>
      <c r="K1230" s="559"/>
      <c r="L1230" s="560"/>
      <c r="M1230" s="560"/>
      <c r="N1230" s="560"/>
      <c r="O1230" s="560"/>
      <c r="P1230" s="562"/>
      <c r="Q1230" s="562"/>
      <c r="R1230" s="562"/>
      <c r="S1230" s="562"/>
      <c r="T1230" s="217"/>
      <c r="U1230" s="217"/>
      <c r="V1230" s="217"/>
      <c r="W1230" s="217"/>
      <c r="X1230" s="217"/>
      <c r="Y1230" s="217"/>
      <c r="Z1230" s="217"/>
      <c r="AA1230" s="481"/>
      <c r="AB1230" s="481"/>
      <c r="AC1230" s="481"/>
      <c r="AD1230" s="481"/>
      <c r="AE1230" s="481"/>
      <c r="AF1230" s="481"/>
      <c r="AG1230" s="481"/>
      <c r="AH1230" s="481"/>
      <c r="AI1230" s="158"/>
      <c r="AJ1230" s="158"/>
      <c r="AK1230" s="133"/>
      <c r="AL1230" s="133"/>
      <c r="AM1230" s="133"/>
      <c r="AN1230" s="133"/>
      <c r="AO1230" s="133"/>
      <c r="AP1230" s="155"/>
    </row>
    <row r="1231">
      <c r="A1231" s="155"/>
      <c r="B1231" s="155"/>
      <c r="C1231" s="174"/>
      <c r="D1231" s="155"/>
      <c r="E1231" s="563"/>
      <c r="F1231" s="155"/>
      <c r="G1231" s="158"/>
      <c r="H1231" s="559"/>
      <c r="I1231" s="559"/>
      <c r="J1231" s="559"/>
      <c r="K1231" s="559"/>
      <c r="L1231" s="560"/>
      <c r="M1231" s="560"/>
      <c r="N1231" s="560"/>
      <c r="O1231" s="560"/>
      <c r="P1231" s="562"/>
      <c r="Q1231" s="562"/>
      <c r="R1231" s="562"/>
      <c r="S1231" s="562"/>
      <c r="T1231" s="217"/>
      <c r="U1231" s="217"/>
      <c r="V1231" s="217"/>
      <c r="W1231" s="217"/>
      <c r="X1231" s="217"/>
      <c r="Y1231" s="217"/>
      <c r="Z1231" s="217"/>
      <c r="AA1231" s="481"/>
      <c r="AB1231" s="481"/>
      <c r="AC1231" s="481"/>
      <c r="AD1231" s="481"/>
      <c r="AE1231" s="481"/>
      <c r="AF1231" s="481"/>
      <c r="AG1231" s="481"/>
      <c r="AH1231" s="481"/>
      <c r="AI1231" s="158"/>
      <c r="AJ1231" s="158"/>
      <c r="AK1231" s="133"/>
      <c r="AL1231" s="133"/>
      <c r="AM1231" s="133"/>
      <c r="AN1231" s="133"/>
      <c r="AO1231" s="133"/>
      <c r="AP1231" s="155"/>
    </row>
    <row r="1232">
      <c r="A1232" s="155"/>
      <c r="B1232" s="155"/>
      <c r="C1232" s="174"/>
      <c r="D1232" s="155"/>
      <c r="E1232" s="563"/>
      <c r="F1232" s="155"/>
      <c r="G1232" s="158"/>
      <c r="H1232" s="559"/>
      <c r="I1232" s="559"/>
      <c r="J1232" s="559"/>
      <c r="K1232" s="559"/>
      <c r="L1232" s="560"/>
      <c r="M1232" s="560"/>
      <c r="N1232" s="560"/>
      <c r="O1232" s="560"/>
      <c r="P1232" s="562"/>
      <c r="Q1232" s="562"/>
      <c r="R1232" s="562"/>
      <c r="S1232" s="562"/>
      <c r="T1232" s="217"/>
      <c r="U1232" s="217"/>
      <c r="V1232" s="217"/>
      <c r="W1232" s="217"/>
      <c r="X1232" s="217"/>
      <c r="Y1232" s="217"/>
      <c r="Z1232" s="217"/>
      <c r="AA1232" s="481"/>
      <c r="AB1232" s="481"/>
      <c r="AC1232" s="481"/>
      <c r="AD1232" s="481"/>
      <c r="AE1232" s="481"/>
      <c r="AF1232" s="481"/>
      <c r="AG1232" s="481"/>
      <c r="AH1232" s="481"/>
      <c r="AI1232" s="158"/>
      <c r="AJ1232" s="158"/>
      <c r="AK1232" s="133"/>
      <c r="AL1232" s="133"/>
      <c r="AM1232" s="133"/>
      <c r="AN1232" s="133"/>
      <c r="AO1232" s="133"/>
      <c r="AP1232" s="155"/>
    </row>
    <row r="1233">
      <c r="A1233" s="155"/>
      <c r="B1233" s="155"/>
      <c r="C1233" s="174"/>
      <c r="D1233" s="155"/>
      <c r="E1233" s="563"/>
      <c r="F1233" s="155"/>
      <c r="G1233" s="158"/>
      <c r="H1233" s="559"/>
      <c r="I1233" s="559"/>
      <c r="J1233" s="559"/>
      <c r="K1233" s="559"/>
      <c r="L1233" s="560"/>
      <c r="M1233" s="560"/>
      <c r="N1233" s="560"/>
      <c r="O1233" s="560"/>
      <c r="P1233" s="562"/>
      <c r="Q1233" s="562"/>
      <c r="R1233" s="562"/>
      <c r="S1233" s="562"/>
      <c r="T1233" s="217"/>
      <c r="U1233" s="217"/>
      <c r="V1233" s="217"/>
      <c r="W1233" s="217"/>
      <c r="X1233" s="217"/>
      <c r="Y1233" s="217"/>
      <c r="Z1233" s="217"/>
      <c r="AA1233" s="481"/>
      <c r="AB1233" s="481"/>
      <c r="AC1233" s="481"/>
      <c r="AD1233" s="481"/>
      <c r="AE1233" s="481"/>
      <c r="AF1233" s="481"/>
      <c r="AG1233" s="481"/>
      <c r="AH1233" s="481"/>
      <c r="AI1233" s="158"/>
      <c r="AJ1233" s="158"/>
      <c r="AK1233" s="133"/>
      <c r="AL1233" s="133"/>
      <c r="AM1233" s="133"/>
      <c r="AN1233" s="133"/>
      <c r="AO1233" s="133"/>
      <c r="AP1233" s="155"/>
    </row>
    <row r="1234">
      <c r="A1234" s="155"/>
      <c r="B1234" s="155"/>
      <c r="C1234" s="174"/>
      <c r="D1234" s="155"/>
      <c r="E1234" s="563"/>
      <c r="F1234" s="155"/>
      <c r="G1234" s="158"/>
      <c r="H1234" s="559"/>
      <c r="I1234" s="559"/>
      <c r="J1234" s="559"/>
      <c r="K1234" s="559"/>
      <c r="L1234" s="560"/>
      <c r="M1234" s="560"/>
      <c r="N1234" s="560"/>
      <c r="O1234" s="560"/>
      <c r="P1234" s="562"/>
      <c r="Q1234" s="562"/>
      <c r="R1234" s="562"/>
      <c r="S1234" s="562"/>
      <c r="T1234" s="217"/>
      <c r="U1234" s="217"/>
      <c r="V1234" s="217"/>
      <c r="W1234" s="217"/>
      <c r="X1234" s="217"/>
      <c r="Y1234" s="217"/>
      <c r="Z1234" s="217"/>
      <c r="AA1234" s="481"/>
      <c r="AB1234" s="481"/>
      <c r="AC1234" s="481"/>
      <c r="AD1234" s="481"/>
      <c r="AE1234" s="481"/>
      <c r="AF1234" s="481"/>
      <c r="AG1234" s="481"/>
      <c r="AH1234" s="481"/>
      <c r="AI1234" s="158"/>
      <c r="AJ1234" s="158"/>
      <c r="AK1234" s="133"/>
      <c r="AL1234" s="133"/>
      <c r="AM1234" s="133"/>
      <c r="AN1234" s="133"/>
      <c r="AO1234" s="133"/>
      <c r="AP1234" s="155"/>
    </row>
    <row r="1235">
      <c r="A1235" s="155"/>
      <c r="B1235" s="155"/>
      <c r="C1235" s="174"/>
      <c r="D1235" s="155"/>
      <c r="E1235" s="563"/>
      <c r="F1235" s="155"/>
      <c r="G1235" s="158"/>
      <c r="H1235" s="559"/>
      <c r="I1235" s="559"/>
      <c r="J1235" s="559"/>
      <c r="K1235" s="559"/>
      <c r="L1235" s="560"/>
      <c r="M1235" s="560"/>
      <c r="N1235" s="560"/>
      <c r="O1235" s="560"/>
      <c r="P1235" s="562"/>
      <c r="Q1235" s="562"/>
      <c r="R1235" s="562"/>
      <c r="S1235" s="562"/>
      <c r="T1235" s="217"/>
      <c r="U1235" s="217"/>
      <c r="V1235" s="217"/>
      <c r="W1235" s="217"/>
      <c r="X1235" s="217"/>
      <c r="Y1235" s="217"/>
      <c r="Z1235" s="217"/>
      <c r="AA1235" s="481"/>
      <c r="AB1235" s="481"/>
      <c r="AC1235" s="481"/>
      <c r="AD1235" s="481"/>
      <c r="AE1235" s="481"/>
      <c r="AF1235" s="481"/>
      <c r="AG1235" s="481"/>
      <c r="AH1235" s="481"/>
      <c r="AI1235" s="158"/>
      <c r="AJ1235" s="158"/>
      <c r="AK1235" s="133"/>
      <c r="AL1235" s="133"/>
      <c r="AM1235" s="133"/>
      <c r="AN1235" s="133"/>
      <c r="AO1235" s="133"/>
      <c r="AP1235" s="155"/>
    </row>
    <row r="1236">
      <c r="A1236" s="155"/>
      <c r="B1236" s="155"/>
      <c r="C1236" s="174"/>
      <c r="D1236" s="155"/>
      <c r="E1236" s="563"/>
      <c r="F1236" s="155"/>
      <c r="G1236" s="158"/>
      <c r="H1236" s="559"/>
      <c r="I1236" s="559"/>
      <c r="J1236" s="559"/>
      <c r="K1236" s="559"/>
      <c r="L1236" s="560"/>
      <c r="M1236" s="560"/>
      <c r="N1236" s="560"/>
      <c r="O1236" s="560"/>
      <c r="P1236" s="562"/>
      <c r="Q1236" s="562"/>
      <c r="R1236" s="562"/>
      <c r="S1236" s="562"/>
      <c r="T1236" s="217"/>
      <c r="U1236" s="217"/>
      <c r="V1236" s="217"/>
      <c r="W1236" s="217"/>
      <c r="X1236" s="217"/>
      <c r="Y1236" s="217"/>
      <c r="Z1236" s="217"/>
      <c r="AA1236" s="481"/>
      <c r="AB1236" s="481"/>
      <c r="AC1236" s="481"/>
      <c r="AD1236" s="481"/>
      <c r="AE1236" s="481"/>
      <c r="AF1236" s="481"/>
      <c r="AG1236" s="481"/>
      <c r="AH1236" s="481"/>
      <c r="AI1236" s="158"/>
      <c r="AJ1236" s="158"/>
      <c r="AK1236" s="133"/>
      <c r="AL1236" s="133"/>
      <c r="AM1236" s="133"/>
      <c r="AN1236" s="133"/>
      <c r="AO1236" s="133"/>
      <c r="AP1236" s="155"/>
    </row>
    <row r="1237">
      <c r="A1237" s="155"/>
      <c r="B1237" s="155"/>
      <c r="C1237" s="174"/>
      <c r="D1237" s="155"/>
      <c r="E1237" s="563"/>
      <c r="F1237" s="155"/>
      <c r="G1237" s="158"/>
      <c r="H1237" s="559"/>
      <c r="I1237" s="559"/>
      <c r="J1237" s="559"/>
      <c r="K1237" s="559"/>
      <c r="L1237" s="560"/>
      <c r="M1237" s="560"/>
      <c r="N1237" s="560"/>
      <c r="O1237" s="560"/>
      <c r="P1237" s="562"/>
      <c r="Q1237" s="562"/>
      <c r="R1237" s="562"/>
      <c r="S1237" s="562"/>
      <c r="T1237" s="217"/>
      <c r="U1237" s="217"/>
      <c r="V1237" s="217"/>
      <c r="W1237" s="217"/>
      <c r="X1237" s="217"/>
      <c r="Y1237" s="217"/>
      <c r="Z1237" s="217"/>
      <c r="AA1237" s="481"/>
      <c r="AB1237" s="481"/>
      <c r="AC1237" s="481"/>
      <c r="AD1237" s="481"/>
      <c r="AE1237" s="481"/>
      <c r="AF1237" s="481"/>
      <c r="AG1237" s="481"/>
      <c r="AH1237" s="481"/>
      <c r="AI1237" s="158"/>
      <c r="AJ1237" s="158"/>
      <c r="AK1237" s="133"/>
      <c r="AL1237" s="133"/>
      <c r="AM1237" s="133"/>
      <c r="AN1237" s="133"/>
      <c r="AO1237" s="133"/>
      <c r="AP1237" s="155"/>
    </row>
    <row r="1238">
      <c r="A1238" s="155"/>
      <c r="B1238" s="155"/>
      <c r="C1238" s="174"/>
      <c r="D1238" s="155"/>
      <c r="E1238" s="563"/>
      <c r="F1238" s="155"/>
      <c r="G1238" s="158"/>
      <c r="H1238" s="559"/>
      <c r="I1238" s="559"/>
      <c r="J1238" s="559"/>
      <c r="K1238" s="559"/>
      <c r="L1238" s="560"/>
      <c r="M1238" s="560"/>
      <c r="N1238" s="560"/>
      <c r="O1238" s="560"/>
      <c r="P1238" s="562"/>
      <c r="Q1238" s="562"/>
      <c r="R1238" s="562"/>
      <c r="S1238" s="562"/>
      <c r="T1238" s="217"/>
      <c r="U1238" s="217"/>
      <c r="V1238" s="217"/>
      <c r="W1238" s="217"/>
      <c r="X1238" s="217"/>
      <c r="Y1238" s="217"/>
      <c r="Z1238" s="217"/>
      <c r="AA1238" s="481"/>
      <c r="AB1238" s="481"/>
      <c r="AC1238" s="481"/>
      <c r="AD1238" s="481"/>
      <c r="AE1238" s="481"/>
      <c r="AF1238" s="481"/>
      <c r="AG1238" s="481"/>
      <c r="AH1238" s="481"/>
      <c r="AI1238" s="158"/>
      <c r="AJ1238" s="158"/>
      <c r="AK1238" s="133"/>
      <c r="AL1238" s="133"/>
      <c r="AM1238" s="133"/>
      <c r="AN1238" s="133"/>
      <c r="AO1238" s="133"/>
      <c r="AP1238" s="155"/>
    </row>
    <row r="1239">
      <c r="A1239" s="155"/>
      <c r="B1239" s="155"/>
      <c r="C1239" s="174"/>
      <c r="D1239" s="155"/>
      <c r="E1239" s="563"/>
      <c r="F1239" s="155"/>
      <c r="G1239" s="158"/>
      <c r="H1239" s="559"/>
      <c r="I1239" s="559"/>
      <c r="J1239" s="559"/>
      <c r="K1239" s="559"/>
      <c r="L1239" s="560"/>
      <c r="M1239" s="560"/>
      <c r="N1239" s="560"/>
      <c r="O1239" s="560"/>
      <c r="P1239" s="562"/>
      <c r="Q1239" s="562"/>
      <c r="R1239" s="562"/>
      <c r="S1239" s="562"/>
      <c r="T1239" s="217"/>
      <c r="U1239" s="217"/>
      <c r="V1239" s="217"/>
      <c r="W1239" s="217"/>
      <c r="X1239" s="217"/>
      <c r="Y1239" s="217"/>
      <c r="Z1239" s="217"/>
      <c r="AA1239" s="481"/>
      <c r="AB1239" s="481"/>
      <c r="AC1239" s="481"/>
      <c r="AD1239" s="481"/>
      <c r="AE1239" s="481"/>
      <c r="AF1239" s="481"/>
      <c r="AG1239" s="481"/>
      <c r="AH1239" s="481"/>
      <c r="AI1239" s="158"/>
      <c r="AJ1239" s="158"/>
      <c r="AK1239" s="133"/>
      <c r="AL1239" s="133"/>
      <c r="AM1239" s="133"/>
      <c r="AN1239" s="133"/>
      <c r="AO1239" s="133"/>
      <c r="AP1239" s="155"/>
    </row>
    <row r="1240">
      <c r="A1240" s="155"/>
      <c r="B1240" s="155"/>
      <c r="C1240" s="174"/>
      <c r="D1240" s="155"/>
      <c r="E1240" s="563"/>
      <c r="F1240" s="155"/>
      <c r="G1240" s="158"/>
      <c r="H1240" s="559"/>
      <c r="I1240" s="559"/>
      <c r="J1240" s="559"/>
      <c r="K1240" s="559"/>
      <c r="L1240" s="560"/>
      <c r="M1240" s="560"/>
      <c r="N1240" s="560"/>
      <c r="O1240" s="560"/>
      <c r="P1240" s="562"/>
      <c r="Q1240" s="562"/>
      <c r="R1240" s="562"/>
      <c r="S1240" s="562"/>
      <c r="T1240" s="217"/>
      <c r="U1240" s="217"/>
      <c r="V1240" s="217"/>
      <c r="W1240" s="217"/>
      <c r="X1240" s="217"/>
      <c r="Y1240" s="217"/>
      <c r="Z1240" s="217"/>
      <c r="AA1240" s="481"/>
      <c r="AB1240" s="481"/>
      <c r="AC1240" s="481"/>
      <c r="AD1240" s="481"/>
      <c r="AE1240" s="481"/>
      <c r="AF1240" s="481"/>
      <c r="AG1240" s="481"/>
      <c r="AH1240" s="481"/>
      <c r="AI1240" s="158"/>
      <c r="AJ1240" s="158"/>
      <c r="AK1240" s="133"/>
      <c r="AL1240" s="133"/>
      <c r="AM1240" s="133"/>
      <c r="AN1240" s="133"/>
      <c r="AO1240" s="133"/>
      <c r="AP1240" s="155"/>
    </row>
    <row r="1241">
      <c r="A1241" s="155"/>
      <c r="B1241" s="155"/>
      <c r="C1241" s="174"/>
      <c r="D1241" s="155"/>
      <c r="E1241" s="563"/>
      <c r="F1241" s="155"/>
      <c r="G1241" s="158"/>
      <c r="H1241" s="559"/>
      <c r="I1241" s="559"/>
      <c r="J1241" s="559"/>
      <c r="K1241" s="559"/>
      <c r="L1241" s="560"/>
      <c r="M1241" s="560"/>
      <c r="N1241" s="560"/>
      <c r="O1241" s="560"/>
      <c r="P1241" s="562"/>
      <c r="Q1241" s="562"/>
      <c r="R1241" s="562"/>
      <c r="S1241" s="562"/>
      <c r="T1241" s="217"/>
      <c r="U1241" s="217"/>
      <c r="V1241" s="217"/>
      <c r="W1241" s="217"/>
      <c r="X1241" s="217"/>
      <c r="Y1241" s="217"/>
      <c r="Z1241" s="217"/>
      <c r="AA1241" s="481"/>
      <c r="AB1241" s="481"/>
      <c r="AC1241" s="481"/>
      <c r="AD1241" s="481"/>
      <c r="AE1241" s="481"/>
      <c r="AF1241" s="481"/>
      <c r="AG1241" s="481"/>
      <c r="AH1241" s="481"/>
      <c r="AI1241" s="158"/>
      <c r="AJ1241" s="158"/>
      <c r="AK1241" s="133"/>
      <c r="AL1241" s="133"/>
      <c r="AM1241" s="133"/>
      <c r="AN1241" s="133"/>
      <c r="AO1241" s="133"/>
      <c r="AP1241" s="155"/>
    </row>
    <row r="1242">
      <c r="A1242" s="155"/>
      <c r="B1242" s="155"/>
      <c r="C1242" s="174"/>
      <c r="D1242" s="155"/>
      <c r="E1242" s="563"/>
      <c r="F1242" s="155"/>
      <c r="G1242" s="158"/>
      <c r="H1242" s="559"/>
      <c r="I1242" s="559"/>
      <c r="J1242" s="559"/>
      <c r="K1242" s="559"/>
      <c r="L1242" s="560"/>
      <c r="M1242" s="560"/>
      <c r="N1242" s="560"/>
      <c r="O1242" s="560"/>
      <c r="P1242" s="562"/>
      <c r="Q1242" s="562"/>
      <c r="R1242" s="562"/>
      <c r="S1242" s="562"/>
      <c r="T1242" s="217"/>
      <c r="U1242" s="217"/>
      <c r="V1242" s="217"/>
      <c r="W1242" s="217"/>
      <c r="X1242" s="217"/>
      <c r="Y1242" s="217"/>
      <c r="Z1242" s="217"/>
      <c r="AA1242" s="481"/>
      <c r="AB1242" s="481"/>
      <c r="AC1242" s="481"/>
      <c r="AD1242" s="481"/>
      <c r="AE1242" s="481"/>
      <c r="AF1242" s="481"/>
      <c r="AG1242" s="481"/>
      <c r="AH1242" s="481"/>
      <c r="AI1242" s="158"/>
      <c r="AJ1242" s="158"/>
      <c r="AK1242" s="133"/>
      <c r="AL1242" s="133"/>
      <c r="AM1242" s="133"/>
      <c r="AN1242" s="133"/>
      <c r="AO1242" s="133"/>
      <c r="AP1242" s="155"/>
    </row>
    <row r="1243">
      <c r="A1243" s="155"/>
      <c r="B1243" s="155"/>
      <c r="C1243" s="174"/>
      <c r="D1243" s="155"/>
      <c r="E1243" s="563"/>
      <c r="F1243" s="155"/>
      <c r="G1243" s="158"/>
      <c r="H1243" s="559"/>
      <c r="I1243" s="559"/>
      <c r="J1243" s="559"/>
      <c r="K1243" s="559"/>
      <c r="L1243" s="560"/>
      <c r="M1243" s="560"/>
      <c r="N1243" s="560"/>
      <c r="O1243" s="560"/>
      <c r="P1243" s="562"/>
      <c r="Q1243" s="562"/>
      <c r="R1243" s="562"/>
      <c r="S1243" s="562"/>
      <c r="T1243" s="217"/>
      <c r="U1243" s="217"/>
      <c r="V1243" s="217"/>
      <c r="W1243" s="217"/>
      <c r="X1243" s="217"/>
      <c r="Y1243" s="217"/>
      <c r="Z1243" s="217"/>
      <c r="AA1243" s="481"/>
      <c r="AB1243" s="481"/>
      <c r="AC1243" s="481"/>
      <c r="AD1243" s="481"/>
      <c r="AE1243" s="481"/>
      <c r="AF1243" s="481"/>
      <c r="AG1243" s="481"/>
      <c r="AH1243" s="481"/>
      <c r="AI1243" s="158"/>
      <c r="AJ1243" s="158"/>
      <c r="AK1243" s="133"/>
      <c r="AL1243" s="133"/>
      <c r="AM1243" s="133"/>
      <c r="AN1243" s="133"/>
      <c r="AO1243" s="133"/>
      <c r="AP1243" s="155"/>
    </row>
    <row r="1244">
      <c r="A1244" s="155"/>
      <c r="B1244" s="155"/>
      <c r="C1244" s="174"/>
      <c r="D1244" s="155"/>
      <c r="E1244" s="563"/>
      <c r="F1244" s="155"/>
      <c r="G1244" s="158"/>
      <c r="H1244" s="559"/>
      <c r="I1244" s="559"/>
      <c r="J1244" s="559"/>
      <c r="K1244" s="559"/>
      <c r="L1244" s="560"/>
      <c r="M1244" s="560"/>
      <c r="N1244" s="560"/>
      <c r="O1244" s="560"/>
      <c r="P1244" s="562"/>
      <c r="Q1244" s="562"/>
      <c r="R1244" s="562"/>
      <c r="S1244" s="562"/>
      <c r="T1244" s="217"/>
      <c r="U1244" s="217"/>
      <c r="V1244" s="217"/>
      <c r="W1244" s="217"/>
      <c r="X1244" s="217"/>
      <c r="Y1244" s="217"/>
      <c r="Z1244" s="217"/>
      <c r="AA1244" s="481"/>
      <c r="AB1244" s="481"/>
      <c r="AC1244" s="481"/>
      <c r="AD1244" s="481"/>
      <c r="AE1244" s="481"/>
      <c r="AF1244" s="481"/>
      <c r="AG1244" s="481"/>
      <c r="AH1244" s="481"/>
      <c r="AI1244" s="158"/>
      <c r="AJ1244" s="158"/>
      <c r="AK1244" s="133"/>
      <c r="AL1244" s="133"/>
      <c r="AM1244" s="133"/>
      <c r="AN1244" s="133"/>
      <c r="AO1244" s="133"/>
      <c r="AP1244" s="155"/>
    </row>
    <row r="1245">
      <c r="A1245" s="155"/>
      <c r="B1245" s="155"/>
      <c r="C1245" s="174"/>
      <c r="D1245" s="155"/>
      <c r="E1245" s="563"/>
      <c r="F1245" s="155"/>
      <c r="G1245" s="158"/>
      <c r="H1245" s="559"/>
      <c r="I1245" s="559"/>
      <c r="J1245" s="559"/>
      <c r="K1245" s="559"/>
      <c r="L1245" s="560"/>
      <c r="M1245" s="560"/>
      <c r="N1245" s="560"/>
      <c r="O1245" s="560"/>
      <c r="P1245" s="562"/>
      <c r="Q1245" s="562"/>
      <c r="R1245" s="562"/>
      <c r="S1245" s="562"/>
      <c r="T1245" s="217"/>
      <c r="U1245" s="217"/>
      <c r="V1245" s="217"/>
      <c r="W1245" s="217"/>
      <c r="X1245" s="217"/>
      <c r="Y1245" s="217"/>
      <c r="Z1245" s="217"/>
      <c r="AA1245" s="481"/>
      <c r="AB1245" s="481"/>
      <c r="AC1245" s="481"/>
      <c r="AD1245" s="481"/>
      <c r="AE1245" s="481"/>
      <c r="AF1245" s="481"/>
      <c r="AG1245" s="481"/>
      <c r="AH1245" s="481"/>
      <c r="AI1245" s="158"/>
      <c r="AJ1245" s="158"/>
      <c r="AK1245" s="133"/>
      <c r="AL1245" s="133"/>
      <c r="AM1245" s="133"/>
      <c r="AN1245" s="133"/>
      <c r="AO1245" s="133"/>
      <c r="AP1245" s="155"/>
    </row>
    <row r="1246">
      <c r="A1246" s="155"/>
      <c r="B1246" s="155"/>
      <c r="C1246" s="174"/>
      <c r="D1246" s="155"/>
      <c r="E1246" s="563"/>
      <c r="F1246" s="155"/>
      <c r="G1246" s="158"/>
      <c r="H1246" s="559"/>
      <c r="I1246" s="559"/>
      <c r="J1246" s="559"/>
      <c r="K1246" s="559"/>
      <c r="L1246" s="560"/>
      <c r="M1246" s="560"/>
      <c r="N1246" s="560"/>
      <c r="O1246" s="560"/>
      <c r="P1246" s="562"/>
      <c r="Q1246" s="562"/>
      <c r="R1246" s="562"/>
      <c r="S1246" s="562"/>
      <c r="T1246" s="217"/>
      <c r="U1246" s="217"/>
      <c r="V1246" s="217"/>
      <c r="W1246" s="217"/>
      <c r="X1246" s="217"/>
      <c r="Y1246" s="217"/>
      <c r="Z1246" s="217"/>
      <c r="AA1246" s="481"/>
      <c r="AB1246" s="481"/>
      <c r="AC1246" s="481"/>
      <c r="AD1246" s="481"/>
      <c r="AE1246" s="481"/>
      <c r="AF1246" s="481"/>
      <c r="AG1246" s="481"/>
      <c r="AH1246" s="481"/>
      <c r="AI1246" s="158"/>
      <c r="AJ1246" s="158"/>
      <c r="AK1246" s="133"/>
      <c r="AL1246" s="133"/>
      <c r="AM1246" s="133"/>
      <c r="AN1246" s="133"/>
      <c r="AO1246" s="133"/>
      <c r="AP1246" s="155"/>
    </row>
    <row r="1247">
      <c r="A1247" s="155"/>
      <c r="B1247" s="155"/>
      <c r="C1247" s="174"/>
      <c r="D1247" s="155"/>
      <c r="E1247" s="563"/>
      <c r="F1247" s="155"/>
      <c r="G1247" s="158"/>
      <c r="H1247" s="559"/>
      <c r="I1247" s="559"/>
      <c r="J1247" s="559"/>
      <c r="K1247" s="559"/>
      <c r="L1247" s="560"/>
      <c r="M1247" s="560"/>
      <c r="N1247" s="560"/>
      <c r="O1247" s="560"/>
      <c r="P1247" s="562"/>
      <c r="Q1247" s="562"/>
      <c r="R1247" s="562"/>
      <c r="S1247" s="562"/>
      <c r="T1247" s="217"/>
      <c r="U1247" s="217"/>
      <c r="V1247" s="217"/>
      <c r="W1247" s="217"/>
      <c r="X1247" s="217"/>
      <c r="Y1247" s="217"/>
      <c r="Z1247" s="217"/>
      <c r="AA1247" s="481"/>
      <c r="AB1247" s="481"/>
      <c r="AC1247" s="481"/>
      <c r="AD1247" s="481"/>
      <c r="AE1247" s="481"/>
      <c r="AF1247" s="481"/>
      <c r="AG1247" s="481"/>
      <c r="AH1247" s="481"/>
      <c r="AI1247" s="158"/>
      <c r="AJ1247" s="158"/>
      <c r="AK1247" s="133"/>
      <c r="AL1247" s="133"/>
      <c r="AM1247" s="133"/>
      <c r="AN1247" s="133"/>
      <c r="AO1247" s="133"/>
      <c r="AP1247" s="155"/>
    </row>
    <row r="1248">
      <c r="A1248" s="155"/>
      <c r="B1248" s="155"/>
      <c r="C1248" s="174"/>
      <c r="D1248" s="155"/>
      <c r="E1248" s="563"/>
      <c r="F1248" s="155"/>
      <c r="G1248" s="158"/>
      <c r="H1248" s="559"/>
      <c r="I1248" s="559"/>
      <c r="J1248" s="559"/>
      <c r="K1248" s="559"/>
      <c r="L1248" s="560"/>
      <c r="M1248" s="560"/>
      <c r="N1248" s="560"/>
      <c r="O1248" s="560"/>
      <c r="P1248" s="562"/>
      <c r="Q1248" s="562"/>
      <c r="R1248" s="562"/>
      <c r="S1248" s="562"/>
      <c r="T1248" s="217"/>
      <c r="U1248" s="217"/>
      <c r="V1248" s="217"/>
      <c r="W1248" s="217"/>
      <c r="X1248" s="217"/>
      <c r="Y1248" s="217"/>
      <c r="Z1248" s="217"/>
      <c r="AA1248" s="481"/>
      <c r="AB1248" s="481"/>
      <c r="AC1248" s="481"/>
      <c r="AD1248" s="481"/>
      <c r="AE1248" s="481"/>
      <c r="AF1248" s="481"/>
      <c r="AG1248" s="481"/>
      <c r="AH1248" s="481"/>
      <c r="AI1248" s="158"/>
      <c r="AJ1248" s="158"/>
      <c r="AK1248" s="133"/>
      <c r="AL1248" s="133"/>
      <c r="AM1248" s="133"/>
      <c r="AN1248" s="133"/>
      <c r="AO1248" s="133"/>
      <c r="AP1248" s="155"/>
    </row>
    <row r="1249">
      <c r="A1249" s="155"/>
      <c r="B1249" s="155"/>
      <c r="C1249" s="174"/>
      <c r="D1249" s="155"/>
      <c r="E1249" s="563"/>
      <c r="F1249" s="155"/>
      <c r="G1249" s="158"/>
      <c r="H1249" s="559"/>
      <c r="I1249" s="559"/>
      <c r="J1249" s="559"/>
      <c r="K1249" s="559"/>
      <c r="L1249" s="560"/>
      <c r="M1249" s="560"/>
      <c r="N1249" s="560"/>
      <c r="O1249" s="560"/>
      <c r="P1249" s="562"/>
      <c r="Q1249" s="562"/>
      <c r="R1249" s="562"/>
      <c r="S1249" s="562"/>
      <c r="T1249" s="217"/>
      <c r="U1249" s="217"/>
      <c r="V1249" s="217"/>
      <c r="W1249" s="217"/>
      <c r="X1249" s="217"/>
      <c r="Y1249" s="217"/>
      <c r="Z1249" s="217"/>
      <c r="AA1249" s="481"/>
      <c r="AB1249" s="481"/>
      <c r="AC1249" s="481"/>
      <c r="AD1249" s="481"/>
      <c r="AE1249" s="481"/>
      <c r="AF1249" s="481"/>
      <c r="AG1249" s="481"/>
      <c r="AH1249" s="481"/>
      <c r="AI1249" s="158"/>
      <c r="AJ1249" s="158"/>
      <c r="AK1249" s="133"/>
      <c r="AL1249" s="133"/>
      <c r="AM1249" s="133"/>
      <c r="AN1249" s="133"/>
      <c r="AO1249" s="133"/>
      <c r="AP1249" s="155"/>
    </row>
    <row r="1250">
      <c r="A1250" s="155"/>
      <c r="B1250" s="155"/>
      <c r="C1250" s="174"/>
      <c r="D1250" s="155"/>
      <c r="E1250" s="563"/>
      <c r="F1250" s="155"/>
      <c r="G1250" s="158"/>
      <c r="H1250" s="559"/>
      <c r="I1250" s="559"/>
      <c r="J1250" s="559"/>
      <c r="K1250" s="559"/>
      <c r="L1250" s="560"/>
      <c r="M1250" s="560"/>
      <c r="N1250" s="560"/>
      <c r="O1250" s="560"/>
      <c r="P1250" s="562"/>
      <c r="Q1250" s="562"/>
      <c r="R1250" s="562"/>
      <c r="S1250" s="562"/>
      <c r="T1250" s="217"/>
      <c r="U1250" s="217"/>
      <c r="V1250" s="217"/>
      <c r="W1250" s="217"/>
      <c r="X1250" s="217"/>
      <c r="Y1250" s="217"/>
      <c r="Z1250" s="217"/>
      <c r="AA1250" s="481"/>
      <c r="AB1250" s="481"/>
      <c r="AC1250" s="481"/>
      <c r="AD1250" s="481"/>
      <c r="AE1250" s="481"/>
      <c r="AF1250" s="481"/>
      <c r="AG1250" s="481"/>
      <c r="AH1250" s="481"/>
      <c r="AI1250" s="158"/>
      <c r="AJ1250" s="158"/>
      <c r="AK1250" s="133"/>
      <c r="AL1250" s="133"/>
      <c r="AM1250" s="133"/>
      <c r="AN1250" s="133"/>
      <c r="AO1250" s="133"/>
      <c r="AP1250" s="155"/>
    </row>
    <row r="1251">
      <c r="A1251" s="155"/>
      <c r="B1251" s="155"/>
      <c r="C1251" s="174"/>
      <c r="D1251" s="155"/>
      <c r="E1251" s="563"/>
      <c r="F1251" s="155"/>
      <c r="G1251" s="158"/>
      <c r="H1251" s="559"/>
      <c r="I1251" s="559"/>
      <c r="J1251" s="559"/>
      <c r="K1251" s="559"/>
      <c r="L1251" s="560"/>
      <c r="M1251" s="560"/>
      <c r="N1251" s="560"/>
      <c r="O1251" s="560"/>
      <c r="P1251" s="562"/>
      <c r="Q1251" s="562"/>
      <c r="R1251" s="562"/>
      <c r="S1251" s="562"/>
      <c r="T1251" s="217"/>
      <c r="U1251" s="217"/>
      <c r="V1251" s="217"/>
      <c r="W1251" s="217"/>
      <c r="X1251" s="217"/>
      <c r="Y1251" s="217"/>
      <c r="Z1251" s="217"/>
      <c r="AA1251" s="481"/>
      <c r="AB1251" s="481"/>
      <c r="AC1251" s="481"/>
      <c r="AD1251" s="481"/>
      <c r="AE1251" s="481"/>
      <c r="AF1251" s="481"/>
      <c r="AG1251" s="481"/>
      <c r="AH1251" s="481"/>
      <c r="AI1251" s="158"/>
      <c r="AJ1251" s="158"/>
      <c r="AK1251" s="133"/>
      <c r="AL1251" s="133"/>
      <c r="AM1251" s="133"/>
      <c r="AN1251" s="133"/>
      <c r="AO1251" s="133"/>
      <c r="AP1251" s="155"/>
    </row>
    <row r="1252">
      <c r="A1252" s="155"/>
      <c r="B1252" s="155"/>
      <c r="C1252" s="174"/>
      <c r="D1252" s="155"/>
      <c r="E1252" s="563"/>
      <c r="F1252" s="155"/>
      <c r="G1252" s="158"/>
      <c r="H1252" s="559"/>
      <c r="I1252" s="559"/>
      <c r="J1252" s="559"/>
      <c r="K1252" s="559"/>
      <c r="L1252" s="560"/>
      <c r="M1252" s="560"/>
      <c r="N1252" s="560"/>
      <c r="O1252" s="560"/>
      <c r="P1252" s="562"/>
      <c r="Q1252" s="562"/>
      <c r="R1252" s="562"/>
      <c r="S1252" s="562"/>
      <c r="T1252" s="217"/>
      <c r="U1252" s="217"/>
      <c r="V1252" s="217"/>
      <c r="W1252" s="217"/>
      <c r="X1252" s="217"/>
      <c r="Y1252" s="217"/>
      <c r="Z1252" s="217"/>
      <c r="AA1252" s="481"/>
      <c r="AB1252" s="481"/>
      <c r="AC1252" s="481"/>
      <c r="AD1252" s="481"/>
      <c r="AE1252" s="481"/>
      <c r="AF1252" s="481"/>
      <c r="AG1252" s="481"/>
      <c r="AH1252" s="481"/>
      <c r="AI1252" s="158"/>
      <c r="AJ1252" s="158"/>
      <c r="AK1252" s="133"/>
      <c r="AL1252" s="133"/>
      <c r="AM1252" s="133"/>
      <c r="AN1252" s="133"/>
      <c r="AO1252" s="133"/>
      <c r="AP1252" s="155"/>
    </row>
    <row r="1253">
      <c r="A1253" s="155"/>
      <c r="B1253" s="155"/>
      <c r="C1253" s="174"/>
      <c r="D1253" s="155"/>
      <c r="E1253" s="563"/>
      <c r="F1253" s="155"/>
      <c r="G1253" s="158"/>
      <c r="H1253" s="559"/>
      <c r="I1253" s="559"/>
      <c r="J1253" s="559"/>
      <c r="K1253" s="559"/>
      <c r="L1253" s="560"/>
      <c r="M1253" s="560"/>
      <c r="N1253" s="560"/>
      <c r="O1253" s="560"/>
      <c r="P1253" s="562"/>
      <c r="Q1253" s="562"/>
      <c r="R1253" s="562"/>
      <c r="S1253" s="562"/>
      <c r="T1253" s="217"/>
      <c r="U1253" s="217"/>
      <c r="V1253" s="217"/>
      <c r="W1253" s="217"/>
      <c r="X1253" s="217"/>
      <c r="Y1253" s="217"/>
      <c r="Z1253" s="217"/>
      <c r="AA1253" s="481"/>
      <c r="AB1253" s="481"/>
      <c r="AC1253" s="481"/>
      <c r="AD1253" s="481"/>
      <c r="AE1253" s="481"/>
      <c r="AF1253" s="481"/>
      <c r="AG1253" s="481"/>
      <c r="AH1253" s="481"/>
      <c r="AI1253" s="158"/>
      <c r="AJ1253" s="158"/>
      <c r="AK1253" s="133"/>
      <c r="AL1253" s="133"/>
      <c r="AM1253" s="133"/>
      <c r="AN1253" s="133"/>
      <c r="AO1253" s="133"/>
      <c r="AP1253" s="155"/>
    </row>
    <row r="1254">
      <c r="A1254" s="155"/>
      <c r="B1254" s="155"/>
      <c r="C1254" s="174"/>
      <c r="D1254" s="155"/>
      <c r="E1254" s="563"/>
      <c r="F1254" s="155"/>
      <c r="G1254" s="158"/>
      <c r="H1254" s="559"/>
      <c r="I1254" s="559"/>
      <c r="J1254" s="559"/>
      <c r="K1254" s="559"/>
      <c r="L1254" s="560"/>
      <c r="M1254" s="560"/>
      <c r="N1254" s="560"/>
      <c r="O1254" s="560"/>
      <c r="P1254" s="562"/>
      <c r="Q1254" s="562"/>
      <c r="R1254" s="562"/>
      <c r="S1254" s="562"/>
      <c r="T1254" s="217"/>
      <c r="U1254" s="217"/>
      <c r="V1254" s="217"/>
      <c r="W1254" s="217"/>
      <c r="X1254" s="217"/>
      <c r="Y1254" s="217"/>
      <c r="Z1254" s="217"/>
      <c r="AA1254" s="481"/>
      <c r="AB1254" s="481"/>
      <c r="AC1254" s="481"/>
      <c r="AD1254" s="481"/>
      <c r="AE1254" s="481"/>
      <c r="AF1254" s="481"/>
      <c r="AG1254" s="481"/>
      <c r="AH1254" s="481"/>
      <c r="AI1254" s="158"/>
      <c r="AJ1254" s="158"/>
      <c r="AK1254" s="133"/>
      <c r="AL1254" s="133"/>
      <c r="AM1254" s="133"/>
      <c r="AN1254" s="133"/>
      <c r="AO1254" s="133"/>
      <c r="AP1254" s="155"/>
    </row>
    <row r="1255">
      <c r="A1255" s="155"/>
      <c r="B1255" s="155"/>
      <c r="C1255" s="174"/>
      <c r="D1255" s="155"/>
      <c r="E1255" s="563"/>
      <c r="F1255" s="155"/>
      <c r="G1255" s="158"/>
      <c r="H1255" s="559"/>
      <c r="I1255" s="559"/>
      <c r="J1255" s="559"/>
      <c r="K1255" s="559"/>
      <c r="L1255" s="560"/>
      <c r="M1255" s="560"/>
      <c r="N1255" s="560"/>
      <c r="O1255" s="560"/>
      <c r="P1255" s="562"/>
      <c r="Q1255" s="562"/>
      <c r="R1255" s="562"/>
      <c r="S1255" s="562"/>
      <c r="T1255" s="217"/>
      <c r="U1255" s="217"/>
      <c r="V1255" s="217"/>
      <c r="W1255" s="217"/>
      <c r="X1255" s="217"/>
      <c r="Y1255" s="217"/>
      <c r="Z1255" s="217"/>
      <c r="AA1255" s="481"/>
      <c r="AB1255" s="481"/>
      <c r="AC1255" s="481"/>
      <c r="AD1255" s="481"/>
      <c r="AE1255" s="481"/>
      <c r="AF1255" s="481"/>
      <c r="AG1255" s="481"/>
      <c r="AH1255" s="481"/>
      <c r="AI1255" s="158"/>
      <c r="AJ1255" s="158"/>
      <c r="AK1255" s="133"/>
      <c r="AL1255" s="133"/>
      <c r="AM1255" s="133"/>
      <c r="AN1255" s="133"/>
      <c r="AO1255" s="133"/>
      <c r="AP1255" s="155"/>
    </row>
    <row r="1256">
      <c r="A1256" s="155"/>
      <c r="B1256" s="155"/>
      <c r="C1256" s="174"/>
      <c r="D1256" s="155"/>
      <c r="E1256" s="563"/>
      <c r="F1256" s="155"/>
      <c r="G1256" s="158"/>
      <c r="H1256" s="559"/>
      <c r="I1256" s="559"/>
      <c r="J1256" s="559"/>
      <c r="K1256" s="559"/>
      <c r="L1256" s="560"/>
      <c r="M1256" s="560"/>
      <c r="N1256" s="560"/>
      <c r="O1256" s="560"/>
      <c r="P1256" s="562"/>
      <c r="Q1256" s="562"/>
      <c r="R1256" s="562"/>
      <c r="S1256" s="562"/>
      <c r="T1256" s="217"/>
      <c r="U1256" s="217"/>
      <c r="V1256" s="217"/>
      <c r="W1256" s="217"/>
      <c r="X1256" s="217"/>
      <c r="Y1256" s="217"/>
      <c r="Z1256" s="217"/>
      <c r="AA1256" s="481"/>
      <c r="AB1256" s="481"/>
      <c r="AC1256" s="481"/>
      <c r="AD1256" s="481"/>
      <c r="AE1256" s="481"/>
      <c r="AF1256" s="481"/>
      <c r="AG1256" s="481"/>
      <c r="AH1256" s="481"/>
      <c r="AI1256" s="158"/>
      <c r="AJ1256" s="158"/>
      <c r="AK1256" s="133"/>
      <c r="AL1256" s="133"/>
      <c r="AM1256" s="133"/>
      <c r="AN1256" s="133"/>
      <c r="AO1256" s="133"/>
      <c r="AP1256" s="155"/>
    </row>
    <row r="1257">
      <c r="A1257" s="155"/>
      <c r="B1257" s="155"/>
      <c r="C1257" s="174"/>
      <c r="D1257" s="155"/>
      <c r="E1257" s="563"/>
      <c r="F1257" s="155"/>
      <c r="G1257" s="158"/>
      <c r="H1257" s="559"/>
      <c r="I1257" s="559"/>
      <c r="J1257" s="559"/>
      <c r="K1257" s="559"/>
      <c r="L1257" s="560"/>
      <c r="M1257" s="560"/>
      <c r="N1257" s="560"/>
      <c r="O1257" s="560"/>
      <c r="P1257" s="562"/>
      <c r="Q1257" s="562"/>
      <c r="R1257" s="562"/>
      <c r="S1257" s="562"/>
      <c r="T1257" s="217"/>
      <c r="U1257" s="217"/>
      <c r="V1257" s="217"/>
      <c r="W1257" s="217"/>
      <c r="X1257" s="217"/>
      <c r="Y1257" s="217"/>
      <c r="Z1257" s="217"/>
      <c r="AA1257" s="481"/>
      <c r="AB1257" s="481"/>
      <c r="AC1257" s="481"/>
      <c r="AD1257" s="481"/>
      <c r="AE1257" s="481"/>
      <c r="AF1257" s="481"/>
      <c r="AG1257" s="481"/>
      <c r="AH1257" s="481"/>
      <c r="AI1257" s="158"/>
      <c r="AJ1257" s="158"/>
      <c r="AK1257" s="133"/>
      <c r="AL1257" s="133"/>
      <c r="AM1257" s="133"/>
      <c r="AN1257" s="133"/>
      <c r="AO1257" s="133"/>
      <c r="AP1257" s="155"/>
    </row>
    <row r="1258">
      <c r="A1258" s="155"/>
      <c r="B1258" s="155"/>
      <c r="C1258" s="174"/>
      <c r="D1258" s="155"/>
      <c r="E1258" s="563"/>
      <c r="F1258" s="155"/>
      <c r="G1258" s="158"/>
      <c r="H1258" s="559"/>
      <c r="I1258" s="559"/>
      <c r="J1258" s="559"/>
      <c r="K1258" s="559"/>
      <c r="L1258" s="560"/>
      <c r="M1258" s="560"/>
      <c r="N1258" s="560"/>
      <c r="O1258" s="560"/>
      <c r="P1258" s="562"/>
      <c r="Q1258" s="562"/>
      <c r="R1258" s="562"/>
      <c r="S1258" s="562"/>
      <c r="T1258" s="217"/>
      <c r="U1258" s="217"/>
      <c r="V1258" s="217"/>
      <c r="W1258" s="217"/>
      <c r="X1258" s="217"/>
      <c r="Y1258" s="217"/>
      <c r="Z1258" s="217"/>
      <c r="AA1258" s="481"/>
      <c r="AB1258" s="481"/>
      <c r="AC1258" s="481"/>
      <c r="AD1258" s="481"/>
      <c r="AE1258" s="481"/>
      <c r="AF1258" s="481"/>
      <c r="AG1258" s="481"/>
      <c r="AH1258" s="481"/>
      <c r="AI1258" s="158"/>
      <c r="AJ1258" s="158"/>
      <c r="AK1258" s="133"/>
      <c r="AL1258" s="133"/>
      <c r="AM1258" s="133"/>
      <c r="AN1258" s="133"/>
      <c r="AO1258" s="133"/>
      <c r="AP1258" s="155"/>
    </row>
    <row r="1259">
      <c r="A1259" s="155"/>
      <c r="B1259" s="155"/>
      <c r="C1259" s="174"/>
      <c r="D1259" s="155"/>
      <c r="E1259" s="563"/>
      <c r="F1259" s="155"/>
      <c r="G1259" s="158"/>
      <c r="H1259" s="559"/>
      <c r="I1259" s="559"/>
      <c r="J1259" s="559"/>
      <c r="K1259" s="559"/>
      <c r="L1259" s="560"/>
      <c r="M1259" s="560"/>
      <c r="N1259" s="560"/>
      <c r="O1259" s="560"/>
      <c r="P1259" s="562"/>
      <c r="Q1259" s="562"/>
      <c r="R1259" s="562"/>
      <c r="S1259" s="562"/>
      <c r="T1259" s="217"/>
      <c r="U1259" s="217"/>
      <c r="V1259" s="217"/>
      <c r="W1259" s="217"/>
      <c r="X1259" s="217"/>
      <c r="Y1259" s="217"/>
      <c r="Z1259" s="217"/>
      <c r="AA1259" s="481"/>
      <c r="AB1259" s="481"/>
      <c r="AC1259" s="481"/>
      <c r="AD1259" s="481"/>
      <c r="AE1259" s="481"/>
      <c r="AF1259" s="481"/>
      <c r="AG1259" s="481"/>
      <c r="AH1259" s="481"/>
      <c r="AI1259" s="158"/>
      <c r="AJ1259" s="158"/>
      <c r="AK1259" s="133"/>
      <c r="AL1259" s="133"/>
      <c r="AM1259" s="133"/>
      <c r="AN1259" s="133"/>
      <c r="AO1259" s="133"/>
      <c r="AP1259" s="155"/>
    </row>
    <row r="1260">
      <c r="A1260" s="155"/>
      <c r="B1260" s="155"/>
      <c r="C1260" s="174"/>
      <c r="D1260" s="155"/>
      <c r="E1260" s="563"/>
      <c r="F1260" s="155"/>
      <c r="G1260" s="158"/>
      <c r="H1260" s="559"/>
      <c r="I1260" s="559"/>
      <c r="J1260" s="559"/>
      <c r="K1260" s="559"/>
      <c r="L1260" s="560"/>
      <c r="M1260" s="560"/>
      <c r="N1260" s="560"/>
      <c r="O1260" s="560"/>
      <c r="P1260" s="562"/>
      <c r="Q1260" s="562"/>
      <c r="R1260" s="562"/>
      <c r="S1260" s="562"/>
      <c r="T1260" s="217"/>
      <c r="U1260" s="217"/>
      <c r="V1260" s="217"/>
      <c r="W1260" s="217"/>
      <c r="X1260" s="217"/>
      <c r="Y1260" s="217"/>
      <c r="Z1260" s="217"/>
      <c r="AA1260" s="481"/>
      <c r="AB1260" s="481"/>
      <c r="AC1260" s="481"/>
      <c r="AD1260" s="481"/>
      <c r="AE1260" s="481"/>
      <c r="AF1260" s="481"/>
      <c r="AG1260" s="481"/>
      <c r="AH1260" s="481"/>
      <c r="AI1260" s="158"/>
      <c r="AJ1260" s="158"/>
      <c r="AK1260" s="133"/>
      <c r="AL1260" s="133"/>
      <c r="AM1260" s="133"/>
      <c r="AN1260" s="133"/>
      <c r="AO1260" s="133"/>
      <c r="AP1260" s="155"/>
    </row>
    <row r="1261">
      <c r="A1261" s="155"/>
      <c r="B1261" s="155"/>
      <c r="C1261" s="174"/>
      <c r="D1261" s="155"/>
      <c r="E1261" s="563"/>
      <c r="F1261" s="155"/>
      <c r="G1261" s="158"/>
      <c r="H1261" s="559"/>
      <c r="I1261" s="559"/>
      <c r="J1261" s="559"/>
      <c r="K1261" s="559"/>
      <c r="L1261" s="560"/>
      <c r="M1261" s="560"/>
      <c r="N1261" s="560"/>
      <c r="O1261" s="560"/>
      <c r="P1261" s="562"/>
      <c r="Q1261" s="562"/>
      <c r="R1261" s="562"/>
      <c r="S1261" s="562"/>
      <c r="T1261" s="217"/>
      <c r="U1261" s="217"/>
      <c r="V1261" s="217"/>
      <c r="W1261" s="217"/>
      <c r="X1261" s="217"/>
      <c r="Y1261" s="217"/>
      <c r="Z1261" s="217"/>
      <c r="AA1261" s="481"/>
      <c r="AB1261" s="481"/>
      <c r="AC1261" s="481"/>
      <c r="AD1261" s="481"/>
      <c r="AE1261" s="481"/>
      <c r="AF1261" s="481"/>
      <c r="AG1261" s="481"/>
      <c r="AH1261" s="481"/>
      <c r="AI1261" s="158"/>
      <c r="AJ1261" s="158"/>
      <c r="AK1261" s="133"/>
      <c r="AL1261" s="133"/>
      <c r="AM1261" s="133"/>
      <c r="AN1261" s="133"/>
      <c r="AO1261" s="133"/>
      <c r="AP1261" s="155"/>
    </row>
    <row r="1262">
      <c r="A1262" s="155"/>
      <c r="B1262" s="155"/>
      <c r="C1262" s="174"/>
      <c r="D1262" s="155"/>
      <c r="E1262" s="563"/>
      <c r="F1262" s="155"/>
      <c r="G1262" s="158"/>
      <c r="H1262" s="559"/>
      <c r="I1262" s="559"/>
      <c r="J1262" s="559"/>
      <c r="K1262" s="559"/>
      <c r="L1262" s="560"/>
      <c r="M1262" s="560"/>
      <c r="N1262" s="560"/>
      <c r="O1262" s="560"/>
      <c r="P1262" s="562"/>
      <c r="Q1262" s="562"/>
      <c r="R1262" s="562"/>
      <c r="S1262" s="562"/>
      <c r="T1262" s="217"/>
      <c r="U1262" s="217"/>
      <c r="V1262" s="217"/>
      <c r="W1262" s="217"/>
      <c r="X1262" s="217"/>
      <c r="Y1262" s="217"/>
      <c r="Z1262" s="217"/>
      <c r="AA1262" s="481"/>
      <c r="AB1262" s="481"/>
      <c r="AC1262" s="481"/>
      <c r="AD1262" s="481"/>
      <c r="AE1262" s="481"/>
      <c r="AF1262" s="481"/>
      <c r="AG1262" s="481"/>
      <c r="AH1262" s="481"/>
      <c r="AI1262" s="158"/>
      <c r="AJ1262" s="158"/>
      <c r="AK1262" s="133"/>
      <c r="AL1262" s="133"/>
      <c r="AM1262" s="133"/>
      <c r="AN1262" s="133"/>
      <c r="AO1262" s="133"/>
      <c r="AP1262" s="155"/>
    </row>
    <row r="1263">
      <c r="A1263" s="155"/>
      <c r="B1263" s="155"/>
      <c r="C1263" s="174"/>
      <c r="D1263" s="155"/>
      <c r="E1263" s="563"/>
      <c r="F1263" s="155"/>
      <c r="G1263" s="158"/>
      <c r="H1263" s="559"/>
      <c r="I1263" s="559"/>
      <c r="J1263" s="559"/>
      <c r="K1263" s="559"/>
      <c r="L1263" s="560"/>
      <c r="M1263" s="560"/>
      <c r="N1263" s="560"/>
      <c r="O1263" s="560"/>
      <c r="P1263" s="562"/>
      <c r="Q1263" s="562"/>
      <c r="R1263" s="562"/>
      <c r="S1263" s="562"/>
      <c r="T1263" s="217"/>
      <c r="U1263" s="217"/>
      <c r="V1263" s="217"/>
      <c r="W1263" s="217"/>
      <c r="X1263" s="217"/>
      <c r="Y1263" s="217"/>
      <c r="Z1263" s="217"/>
      <c r="AA1263" s="481"/>
      <c r="AB1263" s="481"/>
      <c r="AC1263" s="481"/>
      <c r="AD1263" s="481"/>
      <c r="AE1263" s="481"/>
      <c r="AF1263" s="481"/>
      <c r="AG1263" s="481"/>
      <c r="AH1263" s="481"/>
      <c r="AI1263" s="158"/>
      <c r="AJ1263" s="158"/>
      <c r="AK1263" s="133"/>
      <c r="AL1263" s="133"/>
      <c r="AM1263" s="133"/>
      <c r="AN1263" s="133"/>
      <c r="AO1263" s="133"/>
      <c r="AP1263" s="155"/>
    </row>
    <row r="1264">
      <c r="A1264" s="155"/>
      <c r="B1264" s="155"/>
      <c r="C1264" s="174"/>
      <c r="D1264" s="155"/>
      <c r="E1264" s="563"/>
      <c r="F1264" s="155"/>
      <c r="G1264" s="158"/>
      <c r="H1264" s="559"/>
      <c r="I1264" s="559"/>
      <c r="J1264" s="559"/>
      <c r="K1264" s="559"/>
      <c r="L1264" s="560"/>
      <c r="M1264" s="560"/>
      <c r="N1264" s="560"/>
      <c r="O1264" s="560"/>
      <c r="P1264" s="562"/>
      <c r="Q1264" s="562"/>
      <c r="R1264" s="562"/>
      <c r="S1264" s="562"/>
      <c r="T1264" s="217"/>
      <c r="U1264" s="217"/>
      <c r="V1264" s="217"/>
      <c r="W1264" s="217"/>
      <c r="X1264" s="217"/>
      <c r="Y1264" s="217"/>
      <c r="Z1264" s="217"/>
      <c r="AA1264" s="481"/>
      <c r="AB1264" s="481"/>
      <c r="AC1264" s="481"/>
      <c r="AD1264" s="481"/>
      <c r="AE1264" s="481"/>
      <c r="AF1264" s="481"/>
      <c r="AG1264" s="481"/>
      <c r="AH1264" s="481"/>
      <c r="AI1264" s="158"/>
      <c r="AJ1264" s="158"/>
      <c r="AK1264" s="133"/>
      <c r="AL1264" s="133"/>
      <c r="AM1264" s="133"/>
      <c r="AN1264" s="133"/>
      <c r="AO1264" s="133"/>
      <c r="AP1264" s="155"/>
    </row>
    <row r="1265">
      <c r="A1265" s="155"/>
      <c r="B1265" s="155"/>
      <c r="C1265" s="174"/>
      <c r="D1265" s="155"/>
      <c r="E1265" s="563"/>
      <c r="F1265" s="155"/>
      <c r="G1265" s="158"/>
      <c r="H1265" s="559"/>
      <c r="I1265" s="559"/>
      <c r="J1265" s="559"/>
      <c r="K1265" s="559"/>
      <c r="L1265" s="560"/>
      <c r="M1265" s="560"/>
      <c r="N1265" s="560"/>
      <c r="O1265" s="560"/>
      <c r="P1265" s="562"/>
      <c r="Q1265" s="562"/>
      <c r="R1265" s="562"/>
      <c r="S1265" s="562"/>
      <c r="T1265" s="217"/>
      <c r="U1265" s="217"/>
      <c r="V1265" s="217"/>
      <c r="W1265" s="217"/>
      <c r="X1265" s="217"/>
      <c r="Y1265" s="217"/>
      <c r="Z1265" s="217"/>
      <c r="AA1265" s="481"/>
      <c r="AB1265" s="481"/>
      <c r="AC1265" s="481"/>
      <c r="AD1265" s="481"/>
      <c r="AE1265" s="481"/>
      <c r="AF1265" s="481"/>
      <c r="AG1265" s="481"/>
      <c r="AH1265" s="481"/>
      <c r="AI1265" s="158"/>
      <c r="AJ1265" s="158"/>
      <c r="AK1265" s="133"/>
      <c r="AL1265" s="133"/>
      <c r="AM1265" s="133"/>
      <c r="AN1265" s="133"/>
      <c r="AO1265" s="133"/>
      <c r="AP1265" s="155"/>
    </row>
    <row r="1266">
      <c r="A1266" s="155"/>
      <c r="B1266" s="155"/>
      <c r="C1266" s="174"/>
      <c r="D1266" s="155"/>
      <c r="E1266" s="563"/>
      <c r="F1266" s="155"/>
      <c r="G1266" s="158"/>
      <c r="H1266" s="559"/>
      <c r="I1266" s="559"/>
      <c r="J1266" s="559"/>
      <c r="K1266" s="559"/>
      <c r="L1266" s="560"/>
      <c r="M1266" s="560"/>
      <c r="N1266" s="560"/>
      <c r="O1266" s="560"/>
      <c r="P1266" s="562"/>
      <c r="Q1266" s="562"/>
      <c r="R1266" s="562"/>
      <c r="S1266" s="562"/>
      <c r="T1266" s="217"/>
      <c r="U1266" s="217"/>
      <c r="V1266" s="217"/>
      <c r="W1266" s="217"/>
      <c r="X1266" s="217"/>
      <c r="Y1266" s="217"/>
      <c r="Z1266" s="217"/>
      <c r="AA1266" s="481"/>
      <c r="AB1266" s="481"/>
      <c r="AC1266" s="481"/>
      <c r="AD1266" s="481"/>
      <c r="AE1266" s="481"/>
      <c r="AF1266" s="481"/>
      <c r="AG1266" s="481"/>
      <c r="AH1266" s="481"/>
      <c r="AI1266" s="158"/>
      <c r="AJ1266" s="158"/>
      <c r="AK1266" s="133"/>
      <c r="AL1266" s="133"/>
      <c r="AM1266" s="133"/>
      <c r="AN1266" s="133"/>
      <c r="AO1266" s="133"/>
      <c r="AP1266" s="155"/>
    </row>
    <row r="1267">
      <c r="A1267" s="155"/>
      <c r="B1267" s="155"/>
      <c r="C1267" s="174"/>
      <c r="D1267" s="155"/>
      <c r="E1267" s="563"/>
      <c r="F1267" s="155"/>
      <c r="G1267" s="158"/>
      <c r="H1267" s="559"/>
      <c r="I1267" s="559"/>
      <c r="J1267" s="559"/>
      <c r="K1267" s="559"/>
      <c r="L1267" s="560"/>
      <c r="M1267" s="560"/>
      <c r="N1267" s="560"/>
      <c r="O1267" s="560"/>
      <c r="P1267" s="562"/>
      <c r="Q1267" s="562"/>
      <c r="R1267" s="562"/>
      <c r="S1267" s="562"/>
      <c r="T1267" s="217"/>
      <c r="U1267" s="217"/>
      <c r="V1267" s="217"/>
      <c r="W1267" s="217"/>
      <c r="X1267" s="217"/>
      <c r="Y1267" s="217"/>
      <c r="Z1267" s="217"/>
      <c r="AA1267" s="481"/>
      <c r="AB1267" s="481"/>
      <c r="AC1267" s="481"/>
      <c r="AD1267" s="481"/>
      <c r="AE1267" s="481"/>
      <c r="AF1267" s="481"/>
      <c r="AG1267" s="481"/>
      <c r="AH1267" s="481"/>
      <c r="AI1267" s="158"/>
      <c r="AJ1267" s="158"/>
      <c r="AK1267" s="133"/>
      <c r="AL1267" s="133"/>
      <c r="AM1267" s="133"/>
      <c r="AN1267" s="133"/>
      <c r="AO1267" s="133"/>
      <c r="AP1267" s="155"/>
    </row>
    <row r="1268">
      <c r="A1268" s="155"/>
      <c r="B1268" s="155"/>
      <c r="C1268" s="174"/>
      <c r="D1268" s="155"/>
      <c r="E1268" s="563"/>
      <c r="F1268" s="155"/>
      <c r="G1268" s="158"/>
      <c r="H1268" s="559"/>
      <c r="I1268" s="559"/>
      <c r="J1268" s="559"/>
      <c r="K1268" s="559"/>
      <c r="L1268" s="560"/>
      <c r="M1268" s="560"/>
      <c r="N1268" s="560"/>
      <c r="O1268" s="560"/>
      <c r="P1268" s="562"/>
      <c r="Q1268" s="562"/>
      <c r="R1268" s="562"/>
      <c r="S1268" s="562"/>
      <c r="T1268" s="217"/>
      <c r="U1268" s="217"/>
      <c r="V1268" s="217"/>
      <c r="W1268" s="217"/>
      <c r="X1268" s="217"/>
      <c r="Y1268" s="217"/>
      <c r="Z1268" s="217"/>
      <c r="AA1268" s="481"/>
      <c r="AB1268" s="481"/>
      <c r="AC1268" s="481"/>
      <c r="AD1268" s="481"/>
      <c r="AE1268" s="481"/>
      <c r="AF1268" s="481"/>
      <c r="AG1268" s="481"/>
      <c r="AH1268" s="481"/>
      <c r="AI1268" s="158"/>
      <c r="AJ1268" s="158"/>
      <c r="AK1268" s="133"/>
      <c r="AL1268" s="133"/>
      <c r="AM1268" s="133"/>
      <c r="AN1268" s="133"/>
      <c r="AO1268" s="133"/>
      <c r="AP1268" s="155"/>
    </row>
    <row r="1269">
      <c r="A1269" s="155"/>
      <c r="B1269" s="155"/>
      <c r="C1269" s="174"/>
      <c r="D1269" s="155"/>
      <c r="E1269" s="563"/>
      <c r="F1269" s="155"/>
      <c r="G1269" s="158"/>
      <c r="H1269" s="559"/>
      <c r="I1269" s="559"/>
      <c r="J1269" s="559"/>
      <c r="K1269" s="559"/>
      <c r="L1269" s="560"/>
      <c r="M1269" s="560"/>
      <c r="N1269" s="560"/>
      <c r="O1269" s="560"/>
      <c r="P1269" s="562"/>
      <c r="Q1269" s="562"/>
      <c r="R1269" s="562"/>
      <c r="S1269" s="562"/>
      <c r="T1269" s="217"/>
      <c r="U1269" s="217"/>
      <c r="V1269" s="217"/>
      <c r="W1269" s="217"/>
      <c r="X1269" s="217"/>
      <c r="Y1269" s="217"/>
      <c r="Z1269" s="217"/>
      <c r="AA1269" s="481"/>
      <c r="AB1269" s="481"/>
      <c r="AC1269" s="481"/>
      <c r="AD1269" s="481"/>
      <c r="AE1269" s="481"/>
      <c r="AF1269" s="481"/>
      <c r="AG1269" s="481"/>
      <c r="AH1269" s="481"/>
      <c r="AI1269" s="158"/>
      <c r="AJ1269" s="158"/>
      <c r="AK1269" s="133"/>
      <c r="AL1269" s="133"/>
      <c r="AM1269" s="133"/>
      <c r="AN1269" s="133"/>
      <c r="AO1269" s="133"/>
      <c r="AP1269" s="155"/>
    </row>
    <row r="1270">
      <c r="A1270" s="155"/>
      <c r="B1270" s="155"/>
      <c r="C1270" s="174"/>
      <c r="D1270" s="155"/>
      <c r="E1270" s="563"/>
      <c r="F1270" s="155"/>
      <c r="G1270" s="158"/>
      <c r="H1270" s="559"/>
      <c r="I1270" s="559"/>
      <c r="J1270" s="559"/>
      <c r="K1270" s="559"/>
      <c r="L1270" s="560"/>
      <c r="M1270" s="560"/>
      <c r="N1270" s="560"/>
      <c r="O1270" s="560"/>
      <c r="P1270" s="562"/>
      <c r="Q1270" s="562"/>
      <c r="R1270" s="562"/>
      <c r="S1270" s="562"/>
      <c r="T1270" s="217"/>
      <c r="U1270" s="217"/>
      <c r="V1270" s="217"/>
      <c r="W1270" s="217"/>
      <c r="X1270" s="217"/>
      <c r="Y1270" s="217"/>
      <c r="Z1270" s="217"/>
      <c r="AA1270" s="481"/>
      <c r="AB1270" s="481"/>
      <c r="AC1270" s="481"/>
      <c r="AD1270" s="481"/>
      <c r="AE1270" s="481"/>
      <c r="AF1270" s="481"/>
      <c r="AG1270" s="481"/>
      <c r="AH1270" s="481"/>
      <c r="AI1270" s="158"/>
      <c r="AJ1270" s="158"/>
      <c r="AK1270" s="133"/>
      <c r="AL1270" s="133"/>
      <c r="AM1270" s="133"/>
      <c r="AN1270" s="133"/>
      <c r="AO1270" s="133"/>
      <c r="AP1270" s="155"/>
    </row>
    <row r="1271">
      <c r="A1271" s="155"/>
      <c r="B1271" s="155"/>
      <c r="C1271" s="174"/>
      <c r="D1271" s="155"/>
      <c r="E1271" s="563"/>
      <c r="F1271" s="155"/>
      <c r="G1271" s="158"/>
      <c r="H1271" s="559"/>
      <c r="I1271" s="559"/>
      <c r="J1271" s="559"/>
      <c r="K1271" s="559"/>
      <c r="L1271" s="560"/>
      <c r="M1271" s="560"/>
      <c r="N1271" s="560"/>
      <c r="O1271" s="560"/>
      <c r="P1271" s="562"/>
      <c r="Q1271" s="562"/>
      <c r="R1271" s="562"/>
      <c r="S1271" s="562"/>
      <c r="T1271" s="217"/>
      <c r="U1271" s="217"/>
      <c r="V1271" s="217"/>
      <c r="W1271" s="217"/>
      <c r="X1271" s="217"/>
      <c r="Y1271" s="217"/>
      <c r="Z1271" s="217"/>
      <c r="AA1271" s="481"/>
      <c r="AB1271" s="481"/>
      <c r="AC1271" s="481"/>
      <c r="AD1271" s="481"/>
      <c r="AE1271" s="481"/>
      <c r="AF1271" s="481"/>
      <c r="AG1271" s="481"/>
      <c r="AH1271" s="481"/>
      <c r="AI1271" s="158"/>
      <c r="AJ1271" s="158"/>
      <c r="AK1271" s="133"/>
      <c r="AL1271" s="133"/>
      <c r="AM1271" s="133"/>
      <c r="AN1271" s="133"/>
      <c r="AO1271" s="133"/>
      <c r="AP1271" s="155"/>
    </row>
    <row r="1272">
      <c r="A1272" s="155"/>
      <c r="B1272" s="155"/>
      <c r="C1272" s="174"/>
      <c r="D1272" s="155"/>
      <c r="E1272" s="563"/>
      <c r="F1272" s="155"/>
      <c r="G1272" s="158"/>
      <c r="H1272" s="559"/>
      <c r="I1272" s="559"/>
      <c r="J1272" s="559"/>
      <c r="K1272" s="559"/>
      <c r="L1272" s="560"/>
      <c r="M1272" s="560"/>
      <c r="N1272" s="560"/>
      <c r="O1272" s="560"/>
      <c r="P1272" s="562"/>
      <c r="Q1272" s="562"/>
      <c r="R1272" s="562"/>
      <c r="S1272" s="562"/>
      <c r="T1272" s="217"/>
      <c r="U1272" s="217"/>
      <c r="V1272" s="217"/>
      <c r="W1272" s="217"/>
      <c r="X1272" s="217"/>
      <c r="Y1272" s="217"/>
      <c r="Z1272" s="217"/>
      <c r="AA1272" s="481"/>
      <c r="AB1272" s="481"/>
      <c r="AC1272" s="481"/>
      <c r="AD1272" s="481"/>
      <c r="AE1272" s="481"/>
      <c r="AF1272" s="481"/>
      <c r="AG1272" s="481"/>
      <c r="AH1272" s="481"/>
      <c r="AI1272" s="158"/>
      <c r="AJ1272" s="158"/>
      <c r="AK1272" s="133"/>
      <c r="AL1272" s="133"/>
      <c r="AM1272" s="133"/>
      <c r="AN1272" s="133"/>
      <c r="AO1272" s="133"/>
      <c r="AP1272" s="155"/>
    </row>
    <row r="1273">
      <c r="A1273" s="155"/>
      <c r="B1273" s="155"/>
      <c r="C1273" s="174"/>
      <c r="D1273" s="155"/>
      <c r="E1273" s="563"/>
      <c r="F1273" s="155"/>
      <c r="G1273" s="158"/>
      <c r="H1273" s="559"/>
      <c r="I1273" s="559"/>
      <c r="J1273" s="559"/>
      <c r="K1273" s="559"/>
      <c r="L1273" s="560"/>
      <c r="M1273" s="560"/>
      <c r="N1273" s="560"/>
      <c r="O1273" s="560"/>
      <c r="P1273" s="562"/>
      <c r="Q1273" s="562"/>
      <c r="R1273" s="562"/>
      <c r="S1273" s="562"/>
      <c r="T1273" s="217"/>
      <c r="U1273" s="217"/>
      <c r="V1273" s="217"/>
      <c r="W1273" s="217"/>
      <c r="X1273" s="217"/>
      <c r="Y1273" s="217"/>
      <c r="Z1273" s="217"/>
      <c r="AA1273" s="481"/>
      <c r="AB1273" s="481"/>
      <c r="AC1273" s="481"/>
      <c r="AD1273" s="481"/>
      <c r="AE1273" s="481"/>
      <c r="AF1273" s="481"/>
      <c r="AG1273" s="481"/>
      <c r="AH1273" s="481"/>
      <c r="AI1273" s="158"/>
      <c r="AJ1273" s="158"/>
      <c r="AK1273" s="133"/>
      <c r="AL1273" s="133"/>
      <c r="AM1273" s="133"/>
      <c r="AN1273" s="133"/>
      <c r="AO1273" s="133"/>
      <c r="AP1273" s="155"/>
    </row>
    <row r="1274">
      <c r="A1274" s="155"/>
      <c r="B1274" s="155"/>
      <c r="C1274" s="174"/>
      <c r="D1274" s="155"/>
      <c r="E1274" s="563"/>
      <c r="F1274" s="155"/>
      <c r="G1274" s="158"/>
      <c r="H1274" s="559"/>
      <c r="I1274" s="559"/>
      <c r="J1274" s="559"/>
      <c r="K1274" s="559"/>
      <c r="L1274" s="560"/>
      <c r="M1274" s="560"/>
      <c r="N1274" s="560"/>
      <c r="O1274" s="560"/>
      <c r="P1274" s="562"/>
      <c r="Q1274" s="562"/>
      <c r="R1274" s="562"/>
      <c r="S1274" s="562"/>
      <c r="T1274" s="217"/>
      <c r="U1274" s="217"/>
      <c r="V1274" s="217"/>
      <c r="W1274" s="217"/>
      <c r="X1274" s="217"/>
      <c r="Y1274" s="217"/>
      <c r="Z1274" s="217"/>
      <c r="AA1274" s="481"/>
      <c r="AB1274" s="481"/>
      <c r="AC1274" s="481"/>
      <c r="AD1274" s="481"/>
      <c r="AE1274" s="481"/>
      <c r="AF1274" s="481"/>
      <c r="AG1274" s="481"/>
      <c r="AH1274" s="481"/>
      <c r="AI1274" s="158"/>
      <c r="AJ1274" s="158"/>
      <c r="AK1274" s="133"/>
      <c r="AL1274" s="133"/>
      <c r="AM1274" s="133"/>
      <c r="AN1274" s="133"/>
      <c r="AO1274" s="133"/>
      <c r="AP1274" s="155"/>
    </row>
    <row r="1275">
      <c r="A1275" s="155"/>
      <c r="B1275" s="155"/>
      <c r="C1275" s="174"/>
      <c r="D1275" s="155"/>
      <c r="E1275" s="563"/>
      <c r="F1275" s="155"/>
      <c r="G1275" s="158"/>
      <c r="H1275" s="559"/>
      <c r="I1275" s="559"/>
      <c r="J1275" s="559"/>
      <c r="K1275" s="559"/>
      <c r="L1275" s="560"/>
      <c r="M1275" s="560"/>
      <c r="N1275" s="560"/>
      <c r="O1275" s="560"/>
      <c r="P1275" s="562"/>
      <c r="Q1275" s="562"/>
      <c r="R1275" s="562"/>
      <c r="S1275" s="562"/>
      <c r="T1275" s="217"/>
      <c r="U1275" s="217"/>
      <c r="V1275" s="217"/>
      <c r="W1275" s="217"/>
      <c r="X1275" s="217"/>
      <c r="Y1275" s="217"/>
      <c r="Z1275" s="217"/>
      <c r="AA1275" s="481"/>
      <c r="AB1275" s="481"/>
      <c r="AC1275" s="481"/>
      <c r="AD1275" s="481"/>
      <c r="AE1275" s="481"/>
      <c r="AF1275" s="481"/>
      <c r="AG1275" s="481"/>
      <c r="AH1275" s="481"/>
      <c r="AI1275" s="158"/>
      <c r="AJ1275" s="158"/>
      <c r="AK1275" s="133"/>
      <c r="AL1275" s="133"/>
      <c r="AM1275" s="133"/>
      <c r="AN1275" s="133"/>
      <c r="AO1275" s="133"/>
      <c r="AP1275" s="155"/>
    </row>
    <row r="1276">
      <c r="A1276" s="155"/>
      <c r="B1276" s="155"/>
      <c r="C1276" s="174"/>
      <c r="D1276" s="155"/>
      <c r="E1276" s="563"/>
      <c r="F1276" s="155"/>
      <c r="G1276" s="158"/>
      <c r="H1276" s="559"/>
      <c r="I1276" s="559"/>
      <c r="J1276" s="559"/>
      <c r="K1276" s="559"/>
      <c r="L1276" s="560"/>
      <c r="M1276" s="560"/>
      <c r="N1276" s="560"/>
      <c r="O1276" s="560"/>
      <c r="P1276" s="562"/>
      <c r="Q1276" s="562"/>
      <c r="R1276" s="562"/>
      <c r="S1276" s="562"/>
      <c r="T1276" s="217"/>
      <c r="U1276" s="217"/>
      <c r="V1276" s="217"/>
      <c r="W1276" s="217"/>
      <c r="X1276" s="217"/>
      <c r="Y1276" s="217"/>
      <c r="Z1276" s="217"/>
      <c r="AA1276" s="481"/>
      <c r="AB1276" s="481"/>
      <c r="AC1276" s="481"/>
      <c r="AD1276" s="481"/>
      <c r="AE1276" s="481"/>
      <c r="AF1276" s="481"/>
      <c r="AG1276" s="481"/>
      <c r="AH1276" s="481"/>
      <c r="AI1276" s="158"/>
      <c r="AJ1276" s="158"/>
      <c r="AK1276" s="133"/>
      <c r="AL1276" s="133"/>
      <c r="AM1276" s="133"/>
      <c r="AN1276" s="133"/>
      <c r="AO1276" s="133"/>
      <c r="AP1276" s="155"/>
    </row>
    <row r="1277">
      <c r="A1277" s="155"/>
      <c r="B1277" s="155"/>
      <c r="C1277" s="174"/>
      <c r="D1277" s="155"/>
      <c r="E1277" s="563"/>
      <c r="F1277" s="155"/>
      <c r="G1277" s="158"/>
      <c r="H1277" s="559"/>
      <c r="I1277" s="559"/>
      <c r="J1277" s="559"/>
      <c r="K1277" s="559"/>
      <c r="L1277" s="560"/>
      <c r="M1277" s="560"/>
      <c r="N1277" s="560"/>
      <c r="O1277" s="560"/>
      <c r="P1277" s="562"/>
      <c r="Q1277" s="562"/>
      <c r="R1277" s="562"/>
      <c r="S1277" s="562"/>
      <c r="T1277" s="217"/>
      <c r="U1277" s="217"/>
      <c r="V1277" s="217"/>
      <c r="W1277" s="217"/>
      <c r="X1277" s="217"/>
      <c r="Y1277" s="217"/>
      <c r="Z1277" s="217"/>
      <c r="AA1277" s="481"/>
      <c r="AB1277" s="481"/>
      <c r="AC1277" s="481"/>
      <c r="AD1277" s="481"/>
      <c r="AE1277" s="481"/>
      <c r="AF1277" s="481"/>
      <c r="AG1277" s="481"/>
      <c r="AH1277" s="481"/>
      <c r="AI1277" s="158"/>
      <c r="AJ1277" s="158"/>
      <c r="AK1277" s="133"/>
      <c r="AL1277" s="133"/>
      <c r="AM1277" s="133"/>
      <c r="AN1277" s="133"/>
      <c r="AO1277" s="133"/>
      <c r="AP1277" s="155"/>
    </row>
    <row r="1278">
      <c r="A1278" s="155"/>
      <c r="B1278" s="155"/>
      <c r="C1278" s="174"/>
      <c r="D1278" s="155"/>
      <c r="E1278" s="563"/>
      <c r="F1278" s="155"/>
      <c r="G1278" s="158"/>
      <c r="H1278" s="559"/>
      <c r="I1278" s="559"/>
      <c r="J1278" s="559"/>
      <c r="K1278" s="559"/>
      <c r="L1278" s="560"/>
      <c r="M1278" s="560"/>
      <c r="N1278" s="560"/>
      <c r="O1278" s="560"/>
      <c r="P1278" s="562"/>
      <c r="Q1278" s="562"/>
      <c r="R1278" s="562"/>
      <c r="S1278" s="562"/>
      <c r="T1278" s="217"/>
      <c r="U1278" s="217"/>
      <c r="V1278" s="217"/>
      <c r="W1278" s="217"/>
      <c r="X1278" s="217"/>
      <c r="Y1278" s="217"/>
      <c r="Z1278" s="217"/>
      <c r="AA1278" s="481"/>
      <c r="AB1278" s="481"/>
      <c r="AC1278" s="481"/>
      <c r="AD1278" s="481"/>
      <c r="AE1278" s="481"/>
      <c r="AF1278" s="481"/>
      <c r="AG1278" s="481"/>
      <c r="AH1278" s="481"/>
      <c r="AI1278" s="158"/>
      <c r="AJ1278" s="158"/>
      <c r="AK1278" s="133"/>
      <c r="AL1278" s="133"/>
      <c r="AM1278" s="133"/>
      <c r="AN1278" s="133"/>
      <c r="AO1278" s="133"/>
      <c r="AP1278" s="155"/>
    </row>
    <row r="1279">
      <c r="A1279" s="155"/>
      <c r="B1279" s="155"/>
      <c r="C1279" s="174"/>
      <c r="D1279" s="155"/>
      <c r="E1279" s="563"/>
      <c r="F1279" s="155"/>
      <c r="G1279" s="158"/>
      <c r="H1279" s="559"/>
      <c r="I1279" s="559"/>
      <c r="J1279" s="559"/>
      <c r="K1279" s="559"/>
      <c r="L1279" s="560"/>
      <c r="M1279" s="560"/>
      <c r="N1279" s="560"/>
      <c r="O1279" s="560"/>
      <c r="P1279" s="562"/>
      <c r="Q1279" s="562"/>
      <c r="R1279" s="562"/>
      <c r="S1279" s="562"/>
      <c r="T1279" s="217"/>
      <c r="U1279" s="217"/>
      <c r="V1279" s="217"/>
      <c r="W1279" s="217"/>
      <c r="X1279" s="217"/>
      <c r="Y1279" s="217"/>
      <c r="Z1279" s="217"/>
      <c r="AA1279" s="481"/>
      <c r="AB1279" s="481"/>
      <c r="AC1279" s="481"/>
      <c r="AD1279" s="481"/>
      <c r="AE1279" s="481"/>
      <c r="AF1279" s="481"/>
      <c r="AG1279" s="481"/>
      <c r="AH1279" s="481"/>
      <c r="AI1279" s="158"/>
      <c r="AJ1279" s="158"/>
      <c r="AK1279" s="133"/>
      <c r="AL1279" s="133"/>
      <c r="AM1279" s="133"/>
      <c r="AN1279" s="133"/>
      <c r="AO1279" s="133"/>
      <c r="AP1279" s="155"/>
    </row>
    <row r="1280">
      <c r="A1280" s="155"/>
      <c r="B1280" s="155"/>
      <c r="C1280" s="174"/>
      <c r="D1280" s="155"/>
      <c r="E1280" s="563"/>
      <c r="F1280" s="155"/>
      <c r="G1280" s="158"/>
      <c r="H1280" s="559"/>
      <c r="I1280" s="559"/>
      <c r="J1280" s="559"/>
      <c r="K1280" s="559"/>
      <c r="L1280" s="560"/>
      <c r="M1280" s="560"/>
      <c r="N1280" s="560"/>
      <c r="O1280" s="560"/>
      <c r="P1280" s="562"/>
      <c r="Q1280" s="562"/>
      <c r="R1280" s="562"/>
      <c r="S1280" s="562"/>
      <c r="T1280" s="217"/>
      <c r="U1280" s="217"/>
      <c r="V1280" s="217"/>
      <c r="W1280" s="217"/>
      <c r="X1280" s="217"/>
      <c r="Y1280" s="217"/>
      <c r="Z1280" s="217"/>
      <c r="AA1280" s="481"/>
      <c r="AB1280" s="481"/>
      <c r="AC1280" s="481"/>
      <c r="AD1280" s="481"/>
      <c r="AE1280" s="481"/>
      <c r="AF1280" s="481"/>
      <c r="AG1280" s="481"/>
      <c r="AH1280" s="481"/>
      <c r="AI1280" s="158"/>
      <c r="AJ1280" s="158"/>
      <c r="AK1280" s="133"/>
      <c r="AL1280" s="133"/>
      <c r="AM1280" s="133"/>
      <c r="AN1280" s="133"/>
      <c r="AO1280" s="133"/>
      <c r="AP1280" s="155"/>
    </row>
    <row r="1281">
      <c r="A1281" s="155"/>
      <c r="B1281" s="155"/>
      <c r="C1281" s="174"/>
      <c r="D1281" s="155"/>
      <c r="E1281" s="563"/>
      <c r="F1281" s="155"/>
      <c r="G1281" s="158"/>
      <c r="H1281" s="559"/>
      <c r="I1281" s="559"/>
      <c r="J1281" s="559"/>
      <c r="K1281" s="559"/>
      <c r="L1281" s="560"/>
      <c r="M1281" s="560"/>
      <c r="N1281" s="560"/>
      <c r="O1281" s="560"/>
      <c r="P1281" s="562"/>
      <c r="Q1281" s="562"/>
      <c r="R1281" s="562"/>
      <c r="S1281" s="562"/>
      <c r="T1281" s="217"/>
      <c r="U1281" s="217"/>
      <c r="V1281" s="217"/>
      <c r="W1281" s="217"/>
      <c r="X1281" s="217"/>
      <c r="Y1281" s="217"/>
      <c r="Z1281" s="217"/>
      <c r="AA1281" s="481"/>
      <c r="AB1281" s="481"/>
      <c r="AC1281" s="481"/>
      <c r="AD1281" s="481"/>
      <c r="AE1281" s="481"/>
      <c r="AF1281" s="481"/>
      <c r="AG1281" s="481"/>
      <c r="AH1281" s="481"/>
      <c r="AI1281" s="158"/>
      <c r="AJ1281" s="158"/>
      <c r="AK1281" s="133"/>
      <c r="AL1281" s="133"/>
      <c r="AM1281" s="133"/>
      <c r="AN1281" s="133"/>
      <c r="AO1281" s="133"/>
      <c r="AP1281" s="155"/>
    </row>
    <row r="1282">
      <c r="A1282" s="155"/>
      <c r="B1282" s="155"/>
      <c r="C1282" s="174"/>
      <c r="D1282" s="155"/>
      <c r="E1282" s="563"/>
      <c r="F1282" s="155"/>
      <c r="G1282" s="158"/>
      <c r="H1282" s="559"/>
      <c r="I1282" s="559"/>
      <c r="J1282" s="559"/>
      <c r="K1282" s="559"/>
      <c r="L1282" s="560"/>
      <c r="M1282" s="560"/>
      <c r="N1282" s="560"/>
      <c r="O1282" s="560"/>
      <c r="P1282" s="562"/>
      <c r="Q1282" s="562"/>
      <c r="R1282" s="562"/>
      <c r="S1282" s="562"/>
      <c r="T1282" s="217"/>
      <c r="U1282" s="217"/>
      <c r="V1282" s="217"/>
      <c r="W1282" s="217"/>
      <c r="X1282" s="217"/>
      <c r="Y1282" s="217"/>
      <c r="Z1282" s="217"/>
      <c r="AA1282" s="481"/>
      <c r="AB1282" s="481"/>
      <c r="AC1282" s="481"/>
      <c r="AD1282" s="481"/>
      <c r="AE1282" s="481"/>
      <c r="AF1282" s="481"/>
      <c r="AG1282" s="481"/>
      <c r="AH1282" s="481"/>
      <c r="AI1282" s="158"/>
      <c r="AJ1282" s="158"/>
      <c r="AK1282" s="133"/>
      <c r="AL1282" s="133"/>
      <c r="AM1282" s="133"/>
      <c r="AN1282" s="133"/>
      <c r="AO1282" s="133"/>
      <c r="AP1282" s="155"/>
    </row>
    <row r="1283">
      <c r="A1283" s="155"/>
      <c r="B1283" s="155"/>
      <c r="C1283" s="174"/>
      <c r="D1283" s="155"/>
      <c r="E1283" s="563"/>
      <c r="F1283" s="155"/>
      <c r="G1283" s="158"/>
      <c r="H1283" s="559"/>
      <c r="I1283" s="559"/>
      <c r="J1283" s="559"/>
      <c r="K1283" s="559"/>
      <c r="L1283" s="560"/>
      <c r="M1283" s="560"/>
      <c r="N1283" s="560"/>
      <c r="O1283" s="560"/>
      <c r="P1283" s="562"/>
      <c r="Q1283" s="562"/>
      <c r="R1283" s="562"/>
      <c r="S1283" s="562"/>
      <c r="T1283" s="217"/>
      <c r="U1283" s="217"/>
      <c r="V1283" s="217"/>
      <c r="W1283" s="217"/>
      <c r="X1283" s="217"/>
      <c r="Y1283" s="217"/>
      <c r="Z1283" s="217"/>
      <c r="AA1283" s="481"/>
      <c r="AB1283" s="481"/>
      <c r="AC1283" s="481"/>
      <c r="AD1283" s="481"/>
      <c r="AE1283" s="481"/>
      <c r="AF1283" s="481"/>
      <c r="AG1283" s="481"/>
      <c r="AH1283" s="481"/>
      <c r="AI1283" s="158"/>
      <c r="AJ1283" s="158"/>
      <c r="AK1283" s="133"/>
      <c r="AL1283" s="133"/>
      <c r="AM1283" s="133"/>
      <c r="AN1283" s="133"/>
      <c r="AO1283" s="133"/>
      <c r="AP1283" s="155"/>
    </row>
    <row r="1284">
      <c r="A1284" s="155"/>
      <c r="B1284" s="155"/>
      <c r="C1284" s="174"/>
      <c r="D1284" s="155"/>
      <c r="E1284" s="563"/>
      <c r="F1284" s="155"/>
      <c r="G1284" s="158"/>
      <c r="H1284" s="559"/>
      <c r="I1284" s="559"/>
      <c r="J1284" s="559"/>
      <c r="K1284" s="559"/>
      <c r="L1284" s="560"/>
      <c r="M1284" s="560"/>
      <c r="N1284" s="560"/>
      <c r="O1284" s="560"/>
      <c r="P1284" s="562"/>
      <c r="Q1284" s="562"/>
      <c r="R1284" s="562"/>
      <c r="S1284" s="562"/>
      <c r="T1284" s="217"/>
      <c r="U1284" s="217"/>
      <c r="V1284" s="217"/>
      <c r="W1284" s="217"/>
      <c r="X1284" s="217"/>
      <c r="Y1284" s="217"/>
      <c r="Z1284" s="217"/>
      <c r="AA1284" s="481"/>
      <c r="AB1284" s="481"/>
      <c r="AC1284" s="481"/>
      <c r="AD1284" s="481"/>
      <c r="AE1284" s="481"/>
      <c r="AF1284" s="481"/>
      <c r="AG1284" s="481"/>
      <c r="AH1284" s="481"/>
      <c r="AI1284" s="158"/>
      <c r="AJ1284" s="158"/>
      <c r="AK1284" s="133"/>
      <c r="AL1284" s="133"/>
      <c r="AM1284" s="133"/>
      <c r="AN1284" s="133"/>
      <c r="AO1284" s="133"/>
      <c r="AP1284" s="155"/>
    </row>
    <row r="1285">
      <c r="A1285" s="155"/>
      <c r="B1285" s="155"/>
      <c r="C1285" s="174"/>
      <c r="D1285" s="155"/>
      <c r="E1285" s="563"/>
      <c r="F1285" s="155"/>
      <c r="G1285" s="158"/>
      <c r="H1285" s="559"/>
      <c r="I1285" s="559"/>
      <c r="J1285" s="559"/>
      <c r="K1285" s="559"/>
      <c r="L1285" s="560"/>
      <c r="M1285" s="560"/>
      <c r="N1285" s="560"/>
      <c r="O1285" s="560"/>
      <c r="P1285" s="562"/>
      <c r="Q1285" s="562"/>
      <c r="R1285" s="562"/>
      <c r="S1285" s="562"/>
      <c r="T1285" s="217"/>
      <c r="U1285" s="217"/>
      <c r="V1285" s="217"/>
      <c r="W1285" s="217"/>
      <c r="X1285" s="217"/>
      <c r="Y1285" s="217"/>
      <c r="Z1285" s="217"/>
      <c r="AA1285" s="481"/>
      <c r="AB1285" s="481"/>
      <c r="AC1285" s="481"/>
      <c r="AD1285" s="481"/>
      <c r="AE1285" s="481"/>
      <c r="AF1285" s="481"/>
      <c r="AG1285" s="481"/>
      <c r="AH1285" s="481"/>
      <c r="AI1285" s="158"/>
      <c r="AJ1285" s="158"/>
      <c r="AK1285" s="133"/>
      <c r="AL1285" s="133"/>
      <c r="AM1285" s="133"/>
      <c r="AN1285" s="133"/>
      <c r="AO1285" s="133"/>
      <c r="AP1285" s="155"/>
    </row>
    <row r="1286">
      <c r="A1286" s="155"/>
      <c r="B1286" s="155"/>
      <c r="C1286" s="174"/>
      <c r="D1286" s="155"/>
      <c r="E1286" s="563"/>
      <c r="F1286" s="155"/>
      <c r="G1286" s="158"/>
      <c r="H1286" s="559"/>
      <c r="I1286" s="559"/>
      <c r="J1286" s="559"/>
      <c r="K1286" s="559"/>
      <c r="L1286" s="560"/>
      <c r="M1286" s="560"/>
      <c r="N1286" s="560"/>
      <c r="O1286" s="560"/>
      <c r="P1286" s="562"/>
      <c r="Q1286" s="562"/>
      <c r="R1286" s="562"/>
      <c r="S1286" s="562"/>
      <c r="T1286" s="217"/>
      <c r="U1286" s="217"/>
      <c r="V1286" s="217"/>
      <c r="W1286" s="217"/>
      <c r="X1286" s="217"/>
      <c r="Y1286" s="217"/>
      <c r="Z1286" s="217"/>
      <c r="AA1286" s="481"/>
      <c r="AB1286" s="481"/>
      <c r="AC1286" s="481"/>
      <c r="AD1286" s="481"/>
      <c r="AE1286" s="481"/>
      <c r="AF1286" s="481"/>
      <c r="AG1286" s="481"/>
      <c r="AH1286" s="481"/>
      <c r="AI1286" s="158"/>
      <c r="AJ1286" s="158"/>
      <c r="AK1286" s="133"/>
      <c r="AL1286" s="133"/>
      <c r="AM1286" s="133"/>
      <c r="AN1286" s="133"/>
      <c r="AO1286" s="133"/>
      <c r="AP1286" s="155"/>
    </row>
    <row r="1287">
      <c r="A1287" s="155"/>
      <c r="B1287" s="155"/>
      <c r="C1287" s="174"/>
      <c r="D1287" s="155"/>
      <c r="E1287" s="563"/>
      <c r="F1287" s="155"/>
      <c r="G1287" s="158"/>
      <c r="H1287" s="559"/>
      <c r="I1287" s="559"/>
      <c r="J1287" s="559"/>
      <c r="K1287" s="559"/>
      <c r="L1287" s="560"/>
      <c r="M1287" s="560"/>
      <c r="N1287" s="560"/>
      <c r="O1287" s="560"/>
      <c r="P1287" s="562"/>
      <c r="Q1287" s="562"/>
      <c r="R1287" s="562"/>
      <c r="S1287" s="562"/>
      <c r="T1287" s="217"/>
      <c r="U1287" s="217"/>
      <c r="V1287" s="217"/>
      <c r="W1287" s="217"/>
      <c r="X1287" s="217"/>
      <c r="Y1287" s="217"/>
      <c r="Z1287" s="217"/>
      <c r="AA1287" s="481"/>
      <c r="AB1287" s="481"/>
      <c r="AC1287" s="481"/>
      <c r="AD1287" s="481"/>
      <c r="AE1287" s="481"/>
      <c r="AF1287" s="481"/>
      <c r="AG1287" s="481"/>
      <c r="AH1287" s="481"/>
      <c r="AI1287" s="158"/>
      <c r="AJ1287" s="158"/>
      <c r="AK1287" s="133"/>
      <c r="AL1287" s="133"/>
      <c r="AM1287" s="133"/>
      <c r="AN1287" s="133"/>
      <c r="AO1287" s="133"/>
      <c r="AP1287" s="155"/>
    </row>
    <row r="1288">
      <c r="A1288" s="155"/>
      <c r="B1288" s="155"/>
      <c r="C1288" s="174"/>
      <c r="D1288" s="155"/>
      <c r="E1288" s="563"/>
      <c r="F1288" s="155"/>
      <c r="G1288" s="158"/>
      <c r="H1288" s="559"/>
      <c r="I1288" s="559"/>
      <c r="J1288" s="559"/>
      <c r="K1288" s="559"/>
      <c r="L1288" s="560"/>
      <c r="M1288" s="560"/>
      <c r="N1288" s="560"/>
      <c r="O1288" s="560"/>
      <c r="P1288" s="562"/>
      <c r="Q1288" s="562"/>
      <c r="R1288" s="562"/>
      <c r="S1288" s="562"/>
      <c r="T1288" s="217"/>
      <c r="U1288" s="217"/>
      <c r="V1288" s="217"/>
      <c r="W1288" s="217"/>
      <c r="X1288" s="217"/>
      <c r="Y1288" s="217"/>
      <c r="Z1288" s="217"/>
      <c r="AA1288" s="481"/>
      <c r="AB1288" s="481"/>
      <c r="AC1288" s="481"/>
      <c r="AD1288" s="481"/>
      <c r="AE1288" s="481"/>
      <c r="AF1288" s="481"/>
      <c r="AG1288" s="481"/>
      <c r="AH1288" s="481"/>
      <c r="AI1288" s="158"/>
      <c r="AJ1288" s="158"/>
      <c r="AK1288" s="133"/>
      <c r="AL1288" s="133"/>
      <c r="AM1288" s="133"/>
      <c r="AN1288" s="133"/>
      <c r="AO1288" s="133"/>
      <c r="AP1288" s="155"/>
    </row>
    <row r="1289">
      <c r="A1289" s="155"/>
      <c r="B1289" s="155"/>
      <c r="C1289" s="174"/>
      <c r="D1289" s="155"/>
      <c r="E1289" s="563"/>
      <c r="F1289" s="155"/>
      <c r="G1289" s="158"/>
      <c r="H1289" s="559"/>
      <c r="I1289" s="559"/>
      <c r="J1289" s="559"/>
      <c r="K1289" s="559"/>
      <c r="L1289" s="560"/>
      <c r="M1289" s="560"/>
      <c r="N1289" s="560"/>
      <c r="O1289" s="560"/>
      <c r="P1289" s="562"/>
      <c r="Q1289" s="562"/>
      <c r="R1289" s="562"/>
      <c r="S1289" s="562"/>
      <c r="T1289" s="217"/>
      <c r="U1289" s="217"/>
      <c r="V1289" s="217"/>
      <c r="W1289" s="217"/>
      <c r="X1289" s="217"/>
      <c r="Y1289" s="217"/>
      <c r="Z1289" s="217"/>
      <c r="AA1289" s="481"/>
      <c r="AB1289" s="481"/>
      <c r="AC1289" s="481"/>
      <c r="AD1289" s="481"/>
      <c r="AE1289" s="481"/>
      <c r="AF1289" s="481"/>
      <c r="AG1289" s="481"/>
      <c r="AH1289" s="481"/>
      <c r="AI1289" s="158"/>
      <c r="AJ1289" s="158"/>
      <c r="AK1289" s="133"/>
      <c r="AL1289" s="133"/>
      <c r="AM1289" s="133"/>
      <c r="AN1289" s="133"/>
      <c r="AO1289" s="133"/>
      <c r="AP1289" s="155"/>
    </row>
    <row r="1290">
      <c r="A1290" s="155"/>
      <c r="B1290" s="155"/>
      <c r="C1290" s="174"/>
      <c r="D1290" s="155"/>
      <c r="E1290" s="563"/>
      <c r="F1290" s="155"/>
      <c r="G1290" s="158"/>
      <c r="H1290" s="559"/>
      <c r="I1290" s="559"/>
      <c r="J1290" s="559"/>
      <c r="K1290" s="559"/>
      <c r="L1290" s="560"/>
      <c r="M1290" s="560"/>
      <c r="N1290" s="560"/>
      <c r="O1290" s="560"/>
      <c r="P1290" s="562"/>
      <c r="Q1290" s="562"/>
      <c r="R1290" s="562"/>
      <c r="S1290" s="562"/>
      <c r="T1290" s="217"/>
      <c r="U1290" s="217"/>
      <c r="V1290" s="217"/>
      <c r="W1290" s="217"/>
      <c r="X1290" s="217"/>
      <c r="Y1290" s="217"/>
      <c r="Z1290" s="217"/>
      <c r="AA1290" s="481"/>
      <c r="AB1290" s="481"/>
      <c r="AC1290" s="481"/>
      <c r="AD1290" s="481"/>
      <c r="AE1290" s="481"/>
      <c r="AF1290" s="481"/>
      <c r="AG1290" s="481"/>
      <c r="AH1290" s="481"/>
      <c r="AI1290" s="158"/>
      <c r="AJ1290" s="158"/>
      <c r="AK1290" s="133"/>
      <c r="AL1290" s="133"/>
      <c r="AM1290" s="133"/>
      <c r="AN1290" s="133"/>
      <c r="AO1290" s="133"/>
      <c r="AP1290" s="155"/>
    </row>
  </sheetData>
  <mergeCells count="10">
    <mergeCell ref="B3:D3"/>
    <mergeCell ref="B4:D4"/>
    <mergeCell ref="E4:G4"/>
    <mergeCell ref="D1:D2"/>
    <mergeCell ref="H1:K1"/>
    <mergeCell ref="L1:O1"/>
    <mergeCell ref="P1:S1"/>
    <mergeCell ref="T1:Y1"/>
    <mergeCell ref="AA1:AG1"/>
    <mergeCell ref="E3:G3"/>
  </mergeCells>
  <hyperlinks>
    <hyperlink r:id="rId1" ref="A1"/>
  </hyperlinks>
  <drawing r:id="rId2"/>
  <tableParts count="1">
    <tablePart r:id="rId4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9.0"/>
    <col customWidth="1" min="3" max="12" width="8.75"/>
    <col customWidth="1" min="13" max="29" width="7.75"/>
  </cols>
  <sheetData>
    <row r="1">
      <c r="A1" s="567" t="s">
        <v>3810</v>
      </c>
      <c r="B1" s="568" t="s">
        <v>3811</v>
      </c>
      <c r="C1" s="569" t="s">
        <v>2428</v>
      </c>
      <c r="D1" s="569" t="s">
        <v>2429</v>
      </c>
      <c r="E1" s="569" t="s">
        <v>3812</v>
      </c>
      <c r="F1" s="569" t="s">
        <v>2431</v>
      </c>
      <c r="G1" s="568" t="s">
        <v>2432</v>
      </c>
      <c r="H1" s="568" t="s">
        <v>2433</v>
      </c>
      <c r="I1" s="570" t="s">
        <v>2434</v>
      </c>
      <c r="J1" s="568" t="s">
        <v>2436</v>
      </c>
      <c r="K1" s="568" t="s">
        <v>2437</v>
      </c>
      <c r="L1" s="570" t="s">
        <v>2438</v>
      </c>
      <c r="M1" s="568" t="s">
        <v>2440</v>
      </c>
      <c r="N1" s="568" t="s">
        <v>3813</v>
      </c>
      <c r="O1" s="568" t="s">
        <v>2442</v>
      </c>
      <c r="P1" s="568" t="s">
        <v>3814</v>
      </c>
      <c r="Q1" s="568" t="s">
        <v>2443</v>
      </c>
      <c r="R1" s="570" t="s">
        <v>2444</v>
      </c>
      <c r="S1" s="570" t="s">
        <v>3815</v>
      </c>
      <c r="T1" s="570" t="s">
        <v>2445</v>
      </c>
      <c r="U1" s="568" t="s">
        <v>2446</v>
      </c>
      <c r="V1" s="568" t="s">
        <v>2447</v>
      </c>
      <c r="W1" s="568" t="s">
        <v>2448</v>
      </c>
      <c r="X1" s="570" t="s">
        <v>2449</v>
      </c>
      <c r="Y1" s="570" t="s">
        <v>3816</v>
      </c>
      <c r="Z1" s="570" t="s">
        <v>2451</v>
      </c>
      <c r="AA1" s="570" t="s">
        <v>2452</v>
      </c>
      <c r="AB1" s="568" t="s">
        <v>2453</v>
      </c>
      <c r="AC1" s="568" t="s">
        <v>2454</v>
      </c>
    </row>
    <row r="2">
      <c r="A2" s="571" t="s">
        <v>2461</v>
      </c>
      <c r="B2" s="572">
        <f>COUNTA('UG-CSE'!$B$5:$B$293)</f>
        <v>236</v>
      </c>
      <c r="C2" s="572">
        <f>COUNTIF('UG-CSE'!H$5:H$293,"&gt;="&amp;'UG-CSE'!H$4)</f>
        <v>231</v>
      </c>
      <c r="D2" s="572">
        <f>COUNTIF('UG-CSE'!I$5:I$293,"&gt;="&amp;'UG-CSE'!I$4)</f>
        <v>229</v>
      </c>
      <c r="E2" s="572">
        <f>COUNTIF('UG-CSE'!J$5:J$293,"&gt;="&amp;'UG-CSE'!J$4)</f>
        <v>179</v>
      </c>
      <c r="F2" s="572">
        <f>COUNTIF('UG-CSE'!K$5:K$293,"&gt;="&amp;'UG-CSE'!K$4)</f>
        <v>192</v>
      </c>
      <c r="G2" s="572">
        <f>COUNTIF('UG-CSE'!L$5:L$293,"&gt;="&amp;'UG-CSE'!L$4)</f>
        <v>166</v>
      </c>
      <c r="H2" s="572">
        <f>COUNTIF('UG-CSE'!M$5:M$293,"&gt;="&amp;'UG-CSE'!M$4)</f>
        <v>109</v>
      </c>
      <c r="I2" s="572">
        <f>COUNTIF('UG-CSE'!N$5:N$293,"&gt;="&amp;'UG-CSE'!N$4)</f>
        <v>134</v>
      </c>
      <c r="J2" s="572">
        <f>COUNTIF('UG-CSE'!P$5:P$293,"&gt;="&amp;'UG-CSE'!P$4)</f>
        <v>188</v>
      </c>
      <c r="K2" s="572">
        <f>COUNTIF('UG-CSE'!Q$5:Q$293,"&gt;="&amp;'UG-CSE'!Q$4)</f>
        <v>191</v>
      </c>
      <c r="L2" s="572">
        <f>COUNTIF('UG-CSE'!R$5:R$293,"&gt;="&amp;'UG-CSE'!R$4)</f>
        <v>167</v>
      </c>
      <c r="M2" s="572">
        <f>COUNTIF('UG-CSE'!T$5:T$293,"&gt;="&amp;'UG-CSE'!T$4)</f>
        <v>206</v>
      </c>
      <c r="N2" s="572">
        <f>COUNTIF('UG-CSE'!U$5:U$293,"&gt;="&amp;'UG-CSE'!U$4)</f>
        <v>206</v>
      </c>
      <c r="O2" s="572">
        <f>COUNTIF('UG-CSE'!V$5:V$293,"&gt;="&amp;'UG-CSE'!V$4)</f>
        <v>184</v>
      </c>
      <c r="P2" s="572">
        <f t="shared" ref="P2:P7" si="1">COUNTIF(#REF!,"&gt;="&amp;#REF!)</f>
        <v>1</v>
      </c>
      <c r="Q2" s="572">
        <f>COUNTIF('UG-CSE'!W$5:W$293,"&gt;="&amp;'UG-CSE'!W$4)</f>
        <v>53</v>
      </c>
      <c r="R2" s="572">
        <f>COUNTIF('UG-CSE'!X$5:X$293,"&gt;="&amp;'UG-CSE'!X$4)</f>
        <v>185</v>
      </c>
      <c r="S2" s="572">
        <f t="shared" ref="S2:S8" si="2">COUNTIF(#REF!,"&gt;="&amp;#REF!)</f>
        <v>1</v>
      </c>
      <c r="T2" s="572">
        <f>COUNTIF('UG-CSE'!Y$5:Y$293,"&gt;="&amp;'UG-CSE'!Y$4)</f>
        <v>0</v>
      </c>
      <c r="U2" s="572">
        <f>COUNTIF('UG-CSE'!Z$5:Z$293,"&gt;="&amp;'UG-CSE'!Z$4)</f>
        <v>0</v>
      </c>
      <c r="V2" s="572">
        <f>COUNTIF('UG-CSE'!AA$5:AA$293,"&gt;="&amp;'UG-CSE'!AA$4)</f>
        <v>154</v>
      </c>
      <c r="W2" s="572">
        <f>COUNTIF('UG-CSE'!AB$5:AB$293,"&gt;="&amp;'UG-CSE'!AB$4)</f>
        <v>193</v>
      </c>
      <c r="X2" s="572">
        <f>COUNTIF('UG-CSE'!AC$5:AC$293,"&gt;="&amp;'UG-CSE'!AC$4)</f>
        <v>156</v>
      </c>
      <c r="Y2" s="572">
        <f>COUNTIF('UG-CSE'!AD$5:AD$293,"&gt;="&amp;'UG-CSE'!AD$4)</f>
        <v>178</v>
      </c>
      <c r="Z2" s="572">
        <f>COUNTIF('UG-CSE'!AE$5:AE$293,"&gt;="&amp;'UG-CSE'!AE$4)</f>
        <v>117</v>
      </c>
      <c r="AA2" s="572">
        <f>COUNTIF('UG-CSE'!AF$5:AF$293,"&gt;="&amp;'UG-CSE'!AF$4)</f>
        <v>0</v>
      </c>
      <c r="AB2" s="572">
        <f>COUNTIF('UG-CSE'!AG$5:AG$288,"&gt;="&amp;'UG-CSE'!AG$4)</f>
        <v>74</v>
      </c>
      <c r="AC2" s="572">
        <f>COUNTIF('UG-CSE'!AH$5:AH$288,"&gt;="&amp;'UG-CSE'!AH$4)</f>
        <v>0</v>
      </c>
    </row>
    <row r="3">
      <c r="A3" s="573" t="s">
        <v>3706</v>
      </c>
      <c r="B3" s="574">
        <f>COUNTA('UG-ISE'!$B$5:$B$280)</f>
        <v>217</v>
      </c>
      <c r="C3" s="574">
        <f>COUNTIF('UG-ISE'!H$5:H$280,"&gt;="&amp;'UG-ISE'!H$4)</f>
        <v>207</v>
      </c>
      <c r="D3" s="574">
        <f>COUNTIF('UG-ISE'!I$5:I$280,"&gt;="&amp;'UG-ISE'!I$4)</f>
        <v>210</v>
      </c>
      <c r="E3" s="574">
        <f>COUNTIF('UG-ISE'!J$5:J$280,"&gt;="&amp;'UG-ISE'!J$4)</f>
        <v>188</v>
      </c>
      <c r="F3" s="572">
        <f>COUNTIF('UG-ISE'!K$5:K$293,"&gt;="&amp;'UG-ISE'!K$4)</f>
        <v>197</v>
      </c>
      <c r="G3" s="574">
        <f>COUNTIF('UG-ISE'!L$5:L$280,"&gt;="&amp;'UG-ISE'!L$4)</f>
        <v>181</v>
      </c>
      <c r="H3" s="574">
        <f>COUNTIF('UG-ISE'!M$5:M$280,"&gt;="&amp;'UG-ISE'!M$4)</f>
        <v>118</v>
      </c>
      <c r="I3" s="574">
        <f>COUNTIF('UG-ISE'!N$5:N$280,"&gt;="&amp;'UG-ISE'!N$4)</f>
        <v>146</v>
      </c>
      <c r="J3" s="574">
        <f>COUNTIF('UG-ISE'!P$5:P$280,"&gt;="&amp;'UG-ISE'!P$4)</f>
        <v>189</v>
      </c>
      <c r="K3" s="574">
        <f>COUNTIF('UG-ISE'!Q$5:Q$280,"&gt;="&amp;'UG-ISE'!Q$4)</f>
        <v>191</v>
      </c>
      <c r="L3" s="574">
        <f>COUNTIF('UG-ISE'!R$5:R$280,"&gt;="&amp;'UG-ISE'!R$4)</f>
        <v>178</v>
      </c>
      <c r="M3" s="574">
        <f>COUNTIF('UG-ISE'!T$5:T$280,"&gt;="&amp;'UG-ISE'!T$4)</f>
        <v>191</v>
      </c>
      <c r="N3" s="574">
        <f>COUNTIF('UG-ISE'!U$5:U$280,"&gt;="&amp;'UG-ISE'!U$4)</f>
        <v>190</v>
      </c>
      <c r="O3" s="574">
        <f>COUNTIF('UG-ISE'!V$5:V$280,"&gt;="&amp;'UG-ISE'!V$4)</f>
        <v>160</v>
      </c>
      <c r="P3" s="574">
        <f t="shared" si="1"/>
        <v>1</v>
      </c>
      <c r="Q3" s="574">
        <f>COUNTIF('UG-ISE'!W$5:W$280,"&gt;="&amp;'UG-ISE'!W$4)</f>
        <v>128</v>
      </c>
      <c r="R3" s="574">
        <f>COUNTIF('UG-ISE'!X$5:X$280,"&gt;="&amp;'UG-ISE'!X$4)</f>
        <v>198</v>
      </c>
      <c r="S3" s="574">
        <f t="shared" si="2"/>
        <v>1</v>
      </c>
      <c r="T3" s="574">
        <f>COUNTIF('UG-ISE'!Y$5:Y$280,"&gt;="&amp;'UG-ISE'!Y$4)</f>
        <v>0</v>
      </c>
      <c r="U3" s="574">
        <f>COUNTIF('UG-ISE'!Z$5:Z$280,"&gt;="&amp;'UG-ISE'!Z$4)</f>
        <v>0</v>
      </c>
      <c r="V3" s="574">
        <f>COUNTIF('UG-ISE'!AA$5:AA$280,"&gt;="&amp;'UG-ISE'!AA$4)</f>
        <v>110</v>
      </c>
      <c r="W3" s="574">
        <f>COUNTIF('UG-ISE'!AB$5:AB$280,"&gt;="&amp;'UG-ISE'!AB$4)</f>
        <v>196</v>
      </c>
      <c r="X3" s="574">
        <f>COUNTIF('UG-ISE'!AC$5:AC$280,"&gt;="&amp;'UG-ISE'!AC$4)</f>
        <v>137</v>
      </c>
      <c r="Y3" s="574">
        <f>COUNTIF('UG-ISE'!AD$5:AD$280,"&gt;="&amp;'UG-ISE'!AD$4)</f>
        <v>177</v>
      </c>
      <c r="Z3" s="574">
        <f>COUNTIF('UG-ISE'!AE$5:AE$280,"&gt;="&amp;'UG-ISE'!AE$4)</f>
        <v>137</v>
      </c>
      <c r="AA3" s="574">
        <f>COUNTIF('UG-ISE'!AF$5:AF$280,"&gt;="&amp;'UG-ISE'!AF$4)</f>
        <v>0</v>
      </c>
      <c r="AB3" s="572">
        <f>COUNTIF('UG-ISE'!AG$5:AG$288,"&gt;="&amp;'UG-ISE'!AG$4)</f>
        <v>84</v>
      </c>
      <c r="AC3" s="572">
        <f>COUNTIF('UG-ISE'!AH$5:AH$288,"&gt;="&amp;'UG-ISE'!AH$4)</f>
        <v>0</v>
      </c>
    </row>
    <row r="4">
      <c r="A4" s="575" t="s">
        <v>3715</v>
      </c>
      <c r="B4" s="572">
        <f>COUNTA('UG-AIDS'!$B$5:$B$298)</f>
        <v>155</v>
      </c>
      <c r="C4" s="572">
        <f>COUNTIF('UG-AIDS'!H$5:H$298,"&gt;="&amp;'UG-AIDS'!H$4)</f>
        <v>146</v>
      </c>
      <c r="D4" s="572">
        <f>COUNTIF('UG-AIDS'!I$5:I$298,"&gt;="&amp;'UG-AIDS'!I$4)</f>
        <v>150</v>
      </c>
      <c r="E4" s="572">
        <f>COUNTIF('UG-AIDS'!J$5:J$298,"&gt;="&amp;'UG-AIDS'!J$4)</f>
        <v>115</v>
      </c>
      <c r="F4" s="572">
        <f>COUNTIF('UG-AIDS'!K$5:K$293,"&gt;="&amp;'UG-AIDS'!K$4)</f>
        <v>122</v>
      </c>
      <c r="G4" s="572">
        <f>COUNTIF('UG-AIDS'!L$5:L$298,"&gt;="&amp;'UG-AIDS'!L$4)</f>
        <v>105</v>
      </c>
      <c r="H4" s="572">
        <f>COUNTIF('UG-AIDS'!M$5:M$298,"&gt;="&amp;'UG-AIDS'!M$4)</f>
        <v>73</v>
      </c>
      <c r="I4" s="572">
        <f>COUNTIF('UG-AIDS'!N$5:N$298,"&gt;="&amp;'UG-AIDS'!N$4)</f>
        <v>84</v>
      </c>
      <c r="J4" s="572">
        <f>COUNTIF('UG-AIDS'!P$5:P$298,"&gt;="&amp;'UG-AIDS'!P$4)</f>
        <v>125</v>
      </c>
      <c r="K4" s="572">
        <f>COUNTIF('UG-AIDS'!Q$5:Q$298,"&gt;="&amp;'UG-AIDS'!Q$4)</f>
        <v>112</v>
      </c>
      <c r="L4" s="572">
        <f>COUNTIF('UG-AIDS'!R$5:R$298,"&gt;="&amp;'UG-AIDS'!R$4)</f>
        <v>102</v>
      </c>
      <c r="M4" s="572">
        <f>COUNTIF('UG-AIDS'!T$5:T$298,"&gt;="&amp;'UG-AIDS'!T$4)</f>
        <v>139</v>
      </c>
      <c r="N4" s="572">
        <f>COUNTIF('UG-AIDS'!U$5:U$298,"&gt;="&amp;'UG-AIDS'!U$4)</f>
        <v>134</v>
      </c>
      <c r="O4" s="572">
        <f>COUNTIF('UG-AIDS'!V$5:V$298,"&gt;="&amp;'UG-AIDS'!V$4)</f>
        <v>147</v>
      </c>
      <c r="P4" s="572">
        <f t="shared" si="1"/>
        <v>1</v>
      </c>
      <c r="Q4" s="572">
        <f>COUNTIF('UG-AIDS'!W$5:W$298,"&gt;="&amp;'UG-AIDS'!W$4)</f>
        <v>143</v>
      </c>
      <c r="R4" s="572">
        <f>COUNTIF('UG-AIDS'!X$5:X$298,"&gt;="&amp;'UG-AIDS'!X$4)</f>
        <v>138</v>
      </c>
      <c r="S4" s="572">
        <f t="shared" si="2"/>
        <v>1</v>
      </c>
      <c r="T4" s="572">
        <f>COUNTIF('UG-AIDS'!Y$5:Y$298,"&gt;="&amp;'UG-AIDS'!Y$4)</f>
        <v>0</v>
      </c>
      <c r="U4" s="572">
        <f>COUNTIF('UG-AIDS'!Z$5:Z$298,"&gt;="&amp;'UG-AIDS'!Z$4)</f>
        <v>0</v>
      </c>
      <c r="V4" s="572">
        <f>COUNTIF('UG-AIDS'!AA$5:AA$298,"&gt;="&amp;'UG-AIDS'!AA$4)</f>
        <v>63</v>
      </c>
      <c r="W4" s="572">
        <f>COUNTIF('UG-AIDS'!AB$5:AB$298,"&gt;="&amp;'UG-AIDS'!AB$4)</f>
        <v>139</v>
      </c>
      <c r="X4" s="572">
        <f>COUNTIF('UG-AIDS'!AC$5:AC$298,"&gt;="&amp;'UG-AIDS'!AC$4)</f>
        <v>81</v>
      </c>
      <c r="Y4" s="572">
        <f>COUNTIF('UG-AIDS'!AD$5:AD$298,"&gt;="&amp;'UG-AIDS'!AD$4)</f>
        <v>59</v>
      </c>
      <c r="Z4" s="572">
        <f>COUNTIF('UG-AIDS'!AE$5:AE$298,"&gt;="&amp;'UG-AIDS'!AE$4)</f>
        <v>73</v>
      </c>
      <c r="AA4" s="572">
        <f>COUNTIF('UG-AIDS'!AF$5:AF$298,"&gt;="&amp;'UG-AIDS'!AF$4)</f>
        <v>1</v>
      </c>
      <c r="AB4" s="572">
        <f>COUNTIF('UG-AIDS'!AG$5:AG$288,"&gt;="&amp;'UG-AIDS'!AG$4)</f>
        <v>99</v>
      </c>
      <c r="AC4" s="572">
        <f>COUNTIF('UG-AIDS'!AH$5:AH$288,"&gt;="&amp;'UG-AIDS'!AH$4)</f>
        <v>0</v>
      </c>
    </row>
    <row r="5">
      <c r="A5" s="575" t="s">
        <v>3780</v>
      </c>
      <c r="B5" s="574">
        <f>COUNTA('UG-AIML'!$B$5:$B$296)</f>
        <v>150</v>
      </c>
      <c r="C5" s="574">
        <f>COUNTIF('UG-AIML'!H$5:H$296,"&gt;="&amp;'UG-AIML'!H$4)</f>
        <v>147</v>
      </c>
      <c r="D5" s="574">
        <f>COUNTIF('UG-AIML'!I$5:I$296,"&gt;="&amp;'UG-AIML'!I$4)</f>
        <v>147</v>
      </c>
      <c r="E5" s="574">
        <f>COUNTIF('UG-AIML'!J$5:J$296,"&gt;="&amp;'UG-AIML'!J$4)</f>
        <v>120</v>
      </c>
      <c r="F5" s="572">
        <f>COUNTIF('UG-AIML'!K$5:K$291,"&gt;="&amp;'UG-AIML'!K$4)</f>
        <v>128</v>
      </c>
      <c r="G5" s="574">
        <f>COUNTIF('UG-AIML'!L$5:L$296,"&gt;="&amp;'UG-AIML'!L$4)</f>
        <v>95</v>
      </c>
      <c r="H5" s="574">
        <f>COUNTIF('UG-AIML'!M$5:M$296,"&gt;="&amp;'UG-AIML'!M$4)</f>
        <v>80</v>
      </c>
      <c r="I5" s="574">
        <f>COUNTIF('UG-AIML'!N$5:N$296,"&gt;="&amp;'UG-AIML'!N$4)</f>
        <v>87</v>
      </c>
      <c r="J5" s="574">
        <f>COUNTIF('UG-AIML'!P$5:P$296,"&gt;="&amp;'UG-AIML'!P$4)</f>
        <v>138</v>
      </c>
      <c r="K5" s="574">
        <f>COUNTIF('UG-AIML'!Q$5:Q$296,"&gt;="&amp;'UG-AIML'!Q$4)</f>
        <v>132</v>
      </c>
      <c r="L5" s="574">
        <f>COUNTIF('UG-AIML'!R$5:R$296,"&gt;="&amp;'UG-AIML'!R$4)</f>
        <v>114</v>
      </c>
      <c r="M5" s="574">
        <f>COUNTIF('UG-AIML'!T$5:T$296,"&gt;="&amp;'UG-AIML'!T$4)</f>
        <v>135</v>
      </c>
      <c r="N5" s="574">
        <f>COUNTIF('UG-AIML'!U$5:U$296,"&gt;="&amp;'UG-AIML'!U$4)</f>
        <v>129</v>
      </c>
      <c r="O5" s="574">
        <f>COUNTIF('UG-AIML'!V$5:V$296,"&gt;="&amp;'UG-AIML'!V$4)</f>
        <v>135</v>
      </c>
      <c r="P5" s="574">
        <f t="shared" si="1"/>
        <v>1</v>
      </c>
      <c r="Q5" s="574">
        <f>COUNTIF('UG-AIML'!W$5:W$296,"&gt;="&amp;'UG-AIML'!W$4)</f>
        <v>127</v>
      </c>
      <c r="R5" s="574">
        <f>COUNTIF('UG-AIML'!X$5:X$296,"&gt;="&amp;'UG-AIML'!X$4)</f>
        <v>134</v>
      </c>
      <c r="S5" s="574">
        <f t="shared" si="2"/>
        <v>1</v>
      </c>
      <c r="T5" s="574">
        <f>COUNTIF('UG-AIML'!Y$5:Y$296,"&gt;="&amp;'UG-AIML'!Y$4)</f>
        <v>0</v>
      </c>
      <c r="U5" s="574">
        <f>COUNTIF('UG-AIML'!Z$5:Z$296,"&gt;="&amp;'UG-AIML'!Z$4)</f>
        <v>0</v>
      </c>
      <c r="V5" s="574">
        <f>COUNTIF('UG-AIML'!AA$5:AA$296,"&gt;="&amp;'UG-AIML'!AA$4)</f>
        <v>58</v>
      </c>
      <c r="W5" s="574">
        <f>COUNTIF('UG-AIML'!AB$5:AB$296,"&gt;="&amp;'UG-AIML'!AB$4)</f>
        <v>129</v>
      </c>
      <c r="X5" s="574">
        <f>COUNTIF('UG-AIML'!AC$5:AC$296,"&gt;="&amp;'UG-AIML'!AC$4)</f>
        <v>91</v>
      </c>
      <c r="Y5" s="574">
        <f>COUNTIF('UG-AIML'!AD$5:AD$296,"&gt;="&amp;'UG-AIML'!AD$4)</f>
        <v>87</v>
      </c>
      <c r="Z5" s="574">
        <f>COUNTIF('UG-AIML'!AE$5:AE$296,"&gt;="&amp;'UG-AIML'!AE$4)</f>
        <v>49</v>
      </c>
      <c r="AA5" s="574">
        <f>COUNTIF('UG-AIML'!AF$5:AF$296,"&gt;="&amp;'UG-AIML'!AF$4)</f>
        <v>0</v>
      </c>
      <c r="AB5" s="572">
        <f>COUNTIF('UG-AIML'!AG$5:AG$286,"&gt;="&amp;'UG-AIML'!AG$4)</f>
        <v>82</v>
      </c>
      <c r="AC5" s="572">
        <f>COUNTIF('UG-AIML'!AH$5:AH$286,"&gt;="&amp;'UG-AIML'!AH$4)</f>
        <v>0</v>
      </c>
    </row>
    <row r="6">
      <c r="A6" s="575" t="s">
        <v>3742</v>
      </c>
      <c r="B6" s="574">
        <f>COUNTA('UG-CSDS'!$B$5:$B$295)</f>
        <v>68</v>
      </c>
      <c r="C6" s="574">
        <f>COUNTIF('UG-CSDS'!H$5:H$295,"&gt;="&amp;'UG-CSDS'!H$4)</f>
        <v>66</v>
      </c>
      <c r="D6" s="574">
        <f>COUNTIF('UG-CSDS'!I$5:I$295,"&gt;="&amp;'UG-CSDS'!I$4)</f>
        <v>66</v>
      </c>
      <c r="E6" s="574">
        <f>COUNTIF('UG-CSDS'!J$5:J$295,"&gt;="&amp;'UG-CSDS'!J$4)</f>
        <v>62</v>
      </c>
      <c r="F6" s="572">
        <f>COUNTIF('UG-CSDS'!K$5:K$293,"&gt;="&amp;'UG-CSDS'!K$4)</f>
        <v>61</v>
      </c>
      <c r="G6" s="574">
        <f>COUNTIF('UG-CSDS'!L$5:L$295,"&gt;="&amp;'UG-CSDS'!L$4)</f>
        <v>55</v>
      </c>
      <c r="H6" s="574">
        <f>COUNTIF('UG-CSDS'!M$5:M$295,"&gt;="&amp;'UG-CSDS'!M$4)</f>
        <v>40</v>
      </c>
      <c r="I6" s="574">
        <f>COUNTIF('UG-CSDS'!N$5:N$295,"&gt;="&amp;'UG-CSDS'!N$4)</f>
        <v>39</v>
      </c>
      <c r="J6" s="574">
        <f>COUNTIF('UG-CSDS'!P$5:P$295,"&gt;="&amp;'UG-CSDS'!P$4)</f>
        <v>57</v>
      </c>
      <c r="K6" s="574">
        <f>COUNTIF('UG-CSDS'!Q$5:Q$295,"&gt;="&amp;'UG-CSDS'!Q$4)</f>
        <v>51</v>
      </c>
      <c r="L6" s="574">
        <f>COUNTIF('UG-CSDS'!R$5:R$295,"&gt;="&amp;'UG-CSDS'!R$4)</f>
        <v>47</v>
      </c>
      <c r="M6" s="574">
        <f>COUNTIF('UG-CSDS'!T$5:T$295,"&gt;="&amp;'UG-CSDS'!T$4)</f>
        <v>61</v>
      </c>
      <c r="N6" s="574">
        <f>COUNTIF('UG-CSDS'!U$5:U$295,"&gt;="&amp;'UG-CSDS'!U$4)</f>
        <v>60</v>
      </c>
      <c r="O6" s="574">
        <f>COUNTIF('UG-CSDS'!V$5:V$295,"&gt;="&amp;'UG-CSDS'!V$4)</f>
        <v>61</v>
      </c>
      <c r="P6" s="574">
        <f t="shared" si="1"/>
        <v>1</v>
      </c>
      <c r="Q6" s="574">
        <f>COUNTIF('UG-CSDS'!W$5:W$295,"&gt;="&amp;'UG-CSDS'!W$4)</f>
        <v>63</v>
      </c>
      <c r="R6" s="574">
        <f>COUNTIF('UG-CSDS'!X$5:X$295,"&gt;="&amp;'UG-CSDS'!X$4)</f>
        <v>62</v>
      </c>
      <c r="S6" s="574">
        <f t="shared" si="2"/>
        <v>1</v>
      </c>
      <c r="T6" s="574">
        <f>COUNTIF('UG-CSDS'!Y$5:Y$295,"&gt;="&amp;'UG-CSDS'!Y$4)</f>
        <v>0</v>
      </c>
      <c r="U6" s="574">
        <f>COUNTIF('UG-CSDS'!Z$5:Z$295,"&gt;="&amp;'UG-CSDS'!Z$4)</f>
        <v>0</v>
      </c>
      <c r="V6" s="574">
        <f>COUNTIF('UG-CSDS'!AA$5:AA$295,"&gt;="&amp;'UG-CSDS'!AA$4)</f>
        <v>43</v>
      </c>
      <c r="W6" s="574">
        <f>COUNTIF('UG-CSDS'!AB$5:AB$295,"&gt;="&amp;'UG-CSDS'!AB$4)</f>
        <v>60</v>
      </c>
      <c r="X6" s="574">
        <f>COUNTIF('UG-CSDS'!AC$5:AC$295,"&gt;="&amp;'UG-CSDS'!AC$4)</f>
        <v>40</v>
      </c>
      <c r="Y6" s="574">
        <f>COUNTIF('UG-CSDS'!AD$5:AD$295,"&gt;="&amp;'UG-CSDS'!AD$4)</f>
        <v>35</v>
      </c>
      <c r="Z6" s="574">
        <f>COUNTIF('UG-CSDS'!AE$5:AE$295,"&gt;="&amp;'UG-CSDS'!AE$4)</f>
        <v>44</v>
      </c>
      <c r="AA6" s="574">
        <f>COUNTIF('UG-CSDS'!AF$5:AF$295,"&gt;="&amp;'UG-CSDS'!AF$4)</f>
        <v>0</v>
      </c>
      <c r="AB6" s="572">
        <f>COUNTIF('UG-CSDS'!AG$5:AG$288,"&gt;="&amp;'UG-CSDS'!AG$4)</f>
        <v>48</v>
      </c>
      <c r="AC6" s="572">
        <f>COUNTIF('UG-CSDS'!AH$5:AH$288,"&gt;="&amp;'UG-CSDS'!AH$4)</f>
        <v>0</v>
      </c>
    </row>
    <row r="7">
      <c r="A7" s="571" t="s">
        <v>3817</v>
      </c>
      <c r="B7" s="572">
        <f>COUNTA('UG-CSAIML'!$B$5:$B$297)</f>
        <v>67</v>
      </c>
      <c r="C7" s="572">
        <f>COUNTIF('UG-CSAIML'!H$5:H$297,"&gt;="&amp;'UG-CSAIML'!H$4)</f>
        <v>62</v>
      </c>
      <c r="D7" s="572">
        <f>COUNTIF('UG-CSAIML'!I$5:I$297,"&gt;="&amp;'UG-CSAIML'!I$4)</f>
        <v>62</v>
      </c>
      <c r="E7" s="572">
        <f>COUNTIF('UG-CSAIML'!J$5:J$297,"&gt;="&amp;'UG-CSAIML'!J$4)</f>
        <v>49</v>
      </c>
      <c r="F7" s="572">
        <f>COUNTIF('UG-CSAIML'!K$5:K$291,"&gt;="&amp;'UG-CSAIML'!K$4)</f>
        <v>54</v>
      </c>
      <c r="G7" s="572">
        <f>COUNTIF('UG-CSAIML'!L$5:L$297,"&gt;="&amp;'UG-CSAIML'!L$4)</f>
        <v>52</v>
      </c>
      <c r="H7" s="572">
        <f>COUNTIF('UG-CSAIML'!M$5:M$297,"&gt;="&amp;'UG-CSAIML'!M$4)</f>
        <v>51</v>
      </c>
      <c r="I7" s="572">
        <f>COUNTIF('UG-CSAIML'!N$5:N$297,"&gt;="&amp;'UG-CSAIML'!N$4)</f>
        <v>48</v>
      </c>
      <c r="J7" s="572">
        <f>COUNTIF('UG-CSAIML'!P$5:P$297,"&gt;="&amp;'UG-CSAIML'!P$4)</f>
        <v>63</v>
      </c>
      <c r="K7" s="572">
        <f>COUNTIF('UG-CSAIML'!Q$5:Q$297,"&gt;="&amp;'UG-CSAIML'!Q$4)</f>
        <v>58</v>
      </c>
      <c r="L7" s="572">
        <f>COUNTIF('UG-CSAIML'!R$5:R$297,"&gt;="&amp;'UG-CSAIML'!R$4)</f>
        <v>57</v>
      </c>
      <c r="M7" s="572">
        <f>COUNTIF('UG-CSAIML'!T$5:T$297,"&gt;="&amp;'UG-CSAIML'!T$4)</f>
        <v>62</v>
      </c>
      <c r="N7" s="572">
        <f>COUNTIF('UG-CSAIML'!U$5:U$297,"&gt;="&amp;'UG-CSAIML'!U$4)</f>
        <v>62</v>
      </c>
      <c r="O7" s="572">
        <f>COUNTIF('UG-CSAIML'!V$5:V$297,"&gt;="&amp;'UG-CSAIML'!V$4)</f>
        <v>66</v>
      </c>
      <c r="P7" s="572">
        <f t="shared" si="1"/>
        <v>1</v>
      </c>
      <c r="Q7" s="572">
        <f>COUNTIF('UG-CSAIML'!W$5:W$297,"&gt;="&amp;'UG-CSAIML'!W$4)</f>
        <v>65</v>
      </c>
      <c r="R7" s="572">
        <f>COUNTIF('UG-CSAIML'!X$5:X$297,"&gt;="&amp;'UG-CSAIML'!X$4)</f>
        <v>62</v>
      </c>
      <c r="S7" s="572">
        <f t="shared" si="2"/>
        <v>1</v>
      </c>
      <c r="T7" s="572">
        <f>COUNTIF('UG-CSAIML'!Y$5:Y$297,"&gt;="&amp;'UG-CSAIML'!Y$4)</f>
        <v>0</v>
      </c>
      <c r="U7" s="572">
        <f>COUNTIF('UG-CSAIML'!Z$5:Z$297,"&gt;="&amp;'UG-CSAIML'!Z$4)</f>
        <v>0</v>
      </c>
      <c r="V7" s="572">
        <f>COUNTIF('UG-CSAIML'!AA$5:AA$297,"&gt;="&amp;'UG-CSAIML'!AA$4)</f>
        <v>48</v>
      </c>
      <c r="W7" s="572">
        <f>COUNTIF('UG-CSAIML'!AB$5:AB$297,"&gt;="&amp;'UG-CSAIML'!AB$4)</f>
        <v>56</v>
      </c>
      <c r="X7" s="572">
        <f>COUNTIF('UG-CSAIML'!AC$5:AC$297,"&gt;="&amp;'UG-CSAIML'!AC$4)</f>
        <v>42</v>
      </c>
      <c r="Y7" s="572">
        <f>COUNTIF('UG-CSAIML'!AD$5:AD$297,"&gt;="&amp;'UG-CSAIML'!AD$4)</f>
        <v>50</v>
      </c>
      <c r="Z7" s="572">
        <f>COUNTIF('UG-CSAIML'!AE$5:AE$297,"&gt;="&amp;'UG-CSAIML'!AE$4)</f>
        <v>41</v>
      </c>
      <c r="AA7" s="572">
        <f>COUNTIF('UG-CSAIML'!AF$5:AF$297,"&gt;="&amp;'UG-CSAIML'!AF$4)</f>
        <v>0</v>
      </c>
      <c r="AB7" s="572">
        <f>COUNTIF('UG-CSAIML'!AG$5:AG$286,"&gt;="&amp;'UG-CSAIML'!AG$4)</f>
        <v>38</v>
      </c>
      <c r="AC7" s="572">
        <f>COUNTIF('UG-CSAIML'!AH$5:AH$286,"&gt;="&amp;'UG-CSAIML'!AH$4)</f>
        <v>0</v>
      </c>
    </row>
    <row r="8">
      <c r="A8" s="576" t="s">
        <v>3736</v>
      </c>
      <c r="B8" s="572">
        <f>COUNTA('UG-ECE'!$B$5:$B$283)</f>
        <v>266</v>
      </c>
      <c r="C8" s="572">
        <f>COUNTIF('UG-ECE'!H$5:H$283,"&gt;="&amp;'UG-ECE'!H$4)</f>
        <v>260</v>
      </c>
      <c r="D8" s="572">
        <f>COUNTIF('UG-ECE'!I$5:I$283,"&gt;="&amp;'UG-ECE'!I$4)</f>
        <v>258</v>
      </c>
      <c r="E8" s="572">
        <f>COUNTIF('UG-ECE'!J$5:J$283,"&gt;="&amp;'UG-ECE'!J$4)</f>
        <v>191</v>
      </c>
      <c r="F8" s="572">
        <f>COUNTIF('UG-ECE'!K$5:K$293,"&gt;="&amp;'UG-ECE'!K$4)</f>
        <v>230</v>
      </c>
      <c r="G8" s="572">
        <f>COUNTIF('UG-ECE'!L$5:L$283,"&gt;="&amp;'UG-ECE'!L$4)</f>
        <v>187</v>
      </c>
      <c r="H8" s="572">
        <f>COUNTIF('UG-ECE'!M$5:M$283,"&gt;="&amp;'UG-ECE'!M$4)</f>
        <v>143</v>
      </c>
      <c r="I8" s="572">
        <f>COUNTIF('UG-ECE'!N$5:N$283,"&gt;="&amp;'UG-ECE'!N$4)</f>
        <v>127</v>
      </c>
      <c r="J8" s="572">
        <f>COUNTIF('UG-ECE'!P$5:P$283,"&gt;="&amp;'UG-ECE'!P$4)</f>
        <v>209</v>
      </c>
      <c r="K8" s="572">
        <f>COUNTIF('UG-ECE'!Q$5:Q$283,"&gt;="&amp;'UG-ECE'!Q$4)</f>
        <v>201</v>
      </c>
      <c r="L8" s="572">
        <f>COUNTIF('UG-ECE'!R$5:R$283,"&gt;="&amp;'UG-ECE'!R$4)</f>
        <v>186</v>
      </c>
      <c r="M8" s="572">
        <f>COUNTIF('UG-ECE'!T$5:T$283,"&gt;="&amp;'UG-ECE'!T$4)</f>
        <v>233</v>
      </c>
      <c r="N8" s="572">
        <f>COUNTIF('UG-ECE'!U$5:U$283,"&gt;="&amp;'UG-ECE'!U$4)</f>
        <v>231</v>
      </c>
      <c r="O8" s="572">
        <f>COUNTIF('UG-ECE'!V$5:V$283,"&gt;="&amp;'UG-ECE'!V$4)</f>
        <v>98</v>
      </c>
      <c r="P8" s="572">
        <f>COUNTIF('UG-ECE'!W$5:W$283,"&gt;="&amp;'UG-ECE'!W$4)</f>
        <v>234</v>
      </c>
      <c r="Q8" s="572">
        <f>COUNTIF(#REF!,"&gt;="&amp;#REF!)</f>
        <v>1</v>
      </c>
      <c r="R8" s="572">
        <f>COUNTIF('UG-ECE'!X$5:X$283,"&gt;="&amp;'UG-ECE'!X$4)</f>
        <v>231</v>
      </c>
      <c r="S8" s="572">
        <f t="shared" si="2"/>
        <v>1</v>
      </c>
      <c r="T8" s="572">
        <f>COUNTIF('UG-ECE'!Y$5:Y$283,"&gt;="&amp;'UG-ECE'!Y$4)</f>
        <v>0</v>
      </c>
      <c r="U8" s="572">
        <f>COUNTIF('UG-ECE'!Z$5:Z$283,"&gt;="&amp;'UG-ECE'!Z$4)</f>
        <v>0</v>
      </c>
      <c r="V8" s="572">
        <f>COUNTIF('UG-ECE'!AA$5:AA$283,"&gt;="&amp;'UG-ECE'!AA$4)</f>
        <v>146</v>
      </c>
      <c r="W8" s="572">
        <f>COUNTIF('UG-ECE'!AB$5:AB$283,"&gt;="&amp;'UG-ECE'!AB$4)</f>
        <v>229</v>
      </c>
      <c r="X8" s="572">
        <f>COUNTIF('UG-ECE'!AC$5:AC$283,"&gt;="&amp;'UG-ECE'!AC$4)</f>
        <v>177</v>
      </c>
      <c r="Y8" s="572">
        <f>COUNTIF('UG-ECE'!AD$5:AD$283,"&gt;="&amp;'UG-ECE'!AD$4)</f>
        <v>3</v>
      </c>
      <c r="Z8" s="572">
        <f>COUNTIF('UG-ECE'!AE$5:AE$283,"&gt;="&amp;'UG-ECE'!AE$4)</f>
        <v>107</v>
      </c>
      <c r="AA8" s="572">
        <f>COUNTIF('UG-ECE'!AF$5:AF$283,"&gt;="&amp;'UG-ECE'!AF$4)</f>
        <v>0</v>
      </c>
      <c r="AB8" s="572">
        <f>COUNTIF('UG-ECE'!AG$5:AG$288,"&gt;="&amp;'UG-ECE'!AG$4)</f>
        <v>55</v>
      </c>
      <c r="AC8" s="572">
        <f>COUNTIF('UG-ECE'!AH$5:AH$288,"&gt;="&amp;'UG-ECE'!AH$4)</f>
        <v>30</v>
      </c>
    </row>
    <row r="9">
      <c r="A9" s="576" t="s">
        <v>3818</v>
      </c>
      <c r="B9" s="572">
        <f t="shared" ref="B9:AC9" si="3">SUM($B$2:$B$8)</f>
        <v>1159</v>
      </c>
      <c r="C9" s="572">
        <f t="shared" si="3"/>
        <v>1159</v>
      </c>
      <c r="D9" s="572">
        <f t="shared" si="3"/>
        <v>1159</v>
      </c>
      <c r="E9" s="572">
        <f t="shared" si="3"/>
        <v>1159</v>
      </c>
      <c r="F9" s="572">
        <f t="shared" si="3"/>
        <v>1159</v>
      </c>
      <c r="G9" s="572">
        <f t="shared" si="3"/>
        <v>1159</v>
      </c>
      <c r="H9" s="572">
        <f t="shared" si="3"/>
        <v>1159</v>
      </c>
      <c r="I9" s="572">
        <f t="shared" si="3"/>
        <v>1159</v>
      </c>
      <c r="J9" s="572">
        <f t="shared" si="3"/>
        <v>1159</v>
      </c>
      <c r="K9" s="572">
        <f t="shared" si="3"/>
        <v>1159</v>
      </c>
      <c r="L9" s="572">
        <f t="shared" si="3"/>
        <v>1159</v>
      </c>
      <c r="M9" s="572">
        <f t="shared" si="3"/>
        <v>1159</v>
      </c>
      <c r="N9" s="572">
        <f t="shared" si="3"/>
        <v>1159</v>
      </c>
      <c r="O9" s="572">
        <f t="shared" si="3"/>
        <v>1159</v>
      </c>
      <c r="P9" s="572">
        <f t="shared" si="3"/>
        <v>1159</v>
      </c>
      <c r="Q9" s="572">
        <f t="shared" si="3"/>
        <v>1159</v>
      </c>
      <c r="R9" s="572">
        <f t="shared" si="3"/>
        <v>1159</v>
      </c>
      <c r="S9" s="572">
        <f t="shared" si="3"/>
        <v>1159</v>
      </c>
      <c r="T9" s="572">
        <f t="shared" si="3"/>
        <v>1159</v>
      </c>
      <c r="U9" s="572">
        <f t="shared" si="3"/>
        <v>1159</v>
      </c>
      <c r="V9" s="572">
        <f t="shared" si="3"/>
        <v>1159</v>
      </c>
      <c r="W9" s="572">
        <f t="shared" si="3"/>
        <v>1159</v>
      </c>
      <c r="X9" s="572">
        <f t="shared" si="3"/>
        <v>1159</v>
      </c>
      <c r="Y9" s="572">
        <f t="shared" si="3"/>
        <v>1159</v>
      </c>
      <c r="Z9" s="572">
        <f t="shared" si="3"/>
        <v>1159</v>
      </c>
      <c r="AA9" s="572">
        <f t="shared" si="3"/>
        <v>1159</v>
      </c>
      <c r="AB9" s="572">
        <f t="shared" si="3"/>
        <v>1159</v>
      </c>
      <c r="AC9" s="572">
        <f t="shared" si="3"/>
        <v>1159</v>
      </c>
    </row>
    <row r="10">
      <c r="A10" s="573" t="s">
        <v>3819</v>
      </c>
      <c r="B10" s="574" t="s">
        <v>3820</v>
      </c>
      <c r="C10" s="574">
        <f>COUNTIF('UG-CSE'!H$5:H$293,"&gt;=0")+COUNTIF('UG-ISE'!H$5:H$280,"&gt;=0")+COUNTIF('UG-ECE'!H$5:H$283,"&gt;=0")+COUNTIF('UG-CSDS'!H$5:H$295,"&gt;=0")+COUNTIF('UG-CSAIML'!H$5:H$297,"&gt;=0")+COUNTIF('UG-AIDS'!H$5:H$298,"&gt;=0")+COUNTIF('UG-AIML'!H$5:H$296,"&gt;=0")</f>
        <v>1158</v>
      </c>
      <c r="D10" s="574">
        <f>COUNTIF('UG-CSE'!I$5:I$293,"&gt;=0")+COUNTIF('UG-ISE'!I$5:I$280,"&gt;=0")+COUNTIF('UG-ECE'!I$5:I$283,"&gt;=0")+COUNTIF('UG-CSDS'!I$5:I$295,"&gt;=0")+COUNTIF('UG-CSAIML'!I$5:I$297,"&gt;=0")+COUNTIF('UG-AIDS'!I$5:I$298,"&gt;=0")+COUNTIF('UG-AIML'!I$5:I$296,"&gt;=0")</f>
        <v>1159</v>
      </c>
      <c r="E10" s="574">
        <f>COUNTIF('UG-CSE'!J$5:J$293,"&gt;=0")+COUNTIF('UG-ISE'!J$5:J$280,"&gt;=0")+COUNTIF('UG-ECE'!J$5:J$283,"&gt;=0")+COUNTIF('UG-CSDS'!J$5:J$295,"&gt;=0")+COUNTIF('UG-CSAIML'!J$5:J$297,"&gt;=0")+COUNTIF('UG-AIDS'!J$5:J$298,"&gt;=0")+COUNTIF('UG-AIML'!J$5:J$296,"&gt;=0")</f>
        <v>1159</v>
      </c>
      <c r="F10" s="574">
        <f>COUNTIF('UG-CSE'!K$5:K$293,"&gt;=0")+COUNTIF('UG-ISE'!K$5:K$280,"&gt;=0")+COUNTIF('UG-ECE'!K$5:K$283,"&gt;=0")+COUNTIF('UG-CSDS'!K$5:K$295,"&gt;=0")+COUNTIF('UG-CSAIML'!K$5:K$297,"&gt;=0")+COUNTIF('UG-AIDS'!K$5:K$298,"&gt;=0")+COUNTIF('UG-AIML'!K$5:K$296,"&gt;=0")</f>
        <v>1159</v>
      </c>
      <c r="G10" s="574">
        <f>COUNTIF('UG-CSE'!L$5:L$293,"&gt;=0")+COUNTIF('UG-ISE'!L$5:L$280,"&gt;=0")+COUNTIF('UG-ECE'!L$5:L$283,"&gt;=0")+COUNTIF('UG-CSDS'!L$5:L$295,"&gt;=0")+COUNTIF('UG-CSAIML'!L$5:L$297,"&gt;=0")+COUNTIF('UG-AIDS'!L$5:L$298,"&gt;=0")+COUNTIF('UG-AIML'!L$5:L$296,"&gt;=0")</f>
        <v>1159</v>
      </c>
      <c r="H10" s="574">
        <f>COUNTIF('UG-CSE'!M$5:M$293,"&gt;=0")+COUNTIF('UG-ISE'!M$5:M$280,"&gt;=0")+COUNTIF('UG-ECE'!M$5:M$283,"&gt;=0")+COUNTIF('UG-CSDS'!M$5:M$295,"&gt;=0")+COUNTIF('UG-CSAIML'!M$5:M$297,"&gt;=0")+COUNTIF('UG-AIDS'!M$5:M$298,"&gt;=0")+COUNTIF('UG-AIML'!M$5:M$296,"&gt;=0")</f>
        <v>1158</v>
      </c>
      <c r="I10" s="574">
        <f>COUNTIF('UG-CSE'!N$5:N$293,"&gt;=0")+COUNTIF('UG-ISE'!N$5:N$280,"&gt;=0")+COUNTIF('UG-ECE'!N$5:N$283,"&gt;=0")+COUNTIF('UG-CSDS'!N$5:N$295,"&gt;=0")+COUNTIF('UG-CSAIML'!N$5:N$297,"&gt;=0")+COUNTIF('UG-AIDS'!N$5:N$298,"&gt;=0")+COUNTIF('UG-AIML'!N$5:N$296,"&gt;=0")</f>
        <v>1151</v>
      </c>
      <c r="J10" s="574">
        <f>COUNTIF('UG-CSE'!P$5:P$293,"&gt;=0")+COUNTIF('UG-ISE'!P$5:P$280,"&gt;=0")+COUNTIF('UG-ECE'!P$5:P$283,"&gt;=0")+COUNTIF('UG-CSDS'!P$5:P$295,"&gt;=0")+COUNTIF('UG-CSAIML'!P$5:P$297,"&gt;=0")+COUNTIF('UG-AIDS'!P$5:P$298,"&gt;=0")+COUNTIF('UG-AIML'!P$5:P$296,"&gt;=0")</f>
        <v>1159</v>
      </c>
      <c r="K10" s="574">
        <f>COUNTIF('UG-CSE'!Q$5:Q$293,"&gt;=0")+COUNTIF('UG-ISE'!Q$5:Q$280,"&gt;=0")+COUNTIF('UG-ECE'!Q$5:Q$283,"&gt;=0")+COUNTIF('UG-CSDS'!Q$5:Q$295,"&gt;=0")+COUNTIF('UG-CSAIML'!Q$5:Q$297,"&gt;=0")+COUNTIF('UG-AIDS'!Q$5:Q$298,"&gt;=0")+COUNTIF('UG-AIML'!Q$5:Q$296,"&gt;=0")</f>
        <v>1159</v>
      </c>
      <c r="L10" s="574">
        <f>COUNTIF('UG-CSE'!R$5:R$293,"&gt;=0")+COUNTIF('UG-ISE'!R$5:R$280,"&gt;=0")+COUNTIF('UG-ECE'!R$5:R$283,"&gt;=0")+COUNTIF('UG-CSDS'!R$5:R$295,"&gt;=0")+COUNTIF('UG-CSAIML'!R$5:R$297,"&gt;=0")+COUNTIF('UG-AIDS'!R$5:R$298,"&gt;=0")+COUNTIF('UG-AIML'!R$5:R$296,"&gt;=0")</f>
        <v>1159</v>
      </c>
      <c r="M10" s="574">
        <f>COUNTIF('UG-CSE'!T$5:T$293,"&gt;=0")+COUNTIF('UG-ISE'!T$5:T$280,"&gt;=0")+COUNTIF('UG-ECE'!T$5:T$283,"&gt;=0")+COUNTIF('UG-CSDS'!T$5:T$295,"&gt;=0")+COUNTIF('UG-CSAIML'!T$5:T$297,"&gt;=0")+COUNTIF('UG-AIDS'!T$5:T$298,"&gt;=0")+COUNTIF('UG-AIML'!T$5:T$296,"&gt;=0")</f>
        <v>1043</v>
      </c>
      <c r="N10" s="574">
        <f>COUNTIF('UG-CSE'!U$5:U$293,"&gt;=0")+COUNTIF('UG-ISE'!U$5:U$280,"&gt;=0")+COUNTIF('UG-ECE'!U$5:U$283,"&gt;=0")+COUNTIF('UG-CSDS'!U$5:U$295,"&gt;=0")+COUNTIF('UG-CSAIML'!U$5:U$297,"&gt;=0")+COUNTIF('UG-AIDS'!U$5:U$298,"&gt;=0")+COUNTIF('UG-AIML'!U$5:U$296,"&gt;=0")</f>
        <v>1022</v>
      </c>
      <c r="O10" s="574">
        <f>COUNTIF('UG-CSE'!V$5:V$293,"&gt;=0")+COUNTIF('UG-ISE'!V$5:V$280,"&gt;=0")+COUNTIF('UG-ECE'!V$5:V$283,"&gt;=0")+COUNTIF('UG-CSDS'!V$5:V$295,"&gt;=0")+COUNTIF('UG-CSAIML'!V$5:V$297,"&gt;=0")+COUNTIF('UG-AIDS'!V$5:V$298,"&gt;=0")+COUNTIF('UG-AIML'!V$5:V$296,"&gt;=0")</f>
        <v>1060</v>
      </c>
      <c r="P10" s="574">
        <f>COUNTIF(#REF!,"&gt;=0")+COUNTIF(#REF!,"&gt;=0")+COUNTIF('UG-ECE'!W$5:W$283,"&gt;=0")+COUNTIF(#REF!,"&gt;=0")+COUNTIF(#REF!,"&gt;=0")+COUNTIF(#REF!,"&gt;=0")+COUNTIF(#REF!,"&gt;=0")</f>
        <v>254</v>
      </c>
      <c r="Q10" s="574">
        <f>COUNTIF('UG-CSE'!W$5:W$293,"&gt;=0")+COUNTIF('UG-ISE'!W$5:W$280,"&gt;=0")+COUNTIF(#REF!,"&gt;=0")+COUNTIF('UG-CSDS'!W$5:W$295,"&gt;=0")+COUNTIF('UG-CSAIML'!W$5:W$297,"&gt;=0")+COUNTIF('UG-AIDS'!W$5:W$298,"&gt;=0")+COUNTIF('UG-AIML'!W$5:W$296,"&gt;=0")</f>
        <v>795</v>
      </c>
      <c r="R10" s="574">
        <f>COUNTIF('UG-CSE'!X$5:X$293,"&gt;=0")+COUNTIF('UG-ISE'!X$5:X$280,"&gt;=0")+COUNTIF('UG-ECE'!X$5:X$283,"&gt;=0")+COUNTIF('UG-CSDS'!X$5:X$295,"&gt;=0")+COUNTIF('UG-CSAIML'!X$5:X$297,"&gt;=0")+COUNTIF('UG-AIDS'!X$5:X$298,"&gt;=0")+COUNTIF('UG-AIML'!X$5:X$296,"&gt;=0")</f>
        <v>1041</v>
      </c>
      <c r="S10" s="574">
        <f>COUNTIF(#REF!,"&gt;=0")+COUNTIF(#REF!,"&gt;=0")+COUNTIF(#REF!,"&gt;=0")+COUNTIF(#REF!,"&gt;=0")+COUNTIF(#REF!,"&gt;=0")+COUNTIF(#REF!,"&gt;=0")+COUNTIF(#REF!,"&gt;=0")</f>
        <v>0</v>
      </c>
      <c r="T10" s="574">
        <f>COUNTIF('UG-CSE'!Y$5:Y$293,"&gt;=0")+COUNTIF('UG-ISE'!Y$5:Y$280,"&gt;=0")+COUNTIF('UG-ECE'!Y$5:Y$283,"&gt;=0")+COUNTIF('UG-CSDS'!Y$5:Y$295,"&gt;=0")+COUNTIF('UG-CSAIML'!Y$5:Y$297,"&gt;=0")+COUNTIF('UG-AIDS'!Y$5:Y$298,"&gt;=0")+COUNTIF('UG-AIML'!Y$5:Y$296,"&gt;=0")</f>
        <v>1</v>
      </c>
      <c r="U10" s="574">
        <f>COUNTIF('UG-CSE'!Z$5:Z$293,"&gt;=0")+COUNTIF('UG-ISE'!Z$5:Z$280,"&gt;=0")+COUNTIF('UG-ECE'!Z$5:Z$283,"&gt;=0")+COUNTIF('UG-CSDS'!Z$5:Z$295,"&gt;=0")+COUNTIF('UG-CSAIML'!Z$5:Z$297,"&gt;=0")+COUNTIF('UG-AIDS'!Z$5:Z$298,"&gt;=0")+COUNTIF('UG-AIML'!Z$5:Z$296,"&gt;=0")</f>
        <v>1</v>
      </c>
      <c r="V10" s="574">
        <f>COUNTIF('UG-CSE'!AA$5:AA$293,"&gt;=0")+COUNTIF('UG-ISE'!AA$5:AA$280,"&gt;=0")+COUNTIF('UG-ECE'!AA$5:AA$283,"&gt;=0")+COUNTIF('UG-CSDS'!AA$5:AA$295,"&gt;=0")+COUNTIF('UG-CSAIML'!AA$5:AA$297,"&gt;=0")+COUNTIF('UG-AIDS'!AA$5:AA$298,"&gt;=0")+COUNTIF('UG-AIML'!AA$5:AA$296,"&gt;=0")</f>
        <v>1037</v>
      </c>
      <c r="W10" s="574">
        <f>COUNTIF('UG-CSE'!AB$5:AB$293,"&gt;=0")+COUNTIF('UG-ISE'!AB$5:AB$280,"&gt;=0")+COUNTIF('UG-ECE'!AB$5:AB$283,"&gt;=0")+COUNTIF('UG-CSDS'!AB$5:AB$295,"&gt;=0")+COUNTIF('UG-CSAIML'!AB$5:AB$297,"&gt;=0")+COUNTIF('UG-AIDS'!AB$5:AB$298,"&gt;=0")+COUNTIF('UG-AIML'!AB$5:AB$296,"&gt;=0")</f>
        <v>1154</v>
      </c>
      <c r="X10" s="574">
        <f>COUNTIF('UG-CSE'!AC$5:AC$293,"&gt;=0")+COUNTIF('UG-ISE'!AC$5:AC$280,"&gt;=0")+COUNTIF('UG-ECE'!AC$5:AC$283,"&gt;=0")+COUNTIF('UG-CSDS'!AC$5:AC$295,"&gt;=0")+COUNTIF('UG-CSAIML'!AC$5:AC$297,"&gt;=0")+COUNTIF('UG-AIDS'!AC$5:AC$298,"&gt;=0")+COUNTIF('UG-AIML'!AC$5:AC$296,"&gt;=0")</f>
        <v>1157</v>
      </c>
      <c r="Y10" s="574">
        <f>COUNTIF('UG-CSE'!AD$5:AD$293,"&gt;=0")+COUNTIF('UG-ISE'!AD$5:AD$280,"&gt;=0")+COUNTIF('UG-ECE'!AD$5:AD$283,"&gt;=0")+COUNTIF('UG-CSDS'!AD$5:AD$295,"&gt;=0")+COUNTIF('UG-CSAIML'!AD$5:AD$297,"&gt;=0")+COUNTIF('UG-AIDS'!AD$5:AD$298,"&gt;=0")+COUNTIF('UG-AIML'!AD$5:AD$296,"&gt;=0")</f>
        <v>889</v>
      </c>
      <c r="Z10" s="574">
        <f>COUNTIF('UG-CSE'!AE$5:AE$293,"&gt;=0")+COUNTIF('UG-ISE'!AE$5:AE$280,"&gt;=0")+COUNTIF('UG-ECE'!AE$5:AE$283,"&gt;=0")+COUNTIF('UG-CSDS'!AE$5:AE$295,"&gt;=0")+COUNTIF('UG-CSAIML'!AE$5:AE$297,"&gt;=0")+COUNTIF('UG-AIDS'!AE$5:AE$298,"&gt;=0")+COUNTIF('UG-AIML'!AE$5:AE$296,"&gt;=0")</f>
        <v>1155</v>
      </c>
      <c r="AA10" s="574">
        <f>COUNTIF('UG-CSE'!AF$5:AF$293,"&gt;=0")+COUNTIF('UG-ISE'!AF$5:AF$280,"&gt;=0")+COUNTIF('UG-ECE'!AF$5:AF$283,"&gt;=0")+COUNTIF('UG-CSDS'!AF$5:AF$295,"&gt;=0")+COUNTIF('UG-CSAIML'!AF$5:AF$297,"&gt;=0")+COUNTIF('UG-AIDS'!AF$5:AF$298,"&gt;=0")+COUNTIF('UG-AIML'!AF$5:AF$296,"&gt;=0")</f>
        <v>1</v>
      </c>
      <c r="AB10" s="574">
        <f>COUNTIF('UG-CSE'!AF$5:AF$288,"&gt;=0")+COUNTIF('UG-ISE'!AF$5:AF$277,"&gt;=0")+COUNTIF('UG-ECE'!AF$5:AF$279,"&gt;=0")+COUNTIF('UG-CSDS'!AF$5:AF$289,"&gt;=0")+COUNTIF('UG-CSAIML'!AF$5:AF$295,"&gt;=0")+COUNTIF('UG-AIDS'!AF$5:AF$293,"&gt;=0")+COUNTIF('UG-AIML'!AF$5:AF$291,"&gt;=0")</f>
        <v>1</v>
      </c>
      <c r="AC10" s="574">
        <f>COUNTIF('UG-CSE'!AH$5:AH$288,"&gt;=0")+COUNTIF('UG-ISE'!AH$5:AH$277,"&gt;=0")+COUNTIF('UG-ECE'!AH$5:AH$279,"&gt;=0")+COUNTIF('UG-CSDS'!AH$5:AH$289,"&gt;=0")+COUNTIF('UG-CSAIML'!AH$5:AH$295,"&gt;=0")+COUNTIF('UG-AIDS'!AH$5:AH$293,"&gt;=0")+COUNTIF('UG-AIML'!AH$5:AH$291,"&gt;=0")</f>
        <v>81</v>
      </c>
    </row>
    <row r="11">
      <c r="A11" s="576" t="s">
        <v>3821</v>
      </c>
      <c r="B11" s="572" t="s">
        <v>3820</v>
      </c>
      <c r="C11" s="572">
        <f t="shared" ref="C11:AC11" si="4">SUM(C2:C8)</f>
        <v>1119</v>
      </c>
      <c r="D11" s="572">
        <f t="shared" si="4"/>
        <v>1122</v>
      </c>
      <c r="E11" s="572">
        <f t="shared" si="4"/>
        <v>904</v>
      </c>
      <c r="F11" s="572">
        <f t="shared" si="4"/>
        <v>984</v>
      </c>
      <c r="G11" s="572">
        <f t="shared" si="4"/>
        <v>841</v>
      </c>
      <c r="H11" s="572">
        <f t="shared" si="4"/>
        <v>614</v>
      </c>
      <c r="I11" s="572">
        <f t="shared" si="4"/>
        <v>665</v>
      </c>
      <c r="J11" s="572">
        <f t="shared" si="4"/>
        <v>969</v>
      </c>
      <c r="K11" s="572">
        <f t="shared" si="4"/>
        <v>936</v>
      </c>
      <c r="L11" s="572">
        <f t="shared" si="4"/>
        <v>851</v>
      </c>
      <c r="M11" s="572">
        <f t="shared" si="4"/>
        <v>1027</v>
      </c>
      <c r="N11" s="572">
        <f t="shared" si="4"/>
        <v>1012</v>
      </c>
      <c r="O11" s="572">
        <f t="shared" si="4"/>
        <v>851</v>
      </c>
      <c r="P11" s="572">
        <f t="shared" si="4"/>
        <v>240</v>
      </c>
      <c r="Q11" s="572">
        <f t="shared" si="4"/>
        <v>580</v>
      </c>
      <c r="R11" s="572">
        <f t="shared" si="4"/>
        <v>1010</v>
      </c>
      <c r="S11" s="572">
        <f t="shared" si="4"/>
        <v>7</v>
      </c>
      <c r="T11" s="572">
        <f t="shared" si="4"/>
        <v>0</v>
      </c>
      <c r="U11" s="572">
        <f t="shared" si="4"/>
        <v>0</v>
      </c>
      <c r="V11" s="572">
        <f t="shared" si="4"/>
        <v>622</v>
      </c>
      <c r="W11" s="572">
        <f t="shared" si="4"/>
        <v>1002</v>
      </c>
      <c r="X11" s="572">
        <f t="shared" si="4"/>
        <v>724</v>
      </c>
      <c r="Y11" s="572">
        <f t="shared" si="4"/>
        <v>589</v>
      </c>
      <c r="Z11" s="572">
        <f t="shared" si="4"/>
        <v>568</v>
      </c>
      <c r="AA11" s="572">
        <f t="shared" si="4"/>
        <v>1</v>
      </c>
      <c r="AB11" s="572">
        <f t="shared" si="4"/>
        <v>480</v>
      </c>
      <c r="AC11" s="572">
        <f t="shared" si="4"/>
        <v>30</v>
      </c>
    </row>
    <row r="12">
      <c r="A12" s="573" t="s">
        <v>3822</v>
      </c>
      <c r="B12" s="574" t="s">
        <v>3820</v>
      </c>
      <c r="C12" s="574">
        <f t="shared" ref="C12:AA12" si="5">$B$9-C11</f>
        <v>40</v>
      </c>
      <c r="D12" s="574">
        <f t="shared" si="5"/>
        <v>37</v>
      </c>
      <c r="E12" s="574">
        <f t="shared" si="5"/>
        <v>255</v>
      </c>
      <c r="F12" s="574">
        <f t="shared" si="5"/>
        <v>175</v>
      </c>
      <c r="G12" s="574">
        <f t="shared" si="5"/>
        <v>318</v>
      </c>
      <c r="H12" s="574">
        <f t="shared" si="5"/>
        <v>545</v>
      </c>
      <c r="I12" s="574">
        <f t="shared" si="5"/>
        <v>494</v>
      </c>
      <c r="J12" s="574">
        <f t="shared" si="5"/>
        <v>190</v>
      </c>
      <c r="K12" s="574">
        <f t="shared" si="5"/>
        <v>223</v>
      </c>
      <c r="L12" s="574">
        <f t="shared" si="5"/>
        <v>308</v>
      </c>
      <c r="M12" s="574">
        <f t="shared" si="5"/>
        <v>132</v>
      </c>
      <c r="N12" s="574">
        <f t="shared" si="5"/>
        <v>147</v>
      </c>
      <c r="O12" s="574">
        <f t="shared" si="5"/>
        <v>308</v>
      </c>
      <c r="P12" s="574">
        <f t="shared" si="5"/>
        <v>919</v>
      </c>
      <c r="Q12" s="574">
        <f t="shared" si="5"/>
        <v>579</v>
      </c>
      <c r="R12" s="574">
        <f t="shared" si="5"/>
        <v>149</v>
      </c>
      <c r="S12" s="574">
        <f t="shared" si="5"/>
        <v>1152</v>
      </c>
      <c r="T12" s="574">
        <f t="shared" si="5"/>
        <v>1159</v>
      </c>
      <c r="U12" s="574">
        <f t="shared" si="5"/>
        <v>1159</v>
      </c>
      <c r="V12" s="574">
        <f t="shared" si="5"/>
        <v>537</v>
      </c>
      <c r="W12" s="574">
        <f t="shared" si="5"/>
        <v>157</v>
      </c>
      <c r="X12" s="574">
        <f t="shared" si="5"/>
        <v>435</v>
      </c>
      <c r="Y12" s="574">
        <f t="shared" si="5"/>
        <v>570</v>
      </c>
      <c r="Z12" s="574">
        <f t="shared" si="5"/>
        <v>591</v>
      </c>
      <c r="AA12" s="574">
        <f t="shared" si="5"/>
        <v>1158</v>
      </c>
      <c r="AB12" s="574" t="s">
        <v>3820</v>
      </c>
      <c r="AC12" s="574" t="s">
        <v>3820</v>
      </c>
    </row>
    <row r="13">
      <c r="A13" s="576" t="s">
        <v>3823</v>
      </c>
      <c r="B13" s="572" t="s">
        <v>3820</v>
      </c>
      <c r="C13" s="577">
        <f t="shared" ref="C13:AC13" si="6">C11/$B$9</f>
        <v>0.9654874892</v>
      </c>
      <c r="D13" s="577">
        <f t="shared" si="6"/>
        <v>0.9680759275</v>
      </c>
      <c r="E13" s="577">
        <f t="shared" si="6"/>
        <v>0.7799827437</v>
      </c>
      <c r="F13" s="577">
        <f t="shared" si="6"/>
        <v>0.8490077653</v>
      </c>
      <c r="G13" s="577">
        <f t="shared" si="6"/>
        <v>0.7256255393</v>
      </c>
      <c r="H13" s="577">
        <f t="shared" si="6"/>
        <v>0.5297670406</v>
      </c>
      <c r="I13" s="577">
        <f t="shared" si="6"/>
        <v>0.5737704918</v>
      </c>
      <c r="J13" s="577">
        <f t="shared" si="6"/>
        <v>0.8360655738</v>
      </c>
      <c r="K13" s="577">
        <f t="shared" si="6"/>
        <v>0.8075927524</v>
      </c>
      <c r="L13" s="577">
        <f t="shared" si="6"/>
        <v>0.734253667</v>
      </c>
      <c r="M13" s="577">
        <f t="shared" si="6"/>
        <v>0.8861087144</v>
      </c>
      <c r="N13" s="577">
        <f t="shared" si="6"/>
        <v>0.8731665229</v>
      </c>
      <c r="O13" s="577">
        <f t="shared" si="6"/>
        <v>0.734253667</v>
      </c>
      <c r="P13" s="577">
        <f t="shared" si="6"/>
        <v>0.2070750647</v>
      </c>
      <c r="Q13" s="577">
        <f t="shared" si="6"/>
        <v>0.5004314064</v>
      </c>
      <c r="R13" s="577">
        <f t="shared" si="6"/>
        <v>0.8714408973</v>
      </c>
      <c r="S13" s="577">
        <f t="shared" si="6"/>
        <v>0.006039689387</v>
      </c>
      <c r="T13" s="577">
        <f t="shared" si="6"/>
        <v>0</v>
      </c>
      <c r="U13" s="577">
        <f t="shared" si="6"/>
        <v>0</v>
      </c>
      <c r="V13" s="577">
        <f t="shared" si="6"/>
        <v>0.5366695427</v>
      </c>
      <c r="W13" s="577">
        <f t="shared" si="6"/>
        <v>0.8645383952</v>
      </c>
      <c r="X13" s="577">
        <f t="shared" si="6"/>
        <v>0.6246764452</v>
      </c>
      <c r="Y13" s="577">
        <f t="shared" si="6"/>
        <v>0.5081967213</v>
      </c>
      <c r="Z13" s="577">
        <f t="shared" si="6"/>
        <v>0.4900776531</v>
      </c>
      <c r="AA13" s="577">
        <f t="shared" si="6"/>
        <v>0.0008628127696</v>
      </c>
      <c r="AB13" s="577">
        <f t="shared" si="6"/>
        <v>0.4141501294</v>
      </c>
      <c r="AC13" s="577">
        <f t="shared" si="6"/>
        <v>0.02588438309</v>
      </c>
    </row>
    <row r="14">
      <c r="A14" s="573" t="s">
        <v>3824</v>
      </c>
      <c r="B14" s="574" t="s">
        <v>3820</v>
      </c>
      <c r="C14" s="578">
        <f t="shared" ref="C14:AA14" si="7">C11/C10</f>
        <v>0.9663212435</v>
      </c>
      <c r="D14" s="578">
        <f t="shared" si="7"/>
        <v>0.9680759275</v>
      </c>
      <c r="E14" s="578">
        <f t="shared" si="7"/>
        <v>0.7799827437</v>
      </c>
      <c r="F14" s="578">
        <f t="shared" si="7"/>
        <v>0.8490077653</v>
      </c>
      <c r="G14" s="578">
        <f t="shared" si="7"/>
        <v>0.7256255393</v>
      </c>
      <c r="H14" s="578">
        <f t="shared" si="7"/>
        <v>0.530224525</v>
      </c>
      <c r="I14" s="578">
        <f t="shared" si="7"/>
        <v>0.5777584709</v>
      </c>
      <c r="J14" s="578">
        <f t="shared" si="7"/>
        <v>0.8360655738</v>
      </c>
      <c r="K14" s="578">
        <f t="shared" si="7"/>
        <v>0.8075927524</v>
      </c>
      <c r="L14" s="578">
        <f t="shared" si="7"/>
        <v>0.734253667</v>
      </c>
      <c r="M14" s="578">
        <f t="shared" si="7"/>
        <v>0.9846596357</v>
      </c>
      <c r="N14" s="578">
        <f t="shared" si="7"/>
        <v>0.9902152642</v>
      </c>
      <c r="O14" s="578">
        <f t="shared" si="7"/>
        <v>0.8028301887</v>
      </c>
      <c r="P14" s="578">
        <f t="shared" si="7"/>
        <v>0.9448818898</v>
      </c>
      <c r="Q14" s="578">
        <f t="shared" si="7"/>
        <v>0.7295597484</v>
      </c>
      <c r="R14" s="578">
        <f t="shared" si="7"/>
        <v>0.9702209414</v>
      </c>
      <c r="S14" s="578" t="str">
        <f t="shared" si="7"/>
        <v>#DIV/0!</v>
      </c>
      <c r="T14" s="578">
        <f t="shared" si="7"/>
        <v>0</v>
      </c>
      <c r="U14" s="578">
        <f t="shared" si="7"/>
        <v>0</v>
      </c>
      <c r="V14" s="578">
        <f t="shared" si="7"/>
        <v>0.599807136</v>
      </c>
      <c r="W14" s="578">
        <f t="shared" si="7"/>
        <v>0.8682842288</v>
      </c>
      <c r="X14" s="578">
        <f t="shared" si="7"/>
        <v>0.6257562662</v>
      </c>
      <c r="Y14" s="578">
        <f t="shared" si="7"/>
        <v>0.6625421822</v>
      </c>
      <c r="Z14" s="578">
        <f t="shared" si="7"/>
        <v>0.4917748918</v>
      </c>
      <c r="AA14" s="578">
        <f t="shared" si="7"/>
        <v>1</v>
      </c>
      <c r="AB14" s="574" t="s">
        <v>3820</v>
      </c>
      <c r="AC14" s="574" t="s">
        <v>3820</v>
      </c>
    </row>
    <row r="15">
      <c r="A15" s="478"/>
      <c r="B15" s="7"/>
      <c r="C15" s="579"/>
      <c r="D15" s="579"/>
      <c r="E15" s="579"/>
      <c r="F15" s="579"/>
      <c r="G15" s="579"/>
      <c r="H15" s="579"/>
      <c r="I15" s="579"/>
      <c r="J15" s="579"/>
      <c r="K15" s="579"/>
      <c r="L15" s="579"/>
      <c r="M15" s="579"/>
      <c r="N15" s="579"/>
      <c r="O15" s="579"/>
      <c r="P15" s="579"/>
      <c r="Q15" s="579"/>
      <c r="R15" s="579"/>
      <c r="S15" s="579"/>
      <c r="T15" s="579"/>
      <c r="U15" s="579"/>
      <c r="V15" s="579"/>
      <c r="W15" s="579"/>
      <c r="X15" s="579"/>
      <c r="Y15" s="579"/>
      <c r="Z15" s="579"/>
      <c r="AA15" s="579"/>
      <c r="AB15" s="579"/>
      <c r="AC15" s="579"/>
    </row>
    <row r="16">
      <c r="A16" s="478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</row>
    <row r="1001">
      <c r="B1001" s="580"/>
      <c r="C1001" s="580"/>
      <c r="D1001" s="580"/>
      <c r="E1001" s="580"/>
      <c r="F1001" s="580"/>
      <c r="G1001" s="580"/>
      <c r="H1001" s="580"/>
      <c r="I1001" s="580"/>
      <c r="J1001" s="580"/>
      <c r="K1001" s="580"/>
      <c r="L1001" s="580"/>
      <c r="M1001" s="580"/>
      <c r="N1001" s="580"/>
      <c r="O1001" s="580"/>
      <c r="P1001" s="580"/>
      <c r="Q1001" s="580"/>
      <c r="R1001" s="580"/>
      <c r="S1001" s="580"/>
      <c r="T1001" s="580"/>
      <c r="U1001" s="580"/>
      <c r="V1001" s="580"/>
      <c r="W1001" s="580"/>
      <c r="X1001" s="580"/>
      <c r="Y1001" s="580"/>
      <c r="Z1001" s="580"/>
      <c r="AA1001" s="580"/>
      <c r="AB1001" s="580"/>
      <c r="AC1001" s="580"/>
    </row>
    <row r="1002">
      <c r="B1002" s="580"/>
      <c r="C1002" s="580"/>
      <c r="D1002" s="580"/>
      <c r="E1002" s="580"/>
      <c r="F1002" s="580"/>
      <c r="G1002" s="580"/>
      <c r="H1002" s="580"/>
      <c r="I1002" s="580"/>
      <c r="J1002" s="580"/>
      <c r="K1002" s="580"/>
      <c r="L1002" s="580"/>
      <c r="M1002" s="580"/>
      <c r="N1002" s="580"/>
      <c r="O1002" s="580"/>
      <c r="P1002" s="580"/>
      <c r="Q1002" s="580"/>
      <c r="R1002" s="580"/>
      <c r="S1002" s="580"/>
      <c r="T1002" s="580"/>
      <c r="U1002" s="580"/>
      <c r="V1002" s="580"/>
      <c r="W1002" s="580"/>
      <c r="X1002" s="580"/>
      <c r="Y1002" s="580"/>
      <c r="Z1002" s="580"/>
      <c r="AA1002" s="580"/>
      <c r="AB1002" s="580"/>
      <c r="AC1002" s="580"/>
    </row>
    <row r="1003">
      <c r="B1003" s="580"/>
      <c r="C1003" s="580"/>
      <c r="D1003" s="580"/>
      <c r="E1003" s="580"/>
      <c r="F1003" s="580"/>
      <c r="G1003" s="580"/>
      <c r="H1003" s="580"/>
      <c r="I1003" s="580"/>
      <c r="J1003" s="580"/>
      <c r="K1003" s="580"/>
      <c r="L1003" s="580"/>
      <c r="M1003" s="580"/>
      <c r="N1003" s="580"/>
      <c r="O1003" s="580"/>
      <c r="P1003" s="580"/>
      <c r="Q1003" s="580"/>
      <c r="R1003" s="580"/>
      <c r="S1003" s="580"/>
      <c r="T1003" s="580"/>
      <c r="U1003" s="580"/>
      <c r="V1003" s="580"/>
      <c r="W1003" s="580"/>
      <c r="X1003" s="580"/>
      <c r="Y1003" s="580"/>
      <c r="Z1003" s="580"/>
      <c r="AA1003" s="580"/>
      <c r="AB1003" s="580"/>
      <c r="AC1003" s="580"/>
    </row>
  </sheetData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</cols>
  <sheetData>
    <row r="1">
      <c r="A1" s="581" t="s">
        <v>3825</v>
      </c>
      <c r="B1" s="15">
        <v>55.0</v>
      </c>
    </row>
    <row r="2">
      <c r="A2" s="581" t="s">
        <v>3826</v>
      </c>
      <c r="B2" s="15">
        <v>72.0</v>
      </c>
      <c r="E2" s="582"/>
      <c r="F2" s="583"/>
    </row>
    <row r="3">
      <c r="A3" s="581" t="s">
        <v>3827</v>
      </c>
      <c r="B3" s="15">
        <v>60.0</v>
      </c>
      <c r="E3" s="582"/>
      <c r="F3" s="583"/>
    </row>
    <row r="4">
      <c r="A4" s="584" t="s">
        <v>3828</v>
      </c>
      <c r="B4" s="15">
        <v>66.0</v>
      </c>
      <c r="E4" s="582"/>
      <c r="F4" s="583"/>
    </row>
    <row r="5">
      <c r="A5" s="584" t="s">
        <v>3829</v>
      </c>
      <c r="B5" s="15">
        <v>64.0</v>
      </c>
      <c r="E5" s="582"/>
      <c r="F5" s="583"/>
    </row>
    <row r="6">
      <c r="A6" s="581" t="s">
        <v>3830</v>
      </c>
      <c r="B6" s="15">
        <v>61.0</v>
      </c>
      <c r="E6" s="582"/>
      <c r="F6" s="583"/>
    </row>
    <row r="7">
      <c r="A7" s="584" t="s">
        <v>3831</v>
      </c>
      <c r="B7" s="15">
        <v>62.0</v>
      </c>
      <c r="E7" s="582"/>
      <c r="F7" s="583"/>
    </row>
    <row r="8">
      <c r="A8" s="585" t="s">
        <v>3832</v>
      </c>
      <c r="B8" s="15">
        <v>63.0</v>
      </c>
      <c r="E8" s="582"/>
      <c r="F8" s="583"/>
    </row>
    <row r="9">
      <c r="A9" s="585" t="s">
        <v>3833</v>
      </c>
      <c r="B9" s="15">
        <v>61.0</v>
      </c>
      <c r="E9" s="582"/>
      <c r="F9" s="583"/>
    </row>
    <row r="10">
      <c r="A10" s="585" t="s">
        <v>3834</v>
      </c>
      <c r="B10" s="15">
        <v>63.0</v>
      </c>
      <c r="E10" s="582"/>
      <c r="F10" s="583"/>
    </row>
    <row r="11">
      <c r="A11" s="585" t="s">
        <v>3835</v>
      </c>
      <c r="B11" s="15">
        <v>53.0</v>
      </c>
      <c r="E11" s="582"/>
      <c r="F11" s="583"/>
    </row>
    <row r="12">
      <c r="A12" s="585" t="s">
        <v>3836</v>
      </c>
      <c r="B12" s="15">
        <v>57.0</v>
      </c>
      <c r="E12" s="582"/>
      <c r="F12" s="583"/>
    </row>
    <row r="13">
      <c r="A13" s="585" t="s">
        <v>3837</v>
      </c>
      <c r="B13" s="15">
        <v>76.0</v>
      </c>
      <c r="E13" s="582"/>
      <c r="F13" s="583"/>
    </row>
    <row r="14">
      <c r="A14" s="585" t="s">
        <v>3838</v>
      </c>
      <c r="B14" s="15">
        <v>43.0</v>
      </c>
      <c r="E14" s="582"/>
      <c r="F14" s="583"/>
    </row>
    <row r="15">
      <c r="A15" s="585" t="s">
        <v>3839</v>
      </c>
      <c r="B15" s="15">
        <v>13.0</v>
      </c>
      <c r="E15" s="582"/>
      <c r="F15" s="583"/>
    </row>
    <row r="16">
      <c r="A16" s="585" t="s">
        <v>3840</v>
      </c>
      <c r="B16" s="15">
        <v>55.0</v>
      </c>
      <c r="E16" s="582"/>
      <c r="F16" s="583"/>
    </row>
    <row r="17">
      <c r="A17" s="585" t="s">
        <v>3841</v>
      </c>
      <c r="B17" s="15">
        <v>78.0</v>
      </c>
      <c r="E17" s="582"/>
      <c r="F17" s="583"/>
    </row>
    <row r="18">
      <c r="A18" s="585" t="s">
        <v>3842</v>
      </c>
      <c r="B18" s="15">
        <v>81.0</v>
      </c>
      <c r="E18" s="582"/>
      <c r="F18" s="583"/>
    </row>
    <row r="19">
      <c r="A19" s="585" t="s">
        <v>3843</v>
      </c>
      <c r="B19" s="15">
        <v>60.0</v>
      </c>
      <c r="E19" s="582"/>
      <c r="F19" s="583"/>
    </row>
    <row r="20">
      <c r="A20" s="585" t="s">
        <v>3844</v>
      </c>
      <c r="B20" s="15">
        <v>64.0</v>
      </c>
      <c r="E20" s="582"/>
      <c r="F20" s="583"/>
    </row>
    <row r="21">
      <c r="A21" s="585" t="s">
        <v>3845</v>
      </c>
      <c r="B21" s="15">
        <v>67.0</v>
      </c>
      <c r="E21" s="582"/>
      <c r="F21" s="583"/>
    </row>
    <row r="22">
      <c r="A22" s="585" t="s">
        <v>3846</v>
      </c>
      <c r="B22" s="15">
        <v>23.0</v>
      </c>
      <c r="E22" s="582"/>
      <c r="F22" s="583"/>
    </row>
    <row r="23">
      <c r="A23" s="585" t="s">
        <v>3847</v>
      </c>
      <c r="B23" s="15">
        <v>57.0</v>
      </c>
      <c r="E23" s="582"/>
      <c r="F23" s="583"/>
    </row>
    <row r="24">
      <c r="A24" s="585" t="s">
        <v>3848</v>
      </c>
      <c r="B24" s="15">
        <v>51.0</v>
      </c>
      <c r="E24" s="582"/>
      <c r="F24" s="583"/>
    </row>
    <row r="25">
      <c r="A25" s="585" t="s">
        <v>3849</v>
      </c>
      <c r="B25" s="15">
        <v>67.0</v>
      </c>
      <c r="E25" s="586"/>
      <c r="F25" s="587"/>
    </row>
    <row r="26">
      <c r="A26" s="585" t="s">
        <v>3850</v>
      </c>
      <c r="B26" s="15">
        <v>65.0</v>
      </c>
      <c r="E26" s="586"/>
      <c r="F26" s="587"/>
    </row>
    <row r="27">
      <c r="A27" s="585" t="s">
        <v>3851</v>
      </c>
      <c r="B27" s="15">
        <v>56.0</v>
      </c>
      <c r="E27" s="586"/>
      <c r="F27" s="587"/>
    </row>
    <row r="28">
      <c r="A28" s="585" t="s">
        <v>3852</v>
      </c>
      <c r="B28" s="15">
        <v>65.0</v>
      </c>
      <c r="E28" s="586"/>
      <c r="F28" s="587"/>
    </row>
    <row r="29">
      <c r="A29" s="585" t="s">
        <v>3853</v>
      </c>
      <c r="B29" s="15">
        <v>60.0</v>
      </c>
      <c r="E29" s="586"/>
      <c r="F29" s="587"/>
    </row>
    <row r="30">
      <c r="A30" s="585" t="s">
        <v>3854</v>
      </c>
      <c r="B30" s="15">
        <v>65.0</v>
      </c>
      <c r="E30" s="586"/>
      <c r="F30" s="587"/>
    </row>
    <row r="31">
      <c r="A31" s="585" t="s">
        <v>3855</v>
      </c>
      <c r="B31" s="15">
        <v>60.0</v>
      </c>
      <c r="E31" s="586"/>
      <c r="F31" s="587"/>
    </row>
    <row r="32">
      <c r="A32" s="585" t="s">
        <v>3856</v>
      </c>
      <c r="B32" s="15">
        <v>68.0</v>
      </c>
      <c r="E32" s="586"/>
      <c r="F32" s="587"/>
    </row>
    <row r="33">
      <c r="A33" s="585" t="s">
        <v>3857</v>
      </c>
      <c r="B33" s="15">
        <v>64.0</v>
      </c>
      <c r="E33" s="586"/>
      <c r="F33" s="587"/>
    </row>
    <row r="34">
      <c r="A34" s="585" t="s">
        <v>3858</v>
      </c>
      <c r="B34" s="15">
        <v>52.0</v>
      </c>
      <c r="E34" s="586"/>
      <c r="F34" s="587"/>
    </row>
    <row r="35">
      <c r="A35" s="585" t="s">
        <v>3859</v>
      </c>
      <c r="B35" s="15">
        <v>50.0</v>
      </c>
      <c r="E35" s="586"/>
      <c r="F35" s="587"/>
    </row>
    <row r="36">
      <c r="A36" s="585" t="s">
        <v>3860</v>
      </c>
      <c r="B36" s="15">
        <v>74.0</v>
      </c>
      <c r="E36" s="586"/>
      <c r="F36" s="587"/>
    </row>
    <row r="37">
      <c r="A37" s="585" t="s">
        <v>3861</v>
      </c>
      <c r="B37" s="15">
        <v>63.0</v>
      </c>
      <c r="E37" s="586"/>
      <c r="F37" s="587"/>
    </row>
    <row r="38">
      <c r="A38" s="585" t="s">
        <v>3862</v>
      </c>
      <c r="B38" s="15">
        <v>58.0</v>
      </c>
      <c r="E38" s="586"/>
      <c r="F38" s="587"/>
    </row>
    <row r="39">
      <c r="A39" s="585" t="s">
        <v>3863</v>
      </c>
      <c r="B39" s="15">
        <v>59.0</v>
      </c>
      <c r="E39" s="586"/>
    </row>
    <row r="40">
      <c r="A40" s="585" t="s">
        <v>3864</v>
      </c>
      <c r="B40" s="15">
        <v>66.0</v>
      </c>
      <c r="E40" s="586"/>
    </row>
    <row r="41">
      <c r="A41" s="585" t="s">
        <v>3865</v>
      </c>
      <c r="B41" s="15">
        <v>49.0</v>
      </c>
      <c r="E41" s="586"/>
    </row>
    <row r="42">
      <c r="A42" s="585" t="s">
        <v>3866</v>
      </c>
      <c r="B42" s="15">
        <v>24.0</v>
      </c>
      <c r="E42" s="586"/>
    </row>
    <row r="43">
      <c r="A43" s="585" t="s">
        <v>3867</v>
      </c>
      <c r="B43" s="15">
        <v>23.0</v>
      </c>
      <c r="E43" s="586"/>
    </row>
    <row r="44">
      <c r="A44" s="585" t="s">
        <v>3868</v>
      </c>
      <c r="B44" s="15">
        <v>62.0</v>
      </c>
      <c r="E44" s="586"/>
    </row>
    <row r="45">
      <c r="A45" s="585" t="s">
        <v>3869</v>
      </c>
      <c r="B45" s="15">
        <v>44.0</v>
      </c>
      <c r="E45" s="586"/>
    </row>
    <row r="46">
      <c r="A46" s="585" t="s">
        <v>3870</v>
      </c>
      <c r="B46" s="15">
        <v>50.0</v>
      </c>
      <c r="E46" s="586"/>
    </row>
    <row r="47">
      <c r="A47" s="585" t="s">
        <v>3871</v>
      </c>
      <c r="B47" s="15">
        <v>71.0</v>
      </c>
      <c r="E47" s="586"/>
    </row>
    <row r="48">
      <c r="A48" s="585" t="s">
        <v>3872</v>
      </c>
      <c r="B48" s="15">
        <v>52.0</v>
      </c>
      <c r="E48" s="586"/>
    </row>
    <row r="49">
      <c r="A49" s="585" t="s">
        <v>3873</v>
      </c>
      <c r="B49" s="15">
        <v>49.0</v>
      </c>
      <c r="E49" s="586"/>
    </row>
    <row r="50">
      <c r="A50" s="585" t="s">
        <v>3874</v>
      </c>
      <c r="B50" s="15">
        <v>41.0</v>
      </c>
      <c r="E50" s="586"/>
    </row>
    <row r="51">
      <c r="A51" s="585" t="s">
        <v>3875</v>
      </c>
      <c r="B51" s="15">
        <v>41.0</v>
      </c>
      <c r="E51" s="586"/>
    </row>
    <row r="52">
      <c r="A52" s="585" t="s">
        <v>3876</v>
      </c>
      <c r="B52" s="15">
        <v>41.0</v>
      </c>
      <c r="E52" s="586"/>
    </row>
    <row r="53">
      <c r="A53" s="585" t="s">
        <v>3877</v>
      </c>
      <c r="B53" s="15">
        <v>59.0</v>
      </c>
      <c r="E53" s="586"/>
    </row>
    <row r="54">
      <c r="A54" s="585" t="s">
        <v>3878</v>
      </c>
      <c r="B54" s="15">
        <v>43.0</v>
      </c>
      <c r="E54" s="586"/>
    </row>
    <row r="55">
      <c r="A55" s="585" t="s">
        <v>3879</v>
      </c>
      <c r="B55" s="15">
        <v>63.0</v>
      </c>
      <c r="E55" s="586"/>
    </row>
    <row r="56">
      <c r="A56" s="585" t="s">
        <v>3880</v>
      </c>
      <c r="B56" s="15">
        <v>58.0</v>
      </c>
      <c r="E56" s="586"/>
    </row>
    <row r="57">
      <c r="A57" s="585" t="s">
        <v>3881</v>
      </c>
      <c r="B57" s="15">
        <v>46.0</v>
      </c>
      <c r="E57" s="586"/>
    </row>
    <row r="58">
      <c r="A58" s="585" t="s">
        <v>3882</v>
      </c>
      <c r="B58" s="15">
        <v>55.0</v>
      </c>
      <c r="E58" s="586"/>
    </row>
    <row r="59">
      <c r="A59" s="585" t="s">
        <v>3883</v>
      </c>
      <c r="B59" s="15">
        <v>58.0</v>
      </c>
      <c r="E59" s="586"/>
    </row>
    <row r="60">
      <c r="A60" s="585" t="s">
        <v>3884</v>
      </c>
      <c r="B60" s="15">
        <v>50.0</v>
      </c>
      <c r="E60" s="586"/>
    </row>
    <row r="61">
      <c r="A61" s="585" t="s">
        <v>3885</v>
      </c>
      <c r="B61" s="15">
        <v>55.0</v>
      </c>
      <c r="E61" s="586"/>
    </row>
    <row r="62">
      <c r="A62" s="585" t="s">
        <v>3886</v>
      </c>
      <c r="B62" s="15">
        <v>16.0</v>
      </c>
      <c r="E62" s="586"/>
    </row>
    <row r="63">
      <c r="A63" s="585" t="s">
        <v>3887</v>
      </c>
      <c r="B63" s="15">
        <v>53.0</v>
      </c>
      <c r="E63" s="586"/>
    </row>
    <row r="64">
      <c r="A64" s="585" t="s">
        <v>3888</v>
      </c>
      <c r="B64" s="15">
        <v>40.0</v>
      </c>
      <c r="E64" s="586"/>
    </row>
    <row r="65">
      <c r="A65" s="585" t="s">
        <v>3889</v>
      </c>
      <c r="B65" s="15">
        <v>45.0</v>
      </c>
      <c r="E65" s="586"/>
    </row>
    <row r="66">
      <c r="A66" s="585" t="s">
        <v>3890</v>
      </c>
      <c r="B66" s="15">
        <v>50.0</v>
      </c>
      <c r="E66" s="586"/>
    </row>
    <row r="67">
      <c r="A67" s="585" t="s">
        <v>3891</v>
      </c>
      <c r="B67" s="15">
        <v>65.0</v>
      </c>
      <c r="E67" s="586"/>
    </row>
    <row r="68">
      <c r="A68" s="585" t="s">
        <v>3892</v>
      </c>
      <c r="B68" s="15">
        <v>47.0</v>
      </c>
      <c r="E68" s="586"/>
    </row>
    <row r="69">
      <c r="A69" s="585" t="s">
        <v>3893</v>
      </c>
      <c r="B69" s="15">
        <v>60.0</v>
      </c>
      <c r="E69" s="586"/>
    </row>
    <row r="70">
      <c r="A70" s="585" t="s">
        <v>3894</v>
      </c>
      <c r="B70" s="15">
        <v>44.0</v>
      </c>
      <c r="E70" s="586"/>
    </row>
    <row r="71">
      <c r="A71" s="585" t="s">
        <v>3895</v>
      </c>
      <c r="B71" s="15">
        <v>61.0</v>
      </c>
      <c r="E71" s="586"/>
    </row>
    <row r="72">
      <c r="A72" s="585" t="s">
        <v>3896</v>
      </c>
      <c r="B72" s="15">
        <v>16.0</v>
      </c>
      <c r="E72" s="586"/>
    </row>
    <row r="73">
      <c r="A73" s="585" t="s">
        <v>3897</v>
      </c>
      <c r="B73" s="15">
        <v>57.0</v>
      </c>
      <c r="E73" s="586"/>
    </row>
    <row r="74">
      <c r="A74" s="585" t="s">
        <v>3898</v>
      </c>
      <c r="B74" s="15">
        <v>54.0</v>
      </c>
      <c r="E74" s="586"/>
    </row>
    <row r="75">
      <c r="A75" s="585" t="s">
        <v>3899</v>
      </c>
      <c r="B75" s="15">
        <v>54.0</v>
      </c>
      <c r="E75" s="586"/>
    </row>
    <row r="76">
      <c r="A76" s="585" t="s">
        <v>3900</v>
      </c>
      <c r="B76" s="15">
        <v>52.0</v>
      </c>
      <c r="E76" s="586"/>
    </row>
    <row r="77">
      <c r="A77" s="585" t="s">
        <v>3901</v>
      </c>
      <c r="B77" s="15">
        <v>50.0</v>
      </c>
      <c r="E77" s="586"/>
    </row>
    <row r="78">
      <c r="A78" s="585" t="s">
        <v>3902</v>
      </c>
      <c r="B78" s="15">
        <v>49.0</v>
      </c>
      <c r="E78" s="586"/>
    </row>
    <row r="79">
      <c r="A79" s="585" t="s">
        <v>3903</v>
      </c>
      <c r="B79" s="15">
        <v>30.0</v>
      </c>
      <c r="E79" s="586"/>
    </row>
    <row r="80">
      <c r="A80" s="585" t="s">
        <v>3904</v>
      </c>
      <c r="B80" s="15">
        <v>59.0</v>
      </c>
      <c r="E80" s="586"/>
    </row>
    <row r="81">
      <c r="A81" s="585" t="s">
        <v>3905</v>
      </c>
      <c r="B81" s="15">
        <v>50.0</v>
      </c>
      <c r="E81" s="586"/>
    </row>
    <row r="82">
      <c r="A82" s="585" t="s">
        <v>3906</v>
      </c>
      <c r="B82" s="15">
        <v>52.0</v>
      </c>
      <c r="E82" s="586"/>
    </row>
    <row r="83">
      <c r="A83" s="585" t="s">
        <v>3907</v>
      </c>
      <c r="B83" s="15">
        <v>57.0</v>
      </c>
      <c r="E83" s="586"/>
    </row>
    <row r="84">
      <c r="A84" s="585" t="s">
        <v>3908</v>
      </c>
      <c r="B84" s="15">
        <v>40.0</v>
      </c>
      <c r="E84" s="586"/>
    </row>
    <row r="85">
      <c r="A85" s="585" t="s">
        <v>3909</v>
      </c>
      <c r="B85" s="15">
        <v>45.0</v>
      </c>
      <c r="E85" s="586"/>
    </row>
    <row r="86">
      <c r="A86" s="585" t="s">
        <v>3910</v>
      </c>
      <c r="B86" s="15">
        <v>56.0</v>
      </c>
      <c r="E86" s="586"/>
    </row>
    <row r="87">
      <c r="A87" s="585" t="s">
        <v>3911</v>
      </c>
      <c r="B87" s="15">
        <v>25.0</v>
      </c>
      <c r="E87" s="586"/>
    </row>
    <row r="88">
      <c r="A88" s="585" t="s">
        <v>3912</v>
      </c>
      <c r="B88" s="15">
        <v>22.0</v>
      </c>
      <c r="E88" s="586"/>
    </row>
    <row r="89">
      <c r="A89" s="585" t="s">
        <v>3913</v>
      </c>
      <c r="B89" s="15">
        <v>57.0</v>
      </c>
      <c r="E89" s="586"/>
    </row>
    <row r="90">
      <c r="A90" s="585" t="s">
        <v>3914</v>
      </c>
      <c r="B90" s="15">
        <v>69.0</v>
      </c>
      <c r="E90" s="586"/>
    </row>
    <row r="91">
      <c r="A91" s="585" t="s">
        <v>3915</v>
      </c>
      <c r="B91" s="15">
        <v>55.0</v>
      </c>
      <c r="E91" s="586"/>
    </row>
    <row r="92">
      <c r="A92" s="585" t="s">
        <v>3916</v>
      </c>
      <c r="B92" s="15">
        <v>47.0</v>
      </c>
      <c r="E92" s="586"/>
    </row>
    <row r="93">
      <c r="A93" s="585" t="s">
        <v>3917</v>
      </c>
      <c r="B93" s="15">
        <v>50.0</v>
      </c>
      <c r="E93" s="586"/>
    </row>
    <row r="94">
      <c r="A94" s="585" t="s">
        <v>3918</v>
      </c>
      <c r="B94" s="15">
        <v>20.0</v>
      </c>
      <c r="E94" s="586"/>
    </row>
    <row r="95">
      <c r="A95" s="585" t="s">
        <v>3919</v>
      </c>
      <c r="B95" s="15">
        <v>37.0</v>
      </c>
      <c r="E95" s="586"/>
    </row>
    <row r="96">
      <c r="A96" s="585" t="s">
        <v>3920</v>
      </c>
      <c r="B96" s="15">
        <v>40.0</v>
      </c>
      <c r="E96" s="586"/>
    </row>
    <row r="97">
      <c r="A97" s="585" t="s">
        <v>3921</v>
      </c>
      <c r="B97" s="15">
        <v>64.0</v>
      </c>
      <c r="E97" s="586"/>
    </row>
    <row r="98">
      <c r="A98" s="585" t="s">
        <v>3922</v>
      </c>
      <c r="B98" s="15">
        <v>69.0</v>
      </c>
      <c r="E98" s="588"/>
    </row>
    <row r="99">
      <c r="A99" s="585" t="s">
        <v>3923</v>
      </c>
      <c r="B99" s="15">
        <v>53.0</v>
      </c>
      <c r="E99" s="586"/>
    </row>
    <row r="100">
      <c r="A100" s="585" t="s">
        <v>3924</v>
      </c>
      <c r="B100" s="15">
        <v>57.0</v>
      </c>
      <c r="E100" s="588"/>
    </row>
    <row r="101">
      <c r="A101" s="585" t="s">
        <v>3925</v>
      </c>
      <c r="B101" s="15">
        <v>74.0</v>
      </c>
      <c r="E101" s="586"/>
    </row>
    <row r="102">
      <c r="A102" s="585" t="s">
        <v>3926</v>
      </c>
      <c r="B102" s="15">
        <v>44.0</v>
      </c>
      <c r="E102" s="586"/>
    </row>
    <row r="103">
      <c r="A103" s="585" t="s">
        <v>3927</v>
      </c>
      <c r="B103" s="15">
        <v>12.0</v>
      </c>
      <c r="E103" s="586"/>
    </row>
    <row r="104">
      <c r="A104" s="585" t="s">
        <v>3928</v>
      </c>
      <c r="B104" s="15">
        <v>71.0</v>
      </c>
      <c r="E104" s="586"/>
    </row>
    <row r="105">
      <c r="A105" s="585" t="s">
        <v>3929</v>
      </c>
      <c r="B105" s="15">
        <v>17.0</v>
      </c>
      <c r="E105" s="586"/>
    </row>
    <row r="106">
      <c r="A106" s="585" t="s">
        <v>3930</v>
      </c>
      <c r="B106" s="15">
        <v>64.0</v>
      </c>
      <c r="E106" s="586"/>
    </row>
    <row r="107">
      <c r="A107" s="585" t="s">
        <v>3931</v>
      </c>
      <c r="B107" s="15">
        <v>71.0</v>
      </c>
      <c r="E107" s="586"/>
    </row>
    <row r="108">
      <c r="A108" s="585" t="s">
        <v>3932</v>
      </c>
      <c r="B108" s="15">
        <v>49.0</v>
      </c>
      <c r="E108" s="586"/>
    </row>
    <row r="109">
      <c r="A109" s="585" t="s">
        <v>3933</v>
      </c>
      <c r="B109" s="15">
        <v>52.0</v>
      </c>
      <c r="E109" s="586"/>
    </row>
    <row r="110">
      <c r="A110" s="585" t="s">
        <v>3934</v>
      </c>
      <c r="B110" s="15">
        <v>21.0</v>
      </c>
      <c r="E110" s="586"/>
    </row>
    <row r="111">
      <c r="A111" s="585" t="s">
        <v>3935</v>
      </c>
      <c r="B111" s="15">
        <v>43.0</v>
      </c>
      <c r="E111" s="586"/>
    </row>
    <row r="112">
      <c r="A112" s="585" t="s">
        <v>3936</v>
      </c>
      <c r="B112" s="15">
        <v>32.0</v>
      </c>
      <c r="E112" s="586"/>
    </row>
    <row r="113">
      <c r="A113" s="585" t="s">
        <v>3937</v>
      </c>
      <c r="B113" s="15">
        <v>51.0</v>
      </c>
      <c r="E113" s="586"/>
    </row>
    <row r="114">
      <c r="A114" s="585" t="s">
        <v>3938</v>
      </c>
      <c r="B114" s="15">
        <v>62.0</v>
      </c>
      <c r="E114" s="586"/>
    </row>
    <row r="115">
      <c r="A115" s="585" t="s">
        <v>3939</v>
      </c>
      <c r="B115" s="15">
        <v>39.0</v>
      </c>
      <c r="E115" s="588"/>
    </row>
    <row r="116">
      <c r="A116" s="585" t="s">
        <v>3940</v>
      </c>
      <c r="B116" s="15">
        <v>48.0</v>
      </c>
      <c r="E116" s="586"/>
    </row>
    <row r="117">
      <c r="A117" s="585" t="s">
        <v>3941</v>
      </c>
      <c r="B117" s="15">
        <v>56.0</v>
      </c>
      <c r="E117" s="586"/>
    </row>
    <row r="118">
      <c r="A118" s="585" t="s">
        <v>3942</v>
      </c>
      <c r="B118" s="15">
        <v>56.0</v>
      </c>
      <c r="E118" s="586"/>
    </row>
    <row r="119">
      <c r="A119" s="585" t="s">
        <v>3943</v>
      </c>
      <c r="B119" s="15">
        <v>58.0</v>
      </c>
      <c r="E119" s="586"/>
    </row>
    <row r="120">
      <c r="A120" s="585" t="s">
        <v>3944</v>
      </c>
      <c r="B120" s="15">
        <v>24.0</v>
      </c>
      <c r="E120" s="586"/>
    </row>
    <row r="121">
      <c r="A121" s="585" t="s">
        <v>3945</v>
      </c>
      <c r="B121" s="15">
        <v>12.0</v>
      </c>
      <c r="E121" s="586"/>
    </row>
    <row r="122">
      <c r="A122" s="585" t="s">
        <v>3946</v>
      </c>
      <c r="B122" s="15">
        <v>54.0</v>
      </c>
      <c r="E122" s="586"/>
    </row>
    <row r="123">
      <c r="A123" s="585" t="s">
        <v>3947</v>
      </c>
      <c r="B123" s="15">
        <v>51.0</v>
      </c>
      <c r="E123" s="586"/>
    </row>
    <row r="124">
      <c r="A124" s="585" t="s">
        <v>3948</v>
      </c>
      <c r="B124" s="15">
        <v>66.0</v>
      </c>
      <c r="E124" s="586"/>
    </row>
    <row r="125">
      <c r="A125" s="585" t="s">
        <v>3949</v>
      </c>
      <c r="B125" s="15">
        <v>57.0</v>
      </c>
      <c r="E125" s="586"/>
    </row>
    <row r="126">
      <c r="A126" s="585" t="s">
        <v>3950</v>
      </c>
      <c r="B126" s="15">
        <v>75.0</v>
      </c>
      <c r="E126" s="586"/>
    </row>
    <row r="127">
      <c r="A127" s="585" t="s">
        <v>3951</v>
      </c>
      <c r="B127" s="15">
        <v>55.0</v>
      </c>
      <c r="E127" s="586"/>
    </row>
    <row r="128">
      <c r="A128" s="585" t="s">
        <v>3952</v>
      </c>
      <c r="B128" s="15">
        <v>61.0</v>
      </c>
      <c r="E128" s="586"/>
    </row>
    <row r="129">
      <c r="A129" s="585" t="s">
        <v>3953</v>
      </c>
      <c r="B129" s="15">
        <v>38.0</v>
      </c>
      <c r="E129" s="586"/>
    </row>
    <row r="130">
      <c r="A130" s="585" t="s">
        <v>3954</v>
      </c>
      <c r="B130" s="15">
        <v>31.0</v>
      </c>
      <c r="E130" s="586"/>
    </row>
    <row r="131">
      <c r="A131" s="585" t="s">
        <v>3955</v>
      </c>
      <c r="B131" s="15">
        <v>60.0</v>
      </c>
      <c r="E131" s="586"/>
    </row>
    <row r="132">
      <c r="A132" s="585" t="s">
        <v>3956</v>
      </c>
      <c r="B132" s="15">
        <v>43.0</v>
      </c>
      <c r="E132" s="586"/>
    </row>
    <row r="133">
      <c r="A133" s="585" t="s">
        <v>3957</v>
      </c>
      <c r="B133" s="15">
        <v>33.0</v>
      </c>
      <c r="E133" s="586"/>
    </row>
    <row r="134">
      <c r="A134" s="585" t="s">
        <v>3958</v>
      </c>
      <c r="B134" s="15">
        <v>25.0</v>
      </c>
      <c r="E134" s="586"/>
    </row>
    <row r="135">
      <c r="A135" s="585" t="s">
        <v>3959</v>
      </c>
      <c r="B135" s="15">
        <v>27.0</v>
      </c>
      <c r="E135" s="582"/>
    </row>
    <row r="136">
      <c r="A136" s="585" t="s">
        <v>3960</v>
      </c>
      <c r="B136" s="15">
        <v>47.0</v>
      </c>
      <c r="E136" s="586"/>
    </row>
    <row r="137">
      <c r="A137" s="585" t="s">
        <v>3961</v>
      </c>
      <c r="B137" s="15">
        <v>50.0</v>
      </c>
      <c r="E137" s="586"/>
    </row>
    <row r="138">
      <c r="A138" s="585" t="s">
        <v>3962</v>
      </c>
      <c r="B138" s="15">
        <v>41.0</v>
      </c>
      <c r="E138" s="587"/>
    </row>
    <row r="139">
      <c r="A139" s="585" t="s">
        <v>3963</v>
      </c>
      <c r="B139" s="15">
        <v>55.0</v>
      </c>
      <c r="E139" s="587"/>
    </row>
    <row r="140">
      <c r="A140" s="585" t="s">
        <v>3964</v>
      </c>
      <c r="B140" s="15">
        <v>51.0</v>
      </c>
      <c r="E140" s="587"/>
    </row>
    <row r="141">
      <c r="A141" s="585" t="s">
        <v>3965</v>
      </c>
      <c r="B141" s="15">
        <v>44.0</v>
      </c>
      <c r="E141" s="587"/>
    </row>
    <row r="142">
      <c r="A142" s="585" t="s">
        <v>3966</v>
      </c>
      <c r="B142" s="15">
        <v>48.0</v>
      </c>
      <c r="E142" s="587"/>
    </row>
    <row r="143">
      <c r="A143" s="585" t="s">
        <v>3967</v>
      </c>
      <c r="B143" s="15">
        <v>56.0</v>
      </c>
      <c r="E143" s="587"/>
    </row>
    <row r="144">
      <c r="A144" s="585" t="s">
        <v>3968</v>
      </c>
      <c r="B144" s="15">
        <v>43.0</v>
      </c>
      <c r="E144" s="587"/>
    </row>
    <row r="145">
      <c r="A145" s="585" t="s">
        <v>3969</v>
      </c>
      <c r="B145" s="15">
        <v>67.0</v>
      </c>
      <c r="E145" s="587"/>
    </row>
    <row r="146">
      <c r="A146" s="585" t="s">
        <v>3970</v>
      </c>
      <c r="B146" s="15">
        <v>59.0</v>
      </c>
      <c r="E146" s="587"/>
    </row>
    <row r="147">
      <c r="A147" s="585" t="s">
        <v>3971</v>
      </c>
      <c r="B147" s="15">
        <v>71.0</v>
      </c>
      <c r="E147" s="587"/>
    </row>
    <row r="148">
      <c r="A148" s="585" t="s">
        <v>3972</v>
      </c>
      <c r="B148" s="15">
        <v>30.0</v>
      </c>
    </row>
    <row r="149">
      <c r="A149" s="585" t="s">
        <v>3973</v>
      </c>
      <c r="B149" s="15">
        <v>12.0</v>
      </c>
    </row>
    <row r="150">
      <c r="A150" s="585" t="s">
        <v>3974</v>
      </c>
      <c r="B150" s="15">
        <v>81.0</v>
      </c>
    </row>
    <row r="151">
      <c r="A151" s="585" t="s">
        <v>3975</v>
      </c>
      <c r="B151" s="15">
        <v>55.0</v>
      </c>
    </row>
    <row r="152">
      <c r="A152" s="585" t="s">
        <v>3976</v>
      </c>
      <c r="B152" s="15">
        <v>44.0</v>
      </c>
    </row>
    <row r="153">
      <c r="A153" s="585" t="s">
        <v>3977</v>
      </c>
      <c r="B153" s="15">
        <v>49.0</v>
      </c>
    </row>
    <row r="154">
      <c r="A154" s="585" t="s">
        <v>3978</v>
      </c>
      <c r="B154" s="15">
        <v>48.0</v>
      </c>
    </row>
    <row r="155">
      <c r="A155" s="585" t="s">
        <v>3979</v>
      </c>
      <c r="B155" s="15">
        <v>56.0</v>
      </c>
    </row>
    <row r="156">
      <c r="A156" s="585" t="s">
        <v>3980</v>
      </c>
      <c r="B156" s="15">
        <v>56.0</v>
      </c>
    </row>
    <row r="157">
      <c r="A157" s="585" t="s">
        <v>3981</v>
      </c>
      <c r="B157" s="15">
        <v>56.0</v>
      </c>
    </row>
    <row r="158">
      <c r="A158" s="585" t="s">
        <v>3982</v>
      </c>
      <c r="B158" s="15">
        <v>50.0</v>
      </c>
    </row>
    <row r="159">
      <c r="A159" s="585" t="s">
        <v>3983</v>
      </c>
      <c r="B159" s="15">
        <v>63.0</v>
      </c>
    </row>
    <row r="160">
      <c r="A160" s="585" t="s">
        <v>3984</v>
      </c>
      <c r="B160" s="15">
        <v>60.0</v>
      </c>
    </row>
    <row r="161">
      <c r="A161" s="585" t="s">
        <v>3985</v>
      </c>
      <c r="B161" s="15">
        <v>69.0</v>
      </c>
    </row>
    <row r="162">
      <c r="A162" s="585" t="s">
        <v>3986</v>
      </c>
      <c r="B162" s="15">
        <v>52.0</v>
      </c>
    </row>
    <row r="163">
      <c r="A163" s="585" t="s">
        <v>3987</v>
      </c>
      <c r="B163" s="15">
        <v>59.0</v>
      </c>
    </row>
    <row r="164">
      <c r="A164" s="585" t="s">
        <v>3988</v>
      </c>
      <c r="B164" s="15">
        <v>38.0</v>
      </c>
    </row>
    <row r="165">
      <c r="A165" s="585" t="s">
        <v>3989</v>
      </c>
      <c r="B165" s="15">
        <v>57.0</v>
      </c>
    </row>
    <row r="166">
      <c r="A166" s="585" t="s">
        <v>3990</v>
      </c>
      <c r="B166" s="15">
        <v>62.0</v>
      </c>
    </row>
    <row r="167">
      <c r="A167" s="585" t="s">
        <v>3991</v>
      </c>
      <c r="B167" s="15">
        <v>49.0</v>
      </c>
    </row>
    <row r="168">
      <c r="A168" s="585" t="s">
        <v>3992</v>
      </c>
      <c r="B168" s="15">
        <v>48.0</v>
      </c>
    </row>
    <row r="169">
      <c r="A169" s="585" t="s">
        <v>3993</v>
      </c>
      <c r="B169" s="15">
        <v>10.0</v>
      </c>
    </row>
    <row r="170">
      <c r="A170" s="585" t="s">
        <v>3994</v>
      </c>
      <c r="B170" s="15">
        <v>23.0</v>
      </c>
    </row>
    <row r="171">
      <c r="A171" s="585" t="s">
        <v>3995</v>
      </c>
      <c r="B171" s="15">
        <v>29.0</v>
      </c>
    </row>
    <row r="172">
      <c r="A172" s="585" t="s">
        <v>3996</v>
      </c>
      <c r="B172" s="15">
        <v>25.0</v>
      </c>
    </row>
    <row r="173">
      <c r="A173" s="585" t="s">
        <v>3997</v>
      </c>
      <c r="B173" s="15">
        <v>53.0</v>
      </c>
    </row>
    <row r="174">
      <c r="A174" s="585" t="s">
        <v>3998</v>
      </c>
      <c r="B174" s="15">
        <v>46.0</v>
      </c>
    </row>
    <row r="175">
      <c r="A175" s="585" t="s">
        <v>3999</v>
      </c>
      <c r="B175" s="15">
        <v>18.0</v>
      </c>
    </row>
    <row r="176">
      <c r="A176" s="585" t="s">
        <v>4000</v>
      </c>
      <c r="B176" s="15">
        <v>19.0</v>
      </c>
    </row>
    <row r="177">
      <c r="A177" s="585" t="s">
        <v>4001</v>
      </c>
      <c r="B177" s="15">
        <v>49.0</v>
      </c>
    </row>
    <row r="178">
      <c r="A178" s="585" t="s">
        <v>4002</v>
      </c>
      <c r="B178" s="15">
        <v>39.0</v>
      </c>
    </row>
    <row r="179">
      <c r="A179" s="585" t="s">
        <v>4003</v>
      </c>
      <c r="B179" s="15">
        <v>17.0</v>
      </c>
    </row>
    <row r="180">
      <c r="A180" s="585" t="s">
        <v>4004</v>
      </c>
      <c r="B180" s="15">
        <v>49.0</v>
      </c>
    </row>
    <row r="181">
      <c r="A181" s="585" t="s">
        <v>4005</v>
      </c>
      <c r="B181" s="15">
        <v>46.0</v>
      </c>
    </row>
    <row r="182">
      <c r="A182" s="585" t="s">
        <v>4006</v>
      </c>
      <c r="B182" s="15">
        <v>39.0</v>
      </c>
    </row>
    <row r="183">
      <c r="A183" s="585" t="s">
        <v>4007</v>
      </c>
      <c r="B183" s="15">
        <v>56.0</v>
      </c>
    </row>
    <row r="184">
      <c r="A184" s="585" t="s">
        <v>4008</v>
      </c>
      <c r="B184" s="15">
        <v>45.0</v>
      </c>
    </row>
    <row r="185">
      <c r="A185" s="585" t="s">
        <v>4009</v>
      </c>
      <c r="B185" s="15">
        <v>60.0</v>
      </c>
    </row>
    <row r="186">
      <c r="A186" s="585" t="s">
        <v>4010</v>
      </c>
      <c r="B186" s="15">
        <v>33.0</v>
      </c>
    </row>
    <row r="187">
      <c r="A187" s="585" t="s">
        <v>4011</v>
      </c>
      <c r="B187" s="15">
        <v>68.0</v>
      </c>
    </row>
    <row r="188">
      <c r="A188" s="585" t="s">
        <v>4012</v>
      </c>
      <c r="B188" s="15">
        <v>16.0</v>
      </c>
    </row>
    <row r="189">
      <c r="A189" s="585" t="s">
        <v>4013</v>
      </c>
      <c r="B189" s="15">
        <v>51.0</v>
      </c>
    </row>
    <row r="190">
      <c r="A190" s="585" t="s">
        <v>4014</v>
      </c>
      <c r="B190" s="15">
        <v>19.0</v>
      </c>
    </row>
    <row r="191">
      <c r="A191" s="585" t="s">
        <v>3712</v>
      </c>
      <c r="B191" s="15">
        <v>54.0</v>
      </c>
    </row>
    <row r="192">
      <c r="A192" s="585" t="s">
        <v>4015</v>
      </c>
      <c r="B192" s="15">
        <v>72.0</v>
      </c>
    </row>
    <row r="193">
      <c r="A193" s="585" t="s">
        <v>4016</v>
      </c>
      <c r="B193" s="15">
        <v>50.0</v>
      </c>
    </row>
    <row r="194">
      <c r="A194" s="585" t="s">
        <v>4017</v>
      </c>
      <c r="B194" s="15">
        <v>21.0</v>
      </c>
    </row>
    <row r="195">
      <c r="A195" s="585" t="s">
        <v>4018</v>
      </c>
      <c r="B195" s="15">
        <v>49.0</v>
      </c>
    </row>
    <row r="196">
      <c r="A196" s="585" t="s">
        <v>4019</v>
      </c>
      <c r="B196" s="15">
        <v>64.0</v>
      </c>
    </row>
    <row r="197">
      <c r="A197" s="585" t="s">
        <v>4020</v>
      </c>
      <c r="B197" s="15">
        <v>22.0</v>
      </c>
    </row>
    <row r="198">
      <c r="A198" s="585" t="s">
        <v>4021</v>
      </c>
      <c r="B198" s="15">
        <v>52.0</v>
      </c>
    </row>
    <row r="199">
      <c r="A199" s="585" t="s">
        <v>4022</v>
      </c>
      <c r="B199" s="15">
        <v>57.0</v>
      </c>
    </row>
    <row r="200">
      <c r="A200" s="585" t="s">
        <v>4023</v>
      </c>
      <c r="B200" s="15">
        <v>17.0</v>
      </c>
    </row>
    <row r="201">
      <c r="A201" s="585" t="s">
        <v>4024</v>
      </c>
      <c r="B201" s="15">
        <v>55.0</v>
      </c>
    </row>
    <row r="202">
      <c r="A202" s="585" t="s">
        <v>4025</v>
      </c>
      <c r="B202" s="15">
        <v>29.0</v>
      </c>
    </row>
    <row r="203">
      <c r="A203" s="585" t="s">
        <v>4026</v>
      </c>
      <c r="B203" s="15">
        <v>14.0</v>
      </c>
    </row>
    <row r="204">
      <c r="A204" s="585" t="s">
        <v>4027</v>
      </c>
      <c r="B204" s="15">
        <v>36.0</v>
      </c>
    </row>
    <row r="205">
      <c r="A205" s="585" t="s">
        <v>4028</v>
      </c>
      <c r="B205" s="15">
        <v>56.0</v>
      </c>
    </row>
    <row r="206">
      <c r="A206" s="585" t="s">
        <v>4029</v>
      </c>
      <c r="B206" s="15">
        <v>53.0</v>
      </c>
    </row>
    <row r="207">
      <c r="A207" s="585" t="s">
        <v>4030</v>
      </c>
      <c r="B207" s="15">
        <v>48.0</v>
      </c>
    </row>
    <row r="208">
      <c r="A208" s="585" t="s">
        <v>4031</v>
      </c>
      <c r="B208" s="15">
        <v>60.0</v>
      </c>
    </row>
    <row r="209">
      <c r="A209" s="585" t="s">
        <v>4032</v>
      </c>
      <c r="B209" s="15">
        <v>65.0</v>
      </c>
    </row>
    <row r="210">
      <c r="A210" s="585" t="s">
        <v>4033</v>
      </c>
      <c r="B210" s="15">
        <v>58.0</v>
      </c>
    </row>
    <row r="211">
      <c r="A211" s="585" t="s">
        <v>4034</v>
      </c>
      <c r="B211" s="15">
        <v>45.0</v>
      </c>
    </row>
    <row r="212">
      <c r="A212" s="585" t="s">
        <v>4035</v>
      </c>
      <c r="B212" s="15">
        <v>52.0</v>
      </c>
    </row>
    <row r="213">
      <c r="A213" s="585" t="s">
        <v>4036</v>
      </c>
      <c r="B213" s="15">
        <v>55.0</v>
      </c>
    </row>
    <row r="214">
      <c r="A214" s="585" t="s">
        <v>4037</v>
      </c>
      <c r="B214" s="15">
        <v>48.0</v>
      </c>
    </row>
    <row r="215">
      <c r="A215" s="585" t="s">
        <v>4038</v>
      </c>
      <c r="B215" s="15">
        <v>18.0</v>
      </c>
    </row>
    <row r="216">
      <c r="A216" s="585" t="s">
        <v>4039</v>
      </c>
      <c r="B216" s="15">
        <v>17.0</v>
      </c>
    </row>
    <row r="217">
      <c r="A217" s="585" t="s">
        <v>4040</v>
      </c>
      <c r="B217" s="15">
        <v>61.0</v>
      </c>
    </row>
    <row r="218">
      <c r="A218" s="585" t="s">
        <v>4041</v>
      </c>
      <c r="B218" s="15">
        <v>61.0</v>
      </c>
    </row>
    <row r="219">
      <c r="A219" s="585" t="s">
        <v>4042</v>
      </c>
      <c r="B219" s="15">
        <v>59.0</v>
      </c>
    </row>
    <row r="220">
      <c r="A220" s="585" t="s">
        <v>4043</v>
      </c>
      <c r="B220" s="15">
        <v>58.0</v>
      </c>
    </row>
    <row r="221">
      <c r="A221" s="585" t="s">
        <v>4044</v>
      </c>
      <c r="B221" s="15">
        <v>79.0</v>
      </c>
    </row>
    <row r="222">
      <c r="A222" s="585" t="s">
        <v>4045</v>
      </c>
      <c r="B222" s="15">
        <v>44.0</v>
      </c>
    </row>
    <row r="223">
      <c r="A223" s="585" t="s">
        <v>4046</v>
      </c>
      <c r="B223" s="15">
        <v>69.0</v>
      </c>
    </row>
    <row r="224">
      <c r="A224" s="585" t="s">
        <v>4047</v>
      </c>
      <c r="B224" s="15">
        <v>21.0</v>
      </c>
    </row>
    <row r="225">
      <c r="A225" s="585" t="s">
        <v>4048</v>
      </c>
      <c r="B225" s="15">
        <v>43.0</v>
      </c>
    </row>
    <row r="226">
      <c r="A226" s="585" t="s">
        <v>4049</v>
      </c>
      <c r="B226" s="15">
        <v>47.0</v>
      </c>
    </row>
    <row r="227">
      <c r="A227" s="585" t="s">
        <v>4050</v>
      </c>
      <c r="B227" s="15">
        <v>18.0</v>
      </c>
    </row>
    <row r="228">
      <c r="A228" s="585" t="s">
        <v>4051</v>
      </c>
      <c r="B228" s="15">
        <v>42.0</v>
      </c>
    </row>
    <row r="229">
      <c r="A229" s="585" t="s">
        <v>4052</v>
      </c>
      <c r="B229" s="15">
        <v>50.0</v>
      </c>
    </row>
    <row r="230">
      <c r="A230" s="585" t="s">
        <v>4053</v>
      </c>
      <c r="B230" s="15">
        <v>50.0</v>
      </c>
    </row>
    <row r="231">
      <c r="A231" s="585" t="s">
        <v>4054</v>
      </c>
      <c r="B231" s="15">
        <v>56.0</v>
      </c>
    </row>
    <row r="232">
      <c r="A232" s="585" t="s">
        <v>4055</v>
      </c>
      <c r="B232" s="15">
        <v>46.0</v>
      </c>
    </row>
    <row r="233">
      <c r="A233" s="585" t="s">
        <v>4056</v>
      </c>
      <c r="B233" s="15">
        <v>22.0</v>
      </c>
    </row>
    <row r="234">
      <c r="A234" s="585" t="s">
        <v>4057</v>
      </c>
      <c r="B234" s="15">
        <v>21.0</v>
      </c>
    </row>
    <row r="235">
      <c r="A235" s="585" t="s">
        <v>4058</v>
      </c>
      <c r="B235" s="15">
        <v>71.0</v>
      </c>
    </row>
    <row r="236">
      <c r="A236" s="585" t="s">
        <v>4059</v>
      </c>
      <c r="B236" s="15">
        <v>66.0</v>
      </c>
    </row>
    <row r="237">
      <c r="A237" s="585" t="s">
        <v>4060</v>
      </c>
      <c r="B237" s="15">
        <v>66.0</v>
      </c>
    </row>
    <row r="238">
      <c r="A238" s="585" t="s">
        <v>4061</v>
      </c>
      <c r="B238" s="15">
        <v>66.0</v>
      </c>
    </row>
    <row r="239">
      <c r="A239" s="585" t="s">
        <v>4062</v>
      </c>
      <c r="B239" s="15">
        <v>44.0</v>
      </c>
    </row>
    <row r="240">
      <c r="A240" s="585" t="s">
        <v>4063</v>
      </c>
      <c r="B240" s="15">
        <v>39.0</v>
      </c>
    </row>
    <row r="241">
      <c r="A241" s="585" t="s">
        <v>4064</v>
      </c>
      <c r="B241" s="15">
        <v>74.0</v>
      </c>
    </row>
    <row r="242">
      <c r="A242" s="585" t="s">
        <v>4065</v>
      </c>
      <c r="B242" s="15">
        <v>57.0</v>
      </c>
    </row>
    <row r="243">
      <c r="A243" s="585" t="s">
        <v>4066</v>
      </c>
      <c r="B243" s="15">
        <v>40.0</v>
      </c>
    </row>
    <row r="244">
      <c r="A244" s="585" t="s">
        <v>4067</v>
      </c>
      <c r="B244" s="15">
        <v>76.0</v>
      </c>
    </row>
    <row r="245">
      <c r="A245" s="585" t="s">
        <v>4068</v>
      </c>
      <c r="B245" s="15">
        <v>31.0</v>
      </c>
    </row>
    <row r="246">
      <c r="A246" s="585" t="s">
        <v>4069</v>
      </c>
      <c r="B246" s="15">
        <v>20.0</v>
      </c>
    </row>
    <row r="247">
      <c r="A247" s="585" t="s">
        <v>4070</v>
      </c>
      <c r="B247" s="15">
        <v>53.0</v>
      </c>
    </row>
    <row r="248">
      <c r="A248" s="585" t="s">
        <v>4071</v>
      </c>
      <c r="B248" s="15">
        <v>54.0</v>
      </c>
    </row>
    <row r="249">
      <c r="A249" s="585" t="s">
        <v>4072</v>
      </c>
      <c r="B249" s="15">
        <v>47.0</v>
      </c>
    </row>
    <row r="250">
      <c r="A250" s="585" t="s">
        <v>4073</v>
      </c>
      <c r="B250" s="15">
        <v>56.0</v>
      </c>
    </row>
    <row r="251">
      <c r="A251" s="585" t="s">
        <v>4074</v>
      </c>
      <c r="B251" s="15">
        <v>62.0</v>
      </c>
    </row>
    <row r="252">
      <c r="A252" s="585" t="s">
        <v>4075</v>
      </c>
      <c r="B252" s="15">
        <v>42.0</v>
      </c>
    </row>
    <row r="253">
      <c r="A253" s="585" t="s">
        <v>4076</v>
      </c>
      <c r="B253" s="15">
        <v>62.0</v>
      </c>
    </row>
    <row r="254">
      <c r="A254" s="585" t="s">
        <v>4077</v>
      </c>
      <c r="B254" s="15">
        <v>50.0</v>
      </c>
    </row>
    <row r="255">
      <c r="A255" s="585" t="s">
        <v>4078</v>
      </c>
      <c r="B255" s="15">
        <v>39.0</v>
      </c>
    </row>
    <row r="256">
      <c r="A256" s="585" t="s">
        <v>4079</v>
      </c>
      <c r="B256" s="15">
        <v>16.0</v>
      </c>
    </row>
    <row r="257">
      <c r="A257" s="585" t="s">
        <v>4080</v>
      </c>
      <c r="B257" s="15">
        <v>40.0</v>
      </c>
    </row>
    <row r="258">
      <c r="A258" s="585" t="s">
        <v>4081</v>
      </c>
      <c r="B258" s="15">
        <v>62.0</v>
      </c>
    </row>
    <row r="259">
      <c r="A259" s="585" t="s">
        <v>4082</v>
      </c>
      <c r="B259" s="15">
        <v>71.0</v>
      </c>
    </row>
    <row r="260">
      <c r="A260" s="585" t="s">
        <v>4083</v>
      </c>
      <c r="B260" s="15">
        <v>54.0</v>
      </c>
    </row>
    <row r="261">
      <c r="A261" s="585" t="s">
        <v>4084</v>
      </c>
      <c r="B261" s="15">
        <v>70.0</v>
      </c>
    </row>
    <row r="262">
      <c r="A262" s="585" t="s">
        <v>4085</v>
      </c>
      <c r="B262" s="15">
        <v>54.0</v>
      </c>
    </row>
    <row r="263">
      <c r="A263" s="585" t="s">
        <v>4086</v>
      </c>
      <c r="B263" s="15">
        <v>48.0</v>
      </c>
    </row>
    <row r="264">
      <c r="A264" s="585" t="s">
        <v>4087</v>
      </c>
      <c r="B264" s="15">
        <v>57.0</v>
      </c>
    </row>
    <row r="265">
      <c r="A265" s="585" t="s">
        <v>4088</v>
      </c>
      <c r="B265" s="15">
        <v>47.0</v>
      </c>
    </row>
    <row r="266">
      <c r="A266" s="585" t="s">
        <v>4089</v>
      </c>
      <c r="B266" s="15">
        <v>56.0</v>
      </c>
    </row>
    <row r="267">
      <c r="A267" s="585" t="s">
        <v>4090</v>
      </c>
      <c r="B267" s="15">
        <v>56.0</v>
      </c>
    </row>
    <row r="268">
      <c r="A268" s="585" t="s">
        <v>4091</v>
      </c>
      <c r="B268" s="15">
        <v>66.0</v>
      </c>
    </row>
    <row r="269">
      <c r="A269" s="585" t="s">
        <v>4092</v>
      </c>
      <c r="B269" s="15">
        <v>63.0</v>
      </c>
    </row>
    <row r="270">
      <c r="A270" s="585" t="s">
        <v>4093</v>
      </c>
      <c r="B270" s="15">
        <v>53.0</v>
      </c>
    </row>
    <row r="271">
      <c r="A271" s="585" t="s">
        <v>4094</v>
      </c>
      <c r="B271" s="15">
        <v>57.0</v>
      </c>
    </row>
    <row r="272">
      <c r="A272" s="585" t="s">
        <v>4095</v>
      </c>
      <c r="B272" s="15">
        <v>51.0</v>
      </c>
    </row>
    <row r="273">
      <c r="A273" s="585" t="s">
        <v>4096</v>
      </c>
      <c r="B273" s="15">
        <v>64.0</v>
      </c>
    </row>
    <row r="274">
      <c r="A274" s="585" t="s">
        <v>4097</v>
      </c>
      <c r="B274" s="15">
        <v>46.0</v>
      </c>
    </row>
    <row r="275">
      <c r="A275" s="585" t="s">
        <v>4098</v>
      </c>
      <c r="B275" s="15">
        <v>62.0</v>
      </c>
    </row>
    <row r="276">
      <c r="A276" s="585" t="s">
        <v>4099</v>
      </c>
      <c r="B276" s="15">
        <v>53.0</v>
      </c>
    </row>
    <row r="277">
      <c r="A277" s="585" t="s">
        <v>4100</v>
      </c>
      <c r="B277" s="15">
        <v>43.0</v>
      </c>
    </row>
    <row r="278">
      <c r="A278" s="585" t="s">
        <v>4101</v>
      </c>
      <c r="B278" s="15">
        <v>36.0</v>
      </c>
    </row>
    <row r="279">
      <c r="A279" s="585" t="s">
        <v>4102</v>
      </c>
      <c r="B279" s="15">
        <v>69.0</v>
      </c>
    </row>
    <row r="280">
      <c r="A280" s="585" t="s">
        <v>4103</v>
      </c>
      <c r="B280" s="15">
        <v>40.0</v>
      </c>
    </row>
    <row r="281">
      <c r="A281" s="585" t="s">
        <v>4104</v>
      </c>
      <c r="B281" s="15">
        <v>78.0</v>
      </c>
    </row>
    <row r="282">
      <c r="A282" s="585" t="s">
        <v>4105</v>
      </c>
      <c r="B282" s="15">
        <v>55.0</v>
      </c>
    </row>
    <row r="283">
      <c r="A283" s="585" t="s">
        <v>4106</v>
      </c>
      <c r="B283" s="15">
        <v>58.0</v>
      </c>
    </row>
    <row r="284">
      <c r="A284" s="585" t="s">
        <v>4107</v>
      </c>
      <c r="B284" s="15">
        <v>65.0</v>
      </c>
    </row>
    <row r="285">
      <c r="A285" s="585" t="s">
        <v>4108</v>
      </c>
      <c r="B285" s="15">
        <v>44.0</v>
      </c>
    </row>
    <row r="286">
      <c r="A286" s="585" t="s">
        <v>4109</v>
      </c>
      <c r="B286" s="15">
        <v>35.0</v>
      </c>
    </row>
    <row r="287">
      <c r="A287" s="585" t="s">
        <v>4110</v>
      </c>
      <c r="B287" s="15">
        <v>56.0</v>
      </c>
    </row>
    <row r="288">
      <c r="A288" s="585" t="s">
        <v>4111</v>
      </c>
      <c r="B288" s="15">
        <v>24.0</v>
      </c>
    </row>
    <row r="289">
      <c r="A289" s="585" t="s">
        <v>4112</v>
      </c>
      <c r="B289" s="15">
        <v>60.0</v>
      </c>
    </row>
    <row r="290">
      <c r="A290" s="585" t="s">
        <v>4113</v>
      </c>
      <c r="B290" s="15">
        <v>14.0</v>
      </c>
    </row>
    <row r="291">
      <c r="A291" s="585" t="s">
        <v>4114</v>
      </c>
      <c r="B291" s="15">
        <v>49.0</v>
      </c>
    </row>
    <row r="292">
      <c r="A292" s="585" t="s">
        <v>4115</v>
      </c>
      <c r="B292" s="15">
        <v>21.0</v>
      </c>
    </row>
    <row r="293">
      <c r="A293" s="585" t="s">
        <v>4116</v>
      </c>
      <c r="B293" s="15">
        <v>49.0</v>
      </c>
    </row>
    <row r="294">
      <c r="A294" s="585" t="s">
        <v>4117</v>
      </c>
      <c r="B294" s="15">
        <v>59.0</v>
      </c>
    </row>
    <row r="295">
      <c r="A295" s="585" t="s">
        <v>4118</v>
      </c>
      <c r="B295" s="15">
        <v>25.0</v>
      </c>
    </row>
    <row r="296">
      <c r="A296" s="585" t="s">
        <v>4119</v>
      </c>
      <c r="B296" s="15">
        <v>69.0</v>
      </c>
    </row>
    <row r="297">
      <c r="A297" s="585" t="s">
        <v>4120</v>
      </c>
      <c r="B297" s="15">
        <v>71.0</v>
      </c>
    </row>
    <row r="298">
      <c r="A298" s="585" t="s">
        <v>4121</v>
      </c>
      <c r="B298" s="15">
        <v>24.0</v>
      </c>
    </row>
    <row r="299">
      <c r="A299" s="585" t="s">
        <v>4122</v>
      </c>
      <c r="B299" s="15">
        <v>48.0</v>
      </c>
    </row>
    <row r="300">
      <c r="A300" s="585" t="s">
        <v>4123</v>
      </c>
      <c r="B300" s="15">
        <v>45.0</v>
      </c>
    </row>
    <row r="301">
      <c r="A301" s="585" t="s">
        <v>4124</v>
      </c>
      <c r="B301" s="15">
        <v>53.0</v>
      </c>
    </row>
    <row r="302">
      <c r="A302" s="585" t="s">
        <v>4125</v>
      </c>
      <c r="B302" s="15">
        <v>23.0</v>
      </c>
    </row>
    <row r="303">
      <c r="A303" s="585" t="s">
        <v>4126</v>
      </c>
      <c r="B303" s="15">
        <v>49.0</v>
      </c>
    </row>
    <row r="304">
      <c r="A304" s="585" t="s">
        <v>4127</v>
      </c>
      <c r="B304" s="15">
        <v>54.0</v>
      </c>
    </row>
    <row r="305">
      <c r="A305" s="585" t="s">
        <v>4128</v>
      </c>
      <c r="B305" s="15">
        <v>61.0</v>
      </c>
    </row>
    <row r="306">
      <c r="A306" s="585" t="s">
        <v>4129</v>
      </c>
      <c r="B306" s="15">
        <v>71.0</v>
      </c>
    </row>
    <row r="307">
      <c r="A307" s="585" t="s">
        <v>4130</v>
      </c>
      <c r="B307" s="15">
        <v>49.0</v>
      </c>
    </row>
    <row r="308">
      <c r="A308" s="585" t="s">
        <v>4131</v>
      </c>
      <c r="B308" s="15">
        <v>43.0</v>
      </c>
    </row>
    <row r="309">
      <c r="A309" s="585" t="s">
        <v>4132</v>
      </c>
      <c r="B309" s="15">
        <v>62.0</v>
      </c>
    </row>
    <row r="310">
      <c r="A310" s="585" t="s">
        <v>4133</v>
      </c>
      <c r="B310" s="15">
        <v>54.0</v>
      </c>
    </row>
    <row r="311">
      <c r="A311" s="585" t="s">
        <v>4134</v>
      </c>
      <c r="B311" s="15">
        <v>51.0</v>
      </c>
    </row>
    <row r="312">
      <c r="A312" s="585" t="s">
        <v>4135</v>
      </c>
      <c r="B312" s="15">
        <v>70.0</v>
      </c>
    </row>
    <row r="313">
      <c r="A313" s="585" t="s">
        <v>3798</v>
      </c>
      <c r="B313" s="15">
        <v>25.0</v>
      </c>
    </row>
    <row r="314">
      <c r="A314" s="585" t="s">
        <v>4136</v>
      </c>
      <c r="B314" s="15">
        <v>24.0</v>
      </c>
    </row>
    <row r="315">
      <c r="A315" s="585" t="s">
        <v>4137</v>
      </c>
      <c r="B315" s="15">
        <v>37.0</v>
      </c>
    </row>
    <row r="316">
      <c r="A316" s="585" t="s">
        <v>4138</v>
      </c>
      <c r="B316" s="15">
        <v>56.0</v>
      </c>
    </row>
    <row r="317">
      <c r="A317" s="585" t="s">
        <v>4139</v>
      </c>
      <c r="B317" s="15">
        <v>57.0</v>
      </c>
    </row>
    <row r="318">
      <c r="A318" s="585" t="s">
        <v>4140</v>
      </c>
      <c r="B318" s="15">
        <v>61.0</v>
      </c>
    </row>
    <row r="319">
      <c r="A319" s="585" t="s">
        <v>4141</v>
      </c>
      <c r="B319" s="15">
        <v>67.0</v>
      </c>
    </row>
    <row r="320">
      <c r="A320" s="585" t="s">
        <v>4142</v>
      </c>
      <c r="B320" s="15">
        <v>38.0</v>
      </c>
    </row>
    <row r="321">
      <c r="A321" s="585" t="s">
        <v>4143</v>
      </c>
      <c r="B321" s="15">
        <v>23.0</v>
      </c>
    </row>
    <row r="322">
      <c r="A322" s="585" t="s">
        <v>4144</v>
      </c>
      <c r="B322" s="15">
        <v>51.0</v>
      </c>
    </row>
    <row r="323">
      <c r="A323" s="585" t="s">
        <v>4145</v>
      </c>
      <c r="B323" s="15">
        <v>54.0</v>
      </c>
    </row>
    <row r="324">
      <c r="A324" s="585" t="s">
        <v>4146</v>
      </c>
      <c r="B324" s="15">
        <v>69.0</v>
      </c>
    </row>
    <row r="325">
      <c r="A325" s="585" t="s">
        <v>4147</v>
      </c>
      <c r="B325" s="15">
        <v>19.0</v>
      </c>
    </row>
    <row r="326">
      <c r="A326" s="585" t="s">
        <v>4148</v>
      </c>
      <c r="B326" s="15">
        <v>45.0</v>
      </c>
    </row>
    <row r="327">
      <c r="A327" s="585" t="s">
        <v>4149</v>
      </c>
      <c r="B327" s="15">
        <v>46.0</v>
      </c>
    </row>
    <row r="328">
      <c r="A328" s="585" t="s">
        <v>4150</v>
      </c>
      <c r="B328" s="15">
        <v>59.0</v>
      </c>
    </row>
    <row r="329">
      <c r="A329" s="585" t="s">
        <v>4151</v>
      </c>
      <c r="B329" s="15">
        <v>18.0</v>
      </c>
    </row>
    <row r="330">
      <c r="A330" s="585" t="s">
        <v>4152</v>
      </c>
      <c r="B330" s="15">
        <v>41.0</v>
      </c>
    </row>
    <row r="331">
      <c r="A331" s="585" t="s">
        <v>4153</v>
      </c>
      <c r="B331" s="15">
        <v>71.0</v>
      </c>
    </row>
    <row r="332">
      <c r="A332" s="585" t="s">
        <v>4154</v>
      </c>
      <c r="B332" s="15">
        <v>21.0</v>
      </c>
    </row>
    <row r="333">
      <c r="A333" s="585" t="s">
        <v>4155</v>
      </c>
      <c r="B333" s="15">
        <v>52.0</v>
      </c>
    </row>
    <row r="334">
      <c r="A334" s="585" t="s">
        <v>4156</v>
      </c>
      <c r="B334" s="15">
        <v>47.0</v>
      </c>
    </row>
    <row r="335">
      <c r="A335" s="585" t="s">
        <v>4157</v>
      </c>
      <c r="B335" s="15">
        <v>61.0</v>
      </c>
    </row>
    <row r="336">
      <c r="A336" s="585" t="s">
        <v>4158</v>
      </c>
      <c r="B336" s="15">
        <v>63.0</v>
      </c>
    </row>
    <row r="337">
      <c r="A337" s="585" t="s">
        <v>4159</v>
      </c>
      <c r="B337" s="15">
        <v>51.0</v>
      </c>
    </row>
    <row r="338">
      <c r="A338" s="585" t="s">
        <v>4160</v>
      </c>
      <c r="B338" s="15">
        <v>52.0</v>
      </c>
    </row>
    <row r="339">
      <c r="A339" s="585" t="s">
        <v>4161</v>
      </c>
      <c r="B339" s="15">
        <v>48.0</v>
      </c>
    </row>
    <row r="340">
      <c r="A340" s="585" t="s">
        <v>4162</v>
      </c>
      <c r="B340" s="15">
        <v>39.0</v>
      </c>
    </row>
    <row r="341">
      <c r="A341" s="585" t="s">
        <v>4163</v>
      </c>
      <c r="B341" s="15">
        <v>42.0</v>
      </c>
    </row>
    <row r="342">
      <c r="A342" s="585" t="s">
        <v>4164</v>
      </c>
      <c r="B342" s="15">
        <v>73.0</v>
      </c>
    </row>
    <row r="343">
      <c r="A343" s="585" t="s">
        <v>4165</v>
      </c>
      <c r="B343" s="15">
        <v>47.0</v>
      </c>
    </row>
    <row r="344">
      <c r="A344" s="585" t="s">
        <v>4166</v>
      </c>
      <c r="B344" s="15">
        <v>63.0</v>
      </c>
    </row>
    <row r="345">
      <c r="A345" s="585" t="s">
        <v>4167</v>
      </c>
      <c r="B345" s="15">
        <v>67.0</v>
      </c>
    </row>
    <row r="346">
      <c r="A346" s="585" t="s">
        <v>4168</v>
      </c>
      <c r="B346" s="15">
        <v>46.0</v>
      </c>
    </row>
    <row r="347">
      <c r="A347" s="585" t="s">
        <v>4169</v>
      </c>
      <c r="B347" s="15">
        <v>60.0</v>
      </c>
    </row>
    <row r="348">
      <c r="A348" s="585" t="s">
        <v>4170</v>
      </c>
      <c r="B348" s="15">
        <v>13.0</v>
      </c>
    </row>
    <row r="349">
      <c r="A349" s="585" t="s">
        <v>4171</v>
      </c>
      <c r="B349" s="15">
        <v>38.0</v>
      </c>
    </row>
    <row r="350">
      <c r="A350" s="585" t="s">
        <v>4172</v>
      </c>
      <c r="B350" s="15">
        <v>43.0</v>
      </c>
    </row>
    <row r="351">
      <c r="A351" s="585" t="s">
        <v>4173</v>
      </c>
      <c r="B351" s="15">
        <v>47.0</v>
      </c>
    </row>
    <row r="352">
      <c r="A352" s="585" t="s">
        <v>4174</v>
      </c>
      <c r="B352" s="15">
        <v>49.0</v>
      </c>
    </row>
    <row r="353">
      <c r="A353" s="585" t="s">
        <v>4175</v>
      </c>
      <c r="B353" s="15">
        <v>48.0</v>
      </c>
    </row>
    <row r="354">
      <c r="A354" s="585" t="s">
        <v>4176</v>
      </c>
      <c r="B354" s="15">
        <v>49.0</v>
      </c>
    </row>
    <row r="355">
      <c r="A355" s="585" t="s">
        <v>4177</v>
      </c>
      <c r="B355" s="15">
        <v>38.0</v>
      </c>
    </row>
    <row r="356">
      <c r="A356" s="585" t="s">
        <v>4178</v>
      </c>
      <c r="B356" s="15">
        <v>51.0</v>
      </c>
    </row>
    <row r="357">
      <c r="A357" s="585" t="s">
        <v>4179</v>
      </c>
      <c r="B357" s="15">
        <v>41.0</v>
      </c>
    </row>
    <row r="358">
      <c r="A358" s="585" t="s">
        <v>4180</v>
      </c>
      <c r="B358" s="15">
        <v>42.0</v>
      </c>
    </row>
    <row r="359">
      <c r="A359" s="585" t="s">
        <v>4181</v>
      </c>
      <c r="B359" s="15">
        <v>48.0</v>
      </c>
    </row>
    <row r="360">
      <c r="A360" s="585" t="s">
        <v>4182</v>
      </c>
      <c r="B360" s="15">
        <v>46.0</v>
      </c>
    </row>
    <row r="361">
      <c r="A361" s="585" t="s">
        <v>4183</v>
      </c>
      <c r="B361" s="15">
        <v>50.0</v>
      </c>
    </row>
    <row r="362">
      <c r="A362" s="585" t="s">
        <v>4184</v>
      </c>
      <c r="B362" s="15">
        <v>55.0</v>
      </c>
    </row>
    <row r="363">
      <c r="A363" s="585" t="s">
        <v>4185</v>
      </c>
      <c r="B363" s="15">
        <v>45.0</v>
      </c>
    </row>
    <row r="364">
      <c r="A364" s="585" t="s">
        <v>4186</v>
      </c>
      <c r="B364" s="15">
        <v>54.0</v>
      </c>
    </row>
    <row r="365">
      <c r="A365" s="585" t="s">
        <v>4187</v>
      </c>
      <c r="B365" s="15">
        <v>56.0</v>
      </c>
    </row>
    <row r="366">
      <c r="A366" s="585" t="s">
        <v>4188</v>
      </c>
      <c r="B366" s="15">
        <v>58.0</v>
      </c>
    </row>
    <row r="367">
      <c r="A367" s="585" t="s">
        <v>4189</v>
      </c>
      <c r="B367" s="15">
        <v>40.0</v>
      </c>
    </row>
    <row r="368">
      <c r="A368" s="585" t="s">
        <v>4190</v>
      </c>
      <c r="B368" s="15">
        <v>52.0</v>
      </c>
    </row>
    <row r="369">
      <c r="A369" s="585" t="s">
        <v>4191</v>
      </c>
      <c r="B369" s="15">
        <v>49.0</v>
      </c>
    </row>
    <row r="370">
      <c r="A370" s="585" t="s">
        <v>4192</v>
      </c>
      <c r="B370" s="15">
        <v>35.0</v>
      </c>
    </row>
    <row r="371">
      <c r="A371" s="585" t="s">
        <v>4193</v>
      </c>
      <c r="B371" s="15">
        <v>45.0</v>
      </c>
    </row>
    <row r="372">
      <c r="A372" s="585" t="s">
        <v>4194</v>
      </c>
      <c r="B372" s="15">
        <v>55.0</v>
      </c>
    </row>
    <row r="373">
      <c r="A373" s="585" t="s">
        <v>4195</v>
      </c>
      <c r="B373" s="15">
        <v>54.0</v>
      </c>
    </row>
    <row r="374">
      <c r="A374" s="585" t="s">
        <v>4196</v>
      </c>
      <c r="B374" s="15">
        <v>24.0</v>
      </c>
    </row>
    <row r="375">
      <c r="A375" s="585" t="s">
        <v>4197</v>
      </c>
      <c r="B375" s="15">
        <v>70.0</v>
      </c>
    </row>
    <row r="376">
      <c r="A376" s="585" t="s">
        <v>4198</v>
      </c>
      <c r="B376" s="15">
        <v>24.0</v>
      </c>
    </row>
    <row r="377">
      <c r="A377" s="585" t="s">
        <v>4199</v>
      </c>
      <c r="B377" s="15">
        <v>22.0</v>
      </c>
    </row>
    <row r="378">
      <c r="A378" s="585" t="s">
        <v>4200</v>
      </c>
      <c r="B378" s="15">
        <v>25.0</v>
      </c>
    </row>
    <row r="379">
      <c r="A379" s="585" t="s">
        <v>4201</v>
      </c>
      <c r="B379" s="15">
        <v>37.0</v>
      </c>
    </row>
    <row r="380">
      <c r="A380" s="585" t="s">
        <v>4202</v>
      </c>
      <c r="B380" s="15">
        <v>58.0</v>
      </c>
    </row>
    <row r="381">
      <c r="A381" s="585" t="s">
        <v>4203</v>
      </c>
      <c r="B381" s="15">
        <v>50.0</v>
      </c>
    </row>
    <row r="382">
      <c r="A382" s="585" t="s">
        <v>4204</v>
      </c>
      <c r="B382" s="15">
        <v>52.0</v>
      </c>
    </row>
    <row r="383">
      <c r="A383" s="585" t="s">
        <v>4205</v>
      </c>
      <c r="B383" s="15">
        <v>66.0</v>
      </c>
    </row>
    <row r="384">
      <c r="A384" s="585" t="s">
        <v>4206</v>
      </c>
      <c r="B384" s="15">
        <v>59.0</v>
      </c>
    </row>
    <row r="385">
      <c r="A385" s="585" t="s">
        <v>4207</v>
      </c>
      <c r="B385" s="15">
        <v>34.0</v>
      </c>
    </row>
    <row r="386">
      <c r="A386" s="585" t="s">
        <v>4208</v>
      </c>
      <c r="B386" s="15">
        <v>79.0</v>
      </c>
    </row>
    <row r="387">
      <c r="A387" s="585" t="s">
        <v>4209</v>
      </c>
      <c r="B387" s="15">
        <v>76.0</v>
      </c>
    </row>
    <row r="388">
      <c r="A388" s="585" t="s">
        <v>4210</v>
      </c>
      <c r="B388" s="15">
        <v>49.0</v>
      </c>
    </row>
    <row r="389">
      <c r="A389" s="585" t="s">
        <v>4211</v>
      </c>
      <c r="B389" s="15">
        <v>58.0</v>
      </c>
    </row>
    <row r="390">
      <c r="A390" s="585" t="s">
        <v>4212</v>
      </c>
      <c r="B390" s="15">
        <v>53.0</v>
      </c>
    </row>
    <row r="391">
      <c r="A391" s="585" t="s">
        <v>4213</v>
      </c>
      <c r="B391" s="15">
        <v>52.0</v>
      </c>
    </row>
    <row r="392">
      <c r="A392" s="585" t="s">
        <v>4214</v>
      </c>
      <c r="B392" s="15">
        <v>64.0</v>
      </c>
    </row>
    <row r="393">
      <c r="A393" s="585" t="s">
        <v>4215</v>
      </c>
      <c r="B393" s="15">
        <v>59.0</v>
      </c>
    </row>
    <row r="394">
      <c r="A394" s="585" t="s">
        <v>4216</v>
      </c>
      <c r="B394" s="15">
        <v>47.0</v>
      </c>
    </row>
    <row r="395">
      <c r="A395" s="585" t="s">
        <v>4217</v>
      </c>
      <c r="B395" s="15">
        <v>68.0</v>
      </c>
    </row>
    <row r="396">
      <c r="A396" s="585" t="s">
        <v>4218</v>
      </c>
      <c r="B396" s="15">
        <v>33.0</v>
      </c>
    </row>
    <row r="397">
      <c r="A397" s="585" t="s">
        <v>4219</v>
      </c>
      <c r="B397" s="15">
        <v>62.0</v>
      </c>
    </row>
    <row r="398">
      <c r="A398" s="585" t="s">
        <v>4220</v>
      </c>
      <c r="B398" s="15">
        <v>61.0</v>
      </c>
    </row>
    <row r="399">
      <c r="A399" s="585" t="s">
        <v>4221</v>
      </c>
      <c r="B399" s="15">
        <v>47.0</v>
      </c>
    </row>
    <row r="400">
      <c r="A400" s="585" t="s">
        <v>4222</v>
      </c>
      <c r="B400" s="15">
        <v>45.0</v>
      </c>
    </row>
    <row r="401">
      <c r="A401" s="585" t="s">
        <v>4223</v>
      </c>
      <c r="B401" s="15">
        <v>45.0</v>
      </c>
    </row>
    <row r="402">
      <c r="A402" s="585" t="s">
        <v>4224</v>
      </c>
      <c r="B402" s="15">
        <v>14.0</v>
      </c>
    </row>
    <row r="403">
      <c r="A403" s="585" t="s">
        <v>4225</v>
      </c>
      <c r="B403" s="15">
        <v>55.0</v>
      </c>
    </row>
    <row r="404">
      <c r="A404" s="585" t="s">
        <v>4226</v>
      </c>
      <c r="B404" s="15">
        <v>48.0</v>
      </c>
    </row>
    <row r="405">
      <c r="A405" s="585" t="s">
        <v>4227</v>
      </c>
      <c r="B405" s="15">
        <v>48.0</v>
      </c>
    </row>
    <row r="406">
      <c r="A406" s="585" t="s">
        <v>4228</v>
      </c>
      <c r="B406" s="15">
        <v>69.0</v>
      </c>
    </row>
    <row r="407">
      <c r="A407" s="585" t="s">
        <v>4229</v>
      </c>
      <c r="B407" s="15">
        <v>45.0</v>
      </c>
    </row>
    <row r="408">
      <c r="A408" s="585" t="s">
        <v>4230</v>
      </c>
      <c r="B408" s="15">
        <v>60.0</v>
      </c>
    </row>
    <row r="409">
      <c r="A409" s="585" t="s">
        <v>4231</v>
      </c>
      <c r="B409" s="15">
        <v>45.0</v>
      </c>
    </row>
    <row r="410">
      <c r="A410" s="585" t="s">
        <v>4232</v>
      </c>
      <c r="B410" s="15">
        <v>63.0</v>
      </c>
    </row>
    <row r="411">
      <c r="A411" s="585" t="s">
        <v>4233</v>
      </c>
      <c r="B411" s="15">
        <v>68.0</v>
      </c>
    </row>
    <row r="412">
      <c r="A412" s="585" t="s">
        <v>4234</v>
      </c>
      <c r="B412" s="15">
        <v>54.0</v>
      </c>
    </row>
    <row r="413">
      <c r="A413" s="585" t="s">
        <v>4235</v>
      </c>
      <c r="B413" s="15">
        <v>51.0</v>
      </c>
    </row>
    <row r="414">
      <c r="A414" s="585" t="s">
        <v>4236</v>
      </c>
      <c r="B414" s="15">
        <v>35.0</v>
      </c>
    </row>
    <row r="415">
      <c r="A415" s="585" t="s">
        <v>4237</v>
      </c>
      <c r="B415" s="15">
        <v>22.0</v>
      </c>
    </row>
    <row r="416">
      <c r="A416" s="585" t="s">
        <v>4238</v>
      </c>
      <c r="B416" s="15">
        <v>24.0</v>
      </c>
    </row>
    <row r="417">
      <c r="A417" s="585" t="s">
        <v>4239</v>
      </c>
      <c r="B417" s="15">
        <v>69.0</v>
      </c>
    </row>
    <row r="418">
      <c r="A418" s="585" t="s">
        <v>4240</v>
      </c>
      <c r="B418" s="15">
        <v>56.0</v>
      </c>
    </row>
    <row r="419">
      <c r="A419" s="585" t="s">
        <v>4241</v>
      </c>
      <c r="B419" s="15">
        <v>54.0</v>
      </c>
    </row>
    <row r="420">
      <c r="A420" s="585" t="s">
        <v>4242</v>
      </c>
      <c r="B420" s="15">
        <v>34.0</v>
      </c>
    </row>
    <row r="421">
      <c r="A421" s="585" t="s">
        <v>4243</v>
      </c>
      <c r="B421" s="15">
        <v>59.0</v>
      </c>
    </row>
    <row r="422">
      <c r="A422" s="585" t="s">
        <v>4244</v>
      </c>
      <c r="B422" s="15">
        <v>60.0</v>
      </c>
    </row>
    <row r="423">
      <c r="A423" s="585" t="s">
        <v>4245</v>
      </c>
      <c r="B423" s="15">
        <v>44.0</v>
      </c>
    </row>
    <row r="424">
      <c r="A424" s="585" t="s">
        <v>4246</v>
      </c>
      <c r="B424" s="15">
        <v>56.0</v>
      </c>
    </row>
    <row r="425">
      <c r="A425" s="585" t="s">
        <v>4247</v>
      </c>
      <c r="B425" s="15">
        <v>57.0</v>
      </c>
    </row>
    <row r="426">
      <c r="A426" s="585" t="s">
        <v>4248</v>
      </c>
      <c r="B426" s="15">
        <v>38.0</v>
      </c>
    </row>
    <row r="427">
      <c r="A427" s="585" t="s">
        <v>4249</v>
      </c>
      <c r="B427" s="15">
        <v>71.0</v>
      </c>
    </row>
    <row r="428">
      <c r="A428" s="585" t="s">
        <v>4250</v>
      </c>
      <c r="B428" s="15">
        <v>45.0</v>
      </c>
    </row>
    <row r="429">
      <c r="A429" s="585" t="s">
        <v>4251</v>
      </c>
      <c r="B429" s="15">
        <v>38.0</v>
      </c>
    </row>
    <row r="430">
      <c r="A430" s="585" t="s">
        <v>4252</v>
      </c>
      <c r="B430" s="15">
        <v>62.0</v>
      </c>
    </row>
    <row r="431">
      <c r="A431" s="585" t="s">
        <v>4253</v>
      </c>
      <c r="B431" s="15">
        <v>52.0</v>
      </c>
    </row>
    <row r="432">
      <c r="A432" s="585" t="s">
        <v>4254</v>
      </c>
      <c r="B432" s="15">
        <v>37.0</v>
      </c>
    </row>
    <row r="433">
      <c r="A433" s="585" t="s">
        <v>4255</v>
      </c>
      <c r="B433" s="15">
        <v>49.0</v>
      </c>
    </row>
    <row r="434">
      <c r="A434" s="585" t="s">
        <v>4256</v>
      </c>
      <c r="B434" s="15">
        <v>43.0</v>
      </c>
    </row>
    <row r="435">
      <c r="A435" s="585" t="s">
        <v>4257</v>
      </c>
      <c r="B435" s="15">
        <v>35.0</v>
      </c>
    </row>
    <row r="436">
      <c r="A436" s="585" t="s">
        <v>4258</v>
      </c>
      <c r="B436" s="15">
        <v>51.0</v>
      </c>
    </row>
    <row r="437">
      <c r="A437" s="585" t="s">
        <v>4259</v>
      </c>
      <c r="B437" s="15">
        <v>19.0</v>
      </c>
    </row>
    <row r="438">
      <c r="A438" s="585" t="s">
        <v>4260</v>
      </c>
      <c r="B438" s="15">
        <v>45.0</v>
      </c>
    </row>
    <row r="439">
      <c r="A439" s="585" t="s">
        <v>4261</v>
      </c>
      <c r="B439" s="15">
        <v>39.0</v>
      </c>
    </row>
    <row r="440">
      <c r="A440" s="585" t="s">
        <v>4262</v>
      </c>
      <c r="B440" s="15">
        <v>57.0</v>
      </c>
    </row>
    <row r="441">
      <c r="A441" s="585" t="s">
        <v>4263</v>
      </c>
      <c r="B441" s="15">
        <v>58.0</v>
      </c>
    </row>
    <row r="442">
      <c r="A442" s="585" t="s">
        <v>4264</v>
      </c>
      <c r="B442" s="15">
        <v>56.0</v>
      </c>
    </row>
    <row r="443">
      <c r="A443" s="585" t="s">
        <v>4265</v>
      </c>
      <c r="B443" s="15">
        <v>34.0</v>
      </c>
    </row>
    <row r="444">
      <c r="A444" s="585" t="s">
        <v>4266</v>
      </c>
      <c r="B444" s="15">
        <v>49.0</v>
      </c>
    </row>
    <row r="445">
      <c r="A445" s="585" t="s">
        <v>4267</v>
      </c>
      <c r="B445" s="15">
        <v>70.0</v>
      </c>
    </row>
    <row r="446">
      <c r="A446" s="585" t="s">
        <v>4268</v>
      </c>
      <c r="B446" s="15">
        <v>25.0</v>
      </c>
    </row>
    <row r="447">
      <c r="A447" s="585" t="s">
        <v>4269</v>
      </c>
      <c r="B447" s="15">
        <v>51.0</v>
      </c>
    </row>
    <row r="448">
      <c r="A448" s="585" t="s">
        <v>4270</v>
      </c>
      <c r="B448" s="15">
        <v>65.0</v>
      </c>
    </row>
    <row r="449">
      <c r="A449" s="581" t="s">
        <v>4271</v>
      </c>
      <c r="B449" s="15">
        <v>65.0</v>
      </c>
    </row>
    <row r="450">
      <c r="A450" s="581" t="s">
        <v>4272</v>
      </c>
      <c r="B450" s="15">
        <v>53.0</v>
      </c>
    </row>
    <row r="451">
      <c r="A451" s="581" t="s">
        <v>4273</v>
      </c>
      <c r="B451" s="15">
        <v>54.0</v>
      </c>
    </row>
    <row r="452">
      <c r="A452" s="581" t="s">
        <v>4274</v>
      </c>
      <c r="B452" s="15">
        <v>50.0</v>
      </c>
    </row>
    <row r="453">
      <c r="A453" s="581" t="s">
        <v>4275</v>
      </c>
      <c r="B453" s="15">
        <v>40.0</v>
      </c>
    </row>
    <row r="454">
      <c r="A454" s="581" t="s">
        <v>4276</v>
      </c>
      <c r="B454" s="15">
        <v>48.0</v>
      </c>
    </row>
    <row r="455">
      <c r="A455" s="581" t="s">
        <v>4277</v>
      </c>
      <c r="B455" s="15">
        <v>61.0</v>
      </c>
    </row>
    <row r="456">
      <c r="A456" s="581" t="s">
        <v>4278</v>
      </c>
      <c r="B456" s="15">
        <v>73.0</v>
      </c>
    </row>
    <row r="457">
      <c r="A457" s="581" t="s">
        <v>4279</v>
      </c>
      <c r="B457" s="15">
        <v>25.0</v>
      </c>
    </row>
    <row r="458">
      <c r="A458" s="581" t="s">
        <v>4280</v>
      </c>
      <c r="B458" s="15">
        <v>67.0</v>
      </c>
    </row>
    <row r="459">
      <c r="A459" s="581" t="s">
        <v>4281</v>
      </c>
      <c r="B459" s="15">
        <v>26.0</v>
      </c>
    </row>
    <row r="460">
      <c r="A460" s="581" t="s">
        <v>4282</v>
      </c>
      <c r="B460" s="15">
        <v>44.0</v>
      </c>
    </row>
    <row r="461">
      <c r="A461" s="581" t="s">
        <v>4283</v>
      </c>
      <c r="B461" s="15">
        <v>58.0</v>
      </c>
    </row>
    <row r="462">
      <c r="A462" s="581" t="s">
        <v>4284</v>
      </c>
      <c r="B462" s="15">
        <v>48.0</v>
      </c>
    </row>
    <row r="463">
      <c r="A463" s="581" t="s">
        <v>4285</v>
      </c>
      <c r="B463" s="15">
        <v>54.0</v>
      </c>
    </row>
    <row r="464">
      <c r="A464" s="585" t="s">
        <v>4286</v>
      </c>
      <c r="B464" s="15">
        <v>17.0</v>
      </c>
    </row>
    <row r="465">
      <c r="A465" s="585" t="s">
        <v>4287</v>
      </c>
      <c r="B465" s="15">
        <v>62.0</v>
      </c>
    </row>
    <row r="466">
      <c r="A466" s="585" t="s">
        <v>4288</v>
      </c>
      <c r="B466" s="15">
        <v>50.0</v>
      </c>
    </row>
    <row r="467">
      <c r="A467" s="585" t="s">
        <v>4289</v>
      </c>
      <c r="B467" s="15">
        <v>55.0</v>
      </c>
    </row>
    <row r="468">
      <c r="A468" s="585" t="s">
        <v>4290</v>
      </c>
      <c r="B468" s="15">
        <v>39.0</v>
      </c>
    </row>
    <row r="469">
      <c r="A469" s="585" t="s">
        <v>4291</v>
      </c>
      <c r="B469" s="15">
        <v>42.0</v>
      </c>
    </row>
    <row r="470">
      <c r="A470" s="585" t="s">
        <v>4292</v>
      </c>
      <c r="B470" s="15">
        <v>60.0</v>
      </c>
    </row>
    <row r="471">
      <c r="A471" s="585" t="s">
        <v>4293</v>
      </c>
      <c r="B471" s="15">
        <v>31.0</v>
      </c>
    </row>
    <row r="472">
      <c r="A472" s="585" t="s">
        <v>4294</v>
      </c>
      <c r="B472" s="15">
        <v>45.0</v>
      </c>
    </row>
    <row r="473">
      <c r="A473" s="585" t="s">
        <v>4295</v>
      </c>
      <c r="B473" s="15">
        <v>57.0</v>
      </c>
    </row>
    <row r="474">
      <c r="A474" s="585" t="s">
        <v>4296</v>
      </c>
      <c r="B474" s="15">
        <v>25.0</v>
      </c>
    </row>
    <row r="475">
      <c r="A475" s="585" t="s">
        <v>4297</v>
      </c>
      <c r="B475" s="15">
        <v>69.0</v>
      </c>
    </row>
    <row r="476">
      <c r="A476" s="585" t="s">
        <v>4298</v>
      </c>
      <c r="B476" s="15">
        <v>18.0</v>
      </c>
    </row>
    <row r="477">
      <c r="A477" s="585" t="s">
        <v>4299</v>
      </c>
      <c r="B477" s="15">
        <v>57.0</v>
      </c>
    </row>
    <row r="478">
      <c r="A478" s="585" t="s">
        <v>4300</v>
      </c>
      <c r="B478" s="15">
        <v>43.0</v>
      </c>
    </row>
    <row r="479">
      <c r="A479" s="585" t="s">
        <v>4301</v>
      </c>
      <c r="B479" s="15">
        <v>50.0</v>
      </c>
    </row>
    <row r="480">
      <c r="A480" s="585" t="s">
        <v>4302</v>
      </c>
      <c r="B480" s="15">
        <v>51.0</v>
      </c>
    </row>
    <row r="481">
      <c r="A481" s="585" t="s">
        <v>4303</v>
      </c>
      <c r="B481" s="15">
        <v>53.0</v>
      </c>
    </row>
    <row r="482">
      <c r="A482" s="585" t="s">
        <v>4304</v>
      </c>
      <c r="B482" s="15">
        <v>14.0</v>
      </c>
    </row>
    <row r="483">
      <c r="A483" s="585" t="s">
        <v>4305</v>
      </c>
      <c r="B483" s="15">
        <v>67.0</v>
      </c>
    </row>
    <row r="484">
      <c r="A484" s="585" t="s">
        <v>4306</v>
      </c>
      <c r="B484" s="15">
        <v>40.0</v>
      </c>
    </row>
    <row r="485">
      <c r="A485" s="585" t="s">
        <v>4307</v>
      </c>
      <c r="B485" s="15">
        <v>58.0</v>
      </c>
    </row>
    <row r="486">
      <c r="A486" s="585" t="s">
        <v>4308</v>
      </c>
      <c r="B486" s="15">
        <v>21.0</v>
      </c>
    </row>
    <row r="487">
      <c r="A487" s="585" t="s">
        <v>4309</v>
      </c>
      <c r="B487" s="15">
        <v>57.0</v>
      </c>
    </row>
    <row r="488">
      <c r="A488" s="585" t="s">
        <v>4310</v>
      </c>
      <c r="B488" s="15">
        <v>54.0</v>
      </c>
    </row>
    <row r="489">
      <c r="A489" s="585" t="s">
        <v>4311</v>
      </c>
      <c r="B489" s="15">
        <v>50.0</v>
      </c>
    </row>
    <row r="490">
      <c r="A490" s="585" t="s">
        <v>4312</v>
      </c>
      <c r="B490" s="15">
        <v>23.0</v>
      </c>
    </row>
    <row r="491">
      <c r="A491" s="585" t="s">
        <v>4313</v>
      </c>
      <c r="B491" s="15">
        <v>46.0</v>
      </c>
    </row>
    <row r="492">
      <c r="A492" s="585" t="s">
        <v>4314</v>
      </c>
      <c r="B492" s="15">
        <v>55.0</v>
      </c>
    </row>
    <row r="493">
      <c r="A493" s="585" t="s">
        <v>4315</v>
      </c>
      <c r="B493" s="15">
        <v>48.0</v>
      </c>
    </row>
    <row r="494">
      <c r="A494" s="585" t="s">
        <v>4316</v>
      </c>
      <c r="B494" s="15">
        <v>52.0</v>
      </c>
    </row>
    <row r="495">
      <c r="A495" s="585" t="s">
        <v>4317</v>
      </c>
      <c r="B495" s="15">
        <v>58.0</v>
      </c>
    </row>
    <row r="496">
      <c r="A496" s="585" t="s">
        <v>4318</v>
      </c>
      <c r="B496" s="15">
        <v>54.0</v>
      </c>
    </row>
    <row r="497">
      <c r="A497" s="585" t="s">
        <v>4319</v>
      </c>
      <c r="B497" s="15">
        <v>23.0</v>
      </c>
    </row>
    <row r="498">
      <c r="A498" s="585" t="s">
        <v>4320</v>
      </c>
      <c r="B498" s="15">
        <v>52.0</v>
      </c>
    </row>
    <row r="499">
      <c r="A499" s="585" t="s">
        <v>4321</v>
      </c>
      <c r="B499" s="15">
        <v>57.0</v>
      </c>
    </row>
    <row r="500">
      <c r="A500" s="585" t="s">
        <v>4322</v>
      </c>
      <c r="B500" s="15">
        <v>42.0</v>
      </c>
    </row>
    <row r="501">
      <c r="A501" s="585" t="s">
        <v>4323</v>
      </c>
      <c r="B501" s="15">
        <v>67.0</v>
      </c>
    </row>
    <row r="502">
      <c r="A502" s="585" t="s">
        <v>4324</v>
      </c>
      <c r="B502" s="15">
        <v>27.0</v>
      </c>
    </row>
    <row r="503">
      <c r="A503" s="585" t="s">
        <v>4325</v>
      </c>
      <c r="B503" s="15">
        <v>69.0</v>
      </c>
    </row>
    <row r="504">
      <c r="A504" s="581" t="s">
        <v>4326</v>
      </c>
      <c r="B504" s="15">
        <v>32.0</v>
      </c>
    </row>
    <row r="505">
      <c r="A505" s="581" t="s">
        <v>4327</v>
      </c>
      <c r="B505" s="15">
        <v>52.0</v>
      </c>
    </row>
    <row r="506">
      <c r="A506" s="581" t="s">
        <v>4328</v>
      </c>
      <c r="B506" s="15">
        <v>58.0</v>
      </c>
    </row>
    <row r="507">
      <c r="A507" s="585" t="s">
        <v>4329</v>
      </c>
      <c r="B507" s="15">
        <v>24.0</v>
      </c>
    </row>
    <row r="508">
      <c r="A508" s="585" t="s">
        <v>4330</v>
      </c>
      <c r="B508" s="15">
        <v>72.0</v>
      </c>
    </row>
    <row r="509">
      <c r="A509" s="585" t="s">
        <v>4331</v>
      </c>
      <c r="B509" s="15">
        <v>60.0</v>
      </c>
    </row>
    <row r="510">
      <c r="A510" s="585" t="s">
        <v>4332</v>
      </c>
      <c r="B510" s="15">
        <v>51.0</v>
      </c>
    </row>
    <row r="511">
      <c r="A511" s="585" t="s">
        <v>4333</v>
      </c>
      <c r="B511" s="15">
        <v>18.0</v>
      </c>
    </row>
    <row r="512">
      <c r="A512" s="585" t="s">
        <v>4334</v>
      </c>
      <c r="B512" s="15">
        <v>62.0</v>
      </c>
    </row>
    <row r="513">
      <c r="A513" s="585" t="s">
        <v>4335</v>
      </c>
      <c r="B513" s="15">
        <v>77.0</v>
      </c>
    </row>
    <row r="514">
      <c r="A514" s="585" t="s">
        <v>4336</v>
      </c>
      <c r="B514" s="15">
        <v>28.0</v>
      </c>
    </row>
    <row r="515">
      <c r="A515" s="585" t="s">
        <v>4337</v>
      </c>
      <c r="B515" s="15">
        <v>37.0</v>
      </c>
    </row>
    <row r="516">
      <c r="A516" s="585" t="s">
        <v>4338</v>
      </c>
      <c r="B516" s="15">
        <v>48.0</v>
      </c>
    </row>
    <row r="517">
      <c r="A517" s="585" t="s">
        <v>4339</v>
      </c>
      <c r="B517" s="15">
        <v>26.0</v>
      </c>
    </row>
    <row r="518">
      <c r="A518" s="585" t="s">
        <v>4340</v>
      </c>
      <c r="B518" s="15">
        <v>26.0</v>
      </c>
    </row>
    <row r="519">
      <c r="A519" s="585" t="s">
        <v>4341</v>
      </c>
      <c r="B519" s="15">
        <v>58.0</v>
      </c>
    </row>
    <row r="520">
      <c r="A520" s="585" t="s">
        <v>4342</v>
      </c>
      <c r="B520" s="15">
        <v>58.0</v>
      </c>
    </row>
    <row r="521">
      <c r="A521" s="585" t="s">
        <v>4343</v>
      </c>
      <c r="B521" s="15">
        <v>67.0</v>
      </c>
    </row>
    <row r="522">
      <c r="A522" s="585" t="s">
        <v>4344</v>
      </c>
      <c r="B522" s="15">
        <v>55.0</v>
      </c>
    </row>
    <row r="523">
      <c r="A523" s="585" t="s">
        <v>4345</v>
      </c>
      <c r="B523" s="15">
        <v>79.0</v>
      </c>
    </row>
    <row r="524">
      <c r="A524" s="585" t="s">
        <v>4346</v>
      </c>
      <c r="B524" s="15">
        <v>48.0</v>
      </c>
    </row>
    <row r="525">
      <c r="A525" s="585" t="s">
        <v>4347</v>
      </c>
      <c r="B525" s="15">
        <v>68.0</v>
      </c>
    </row>
    <row r="526">
      <c r="A526" s="585" t="s">
        <v>4348</v>
      </c>
      <c r="B526" s="15">
        <v>37.0</v>
      </c>
    </row>
    <row r="527">
      <c r="A527" s="585" t="s">
        <v>4349</v>
      </c>
      <c r="B527" s="15">
        <v>78.0</v>
      </c>
    </row>
    <row r="528">
      <c r="A528" s="585" t="s">
        <v>4350</v>
      </c>
      <c r="B528" s="15">
        <v>54.0</v>
      </c>
    </row>
    <row r="529">
      <c r="A529" s="585" t="s">
        <v>4351</v>
      </c>
      <c r="B529" s="15">
        <v>39.0</v>
      </c>
    </row>
    <row r="530">
      <c r="A530" s="585" t="s">
        <v>4352</v>
      </c>
      <c r="B530" s="15">
        <v>43.0</v>
      </c>
    </row>
    <row r="531">
      <c r="A531" s="585" t="s">
        <v>4353</v>
      </c>
      <c r="B531" s="15">
        <v>55.0</v>
      </c>
    </row>
    <row r="532">
      <c r="A532" s="585" t="s">
        <v>4354</v>
      </c>
      <c r="B532" s="15">
        <v>18.0</v>
      </c>
    </row>
    <row r="533">
      <c r="A533" s="585" t="s">
        <v>4355</v>
      </c>
      <c r="B533" s="15">
        <v>59.0</v>
      </c>
    </row>
    <row r="534">
      <c r="A534" s="585" t="s">
        <v>4356</v>
      </c>
      <c r="B534" s="15">
        <v>71.0</v>
      </c>
    </row>
    <row r="535">
      <c r="A535" s="585" t="s">
        <v>4357</v>
      </c>
      <c r="B535" s="15">
        <v>67.0</v>
      </c>
    </row>
    <row r="536">
      <c r="A536" s="585" t="s">
        <v>4358</v>
      </c>
      <c r="B536" s="15">
        <v>45.0</v>
      </c>
    </row>
    <row r="537">
      <c r="A537" s="585" t="s">
        <v>4359</v>
      </c>
      <c r="B537" s="15">
        <v>61.0</v>
      </c>
    </row>
    <row r="538">
      <c r="A538" s="585" t="s">
        <v>4360</v>
      </c>
      <c r="B538" s="15">
        <v>55.0</v>
      </c>
    </row>
    <row r="539">
      <c r="A539" s="585" t="s">
        <v>4361</v>
      </c>
      <c r="B539" s="15">
        <v>51.0</v>
      </c>
    </row>
    <row r="540">
      <c r="A540" s="585" t="s">
        <v>4362</v>
      </c>
      <c r="B540" s="15">
        <v>37.0</v>
      </c>
    </row>
    <row r="541">
      <c r="A541" s="585" t="s">
        <v>4363</v>
      </c>
      <c r="B541" s="15">
        <v>28.0</v>
      </c>
    </row>
    <row r="542">
      <c r="A542" s="585" t="s">
        <v>4364</v>
      </c>
      <c r="B542" s="15">
        <v>17.0</v>
      </c>
    </row>
    <row r="543">
      <c r="A543" s="585" t="s">
        <v>4365</v>
      </c>
      <c r="B543" s="15">
        <v>50.0</v>
      </c>
    </row>
    <row r="544">
      <c r="A544" s="585" t="s">
        <v>4366</v>
      </c>
      <c r="B544" s="15">
        <v>40.0</v>
      </c>
    </row>
    <row r="545">
      <c r="A545" s="585" t="s">
        <v>4367</v>
      </c>
      <c r="B545" s="15">
        <v>25.0</v>
      </c>
    </row>
    <row r="546">
      <c r="A546" s="585" t="s">
        <v>4368</v>
      </c>
      <c r="B546" s="15">
        <v>41.0</v>
      </c>
    </row>
    <row r="547">
      <c r="A547" s="585" t="s">
        <v>4369</v>
      </c>
      <c r="B547" s="15">
        <v>57.0</v>
      </c>
    </row>
    <row r="548">
      <c r="A548" s="581" t="s">
        <v>4370</v>
      </c>
      <c r="B548" s="15">
        <v>52.0</v>
      </c>
    </row>
    <row r="549">
      <c r="A549" s="581" t="s">
        <v>4371</v>
      </c>
      <c r="B549" s="15">
        <v>25.0</v>
      </c>
    </row>
    <row r="550">
      <c r="A550" s="581" t="s">
        <v>4372</v>
      </c>
      <c r="B550" s="15">
        <v>38.0</v>
      </c>
    </row>
    <row r="551">
      <c r="A551" s="581" t="s">
        <v>4373</v>
      </c>
      <c r="B551" s="15">
        <v>72.0</v>
      </c>
    </row>
    <row r="552">
      <c r="A552" s="581" t="s">
        <v>4374</v>
      </c>
      <c r="B552" s="15">
        <v>43.0</v>
      </c>
    </row>
    <row r="553">
      <c r="A553" s="581" t="s">
        <v>4375</v>
      </c>
      <c r="B553" s="15">
        <v>84.0</v>
      </c>
    </row>
    <row r="554">
      <c r="A554" s="585" t="s">
        <v>4376</v>
      </c>
      <c r="B554" s="15">
        <v>67.0</v>
      </c>
    </row>
    <row r="555">
      <c r="A555" s="585" t="s">
        <v>4377</v>
      </c>
      <c r="B555" s="15">
        <v>56.0</v>
      </c>
    </row>
    <row r="556">
      <c r="A556" s="585" t="s">
        <v>4378</v>
      </c>
      <c r="B556" s="15">
        <v>18.0</v>
      </c>
    </row>
    <row r="557">
      <c r="A557" s="585" t="s">
        <v>4379</v>
      </c>
      <c r="B557" s="15">
        <v>54.0</v>
      </c>
    </row>
    <row r="558">
      <c r="A558" s="585" t="s">
        <v>4380</v>
      </c>
      <c r="B558" s="15">
        <v>58.0</v>
      </c>
    </row>
    <row r="559">
      <c r="A559" s="585" t="s">
        <v>4381</v>
      </c>
      <c r="B559" s="15">
        <v>36.0</v>
      </c>
    </row>
    <row r="560">
      <c r="A560" s="585" t="s">
        <v>4382</v>
      </c>
      <c r="B560" s="15">
        <v>54.0</v>
      </c>
    </row>
    <row r="561">
      <c r="A561" s="585" t="s">
        <v>4383</v>
      </c>
      <c r="B561" s="15">
        <v>18.0</v>
      </c>
    </row>
    <row r="562">
      <c r="A562" s="585" t="s">
        <v>4384</v>
      </c>
      <c r="B562" s="15">
        <v>69.0</v>
      </c>
    </row>
    <row r="563">
      <c r="A563" s="585" t="s">
        <v>4385</v>
      </c>
      <c r="B563" s="15">
        <v>48.0</v>
      </c>
    </row>
    <row r="564">
      <c r="A564" s="585" t="s">
        <v>4386</v>
      </c>
      <c r="B564" s="15">
        <v>47.0</v>
      </c>
    </row>
    <row r="565">
      <c r="A565" s="585" t="s">
        <v>4387</v>
      </c>
      <c r="B565" s="15">
        <v>26.0</v>
      </c>
    </row>
    <row r="566">
      <c r="A566" s="585" t="s">
        <v>4388</v>
      </c>
      <c r="B566" s="15">
        <v>65.0</v>
      </c>
    </row>
    <row r="567">
      <c r="A567" s="585" t="s">
        <v>4389</v>
      </c>
      <c r="B567" s="15">
        <v>28.0</v>
      </c>
    </row>
    <row r="568">
      <c r="A568" s="585" t="s">
        <v>4390</v>
      </c>
      <c r="B568" s="15">
        <v>38.0</v>
      </c>
    </row>
    <row r="569">
      <c r="A569" s="585" t="s">
        <v>4391</v>
      </c>
      <c r="B569" s="15">
        <v>66.0</v>
      </c>
    </row>
    <row r="570">
      <c r="A570" s="585" t="s">
        <v>4392</v>
      </c>
      <c r="B570" s="15">
        <v>36.0</v>
      </c>
    </row>
    <row r="571">
      <c r="A571" s="585" t="s">
        <v>4393</v>
      </c>
      <c r="B571" s="15">
        <v>23.0</v>
      </c>
    </row>
    <row r="572">
      <c r="A572" s="585" t="s">
        <v>4394</v>
      </c>
      <c r="B572" s="15">
        <v>33.0</v>
      </c>
    </row>
    <row r="573">
      <c r="A573" s="585" t="s">
        <v>4395</v>
      </c>
      <c r="B573" s="15">
        <v>45.0</v>
      </c>
    </row>
    <row r="574">
      <c r="A574" s="585" t="s">
        <v>4396</v>
      </c>
      <c r="B574" s="15">
        <v>59.0</v>
      </c>
    </row>
    <row r="575">
      <c r="A575" s="585" t="s">
        <v>4397</v>
      </c>
      <c r="B575" s="15">
        <v>60.0</v>
      </c>
    </row>
    <row r="576">
      <c r="A576" s="585" t="s">
        <v>4398</v>
      </c>
      <c r="B576" s="15">
        <v>51.0</v>
      </c>
    </row>
    <row r="577">
      <c r="A577" s="585" t="s">
        <v>4399</v>
      </c>
      <c r="B577" s="15">
        <v>21.0</v>
      </c>
    </row>
    <row r="578">
      <c r="A578" s="585" t="s">
        <v>4400</v>
      </c>
      <c r="B578" s="15">
        <v>28.0</v>
      </c>
    </row>
    <row r="579">
      <c r="A579" s="585" t="s">
        <v>4401</v>
      </c>
      <c r="B579" s="15">
        <v>51.0</v>
      </c>
    </row>
    <row r="580">
      <c r="A580" s="585" t="s">
        <v>4402</v>
      </c>
      <c r="B580" s="15">
        <v>49.0</v>
      </c>
    </row>
    <row r="581">
      <c r="A581" s="585" t="s">
        <v>4403</v>
      </c>
      <c r="B581" s="15">
        <v>30.0</v>
      </c>
    </row>
    <row r="582">
      <c r="A582" s="585" t="s">
        <v>4404</v>
      </c>
      <c r="B582" s="15">
        <v>20.0</v>
      </c>
    </row>
    <row r="583">
      <c r="A583" s="585" t="s">
        <v>4405</v>
      </c>
      <c r="B583" s="15">
        <v>35.0</v>
      </c>
    </row>
    <row r="584">
      <c r="A584" s="585" t="s">
        <v>4406</v>
      </c>
      <c r="B584" s="15">
        <v>49.0</v>
      </c>
    </row>
    <row r="585">
      <c r="A585" s="585" t="s">
        <v>4407</v>
      </c>
      <c r="B585" s="15">
        <v>41.0</v>
      </c>
    </row>
    <row r="586">
      <c r="A586" s="585" t="s">
        <v>4408</v>
      </c>
      <c r="B586" s="15">
        <v>45.0</v>
      </c>
    </row>
    <row r="587">
      <c r="A587" s="585" t="s">
        <v>4409</v>
      </c>
      <c r="B587" s="15">
        <v>24.0</v>
      </c>
    </row>
    <row r="588">
      <c r="A588" s="585" t="s">
        <v>2707</v>
      </c>
      <c r="B588" s="15">
        <v>52.0</v>
      </c>
    </row>
    <row r="589">
      <c r="A589" s="585" t="s">
        <v>4410</v>
      </c>
      <c r="B589" s="15">
        <v>51.0</v>
      </c>
    </row>
    <row r="590">
      <c r="A590" s="585" t="s">
        <v>4411</v>
      </c>
      <c r="B590" s="15">
        <v>7.0</v>
      </c>
    </row>
    <row r="591">
      <c r="A591" s="585" t="s">
        <v>4412</v>
      </c>
      <c r="B591" s="15">
        <v>53.0</v>
      </c>
    </row>
    <row r="592">
      <c r="A592" s="585" t="s">
        <v>4413</v>
      </c>
      <c r="B592" s="15">
        <v>66.0</v>
      </c>
    </row>
    <row r="593">
      <c r="A593" s="585" t="s">
        <v>4414</v>
      </c>
      <c r="B593" s="15">
        <v>79.0</v>
      </c>
    </row>
    <row r="594">
      <c r="A594" s="581" t="s">
        <v>4415</v>
      </c>
      <c r="B594" s="15">
        <v>85.0</v>
      </c>
    </row>
    <row r="595">
      <c r="A595" s="581" t="s">
        <v>4416</v>
      </c>
      <c r="B595" s="15">
        <v>28.0</v>
      </c>
    </row>
    <row r="596">
      <c r="A596" s="585" t="s">
        <v>4417</v>
      </c>
      <c r="B596" s="15">
        <v>37.0</v>
      </c>
    </row>
    <row r="597">
      <c r="A597" s="585" t="s">
        <v>4418</v>
      </c>
      <c r="B597" s="15">
        <v>16.0</v>
      </c>
    </row>
    <row r="598">
      <c r="A598" s="585" t="s">
        <v>4419</v>
      </c>
      <c r="B598" s="15">
        <v>27.0</v>
      </c>
    </row>
    <row r="599">
      <c r="A599" s="585" t="s">
        <v>4420</v>
      </c>
      <c r="B599" s="15">
        <v>40.0</v>
      </c>
    </row>
    <row r="600">
      <c r="A600" s="585" t="s">
        <v>4421</v>
      </c>
      <c r="B600" s="15">
        <v>68.0</v>
      </c>
    </row>
    <row r="601">
      <c r="A601" s="585" t="s">
        <v>4422</v>
      </c>
      <c r="B601" s="15">
        <v>40.0</v>
      </c>
    </row>
    <row r="602">
      <c r="A602" s="585" t="s">
        <v>4423</v>
      </c>
      <c r="B602" s="15">
        <v>66.0</v>
      </c>
    </row>
    <row r="603">
      <c r="A603" s="585" t="s">
        <v>4424</v>
      </c>
      <c r="B603" s="15">
        <v>51.0</v>
      </c>
    </row>
    <row r="604">
      <c r="A604" s="585" t="s">
        <v>4425</v>
      </c>
      <c r="B604" s="15">
        <v>58.0</v>
      </c>
    </row>
    <row r="605">
      <c r="A605" s="585" t="s">
        <v>4426</v>
      </c>
      <c r="B605" s="15">
        <v>45.0</v>
      </c>
    </row>
    <row r="606">
      <c r="A606" s="585" t="s">
        <v>4427</v>
      </c>
      <c r="B606" s="15">
        <v>31.0</v>
      </c>
    </row>
    <row r="607">
      <c r="A607" s="585" t="s">
        <v>4428</v>
      </c>
      <c r="B607" s="15">
        <v>52.0</v>
      </c>
    </row>
    <row r="608">
      <c r="A608" s="585" t="s">
        <v>4429</v>
      </c>
      <c r="B608" s="15">
        <v>40.0</v>
      </c>
    </row>
    <row r="609">
      <c r="A609" s="585" t="s">
        <v>4430</v>
      </c>
      <c r="B609" s="15">
        <v>40.0</v>
      </c>
    </row>
    <row r="610">
      <c r="A610" s="585" t="s">
        <v>4431</v>
      </c>
      <c r="B610" s="15">
        <v>70.0</v>
      </c>
    </row>
    <row r="611">
      <c r="A611" s="585" t="s">
        <v>4432</v>
      </c>
      <c r="B611" s="15">
        <v>27.0</v>
      </c>
    </row>
    <row r="612">
      <c r="A612" s="585" t="s">
        <v>4433</v>
      </c>
      <c r="B612" s="15">
        <v>58.0</v>
      </c>
    </row>
    <row r="613">
      <c r="A613" s="585" t="s">
        <v>4434</v>
      </c>
      <c r="B613" s="15">
        <v>56.0</v>
      </c>
    </row>
    <row r="614">
      <c r="A614" s="585" t="s">
        <v>4435</v>
      </c>
      <c r="B614" s="15">
        <v>36.0</v>
      </c>
    </row>
    <row r="615">
      <c r="A615" s="585" t="s">
        <v>4436</v>
      </c>
      <c r="B615" s="15">
        <v>49.0</v>
      </c>
    </row>
    <row r="616">
      <c r="A616" s="585" t="s">
        <v>4437</v>
      </c>
      <c r="B616" s="15">
        <v>22.0</v>
      </c>
    </row>
    <row r="617">
      <c r="A617" s="585" t="s">
        <v>4438</v>
      </c>
      <c r="B617" s="15">
        <v>74.0</v>
      </c>
    </row>
    <row r="618">
      <c r="A618" s="585" t="s">
        <v>4439</v>
      </c>
      <c r="B618" s="15">
        <v>53.0</v>
      </c>
    </row>
    <row r="619">
      <c r="A619" s="585" t="s">
        <v>4440</v>
      </c>
      <c r="B619" s="15">
        <v>40.0</v>
      </c>
    </row>
    <row r="620">
      <c r="A620" s="585" t="s">
        <v>4441</v>
      </c>
      <c r="B620" s="15">
        <v>57.0</v>
      </c>
    </row>
    <row r="621">
      <c r="A621" s="585" t="s">
        <v>4442</v>
      </c>
      <c r="B621" s="15">
        <v>55.0</v>
      </c>
    </row>
    <row r="622">
      <c r="A622" s="585" t="s">
        <v>4443</v>
      </c>
      <c r="B622" s="15">
        <v>47.0</v>
      </c>
    </row>
    <row r="623">
      <c r="A623" s="585" t="s">
        <v>4444</v>
      </c>
      <c r="B623" s="15">
        <v>68.0</v>
      </c>
    </row>
    <row r="624">
      <c r="A624" s="585" t="s">
        <v>4445</v>
      </c>
      <c r="B624" s="15">
        <v>35.0</v>
      </c>
    </row>
    <row r="625">
      <c r="A625" s="585" t="s">
        <v>2703</v>
      </c>
      <c r="B625" s="15">
        <v>26.0</v>
      </c>
    </row>
    <row r="626">
      <c r="A626" s="585" t="s">
        <v>4446</v>
      </c>
      <c r="B626" s="15">
        <v>55.0</v>
      </c>
    </row>
    <row r="627">
      <c r="A627" s="585" t="s">
        <v>4447</v>
      </c>
      <c r="B627" s="15">
        <v>53.0</v>
      </c>
    </row>
    <row r="628">
      <c r="A628" s="585" t="s">
        <v>4448</v>
      </c>
      <c r="B628" s="15">
        <v>19.0</v>
      </c>
    </row>
    <row r="629">
      <c r="A629" s="585" t="s">
        <v>4449</v>
      </c>
      <c r="B629" s="15">
        <v>36.0</v>
      </c>
    </row>
    <row r="630">
      <c r="A630" s="585" t="s">
        <v>4450</v>
      </c>
      <c r="B630" s="15">
        <v>48.0</v>
      </c>
    </row>
    <row r="631">
      <c r="A631" s="585" t="s">
        <v>4451</v>
      </c>
      <c r="B631" s="15">
        <v>27.0</v>
      </c>
    </row>
    <row r="632">
      <c r="A632" s="585" t="s">
        <v>4452</v>
      </c>
      <c r="B632" s="15">
        <v>34.0</v>
      </c>
    </row>
    <row r="633">
      <c r="A633" s="585" t="s">
        <v>4453</v>
      </c>
      <c r="B633" s="15">
        <v>61.0</v>
      </c>
    </row>
    <row r="634">
      <c r="A634" s="585" t="s">
        <v>2705</v>
      </c>
      <c r="B634" s="15">
        <v>14.0</v>
      </c>
    </row>
    <row r="635">
      <c r="A635" s="585" t="s">
        <v>4454</v>
      </c>
      <c r="B635" s="15">
        <v>74.0</v>
      </c>
    </row>
    <row r="636">
      <c r="A636" s="585" t="s">
        <v>4455</v>
      </c>
      <c r="B636" s="15">
        <v>29.0</v>
      </c>
    </row>
    <row r="637">
      <c r="A637" s="585" t="s">
        <v>4456</v>
      </c>
      <c r="B637" s="15">
        <v>31.0</v>
      </c>
    </row>
    <row r="638">
      <c r="A638" s="585" t="s">
        <v>4457</v>
      </c>
      <c r="B638" s="15">
        <v>62.0</v>
      </c>
    </row>
    <row r="639">
      <c r="A639" s="581" t="s">
        <v>4458</v>
      </c>
      <c r="B639" s="15">
        <v>17.0</v>
      </c>
    </row>
    <row r="640">
      <c r="A640" s="581" t="s">
        <v>4459</v>
      </c>
      <c r="B640" s="15">
        <v>66.0</v>
      </c>
    </row>
    <row r="641">
      <c r="A641" s="581" t="s">
        <v>4460</v>
      </c>
      <c r="B641" s="15">
        <v>52.0</v>
      </c>
    </row>
    <row r="642">
      <c r="A642" s="581" t="s">
        <v>4461</v>
      </c>
      <c r="B642" s="15">
        <v>55.0</v>
      </c>
    </row>
    <row r="643">
      <c r="A643" s="585" t="s">
        <v>4462</v>
      </c>
      <c r="B643" s="15">
        <v>37.0</v>
      </c>
    </row>
    <row r="644">
      <c r="A644" s="585" t="s">
        <v>4463</v>
      </c>
      <c r="B644" s="15">
        <v>47.0</v>
      </c>
    </row>
    <row r="645">
      <c r="A645" s="585" t="s">
        <v>4464</v>
      </c>
      <c r="B645" s="15">
        <v>52.0</v>
      </c>
    </row>
    <row r="646">
      <c r="A646" s="585" t="s">
        <v>4465</v>
      </c>
      <c r="B646" s="15">
        <v>45.0</v>
      </c>
    </row>
    <row r="647">
      <c r="A647" s="585" t="s">
        <v>4466</v>
      </c>
      <c r="B647" s="15">
        <v>38.0</v>
      </c>
    </row>
    <row r="648">
      <c r="A648" s="585" t="s">
        <v>4467</v>
      </c>
      <c r="B648" s="15">
        <v>65.0</v>
      </c>
    </row>
    <row r="649">
      <c r="A649" s="585" t="s">
        <v>4468</v>
      </c>
      <c r="B649" s="15">
        <v>52.0</v>
      </c>
    </row>
    <row r="650">
      <c r="A650" s="585" t="s">
        <v>4469</v>
      </c>
      <c r="B650" s="15">
        <v>67.0</v>
      </c>
    </row>
    <row r="651">
      <c r="A651" s="585" t="s">
        <v>4470</v>
      </c>
      <c r="B651" s="15">
        <v>78.0</v>
      </c>
    </row>
    <row r="652">
      <c r="A652" s="585" t="s">
        <v>4471</v>
      </c>
      <c r="B652" s="15">
        <v>25.0</v>
      </c>
    </row>
    <row r="653">
      <c r="A653" s="585" t="s">
        <v>4472</v>
      </c>
      <c r="B653" s="15">
        <v>48.0</v>
      </c>
    </row>
    <row r="654">
      <c r="A654" s="585" t="s">
        <v>4473</v>
      </c>
      <c r="B654" s="15">
        <v>74.0</v>
      </c>
    </row>
    <row r="655">
      <c r="A655" s="585" t="s">
        <v>4474</v>
      </c>
      <c r="B655" s="15">
        <v>63.0</v>
      </c>
    </row>
    <row r="656">
      <c r="A656" s="585" t="s">
        <v>4475</v>
      </c>
      <c r="B656" s="15">
        <v>61.0</v>
      </c>
    </row>
    <row r="657">
      <c r="A657" s="585" t="s">
        <v>4476</v>
      </c>
      <c r="B657" s="15">
        <v>78.0</v>
      </c>
    </row>
    <row r="658">
      <c r="A658" s="585" t="s">
        <v>4477</v>
      </c>
      <c r="B658" s="15">
        <v>43.0</v>
      </c>
    </row>
    <row r="659">
      <c r="A659" s="585" t="s">
        <v>4478</v>
      </c>
      <c r="B659" s="15">
        <v>61.0</v>
      </c>
    </row>
    <row r="660">
      <c r="A660" s="585" t="s">
        <v>4479</v>
      </c>
      <c r="B660" s="15">
        <v>65.0</v>
      </c>
    </row>
    <row r="661">
      <c r="A661" s="585" t="s">
        <v>4480</v>
      </c>
      <c r="B661" s="15">
        <v>51.0</v>
      </c>
    </row>
    <row r="662">
      <c r="A662" s="585" t="s">
        <v>4481</v>
      </c>
      <c r="B662" s="15">
        <v>55.0</v>
      </c>
    </row>
    <row r="663">
      <c r="A663" s="585" t="s">
        <v>4482</v>
      </c>
      <c r="B663" s="15">
        <v>61.0</v>
      </c>
    </row>
    <row r="664">
      <c r="A664" s="585" t="s">
        <v>4483</v>
      </c>
      <c r="B664" s="15">
        <v>72.0</v>
      </c>
    </row>
    <row r="665">
      <c r="A665" s="585" t="s">
        <v>4484</v>
      </c>
      <c r="B665" s="15">
        <v>57.0</v>
      </c>
    </row>
    <row r="666">
      <c r="A666" s="585" t="s">
        <v>4485</v>
      </c>
      <c r="B666" s="15">
        <v>59.0</v>
      </c>
    </row>
    <row r="667">
      <c r="A667" s="585" t="s">
        <v>4486</v>
      </c>
      <c r="B667" s="15">
        <v>42.0</v>
      </c>
    </row>
    <row r="668">
      <c r="A668" s="585" t="s">
        <v>4487</v>
      </c>
      <c r="B668" s="15">
        <v>56.0</v>
      </c>
    </row>
    <row r="669">
      <c r="A669" s="585" t="s">
        <v>4488</v>
      </c>
      <c r="B669" s="15">
        <v>48.0</v>
      </c>
    </row>
    <row r="670">
      <c r="A670" s="585" t="s">
        <v>4489</v>
      </c>
      <c r="B670" s="15">
        <v>50.0</v>
      </c>
    </row>
    <row r="671">
      <c r="A671" s="585" t="s">
        <v>4490</v>
      </c>
      <c r="B671" s="15">
        <v>31.0</v>
      </c>
    </row>
    <row r="672">
      <c r="A672" s="585" t="s">
        <v>4491</v>
      </c>
      <c r="B672" s="15">
        <v>40.0</v>
      </c>
    </row>
    <row r="673">
      <c r="A673" s="585" t="s">
        <v>4492</v>
      </c>
      <c r="B673" s="15">
        <v>79.0</v>
      </c>
    </row>
    <row r="674">
      <c r="A674" s="585" t="s">
        <v>4493</v>
      </c>
      <c r="B674" s="15">
        <v>30.0</v>
      </c>
    </row>
    <row r="675">
      <c r="A675" s="585" t="s">
        <v>4494</v>
      </c>
      <c r="B675" s="15">
        <v>56.0</v>
      </c>
    </row>
    <row r="676">
      <c r="A676" s="585" t="s">
        <v>4495</v>
      </c>
      <c r="B676" s="15">
        <v>49.0</v>
      </c>
    </row>
    <row r="677">
      <c r="A677" s="585" t="s">
        <v>4496</v>
      </c>
      <c r="B677" s="15">
        <v>31.0</v>
      </c>
    </row>
    <row r="678">
      <c r="A678" s="585" t="s">
        <v>4497</v>
      </c>
      <c r="B678" s="15">
        <v>31.0</v>
      </c>
    </row>
    <row r="679">
      <c r="A679" s="585" t="s">
        <v>4498</v>
      </c>
      <c r="B679" s="15">
        <v>55.0</v>
      </c>
    </row>
    <row r="680">
      <c r="A680" s="585" t="s">
        <v>4499</v>
      </c>
      <c r="B680" s="15">
        <v>79.0</v>
      </c>
    </row>
    <row r="681">
      <c r="A681" s="585" t="s">
        <v>4500</v>
      </c>
      <c r="B681" s="15">
        <v>50.0</v>
      </c>
    </row>
    <row r="682">
      <c r="A682" s="581" t="s">
        <v>4501</v>
      </c>
      <c r="B682" s="15">
        <v>65.0</v>
      </c>
    </row>
    <row r="683">
      <c r="A683" s="581" t="s">
        <v>4502</v>
      </c>
      <c r="B683" s="15">
        <v>49.0</v>
      </c>
    </row>
    <row r="684">
      <c r="A684" s="581" t="s">
        <v>4503</v>
      </c>
      <c r="B684" s="15">
        <v>57.0</v>
      </c>
    </row>
    <row r="685">
      <c r="A685" s="585" t="s">
        <v>4504</v>
      </c>
      <c r="B685" s="15">
        <v>8.0</v>
      </c>
    </row>
    <row r="686">
      <c r="A686" s="585" t="s">
        <v>4505</v>
      </c>
      <c r="B686" s="15">
        <v>58.0</v>
      </c>
    </row>
    <row r="687">
      <c r="A687" s="585" t="s">
        <v>4506</v>
      </c>
      <c r="B687" s="15">
        <v>75.0</v>
      </c>
    </row>
    <row r="688">
      <c r="A688" s="585" t="s">
        <v>4507</v>
      </c>
      <c r="B688" s="15">
        <v>82.0</v>
      </c>
    </row>
    <row r="689">
      <c r="A689" s="585" t="s">
        <v>4508</v>
      </c>
      <c r="B689" s="15">
        <v>39.0</v>
      </c>
    </row>
    <row r="690">
      <c r="A690" s="585" t="s">
        <v>4509</v>
      </c>
      <c r="B690" s="15">
        <v>75.0</v>
      </c>
    </row>
    <row r="691">
      <c r="A691" s="585" t="s">
        <v>4510</v>
      </c>
      <c r="B691" s="15">
        <v>48.0</v>
      </c>
    </row>
    <row r="692">
      <c r="A692" s="585" t="s">
        <v>4511</v>
      </c>
      <c r="B692" s="15">
        <v>65.0</v>
      </c>
    </row>
    <row r="693">
      <c r="A693" s="585" t="s">
        <v>4512</v>
      </c>
      <c r="B693" s="15">
        <v>24.0</v>
      </c>
    </row>
    <row r="694">
      <c r="A694" s="585" t="s">
        <v>4513</v>
      </c>
      <c r="B694" s="15">
        <v>65.0</v>
      </c>
    </row>
    <row r="695">
      <c r="A695" s="585" t="s">
        <v>4514</v>
      </c>
      <c r="B695" s="15">
        <v>44.0</v>
      </c>
    </row>
    <row r="696">
      <c r="A696" s="585" t="s">
        <v>4515</v>
      </c>
      <c r="B696" s="15">
        <v>73.0</v>
      </c>
    </row>
    <row r="697">
      <c r="A697" s="585" t="s">
        <v>4516</v>
      </c>
      <c r="B697" s="15">
        <v>69.0</v>
      </c>
    </row>
    <row r="698">
      <c r="A698" s="585" t="s">
        <v>4517</v>
      </c>
      <c r="B698" s="15">
        <v>50.0</v>
      </c>
    </row>
    <row r="699">
      <c r="A699" s="585" t="s">
        <v>4518</v>
      </c>
      <c r="B699" s="15">
        <v>46.0</v>
      </c>
    </row>
    <row r="700">
      <c r="A700" s="585" t="s">
        <v>4519</v>
      </c>
      <c r="B700" s="15">
        <v>39.0</v>
      </c>
    </row>
    <row r="701">
      <c r="A701" s="585" t="s">
        <v>4520</v>
      </c>
      <c r="B701" s="15">
        <v>48.0</v>
      </c>
    </row>
    <row r="702">
      <c r="A702" s="585" t="s">
        <v>4521</v>
      </c>
      <c r="B702" s="15">
        <v>27.0</v>
      </c>
    </row>
    <row r="703">
      <c r="A703" s="585" t="s">
        <v>4522</v>
      </c>
      <c r="B703" s="15">
        <v>51.0</v>
      </c>
    </row>
    <row r="704">
      <c r="A704" s="585" t="s">
        <v>4523</v>
      </c>
      <c r="B704" s="15">
        <v>52.0</v>
      </c>
    </row>
    <row r="705">
      <c r="A705" s="585" t="s">
        <v>4524</v>
      </c>
      <c r="B705" s="15">
        <v>34.0</v>
      </c>
    </row>
    <row r="706">
      <c r="A706" s="585" t="s">
        <v>4525</v>
      </c>
      <c r="B706" s="15">
        <v>56.0</v>
      </c>
    </row>
    <row r="707">
      <c r="A707" s="585" t="s">
        <v>4526</v>
      </c>
      <c r="B707" s="15">
        <v>53.0</v>
      </c>
    </row>
    <row r="708">
      <c r="A708" s="585" t="s">
        <v>4527</v>
      </c>
      <c r="B708" s="15">
        <v>28.0</v>
      </c>
    </row>
    <row r="709">
      <c r="A709" s="585" t="s">
        <v>4528</v>
      </c>
      <c r="B709" s="15">
        <v>25.0</v>
      </c>
    </row>
    <row r="710">
      <c r="A710" s="585" t="s">
        <v>4529</v>
      </c>
      <c r="B710" s="15">
        <v>67.0</v>
      </c>
    </row>
    <row r="711">
      <c r="A711" s="585" t="s">
        <v>4530</v>
      </c>
      <c r="B711" s="15">
        <v>45.0</v>
      </c>
    </row>
    <row r="712">
      <c r="A712" s="585" t="s">
        <v>4531</v>
      </c>
      <c r="B712" s="15">
        <v>55.0</v>
      </c>
    </row>
    <row r="713">
      <c r="A713" s="585" t="s">
        <v>4532</v>
      </c>
      <c r="B713" s="15">
        <v>50.0</v>
      </c>
    </row>
    <row r="714">
      <c r="A714" s="585" t="s">
        <v>4533</v>
      </c>
      <c r="B714" s="15">
        <v>57.0</v>
      </c>
    </row>
    <row r="715">
      <c r="A715" s="585" t="s">
        <v>4534</v>
      </c>
      <c r="B715" s="15">
        <v>70.0</v>
      </c>
    </row>
    <row r="716">
      <c r="A716" s="585" t="s">
        <v>4535</v>
      </c>
      <c r="B716" s="15">
        <v>49.0</v>
      </c>
    </row>
    <row r="717">
      <c r="A717" s="585" t="s">
        <v>4536</v>
      </c>
      <c r="B717" s="15">
        <v>64.0</v>
      </c>
    </row>
    <row r="718">
      <c r="A718" s="585" t="s">
        <v>4537</v>
      </c>
      <c r="B718" s="15">
        <v>39.0</v>
      </c>
    </row>
    <row r="719">
      <c r="A719" s="585" t="s">
        <v>4538</v>
      </c>
      <c r="B719" s="15">
        <v>45.0</v>
      </c>
    </row>
    <row r="720">
      <c r="A720" s="585" t="s">
        <v>4539</v>
      </c>
      <c r="B720" s="15">
        <v>42.0</v>
      </c>
    </row>
    <row r="721">
      <c r="A721" s="585" t="s">
        <v>4540</v>
      </c>
      <c r="B721" s="15">
        <v>50.0</v>
      </c>
    </row>
    <row r="722">
      <c r="A722" s="585" t="s">
        <v>4541</v>
      </c>
      <c r="B722" s="15">
        <v>78.0</v>
      </c>
    </row>
    <row r="723">
      <c r="A723" s="585" t="s">
        <v>4542</v>
      </c>
      <c r="B723" s="15">
        <v>55.0</v>
      </c>
    </row>
    <row r="724">
      <c r="A724" s="585" t="s">
        <v>2709</v>
      </c>
      <c r="B724" s="15">
        <v>33.0</v>
      </c>
    </row>
    <row r="725">
      <c r="A725" s="585" t="s">
        <v>4543</v>
      </c>
      <c r="B725" s="15">
        <v>18.0</v>
      </c>
    </row>
    <row r="726">
      <c r="A726" s="585" t="s">
        <v>4544</v>
      </c>
      <c r="B726" s="15">
        <v>51.0</v>
      </c>
    </row>
    <row r="727">
      <c r="A727" s="585" t="s">
        <v>4545</v>
      </c>
      <c r="B727" s="15">
        <v>58.0</v>
      </c>
    </row>
    <row r="728">
      <c r="A728" s="585" t="s">
        <v>4546</v>
      </c>
      <c r="B728" s="15">
        <v>41.0</v>
      </c>
    </row>
    <row r="729">
      <c r="A729" s="585" t="s">
        <v>4547</v>
      </c>
      <c r="B729" s="15">
        <v>38.0</v>
      </c>
    </row>
    <row r="730">
      <c r="A730" s="585" t="s">
        <v>4548</v>
      </c>
      <c r="B730" s="15">
        <v>35.0</v>
      </c>
    </row>
    <row r="731">
      <c r="A731" s="585" t="s">
        <v>4549</v>
      </c>
      <c r="B731" s="15">
        <v>9.0</v>
      </c>
    </row>
    <row r="732">
      <c r="A732" s="585" t="s">
        <v>4550</v>
      </c>
      <c r="B732" s="15">
        <v>68.0</v>
      </c>
    </row>
    <row r="733">
      <c r="A733" s="585" t="s">
        <v>4551</v>
      </c>
      <c r="B733" s="15">
        <v>64.0</v>
      </c>
    </row>
    <row r="734">
      <c r="A734" s="585" t="s">
        <v>4552</v>
      </c>
      <c r="B734" s="15">
        <v>36.0</v>
      </c>
    </row>
    <row r="735">
      <c r="A735" s="585" t="s">
        <v>4553</v>
      </c>
      <c r="B735" s="15">
        <v>66.0</v>
      </c>
    </row>
    <row r="736">
      <c r="A736" s="585" t="s">
        <v>4554</v>
      </c>
      <c r="B736" s="15">
        <v>28.0</v>
      </c>
    </row>
    <row r="737">
      <c r="A737" s="585" t="s">
        <v>4555</v>
      </c>
      <c r="B737" s="15">
        <v>18.0</v>
      </c>
    </row>
    <row r="738">
      <c r="A738" s="585" t="s">
        <v>4556</v>
      </c>
      <c r="B738" s="15">
        <v>59.0</v>
      </c>
    </row>
    <row r="739">
      <c r="A739" s="585" t="s">
        <v>4557</v>
      </c>
      <c r="B739" s="15">
        <v>41.0</v>
      </c>
    </row>
    <row r="740">
      <c r="A740" s="585" t="s">
        <v>4558</v>
      </c>
      <c r="B740" s="15">
        <v>72.0</v>
      </c>
    </row>
    <row r="741">
      <c r="A741" s="585" t="s">
        <v>4559</v>
      </c>
      <c r="B741" s="15">
        <v>47.0</v>
      </c>
    </row>
    <row r="742">
      <c r="A742" s="585" t="s">
        <v>4560</v>
      </c>
      <c r="B742" s="15">
        <v>40.0</v>
      </c>
    </row>
    <row r="743">
      <c r="A743" s="585" t="s">
        <v>4561</v>
      </c>
      <c r="B743" s="15">
        <v>45.0</v>
      </c>
    </row>
    <row r="744">
      <c r="A744" s="585" t="s">
        <v>4562</v>
      </c>
      <c r="B744" s="15">
        <v>23.0</v>
      </c>
    </row>
    <row r="745">
      <c r="A745" s="585" t="s">
        <v>4563</v>
      </c>
      <c r="B745" s="15">
        <v>63.0</v>
      </c>
    </row>
    <row r="746">
      <c r="A746" s="585" t="s">
        <v>4564</v>
      </c>
      <c r="B746" s="15">
        <v>54.0</v>
      </c>
    </row>
    <row r="747">
      <c r="A747" s="585" t="s">
        <v>4565</v>
      </c>
      <c r="B747" s="15">
        <v>61.0</v>
      </c>
    </row>
    <row r="748">
      <c r="A748" s="585" t="s">
        <v>4566</v>
      </c>
      <c r="B748" s="15">
        <v>50.0</v>
      </c>
    </row>
    <row r="749">
      <c r="A749" s="585" t="s">
        <v>4567</v>
      </c>
      <c r="B749" s="15">
        <v>39.0</v>
      </c>
    </row>
    <row r="750">
      <c r="A750" s="585" t="s">
        <v>4568</v>
      </c>
      <c r="B750" s="15">
        <v>37.0</v>
      </c>
    </row>
    <row r="751">
      <c r="A751" s="585" t="s">
        <v>4569</v>
      </c>
      <c r="B751" s="15">
        <v>57.0</v>
      </c>
    </row>
    <row r="752">
      <c r="A752" s="585" t="s">
        <v>4570</v>
      </c>
      <c r="B752" s="15">
        <v>52.0</v>
      </c>
    </row>
    <row r="753">
      <c r="A753" s="585" t="s">
        <v>4571</v>
      </c>
      <c r="B753" s="15">
        <v>67.0</v>
      </c>
    </row>
    <row r="754">
      <c r="A754" s="585" t="s">
        <v>4572</v>
      </c>
      <c r="B754" s="15">
        <v>52.0</v>
      </c>
    </row>
    <row r="755">
      <c r="A755" s="585" t="s">
        <v>4573</v>
      </c>
      <c r="B755" s="15">
        <v>49.0</v>
      </c>
    </row>
    <row r="756">
      <c r="A756" s="585" t="s">
        <v>4574</v>
      </c>
      <c r="B756" s="15">
        <v>51.0</v>
      </c>
    </row>
    <row r="757">
      <c r="A757" s="585" t="s">
        <v>4575</v>
      </c>
      <c r="B757" s="15">
        <v>63.0</v>
      </c>
    </row>
    <row r="758">
      <c r="A758" s="585" t="s">
        <v>4576</v>
      </c>
      <c r="B758" s="15">
        <v>54.0</v>
      </c>
    </row>
    <row r="759">
      <c r="A759" s="585" t="s">
        <v>4577</v>
      </c>
      <c r="B759" s="15">
        <v>47.0</v>
      </c>
    </row>
    <row r="760">
      <c r="A760" s="585" t="s">
        <v>4578</v>
      </c>
      <c r="B760" s="15">
        <v>26.0</v>
      </c>
    </row>
    <row r="761">
      <c r="A761" s="585" t="s">
        <v>4579</v>
      </c>
      <c r="B761" s="15">
        <v>62.0</v>
      </c>
    </row>
    <row r="762">
      <c r="A762" s="585" t="s">
        <v>4580</v>
      </c>
      <c r="B762" s="15">
        <v>71.0</v>
      </c>
    </row>
    <row r="763">
      <c r="A763" s="585" t="s">
        <v>4581</v>
      </c>
      <c r="B763" s="15">
        <v>49.0</v>
      </c>
    </row>
    <row r="764">
      <c r="A764" s="585" t="s">
        <v>4582</v>
      </c>
      <c r="B764" s="15">
        <v>40.0</v>
      </c>
    </row>
    <row r="765">
      <c r="A765" s="585" t="s">
        <v>4583</v>
      </c>
      <c r="B765" s="15">
        <v>32.0</v>
      </c>
    </row>
    <row r="766">
      <c r="A766" s="585" t="s">
        <v>4584</v>
      </c>
      <c r="B766" s="15">
        <v>49.0</v>
      </c>
    </row>
    <row r="767">
      <c r="A767" s="585" t="s">
        <v>4585</v>
      </c>
      <c r="B767" s="15">
        <v>36.0</v>
      </c>
    </row>
    <row r="768">
      <c r="A768" s="585" t="s">
        <v>4586</v>
      </c>
      <c r="B768" s="15">
        <v>54.0</v>
      </c>
    </row>
    <row r="769">
      <c r="A769" s="585" t="s">
        <v>4587</v>
      </c>
      <c r="B769" s="15">
        <v>49.0</v>
      </c>
    </row>
    <row r="770">
      <c r="A770" s="585" t="s">
        <v>3740</v>
      </c>
      <c r="B770" s="15">
        <v>25.0</v>
      </c>
    </row>
    <row r="771">
      <c r="A771" s="585" t="s">
        <v>4588</v>
      </c>
      <c r="B771" s="15">
        <v>40.0</v>
      </c>
    </row>
    <row r="772">
      <c r="A772" s="585" t="s">
        <v>4589</v>
      </c>
      <c r="B772" s="15">
        <v>39.0</v>
      </c>
    </row>
    <row r="773">
      <c r="A773" s="585" t="s">
        <v>4590</v>
      </c>
      <c r="B773" s="15">
        <v>33.0</v>
      </c>
    </row>
    <row r="774">
      <c r="A774" s="585" t="s">
        <v>4591</v>
      </c>
      <c r="B774" s="15">
        <v>44.0</v>
      </c>
    </row>
    <row r="775">
      <c r="A775" s="585" t="s">
        <v>4592</v>
      </c>
      <c r="B775" s="15">
        <v>46.0</v>
      </c>
    </row>
    <row r="776">
      <c r="A776" s="585" t="s">
        <v>4593</v>
      </c>
      <c r="B776" s="15">
        <v>41.0</v>
      </c>
    </row>
    <row r="777">
      <c r="A777" s="585" t="s">
        <v>4594</v>
      </c>
      <c r="B777" s="15">
        <v>51.0</v>
      </c>
    </row>
    <row r="778">
      <c r="A778" s="585" t="s">
        <v>4595</v>
      </c>
      <c r="B778" s="15">
        <v>57.0</v>
      </c>
    </row>
    <row r="779">
      <c r="A779" s="585" t="s">
        <v>4596</v>
      </c>
      <c r="B779" s="15">
        <v>60.0</v>
      </c>
    </row>
    <row r="780">
      <c r="A780" s="585" t="s">
        <v>4597</v>
      </c>
      <c r="B780" s="15">
        <v>24.0</v>
      </c>
    </row>
    <row r="781">
      <c r="A781" s="585" t="s">
        <v>4598</v>
      </c>
      <c r="B781" s="15">
        <v>25.0</v>
      </c>
    </row>
    <row r="782">
      <c r="A782" s="585" t="s">
        <v>4599</v>
      </c>
      <c r="B782" s="15">
        <v>17.0</v>
      </c>
    </row>
    <row r="783">
      <c r="A783" s="585" t="s">
        <v>4600</v>
      </c>
      <c r="B783" s="15">
        <v>51.0</v>
      </c>
    </row>
    <row r="784">
      <c r="A784" s="585" t="s">
        <v>4601</v>
      </c>
      <c r="B784" s="15">
        <v>34.0</v>
      </c>
    </row>
    <row r="785">
      <c r="A785" s="585" t="s">
        <v>4602</v>
      </c>
      <c r="B785" s="15">
        <v>27.0</v>
      </c>
    </row>
    <row r="786">
      <c r="A786" s="585" t="s">
        <v>4603</v>
      </c>
      <c r="B786" s="15">
        <v>50.0</v>
      </c>
    </row>
    <row r="787">
      <c r="A787" s="585" t="s">
        <v>4604</v>
      </c>
      <c r="B787" s="15">
        <v>45.0</v>
      </c>
    </row>
    <row r="788">
      <c r="A788" s="585" t="s">
        <v>4605</v>
      </c>
      <c r="B788" s="15">
        <v>37.0</v>
      </c>
    </row>
    <row r="789">
      <c r="A789" s="585" t="s">
        <v>4606</v>
      </c>
      <c r="B789" s="15">
        <v>53.0</v>
      </c>
    </row>
    <row r="790">
      <c r="A790" s="585" t="s">
        <v>4607</v>
      </c>
      <c r="B790" s="15">
        <v>71.0</v>
      </c>
    </row>
    <row r="791">
      <c r="A791" s="585" t="s">
        <v>4608</v>
      </c>
      <c r="B791" s="15">
        <v>78.0</v>
      </c>
    </row>
    <row r="792">
      <c r="A792" s="585" t="s">
        <v>4609</v>
      </c>
      <c r="B792" s="15">
        <v>72.0</v>
      </c>
    </row>
    <row r="793">
      <c r="A793" s="585" t="s">
        <v>4610</v>
      </c>
      <c r="B793" s="15">
        <v>53.0</v>
      </c>
    </row>
    <row r="794">
      <c r="A794" s="585" t="s">
        <v>4611</v>
      </c>
      <c r="B794" s="15">
        <v>43.0</v>
      </c>
    </row>
    <row r="795">
      <c r="A795" s="585" t="s">
        <v>4612</v>
      </c>
      <c r="B795" s="15">
        <v>39.0</v>
      </c>
    </row>
    <row r="796">
      <c r="A796" s="585" t="s">
        <v>4613</v>
      </c>
      <c r="B796" s="15">
        <v>64.0</v>
      </c>
    </row>
    <row r="797">
      <c r="A797" s="585" t="s">
        <v>4614</v>
      </c>
      <c r="B797" s="15">
        <v>38.0</v>
      </c>
    </row>
    <row r="798">
      <c r="A798" s="585" t="s">
        <v>4615</v>
      </c>
      <c r="B798" s="15">
        <v>59.0</v>
      </c>
    </row>
    <row r="799">
      <c r="A799" s="585" t="s">
        <v>4616</v>
      </c>
      <c r="B799" s="15">
        <v>25.0</v>
      </c>
    </row>
    <row r="800">
      <c r="A800" s="585" t="s">
        <v>4617</v>
      </c>
      <c r="B800" s="15">
        <v>51.0</v>
      </c>
    </row>
    <row r="801">
      <c r="A801" s="585" t="s">
        <v>4618</v>
      </c>
      <c r="B801" s="15">
        <v>56.0</v>
      </c>
    </row>
    <row r="802">
      <c r="A802" s="585" t="s">
        <v>4619</v>
      </c>
      <c r="B802" s="15">
        <v>51.0</v>
      </c>
    </row>
    <row r="803">
      <c r="A803" s="585" t="s">
        <v>4620</v>
      </c>
      <c r="B803" s="15">
        <v>51.0</v>
      </c>
    </row>
    <row r="804">
      <c r="A804" s="585" t="s">
        <v>4621</v>
      </c>
      <c r="B804" s="15">
        <v>36.0</v>
      </c>
    </row>
    <row r="805">
      <c r="A805" s="585" t="s">
        <v>4622</v>
      </c>
      <c r="B805" s="15">
        <v>24.0</v>
      </c>
    </row>
    <row r="806">
      <c r="A806" s="585" t="s">
        <v>4623</v>
      </c>
      <c r="B806" s="15">
        <v>32.0</v>
      </c>
    </row>
    <row r="807">
      <c r="A807" s="585" t="s">
        <v>4624</v>
      </c>
      <c r="B807" s="15">
        <v>71.0</v>
      </c>
    </row>
    <row r="808">
      <c r="A808" s="585" t="s">
        <v>4625</v>
      </c>
      <c r="B808" s="15">
        <v>33.0</v>
      </c>
    </row>
    <row r="809">
      <c r="A809" s="585" t="s">
        <v>4626</v>
      </c>
      <c r="B809" s="15">
        <v>32.0</v>
      </c>
    </row>
    <row r="810">
      <c r="A810" s="585" t="s">
        <v>4627</v>
      </c>
      <c r="B810" s="15">
        <v>44.0</v>
      </c>
    </row>
    <row r="811">
      <c r="A811" s="585" t="s">
        <v>4628</v>
      </c>
      <c r="B811" s="15">
        <v>38.0</v>
      </c>
    </row>
    <row r="812">
      <c r="A812" s="585" t="s">
        <v>4629</v>
      </c>
      <c r="B812" s="15">
        <v>37.0</v>
      </c>
    </row>
    <row r="813">
      <c r="A813" s="585" t="s">
        <v>4630</v>
      </c>
      <c r="B813" s="15">
        <v>56.0</v>
      </c>
    </row>
    <row r="814">
      <c r="A814" s="585" t="s">
        <v>4631</v>
      </c>
      <c r="B814" s="15">
        <v>36.0</v>
      </c>
    </row>
    <row r="815">
      <c r="A815" s="585" t="s">
        <v>4632</v>
      </c>
      <c r="B815" s="15">
        <v>47.0</v>
      </c>
    </row>
    <row r="816">
      <c r="A816" s="585" t="s">
        <v>4633</v>
      </c>
      <c r="B816" s="15">
        <v>33.0</v>
      </c>
    </row>
    <row r="817">
      <c r="A817" s="585" t="s">
        <v>4634</v>
      </c>
      <c r="B817" s="15">
        <v>46.0</v>
      </c>
    </row>
    <row r="818">
      <c r="A818" s="585" t="s">
        <v>4635</v>
      </c>
      <c r="B818" s="15">
        <v>36.0</v>
      </c>
    </row>
    <row r="819">
      <c r="A819" s="585" t="s">
        <v>4636</v>
      </c>
      <c r="B819" s="15">
        <v>45.0</v>
      </c>
    </row>
    <row r="820">
      <c r="A820" s="585" t="s">
        <v>4637</v>
      </c>
      <c r="B820" s="15">
        <v>23.0</v>
      </c>
    </row>
    <row r="821">
      <c r="A821" s="585" t="s">
        <v>4638</v>
      </c>
      <c r="B821" s="15">
        <v>44.0</v>
      </c>
    </row>
    <row r="822">
      <c r="A822" s="585" t="s">
        <v>4639</v>
      </c>
      <c r="B822" s="15">
        <v>32.0</v>
      </c>
    </row>
    <row r="823">
      <c r="A823" s="585" t="s">
        <v>4640</v>
      </c>
      <c r="B823" s="15">
        <v>25.0</v>
      </c>
    </row>
    <row r="824">
      <c r="A824" s="585" t="s">
        <v>4641</v>
      </c>
      <c r="B824" s="15">
        <v>47.0</v>
      </c>
    </row>
    <row r="825">
      <c r="A825" s="585" t="s">
        <v>4642</v>
      </c>
      <c r="B825" s="15">
        <v>21.0</v>
      </c>
    </row>
    <row r="826">
      <c r="A826" s="585" t="s">
        <v>4643</v>
      </c>
      <c r="B826" s="15">
        <v>21.0</v>
      </c>
    </row>
    <row r="827">
      <c r="A827" s="585" t="s">
        <v>4644</v>
      </c>
      <c r="B827" s="15">
        <v>50.0</v>
      </c>
    </row>
    <row r="828">
      <c r="A828" s="585" t="s">
        <v>4645</v>
      </c>
      <c r="B828" s="15">
        <v>35.0</v>
      </c>
    </row>
    <row r="829">
      <c r="A829" s="585" t="s">
        <v>4646</v>
      </c>
      <c r="B829" s="15">
        <v>36.0</v>
      </c>
    </row>
    <row r="830">
      <c r="A830" s="585" t="s">
        <v>4647</v>
      </c>
      <c r="B830" s="15">
        <v>33.0</v>
      </c>
    </row>
    <row r="831">
      <c r="A831" s="585" t="s">
        <v>4648</v>
      </c>
      <c r="B831" s="15">
        <v>32.0</v>
      </c>
    </row>
    <row r="832">
      <c r="A832" s="585" t="s">
        <v>4649</v>
      </c>
      <c r="B832" s="15">
        <v>32.0</v>
      </c>
    </row>
    <row r="833">
      <c r="A833" s="585" t="s">
        <v>4650</v>
      </c>
      <c r="B833" s="15">
        <v>44.0</v>
      </c>
    </row>
    <row r="834">
      <c r="A834" s="585" t="s">
        <v>4651</v>
      </c>
      <c r="B834" s="15">
        <v>27.0</v>
      </c>
    </row>
    <row r="835">
      <c r="A835" s="585" t="s">
        <v>4652</v>
      </c>
      <c r="B835" s="15">
        <v>46.0</v>
      </c>
    </row>
    <row r="836">
      <c r="A836" s="585" t="s">
        <v>4653</v>
      </c>
      <c r="B836" s="15">
        <v>22.0</v>
      </c>
    </row>
    <row r="837">
      <c r="A837" s="585" t="s">
        <v>4654</v>
      </c>
      <c r="B837" s="15">
        <v>27.0</v>
      </c>
    </row>
    <row r="838">
      <c r="A838" s="585" t="s">
        <v>4655</v>
      </c>
      <c r="B838" s="15">
        <v>71.0</v>
      </c>
    </row>
    <row r="839">
      <c r="A839" s="585" t="s">
        <v>4656</v>
      </c>
      <c r="B839" s="15">
        <v>37.0</v>
      </c>
    </row>
    <row r="840">
      <c r="A840" s="585" t="s">
        <v>4657</v>
      </c>
      <c r="B840" s="15">
        <v>52.0</v>
      </c>
    </row>
    <row r="841">
      <c r="A841" s="585" t="s">
        <v>4658</v>
      </c>
      <c r="B841" s="15">
        <v>45.0</v>
      </c>
    </row>
    <row r="842">
      <c r="A842" s="585" t="s">
        <v>4659</v>
      </c>
      <c r="B842" s="15">
        <v>33.0</v>
      </c>
    </row>
    <row r="843">
      <c r="A843" s="585" t="s">
        <v>4660</v>
      </c>
      <c r="B843" s="15">
        <v>22.0</v>
      </c>
    </row>
    <row r="844">
      <c r="A844" s="585" t="s">
        <v>4661</v>
      </c>
      <c r="B844" s="15">
        <v>51.0</v>
      </c>
    </row>
    <row r="845">
      <c r="A845" s="585" t="s">
        <v>4662</v>
      </c>
      <c r="B845" s="15">
        <v>45.0</v>
      </c>
    </row>
    <row r="846">
      <c r="A846" s="585" t="s">
        <v>4663</v>
      </c>
      <c r="B846" s="15">
        <v>51.0</v>
      </c>
    </row>
    <row r="847">
      <c r="A847" s="585" t="s">
        <v>4664</v>
      </c>
      <c r="B847" s="15">
        <v>55.0</v>
      </c>
    </row>
    <row r="848">
      <c r="A848" s="585" t="s">
        <v>4665</v>
      </c>
      <c r="B848" s="15">
        <v>30.0</v>
      </c>
    </row>
    <row r="849">
      <c r="A849" s="585" t="s">
        <v>4666</v>
      </c>
      <c r="B849" s="15">
        <v>30.0</v>
      </c>
    </row>
    <row r="850">
      <c r="A850" s="585" t="s">
        <v>4667</v>
      </c>
      <c r="B850" s="15">
        <v>62.0</v>
      </c>
    </row>
    <row r="851">
      <c r="A851" s="585" t="s">
        <v>4668</v>
      </c>
      <c r="B851" s="15">
        <v>16.0</v>
      </c>
    </row>
    <row r="852">
      <c r="A852" s="585" t="s">
        <v>4669</v>
      </c>
      <c r="B852" s="15">
        <v>55.0</v>
      </c>
    </row>
    <row r="853">
      <c r="A853" s="585" t="s">
        <v>4670</v>
      </c>
      <c r="B853" s="15">
        <v>29.0</v>
      </c>
    </row>
    <row r="854">
      <c r="A854" s="585" t="s">
        <v>4671</v>
      </c>
      <c r="B854" s="15">
        <v>32.0</v>
      </c>
    </row>
    <row r="855">
      <c r="A855" s="585" t="s">
        <v>4672</v>
      </c>
      <c r="B855" s="15">
        <v>49.0</v>
      </c>
    </row>
    <row r="856">
      <c r="A856" s="585" t="s">
        <v>4673</v>
      </c>
      <c r="B856" s="15">
        <v>32.0</v>
      </c>
    </row>
    <row r="857">
      <c r="A857" s="585" t="s">
        <v>4674</v>
      </c>
      <c r="B857" s="15">
        <v>36.0</v>
      </c>
    </row>
    <row r="858">
      <c r="A858" s="585" t="s">
        <v>4675</v>
      </c>
      <c r="B858" s="15">
        <v>26.0</v>
      </c>
    </row>
    <row r="859">
      <c r="A859" s="585" t="s">
        <v>4676</v>
      </c>
      <c r="B859" s="15">
        <v>40.0</v>
      </c>
    </row>
    <row r="860">
      <c r="A860" s="585" t="s">
        <v>4677</v>
      </c>
      <c r="B860" s="15">
        <v>28.0</v>
      </c>
    </row>
    <row r="861">
      <c r="A861" s="585" t="s">
        <v>4678</v>
      </c>
      <c r="B861" s="15">
        <v>48.0</v>
      </c>
    </row>
    <row r="862">
      <c r="A862" s="585" t="s">
        <v>4679</v>
      </c>
      <c r="B862" s="15">
        <v>21.0</v>
      </c>
    </row>
    <row r="863">
      <c r="A863" s="585" t="s">
        <v>4680</v>
      </c>
      <c r="B863" s="15">
        <v>35.0</v>
      </c>
    </row>
    <row r="864">
      <c r="A864" s="585" t="s">
        <v>4681</v>
      </c>
      <c r="B864" s="15">
        <v>34.0</v>
      </c>
    </row>
    <row r="865">
      <c r="A865" s="585" t="s">
        <v>4682</v>
      </c>
      <c r="B865" s="15">
        <v>26.0</v>
      </c>
    </row>
    <row r="866">
      <c r="A866" s="585" t="s">
        <v>4683</v>
      </c>
      <c r="B866" s="15">
        <v>39.0</v>
      </c>
    </row>
    <row r="867">
      <c r="A867" s="585" t="s">
        <v>2720</v>
      </c>
      <c r="B867" s="15">
        <v>44.0</v>
      </c>
    </row>
    <row r="868">
      <c r="A868" s="585" t="s">
        <v>4684</v>
      </c>
      <c r="B868" s="15">
        <v>23.0</v>
      </c>
    </row>
    <row r="869">
      <c r="A869" s="585" t="s">
        <v>4685</v>
      </c>
      <c r="B869" s="15">
        <v>48.0</v>
      </c>
    </row>
    <row r="870">
      <c r="A870" s="585" t="s">
        <v>4686</v>
      </c>
      <c r="B870" s="15">
        <v>56.0</v>
      </c>
    </row>
    <row r="871">
      <c r="A871" s="585" t="s">
        <v>4687</v>
      </c>
      <c r="B871" s="15">
        <v>42.0</v>
      </c>
    </row>
    <row r="872">
      <c r="A872" s="585" t="s">
        <v>4688</v>
      </c>
      <c r="B872" s="15">
        <v>29.0</v>
      </c>
    </row>
    <row r="873">
      <c r="A873" s="585" t="s">
        <v>4689</v>
      </c>
      <c r="B873" s="15">
        <v>63.0</v>
      </c>
    </row>
    <row r="874">
      <c r="A874" s="585" t="s">
        <v>4690</v>
      </c>
      <c r="B874" s="15">
        <v>42.0</v>
      </c>
    </row>
    <row r="875">
      <c r="A875" s="585" t="s">
        <v>4691</v>
      </c>
      <c r="B875" s="15">
        <v>30.0</v>
      </c>
    </row>
    <row r="876">
      <c r="A876" s="585" t="s">
        <v>4692</v>
      </c>
      <c r="B876" s="15">
        <v>44.0</v>
      </c>
    </row>
    <row r="877">
      <c r="A877" s="585" t="s">
        <v>4693</v>
      </c>
      <c r="B877" s="15">
        <v>40.0</v>
      </c>
    </row>
    <row r="878">
      <c r="A878" s="585" t="s">
        <v>4694</v>
      </c>
      <c r="B878" s="15">
        <v>51.0</v>
      </c>
    </row>
    <row r="879">
      <c r="A879" s="585" t="s">
        <v>4695</v>
      </c>
      <c r="B879" s="15">
        <v>45.0</v>
      </c>
    </row>
    <row r="880">
      <c r="A880" s="585" t="s">
        <v>4696</v>
      </c>
      <c r="B880" s="15">
        <v>15.0</v>
      </c>
    </row>
    <row r="881">
      <c r="A881" s="585" t="s">
        <v>4697</v>
      </c>
      <c r="B881" s="15">
        <v>54.0</v>
      </c>
    </row>
    <row r="882">
      <c r="A882" s="585" t="s">
        <v>4698</v>
      </c>
      <c r="B882" s="15">
        <v>48.0</v>
      </c>
    </row>
    <row r="883">
      <c r="A883" s="585" t="s">
        <v>4699</v>
      </c>
      <c r="B883" s="15">
        <v>42.0</v>
      </c>
    </row>
    <row r="884">
      <c r="A884" s="585" t="s">
        <v>4700</v>
      </c>
      <c r="B884" s="15">
        <v>46.0</v>
      </c>
    </row>
    <row r="885">
      <c r="A885" s="585" t="s">
        <v>4701</v>
      </c>
      <c r="B885" s="15">
        <v>43.0</v>
      </c>
    </row>
    <row r="886">
      <c r="A886" s="585" t="s">
        <v>4702</v>
      </c>
      <c r="B886" s="15">
        <v>28.0</v>
      </c>
    </row>
    <row r="887">
      <c r="A887" s="585" t="s">
        <v>4703</v>
      </c>
      <c r="B887" s="15">
        <v>47.0</v>
      </c>
    </row>
    <row r="888">
      <c r="A888" s="585" t="s">
        <v>4704</v>
      </c>
      <c r="B888" s="15">
        <v>37.0</v>
      </c>
    </row>
    <row r="889">
      <c r="A889" s="585" t="s">
        <v>4705</v>
      </c>
      <c r="B889" s="15">
        <v>22.0</v>
      </c>
    </row>
    <row r="890">
      <c r="A890" s="585" t="s">
        <v>4706</v>
      </c>
      <c r="B890" s="15">
        <v>59.0</v>
      </c>
    </row>
    <row r="891">
      <c r="A891" s="585" t="s">
        <v>4707</v>
      </c>
      <c r="B891" s="15">
        <v>38.0</v>
      </c>
    </row>
    <row r="892">
      <c r="A892" s="585" t="s">
        <v>4708</v>
      </c>
      <c r="B892" s="15">
        <v>34.0</v>
      </c>
    </row>
    <row r="893">
      <c r="A893" s="585" t="s">
        <v>4709</v>
      </c>
      <c r="B893" s="15">
        <v>48.0</v>
      </c>
    </row>
    <row r="894">
      <c r="A894" s="585" t="s">
        <v>4710</v>
      </c>
      <c r="B894" s="15">
        <v>23.0</v>
      </c>
    </row>
    <row r="895">
      <c r="A895" s="585" t="s">
        <v>4711</v>
      </c>
      <c r="B895" s="15">
        <v>28.0</v>
      </c>
    </row>
    <row r="896">
      <c r="A896" s="585" t="s">
        <v>4712</v>
      </c>
      <c r="B896" s="15">
        <v>45.0</v>
      </c>
    </row>
    <row r="897">
      <c r="A897" s="585" t="s">
        <v>4713</v>
      </c>
      <c r="B897" s="15">
        <v>31.0</v>
      </c>
    </row>
    <row r="898">
      <c r="A898" s="585" t="s">
        <v>4714</v>
      </c>
      <c r="B898" s="15">
        <v>47.0</v>
      </c>
    </row>
    <row r="899">
      <c r="A899" s="585" t="s">
        <v>4715</v>
      </c>
      <c r="B899" s="15">
        <v>55.0</v>
      </c>
    </row>
    <row r="900">
      <c r="A900" s="585" t="s">
        <v>4716</v>
      </c>
      <c r="B900" s="15">
        <v>43.0</v>
      </c>
    </row>
    <row r="901">
      <c r="A901" s="585" t="s">
        <v>4717</v>
      </c>
      <c r="B901" s="15">
        <v>37.0</v>
      </c>
    </row>
    <row r="902">
      <c r="A902" s="585" t="s">
        <v>4718</v>
      </c>
      <c r="B902" s="15">
        <v>20.0</v>
      </c>
    </row>
    <row r="903">
      <c r="A903" s="585" t="s">
        <v>4719</v>
      </c>
      <c r="B903" s="15">
        <v>26.0</v>
      </c>
    </row>
    <row r="904">
      <c r="A904" s="585" t="s">
        <v>4720</v>
      </c>
      <c r="B904" s="15">
        <v>28.0</v>
      </c>
    </row>
    <row r="905">
      <c r="A905" s="585" t="s">
        <v>4721</v>
      </c>
      <c r="B905" s="15">
        <v>33.0</v>
      </c>
    </row>
    <row r="906">
      <c r="A906" s="585" t="s">
        <v>4722</v>
      </c>
      <c r="B906" s="15">
        <v>68.0</v>
      </c>
    </row>
    <row r="907">
      <c r="A907" s="585" t="s">
        <v>4723</v>
      </c>
      <c r="B907" s="15">
        <v>39.0</v>
      </c>
    </row>
    <row r="908">
      <c r="A908" s="585" t="s">
        <v>4724</v>
      </c>
      <c r="B908" s="15">
        <v>55.0</v>
      </c>
    </row>
    <row r="909">
      <c r="A909" s="585" t="s">
        <v>4725</v>
      </c>
      <c r="B909" s="15">
        <v>27.0</v>
      </c>
    </row>
    <row r="910">
      <c r="A910" s="585" t="s">
        <v>4726</v>
      </c>
      <c r="B910" s="15">
        <v>34.0</v>
      </c>
    </row>
    <row r="911">
      <c r="A911" s="585" t="s">
        <v>4727</v>
      </c>
      <c r="B911" s="15">
        <v>44.0</v>
      </c>
    </row>
    <row r="912">
      <c r="A912" s="585" t="s">
        <v>4728</v>
      </c>
      <c r="B912" s="15">
        <v>39.0</v>
      </c>
    </row>
    <row r="913">
      <c r="A913" s="585" t="s">
        <v>4729</v>
      </c>
      <c r="B913" s="15">
        <v>46.0</v>
      </c>
    </row>
    <row r="914">
      <c r="A914" s="585" t="s">
        <v>4730</v>
      </c>
      <c r="B914" s="15">
        <v>46.0</v>
      </c>
    </row>
    <row r="915">
      <c r="A915" s="585" t="s">
        <v>4731</v>
      </c>
      <c r="B915" s="15">
        <v>36.0</v>
      </c>
    </row>
    <row r="916">
      <c r="A916" s="585" t="s">
        <v>4732</v>
      </c>
      <c r="B916" s="15">
        <v>55.0</v>
      </c>
    </row>
    <row r="917">
      <c r="A917" s="585" t="s">
        <v>4733</v>
      </c>
      <c r="B917" s="15">
        <v>30.0</v>
      </c>
    </row>
    <row r="918">
      <c r="A918" s="585" t="s">
        <v>4734</v>
      </c>
      <c r="B918" s="15">
        <v>43.0</v>
      </c>
    </row>
    <row r="919">
      <c r="A919" s="585" t="s">
        <v>4735</v>
      </c>
      <c r="B919" s="15">
        <v>23.0</v>
      </c>
    </row>
    <row r="920">
      <c r="A920" s="585" t="s">
        <v>4736</v>
      </c>
      <c r="B920" s="15">
        <v>36.0</v>
      </c>
    </row>
    <row r="921">
      <c r="A921" s="585" t="s">
        <v>4737</v>
      </c>
      <c r="B921" s="15">
        <v>46.0</v>
      </c>
    </row>
    <row r="922">
      <c r="A922" s="585" t="s">
        <v>4738</v>
      </c>
      <c r="B922" s="15">
        <v>54.0</v>
      </c>
    </row>
    <row r="923">
      <c r="A923" s="585" t="s">
        <v>4739</v>
      </c>
      <c r="B923" s="15">
        <v>43.0</v>
      </c>
    </row>
    <row r="924">
      <c r="A924" s="585" t="s">
        <v>4740</v>
      </c>
      <c r="B924" s="15">
        <v>22.0</v>
      </c>
    </row>
    <row r="925">
      <c r="A925" s="585" t="s">
        <v>4741</v>
      </c>
      <c r="B925" s="15">
        <v>19.0</v>
      </c>
    </row>
    <row r="926">
      <c r="A926" s="585" t="s">
        <v>4742</v>
      </c>
      <c r="B926" s="15">
        <v>46.0</v>
      </c>
    </row>
    <row r="927">
      <c r="A927" s="585" t="s">
        <v>4743</v>
      </c>
      <c r="B927" s="15">
        <v>26.0</v>
      </c>
    </row>
    <row r="928">
      <c r="A928" s="585" t="s">
        <v>4744</v>
      </c>
      <c r="B928" s="15">
        <v>42.0</v>
      </c>
    </row>
    <row r="929">
      <c r="A929" s="585" t="s">
        <v>4745</v>
      </c>
      <c r="B929" s="15">
        <v>37.0</v>
      </c>
    </row>
    <row r="930">
      <c r="A930" s="585" t="s">
        <v>4746</v>
      </c>
      <c r="B930" s="15">
        <v>20.0</v>
      </c>
    </row>
    <row r="931">
      <c r="A931" s="585" t="s">
        <v>4747</v>
      </c>
      <c r="B931" s="15">
        <v>45.0</v>
      </c>
    </row>
    <row r="932">
      <c r="A932" s="585" t="s">
        <v>4748</v>
      </c>
      <c r="B932" s="15">
        <v>29.0</v>
      </c>
    </row>
    <row r="933">
      <c r="A933" s="585" t="s">
        <v>4749</v>
      </c>
      <c r="B933" s="15">
        <v>46.0</v>
      </c>
    </row>
    <row r="934">
      <c r="A934" s="585" t="s">
        <v>4750</v>
      </c>
      <c r="B934" s="15">
        <v>38.0</v>
      </c>
    </row>
    <row r="935">
      <c r="A935" s="585" t="s">
        <v>4751</v>
      </c>
      <c r="B935" s="15">
        <v>23.0</v>
      </c>
    </row>
    <row r="936">
      <c r="A936" s="585" t="s">
        <v>4752</v>
      </c>
      <c r="B936" s="15">
        <v>73.0</v>
      </c>
    </row>
    <row r="937">
      <c r="A937" s="585" t="s">
        <v>4753</v>
      </c>
      <c r="B937" s="15">
        <v>16.0</v>
      </c>
    </row>
    <row r="938">
      <c r="A938" s="585" t="s">
        <v>4754</v>
      </c>
      <c r="B938" s="15">
        <v>50.0</v>
      </c>
    </row>
    <row r="939">
      <c r="A939" s="585" t="s">
        <v>4755</v>
      </c>
      <c r="B939" s="15">
        <v>34.0</v>
      </c>
    </row>
    <row r="940">
      <c r="A940" s="585" t="s">
        <v>4756</v>
      </c>
      <c r="B940" s="15">
        <v>44.0</v>
      </c>
    </row>
    <row r="941">
      <c r="A941" s="585" t="s">
        <v>4757</v>
      </c>
      <c r="B941" s="15">
        <v>38.0</v>
      </c>
    </row>
    <row r="942">
      <c r="A942" s="585" t="s">
        <v>4758</v>
      </c>
      <c r="B942" s="15">
        <v>41.0</v>
      </c>
    </row>
    <row r="943">
      <c r="A943" s="585" t="s">
        <v>4759</v>
      </c>
      <c r="B943" s="15">
        <v>28.0</v>
      </c>
    </row>
    <row r="944">
      <c r="A944" s="585" t="s">
        <v>4760</v>
      </c>
      <c r="B944" s="15">
        <v>25.0</v>
      </c>
    </row>
    <row r="945">
      <c r="A945" s="585" t="s">
        <v>4761</v>
      </c>
      <c r="B945" s="15">
        <v>52.0</v>
      </c>
    </row>
    <row r="946">
      <c r="A946" s="585" t="s">
        <v>4762</v>
      </c>
      <c r="B946" s="15">
        <v>24.0</v>
      </c>
    </row>
    <row r="947">
      <c r="A947" s="585" t="s">
        <v>4763</v>
      </c>
      <c r="B947" s="15">
        <v>37.0</v>
      </c>
    </row>
    <row r="948">
      <c r="A948" s="585" t="s">
        <v>4764</v>
      </c>
      <c r="B948" s="15">
        <v>17.0</v>
      </c>
    </row>
    <row r="949">
      <c r="A949" s="585" t="s">
        <v>4765</v>
      </c>
      <c r="B949" s="15">
        <v>24.0</v>
      </c>
    </row>
    <row r="950">
      <c r="A950" s="585" t="s">
        <v>4766</v>
      </c>
      <c r="B950" s="15">
        <v>30.0</v>
      </c>
    </row>
    <row r="951">
      <c r="A951" s="585" t="s">
        <v>4767</v>
      </c>
      <c r="B951" s="15">
        <v>19.0</v>
      </c>
    </row>
    <row r="952">
      <c r="A952" s="585" t="s">
        <v>4768</v>
      </c>
      <c r="B952" s="15">
        <v>45.0</v>
      </c>
    </row>
    <row r="953">
      <c r="A953" s="585" t="s">
        <v>4769</v>
      </c>
      <c r="B953" s="15">
        <v>36.0</v>
      </c>
    </row>
    <row r="954">
      <c r="A954" s="585" t="s">
        <v>4770</v>
      </c>
      <c r="B954" s="15">
        <v>43.0</v>
      </c>
    </row>
    <row r="955">
      <c r="A955" s="585" t="s">
        <v>4771</v>
      </c>
      <c r="B955" s="15">
        <v>29.0</v>
      </c>
    </row>
    <row r="956">
      <c r="A956" s="585" t="s">
        <v>4772</v>
      </c>
      <c r="B956" s="15">
        <v>23.0</v>
      </c>
    </row>
    <row r="957">
      <c r="A957" s="585" t="s">
        <v>4773</v>
      </c>
      <c r="B957" s="15">
        <v>28.0</v>
      </c>
    </row>
    <row r="958">
      <c r="A958" s="585" t="s">
        <v>4774</v>
      </c>
      <c r="B958" s="15">
        <v>33.0</v>
      </c>
    </row>
    <row r="959">
      <c r="A959" s="585" t="s">
        <v>4775</v>
      </c>
      <c r="B959" s="15">
        <v>59.0</v>
      </c>
    </row>
    <row r="960">
      <c r="A960" s="585" t="s">
        <v>4776</v>
      </c>
      <c r="B960" s="15">
        <v>55.0</v>
      </c>
    </row>
    <row r="961">
      <c r="A961" s="585" t="s">
        <v>4777</v>
      </c>
      <c r="B961" s="15">
        <v>46.0</v>
      </c>
    </row>
    <row r="962">
      <c r="A962" s="585" t="s">
        <v>4778</v>
      </c>
      <c r="B962" s="15">
        <v>20.0</v>
      </c>
    </row>
    <row r="963">
      <c r="A963" s="585" t="s">
        <v>4779</v>
      </c>
      <c r="B963" s="15">
        <v>42.0</v>
      </c>
    </row>
    <row r="964">
      <c r="A964" s="585" t="s">
        <v>4780</v>
      </c>
      <c r="B964" s="15">
        <v>22.0</v>
      </c>
    </row>
    <row r="965">
      <c r="A965" s="585" t="s">
        <v>4781</v>
      </c>
      <c r="B965" s="15">
        <v>50.0</v>
      </c>
    </row>
    <row r="966">
      <c r="A966" s="585" t="s">
        <v>4782</v>
      </c>
      <c r="B966" s="15">
        <v>25.0</v>
      </c>
    </row>
    <row r="967">
      <c r="A967" s="585" t="s">
        <v>4783</v>
      </c>
      <c r="B967" s="15">
        <v>19.0</v>
      </c>
    </row>
    <row r="968">
      <c r="A968" s="585" t="s">
        <v>4784</v>
      </c>
      <c r="B968" s="15">
        <v>50.0</v>
      </c>
    </row>
    <row r="969">
      <c r="A969" s="585" t="s">
        <v>4785</v>
      </c>
      <c r="B969" s="15">
        <v>32.0</v>
      </c>
    </row>
    <row r="970">
      <c r="A970" s="585" t="s">
        <v>4786</v>
      </c>
      <c r="B970" s="15">
        <v>46.0</v>
      </c>
    </row>
    <row r="971">
      <c r="A971" s="585" t="s">
        <v>4787</v>
      </c>
      <c r="B971" s="15">
        <v>23.0</v>
      </c>
    </row>
    <row r="972">
      <c r="A972" s="585" t="s">
        <v>4788</v>
      </c>
      <c r="B972" s="15">
        <v>50.0</v>
      </c>
    </row>
    <row r="973">
      <c r="A973" s="585" t="s">
        <v>4789</v>
      </c>
      <c r="B973" s="15">
        <v>19.0</v>
      </c>
    </row>
    <row r="974">
      <c r="A974" s="585" t="s">
        <v>4790</v>
      </c>
      <c r="B974" s="15">
        <v>34.0</v>
      </c>
    </row>
    <row r="975">
      <c r="A975" s="585" t="s">
        <v>4791</v>
      </c>
      <c r="B975" s="15">
        <v>45.0</v>
      </c>
    </row>
    <row r="976">
      <c r="A976" s="585" t="s">
        <v>4792</v>
      </c>
      <c r="B976" s="15">
        <v>54.0</v>
      </c>
    </row>
    <row r="977">
      <c r="A977" s="585" t="s">
        <v>4793</v>
      </c>
      <c r="B977" s="15">
        <v>31.0</v>
      </c>
    </row>
    <row r="978">
      <c r="A978" s="585" t="s">
        <v>4794</v>
      </c>
      <c r="B978" s="15">
        <v>55.0</v>
      </c>
    </row>
    <row r="979">
      <c r="A979" s="585" t="s">
        <v>4795</v>
      </c>
      <c r="B979" s="15">
        <v>26.0</v>
      </c>
    </row>
    <row r="980">
      <c r="A980" s="585" t="s">
        <v>4796</v>
      </c>
      <c r="B980" s="15">
        <v>45.0</v>
      </c>
    </row>
    <row r="981">
      <c r="A981" s="585" t="s">
        <v>4797</v>
      </c>
      <c r="B981" s="15">
        <v>31.0</v>
      </c>
    </row>
    <row r="982">
      <c r="A982" s="585" t="s">
        <v>4798</v>
      </c>
      <c r="B982" s="15">
        <v>26.0</v>
      </c>
    </row>
    <row r="983">
      <c r="A983" s="585" t="s">
        <v>4799</v>
      </c>
      <c r="B983" s="15">
        <v>29.0</v>
      </c>
    </row>
    <row r="984">
      <c r="A984" s="585" t="s">
        <v>4800</v>
      </c>
      <c r="B984" s="15">
        <v>26.0</v>
      </c>
    </row>
    <row r="985">
      <c r="A985" s="585" t="s">
        <v>4801</v>
      </c>
      <c r="B985" s="15">
        <v>23.0</v>
      </c>
    </row>
    <row r="986">
      <c r="A986" s="585" t="s">
        <v>4802</v>
      </c>
      <c r="B986" s="15">
        <v>45.0</v>
      </c>
    </row>
    <row r="987">
      <c r="A987" s="585" t="s">
        <v>4803</v>
      </c>
      <c r="B987" s="15">
        <v>22.0</v>
      </c>
    </row>
    <row r="988">
      <c r="A988" s="585" t="s">
        <v>4804</v>
      </c>
      <c r="B988" s="15">
        <v>18.0</v>
      </c>
    </row>
    <row r="989">
      <c r="A989" s="585" t="s">
        <v>4805</v>
      </c>
      <c r="B989" s="15">
        <v>62.0</v>
      </c>
    </row>
    <row r="990">
      <c r="A990" s="585" t="s">
        <v>4806</v>
      </c>
      <c r="B990" s="15">
        <v>46.0</v>
      </c>
    </row>
    <row r="991">
      <c r="A991" s="585" t="s">
        <v>4807</v>
      </c>
      <c r="B991" s="15">
        <v>36.0</v>
      </c>
    </row>
    <row r="992">
      <c r="A992" s="585" t="s">
        <v>4808</v>
      </c>
      <c r="B992" s="15">
        <v>25.0</v>
      </c>
    </row>
    <row r="993">
      <c r="A993" s="585" t="s">
        <v>4809</v>
      </c>
      <c r="B993" s="15">
        <v>39.0</v>
      </c>
    </row>
    <row r="994">
      <c r="A994" s="585" t="s">
        <v>4810</v>
      </c>
      <c r="B994" s="15">
        <v>31.0</v>
      </c>
    </row>
    <row r="995">
      <c r="A995" s="585" t="s">
        <v>4811</v>
      </c>
      <c r="B995" s="15">
        <v>27.0</v>
      </c>
    </row>
    <row r="996">
      <c r="A996" s="585" t="s">
        <v>4812</v>
      </c>
      <c r="B996" s="15">
        <v>34.0</v>
      </c>
    </row>
    <row r="997">
      <c r="A997" s="585" t="s">
        <v>4813</v>
      </c>
      <c r="B997" s="15">
        <v>18.0</v>
      </c>
    </row>
    <row r="998">
      <c r="A998" s="585" t="s">
        <v>4814</v>
      </c>
      <c r="B998" s="15">
        <v>34.0</v>
      </c>
    </row>
    <row r="999">
      <c r="A999" s="585" t="s">
        <v>4815</v>
      </c>
      <c r="B999" s="15">
        <v>37.0</v>
      </c>
    </row>
    <row r="1000">
      <c r="A1000" s="585" t="s">
        <v>4816</v>
      </c>
      <c r="B1000" s="15">
        <v>19.0</v>
      </c>
    </row>
    <row r="1001">
      <c r="A1001" s="585" t="s">
        <v>4817</v>
      </c>
      <c r="B1001" s="15">
        <v>30.0</v>
      </c>
    </row>
    <row r="1002">
      <c r="A1002" s="585" t="s">
        <v>4818</v>
      </c>
      <c r="B1002" s="15">
        <v>40.0</v>
      </c>
    </row>
    <row r="1003">
      <c r="A1003" s="585" t="s">
        <v>4819</v>
      </c>
      <c r="B1003" s="15">
        <v>21.0</v>
      </c>
    </row>
    <row r="1004">
      <c r="A1004" s="585" t="s">
        <v>4820</v>
      </c>
      <c r="B1004" s="15">
        <v>16.0</v>
      </c>
    </row>
    <row r="1005">
      <c r="A1005" s="585" t="s">
        <v>4821</v>
      </c>
      <c r="B1005" s="15">
        <v>20.0</v>
      </c>
    </row>
    <row r="1006">
      <c r="A1006" s="585" t="s">
        <v>4822</v>
      </c>
      <c r="B1006" s="15">
        <v>43.0</v>
      </c>
    </row>
    <row r="1007">
      <c r="A1007" s="585" t="s">
        <v>4823</v>
      </c>
      <c r="B1007" s="15">
        <v>30.0</v>
      </c>
    </row>
    <row r="1008">
      <c r="A1008" s="585" t="s">
        <v>4824</v>
      </c>
      <c r="B1008" s="15">
        <v>26.0</v>
      </c>
    </row>
    <row r="1009">
      <c r="A1009" s="585" t="s">
        <v>4825</v>
      </c>
      <c r="B1009" s="15">
        <v>27.0</v>
      </c>
    </row>
    <row r="1010">
      <c r="A1010" s="585" t="s">
        <v>4826</v>
      </c>
      <c r="B1010" s="15">
        <v>35.0</v>
      </c>
    </row>
    <row r="1011">
      <c r="A1011" s="585" t="s">
        <v>4827</v>
      </c>
      <c r="B1011" s="15">
        <v>34.0</v>
      </c>
    </row>
    <row r="1012">
      <c r="A1012" s="585" t="s">
        <v>4828</v>
      </c>
      <c r="B1012" s="15">
        <v>24.0</v>
      </c>
    </row>
    <row r="1013">
      <c r="A1013" s="585" t="s">
        <v>4829</v>
      </c>
      <c r="B1013" s="15">
        <v>44.0</v>
      </c>
    </row>
    <row r="1014">
      <c r="A1014" s="585" t="s">
        <v>4830</v>
      </c>
      <c r="B1014" s="15">
        <v>27.0</v>
      </c>
    </row>
    <row r="1015">
      <c r="A1015" s="585" t="s">
        <v>4831</v>
      </c>
      <c r="B1015" s="15">
        <v>25.0</v>
      </c>
    </row>
    <row r="1016">
      <c r="A1016" s="585" t="s">
        <v>4832</v>
      </c>
      <c r="B1016" s="15">
        <v>26.0</v>
      </c>
    </row>
    <row r="1017">
      <c r="A1017" s="585" t="s">
        <v>4833</v>
      </c>
      <c r="B1017" s="15">
        <v>18.0</v>
      </c>
    </row>
    <row r="1018">
      <c r="A1018" s="585" t="s">
        <v>4834</v>
      </c>
      <c r="B1018" s="15">
        <v>34.0</v>
      </c>
    </row>
    <row r="1019">
      <c r="A1019" s="585" t="s">
        <v>4835</v>
      </c>
      <c r="B1019" s="15">
        <v>31.0</v>
      </c>
    </row>
    <row r="1020">
      <c r="A1020" s="585" t="s">
        <v>4836</v>
      </c>
      <c r="B1020" s="15">
        <v>23.0</v>
      </c>
    </row>
    <row r="1021">
      <c r="A1021" s="585" t="s">
        <v>4837</v>
      </c>
      <c r="B1021" s="15">
        <v>35.0</v>
      </c>
    </row>
    <row r="1022">
      <c r="A1022" s="585" t="s">
        <v>4838</v>
      </c>
      <c r="B1022" s="15">
        <v>32.0</v>
      </c>
    </row>
    <row r="1023">
      <c r="A1023" s="585" t="s">
        <v>4839</v>
      </c>
      <c r="B1023" s="15">
        <v>33.0</v>
      </c>
    </row>
    <row r="1024">
      <c r="A1024" s="585" t="s">
        <v>4840</v>
      </c>
      <c r="B1024" s="15">
        <v>26.0</v>
      </c>
    </row>
    <row r="1025">
      <c r="A1025" s="585" t="s">
        <v>4841</v>
      </c>
      <c r="B1025" s="15">
        <v>19.0</v>
      </c>
    </row>
    <row r="1026">
      <c r="A1026" s="585" t="s">
        <v>4842</v>
      </c>
      <c r="B1026" s="15">
        <v>52.0</v>
      </c>
    </row>
    <row r="1027">
      <c r="A1027" s="585" t="s">
        <v>4843</v>
      </c>
      <c r="B1027" s="15">
        <v>33.0</v>
      </c>
    </row>
    <row r="1028">
      <c r="A1028" s="585" t="s">
        <v>4844</v>
      </c>
      <c r="B1028" s="15">
        <v>44.0</v>
      </c>
    </row>
    <row r="1029">
      <c r="A1029" s="585" t="s">
        <v>4845</v>
      </c>
      <c r="B1029" s="15">
        <v>17.0</v>
      </c>
    </row>
    <row r="1030">
      <c r="A1030" s="585" t="s">
        <v>4846</v>
      </c>
      <c r="B1030" s="15">
        <v>41.0</v>
      </c>
    </row>
    <row r="1031">
      <c r="A1031" s="585" t="s">
        <v>4847</v>
      </c>
      <c r="B1031" s="15">
        <v>39.0</v>
      </c>
    </row>
    <row r="1032">
      <c r="A1032" s="585" t="s">
        <v>4848</v>
      </c>
      <c r="B1032" s="15">
        <v>24.0</v>
      </c>
    </row>
    <row r="1033">
      <c r="A1033" s="585" t="s">
        <v>4849</v>
      </c>
      <c r="B1033" s="15">
        <v>29.0</v>
      </c>
    </row>
    <row r="1034">
      <c r="A1034" s="585" t="s">
        <v>4850</v>
      </c>
      <c r="B1034" s="15">
        <v>51.0</v>
      </c>
    </row>
    <row r="1035">
      <c r="A1035" s="585" t="s">
        <v>4851</v>
      </c>
      <c r="B1035" s="15">
        <v>22.0</v>
      </c>
    </row>
    <row r="1036">
      <c r="A1036" s="585" t="s">
        <v>4852</v>
      </c>
      <c r="B1036" s="15">
        <v>22.0</v>
      </c>
    </row>
    <row r="1037">
      <c r="A1037" s="585" t="s">
        <v>4853</v>
      </c>
      <c r="B1037" s="15">
        <v>31.0</v>
      </c>
    </row>
    <row r="1038">
      <c r="A1038" s="585" t="s">
        <v>4854</v>
      </c>
      <c r="B1038" s="15">
        <v>18.0</v>
      </c>
    </row>
    <row r="1039">
      <c r="A1039" s="585" t="s">
        <v>4855</v>
      </c>
      <c r="B1039" s="15">
        <v>31.0</v>
      </c>
    </row>
    <row r="1040">
      <c r="A1040" s="585" t="s">
        <v>4856</v>
      </c>
      <c r="B1040" s="15">
        <v>30.0</v>
      </c>
    </row>
    <row r="1041">
      <c r="A1041" s="585" t="s">
        <v>4857</v>
      </c>
      <c r="B1041" s="15">
        <v>33.0</v>
      </c>
    </row>
    <row r="1042">
      <c r="A1042" s="585" t="s">
        <v>4858</v>
      </c>
      <c r="B1042" s="15">
        <v>25.0</v>
      </c>
    </row>
    <row r="1043">
      <c r="A1043" s="585" t="s">
        <v>4859</v>
      </c>
      <c r="B1043" s="15">
        <v>21.0</v>
      </c>
    </row>
    <row r="1044">
      <c r="A1044" s="585" t="s">
        <v>4860</v>
      </c>
      <c r="B1044" s="15">
        <v>53.0</v>
      </c>
    </row>
    <row r="1045">
      <c r="A1045" s="585" t="s">
        <v>4861</v>
      </c>
      <c r="B1045" s="15">
        <v>29.0</v>
      </c>
    </row>
    <row r="1046">
      <c r="A1046" s="585" t="s">
        <v>4862</v>
      </c>
      <c r="B1046" s="15">
        <v>24.0</v>
      </c>
    </row>
    <row r="1047">
      <c r="A1047" s="585" t="s">
        <v>4863</v>
      </c>
      <c r="B1047" s="15">
        <v>26.0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89" t="s">
        <v>659</v>
      </c>
      <c r="B1" s="15">
        <v>5.0</v>
      </c>
    </row>
    <row r="2">
      <c r="A2" s="590" t="s">
        <v>660</v>
      </c>
      <c r="B2" s="15">
        <v>67.0</v>
      </c>
    </row>
    <row r="3">
      <c r="A3" s="590" t="s">
        <v>661</v>
      </c>
      <c r="B3" s="15">
        <v>31.0</v>
      </c>
    </row>
    <row r="4">
      <c r="A4" s="590" t="s">
        <v>662</v>
      </c>
      <c r="B4" s="15">
        <v>36.0</v>
      </c>
    </row>
    <row r="5">
      <c r="A5" s="590" t="s">
        <v>663</v>
      </c>
      <c r="B5" s="15">
        <v>30.0</v>
      </c>
    </row>
    <row r="6">
      <c r="A6" s="590" t="s">
        <v>665</v>
      </c>
      <c r="B6" s="15">
        <v>34.0</v>
      </c>
    </row>
    <row r="7">
      <c r="A7" s="590" t="s">
        <v>666</v>
      </c>
      <c r="B7" s="15">
        <v>20.0</v>
      </c>
    </row>
    <row r="8">
      <c r="A8" s="590" t="s">
        <v>667</v>
      </c>
      <c r="B8" s="15">
        <v>24.0</v>
      </c>
    </row>
    <row r="9">
      <c r="A9" s="590" t="s">
        <v>670</v>
      </c>
      <c r="B9" s="15">
        <v>47.0</v>
      </c>
    </row>
    <row r="10">
      <c r="A10" s="590" t="s">
        <v>671</v>
      </c>
      <c r="B10" s="15">
        <v>21.0</v>
      </c>
    </row>
    <row r="11">
      <c r="A11" s="590" t="s">
        <v>672</v>
      </c>
      <c r="B11" s="15">
        <v>52.0</v>
      </c>
    </row>
    <row r="12">
      <c r="A12" s="590" t="s">
        <v>673</v>
      </c>
      <c r="B12" s="15">
        <v>18.0</v>
      </c>
    </row>
    <row r="13">
      <c r="A13" s="590" t="s">
        <v>674</v>
      </c>
      <c r="B13" s="15">
        <v>44.0</v>
      </c>
    </row>
    <row r="14">
      <c r="A14" s="590" t="s">
        <v>676</v>
      </c>
      <c r="B14" s="15">
        <v>23.0</v>
      </c>
    </row>
    <row r="15">
      <c r="A15" s="590" t="s">
        <v>677</v>
      </c>
      <c r="B15" s="15">
        <v>22.0</v>
      </c>
    </row>
    <row r="16">
      <c r="A16" s="590" t="s">
        <v>679</v>
      </c>
      <c r="B16" s="15">
        <v>32.0</v>
      </c>
    </row>
    <row r="17">
      <c r="A17" s="590" t="s">
        <v>680</v>
      </c>
      <c r="B17" s="15">
        <v>34.0</v>
      </c>
    </row>
    <row r="18">
      <c r="A18" s="590" t="s">
        <v>681</v>
      </c>
      <c r="B18" s="15">
        <v>37.0</v>
      </c>
    </row>
    <row r="19">
      <c r="A19" s="590" t="s">
        <v>684</v>
      </c>
      <c r="B19" s="15">
        <v>41.0</v>
      </c>
    </row>
    <row r="20">
      <c r="A20" s="590" t="s">
        <v>686</v>
      </c>
      <c r="B20" s="15">
        <v>64.0</v>
      </c>
    </row>
    <row r="21">
      <c r="A21" s="590" t="s">
        <v>689</v>
      </c>
      <c r="B21" s="15">
        <v>28.0</v>
      </c>
    </row>
    <row r="22">
      <c r="A22" s="590" t="s">
        <v>692</v>
      </c>
      <c r="B22" s="15">
        <v>34.0</v>
      </c>
    </row>
    <row r="23">
      <c r="A23" s="590" t="s">
        <v>693</v>
      </c>
      <c r="B23" s="15">
        <v>15.0</v>
      </c>
    </row>
    <row r="24">
      <c r="A24" s="590" t="s">
        <v>696</v>
      </c>
      <c r="B24" s="15">
        <v>7.0</v>
      </c>
    </row>
    <row r="25">
      <c r="A25" s="590" t="s">
        <v>698</v>
      </c>
      <c r="B25" s="15">
        <v>33.0</v>
      </c>
    </row>
    <row r="26">
      <c r="A26" s="590" t="s">
        <v>700</v>
      </c>
      <c r="B26" s="15">
        <v>25.0</v>
      </c>
    </row>
    <row r="27">
      <c r="A27" s="590" t="s">
        <v>703</v>
      </c>
      <c r="B27" s="15">
        <v>32.0</v>
      </c>
    </row>
    <row r="28">
      <c r="A28" s="590" t="s">
        <v>707</v>
      </c>
      <c r="B28" s="15">
        <v>38.0</v>
      </c>
    </row>
    <row r="29">
      <c r="A29" s="590" t="s">
        <v>708</v>
      </c>
      <c r="B29" s="15">
        <v>41.0</v>
      </c>
    </row>
    <row r="30">
      <c r="A30" s="590" t="s">
        <v>709</v>
      </c>
      <c r="B30" s="15">
        <v>43.0</v>
      </c>
    </row>
    <row r="31">
      <c r="A31" s="590" t="s">
        <v>711</v>
      </c>
      <c r="B31" s="15">
        <v>25.0</v>
      </c>
    </row>
    <row r="32">
      <c r="A32" s="590" t="s">
        <v>712</v>
      </c>
      <c r="B32" s="15">
        <v>51.0</v>
      </c>
    </row>
    <row r="33">
      <c r="A33" s="590" t="s">
        <v>713</v>
      </c>
      <c r="B33" s="15">
        <v>19.0</v>
      </c>
    </row>
    <row r="34">
      <c r="A34" s="590" t="s">
        <v>716</v>
      </c>
      <c r="B34" s="15">
        <v>50.0</v>
      </c>
    </row>
    <row r="35">
      <c r="A35" s="590" t="s">
        <v>718</v>
      </c>
      <c r="B35" s="15">
        <v>54.0</v>
      </c>
    </row>
    <row r="36">
      <c r="A36" s="590" t="s">
        <v>719</v>
      </c>
      <c r="B36" s="15">
        <v>38.0</v>
      </c>
    </row>
    <row r="37">
      <c r="A37" s="590" t="s">
        <v>720</v>
      </c>
      <c r="B37" s="15">
        <v>77.0</v>
      </c>
    </row>
    <row r="38">
      <c r="A38" s="590" t="s">
        <v>721</v>
      </c>
      <c r="B38" s="15">
        <v>44.0</v>
      </c>
    </row>
    <row r="39">
      <c r="A39" s="590" t="s">
        <v>695</v>
      </c>
      <c r="B39" s="15">
        <v>41.0</v>
      </c>
    </row>
    <row r="40">
      <c r="A40" s="590" t="s">
        <v>699</v>
      </c>
      <c r="B40" s="15">
        <v>32.0</v>
      </c>
    </row>
    <row r="41">
      <c r="A41" s="590" t="s">
        <v>668</v>
      </c>
      <c r="B41" s="15">
        <v>42.0</v>
      </c>
    </row>
    <row r="42">
      <c r="A42" s="590" t="s">
        <v>724</v>
      </c>
      <c r="B42" s="15">
        <v>9.0</v>
      </c>
    </row>
    <row r="43">
      <c r="A43" s="590" t="s">
        <v>678</v>
      </c>
      <c r="B43" s="15">
        <v>14.0</v>
      </c>
    </row>
    <row r="44">
      <c r="A44" s="590" t="s">
        <v>807</v>
      </c>
      <c r="B44" s="15">
        <v>12.0</v>
      </c>
    </row>
    <row r="45">
      <c r="A45" s="590" t="s">
        <v>717</v>
      </c>
      <c r="B45" s="15">
        <v>6.0</v>
      </c>
    </row>
    <row r="46">
      <c r="A46" s="590" t="s">
        <v>705</v>
      </c>
      <c r="B46" s="15">
        <v>12.0</v>
      </c>
    </row>
    <row r="47">
      <c r="A47" s="590" t="s">
        <v>664</v>
      </c>
      <c r="B47" s="15">
        <v>43.0</v>
      </c>
    </row>
    <row r="48">
      <c r="A48" s="590" t="s">
        <v>690</v>
      </c>
      <c r="B48" s="15">
        <v>54.0</v>
      </c>
    </row>
    <row r="49">
      <c r="A49" s="590" t="s">
        <v>714</v>
      </c>
      <c r="B49" s="15">
        <v>40.0</v>
      </c>
    </row>
    <row r="50">
      <c r="A50" s="590" t="s">
        <v>688</v>
      </c>
      <c r="B50" s="15">
        <v>21.0</v>
      </c>
    </row>
    <row r="51">
      <c r="A51" s="590" t="s">
        <v>669</v>
      </c>
      <c r="B51" s="15">
        <v>46.0</v>
      </c>
    </row>
    <row r="52">
      <c r="A52" s="590" t="s">
        <v>685</v>
      </c>
      <c r="B52" s="15">
        <v>22.0</v>
      </c>
    </row>
    <row r="53">
      <c r="A53" s="590" t="s">
        <v>731</v>
      </c>
      <c r="B53" s="15">
        <v>26.0</v>
      </c>
    </row>
    <row r="54">
      <c r="A54" s="590" t="s">
        <v>738</v>
      </c>
      <c r="B54" s="15">
        <v>20.0</v>
      </c>
    </row>
    <row r="55">
      <c r="A55" s="590" t="s">
        <v>723</v>
      </c>
      <c r="B55" s="15">
        <v>14.0</v>
      </c>
    </row>
    <row r="56">
      <c r="A56" s="590" t="s">
        <v>744</v>
      </c>
      <c r="B56" s="15">
        <v>23.0</v>
      </c>
    </row>
    <row r="57">
      <c r="A57" s="590" t="s">
        <v>682</v>
      </c>
      <c r="B57" s="15">
        <v>28.0</v>
      </c>
    </row>
    <row r="58">
      <c r="A58" s="590" t="s">
        <v>792</v>
      </c>
      <c r="B58" s="15">
        <v>19.0</v>
      </c>
    </row>
    <row r="59">
      <c r="A59" s="590" t="s">
        <v>855</v>
      </c>
      <c r="B59" s="15">
        <v>24.0</v>
      </c>
    </row>
    <row r="60">
      <c r="A60" s="590" t="s">
        <v>781</v>
      </c>
      <c r="B60" s="15">
        <v>9.0</v>
      </c>
    </row>
    <row r="61">
      <c r="A61" s="590" t="s">
        <v>675</v>
      </c>
      <c r="B61" s="15">
        <v>37.0</v>
      </c>
    </row>
    <row r="62">
      <c r="A62" s="590" t="s">
        <v>704</v>
      </c>
      <c r="B62" s="15">
        <v>36.0</v>
      </c>
    </row>
    <row r="63">
      <c r="A63" s="590" t="s">
        <v>697</v>
      </c>
      <c r="B63" s="15">
        <v>45.0</v>
      </c>
    </row>
    <row r="64">
      <c r="A64" s="590" t="s">
        <v>826</v>
      </c>
      <c r="B64" s="15">
        <v>49.0</v>
      </c>
    </row>
    <row r="65">
      <c r="A65" s="590" t="s">
        <v>859</v>
      </c>
      <c r="B65" s="15">
        <v>20.0</v>
      </c>
    </row>
    <row r="66">
      <c r="A66" s="590" t="s">
        <v>742</v>
      </c>
      <c r="B66" s="15">
        <v>29.0</v>
      </c>
    </row>
    <row r="67">
      <c r="A67" s="590" t="s">
        <v>733</v>
      </c>
      <c r="B67" s="15">
        <v>25.0</v>
      </c>
    </row>
    <row r="68">
      <c r="A68" s="15" t="s">
        <v>722</v>
      </c>
      <c r="B68" s="15">
        <v>12.0</v>
      </c>
    </row>
    <row r="69">
      <c r="A69" s="15" t="s">
        <v>725</v>
      </c>
      <c r="B69" s="15">
        <v>49.0</v>
      </c>
    </row>
    <row r="70">
      <c r="A70" s="15" t="s">
        <v>726</v>
      </c>
      <c r="B70" s="15">
        <v>45.0</v>
      </c>
    </row>
    <row r="71">
      <c r="A71" s="15" t="s">
        <v>728</v>
      </c>
      <c r="B71" s="15">
        <v>19.0</v>
      </c>
    </row>
    <row r="72">
      <c r="A72" s="15" t="s">
        <v>729</v>
      </c>
      <c r="B72" s="15">
        <v>18.0</v>
      </c>
    </row>
    <row r="73">
      <c r="A73" s="15" t="s">
        <v>730</v>
      </c>
      <c r="B73" s="15">
        <v>30.0</v>
      </c>
    </row>
    <row r="74">
      <c r="A74" s="15" t="s">
        <v>732</v>
      </c>
      <c r="B74" s="15">
        <v>27.0</v>
      </c>
    </row>
    <row r="75">
      <c r="A75" s="15" t="s">
        <v>736</v>
      </c>
      <c r="B75" s="15">
        <v>50.0</v>
      </c>
    </row>
    <row r="76">
      <c r="A76" s="15" t="s">
        <v>737</v>
      </c>
      <c r="B76" s="15">
        <v>48.0</v>
      </c>
    </row>
    <row r="77">
      <c r="A77" s="15" t="s">
        <v>739</v>
      </c>
      <c r="B77" s="15">
        <v>11.0</v>
      </c>
    </row>
    <row r="78">
      <c r="A78" s="15" t="s">
        <v>741</v>
      </c>
      <c r="B78" s="15">
        <v>38.0</v>
      </c>
    </row>
    <row r="79">
      <c r="A79" s="15" t="s">
        <v>743</v>
      </c>
      <c r="B79" s="15">
        <v>35.0</v>
      </c>
    </row>
    <row r="80">
      <c r="A80" s="15" t="s">
        <v>745</v>
      </c>
      <c r="B80" s="15">
        <v>48.0</v>
      </c>
    </row>
    <row r="81">
      <c r="A81" s="15" t="s">
        <v>746</v>
      </c>
      <c r="B81" s="15">
        <v>69.0</v>
      </c>
    </row>
    <row r="82">
      <c r="A82" s="15" t="s">
        <v>748</v>
      </c>
      <c r="B82" s="15">
        <v>26.0</v>
      </c>
    </row>
    <row r="83">
      <c r="A83" s="15" t="s">
        <v>749</v>
      </c>
      <c r="B83" s="15">
        <v>51.0</v>
      </c>
    </row>
    <row r="84">
      <c r="A84" s="15" t="s">
        <v>750</v>
      </c>
      <c r="B84" s="15">
        <v>60.0</v>
      </c>
    </row>
    <row r="85">
      <c r="A85" s="15" t="s">
        <v>751</v>
      </c>
      <c r="B85" s="15">
        <v>63.0</v>
      </c>
    </row>
    <row r="86">
      <c r="A86" s="15" t="s">
        <v>752</v>
      </c>
      <c r="B86" s="15">
        <v>70.0</v>
      </c>
    </row>
    <row r="87">
      <c r="A87" s="15" t="s">
        <v>757</v>
      </c>
      <c r="B87" s="15">
        <v>37.0</v>
      </c>
    </row>
    <row r="88">
      <c r="A88" s="15" t="s">
        <v>758</v>
      </c>
      <c r="B88" s="15">
        <v>6.0</v>
      </c>
    </row>
    <row r="89">
      <c r="A89" s="15" t="s">
        <v>762</v>
      </c>
      <c r="B89" s="15">
        <v>8.0</v>
      </c>
    </row>
    <row r="90">
      <c r="A90" s="15" t="s">
        <v>764</v>
      </c>
      <c r="B90" s="15">
        <v>16.0</v>
      </c>
    </row>
    <row r="91">
      <c r="A91" s="15" t="s">
        <v>766</v>
      </c>
      <c r="B91" s="15">
        <v>32.0</v>
      </c>
    </row>
    <row r="92">
      <c r="A92" s="15" t="s">
        <v>768</v>
      </c>
      <c r="B92" s="15">
        <v>42.0</v>
      </c>
    </row>
    <row r="93">
      <c r="A93" s="15" t="s">
        <v>769</v>
      </c>
      <c r="B93" s="15">
        <v>66.0</v>
      </c>
    </row>
    <row r="94">
      <c r="A94" s="15" t="s">
        <v>770</v>
      </c>
      <c r="B94" s="15">
        <v>36.0</v>
      </c>
    </row>
    <row r="95">
      <c r="A95" s="15" t="s">
        <v>771</v>
      </c>
      <c r="B95" s="15">
        <v>63.0</v>
      </c>
    </row>
    <row r="96">
      <c r="A96" s="15" t="s">
        <v>772</v>
      </c>
      <c r="B96" s="15">
        <v>47.0</v>
      </c>
    </row>
    <row r="97">
      <c r="A97" s="15" t="s">
        <v>774</v>
      </c>
      <c r="B97" s="15">
        <v>74.0</v>
      </c>
    </row>
    <row r="98">
      <c r="A98" s="15" t="s">
        <v>776</v>
      </c>
      <c r="B98" s="15">
        <v>17.0</v>
      </c>
    </row>
    <row r="99">
      <c r="A99" s="15" t="s">
        <v>779</v>
      </c>
      <c r="B99" s="15">
        <v>40.0</v>
      </c>
    </row>
    <row r="100">
      <c r="A100" s="15" t="s">
        <v>782</v>
      </c>
      <c r="B100" s="15">
        <v>72.0</v>
      </c>
    </row>
    <row r="101">
      <c r="A101" s="15" t="s">
        <v>785</v>
      </c>
      <c r="B101" s="15">
        <v>36.0</v>
      </c>
    </row>
    <row r="102">
      <c r="A102" s="15" t="s">
        <v>786</v>
      </c>
      <c r="B102" s="15">
        <v>13.0</v>
      </c>
    </row>
    <row r="103">
      <c r="A103" s="15" t="s">
        <v>787</v>
      </c>
      <c r="B103" s="15">
        <v>18.0</v>
      </c>
    </row>
    <row r="104">
      <c r="A104" s="15" t="s">
        <v>788</v>
      </c>
      <c r="B104" s="15">
        <v>55.0</v>
      </c>
    </row>
    <row r="105">
      <c r="A105" s="15" t="s">
        <v>753</v>
      </c>
      <c r="B105" s="15">
        <v>33.0</v>
      </c>
    </row>
    <row r="106">
      <c r="A106" s="15" t="s">
        <v>761</v>
      </c>
      <c r="B106" s="15">
        <v>45.0</v>
      </c>
    </row>
    <row r="107">
      <c r="A107" s="15" t="s">
        <v>789</v>
      </c>
      <c r="B107" s="15">
        <v>25.0</v>
      </c>
    </row>
    <row r="108">
      <c r="A108" s="15" t="s">
        <v>790</v>
      </c>
      <c r="B108" s="15">
        <v>37.0</v>
      </c>
    </row>
    <row r="109">
      <c r="A109" s="15" t="s">
        <v>821</v>
      </c>
      <c r="B109" s="15">
        <v>65.0</v>
      </c>
    </row>
    <row r="110">
      <c r="A110" s="15" t="s">
        <v>710</v>
      </c>
      <c r="B110" s="15">
        <v>23.0</v>
      </c>
    </row>
    <row r="111">
      <c r="A111" s="15" t="s">
        <v>754</v>
      </c>
      <c r="B111" s="15">
        <v>20.0</v>
      </c>
    </row>
    <row r="112">
      <c r="A112" s="15" t="s">
        <v>777</v>
      </c>
      <c r="B112" s="15">
        <v>21.0</v>
      </c>
    </row>
    <row r="113">
      <c r="A113" s="15" t="s">
        <v>740</v>
      </c>
      <c r="B113" s="15">
        <v>27.0</v>
      </c>
    </row>
    <row r="114">
      <c r="A114" s="15" t="s">
        <v>791</v>
      </c>
      <c r="B114" s="15">
        <v>39.0</v>
      </c>
    </row>
    <row r="115">
      <c r="A115" s="15" t="s">
        <v>735</v>
      </c>
      <c r="B115" s="15">
        <v>53.0</v>
      </c>
    </row>
    <row r="116">
      <c r="A116" s="15" t="s">
        <v>759</v>
      </c>
      <c r="B116" s="15">
        <v>41.0</v>
      </c>
    </row>
    <row r="117">
      <c r="A117" s="15" t="s">
        <v>715</v>
      </c>
      <c r="B117" s="15">
        <v>57.0</v>
      </c>
    </row>
    <row r="118">
      <c r="A118" s="15" t="s">
        <v>706</v>
      </c>
      <c r="B118" s="15">
        <v>24.0</v>
      </c>
    </row>
    <row r="119">
      <c r="A119" s="15" t="s">
        <v>727</v>
      </c>
      <c r="B119" s="15">
        <v>9.0</v>
      </c>
    </row>
    <row r="120">
      <c r="A120" s="15" t="s">
        <v>778</v>
      </c>
      <c r="B120" s="15">
        <v>50.0</v>
      </c>
    </row>
    <row r="121">
      <c r="A121" s="15" t="s">
        <v>793</v>
      </c>
      <c r="B121" s="15">
        <v>54.0</v>
      </c>
    </row>
    <row r="122">
      <c r="A122" s="15" t="s">
        <v>780</v>
      </c>
      <c r="B122" s="15">
        <v>21.0</v>
      </c>
    </row>
    <row r="123">
      <c r="A123" s="15" t="s">
        <v>763</v>
      </c>
      <c r="B123" s="15">
        <v>43.0</v>
      </c>
    </row>
    <row r="124">
      <c r="A124" s="15" t="s">
        <v>687</v>
      </c>
      <c r="B124" s="15">
        <v>46.0</v>
      </c>
    </row>
    <row r="125">
      <c r="A125" s="15" t="s">
        <v>783</v>
      </c>
      <c r="B125" s="15">
        <v>25.0</v>
      </c>
    </row>
    <row r="126">
      <c r="A126" s="15" t="s">
        <v>756</v>
      </c>
      <c r="B126" s="15">
        <v>30.0</v>
      </c>
    </row>
    <row r="127">
      <c r="A127" s="15" t="s">
        <v>765</v>
      </c>
      <c r="B127" s="15">
        <v>54.0</v>
      </c>
    </row>
    <row r="128">
      <c r="A128" s="15" t="s">
        <v>829</v>
      </c>
      <c r="B128" s="15">
        <v>50.0</v>
      </c>
    </row>
    <row r="129">
      <c r="A129" s="15" t="s">
        <v>775</v>
      </c>
      <c r="B129" s="15">
        <v>49.0</v>
      </c>
    </row>
    <row r="130">
      <c r="A130" s="15" t="s">
        <v>683</v>
      </c>
      <c r="B130" s="15">
        <v>33.0</v>
      </c>
    </row>
    <row r="131">
      <c r="A131" s="15" t="s">
        <v>702</v>
      </c>
      <c r="B131" s="15">
        <v>28.0</v>
      </c>
    </row>
    <row r="132">
      <c r="A132" s="15" t="s">
        <v>795</v>
      </c>
      <c r="B132" s="15">
        <v>35.0</v>
      </c>
    </row>
    <row r="133">
      <c r="A133" s="15" t="s">
        <v>691</v>
      </c>
      <c r="B133" s="15">
        <v>28.0</v>
      </c>
    </row>
    <row r="134">
      <c r="A134" s="15" t="s">
        <v>796</v>
      </c>
      <c r="B134" s="15">
        <v>27.0</v>
      </c>
    </row>
    <row r="135">
      <c r="A135" s="15" t="s">
        <v>806</v>
      </c>
      <c r="B135" s="15">
        <v>73.0</v>
      </c>
    </row>
    <row r="136">
      <c r="A136" s="15" t="s">
        <v>824</v>
      </c>
      <c r="B136" s="15">
        <v>31.0</v>
      </c>
    </row>
    <row r="137">
      <c r="A137" s="15" t="s">
        <v>838</v>
      </c>
      <c r="B137" s="15">
        <v>87.0</v>
      </c>
    </row>
    <row r="138">
      <c r="A138" s="15" t="s">
        <v>854</v>
      </c>
      <c r="B138" s="15">
        <v>70.0</v>
      </c>
    </row>
    <row r="139">
      <c r="A139" s="15" t="s">
        <v>840</v>
      </c>
      <c r="B139" s="15">
        <v>30.0</v>
      </c>
    </row>
    <row r="140">
      <c r="A140" s="15" t="s">
        <v>839</v>
      </c>
      <c r="B140" s="15">
        <v>62.0</v>
      </c>
    </row>
    <row r="141">
      <c r="A141" s="15" t="s">
        <v>805</v>
      </c>
      <c r="B141" s="15">
        <v>68.0</v>
      </c>
    </row>
    <row r="142">
      <c r="A142" s="15" t="s">
        <v>830</v>
      </c>
      <c r="B142" s="15">
        <v>72.0</v>
      </c>
    </row>
    <row r="143">
      <c r="A143" s="15" t="s">
        <v>797</v>
      </c>
      <c r="B143" s="15">
        <v>63.0</v>
      </c>
    </row>
    <row r="144">
      <c r="A144" s="15" t="s">
        <v>813</v>
      </c>
      <c r="B144" s="15">
        <v>45.0</v>
      </c>
    </row>
    <row r="145">
      <c r="A145" s="15" t="s">
        <v>849</v>
      </c>
      <c r="B145" s="15">
        <v>27.0</v>
      </c>
    </row>
    <row r="146">
      <c r="A146" s="15" t="s">
        <v>798</v>
      </c>
      <c r="B146" s="15">
        <v>36.0</v>
      </c>
    </row>
    <row r="147">
      <c r="A147" s="15" t="s">
        <v>799</v>
      </c>
      <c r="B147" s="15">
        <v>48.0</v>
      </c>
    </row>
    <row r="148">
      <c r="A148" s="15" t="s">
        <v>837</v>
      </c>
      <c r="B148" s="15">
        <v>33.0</v>
      </c>
    </row>
    <row r="149">
      <c r="A149" s="15" t="s">
        <v>846</v>
      </c>
      <c r="B149" s="15">
        <v>43.0</v>
      </c>
    </row>
    <row r="150">
      <c r="A150" s="15" t="s">
        <v>832</v>
      </c>
      <c r="B150" s="15">
        <v>33.0</v>
      </c>
    </row>
    <row r="151">
      <c r="A151" s="15" t="s">
        <v>812</v>
      </c>
      <c r="B151" s="15">
        <v>38.0</v>
      </c>
    </row>
    <row r="152">
      <c r="A152" s="15" t="s">
        <v>853</v>
      </c>
      <c r="B152" s="15">
        <v>26.0</v>
      </c>
    </row>
    <row r="153">
      <c r="A153" s="15" t="s">
        <v>701</v>
      </c>
      <c r="B153" s="15">
        <v>48.0</v>
      </c>
    </row>
    <row r="154">
      <c r="A154" s="15" t="s">
        <v>831</v>
      </c>
      <c r="B154" s="15">
        <v>42.0</v>
      </c>
    </row>
    <row r="155">
      <c r="A155" s="15" t="s">
        <v>820</v>
      </c>
      <c r="B155" s="15">
        <v>39.0</v>
      </c>
    </row>
    <row r="156">
      <c r="A156" s="15" t="s">
        <v>794</v>
      </c>
      <c r="B156" s="15">
        <v>40.0</v>
      </c>
    </row>
    <row r="157">
      <c r="A157" s="15" t="s">
        <v>847</v>
      </c>
      <c r="B157" s="15">
        <v>26.0</v>
      </c>
    </row>
    <row r="158">
      <c r="A158" s="15" t="s">
        <v>860</v>
      </c>
      <c r="B158" s="15">
        <v>39.0</v>
      </c>
    </row>
    <row r="159">
      <c r="A159" s="15" t="s">
        <v>843</v>
      </c>
      <c r="B159" s="15">
        <v>25.0</v>
      </c>
    </row>
    <row r="160">
      <c r="A160" s="15" t="s">
        <v>842</v>
      </c>
      <c r="B160" s="15">
        <v>41.0</v>
      </c>
    </row>
    <row r="161">
      <c r="A161" s="15" t="s">
        <v>801</v>
      </c>
      <c r="B161" s="15">
        <v>55.0</v>
      </c>
    </row>
    <row r="162">
      <c r="A162" s="15" t="s">
        <v>773</v>
      </c>
      <c r="B162" s="15">
        <v>44.0</v>
      </c>
    </row>
    <row r="163">
      <c r="A163" s="15" t="s">
        <v>811</v>
      </c>
      <c r="B163" s="15">
        <v>50.0</v>
      </c>
    </row>
    <row r="164">
      <c r="A164" s="15" t="s">
        <v>822</v>
      </c>
      <c r="B164" s="15">
        <v>48.0</v>
      </c>
    </row>
    <row r="165">
      <c r="A165" s="15" t="s">
        <v>828</v>
      </c>
      <c r="B165" s="15">
        <v>36.0</v>
      </c>
    </row>
    <row r="166">
      <c r="A166" s="15" t="s">
        <v>850</v>
      </c>
      <c r="B166" s="15">
        <v>41.0</v>
      </c>
    </row>
    <row r="167">
      <c r="A167" s="15" t="s">
        <v>803</v>
      </c>
      <c r="B167" s="15">
        <v>20.0</v>
      </c>
    </row>
    <row r="168">
      <c r="A168" s="15" t="s">
        <v>825</v>
      </c>
      <c r="B168" s="15">
        <v>12.0</v>
      </c>
    </row>
    <row r="169">
      <c r="A169" s="15" t="s">
        <v>848</v>
      </c>
      <c r="B169" s="15">
        <v>29.0</v>
      </c>
    </row>
    <row r="170">
      <c r="A170" s="15" t="s">
        <v>804</v>
      </c>
      <c r="B170" s="15">
        <v>33.0</v>
      </c>
    </row>
    <row r="171">
      <c r="A171" s="15" t="s">
        <v>823</v>
      </c>
      <c r="B171" s="15">
        <v>25.0</v>
      </c>
    </row>
    <row r="172">
      <c r="A172" s="15" t="s">
        <v>827</v>
      </c>
      <c r="B172" s="15">
        <v>37.0</v>
      </c>
    </row>
    <row r="173">
      <c r="A173" s="15" t="s">
        <v>844</v>
      </c>
      <c r="B173" s="15">
        <v>18.0</v>
      </c>
    </row>
    <row r="174">
      <c r="A174" s="15" t="s">
        <v>818</v>
      </c>
      <c r="B174" s="15">
        <v>20.0</v>
      </c>
    </row>
    <row r="175">
      <c r="A175" s="15" t="s">
        <v>833</v>
      </c>
      <c r="B175" s="15">
        <v>15.0</v>
      </c>
    </row>
    <row r="176">
      <c r="A176" s="15" t="s">
        <v>694</v>
      </c>
      <c r="B176" s="15">
        <v>48.0</v>
      </c>
    </row>
    <row r="177">
      <c r="A177" s="15" t="s">
        <v>802</v>
      </c>
      <c r="B177" s="15">
        <v>31.0</v>
      </c>
    </row>
    <row r="178">
      <c r="A178" s="15" t="s">
        <v>858</v>
      </c>
      <c r="B178" s="15">
        <v>28.0</v>
      </c>
    </row>
    <row r="179">
      <c r="A179" s="15" t="s">
        <v>760</v>
      </c>
      <c r="B179" s="15">
        <v>21.0</v>
      </c>
    </row>
    <row r="180">
      <c r="A180" s="15" t="s">
        <v>845</v>
      </c>
      <c r="B180" s="15">
        <v>31.0</v>
      </c>
    </row>
    <row r="181">
      <c r="A181" s="15" t="s">
        <v>747</v>
      </c>
      <c r="B181" s="15">
        <v>38.0</v>
      </c>
    </row>
    <row r="182">
      <c r="A182" s="15" t="s">
        <v>784</v>
      </c>
      <c r="B182" s="15">
        <v>17.0</v>
      </c>
    </row>
    <row r="183">
      <c r="A183" s="15" t="s">
        <v>857</v>
      </c>
      <c r="B183" s="15">
        <v>33.0</v>
      </c>
    </row>
    <row r="184">
      <c r="A184" s="15" t="s">
        <v>834</v>
      </c>
      <c r="B184" s="15">
        <v>23.0</v>
      </c>
    </row>
    <row r="185">
      <c r="A185" s="15" t="s">
        <v>809</v>
      </c>
      <c r="B185" s="15">
        <v>17.0</v>
      </c>
    </row>
    <row r="186">
      <c r="A186" s="15" t="s">
        <v>808</v>
      </c>
      <c r="B186" s="15">
        <v>17.0</v>
      </c>
    </row>
    <row r="187">
      <c r="A187" s="15" t="s">
        <v>810</v>
      </c>
      <c r="B187" s="15">
        <v>28.0</v>
      </c>
    </row>
    <row r="188">
      <c r="A188" s="15" t="s">
        <v>814</v>
      </c>
      <c r="B188" s="15">
        <v>21.0</v>
      </c>
    </row>
    <row r="189">
      <c r="A189" s="15" t="s">
        <v>815</v>
      </c>
      <c r="B189" s="15">
        <v>22.0</v>
      </c>
    </row>
    <row r="190">
      <c r="A190" s="15" t="s">
        <v>816</v>
      </c>
      <c r="B190" s="15">
        <v>0.0</v>
      </c>
    </row>
    <row r="191">
      <c r="A191" s="15" t="s">
        <v>819</v>
      </c>
      <c r="B191" s="15">
        <v>5.0</v>
      </c>
    </row>
    <row r="192">
      <c r="A192" s="15" t="s">
        <v>841</v>
      </c>
      <c r="B192" s="15">
        <v>14.0</v>
      </c>
    </row>
    <row r="193">
      <c r="A193" s="15" t="s">
        <v>851</v>
      </c>
      <c r="B193" s="15">
        <v>10.0</v>
      </c>
    </row>
    <row r="194">
      <c r="A194" s="15" t="s">
        <v>852</v>
      </c>
      <c r="B194" s="15">
        <v>11.0</v>
      </c>
    </row>
    <row r="195">
      <c r="A195" s="15" t="s">
        <v>835</v>
      </c>
      <c r="B195" s="15">
        <v>7.0</v>
      </c>
    </row>
    <row r="196">
      <c r="A196" s="15" t="s">
        <v>856</v>
      </c>
      <c r="B196" s="15">
        <v>0.0</v>
      </c>
    </row>
    <row r="197">
      <c r="A197" s="15" t="s">
        <v>734</v>
      </c>
      <c r="B197" s="15">
        <v>9.0</v>
      </c>
    </row>
    <row r="198">
      <c r="A198" s="15" t="s">
        <v>800</v>
      </c>
      <c r="B198" s="15">
        <v>38.0</v>
      </c>
    </row>
    <row r="199">
      <c r="A199" s="15" t="s">
        <v>767</v>
      </c>
      <c r="B199" s="15">
        <v>34.0</v>
      </c>
    </row>
    <row r="200">
      <c r="A200" s="15" t="s">
        <v>836</v>
      </c>
      <c r="B200" s="15">
        <v>14.0</v>
      </c>
    </row>
    <row r="201">
      <c r="A201" s="15" t="s">
        <v>817</v>
      </c>
      <c r="B201" s="15">
        <v>42.0</v>
      </c>
    </row>
    <row r="202">
      <c r="A202" s="15" t="s">
        <v>755</v>
      </c>
      <c r="B202" s="15">
        <v>35.0</v>
      </c>
    </row>
    <row r="203">
      <c r="A203" s="15" t="s">
        <v>1280</v>
      </c>
      <c r="B203" s="15">
        <v>73.0</v>
      </c>
    </row>
    <row r="204">
      <c r="A204" s="15" t="s">
        <v>1303</v>
      </c>
      <c r="B204" s="15">
        <v>78.0</v>
      </c>
    </row>
    <row r="205">
      <c r="A205" s="15" t="s">
        <v>1312</v>
      </c>
      <c r="B205" s="15">
        <v>65.0</v>
      </c>
    </row>
    <row r="206">
      <c r="A206" s="15" t="s">
        <v>1315</v>
      </c>
      <c r="B206" s="15">
        <v>49.0</v>
      </c>
    </row>
    <row r="207">
      <c r="A207" s="15" t="s">
        <v>1307</v>
      </c>
      <c r="B207" s="15">
        <v>59.0</v>
      </c>
    </row>
    <row r="208">
      <c r="A208" s="15" t="s">
        <v>1290</v>
      </c>
      <c r="B208" s="15">
        <v>74.0</v>
      </c>
    </row>
    <row r="209">
      <c r="A209" s="15" t="s">
        <v>1324</v>
      </c>
      <c r="B209" s="15">
        <v>54.0</v>
      </c>
    </row>
    <row r="210">
      <c r="A210" s="15" t="s">
        <v>1327</v>
      </c>
      <c r="B210" s="15">
        <v>25.0</v>
      </c>
    </row>
    <row r="211">
      <c r="A211" s="15" t="s">
        <v>1269</v>
      </c>
      <c r="B211" s="15">
        <v>61.0</v>
      </c>
    </row>
    <row r="212">
      <c r="A212" s="15" t="s">
        <v>1270</v>
      </c>
      <c r="B212" s="15">
        <v>46.0</v>
      </c>
    </row>
    <row r="213">
      <c r="A213" s="15" t="s">
        <v>1314</v>
      </c>
      <c r="B213" s="15">
        <v>65.0</v>
      </c>
    </row>
    <row r="214">
      <c r="A214" s="15" t="s">
        <v>1292</v>
      </c>
      <c r="B214" s="15">
        <v>39.0</v>
      </c>
    </row>
    <row r="215">
      <c r="A215" s="15" t="s">
        <v>1289</v>
      </c>
      <c r="B215" s="15">
        <v>62.0</v>
      </c>
    </row>
    <row r="216">
      <c r="A216" s="15" t="s">
        <v>1321</v>
      </c>
      <c r="B216" s="15">
        <v>61.0</v>
      </c>
    </row>
    <row r="217">
      <c r="A217" s="15" t="s">
        <v>1275</v>
      </c>
      <c r="B217" s="15">
        <v>59.0</v>
      </c>
    </row>
    <row r="218">
      <c r="A218" s="15" t="s">
        <v>1326</v>
      </c>
      <c r="B218" s="15">
        <v>54.0</v>
      </c>
    </row>
    <row r="219">
      <c r="A219" s="15" t="s">
        <v>1311</v>
      </c>
      <c r="B219" s="15">
        <v>44.0</v>
      </c>
    </row>
    <row r="220">
      <c r="A220" s="15" t="s">
        <v>1297</v>
      </c>
      <c r="B220" s="15">
        <v>36.0</v>
      </c>
    </row>
    <row r="221">
      <c r="A221" s="15" t="s">
        <v>1281</v>
      </c>
      <c r="B221" s="15">
        <v>42.0</v>
      </c>
    </row>
    <row r="222">
      <c r="A222" s="15" t="s">
        <v>1331</v>
      </c>
      <c r="B222" s="15">
        <v>54.0</v>
      </c>
    </row>
    <row r="223">
      <c r="A223" s="15" t="s">
        <v>1304</v>
      </c>
      <c r="B223" s="15">
        <v>62.0</v>
      </c>
    </row>
    <row r="224">
      <c r="A224" s="15" t="s">
        <v>1320</v>
      </c>
      <c r="B224" s="15">
        <v>43.0</v>
      </c>
    </row>
    <row r="225">
      <c r="A225" s="15" t="s">
        <v>1299</v>
      </c>
      <c r="B225" s="15">
        <v>46.0</v>
      </c>
    </row>
    <row r="226">
      <c r="A226" s="15" t="s">
        <v>1284</v>
      </c>
      <c r="B226" s="15">
        <v>50.0</v>
      </c>
    </row>
    <row r="227">
      <c r="A227" s="15" t="s">
        <v>1308</v>
      </c>
      <c r="B227" s="15">
        <v>58.0</v>
      </c>
    </row>
    <row r="228">
      <c r="A228" s="15" t="s">
        <v>1323</v>
      </c>
      <c r="B228" s="15">
        <v>56.0</v>
      </c>
    </row>
    <row r="229">
      <c r="A229" s="15" t="s">
        <v>1330</v>
      </c>
      <c r="B229" s="15">
        <v>59.0</v>
      </c>
    </row>
    <row r="230">
      <c r="A230" s="15" t="s">
        <v>1309</v>
      </c>
      <c r="B230" s="15">
        <v>41.0</v>
      </c>
    </row>
    <row r="231">
      <c r="A231" s="15" t="s">
        <v>1319</v>
      </c>
      <c r="B231" s="15">
        <v>25.0</v>
      </c>
    </row>
    <row r="232">
      <c r="A232" s="15" t="s">
        <v>1295</v>
      </c>
      <c r="B232" s="15">
        <v>39.0</v>
      </c>
    </row>
    <row r="233">
      <c r="A233" s="15" t="s">
        <v>1300</v>
      </c>
      <c r="B233" s="15">
        <v>54.0</v>
      </c>
    </row>
    <row r="234">
      <c r="A234" s="15" t="s">
        <v>1274</v>
      </c>
      <c r="B234" s="15">
        <v>41.0</v>
      </c>
    </row>
    <row r="235">
      <c r="A235" s="15" t="s">
        <v>1310</v>
      </c>
      <c r="B235" s="15">
        <v>15.0</v>
      </c>
    </row>
    <row r="236">
      <c r="A236" s="15" t="s">
        <v>1306</v>
      </c>
      <c r="B236" s="15">
        <v>52.0</v>
      </c>
    </row>
    <row r="237">
      <c r="A237" s="15" t="s">
        <v>1322</v>
      </c>
      <c r="B237" s="15">
        <v>39.0</v>
      </c>
    </row>
    <row r="238">
      <c r="A238" s="15" t="s">
        <v>1293</v>
      </c>
      <c r="B238" s="15">
        <v>43.0</v>
      </c>
    </row>
    <row r="239">
      <c r="A239" s="15" t="s">
        <v>1287</v>
      </c>
      <c r="B239" s="15">
        <v>43.0</v>
      </c>
    </row>
    <row r="240">
      <c r="A240" s="15" t="s">
        <v>1282</v>
      </c>
      <c r="B240" s="15">
        <v>33.0</v>
      </c>
    </row>
    <row r="241">
      <c r="A241" s="15" t="s">
        <v>1291</v>
      </c>
      <c r="B241" s="15">
        <v>13.0</v>
      </c>
    </row>
    <row r="242">
      <c r="A242" s="15" t="s">
        <v>1294</v>
      </c>
      <c r="B242" s="15">
        <v>29.0</v>
      </c>
    </row>
    <row r="243">
      <c r="A243" s="15" t="s">
        <v>1325</v>
      </c>
      <c r="B243" s="15">
        <v>14.0</v>
      </c>
    </row>
    <row r="244">
      <c r="A244" s="15" t="s">
        <v>1271</v>
      </c>
      <c r="B244" s="15">
        <v>10.0</v>
      </c>
    </row>
    <row r="245">
      <c r="A245" s="15" t="s">
        <v>1273</v>
      </c>
      <c r="B245" s="15">
        <v>8.0</v>
      </c>
    </row>
    <row r="246">
      <c r="A246" s="15" t="s">
        <v>1276</v>
      </c>
      <c r="B246" s="15">
        <v>24.0</v>
      </c>
    </row>
    <row r="247">
      <c r="A247" s="15" t="s">
        <v>1278</v>
      </c>
      <c r="B247" s="15">
        <v>9.0</v>
      </c>
    </row>
    <row r="248">
      <c r="A248" s="15" t="s">
        <v>1296</v>
      </c>
      <c r="B248" s="15">
        <v>14.0</v>
      </c>
    </row>
    <row r="249">
      <c r="A249" s="15" t="s">
        <v>1283</v>
      </c>
      <c r="B249" s="15">
        <v>24.0</v>
      </c>
    </row>
    <row r="250">
      <c r="A250" s="15" t="s">
        <v>1285</v>
      </c>
      <c r="B250" s="15">
        <v>16.0</v>
      </c>
    </row>
    <row r="251">
      <c r="A251" s="15" t="s">
        <v>1286</v>
      </c>
      <c r="B251" s="15">
        <v>27.0</v>
      </c>
    </row>
    <row r="252">
      <c r="A252" s="15" t="s">
        <v>1288</v>
      </c>
      <c r="B252" s="15">
        <v>18.0</v>
      </c>
    </row>
    <row r="253">
      <c r="A253" s="15" t="s">
        <v>1298</v>
      </c>
      <c r="B253" s="15">
        <v>0.0</v>
      </c>
    </row>
    <row r="254">
      <c r="A254" s="15" t="s">
        <v>1302</v>
      </c>
      <c r="B254" s="15">
        <v>16.0</v>
      </c>
    </row>
    <row r="255">
      <c r="A255" s="15" t="s">
        <v>1313</v>
      </c>
      <c r="B255" s="15">
        <v>11.0</v>
      </c>
    </row>
    <row r="256">
      <c r="A256" s="15" t="s">
        <v>1316</v>
      </c>
      <c r="B256" s="15">
        <v>7.0</v>
      </c>
    </row>
    <row r="257">
      <c r="A257" s="15" t="s">
        <v>1317</v>
      </c>
      <c r="B257" s="15">
        <v>17.0</v>
      </c>
    </row>
    <row r="258">
      <c r="A258" s="15" t="s">
        <v>1318</v>
      </c>
      <c r="B258" s="15">
        <v>0.0</v>
      </c>
    </row>
    <row r="259">
      <c r="A259" s="15" t="s">
        <v>1328</v>
      </c>
      <c r="B259" s="15">
        <v>8.0</v>
      </c>
    </row>
    <row r="260">
      <c r="A260" s="15" t="s">
        <v>1329</v>
      </c>
      <c r="B260" s="15">
        <v>17.0</v>
      </c>
    </row>
    <row r="261">
      <c r="A261" s="15" t="s">
        <v>1272</v>
      </c>
      <c r="B261" s="15">
        <v>34.0</v>
      </c>
    </row>
    <row r="262">
      <c r="A262" s="15" t="s">
        <v>1277</v>
      </c>
      <c r="B262" s="15">
        <v>11.0</v>
      </c>
    </row>
    <row r="263">
      <c r="A263" s="15" t="s">
        <v>1301</v>
      </c>
      <c r="B263" s="15">
        <v>4.0</v>
      </c>
    </row>
    <row r="264">
      <c r="A264" s="15" t="s">
        <v>1305</v>
      </c>
      <c r="B264" s="15">
        <v>8.0</v>
      </c>
    </row>
    <row r="265">
      <c r="A265" s="15" t="s">
        <v>1279</v>
      </c>
      <c r="B265" s="15">
        <v>9.0</v>
      </c>
    </row>
    <row r="266">
      <c r="A266" s="15" t="s">
        <v>1039</v>
      </c>
      <c r="B266" s="15">
        <v>38.0</v>
      </c>
    </row>
    <row r="267">
      <c r="A267" s="15" t="s">
        <v>1040</v>
      </c>
      <c r="B267" s="15">
        <v>60.0</v>
      </c>
    </row>
    <row r="268">
      <c r="A268" s="15" t="s">
        <v>1041</v>
      </c>
      <c r="B268" s="15">
        <v>46.0</v>
      </c>
    </row>
    <row r="269">
      <c r="A269" s="15" t="s">
        <v>1044</v>
      </c>
      <c r="B269" s="15">
        <v>12.0</v>
      </c>
    </row>
    <row r="270">
      <c r="A270" s="15" t="s">
        <v>1045</v>
      </c>
      <c r="B270" s="15">
        <v>10.0</v>
      </c>
    </row>
    <row r="271">
      <c r="A271" s="15" t="s">
        <v>1046</v>
      </c>
      <c r="B271" s="15">
        <v>25.0</v>
      </c>
    </row>
    <row r="272">
      <c r="A272" s="15" t="s">
        <v>1047</v>
      </c>
      <c r="B272" s="15">
        <v>22.0</v>
      </c>
    </row>
    <row r="273">
      <c r="A273" s="15" t="s">
        <v>1048</v>
      </c>
      <c r="B273" s="15">
        <v>33.0</v>
      </c>
    </row>
    <row r="274">
      <c r="A274" s="15" t="s">
        <v>1049</v>
      </c>
      <c r="B274" s="15">
        <v>58.0</v>
      </c>
    </row>
    <row r="275">
      <c r="A275" s="15" t="s">
        <v>1050</v>
      </c>
      <c r="B275" s="15">
        <v>17.0</v>
      </c>
    </row>
    <row r="276">
      <c r="A276" s="15" t="s">
        <v>1051</v>
      </c>
      <c r="B276" s="15">
        <v>54.0</v>
      </c>
    </row>
    <row r="277">
      <c r="A277" s="15" t="s">
        <v>1052</v>
      </c>
      <c r="B277" s="15">
        <v>39.0</v>
      </c>
    </row>
    <row r="278">
      <c r="A278" s="15" t="s">
        <v>1053</v>
      </c>
      <c r="B278" s="15">
        <v>21.0</v>
      </c>
    </row>
    <row r="279">
      <c r="A279" s="15" t="s">
        <v>1054</v>
      </c>
      <c r="B279" s="15">
        <v>18.0</v>
      </c>
    </row>
    <row r="280">
      <c r="A280" s="15" t="s">
        <v>1055</v>
      </c>
      <c r="B280" s="15">
        <v>51.0</v>
      </c>
    </row>
    <row r="281">
      <c r="A281" s="15" t="s">
        <v>1056</v>
      </c>
      <c r="B281" s="15">
        <v>11.0</v>
      </c>
    </row>
    <row r="282">
      <c r="A282" s="15" t="s">
        <v>1057</v>
      </c>
      <c r="B282" s="15">
        <v>27.0</v>
      </c>
    </row>
    <row r="283">
      <c r="A283" s="15" t="s">
        <v>1058</v>
      </c>
      <c r="B283" s="15">
        <v>21.0</v>
      </c>
    </row>
    <row r="284">
      <c r="A284" s="15" t="s">
        <v>1059</v>
      </c>
      <c r="B284" s="15">
        <v>9.0</v>
      </c>
    </row>
    <row r="285">
      <c r="A285" s="15" t="s">
        <v>1060</v>
      </c>
      <c r="B285" s="15">
        <v>8.0</v>
      </c>
    </row>
    <row r="286">
      <c r="A286" s="15" t="s">
        <v>1061</v>
      </c>
      <c r="B286" s="15">
        <v>14.0</v>
      </c>
    </row>
    <row r="287">
      <c r="A287" s="15" t="s">
        <v>1062</v>
      </c>
      <c r="B287" s="15">
        <v>10.0</v>
      </c>
    </row>
    <row r="288">
      <c r="A288" s="15" t="s">
        <v>1063</v>
      </c>
      <c r="B288" s="15">
        <v>62.0</v>
      </c>
    </row>
    <row r="289">
      <c r="A289" s="15" t="s">
        <v>1064</v>
      </c>
      <c r="B289" s="15">
        <v>2.0</v>
      </c>
    </row>
    <row r="290">
      <c r="A290" s="15" t="s">
        <v>1065</v>
      </c>
      <c r="B290" s="15">
        <v>6.0</v>
      </c>
    </row>
    <row r="291">
      <c r="A291" s="15" t="s">
        <v>1066</v>
      </c>
      <c r="B291" s="15">
        <v>22.0</v>
      </c>
    </row>
    <row r="292">
      <c r="A292" s="15" t="s">
        <v>1068</v>
      </c>
      <c r="B292" s="15">
        <v>25.0</v>
      </c>
    </row>
    <row r="293">
      <c r="A293" s="15" t="s">
        <v>1069</v>
      </c>
      <c r="B293" s="15">
        <v>25.0</v>
      </c>
    </row>
    <row r="294">
      <c r="A294" s="15" t="s">
        <v>1070</v>
      </c>
      <c r="B294" s="15">
        <v>10.0</v>
      </c>
    </row>
    <row r="295">
      <c r="A295" s="15" t="s">
        <v>1071</v>
      </c>
      <c r="B295" s="15">
        <v>35.0</v>
      </c>
    </row>
    <row r="296">
      <c r="A296" s="15" t="s">
        <v>1072</v>
      </c>
      <c r="B296" s="15">
        <v>2.0</v>
      </c>
    </row>
    <row r="297">
      <c r="A297" s="15" t="s">
        <v>1074</v>
      </c>
      <c r="B297" s="15">
        <v>27.0</v>
      </c>
    </row>
    <row r="298">
      <c r="A298" s="15" t="s">
        <v>1075</v>
      </c>
      <c r="B298" s="15">
        <v>21.0</v>
      </c>
    </row>
    <row r="299">
      <c r="A299" s="15" t="s">
        <v>1076</v>
      </c>
      <c r="B299" s="15">
        <v>15.0</v>
      </c>
    </row>
    <row r="300">
      <c r="A300" s="15" t="s">
        <v>1077</v>
      </c>
      <c r="B300" s="15">
        <v>40.0</v>
      </c>
    </row>
    <row r="301">
      <c r="A301" s="15" t="s">
        <v>1078</v>
      </c>
      <c r="B301" s="15">
        <v>18.0</v>
      </c>
    </row>
    <row r="302">
      <c r="A302" s="15" t="s">
        <v>1079</v>
      </c>
      <c r="B302" s="15">
        <v>14.0</v>
      </c>
    </row>
    <row r="303">
      <c r="A303" s="15" t="s">
        <v>1080</v>
      </c>
      <c r="B303" s="15">
        <v>10.0</v>
      </c>
    </row>
    <row r="304">
      <c r="A304" s="15" t="s">
        <v>1081</v>
      </c>
      <c r="B304" s="15">
        <v>11.0</v>
      </c>
    </row>
    <row r="305">
      <c r="A305" s="15" t="s">
        <v>1082</v>
      </c>
      <c r="B305" s="15">
        <v>19.0</v>
      </c>
    </row>
    <row r="306">
      <c r="A306" s="15" t="s">
        <v>1083</v>
      </c>
      <c r="B306" s="15">
        <v>20.0</v>
      </c>
    </row>
    <row r="307">
      <c r="A307" s="15" t="s">
        <v>1084</v>
      </c>
      <c r="B307" s="15">
        <v>31.0</v>
      </c>
    </row>
    <row r="308">
      <c r="A308" s="15" t="s">
        <v>1085</v>
      </c>
      <c r="B308" s="15">
        <v>7.0</v>
      </c>
    </row>
    <row r="309">
      <c r="A309" s="15" t="s">
        <v>1086</v>
      </c>
      <c r="B309" s="15">
        <v>28.0</v>
      </c>
    </row>
    <row r="310">
      <c r="A310" s="15" t="s">
        <v>1087</v>
      </c>
      <c r="B310" s="15">
        <v>15.0</v>
      </c>
    </row>
    <row r="311">
      <c r="A311" s="15" t="s">
        <v>1089</v>
      </c>
      <c r="B311" s="15">
        <v>26.0</v>
      </c>
    </row>
    <row r="312">
      <c r="A312" s="15" t="s">
        <v>1090</v>
      </c>
      <c r="B312" s="15">
        <v>30.0</v>
      </c>
    </row>
    <row r="313">
      <c r="A313" s="15" t="s">
        <v>1091</v>
      </c>
      <c r="B313" s="15">
        <v>15.0</v>
      </c>
    </row>
    <row r="314">
      <c r="A314" s="15" t="s">
        <v>1092</v>
      </c>
      <c r="B314" s="15">
        <v>9.0</v>
      </c>
    </row>
    <row r="315">
      <c r="A315" s="15" t="s">
        <v>1093</v>
      </c>
      <c r="B315" s="15">
        <v>20.0</v>
      </c>
    </row>
    <row r="316">
      <c r="A316" s="15" t="s">
        <v>1094</v>
      </c>
      <c r="B316" s="15">
        <v>1.0</v>
      </c>
    </row>
    <row r="317">
      <c r="A317" s="15" t="s">
        <v>1095</v>
      </c>
      <c r="B317" s="15">
        <v>1.0</v>
      </c>
    </row>
    <row r="318">
      <c r="A318" s="15" t="s">
        <v>1096</v>
      </c>
      <c r="B318" s="15">
        <v>16.0</v>
      </c>
    </row>
    <row r="319">
      <c r="A319" s="15" t="s">
        <v>1098</v>
      </c>
      <c r="B319" s="15">
        <v>19.0</v>
      </c>
    </row>
    <row r="320">
      <c r="A320" s="15" t="s">
        <v>1100</v>
      </c>
      <c r="B320" s="15">
        <v>0.0</v>
      </c>
    </row>
    <row r="321">
      <c r="A321" s="15" t="s">
        <v>1101</v>
      </c>
      <c r="B321" s="15">
        <v>51.0</v>
      </c>
    </row>
    <row r="322">
      <c r="A322" s="15" t="s">
        <v>1102</v>
      </c>
      <c r="B322" s="15">
        <v>20.0</v>
      </c>
    </row>
    <row r="323">
      <c r="A323" s="15" t="s">
        <v>1104</v>
      </c>
      <c r="B323" s="15">
        <v>26.0</v>
      </c>
    </row>
    <row r="324">
      <c r="A324" s="15" t="s">
        <v>1105</v>
      </c>
      <c r="B324" s="15">
        <v>3.0</v>
      </c>
    </row>
    <row r="325">
      <c r="A325" s="15" t="s">
        <v>1106</v>
      </c>
      <c r="B325" s="15">
        <v>4.0</v>
      </c>
    </row>
    <row r="326">
      <c r="A326" s="15" t="s">
        <v>1110</v>
      </c>
      <c r="B326" s="15">
        <v>17.0</v>
      </c>
    </row>
    <row r="327">
      <c r="A327" s="15" t="s">
        <v>1113</v>
      </c>
      <c r="B327" s="15">
        <v>20.0</v>
      </c>
    </row>
    <row r="328">
      <c r="A328" s="15" t="s">
        <v>1123</v>
      </c>
      <c r="B328" s="15">
        <v>17.0</v>
      </c>
    </row>
    <row r="329">
      <c r="A329" s="15" t="s">
        <v>1136</v>
      </c>
      <c r="B329" s="15">
        <v>11.0</v>
      </c>
    </row>
    <row r="330">
      <c r="A330" s="15" t="s">
        <v>1138</v>
      </c>
      <c r="B330" s="15">
        <v>16.0</v>
      </c>
    </row>
    <row r="331">
      <c r="A331" s="15" t="s">
        <v>1140</v>
      </c>
      <c r="B331" s="15">
        <v>14.0</v>
      </c>
    </row>
    <row r="332">
      <c r="A332" s="15" t="s">
        <v>1153</v>
      </c>
      <c r="B332" s="15">
        <v>12.0</v>
      </c>
    </row>
    <row r="333">
      <c r="A333" s="15" t="s">
        <v>1154</v>
      </c>
      <c r="B333" s="15">
        <v>0.0</v>
      </c>
    </row>
    <row r="334">
      <c r="A334" s="15" t="s">
        <v>1155</v>
      </c>
      <c r="B334" s="15">
        <v>7.0</v>
      </c>
    </row>
    <row r="335">
      <c r="A335" s="15" t="s">
        <v>1158</v>
      </c>
      <c r="B335" s="15">
        <v>11.0</v>
      </c>
    </row>
    <row r="336">
      <c r="A336" s="15" t="s">
        <v>1179</v>
      </c>
      <c r="B336" s="15">
        <v>27.0</v>
      </c>
    </row>
    <row r="337">
      <c r="A337" s="15" t="s">
        <v>1042</v>
      </c>
      <c r="B337" s="15">
        <v>16.0</v>
      </c>
    </row>
    <row r="338">
      <c r="A338" s="15" t="s">
        <v>1043</v>
      </c>
      <c r="B338" s="15">
        <v>26.0</v>
      </c>
    </row>
    <row r="339">
      <c r="A339" s="15" t="s">
        <v>1067</v>
      </c>
      <c r="B339" s="15">
        <v>29.0</v>
      </c>
    </row>
    <row r="340">
      <c r="A340" s="15" t="s">
        <v>1073</v>
      </c>
      <c r="B340" s="15">
        <v>16.0</v>
      </c>
    </row>
    <row r="341">
      <c r="A341" s="15" t="s">
        <v>1088</v>
      </c>
      <c r="B341" s="15">
        <v>0.0</v>
      </c>
    </row>
    <row r="342">
      <c r="A342" s="15" t="s">
        <v>1097</v>
      </c>
      <c r="B342" s="15">
        <v>35.0</v>
      </c>
    </row>
    <row r="343">
      <c r="A343" s="15" t="s">
        <v>1099</v>
      </c>
      <c r="B343" s="15">
        <v>50.0</v>
      </c>
    </row>
    <row r="344">
      <c r="A344" s="15" t="s">
        <v>1103</v>
      </c>
      <c r="B344" s="15">
        <v>20.0</v>
      </c>
    </row>
    <row r="345">
      <c r="A345" s="15" t="s">
        <v>1107</v>
      </c>
      <c r="B345" s="15">
        <v>52.0</v>
      </c>
    </row>
    <row r="346">
      <c r="A346" s="15" t="s">
        <v>1108</v>
      </c>
      <c r="B346" s="15">
        <v>22.0</v>
      </c>
    </row>
    <row r="347">
      <c r="A347" s="15" t="s">
        <v>1109</v>
      </c>
      <c r="B347" s="15">
        <v>32.0</v>
      </c>
    </row>
    <row r="348">
      <c r="A348" s="15" t="s">
        <v>1111</v>
      </c>
      <c r="B348" s="15">
        <v>18.0</v>
      </c>
    </row>
    <row r="349">
      <c r="A349" s="15" t="s">
        <v>1112</v>
      </c>
      <c r="B349" s="15">
        <v>42.0</v>
      </c>
    </row>
    <row r="350">
      <c r="A350" s="15" t="s">
        <v>1114</v>
      </c>
      <c r="B350" s="15">
        <v>4.0</v>
      </c>
    </row>
    <row r="351">
      <c r="A351" s="15" t="s">
        <v>1115</v>
      </c>
      <c r="B351" s="15">
        <v>22.0</v>
      </c>
    </row>
    <row r="352">
      <c r="A352" s="15" t="s">
        <v>1116</v>
      </c>
      <c r="B352" s="15">
        <v>7.0</v>
      </c>
    </row>
    <row r="353">
      <c r="A353" s="15" t="s">
        <v>1117</v>
      </c>
      <c r="B353" s="15">
        <v>31.0</v>
      </c>
    </row>
    <row r="354">
      <c r="A354" s="15" t="s">
        <v>1118</v>
      </c>
      <c r="B354" s="15">
        <v>66.0</v>
      </c>
    </row>
    <row r="355">
      <c r="A355" s="15" t="s">
        <v>1119</v>
      </c>
      <c r="B355" s="15">
        <v>34.0</v>
      </c>
    </row>
    <row r="356">
      <c r="A356" s="15" t="s">
        <v>1120</v>
      </c>
      <c r="B356" s="15">
        <v>28.0</v>
      </c>
    </row>
    <row r="357">
      <c r="A357" s="15" t="s">
        <v>1121</v>
      </c>
      <c r="B357" s="15">
        <v>55.0</v>
      </c>
    </row>
    <row r="358">
      <c r="A358" s="15" t="s">
        <v>1122</v>
      </c>
      <c r="B358" s="15">
        <v>29.0</v>
      </c>
    </row>
    <row r="359">
      <c r="A359" s="15" t="s">
        <v>1124</v>
      </c>
      <c r="B359" s="15">
        <v>29.0</v>
      </c>
    </row>
    <row r="360">
      <c r="A360" s="15" t="s">
        <v>1125</v>
      </c>
      <c r="B360" s="15">
        <v>6.0</v>
      </c>
    </row>
    <row r="361">
      <c r="A361" s="15" t="s">
        <v>1126</v>
      </c>
      <c r="B361" s="15">
        <v>62.0</v>
      </c>
    </row>
    <row r="362">
      <c r="A362" s="15" t="s">
        <v>1127</v>
      </c>
      <c r="B362" s="15">
        <v>36.0</v>
      </c>
    </row>
    <row r="363">
      <c r="A363" s="15" t="s">
        <v>1128</v>
      </c>
      <c r="B363" s="15">
        <v>2.0</v>
      </c>
    </row>
    <row r="364">
      <c r="A364" s="15" t="s">
        <v>1129</v>
      </c>
      <c r="B364" s="15">
        <v>9.0</v>
      </c>
    </row>
    <row r="365">
      <c r="A365" s="15" t="s">
        <v>1130</v>
      </c>
      <c r="B365" s="15">
        <v>38.0</v>
      </c>
    </row>
    <row r="366">
      <c r="A366" s="15" t="s">
        <v>1131</v>
      </c>
      <c r="B366" s="15">
        <v>29.0</v>
      </c>
    </row>
    <row r="367">
      <c r="A367" s="15" t="s">
        <v>1132</v>
      </c>
      <c r="B367" s="15">
        <v>48.0</v>
      </c>
    </row>
    <row r="368">
      <c r="A368" s="15" t="s">
        <v>1133</v>
      </c>
      <c r="B368" s="15">
        <v>44.0</v>
      </c>
    </row>
    <row r="369">
      <c r="A369" s="15" t="s">
        <v>1134</v>
      </c>
      <c r="B369" s="15">
        <v>16.0</v>
      </c>
    </row>
    <row r="370">
      <c r="A370" s="15" t="s">
        <v>1135</v>
      </c>
      <c r="B370" s="15">
        <v>55.0</v>
      </c>
    </row>
    <row r="371">
      <c r="A371" s="15" t="s">
        <v>1137</v>
      </c>
      <c r="B371" s="15">
        <v>7.0</v>
      </c>
    </row>
    <row r="372">
      <c r="A372" s="15" t="s">
        <v>1139</v>
      </c>
      <c r="B372" s="15">
        <v>16.0</v>
      </c>
    </row>
    <row r="373">
      <c r="A373" s="15" t="s">
        <v>1141</v>
      </c>
      <c r="B373" s="15">
        <v>38.0</v>
      </c>
    </row>
    <row r="374">
      <c r="A374" s="15" t="s">
        <v>1142</v>
      </c>
      <c r="B374" s="15">
        <v>21.0</v>
      </c>
    </row>
    <row r="375">
      <c r="A375" s="15" t="s">
        <v>1143</v>
      </c>
      <c r="B375" s="15">
        <v>51.0</v>
      </c>
    </row>
    <row r="376">
      <c r="A376" s="15" t="s">
        <v>1144</v>
      </c>
      <c r="B376" s="15">
        <v>5.0</v>
      </c>
    </row>
    <row r="377">
      <c r="A377" s="15" t="s">
        <v>1145</v>
      </c>
      <c r="B377" s="15">
        <v>39.0</v>
      </c>
    </row>
    <row r="378">
      <c r="A378" s="15" t="s">
        <v>1146</v>
      </c>
      <c r="B378" s="15">
        <v>7.0</v>
      </c>
    </row>
    <row r="379">
      <c r="A379" s="15" t="s">
        <v>1147</v>
      </c>
      <c r="B379" s="15">
        <v>10.0</v>
      </c>
    </row>
    <row r="380">
      <c r="A380" s="15" t="s">
        <v>1148</v>
      </c>
      <c r="B380" s="15">
        <v>14.0</v>
      </c>
    </row>
    <row r="381">
      <c r="A381" s="15" t="s">
        <v>1149</v>
      </c>
      <c r="B381" s="15">
        <v>29.0</v>
      </c>
    </row>
    <row r="382">
      <c r="A382" s="15" t="s">
        <v>1150</v>
      </c>
      <c r="B382" s="15">
        <v>38.0</v>
      </c>
    </row>
    <row r="383">
      <c r="A383" s="15" t="s">
        <v>1151</v>
      </c>
      <c r="B383" s="15">
        <v>32.0</v>
      </c>
    </row>
    <row r="384">
      <c r="A384" s="15" t="s">
        <v>1152</v>
      </c>
      <c r="B384" s="15">
        <v>7.0</v>
      </c>
    </row>
    <row r="385">
      <c r="A385" s="15" t="s">
        <v>1156</v>
      </c>
      <c r="B385" s="15">
        <v>4.0</v>
      </c>
    </row>
    <row r="386">
      <c r="A386" s="15" t="s">
        <v>1157</v>
      </c>
      <c r="B386" s="15">
        <v>75.0</v>
      </c>
    </row>
    <row r="387">
      <c r="A387" s="15" t="s">
        <v>1159</v>
      </c>
      <c r="B387" s="15">
        <v>26.0</v>
      </c>
    </row>
    <row r="388">
      <c r="A388" s="15" t="s">
        <v>1160</v>
      </c>
      <c r="B388" s="15">
        <v>29.0</v>
      </c>
    </row>
    <row r="389">
      <c r="A389" s="15" t="s">
        <v>1161</v>
      </c>
      <c r="B389" s="15">
        <v>41.0</v>
      </c>
    </row>
    <row r="390">
      <c r="A390" s="15" t="s">
        <v>1162</v>
      </c>
      <c r="B390" s="15">
        <v>3.0</v>
      </c>
    </row>
    <row r="391">
      <c r="A391" s="15" t="s">
        <v>1163</v>
      </c>
      <c r="B391" s="15">
        <v>21.0</v>
      </c>
    </row>
    <row r="392">
      <c r="A392" s="15" t="s">
        <v>1164</v>
      </c>
      <c r="B392" s="15">
        <v>16.0</v>
      </c>
    </row>
    <row r="393">
      <c r="A393" s="15" t="s">
        <v>1165</v>
      </c>
      <c r="B393" s="15">
        <v>60.0</v>
      </c>
    </row>
    <row r="394">
      <c r="A394" s="15" t="s">
        <v>1166</v>
      </c>
      <c r="B394" s="15">
        <v>1.0</v>
      </c>
    </row>
    <row r="395">
      <c r="A395" s="15" t="s">
        <v>1167</v>
      </c>
      <c r="B395" s="15">
        <v>52.0</v>
      </c>
    </row>
    <row r="396">
      <c r="A396" s="15" t="s">
        <v>1168</v>
      </c>
      <c r="B396" s="15">
        <v>28.0</v>
      </c>
    </row>
    <row r="397">
      <c r="A397" s="15" t="s">
        <v>1169</v>
      </c>
      <c r="B397" s="15">
        <v>30.0</v>
      </c>
    </row>
    <row r="398">
      <c r="A398" s="15" t="s">
        <v>1170</v>
      </c>
      <c r="B398" s="15">
        <v>36.0</v>
      </c>
    </row>
    <row r="399">
      <c r="A399" s="15" t="s">
        <v>1171</v>
      </c>
      <c r="B399" s="15">
        <v>34.0</v>
      </c>
    </row>
    <row r="400">
      <c r="A400" s="15" t="s">
        <v>1172</v>
      </c>
      <c r="B400" s="15">
        <v>17.0</v>
      </c>
    </row>
    <row r="401">
      <c r="A401" s="15" t="s">
        <v>1173</v>
      </c>
      <c r="B401" s="15">
        <v>26.0</v>
      </c>
    </row>
    <row r="402">
      <c r="A402" s="15" t="s">
        <v>1174</v>
      </c>
      <c r="B402" s="15">
        <v>49.0</v>
      </c>
    </row>
    <row r="403">
      <c r="A403" s="15" t="s">
        <v>1175</v>
      </c>
      <c r="B403" s="15">
        <v>14.0</v>
      </c>
    </row>
    <row r="404">
      <c r="A404" s="15" t="s">
        <v>1176</v>
      </c>
      <c r="B404" s="15">
        <v>25.0</v>
      </c>
    </row>
    <row r="405">
      <c r="A405" s="15" t="s">
        <v>1177</v>
      </c>
      <c r="B405" s="15">
        <v>39.0</v>
      </c>
    </row>
    <row r="406">
      <c r="A406" s="15" t="s">
        <v>1178</v>
      </c>
      <c r="B406" s="15">
        <v>23.0</v>
      </c>
    </row>
    <row r="407">
      <c r="A407" s="15" t="s">
        <v>1180</v>
      </c>
      <c r="B407" s="15">
        <v>29.0</v>
      </c>
    </row>
    <row r="408">
      <c r="A408" s="15" t="s">
        <v>1181</v>
      </c>
      <c r="B408" s="15">
        <v>40.0</v>
      </c>
    </row>
    <row r="409">
      <c r="A409" s="15" t="s">
        <v>883</v>
      </c>
      <c r="B409" s="15">
        <v>26.0</v>
      </c>
    </row>
    <row r="410">
      <c r="A410" s="15" t="s">
        <v>884</v>
      </c>
      <c r="B410" s="15">
        <v>59.0</v>
      </c>
    </row>
    <row r="411">
      <c r="A411" s="15" t="s">
        <v>885</v>
      </c>
      <c r="B411" s="15">
        <v>7.0</v>
      </c>
    </row>
    <row r="412">
      <c r="A412" s="15" t="s">
        <v>886</v>
      </c>
      <c r="B412" s="15">
        <v>48.0</v>
      </c>
    </row>
    <row r="413">
      <c r="A413" s="15" t="s">
        <v>887</v>
      </c>
      <c r="B413" s="15">
        <v>54.0</v>
      </c>
    </row>
    <row r="414">
      <c r="A414" s="15" t="s">
        <v>888</v>
      </c>
      <c r="B414" s="15">
        <v>14.0</v>
      </c>
    </row>
    <row r="415">
      <c r="A415" s="15" t="s">
        <v>889</v>
      </c>
      <c r="B415" s="15">
        <v>17.0</v>
      </c>
    </row>
    <row r="416">
      <c r="A416" s="15" t="s">
        <v>890</v>
      </c>
      <c r="B416" s="15">
        <v>36.0</v>
      </c>
    </row>
    <row r="417">
      <c r="A417" s="15" t="s">
        <v>892</v>
      </c>
      <c r="B417" s="15">
        <v>27.0</v>
      </c>
    </row>
    <row r="418">
      <c r="A418" s="15" t="s">
        <v>893</v>
      </c>
      <c r="B418" s="15">
        <v>48.0</v>
      </c>
    </row>
    <row r="419">
      <c r="A419" s="15" t="s">
        <v>894</v>
      </c>
      <c r="B419" s="15">
        <v>37.0</v>
      </c>
    </row>
    <row r="420">
      <c r="A420" s="15" t="s">
        <v>895</v>
      </c>
      <c r="B420" s="15">
        <v>26.0</v>
      </c>
    </row>
    <row r="421">
      <c r="A421" s="15" t="s">
        <v>896</v>
      </c>
      <c r="B421" s="15">
        <v>28.0</v>
      </c>
    </row>
    <row r="422">
      <c r="A422" s="15" t="s">
        <v>898</v>
      </c>
      <c r="B422" s="15">
        <v>48.0</v>
      </c>
    </row>
    <row r="423">
      <c r="A423" s="15" t="s">
        <v>899</v>
      </c>
      <c r="B423" s="15">
        <v>39.0</v>
      </c>
    </row>
    <row r="424">
      <c r="A424" s="15" t="s">
        <v>900</v>
      </c>
      <c r="B424" s="15">
        <v>12.0</v>
      </c>
    </row>
    <row r="425">
      <c r="A425" s="15" t="s">
        <v>901</v>
      </c>
      <c r="B425" s="15">
        <v>45.0</v>
      </c>
    </row>
    <row r="426">
      <c r="A426" s="15" t="s">
        <v>902</v>
      </c>
      <c r="B426" s="15">
        <v>23.0</v>
      </c>
    </row>
    <row r="427">
      <c r="A427" s="15" t="s">
        <v>903</v>
      </c>
      <c r="B427" s="15">
        <v>39.0</v>
      </c>
    </row>
    <row r="428">
      <c r="A428" s="15" t="s">
        <v>904</v>
      </c>
      <c r="B428" s="15">
        <v>33.0</v>
      </c>
    </row>
    <row r="429">
      <c r="A429" s="15" t="s">
        <v>905</v>
      </c>
      <c r="B429" s="15">
        <v>24.0</v>
      </c>
    </row>
    <row r="430">
      <c r="A430" s="15" t="s">
        <v>906</v>
      </c>
      <c r="B430" s="15">
        <v>36.0</v>
      </c>
    </row>
    <row r="431">
      <c r="A431" s="15" t="s">
        <v>907</v>
      </c>
      <c r="B431" s="15">
        <v>24.0</v>
      </c>
    </row>
    <row r="432">
      <c r="A432" s="15" t="s">
        <v>908</v>
      </c>
      <c r="B432" s="15">
        <v>28.0</v>
      </c>
    </row>
    <row r="433">
      <c r="A433" s="15" t="s">
        <v>909</v>
      </c>
      <c r="B433" s="15">
        <v>24.0</v>
      </c>
    </row>
    <row r="434">
      <c r="A434" s="15" t="s">
        <v>910</v>
      </c>
      <c r="B434" s="15">
        <v>19.0</v>
      </c>
    </row>
    <row r="435">
      <c r="A435" s="15" t="s">
        <v>911</v>
      </c>
      <c r="B435" s="15">
        <v>26.0</v>
      </c>
    </row>
    <row r="436">
      <c r="A436" s="15" t="s">
        <v>913</v>
      </c>
      <c r="B436" s="15">
        <v>12.0</v>
      </c>
    </row>
    <row r="437">
      <c r="A437" s="15" t="s">
        <v>914</v>
      </c>
      <c r="B437" s="15">
        <v>24.0</v>
      </c>
    </row>
    <row r="438">
      <c r="A438" s="15" t="s">
        <v>915</v>
      </c>
      <c r="B438" s="15">
        <v>22.0</v>
      </c>
    </row>
    <row r="439">
      <c r="A439" s="15" t="s">
        <v>916</v>
      </c>
      <c r="B439" s="15">
        <v>21.0</v>
      </c>
    </row>
    <row r="440">
      <c r="A440" s="15" t="s">
        <v>917</v>
      </c>
      <c r="B440" s="15">
        <v>24.0</v>
      </c>
    </row>
    <row r="441">
      <c r="A441" s="15" t="s">
        <v>918</v>
      </c>
      <c r="B441" s="15">
        <v>28.0</v>
      </c>
    </row>
    <row r="442">
      <c r="A442" s="15" t="s">
        <v>919</v>
      </c>
      <c r="B442" s="15">
        <v>38.0</v>
      </c>
    </row>
    <row r="443">
      <c r="A443" s="15" t="s">
        <v>920</v>
      </c>
      <c r="B443" s="15">
        <v>22.0</v>
      </c>
    </row>
    <row r="444">
      <c r="A444" s="15" t="s">
        <v>921</v>
      </c>
      <c r="B444" s="15">
        <v>15.0</v>
      </c>
    </row>
    <row r="445">
      <c r="A445" s="15" t="s">
        <v>922</v>
      </c>
      <c r="B445" s="15">
        <v>27.0</v>
      </c>
    </row>
    <row r="446">
      <c r="A446" s="15" t="s">
        <v>923</v>
      </c>
      <c r="B446" s="15">
        <v>52.0</v>
      </c>
    </row>
    <row r="447">
      <c r="A447" s="15" t="s">
        <v>924</v>
      </c>
      <c r="B447" s="15">
        <v>29.0</v>
      </c>
    </row>
    <row r="448">
      <c r="A448" s="15" t="s">
        <v>925</v>
      </c>
      <c r="B448" s="15">
        <v>28.0</v>
      </c>
    </row>
    <row r="449">
      <c r="A449" s="15" t="s">
        <v>926</v>
      </c>
      <c r="B449" s="15">
        <v>25.0</v>
      </c>
    </row>
    <row r="450">
      <c r="A450" s="15" t="s">
        <v>927</v>
      </c>
      <c r="B450" s="15">
        <v>35.0</v>
      </c>
    </row>
    <row r="451">
      <c r="A451" s="15" t="s">
        <v>929</v>
      </c>
      <c r="B451" s="15">
        <v>14.0</v>
      </c>
    </row>
    <row r="452">
      <c r="A452" s="15" t="s">
        <v>930</v>
      </c>
      <c r="B452" s="15">
        <v>18.0</v>
      </c>
    </row>
    <row r="453">
      <c r="A453" s="15" t="s">
        <v>931</v>
      </c>
      <c r="B453" s="15">
        <v>42.0</v>
      </c>
    </row>
    <row r="454">
      <c r="A454" s="15" t="s">
        <v>932</v>
      </c>
      <c r="B454" s="15">
        <v>11.0</v>
      </c>
    </row>
    <row r="455">
      <c r="A455" s="15" t="s">
        <v>933</v>
      </c>
      <c r="B455" s="15">
        <v>25.0</v>
      </c>
    </row>
    <row r="456">
      <c r="A456" s="15" t="s">
        <v>934</v>
      </c>
      <c r="B456" s="15">
        <v>14.0</v>
      </c>
    </row>
    <row r="457">
      <c r="A457" s="15" t="s">
        <v>935</v>
      </c>
      <c r="B457" s="15">
        <v>11.0</v>
      </c>
    </row>
    <row r="458">
      <c r="A458" s="15" t="s">
        <v>936</v>
      </c>
      <c r="B458" s="15">
        <v>24.0</v>
      </c>
    </row>
    <row r="459">
      <c r="A459" s="15" t="s">
        <v>937</v>
      </c>
      <c r="B459" s="15">
        <v>31.0</v>
      </c>
    </row>
    <row r="460">
      <c r="A460" s="15" t="s">
        <v>938</v>
      </c>
      <c r="B460" s="15">
        <v>10.0</v>
      </c>
    </row>
    <row r="461">
      <c r="A461" s="15" t="s">
        <v>939</v>
      </c>
      <c r="B461" s="15">
        <v>16.0</v>
      </c>
    </row>
    <row r="462">
      <c r="A462" s="15" t="s">
        <v>940</v>
      </c>
      <c r="B462" s="15">
        <v>42.0</v>
      </c>
    </row>
    <row r="463">
      <c r="A463" s="15" t="s">
        <v>941</v>
      </c>
      <c r="B463" s="15">
        <v>28.0</v>
      </c>
    </row>
    <row r="464">
      <c r="A464" s="15" t="s">
        <v>942</v>
      </c>
      <c r="B464" s="15">
        <v>48.0</v>
      </c>
    </row>
    <row r="465">
      <c r="A465" s="15" t="s">
        <v>944</v>
      </c>
      <c r="B465" s="15">
        <v>20.0</v>
      </c>
    </row>
    <row r="466">
      <c r="A466" s="15" t="s">
        <v>945</v>
      </c>
      <c r="B466" s="15">
        <v>7.0</v>
      </c>
    </row>
    <row r="467">
      <c r="A467" s="15" t="s">
        <v>946</v>
      </c>
      <c r="B467" s="15">
        <v>11.0</v>
      </c>
    </row>
    <row r="468">
      <c r="A468" s="15" t="s">
        <v>947</v>
      </c>
      <c r="B468" s="15">
        <v>45.0</v>
      </c>
    </row>
    <row r="469">
      <c r="A469" s="15" t="s">
        <v>948</v>
      </c>
      <c r="B469" s="15">
        <v>35.0</v>
      </c>
    </row>
    <row r="470">
      <c r="A470" s="15" t="s">
        <v>959</v>
      </c>
      <c r="B470" s="15">
        <v>32.0</v>
      </c>
    </row>
    <row r="471">
      <c r="A471" s="15" t="s">
        <v>960</v>
      </c>
      <c r="B471" s="15">
        <v>40.0</v>
      </c>
    </row>
    <row r="472">
      <c r="A472" s="15" t="s">
        <v>961</v>
      </c>
      <c r="B472" s="15">
        <v>30.0</v>
      </c>
    </row>
    <row r="473">
      <c r="A473" s="15" t="s">
        <v>968</v>
      </c>
      <c r="B473" s="15">
        <v>35.0</v>
      </c>
    </row>
    <row r="474">
      <c r="A474" s="15" t="s">
        <v>986</v>
      </c>
      <c r="B474" s="15">
        <v>22.0</v>
      </c>
    </row>
    <row r="475">
      <c r="A475" s="15" t="s">
        <v>992</v>
      </c>
      <c r="B475" s="15">
        <v>19.0</v>
      </c>
    </row>
    <row r="476">
      <c r="A476" s="15" t="s">
        <v>995</v>
      </c>
      <c r="B476" s="15">
        <v>17.0</v>
      </c>
    </row>
    <row r="477">
      <c r="A477" s="15" t="s">
        <v>997</v>
      </c>
      <c r="B477" s="15">
        <v>39.0</v>
      </c>
    </row>
    <row r="478">
      <c r="A478" s="15" t="s">
        <v>1005</v>
      </c>
      <c r="B478" s="15">
        <v>13.0</v>
      </c>
    </row>
    <row r="479">
      <c r="A479" s="15" t="s">
        <v>1007</v>
      </c>
      <c r="B479" s="15">
        <v>9.0</v>
      </c>
    </row>
    <row r="480">
      <c r="A480" s="15" t="s">
        <v>1009</v>
      </c>
      <c r="B480" s="15">
        <v>16.0</v>
      </c>
    </row>
    <row r="481">
      <c r="A481" s="15" t="s">
        <v>891</v>
      </c>
      <c r="B481" s="15">
        <v>23.0</v>
      </c>
    </row>
    <row r="482">
      <c r="A482" s="15" t="s">
        <v>897</v>
      </c>
      <c r="B482" s="15">
        <v>19.0</v>
      </c>
    </row>
    <row r="483">
      <c r="A483" s="15" t="s">
        <v>912</v>
      </c>
      <c r="B483" s="15">
        <v>30.0</v>
      </c>
    </row>
    <row r="484">
      <c r="A484" s="15" t="s">
        <v>928</v>
      </c>
      <c r="B484" s="15">
        <v>31.0</v>
      </c>
    </row>
    <row r="485">
      <c r="A485" s="15" t="s">
        <v>943</v>
      </c>
      <c r="B485" s="15">
        <v>46.0</v>
      </c>
    </row>
    <row r="486">
      <c r="A486" s="15" t="s">
        <v>949</v>
      </c>
      <c r="B486" s="15">
        <v>38.0</v>
      </c>
    </row>
    <row r="487">
      <c r="A487" s="15" t="s">
        <v>950</v>
      </c>
      <c r="B487" s="15">
        <v>25.0</v>
      </c>
    </row>
    <row r="488">
      <c r="A488" s="15" t="s">
        <v>951</v>
      </c>
      <c r="B488" s="15">
        <v>33.0</v>
      </c>
    </row>
    <row r="489">
      <c r="A489" s="15" t="s">
        <v>952</v>
      </c>
      <c r="B489" s="15">
        <v>47.0</v>
      </c>
    </row>
    <row r="490">
      <c r="A490" s="15" t="s">
        <v>953</v>
      </c>
      <c r="B490" s="15">
        <v>35.0</v>
      </c>
    </row>
    <row r="491">
      <c r="A491" s="15" t="s">
        <v>954</v>
      </c>
      <c r="B491" s="15">
        <v>29.0</v>
      </c>
    </row>
    <row r="492">
      <c r="A492" s="15" t="s">
        <v>955</v>
      </c>
      <c r="B492" s="15">
        <v>14.0</v>
      </c>
    </row>
    <row r="493">
      <c r="A493" s="15" t="s">
        <v>956</v>
      </c>
      <c r="B493" s="15">
        <v>49.0</v>
      </c>
    </row>
    <row r="494">
      <c r="A494" s="15" t="s">
        <v>957</v>
      </c>
      <c r="B494" s="15">
        <v>13.0</v>
      </c>
    </row>
    <row r="495">
      <c r="A495" s="15" t="s">
        <v>958</v>
      </c>
      <c r="B495" s="15">
        <v>0.0</v>
      </c>
    </row>
    <row r="496">
      <c r="A496" s="15" t="s">
        <v>962</v>
      </c>
      <c r="B496" s="15">
        <v>16.0</v>
      </c>
    </row>
    <row r="497">
      <c r="A497" s="15" t="s">
        <v>963</v>
      </c>
      <c r="B497" s="15">
        <v>34.0</v>
      </c>
    </row>
    <row r="498">
      <c r="A498" s="15" t="s">
        <v>964</v>
      </c>
      <c r="B498" s="15">
        <v>29.0</v>
      </c>
    </row>
    <row r="499">
      <c r="A499" s="15" t="s">
        <v>965</v>
      </c>
      <c r="B499" s="15">
        <v>17.0</v>
      </c>
    </row>
    <row r="500">
      <c r="A500" s="15" t="s">
        <v>966</v>
      </c>
      <c r="B500" s="15">
        <v>34.0</v>
      </c>
    </row>
    <row r="501">
      <c r="A501" s="15" t="s">
        <v>967</v>
      </c>
      <c r="B501" s="15">
        <v>55.0</v>
      </c>
    </row>
    <row r="502">
      <c r="A502" s="15" t="s">
        <v>969</v>
      </c>
      <c r="B502" s="15">
        <v>25.0</v>
      </c>
    </row>
    <row r="503">
      <c r="A503" s="15" t="s">
        <v>970</v>
      </c>
      <c r="B503" s="15">
        <v>27.0</v>
      </c>
    </row>
    <row r="504">
      <c r="A504" s="15" t="s">
        <v>971</v>
      </c>
      <c r="B504" s="15">
        <v>36.0</v>
      </c>
    </row>
    <row r="505">
      <c r="A505" s="15" t="s">
        <v>972</v>
      </c>
      <c r="B505" s="15">
        <v>45.0</v>
      </c>
    </row>
    <row r="506">
      <c r="A506" s="15" t="s">
        <v>973</v>
      </c>
      <c r="B506" s="15">
        <v>3.0</v>
      </c>
    </row>
    <row r="507">
      <c r="A507" s="15" t="s">
        <v>974</v>
      </c>
      <c r="B507" s="15">
        <v>5.0</v>
      </c>
    </row>
    <row r="508">
      <c r="A508" s="15" t="s">
        <v>975</v>
      </c>
      <c r="B508" s="15">
        <v>39.0</v>
      </c>
    </row>
    <row r="509">
      <c r="A509" s="15" t="s">
        <v>976</v>
      </c>
      <c r="B509" s="15">
        <v>58.0</v>
      </c>
    </row>
    <row r="510">
      <c r="A510" s="15" t="s">
        <v>977</v>
      </c>
      <c r="B510" s="15">
        <v>62.0</v>
      </c>
    </row>
    <row r="511">
      <c r="A511" s="15" t="s">
        <v>978</v>
      </c>
      <c r="B511" s="15">
        <v>40.0</v>
      </c>
    </row>
    <row r="512">
      <c r="A512" s="15" t="s">
        <v>979</v>
      </c>
      <c r="B512" s="15">
        <v>30.0</v>
      </c>
    </row>
    <row r="513">
      <c r="A513" s="15" t="s">
        <v>980</v>
      </c>
      <c r="B513" s="15">
        <v>6.0</v>
      </c>
    </row>
    <row r="514">
      <c r="A514" s="15" t="s">
        <v>981</v>
      </c>
      <c r="B514" s="15">
        <v>27.0</v>
      </c>
    </row>
    <row r="515">
      <c r="A515" s="15" t="s">
        <v>982</v>
      </c>
      <c r="B515" s="15">
        <v>25.0</v>
      </c>
    </row>
    <row r="516">
      <c r="A516" s="15" t="s">
        <v>984</v>
      </c>
      <c r="B516" s="15">
        <v>19.0</v>
      </c>
    </row>
    <row r="517">
      <c r="A517" s="15" t="s">
        <v>985</v>
      </c>
      <c r="B517" s="15">
        <v>12.0</v>
      </c>
    </row>
    <row r="518">
      <c r="A518" s="15" t="s">
        <v>987</v>
      </c>
      <c r="B518" s="15">
        <v>10.0</v>
      </c>
    </row>
    <row r="519">
      <c r="A519" s="15" t="s">
        <v>988</v>
      </c>
      <c r="B519" s="15">
        <v>15.0</v>
      </c>
    </row>
    <row r="520">
      <c r="A520" s="15" t="s">
        <v>989</v>
      </c>
      <c r="B520" s="15">
        <v>58.0</v>
      </c>
    </row>
    <row r="521">
      <c r="A521" s="15" t="s">
        <v>990</v>
      </c>
      <c r="B521" s="15">
        <v>64.0</v>
      </c>
    </row>
    <row r="522">
      <c r="A522" s="15" t="s">
        <v>991</v>
      </c>
      <c r="B522" s="15">
        <v>20.0</v>
      </c>
    </row>
    <row r="523">
      <c r="A523" s="15" t="s">
        <v>993</v>
      </c>
      <c r="B523" s="15">
        <v>55.0</v>
      </c>
    </row>
    <row r="524">
      <c r="A524" s="15" t="s">
        <v>994</v>
      </c>
      <c r="B524" s="15">
        <v>58.0</v>
      </c>
    </row>
    <row r="525">
      <c r="A525" s="15" t="s">
        <v>996</v>
      </c>
      <c r="B525" s="15">
        <v>53.0</v>
      </c>
    </row>
    <row r="526">
      <c r="A526" s="15" t="s">
        <v>998</v>
      </c>
      <c r="B526" s="15">
        <v>38.0</v>
      </c>
    </row>
    <row r="527">
      <c r="A527" s="15" t="s">
        <v>999</v>
      </c>
      <c r="B527" s="15">
        <v>36.0</v>
      </c>
    </row>
    <row r="528">
      <c r="A528" s="15" t="s">
        <v>1000</v>
      </c>
      <c r="B528" s="15">
        <v>68.0</v>
      </c>
    </row>
    <row r="529">
      <c r="A529" s="15" t="s">
        <v>1001</v>
      </c>
      <c r="B529" s="15">
        <v>9.0</v>
      </c>
    </row>
    <row r="530">
      <c r="A530" s="15" t="s">
        <v>1002</v>
      </c>
      <c r="B530" s="15">
        <v>21.0</v>
      </c>
    </row>
    <row r="531">
      <c r="A531" s="15" t="s">
        <v>1003</v>
      </c>
      <c r="B531" s="15">
        <v>26.0</v>
      </c>
    </row>
    <row r="532">
      <c r="A532" s="15" t="s">
        <v>1004</v>
      </c>
      <c r="B532" s="15">
        <v>38.0</v>
      </c>
    </row>
    <row r="533">
      <c r="A533" s="15" t="s">
        <v>1006</v>
      </c>
      <c r="B533" s="15">
        <v>31.0</v>
      </c>
    </row>
    <row r="534">
      <c r="A534" s="15" t="s">
        <v>1008</v>
      </c>
      <c r="B534" s="15">
        <v>40.0</v>
      </c>
    </row>
    <row r="535">
      <c r="A535" s="15" t="s">
        <v>1010</v>
      </c>
      <c r="B535" s="15">
        <v>22.0</v>
      </c>
    </row>
    <row r="536">
      <c r="A536" s="15" t="s">
        <v>1011</v>
      </c>
      <c r="B536" s="15">
        <v>3.0</v>
      </c>
    </row>
    <row r="537">
      <c r="A537" s="15" t="s">
        <v>1012</v>
      </c>
      <c r="B537" s="15">
        <v>28.0</v>
      </c>
    </row>
    <row r="538">
      <c r="A538" s="15" t="s">
        <v>1013</v>
      </c>
      <c r="B538" s="15">
        <v>22.0</v>
      </c>
    </row>
    <row r="539">
      <c r="A539" s="15" t="s">
        <v>1014</v>
      </c>
      <c r="B539" s="15">
        <v>6.0</v>
      </c>
    </row>
    <row r="540">
      <c r="A540" s="15" t="s">
        <v>1015</v>
      </c>
      <c r="B540" s="15">
        <v>22.0</v>
      </c>
    </row>
    <row r="541">
      <c r="A541" s="15" t="s">
        <v>1016</v>
      </c>
      <c r="B541" s="15">
        <v>15.0</v>
      </c>
    </row>
    <row r="542">
      <c r="A542" s="15" t="s">
        <v>1017</v>
      </c>
      <c r="B542" s="15">
        <v>38.0</v>
      </c>
    </row>
    <row r="543">
      <c r="A543" s="15" t="s">
        <v>1018</v>
      </c>
      <c r="B543" s="15">
        <v>61.0</v>
      </c>
    </row>
    <row r="544">
      <c r="A544" s="15" t="s">
        <v>1019</v>
      </c>
      <c r="B544" s="15">
        <v>40.0</v>
      </c>
    </row>
    <row r="545">
      <c r="A545" s="15" t="s">
        <v>1020</v>
      </c>
      <c r="B545" s="15">
        <v>48.0</v>
      </c>
    </row>
    <row r="546">
      <c r="A546" s="15" t="s">
        <v>1021</v>
      </c>
      <c r="B546" s="15">
        <v>10.0</v>
      </c>
    </row>
    <row r="547">
      <c r="A547" s="15" t="s">
        <v>1022</v>
      </c>
      <c r="B547" s="15">
        <v>59.0</v>
      </c>
    </row>
    <row r="548">
      <c r="A548" s="15" t="s">
        <v>1023</v>
      </c>
      <c r="B548" s="15">
        <v>48.0</v>
      </c>
    </row>
    <row r="549">
      <c r="A549" s="15" t="s">
        <v>1024</v>
      </c>
      <c r="B549" s="15">
        <v>22.0</v>
      </c>
    </row>
    <row r="550">
      <c r="A550" s="15" t="s">
        <v>1025</v>
      </c>
      <c r="B550" s="15">
        <v>34.0</v>
      </c>
    </row>
    <row r="551">
      <c r="A551" s="15" t="s">
        <v>4864</v>
      </c>
      <c r="B551" s="15">
        <v>32.0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91" t="s">
        <v>4865</v>
      </c>
      <c r="B1" s="591" t="s">
        <v>2410</v>
      </c>
      <c r="C1" s="592" t="s">
        <v>4866</v>
      </c>
      <c r="D1" s="591" t="s">
        <v>3810</v>
      </c>
      <c r="E1" s="591" t="s">
        <v>4867</v>
      </c>
    </row>
    <row r="2">
      <c r="A2" s="591" t="s">
        <v>2425</v>
      </c>
      <c r="B2" s="591" t="s">
        <v>4868</v>
      </c>
      <c r="C2" s="89"/>
      <c r="D2" s="180"/>
      <c r="E2" s="180"/>
    </row>
    <row r="3">
      <c r="A3" s="593" t="s">
        <v>2031</v>
      </c>
      <c r="B3" s="593" t="s">
        <v>4869</v>
      </c>
      <c r="C3" s="593" t="s">
        <v>298</v>
      </c>
      <c r="D3" s="593" t="s">
        <v>2461</v>
      </c>
      <c r="E3" s="594" t="s">
        <v>4870</v>
      </c>
    </row>
    <row r="4">
      <c r="A4" s="593" t="s">
        <v>2042</v>
      </c>
      <c r="B4" s="593" t="s">
        <v>4871</v>
      </c>
      <c r="C4" s="593" t="s">
        <v>319</v>
      </c>
      <c r="D4" s="593" t="s">
        <v>2461</v>
      </c>
      <c r="E4" s="595"/>
    </row>
    <row r="5">
      <c r="A5" s="593" t="s">
        <v>2044</v>
      </c>
      <c r="B5" s="593" t="s">
        <v>4872</v>
      </c>
      <c r="C5" s="593" t="s">
        <v>325</v>
      </c>
      <c r="D5" s="593" t="s">
        <v>2461</v>
      </c>
      <c r="E5" s="89"/>
    </row>
  </sheetData>
  <mergeCells count="2">
    <mergeCell ref="C1:C2"/>
    <mergeCell ref="E3:E5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19.5"/>
    <col customWidth="1" min="4" max="4" width="22.75"/>
  </cols>
  <sheetData>
    <row r="1">
      <c r="A1" s="15" t="s">
        <v>3715</v>
      </c>
    </row>
    <row r="2">
      <c r="A2" s="596"/>
      <c r="B2" s="597"/>
      <c r="C2" s="598"/>
      <c r="D2" s="598"/>
      <c r="E2" s="542"/>
      <c r="F2" s="599"/>
      <c r="G2" s="600"/>
      <c r="H2" s="601"/>
      <c r="I2" s="210"/>
      <c r="J2" s="243"/>
      <c r="K2" s="243"/>
      <c r="L2" s="243"/>
      <c r="M2" s="602"/>
      <c r="N2" s="602"/>
      <c r="O2" s="602"/>
      <c r="P2" s="602"/>
      <c r="Q2" s="603"/>
      <c r="R2" s="603"/>
      <c r="S2" s="603"/>
      <c r="T2" s="604"/>
      <c r="U2" s="604"/>
      <c r="V2" s="215"/>
      <c r="W2" s="604"/>
      <c r="X2" s="604"/>
      <c r="Y2" s="604"/>
      <c r="Z2" s="604"/>
      <c r="AA2" s="604"/>
      <c r="AB2" s="605"/>
      <c r="AC2" s="606"/>
      <c r="AD2" s="607"/>
      <c r="AE2" s="129"/>
      <c r="AF2" s="129"/>
      <c r="AG2" s="129"/>
      <c r="AH2" s="481"/>
      <c r="AI2" s="129"/>
      <c r="AJ2" s="481"/>
      <c r="AK2" s="88"/>
      <c r="AL2" s="608"/>
      <c r="AM2" s="608"/>
      <c r="AN2" s="608"/>
      <c r="AO2" s="608"/>
      <c r="AP2" s="608"/>
      <c r="AQ2" s="608"/>
      <c r="AR2" s="608"/>
      <c r="AS2" s="88"/>
    </row>
    <row r="3">
      <c r="A3" s="142">
        <v>64.0</v>
      </c>
      <c r="B3" s="136" t="s">
        <v>4873</v>
      </c>
      <c r="C3" s="137" t="s">
        <v>1787</v>
      </c>
      <c r="D3" s="137" t="s">
        <v>2786</v>
      </c>
      <c r="E3" s="209" t="s">
        <v>946</v>
      </c>
      <c r="F3" s="138">
        <v>9.739075884E9</v>
      </c>
      <c r="G3" s="609" t="s">
        <v>3715</v>
      </c>
      <c r="H3" s="610"/>
      <c r="I3" s="528">
        <v>63.0</v>
      </c>
      <c r="J3" s="533">
        <v>60.0</v>
      </c>
      <c r="K3" s="533">
        <v>0.0</v>
      </c>
      <c r="L3" s="533"/>
      <c r="M3" s="611">
        <v>11.0</v>
      </c>
      <c r="N3" s="611"/>
      <c r="O3" s="611"/>
      <c r="P3" s="611"/>
      <c r="Q3" s="612">
        <v>83.0</v>
      </c>
      <c r="R3" s="612"/>
      <c r="S3" s="612"/>
      <c r="T3" s="613">
        <v>10.0</v>
      </c>
      <c r="U3" s="613">
        <v>24.0</v>
      </c>
      <c r="V3" s="125" t="s">
        <v>3716</v>
      </c>
      <c r="W3" s="613"/>
      <c r="X3" s="613"/>
      <c r="Y3" s="613"/>
      <c r="Z3" s="613"/>
      <c r="AA3" s="613"/>
      <c r="AB3" s="614"/>
      <c r="AC3" s="615">
        <v>9.8</v>
      </c>
      <c r="AD3" s="616">
        <v>29.0</v>
      </c>
      <c r="AE3" s="129"/>
      <c r="AF3" s="129"/>
      <c r="AG3" s="129"/>
      <c r="AH3" s="481"/>
      <c r="AI3" s="129"/>
      <c r="AJ3" s="481"/>
      <c r="AK3" s="88"/>
      <c r="AL3" s="608"/>
      <c r="AM3" s="608"/>
      <c r="AN3" s="608"/>
      <c r="AO3" s="608"/>
      <c r="AP3" s="608"/>
      <c r="AQ3" s="608"/>
      <c r="AR3" s="608"/>
      <c r="AS3" s="88"/>
    </row>
    <row r="4">
      <c r="A4" s="15">
        <v>76.0</v>
      </c>
      <c r="B4" s="136" t="s">
        <v>4873</v>
      </c>
      <c r="C4" s="115" t="s">
        <v>1865</v>
      </c>
      <c r="D4" s="115" t="s">
        <v>4874</v>
      </c>
      <c r="E4" s="209" t="str">
        <f>VLOOKUP(C4,USN!$1:$1088,2,False)</f>
        <v>1CR23AD076</v>
      </c>
      <c r="F4" s="116">
        <v>8.088548067E9</v>
      </c>
      <c r="G4" s="609" t="s">
        <v>3715</v>
      </c>
      <c r="H4" s="610"/>
      <c r="I4" s="528">
        <v>67.0</v>
      </c>
      <c r="J4" s="533">
        <v>74.0</v>
      </c>
      <c r="K4" s="533">
        <f>VLOOKUP(E4,'L3'!$1:$2060,2,False)</f>
        <v>0</v>
      </c>
      <c r="L4" s="533"/>
      <c r="M4" s="611">
        <f>vlookup(E4,Sheet24!$1:$1000,2,false)</f>
        <v>0</v>
      </c>
      <c r="N4" s="611"/>
      <c r="O4" s="611"/>
      <c r="P4" s="611"/>
      <c r="Q4" s="612" t="str">
        <f>VLOOKUP(C4,'S1'!$1:$1000,2,False)</f>
        <v>#N/A</v>
      </c>
      <c r="R4" s="612"/>
      <c r="S4" s="612"/>
      <c r="T4" s="613">
        <v>12.0</v>
      </c>
      <c r="U4" s="613" t="s">
        <v>2477</v>
      </c>
      <c r="V4" s="125" t="s">
        <v>3716</v>
      </c>
      <c r="W4" s="613"/>
      <c r="X4" s="613"/>
      <c r="Y4" s="613"/>
      <c r="Z4" s="613"/>
      <c r="AA4" s="613"/>
      <c r="AB4" s="614"/>
      <c r="AC4" s="615">
        <v>0.0</v>
      </c>
      <c r="AD4" s="616">
        <v>44.0</v>
      </c>
      <c r="AE4" s="129"/>
      <c r="AF4" s="129"/>
      <c r="AG4" s="129"/>
      <c r="AH4" s="481"/>
      <c r="AI4" s="129"/>
      <c r="AJ4" s="481"/>
      <c r="AK4" s="88"/>
      <c r="AL4" s="608"/>
      <c r="AM4" s="608"/>
      <c r="AN4" s="608"/>
      <c r="AO4" s="608"/>
      <c r="AP4" s="608"/>
      <c r="AQ4" s="608"/>
      <c r="AR4" s="608"/>
      <c r="AS4" s="88"/>
    </row>
    <row r="5">
      <c r="A5" s="16">
        <v>64.0</v>
      </c>
      <c r="B5" s="16" t="s">
        <v>1787</v>
      </c>
      <c r="C5" s="16" t="s">
        <v>2786</v>
      </c>
      <c r="D5" s="16" t="s">
        <v>946</v>
      </c>
      <c r="E5" s="16">
        <v>9.739075884E9</v>
      </c>
      <c r="F5" s="16" t="s">
        <v>3715</v>
      </c>
      <c r="H5" s="16">
        <v>63.0</v>
      </c>
      <c r="I5" s="16">
        <v>60.0</v>
      </c>
      <c r="J5" s="16">
        <v>0.0</v>
      </c>
      <c r="K5" s="16">
        <v>0.0</v>
      </c>
      <c r="L5" s="16">
        <v>11.0</v>
      </c>
      <c r="M5" s="617">
        <v>0.0</v>
      </c>
      <c r="P5" s="16">
        <v>83.0</v>
      </c>
      <c r="Q5" s="16">
        <v>0.0</v>
      </c>
      <c r="T5" s="16">
        <v>10.0</v>
      </c>
      <c r="U5" s="16">
        <v>24.0</v>
      </c>
      <c r="V5" s="16" t="s">
        <v>3716</v>
      </c>
      <c r="W5" s="16" t="s">
        <v>3716</v>
      </c>
      <c r="AA5" s="16">
        <v>9.8</v>
      </c>
      <c r="AB5" s="16">
        <v>29.0</v>
      </c>
      <c r="AC5" s="16" t="e">
        <v>#N/A</v>
      </c>
      <c r="AD5" s="16">
        <v>0.0</v>
      </c>
      <c r="AJ5" s="16">
        <v>0.0</v>
      </c>
      <c r="AK5" s="16">
        <v>0.0</v>
      </c>
      <c r="AL5" s="16">
        <v>3.0</v>
      </c>
      <c r="AM5" s="16" t="s">
        <v>4875</v>
      </c>
      <c r="AN5" s="16">
        <v>1.0</v>
      </c>
    </row>
    <row r="6">
      <c r="A6" s="15" t="s">
        <v>3780</v>
      </c>
    </row>
    <row r="7">
      <c r="B7" s="142" t="s">
        <v>4876</v>
      </c>
      <c r="C7" s="618" t="s">
        <v>1753</v>
      </c>
      <c r="D7" s="619" t="s">
        <v>4877</v>
      </c>
      <c r="E7" s="209" t="str">
        <f>VLOOKUP(C7,USN!$1:$1088,2,False)</f>
        <v>1CR23AI050</v>
      </c>
      <c r="F7" s="620"/>
      <c r="G7" s="484" t="s">
        <v>3780</v>
      </c>
      <c r="H7" s="88"/>
      <c r="I7" s="210">
        <v>69.0</v>
      </c>
      <c r="J7" s="211">
        <v>40.0</v>
      </c>
      <c r="K7" s="211">
        <f>VLOOKUP(E7,'L3'!$1:$2060,2,False)</f>
        <v>0</v>
      </c>
      <c r="L7" s="211"/>
      <c r="M7" s="212">
        <f>vlookup(E7,Sheet24!$1:$1000,2,false)</f>
        <v>0</v>
      </c>
      <c r="N7" s="212"/>
      <c r="O7" s="212"/>
      <c r="P7" s="212"/>
      <c r="Q7" s="214" t="str">
        <f>VLOOKUP(C7,'S1'!$1:$1000,2,False)</f>
        <v>#N/A</v>
      </c>
      <c r="R7" s="214"/>
      <c r="S7" s="214"/>
      <c r="T7" s="215">
        <v>17.0</v>
      </c>
      <c r="U7" s="215" t="s">
        <v>2477</v>
      </c>
      <c r="V7" s="215">
        <v>0.0</v>
      </c>
      <c r="W7" s="215"/>
      <c r="X7" s="215"/>
      <c r="Y7" s="215"/>
      <c r="Z7" s="215"/>
      <c r="AA7" s="215"/>
      <c r="AB7" s="217"/>
      <c r="AC7" s="218">
        <v>28.0</v>
      </c>
      <c r="AD7" s="219">
        <v>3.0</v>
      </c>
      <c r="AE7" s="129"/>
      <c r="AF7" s="129"/>
      <c r="AG7" s="129"/>
      <c r="AH7" s="481"/>
      <c r="AI7" s="129"/>
      <c r="AJ7" s="481"/>
      <c r="AK7" s="88"/>
      <c r="AL7" s="608"/>
      <c r="AM7" s="608"/>
      <c r="AN7" s="608"/>
      <c r="AO7" s="608"/>
      <c r="AP7" s="608"/>
      <c r="AQ7" s="608"/>
      <c r="AR7" s="608"/>
      <c r="AS7" s="88"/>
    </row>
    <row r="8">
      <c r="B8" s="142" t="s">
        <v>4876</v>
      </c>
      <c r="C8" s="483" t="s">
        <v>1666</v>
      </c>
      <c r="D8" s="621" t="s">
        <v>4878</v>
      </c>
      <c r="E8" s="209" t="str">
        <f>VLOOKUP(C8,USN!$1:$1088,2,False)</f>
        <v>1CR23AI102</v>
      </c>
      <c r="F8" s="497">
        <v>8.904492211E9</v>
      </c>
      <c r="G8" s="234" t="s">
        <v>3780</v>
      </c>
      <c r="H8" s="88"/>
      <c r="I8" s="210">
        <v>68.0</v>
      </c>
      <c r="J8" s="211">
        <v>77.0</v>
      </c>
      <c r="K8" s="211">
        <f>VLOOKUP(E8,'L3'!$1:$2060,2,False)</f>
        <v>0</v>
      </c>
      <c r="L8" s="211"/>
      <c r="M8" s="212">
        <f>vlookup(E8,Sheet24!$1:$1000,2,false)</f>
        <v>14</v>
      </c>
      <c r="N8" s="212"/>
      <c r="O8" s="212"/>
      <c r="P8" s="212"/>
      <c r="Q8" s="214" t="str">
        <f>VLOOKUP(C8,'S1'!$1:$1000,2,False)</f>
        <v>#N/A</v>
      </c>
      <c r="R8" s="214"/>
      <c r="S8" s="214"/>
      <c r="T8" s="215">
        <v>14.0</v>
      </c>
      <c r="U8" s="215">
        <v>13.0</v>
      </c>
      <c r="V8" s="215">
        <v>0.0</v>
      </c>
      <c r="W8" s="215"/>
      <c r="X8" s="215"/>
      <c r="Y8" s="215"/>
      <c r="Z8" s="215"/>
      <c r="AA8" s="215"/>
      <c r="AB8" s="217"/>
      <c r="AC8" s="218">
        <v>20.0</v>
      </c>
      <c r="AD8" s="219">
        <v>0.0</v>
      </c>
      <c r="AE8" s="129"/>
      <c r="AF8" s="129"/>
      <c r="AG8" s="129"/>
      <c r="AH8" s="481"/>
      <c r="AI8" s="129"/>
      <c r="AJ8" s="481"/>
      <c r="AK8" s="88"/>
      <c r="AL8" s="608"/>
      <c r="AM8" s="608"/>
      <c r="AN8" s="608"/>
      <c r="AO8" s="608"/>
      <c r="AP8" s="608"/>
      <c r="AQ8" s="608"/>
      <c r="AR8" s="608"/>
      <c r="AS8" s="88"/>
    </row>
    <row r="9">
      <c r="B9" s="15" t="s">
        <v>4876</v>
      </c>
      <c r="C9" s="622" t="s">
        <v>1682</v>
      </c>
      <c r="D9" s="15" t="s">
        <v>4879</v>
      </c>
      <c r="E9" s="622" t="s">
        <v>1154</v>
      </c>
      <c r="F9" s="622">
        <v>7.470915988E9</v>
      </c>
      <c r="G9" s="622" t="s">
        <v>3780</v>
      </c>
      <c r="I9" s="622">
        <v>72.0</v>
      </c>
      <c r="J9" s="15">
        <v>82.0</v>
      </c>
      <c r="K9" s="15">
        <v>0.0</v>
      </c>
      <c r="L9" s="15"/>
      <c r="M9" s="15">
        <v>0.0</v>
      </c>
      <c r="N9" s="15"/>
      <c r="O9" s="15"/>
      <c r="P9" s="15"/>
      <c r="Q9" s="15">
        <v>74.0</v>
      </c>
      <c r="R9" s="15"/>
      <c r="S9" s="15"/>
      <c r="T9" s="15">
        <v>10.0</v>
      </c>
      <c r="U9" s="15">
        <v>21.0</v>
      </c>
      <c r="V9" s="15">
        <v>0.0</v>
      </c>
      <c r="W9" s="15"/>
      <c r="X9" s="15"/>
      <c r="Y9" s="15"/>
      <c r="Z9" s="15"/>
      <c r="AA9" s="15"/>
      <c r="AC9" s="15">
        <v>0.0</v>
      </c>
      <c r="AD9" s="15">
        <v>0.0</v>
      </c>
      <c r="AE9" s="15"/>
      <c r="AF9" s="15"/>
      <c r="AG9" s="15"/>
      <c r="AI9" s="15"/>
    </row>
    <row r="10">
      <c r="B10" s="15" t="s">
        <v>4876</v>
      </c>
      <c r="C10" s="618" t="s">
        <v>1752</v>
      </c>
      <c r="D10" s="623" t="s">
        <v>4880</v>
      </c>
      <c r="E10" s="209" t="str">
        <f>VLOOKUP(C10,USN!$1:$1088,2,False)</f>
        <v>1CR23AI125</v>
      </c>
      <c r="F10" s="495"/>
      <c r="G10" s="484" t="s">
        <v>3780</v>
      </c>
      <c r="H10" s="88"/>
      <c r="I10" s="210">
        <v>71.0</v>
      </c>
      <c r="J10" s="211">
        <v>43.0</v>
      </c>
      <c r="K10" s="211">
        <f>VLOOKUP(E10,'L3'!$1:$2060,2,False)</f>
        <v>0</v>
      </c>
      <c r="L10" s="211"/>
      <c r="M10" s="212">
        <f>vlookup(E10,Sheet24!$1:$1000,2,false)</f>
        <v>21</v>
      </c>
      <c r="N10" s="212"/>
      <c r="O10" s="212"/>
      <c r="P10" s="212"/>
      <c r="Q10" s="214" t="str">
        <f>VLOOKUP(C10,'S1'!$1:$1000,2,False)</f>
        <v>#N/A</v>
      </c>
      <c r="R10" s="214"/>
      <c r="S10" s="214"/>
      <c r="T10" s="215">
        <v>19.0</v>
      </c>
      <c r="U10" s="215" t="s">
        <v>2477</v>
      </c>
      <c r="V10" s="215">
        <v>0.0</v>
      </c>
      <c r="W10" s="215"/>
      <c r="X10" s="215"/>
      <c r="Y10" s="215"/>
      <c r="Z10" s="215"/>
      <c r="AA10" s="215"/>
      <c r="AB10" s="217"/>
      <c r="AC10" s="218">
        <v>16.0</v>
      </c>
      <c r="AD10" s="219">
        <v>78.0</v>
      </c>
      <c r="AE10" s="129"/>
      <c r="AF10" s="129"/>
      <c r="AG10" s="129"/>
      <c r="AH10" s="481"/>
      <c r="AI10" s="129"/>
      <c r="AJ10" s="481"/>
      <c r="AK10" s="88"/>
      <c r="AL10" s="608"/>
      <c r="AM10" s="608"/>
      <c r="AN10" s="608"/>
      <c r="AO10" s="608"/>
      <c r="AP10" s="608"/>
      <c r="AQ10" s="608"/>
      <c r="AR10" s="608"/>
      <c r="AS10" s="88"/>
    </row>
    <row r="11">
      <c r="B11" s="15" t="s">
        <v>4881</v>
      </c>
      <c r="C11" s="622" t="s">
        <v>1675</v>
      </c>
      <c r="D11" s="15" t="s">
        <v>4882</v>
      </c>
      <c r="E11" s="622" t="s">
        <v>1062</v>
      </c>
      <c r="F11" s="622">
        <v>8.660835895E9</v>
      </c>
      <c r="G11" s="622" t="s">
        <v>3780</v>
      </c>
      <c r="I11" s="622">
        <v>80.0</v>
      </c>
      <c r="J11" s="15">
        <v>90.0</v>
      </c>
      <c r="K11" s="15">
        <v>3.0</v>
      </c>
      <c r="L11" s="15"/>
      <c r="M11" s="15">
        <v>10.0</v>
      </c>
      <c r="N11" s="15"/>
      <c r="O11" s="15"/>
      <c r="P11" s="15"/>
      <c r="Q11" s="15">
        <v>77.0</v>
      </c>
      <c r="R11" s="15"/>
      <c r="S11" s="15"/>
      <c r="T11" s="15">
        <v>12.0</v>
      </c>
      <c r="U11" s="15">
        <v>24.0</v>
      </c>
      <c r="V11" s="15">
        <v>0.0</v>
      </c>
      <c r="W11" s="15"/>
      <c r="X11" s="15"/>
      <c r="Y11" s="15"/>
      <c r="Z11" s="15"/>
      <c r="AA11" s="15"/>
      <c r="AC11" s="15">
        <v>64.0</v>
      </c>
      <c r="AD11" s="15">
        <v>47.0</v>
      </c>
      <c r="AE11" s="15"/>
      <c r="AF11" s="15"/>
      <c r="AG11" s="15"/>
      <c r="AI11" s="15"/>
    </row>
    <row r="12">
      <c r="B12" s="15" t="s">
        <v>4876</v>
      </c>
      <c r="C12" s="483" t="s">
        <v>1654</v>
      </c>
      <c r="D12" s="483" t="s">
        <v>2922</v>
      </c>
      <c r="E12" s="209" t="str">
        <f>VLOOKUP(C12,USN!$1:$1088,2,False)</f>
        <v>1CR23AI057</v>
      </c>
      <c r="F12" s="484">
        <v>8.10500366E9</v>
      </c>
      <c r="G12" s="234" t="s">
        <v>3780</v>
      </c>
      <c r="H12" s="88"/>
      <c r="I12" s="210">
        <v>66.0</v>
      </c>
      <c r="J12" s="211">
        <v>72.0</v>
      </c>
      <c r="K12" s="211">
        <f>VLOOKUP(E12,'L3'!$1:$2060,2,False)</f>
        <v>3</v>
      </c>
      <c r="L12" s="211">
        <f>VLOOKUP(E12,'L4'!$1:$2059,2,False)</f>
        <v>11</v>
      </c>
      <c r="M12" s="212">
        <f>VLOOKUP(E12,'A1 RETEST 5 DEC'!$1:$2096,2,False)</f>
        <v>1</v>
      </c>
      <c r="N12" s="213">
        <f>VLOOKUP(E12,'A2 RETEST 4 DEC'!$1:$2096,2,False)</f>
        <v>0</v>
      </c>
      <c r="O12" s="213">
        <v>0.0</v>
      </c>
      <c r="P12" s="212"/>
      <c r="Q12" s="214">
        <f>IFNA(VLOOKUP(E12,'S1'!$1:$1500,2,False),0)</f>
        <v>77</v>
      </c>
      <c r="R12" s="214" t="str">
        <f>vlookup(E12,'S2'!B8:C1210,2,0)</f>
        <v>#N/A</v>
      </c>
      <c r="S12" s="214">
        <f>ifna(vlookup(E12,'S3'!$1:$1311,2,False),0)</f>
        <v>0</v>
      </c>
      <c r="T12" s="214"/>
      <c r="U12" s="215">
        <v>14.0</v>
      </c>
      <c r="V12" s="215">
        <v>17.0</v>
      </c>
      <c r="W12" s="215">
        <v>82.0</v>
      </c>
      <c r="X12" s="215">
        <v>0.0</v>
      </c>
      <c r="Y12" s="215"/>
      <c r="Z12" s="215"/>
      <c r="AA12" s="217"/>
      <c r="AB12" s="218">
        <v>24.0</v>
      </c>
      <c r="AC12" s="219">
        <v>67.0</v>
      </c>
      <c r="AD12" s="295">
        <v>0.0</v>
      </c>
      <c r="AE12" s="129">
        <v>2.0</v>
      </c>
      <c r="AF12" s="129"/>
      <c r="AG12" s="481"/>
      <c r="AH12" s="487">
        <v>10.0</v>
      </c>
      <c r="AI12" s="481"/>
      <c r="AJ12" s="88"/>
      <c r="AK12" s="88"/>
      <c r="AL12" s="132">
        <f t="shared" ref="AL12:AL13" si="1">IF(I12&gt;=$H$4, 
    IF(J12&gt;=$I$4, 
        IF(K12&gt;=$J$4, 
            IF(L12&gt;=$K$4, 4, 3), 
            2), 
        1), 
    0)
</f>
        <v>2</v>
      </c>
      <c r="AM12" s="132">
        <f t="shared" ref="AM12:AM13" si="2">IF(M12&gt;=$L$4, 
    IF(N12&gt;=$M$4, 
        IF(O12&gt;=$N$4, 
            IF(P12&gt;=$O$4, 4, 3), 
            2), 
        1), 
    0)
</f>
        <v>4</v>
      </c>
      <c r="AN12" s="133">
        <f t="shared" ref="AN12:AN13" si="3">IF(AND(V12&gt;=$U$4, X12&gt;=$W$4, Z12&gt;=$Y$4, AA12&lt;&gt;"", AA12&gt;=$Z$4), 5,
 IF(AND(V12&gt;=$U$4, X12&gt;=$W$4, Z12&gt;=$Y$4), 4,
  IF(AND(V12&gt;=$U$4, X12&gt;=$W$4), 3,
   IF(AND(U12&gt;=$T$4, V12&gt;=$U$4), 2,
    0
   )
  )
 )
)
</f>
        <v>0</v>
      </c>
      <c r="AO12" s="132" t="str">
        <f>IF(AC12&gt;=$AB$4, 
    IF(OR(AD12&gt;=$AC$4, AE12&gt;=$AD$4), 
        IF(AND(AF12&gt;=$AE$4, AG12&gt;=$AF$4, OR(AH13&gt;=$AG$4, AI12&gt;=$AH$4)), "4", 
            IF(OR(AF12&gt;=$AE$4, AG12&gt;=$AF$4), "3.5", 
                "3")), 
        "2"), 
    "0")</f>
        <v>4</v>
      </c>
      <c r="AP12" s="132" t="str">
        <f t="shared" ref="AP12:AP13" si="4">IF(Q12&gt;=$P$4, 
    IF(R12&gt;=$Q$4, 
        IF(S12&gt;=$R$4, 
            IF(T12&gt;=$S$4, 4, 3), 
            2), 
        1), 
    0)
</f>
        <v>#N/A</v>
      </c>
      <c r="AQ12" s="88"/>
    </row>
    <row r="13">
      <c r="B13" s="15" t="s">
        <v>4876</v>
      </c>
      <c r="C13" s="483" t="s">
        <v>1720</v>
      </c>
      <c r="D13" s="483" t="s">
        <v>2996</v>
      </c>
      <c r="E13" s="209" t="str">
        <f>VLOOKUP(C13,USN!$1:$1088,2,False)</f>
        <v>1CR23AI134</v>
      </c>
      <c r="F13" s="484">
        <v>7.483543855E9</v>
      </c>
      <c r="G13" s="484" t="s">
        <v>3780</v>
      </c>
      <c r="H13" s="88"/>
      <c r="I13" s="210">
        <v>68.0</v>
      </c>
      <c r="J13" s="211">
        <v>78.0</v>
      </c>
      <c r="K13" s="211">
        <f>VLOOKUP(E13,'L3'!$1:$2060,2,False)</f>
        <v>16</v>
      </c>
      <c r="L13" s="211">
        <f>VLOOKUP(E13,'L4'!$1:$2059,2,False)</f>
        <v>6</v>
      </c>
      <c r="M13" s="212">
        <f>VLOOKUP(E13,'A1 RETEST 5 DEC'!$1:$2096,2,False)</f>
        <v>17</v>
      </c>
      <c r="N13" s="213">
        <f>VLOOKUP(E13,'A2 RETEST 4 DEC'!$1:$2096,2,False)</f>
        <v>7</v>
      </c>
      <c r="O13" s="213">
        <v>0.0</v>
      </c>
      <c r="P13" s="212"/>
      <c r="Q13" s="214">
        <f>IFNA(VLOOKUP(E13,'S1'!$1:$1500,2,False),0)</f>
        <v>0</v>
      </c>
      <c r="R13" s="214" t="str">
        <f>vlookup(E13,'S2'!B8:C1210,2,0)</f>
        <v>#N/A</v>
      </c>
      <c r="S13" s="214">
        <f>ifna(vlookup(E13,'S3'!$1:$1311,2,False),0)</f>
        <v>0</v>
      </c>
      <c r="T13" s="214"/>
      <c r="U13" s="215">
        <v>14.0</v>
      </c>
      <c r="V13" s="215" t="s">
        <v>2477</v>
      </c>
      <c r="W13" s="215">
        <v>0.0</v>
      </c>
      <c r="X13" s="215">
        <v>0.0</v>
      </c>
      <c r="Y13" s="215"/>
      <c r="Z13" s="215"/>
      <c r="AA13" s="217"/>
      <c r="AB13" s="218">
        <v>12.0</v>
      </c>
      <c r="AC13" s="219">
        <v>42.0</v>
      </c>
      <c r="AD13" s="295">
        <v>1.0</v>
      </c>
      <c r="AE13" s="129">
        <v>0.0</v>
      </c>
      <c r="AF13" s="129"/>
      <c r="AG13" s="481"/>
      <c r="AH13" s="498">
        <v>0.0</v>
      </c>
      <c r="AI13" s="481"/>
      <c r="AJ13" s="88"/>
      <c r="AK13" s="88"/>
      <c r="AL13" s="132">
        <f t="shared" si="1"/>
        <v>2</v>
      </c>
      <c r="AM13" s="132">
        <f t="shared" si="2"/>
        <v>4</v>
      </c>
      <c r="AN13" s="133">
        <f t="shared" si="3"/>
        <v>4</v>
      </c>
      <c r="AO13" s="132" t="str">
        <f>IF(AC13&gt;=$AB$4, 
    IF(OR(AD13&gt;=$AC$4, AE13&gt;=$AD$4), 
        IF(AND(AF13&gt;=$AE$4, AG13&gt;=$AF$4, OR(AH13&gt;=$AG$4, AI13&gt;=$AH$4)), "4", 
            IF(OR(AF13&gt;=$AE$4, AG13&gt;=$AF$4), "3.5", 
                "3")), 
        "2"), 
    "0")</f>
        <v>4</v>
      </c>
      <c r="AP13" s="132" t="str">
        <f t="shared" si="4"/>
        <v>#N/A</v>
      </c>
    </row>
    <row r="14">
      <c r="A14" s="15"/>
      <c r="B14" s="15">
        <v>55.0</v>
      </c>
      <c r="C14" s="622" t="s">
        <v>1654</v>
      </c>
      <c r="D14" s="622" t="s">
        <v>2922</v>
      </c>
      <c r="E14" s="622" t="s">
        <v>1095</v>
      </c>
      <c r="F14" s="622">
        <v>8.10500366E9</v>
      </c>
      <c r="G14" s="622" t="s">
        <v>3780</v>
      </c>
      <c r="I14" s="622">
        <v>66.0</v>
      </c>
      <c r="J14" s="15">
        <v>72.0</v>
      </c>
      <c r="K14" s="15">
        <v>3.0</v>
      </c>
      <c r="L14" s="15">
        <v>11.0</v>
      </c>
      <c r="M14" s="15">
        <v>1.0</v>
      </c>
      <c r="N14" s="624">
        <v>0.0</v>
      </c>
      <c r="O14" s="624">
        <v>0.0</v>
      </c>
      <c r="P14" s="15"/>
      <c r="Q14" s="15">
        <v>77.0</v>
      </c>
      <c r="R14" s="15">
        <v>0.0</v>
      </c>
      <c r="S14" s="15">
        <v>0.0</v>
      </c>
      <c r="T14" s="15"/>
      <c r="U14" s="15">
        <v>14.0</v>
      </c>
      <c r="V14" s="15">
        <v>17.0</v>
      </c>
      <c r="W14" s="15">
        <v>82.0</v>
      </c>
      <c r="X14" s="15">
        <v>0.0</v>
      </c>
      <c r="Y14" s="15"/>
      <c r="Z14" s="15"/>
      <c r="AB14" s="15">
        <v>24.0</v>
      </c>
      <c r="AC14" s="15">
        <v>67.0</v>
      </c>
      <c r="AD14" s="15">
        <v>0.0</v>
      </c>
      <c r="AE14" s="15">
        <v>2.0</v>
      </c>
      <c r="AF14" s="15"/>
      <c r="AH14" s="15">
        <v>10.0</v>
      </c>
      <c r="AL14" s="16">
        <v>2.0</v>
      </c>
      <c r="AM14" s="16">
        <v>0.0</v>
      </c>
      <c r="AN14" s="16">
        <v>2.0</v>
      </c>
      <c r="AO14" s="16" t="s">
        <v>4883</v>
      </c>
      <c r="AP14" s="16">
        <v>1.0</v>
      </c>
    </row>
    <row r="15">
      <c r="A15" s="15"/>
      <c r="B15" s="15">
        <v>129.0</v>
      </c>
      <c r="C15" s="622" t="s">
        <v>1720</v>
      </c>
      <c r="D15" s="622" t="s">
        <v>2996</v>
      </c>
      <c r="E15" s="622" t="s">
        <v>1172</v>
      </c>
      <c r="F15" s="622">
        <v>7.483543855E9</v>
      </c>
      <c r="G15" s="622" t="s">
        <v>3780</v>
      </c>
      <c r="I15" s="622">
        <v>68.0</v>
      </c>
      <c r="J15" s="15">
        <v>78.0</v>
      </c>
      <c r="K15" s="15">
        <v>16.0</v>
      </c>
      <c r="L15" s="15">
        <v>6.0</v>
      </c>
      <c r="M15" s="15">
        <v>17.0</v>
      </c>
      <c r="N15" s="624">
        <v>7.0</v>
      </c>
      <c r="O15" s="624">
        <v>0.0</v>
      </c>
      <c r="P15" s="15"/>
      <c r="Q15" s="15">
        <v>0.0</v>
      </c>
      <c r="R15" s="15">
        <v>0.0</v>
      </c>
      <c r="S15" s="15">
        <v>0.0</v>
      </c>
      <c r="T15" s="15"/>
      <c r="U15" s="15">
        <v>14.0</v>
      </c>
      <c r="V15" s="15" t="s">
        <v>2477</v>
      </c>
      <c r="W15" s="15">
        <v>0.0</v>
      </c>
      <c r="X15" s="15">
        <v>0.0</v>
      </c>
      <c r="Y15" s="15"/>
      <c r="Z15" s="15"/>
      <c r="AB15" s="15">
        <v>12.0</v>
      </c>
      <c r="AC15" s="15">
        <v>42.0</v>
      </c>
      <c r="AD15" s="15">
        <v>1.0</v>
      </c>
      <c r="AE15" s="15">
        <v>0.0</v>
      </c>
      <c r="AF15" s="15"/>
      <c r="AH15" s="15">
        <v>0.0</v>
      </c>
      <c r="AL15" s="16">
        <v>2.0</v>
      </c>
      <c r="AM15" s="16">
        <v>0.0</v>
      </c>
      <c r="AN15" s="16">
        <v>2.0</v>
      </c>
      <c r="AO15" s="16" t="s">
        <v>4875</v>
      </c>
      <c r="AP15" s="16">
        <v>0.0</v>
      </c>
    </row>
    <row r="16">
      <c r="A16" s="15" t="s">
        <v>3817</v>
      </c>
    </row>
    <row r="17">
      <c r="B17" s="15" t="s">
        <v>4876</v>
      </c>
      <c r="C17" s="622" t="s">
        <v>1601</v>
      </c>
      <c r="D17" s="15" t="s">
        <v>4884</v>
      </c>
      <c r="E17" s="622" t="s">
        <v>1301</v>
      </c>
      <c r="F17" s="622">
        <v>8.867465169E9</v>
      </c>
      <c r="G17" s="622" t="s">
        <v>3801</v>
      </c>
      <c r="I17" s="622">
        <v>62.0</v>
      </c>
      <c r="J17" s="15">
        <v>66.0</v>
      </c>
      <c r="K17" s="15">
        <v>0.0</v>
      </c>
      <c r="L17" s="15"/>
      <c r="M17" s="15">
        <v>4.0</v>
      </c>
      <c r="N17" s="15"/>
      <c r="O17" s="15"/>
      <c r="P17" s="15"/>
      <c r="Q17" s="15">
        <v>0.0</v>
      </c>
      <c r="R17" s="15"/>
      <c r="S17" s="15"/>
      <c r="T17" s="15">
        <v>17.0</v>
      </c>
      <c r="U17" s="15">
        <v>20.0</v>
      </c>
      <c r="V17" s="15">
        <v>0.0</v>
      </c>
      <c r="W17" s="15"/>
      <c r="X17" s="15"/>
      <c r="Y17" s="15"/>
      <c r="Z17" s="15"/>
      <c r="AA17" s="15"/>
      <c r="AC17" s="15">
        <v>16.0</v>
      </c>
      <c r="AD17" s="15">
        <v>17.0</v>
      </c>
      <c r="AE17" s="15"/>
      <c r="AF17" s="15"/>
      <c r="AG17" s="15"/>
      <c r="AI17" s="15"/>
    </row>
    <row r="18">
      <c r="B18" s="15" t="s">
        <v>4876</v>
      </c>
      <c r="C18" s="25" t="s">
        <v>3656</v>
      </c>
      <c r="D18" s="500" t="s">
        <v>3657</v>
      </c>
      <c r="E18" s="209" t="s">
        <v>1336</v>
      </c>
      <c r="F18" s="209">
        <v>7.975146367E9</v>
      </c>
      <c r="G18" s="119" t="s">
        <v>3801</v>
      </c>
      <c r="H18" s="118"/>
      <c r="I18" s="528">
        <f>IFNA(VLOOKUP(C18,'L1 '!$1:$1000,2,False),0)</f>
        <v>0</v>
      </c>
      <c r="J18" s="528">
        <f>IFNA(VLOOKUP(C18,'L2'!$1:$1000,2,False),0)</f>
        <v>0</v>
      </c>
      <c r="K18" s="120">
        <f>VLOOKUP(E18,'L3'!$1:$2060,2,False)</f>
        <v>27</v>
      </c>
      <c r="L18" s="120">
        <f>VLOOKUP(E18,'L4'!$1:$2059,2,False)</f>
        <v>6</v>
      </c>
      <c r="M18" s="121">
        <f>VLOOKUP(E18,'A1 RETEST 5 DEC'!$1:$2096,2,False)</f>
        <v>0</v>
      </c>
      <c r="N18" s="122">
        <f>VLOOKUP(E18,'A2 RETEST 4 DEC'!$1:$2096,2,False)</f>
        <v>0</v>
      </c>
      <c r="O18" s="122">
        <v>0.0</v>
      </c>
      <c r="P18" s="121"/>
      <c r="Q18" s="123">
        <f>IFNA(VLOOKUP(E18,'S1'!$1:$1000,2,False),0)</f>
        <v>0</v>
      </c>
      <c r="R18" s="123" t="str">
        <f>vlookup(E18,'S2'!C11:D1213,2,0)</f>
        <v>#N/A</v>
      </c>
      <c r="S18" s="123">
        <f>ifna(vlookup(E18,'S3'!$1:$1311,2,False),0)</f>
        <v>0</v>
      </c>
      <c r="T18" s="123"/>
      <c r="U18" s="125"/>
      <c r="V18" s="125"/>
      <c r="W18" s="125">
        <v>0.0</v>
      </c>
      <c r="X18" s="125">
        <v>0.0</v>
      </c>
      <c r="Y18" s="125"/>
      <c r="Z18" s="125"/>
      <c r="AA18" s="125"/>
      <c r="AB18" s="297"/>
      <c r="AC18" s="295">
        <v>0.0</v>
      </c>
      <c r="AD18" s="295">
        <v>0.0</v>
      </c>
      <c r="AE18" s="295">
        <v>0.0</v>
      </c>
      <c r="AF18" s="295"/>
      <c r="AG18" s="295"/>
      <c r="AH18" s="295">
        <v>0.0</v>
      </c>
      <c r="AI18" s="295"/>
      <c r="AJ18" s="118"/>
      <c r="AK18" s="118"/>
      <c r="AL18" s="300">
        <f t="shared" ref="AL18:AL19" si="5">IF(I18&gt;=$H$4, 
    IF(J18&gt;=$I$4, 
        IF(K18&gt;=$J$4, 
            IF(L18&gt;=$K$4, 4, 3), 
            2), 
        1), 
    0)
</f>
        <v>1</v>
      </c>
      <c r="AM18" s="300">
        <f t="shared" ref="AM18:AM19" si="6">IF(M18&gt;=$L$4, 
    IF(N18&gt;=$M$4, 
        IF(O18&gt;=$N$4, 
            IF(P18&gt;=$O$4, 4, 3), 
            2), 
        1), 
    0)
</f>
        <v>4</v>
      </c>
      <c r="AN18" s="301">
        <f t="shared" ref="AN18:AN19" si="7">IF(AND(V18&gt;=$U$4, X18&gt;=$W$4, Z18&gt;=$Y$4, AA18&lt;&gt;"", AA18&gt;=$Z$4), 5,
 IF(AND(V18&gt;=$U$4, X18&gt;=$W$4, Z18&gt;=$Y$4), 4,
  IF(AND(V18&gt;=$U$4, X18&gt;=$W$4), 3,
   IF(AND(U18&gt;=$T$4, V18&gt;=$U$4), 2,
    0
   )
  )
 )
)
</f>
        <v>0</v>
      </c>
      <c r="AO18" s="300" t="str">
        <f t="shared" ref="AO18:AO19" si="8">IF(AC18&gt;=$AB$4, 
    IF(OR(AD18&gt;=$AC$4, AE18&gt;=$AD$4), 
        IF(AND(AF18&gt;=$AE$4, AG18&gt;=$AF$4, OR(AH18&gt;=$AG$4, AI18&gt;=$AH$4)), "4", 
            IF(OR(AF18&gt;=$AE$4, AG18&gt;=$AF$4), "3.5", 
                "3")), 
        "2"), 
    "0")</f>
        <v>4</v>
      </c>
      <c r="AP18" s="300" t="str">
        <f t="shared" ref="AP18:AP19" si="9">IF(Q18&gt;=$P$4, 
    IF(R18&gt;=$Q$4, 
        IF(S18&gt;=$R$4, 
            IF(T18&gt;=$S$4, 4, 3), 
            2), 
        1), 
    0)
</f>
        <v>#N/A</v>
      </c>
      <c r="AR18" s="88"/>
    </row>
    <row r="19">
      <c r="B19" s="15" t="s">
        <v>4876</v>
      </c>
      <c r="C19" s="531" t="s">
        <v>1583</v>
      </c>
      <c r="D19" s="625" t="s">
        <v>3123</v>
      </c>
      <c r="E19" s="209" t="str">
        <f>VLOOKUP(C19,USN!$1:$1088,2,False)</f>
        <v>1CR23CI048</v>
      </c>
      <c r="F19" s="626">
        <v>8.885528932E9</v>
      </c>
      <c r="G19" s="119" t="s">
        <v>3801</v>
      </c>
      <c r="H19" s="118"/>
      <c r="I19" s="528">
        <v>76.0</v>
      </c>
      <c r="J19" s="120">
        <v>82.0</v>
      </c>
      <c r="K19" s="120">
        <f>VLOOKUP(E19,'L3'!$1:$2060,2,False)</f>
        <v>0</v>
      </c>
      <c r="L19" s="120">
        <f>VLOOKUP(E19,'L4'!$1:$2059,2,False)</f>
        <v>0</v>
      </c>
      <c r="M19" s="121">
        <f>VLOOKUP(E19,'A1 RETEST 5 DEC'!$1:$2096,2,False)</f>
        <v>7</v>
      </c>
      <c r="N19" s="122">
        <f>VLOOKUP(E19,'A2 RETEST 4 DEC'!$1:$2096,2,False)</f>
        <v>0</v>
      </c>
      <c r="O19" s="122">
        <v>0.0</v>
      </c>
      <c r="P19" s="121"/>
      <c r="Q19" s="123">
        <f>IFNA(VLOOKUP(E19,'S1'!$1:$1000,2,False),0)</f>
        <v>83</v>
      </c>
      <c r="R19" s="123" t="str">
        <f>vlookup(E19,'S2'!B12:C1214,2,0)</f>
        <v>#N/A</v>
      </c>
      <c r="S19" s="123">
        <f>ifna(vlookup(E19,'S3'!$1:$1311,2,False),0)</f>
        <v>0</v>
      </c>
      <c r="T19" s="123"/>
      <c r="U19" s="125">
        <v>23.0</v>
      </c>
      <c r="V19" s="125">
        <v>21.0</v>
      </c>
      <c r="W19" s="125">
        <v>92.0</v>
      </c>
      <c r="X19" s="125">
        <v>0.0</v>
      </c>
      <c r="Y19" s="125"/>
      <c r="Z19" s="125"/>
      <c r="AA19" s="292"/>
      <c r="AB19" s="529">
        <v>0.0</v>
      </c>
      <c r="AC19" s="530">
        <v>0.0</v>
      </c>
      <c r="AD19" s="295">
        <v>0.0</v>
      </c>
      <c r="AE19" s="295">
        <v>0.0</v>
      </c>
      <c r="AF19" s="295"/>
      <c r="AG19" s="298"/>
      <c r="AH19" s="295">
        <v>0.0</v>
      </c>
      <c r="AI19" s="298"/>
      <c r="AJ19" s="118"/>
      <c r="AK19" s="118"/>
      <c r="AL19" s="300">
        <f t="shared" si="5"/>
        <v>2</v>
      </c>
      <c r="AM19" s="300">
        <f t="shared" si="6"/>
        <v>4</v>
      </c>
      <c r="AN19" s="301">
        <f t="shared" si="7"/>
        <v>0</v>
      </c>
      <c r="AO19" s="300" t="str">
        <f t="shared" si="8"/>
        <v>4</v>
      </c>
      <c r="AP19" s="300" t="str">
        <f t="shared" si="9"/>
        <v>#N/A</v>
      </c>
      <c r="AQ19" s="88"/>
    </row>
    <row r="20">
      <c r="A20" s="15"/>
      <c r="B20" s="15">
        <v>47.0</v>
      </c>
      <c r="C20" s="622" t="s">
        <v>1583</v>
      </c>
      <c r="D20" s="622" t="s">
        <v>3123</v>
      </c>
      <c r="E20" s="622" t="s">
        <v>1316</v>
      </c>
      <c r="F20" s="622">
        <v>8.885528932E9</v>
      </c>
      <c r="G20" s="622" t="s">
        <v>3801</v>
      </c>
      <c r="I20" s="622">
        <v>76.0</v>
      </c>
      <c r="J20" s="15">
        <v>82.0</v>
      </c>
      <c r="K20" s="15">
        <v>0.0</v>
      </c>
      <c r="L20" s="15">
        <v>0.0</v>
      </c>
      <c r="M20" s="15">
        <v>7.0</v>
      </c>
      <c r="N20" s="624">
        <v>0.0</v>
      </c>
      <c r="O20" s="624">
        <v>0.0</v>
      </c>
      <c r="P20" s="15"/>
      <c r="Q20" s="15">
        <v>83.0</v>
      </c>
      <c r="R20" s="15">
        <v>0.0</v>
      </c>
      <c r="S20" s="15">
        <v>0.0</v>
      </c>
      <c r="T20" s="15"/>
      <c r="U20" s="15">
        <v>23.0</v>
      </c>
      <c r="V20" s="15">
        <v>21.0</v>
      </c>
      <c r="W20" s="15">
        <v>92.0</v>
      </c>
      <c r="X20" s="15">
        <v>0.0</v>
      </c>
      <c r="Y20" s="15"/>
      <c r="Z20" s="15"/>
      <c r="AB20" s="15">
        <v>0.0</v>
      </c>
      <c r="AC20" s="15">
        <v>0.0</v>
      </c>
      <c r="AD20" s="15">
        <v>0.0</v>
      </c>
      <c r="AE20" s="15">
        <v>0.0</v>
      </c>
      <c r="AF20" s="622">
        <v>10.0</v>
      </c>
      <c r="AH20" s="15">
        <v>0.0</v>
      </c>
      <c r="AL20" s="16">
        <v>2.0</v>
      </c>
      <c r="AM20" s="16">
        <v>0.0</v>
      </c>
      <c r="AN20" s="16">
        <v>2.0</v>
      </c>
      <c r="AO20" s="16" t="s">
        <v>4875</v>
      </c>
      <c r="AP20" s="16">
        <v>1.0</v>
      </c>
    </row>
    <row r="21">
      <c r="A21" s="15"/>
      <c r="B21" s="15">
        <v>68.0</v>
      </c>
      <c r="C21" s="622" t="s">
        <v>3656</v>
      </c>
      <c r="D21" s="622" t="s">
        <v>3657</v>
      </c>
      <c r="E21" s="622" t="s">
        <v>1336</v>
      </c>
      <c r="F21" s="622">
        <v>7.975146367E9</v>
      </c>
      <c r="G21" s="622" t="s">
        <v>3801</v>
      </c>
      <c r="I21" s="622">
        <v>0.0</v>
      </c>
      <c r="J21" s="622">
        <v>0.0</v>
      </c>
      <c r="K21" s="15">
        <v>27.0</v>
      </c>
      <c r="L21" s="15">
        <v>6.0</v>
      </c>
      <c r="M21" s="15">
        <v>0.0</v>
      </c>
      <c r="N21" s="624">
        <v>0.0</v>
      </c>
      <c r="O21" s="624">
        <v>0.0</v>
      </c>
      <c r="P21" s="15"/>
      <c r="Q21" s="15">
        <v>0.0</v>
      </c>
      <c r="R21" s="15">
        <v>0.0</v>
      </c>
      <c r="S21" s="15">
        <v>0.0</v>
      </c>
      <c r="T21" s="15"/>
      <c r="U21" s="15"/>
      <c r="V21" s="15"/>
      <c r="W21" s="15">
        <v>0.0</v>
      </c>
      <c r="X21" s="15">
        <v>0.0</v>
      </c>
      <c r="Y21" s="15"/>
      <c r="Z21" s="15"/>
      <c r="AA21" s="15"/>
      <c r="AB21" s="622"/>
      <c r="AC21" s="15">
        <v>0.0</v>
      </c>
      <c r="AD21" s="15">
        <v>0.0</v>
      </c>
      <c r="AE21" s="15">
        <v>0.0</v>
      </c>
      <c r="AF21" s="622">
        <v>10.0</v>
      </c>
      <c r="AG21" s="15"/>
      <c r="AH21" s="15">
        <v>0.0</v>
      </c>
      <c r="AI21" s="15"/>
      <c r="AL21" s="16">
        <v>0.0</v>
      </c>
      <c r="AM21" s="16">
        <v>0.0</v>
      </c>
      <c r="AN21" s="16">
        <v>0.0</v>
      </c>
      <c r="AO21" s="16" t="s">
        <v>4875</v>
      </c>
      <c r="AP21" s="16">
        <v>0.0</v>
      </c>
    </row>
    <row r="22">
      <c r="A22" s="15" t="s">
        <v>3706</v>
      </c>
    </row>
    <row r="23">
      <c r="B23" s="15" t="s">
        <v>4885</v>
      </c>
      <c r="C23" s="229" t="s">
        <v>1486</v>
      </c>
      <c r="D23" s="627" t="s">
        <v>4886</v>
      </c>
      <c r="E23" s="628" t="str">
        <f>VLOOKUP(C23,USN!$1:$1088,2,False)</f>
        <v>1CR23IS044</v>
      </c>
      <c r="F23" s="227">
        <v>9.902488184E9</v>
      </c>
      <c r="G23" s="222" t="s">
        <v>3706</v>
      </c>
      <c r="H23" s="88"/>
      <c r="I23" s="223">
        <v>62.0</v>
      </c>
      <c r="J23" s="211">
        <v>64.0</v>
      </c>
      <c r="K23" s="211">
        <f>VLOOKUP(E23,'L3'!$1:$2060,2,False)</f>
        <v>8.5</v>
      </c>
      <c r="L23" s="211">
        <f>VLOOKUP(E23,'L4'!$1:$2059,2,False)</f>
        <v>0</v>
      </c>
      <c r="M23" s="212">
        <f>vlookup(E23,Sheet24!$1:$1000,2,false)</f>
        <v>28</v>
      </c>
      <c r="N23" s="213">
        <v>0.0</v>
      </c>
      <c r="O23" s="212"/>
      <c r="P23" s="212"/>
      <c r="Q23" s="214">
        <f>IFNA(VLOOKUP(C23,'S1'!$1:$1000,2,False),0)</f>
        <v>0</v>
      </c>
      <c r="R23" s="214">
        <f>vlookup(E23,'S2'!A44:B1246,2,0)</f>
        <v>0</v>
      </c>
      <c r="S23" s="214"/>
      <c r="T23" s="214"/>
      <c r="U23" s="237">
        <v>14.0</v>
      </c>
      <c r="V23" s="215">
        <v>17.0</v>
      </c>
      <c r="W23" s="215"/>
      <c r="X23" s="215"/>
      <c r="Y23" s="215"/>
      <c r="Z23" s="215"/>
      <c r="AA23" s="217"/>
      <c r="AB23" s="218">
        <v>0.0</v>
      </c>
      <c r="AC23" s="219">
        <v>84.0</v>
      </c>
      <c r="AD23" s="129">
        <v>0.0</v>
      </c>
      <c r="AE23" s="129">
        <v>0.0</v>
      </c>
      <c r="AF23" s="129"/>
      <c r="AG23" s="129"/>
      <c r="AH23" s="129"/>
      <c r="AI23" s="129"/>
    </row>
    <row r="24">
      <c r="B24" s="15" t="s">
        <v>4885</v>
      </c>
      <c r="C24" s="115" t="s">
        <v>1424</v>
      </c>
      <c r="D24" s="627" t="s">
        <v>4887</v>
      </c>
      <c r="E24" s="628" t="str">
        <f>VLOOKUP(C24,USN!$1:$1088,2,False)</f>
        <v>1CR23IS067</v>
      </c>
      <c r="F24" s="119">
        <v>7.76082808E9</v>
      </c>
      <c r="G24" s="119" t="s">
        <v>3706</v>
      </c>
      <c r="H24" s="88"/>
      <c r="I24" s="223">
        <v>77.0</v>
      </c>
      <c r="J24" s="211">
        <v>86.0</v>
      </c>
      <c r="K24" s="211">
        <f>VLOOKUP(E24,'L3'!$1:$2060,2,False)</f>
        <v>0</v>
      </c>
      <c r="L24" s="211">
        <f>VLOOKUP(E24,'L4'!$1:$2059,2,False)</f>
        <v>0</v>
      </c>
      <c r="M24" s="212">
        <f>vlookup(E24,Sheet24!$1:$1000,2,false)</f>
        <v>49</v>
      </c>
      <c r="N24" s="213">
        <v>0.0</v>
      </c>
      <c r="O24" s="212"/>
      <c r="P24" s="212"/>
      <c r="Q24" s="214">
        <f>IFNA(VLOOKUP(C24,'S1'!$1:$1000,2,False),0)</f>
        <v>0</v>
      </c>
      <c r="R24" s="214">
        <f>vlookup(E24,'S2'!A67:B1269,2,0)</f>
        <v>0</v>
      </c>
      <c r="S24" s="214"/>
      <c r="T24" s="214"/>
      <c r="U24" s="215">
        <v>22.0</v>
      </c>
      <c r="V24" s="215">
        <v>8.0</v>
      </c>
      <c r="W24" s="215"/>
      <c r="X24" s="215"/>
      <c r="Y24" s="215"/>
      <c r="Z24" s="215"/>
      <c r="AA24" s="224"/>
      <c r="AB24" s="218">
        <v>0.0</v>
      </c>
      <c r="AC24" s="219">
        <v>50.0</v>
      </c>
      <c r="AD24" s="129">
        <v>0.0</v>
      </c>
      <c r="AE24" s="129">
        <v>0.0</v>
      </c>
      <c r="AF24" s="129"/>
      <c r="AG24" s="129"/>
      <c r="AH24" s="129"/>
      <c r="AI24" s="129"/>
    </row>
    <row r="25">
      <c r="B25" s="15" t="s">
        <v>4885</v>
      </c>
      <c r="C25" s="220" t="s">
        <v>1499</v>
      </c>
      <c r="D25" s="627" t="s">
        <v>4888</v>
      </c>
      <c r="E25" s="628" t="str">
        <f>VLOOKUP(C25,USN!$1:$1088,2,False)</f>
        <v>1CR23IS150</v>
      </c>
      <c r="F25" s="222">
        <v>9.581115966E9</v>
      </c>
      <c r="G25" s="222" t="s">
        <v>3706</v>
      </c>
      <c r="H25" s="88"/>
      <c r="I25" s="223">
        <v>80.0</v>
      </c>
      <c r="J25" s="211">
        <v>79.0</v>
      </c>
      <c r="K25" s="211">
        <f>VLOOKUP(E25,'L3'!$1:$2060,2,False)</f>
        <v>0</v>
      </c>
      <c r="L25" s="211">
        <f>VLOOKUP(E25,'L4'!$1:$2059,2,False)</f>
        <v>0</v>
      </c>
      <c r="M25" s="212">
        <f>vlookup(E25,Sheet24!$1:$1000,2,false)</f>
        <v>17</v>
      </c>
      <c r="N25" s="213">
        <v>0.0</v>
      </c>
      <c r="O25" s="212"/>
      <c r="P25" s="212"/>
      <c r="Q25" s="214">
        <f>IFNA(VLOOKUP(C25,'S1'!$1:$1000,2,False),0)</f>
        <v>0</v>
      </c>
      <c r="R25" s="214">
        <f>vlookup(E25,'S2'!A150:B1352,2,0)</f>
        <v>0</v>
      </c>
      <c r="S25" s="214"/>
      <c r="T25" s="214"/>
      <c r="U25" s="215">
        <v>18.0</v>
      </c>
      <c r="V25" s="215">
        <v>19.0</v>
      </c>
      <c r="W25" s="215"/>
      <c r="X25" s="215"/>
      <c r="Y25" s="215"/>
      <c r="Z25" s="215"/>
      <c r="AA25" s="217"/>
      <c r="AB25" s="218">
        <v>42.0</v>
      </c>
      <c r="AC25" s="219">
        <v>33.0</v>
      </c>
      <c r="AD25" s="129" t="e">
        <v>#N/A</v>
      </c>
      <c r="AE25" s="129">
        <v>0.0</v>
      </c>
      <c r="AF25" s="129"/>
      <c r="AG25" s="129"/>
      <c r="AH25" s="129"/>
      <c r="AI25" s="129"/>
    </row>
    <row r="26">
      <c r="B26" s="15" t="s">
        <v>4885</v>
      </c>
      <c r="C26" s="220" t="s">
        <v>1504</v>
      </c>
      <c r="D26" s="627" t="s">
        <v>4889</v>
      </c>
      <c r="E26" s="628" t="str">
        <f>VLOOKUP(C26,USN!$1:$1088,2,False)</f>
        <v>1CR23IS157</v>
      </c>
      <c r="F26" s="222">
        <v>7.022789748E9</v>
      </c>
      <c r="G26" s="222" t="s">
        <v>3706</v>
      </c>
      <c r="H26" s="88"/>
      <c r="I26" s="223">
        <v>70.0</v>
      </c>
      <c r="J26" s="211">
        <v>74.0</v>
      </c>
      <c r="K26" s="211">
        <f>VLOOKUP(E26,'L3'!$1:$2060,2,False)</f>
        <v>0</v>
      </c>
      <c r="L26" s="211">
        <f>VLOOKUP(E26,'L4'!$1:$2059,2,False)</f>
        <v>0</v>
      </c>
      <c r="M26" s="212">
        <f>vlookup(E26,Sheet24!$1:$1000,2,false)</f>
        <v>22</v>
      </c>
      <c r="N26" s="213">
        <v>0.0</v>
      </c>
      <c r="O26" s="212"/>
      <c r="P26" s="212"/>
      <c r="Q26" s="214">
        <f>IFNA(VLOOKUP(C26,'S1'!$1:$1000,2,False),0)</f>
        <v>0</v>
      </c>
      <c r="R26" s="214">
        <f>vlookup(E26,'S2'!A157:B1359,2,0)</f>
        <v>0</v>
      </c>
      <c r="S26" s="214"/>
      <c r="T26" s="214"/>
      <c r="U26" s="215">
        <v>16.0</v>
      </c>
      <c r="V26" s="215">
        <v>21.0</v>
      </c>
      <c r="W26" s="215"/>
      <c r="X26" s="215"/>
      <c r="Y26" s="215"/>
      <c r="Z26" s="215"/>
      <c r="AA26" s="217"/>
      <c r="AB26" s="218">
        <v>14.0</v>
      </c>
      <c r="AC26" s="219">
        <v>37.0</v>
      </c>
      <c r="AD26" s="129" t="e">
        <v>#N/A</v>
      </c>
      <c r="AE26" s="129">
        <v>0.0</v>
      </c>
      <c r="AF26" s="129"/>
      <c r="AG26" s="129"/>
      <c r="AH26" s="129"/>
      <c r="AI26" s="129"/>
    </row>
    <row r="27">
      <c r="B27" s="15" t="s">
        <v>4885</v>
      </c>
      <c r="C27" s="220" t="s">
        <v>1520</v>
      </c>
      <c r="D27" s="627" t="s">
        <v>4890</v>
      </c>
      <c r="E27" s="628" t="str">
        <f>VLOOKUP(C27,USN!$1:$1088,2,False)</f>
        <v>1CR23IS194</v>
      </c>
      <c r="F27" s="222">
        <v>7.903515289E9</v>
      </c>
      <c r="G27" s="222" t="s">
        <v>3706</v>
      </c>
      <c r="H27" s="88"/>
      <c r="I27" s="223">
        <v>62.0</v>
      </c>
      <c r="J27" s="211">
        <v>41.0</v>
      </c>
      <c r="K27" s="211">
        <f>VLOOKUP(E27,'L3'!$1:$2060,2,False)</f>
        <v>0</v>
      </c>
      <c r="L27" s="211">
        <f>VLOOKUP(E27,'L4'!$1:$2059,2,False)</f>
        <v>0</v>
      </c>
      <c r="M27" s="212">
        <f>vlookup(E27,Sheet24!$1:$1000,2,false)</f>
        <v>11</v>
      </c>
      <c r="N27" s="213">
        <v>0.0</v>
      </c>
      <c r="O27" s="212"/>
      <c r="P27" s="212"/>
      <c r="Q27" s="214">
        <f>IFNA(VLOOKUP(C27,'S1'!$1:$1000,2,False),0)</f>
        <v>0</v>
      </c>
      <c r="R27" s="214">
        <f>vlookup(E27,'S2'!A194:B1396,2,0)</f>
        <v>0</v>
      </c>
      <c r="S27" s="214"/>
      <c r="T27" s="214"/>
      <c r="U27" s="215">
        <v>14.0</v>
      </c>
      <c r="V27" s="215">
        <v>11.0</v>
      </c>
      <c r="W27" s="215"/>
      <c r="X27" s="215"/>
      <c r="Y27" s="215"/>
      <c r="Z27" s="215"/>
      <c r="AA27" s="217"/>
      <c r="AB27" s="218">
        <v>0.0</v>
      </c>
      <c r="AC27" s="629">
        <v>35.0</v>
      </c>
      <c r="AD27" s="129" t="e">
        <v>#N/A</v>
      </c>
      <c r="AE27" s="129">
        <v>0.0</v>
      </c>
      <c r="AF27" s="129"/>
      <c r="AG27" s="129"/>
      <c r="AH27" s="129"/>
      <c r="AI27" s="129"/>
    </row>
    <row r="28">
      <c r="B28" s="15" t="s">
        <v>4885</v>
      </c>
      <c r="C28" s="220" t="s">
        <v>1528</v>
      </c>
      <c r="D28" s="627" t="s">
        <v>4891</v>
      </c>
      <c r="E28" s="628" t="str">
        <f>VLOOKUP(C28,USN!$1:$1088,2,False)</f>
        <v>1CR23IS198</v>
      </c>
      <c r="F28" s="222">
        <v>7.338373076E9</v>
      </c>
      <c r="G28" s="222" t="s">
        <v>3706</v>
      </c>
      <c r="H28" s="88"/>
      <c r="I28" s="211"/>
      <c r="J28" s="211">
        <v>0.0</v>
      </c>
      <c r="K28" s="211">
        <f>VLOOKUP(E28,'L3'!$1:$2060,2,False)</f>
        <v>0</v>
      </c>
      <c r="L28" s="211">
        <f>VLOOKUP(E28,'L4'!$1:$2059,2,False)</f>
        <v>0</v>
      </c>
      <c r="M28" s="212">
        <f>vlookup(E28,Sheet24!$1:$1000,2,false)</f>
        <v>0</v>
      </c>
      <c r="N28" s="213">
        <v>0.0</v>
      </c>
      <c r="O28" s="212"/>
      <c r="P28" s="212"/>
      <c r="Q28" s="214">
        <f>IFNA(VLOOKUP(C28,'S1'!$1:$1000,2,False),0)</f>
        <v>0</v>
      </c>
      <c r="R28" s="214">
        <f>vlookup(E28,'S2'!A198:B1400,2,0)</f>
        <v>0</v>
      </c>
      <c r="S28" s="214"/>
      <c r="T28" s="214"/>
      <c r="U28" s="215" t="s">
        <v>2477</v>
      </c>
      <c r="V28" s="215" t="s">
        <v>2477</v>
      </c>
      <c r="W28" s="215"/>
      <c r="X28" s="215"/>
      <c r="Y28" s="215"/>
      <c r="Z28" s="215"/>
      <c r="AA28" s="217"/>
      <c r="AB28" s="630">
        <v>0.0</v>
      </c>
      <c r="AC28" s="219">
        <v>0.0</v>
      </c>
      <c r="AD28" s="129" t="e">
        <v>#N/A</v>
      </c>
      <c r="AE28" s="129">
        <v>0.0</v>
      </c>
      <c r="AF28" s="129"/>
      <c r="AG28" s="129"/>
      <c r="AH28" s="129"/>
      <c r="AI28" s="129"/>
    </row>
    <row r="29">
      <c r="B29" s="15" t="s">
        <v>4885</v>
      </c>
      <c r="C29" s="220" t="s">
        <v>1443</v>
      </c>
      <c r="D29" s="627" t="s">
        <v>4892</v>
      </c>
      <c r="E29" s="628" t="str">
        <f>VLOOKUP(C29,USN!$1:$1088,2,False)</f>
        <v>1CR23IS100</v>
      </c>
      <c r="F29" s="222">
        <v>9.03533728E9</v>
      </c>
      <c r="G29" s="222" t="s">
        <v>3706</v>
      </c>
      <c r="H29" s="88"/>
      <c r="I29" s="223">
        <v>67.0</v>
      </c>
      <c r="J29" s="211">
        <v>75.0</v>
      </c>
      <c r="K29" s="211">
        <f>VLOOKUP(E29,'L3'!$1:$2060,2,False)</f>
        <v>12</v>
      </c>
      <c r="L29" s="211">
        <f>VLOOKUP(E29,'L4'!$1:$2059,2,False)</f>
        <v>2</v>
      </c>
      <c r="M29" s="212">
        <f>vlookup(E29,Sheet24!$1:$1000,2,false)</f>
        <v>6</v>
      </c>
      <c r="N29" s="213">
        <v>0.0</v>
      </c>
      <c r="O29" s="212"/>
      <c r="P29" s="212"/>
      <c r="Q29" s="214">
        <f>IFNA(VLOOKUP(C29,'S1'!$1:$1000,2,False),0)</f>
        <v>0</v>
      </c>
      <c r="R29" s="214">
        <f>vlookup(E29,'S2'!A100:B1302,2,0)</f>
        <v>0</v>
      </c>
      <c r="S29" s="214"/>
      <c r="T29" s="214"/>
      <c r="U29" s="215">
        <v>19.0</v>
      </c>
      <c r="V29" s="215">
        <v>21.0</v>
      </c>
      <c r="W29" s="215"/>
      <c r="X29" s="215"/>
      <c r="Y29" s="215"/>
      <c r="Z29" s="215"/>
      <c r="AA29" s="217"/>
      <c r="AB29" s="218">
        <v>10.0</v>
      </c>
      <c r="AC29" s="219">
        <v>15.0</v>
      </c>
      <c r="AD29" s="129">
        <v>0.0</v>
      </c>
      <c r="AE29" s="129">
        <v>0.0</v>
      </c>
      <c r="AF29" s="129"/>
      <c r="AG29" s="129"/>
      <c r="AH29" s="129"/>
      <c r="AI29" s="129"/>
    </row>
    <row r="30">
      <c r="B30" s="15" t="s">
        <v>4885</v>
      </c>
      <c r="C30" s="220" t="s">
        <v>1451</v>
      </c>
      <c r="D30" s="627" t="s">
        <v>4893</v>
      </c>
      <c r="E30" s="628" t="str">
        <f>VLOOKUP(C30,USN!$1:$1088,2,False)</f>
        <v>1CR23IS114</v>
      </c>
      <c r="F30" s="222">
        <v>7.019822837E9</v>
      </c>
      <c r="G30" s="222" t="s">
        <v>3706</v>
      </c>
      <c r="H30" s="88"/>
      <c r="I30" s="210">
        <v>77.0</v>
      </c>
      <c r="J30" s="211">
        <v>86.0</v>
      </c>
      <c r="K30" s="211">
        <f>VLOOKUP(E30,'L3'!$1:$2060,2,False)</f>
        <v>13</v>
      </c>
      <c r="L30" s="211">
        <f>VLOOKUP(E30,'L4'!$1:$2059,2,False)</f>
        <v>0</v>
      </c>
      <c r="M30" s="212">
        <f>vlookup(E30,Sheet24!$1:$1000,2,false)</f>
        <v>47</v>
      </c>
      <c r="N30" s="213">
        <v>0.0</v>
      </c>
      <c r="O30" s="212"/>
      <c r="P30" s="212"/>
      <c r="Q30" s="214">
        <f>IFNA(VLOOKUP(C30,'S1'!$1:$1000,2,False),0)</f>
        <v>0</v>
      </c>
      <c r="R30" s="214">
        <f>vlookup(E30,'S2'!A114:B1316,2,0)</f>
        <v>0</v>
      </c>
      <c r="S30" s="214"/>
      <c r="T30" s="214"/>
      <c r="U30" s="215">
        <v>16.0</v>
      </c>
      <c r="V30" s="215">
        <v>22.0</v>
      </c>
      <c r="W30" s="215">
        <v>46.0</v>
      </c>
      <c r="X30" s="215"/>
      <c r="Y30" s="215"/>
      <c r="Z30" s="215"/>
      <c r="AA30" s="217"/>
      <c r="AB30" s="218">
        <v>74.0</v>
      </c>
      <c r="AC30" s="219">
        <v>71.0</v>
      </c>
      <c r="AD30" s="129">
        <v>0.0</v>
      </c>
      <c r="AE30" s="129">
        <v>0.0</v>
      </c>
      <c r="AF30" s="129"/>
      <c r="AG30" s="129"/>
      <c r="AH30" s="129"/>
      <c r="AI30" s="129"/>
    </row>
    <row r="32">
      <c r="A32" s="15" t="s">
        <v>3742</v>
      </c>
    </row>
    <row r="33">
      <c r="C33" s="284">
        <v>22.0</v>
      </c>
      <c r="D33" s="631" t="s">
        <v>2109</v>
      </c>
      <c r="E33" s="632" t="s">
        <v>3027</v>
      </c>
      <c r="F33" s="286" t="s">
        <v>1217</v>
      </c>
      <c r="G33" s="633">
        <v>9.880192073E9</v>
      </c>
      <c r="H33" s="633" t="s">
        <v>3743</v>
      </c>
      <c r="I33" s="88"/>
      <c r="J33" s="634">
        <v>82.0</v>
      </c>
      <c r="K33" s="258">
        <v>84.0</v>
      </c>
      <c r="L33" s="211">
        <v>0.0</v>
      </c>
      <c r="M33" s="211">
        <v>0.0</v>
      </c>
      <c r="N33" s="212">
        <v>40.0</v>
      </c>
      <c r="O33" s="213">
        <v>0.0</v>
      </c>
      <c r="P33" s="212"/>
      <c r="Q33" s="212"/>
      <c r="R33" s="214">
        <v>78.0</v>
      </c>
      <c r="S33" s="214">
        <v>0.0</v>
      </c>
      <c r="T33" s="214"/>
      <c r="U33" s="214"/>
      <c r="V33" s="635">
        <v>10.0</v>
      </c>
      <c r="W33" s="215">
        <v>19.0</v>
      </c>
      <c r="X33" s="215" t="s">
        <v>3716</v>
      </c>
      <c r="Y33" s="636" t="s">
        <v>3716</v>
      </c>
      <c r="Z33" s="215"/>
      <c r="AA33" s="215"/>
      <c r="AB33" s="217"/>
      <c r="AC33" s="637"/>
      <c r="AD33" s="638">
        <v>64.0</v>
      </c>
      <c r="AE33" s="639" t="e">
        <v>#N/A</v>
      </c>
      <c r="AF33" s="129">
        <v>0.0</v>
      </c>
      <c r="AG33" s="129"/>
      <c r="AH33" s="481"/>
      <c r="AI33" s="129"/>
      <c r="AJ33" s="481"/>
      <c r="AK33" s="88"/>
      <c r="AL33" s="132">
        <v>2.0</v>
      </c>
      <c r="AM33" s="132">
        <v>0.0</v>
      </c>
      <c r="AN33" s="133">
        <v>3.0</v>
      </c>
      <c r="AO33" s="132" t="e">
        <v>#N/A</v>
      </c>
      <c r="AP33" s="132">
        <v>1.0</v>
      </c>
      <c r="AQ33" s="88"/>
    </row>
    <row r="34">
      <c r="C34" s="15">
        <v>32.0</v>
      </c>
      <c r="D34" s="622" t="s">
        <v>2114</v>
      </c>
      <c r="E34" s="622" t="s">
        <v>3038</v>
      </c>
      <c r="F34" s="622" t="s">
        <v>1227</v>
      </c>
      <c r="G34" s="622">
        <v>7.339671712E9</v>
      </c>
      <c r="H34" s="622" t="s">
        <v>3743</v>
      </c>
      <c r="J34" s="622">
        <v>71.0</v>
      </c>
      <c r="K34" s="622">
        <v>82.0</v>
      </c>
      <c r="L34" s="15">
        <v>0.0</v>
      </c>
      <c r="M34" s="15">
        <v>0.0</v>
      </c>
      <c r="N34" s="15">
        <v>34.0</v>
      </c>
      <c r="O34" s="624">
        <v>0.0</v>
      </c>
      <c r="P34" s="15"/>
      <c r="Q34" s="15"/>
      <c r="R34" s="15">
        <v>0.0</v>
      </c>
      <c r="S34" s="15">
        <v>0.0</v>
      </c>
      <c r="T34" s="15"/>
      <c r="U34" s="15"/>
      <c r="V34" s="15">
        <v>11.0</v>
      </c>
      <c r="W34" s="15">
        <v>18.0</v>
      </c>
      <c r="X34" s="15" t="s">
        <v>3716</v>
      </c>
      <c r="Y34" s="15" t="s">
        <v>3716</v>
      </c>
      <c r="Z34" s="15"/>
      <c r="AA34" s="15"/>
      <c r="AC34" s="15"/>
      <c r="AD34" s="15">
        <v>83.0</v>
      </c>
      <c r="AE34" s="15" t="e">
        <v>#N/A</v>
      </c>
      <c r="AF34" s="15">
        <v>0.0</v>
      </c>
      <c r="AG34" s="15"/>
      <c r="AI34" s="15"/>
      <c r="AL34" s="16">
        <v>2.0</v>
      </c>
      <c r="AM34" s="16">
        <v>0.0</v>
      </c>
      <c r="AN34" s="16">
        <v>3.0</v>
      </c>
      <c r="AO34" s="16" t="e">
        <v>#N/A</v>
      </c>
      <c r="AP34" s="16">
        <v>0.0</v>
      </c>
    </row>
    <row r="35">
      <c r="C35" s="15">
        <v>45.0</v>
      </c>
      <c r="D35" s="622" t="s">
        <v>2126</v>
      </c>
      <c r="E35" s="622" t="s">
        <v>3051</v>
      </c>
      <c r="F35" s="622" t="s">
        <v>1240</v>
      </c>
      <c r="G35" s="622">
        <v>6.362467887E9</v>
      </c>
      <c r="H35" s="622" t="s">
        <v>3743</v>
      </c>
      <c r="J35" s="622">
        <v>77.0</v>
      </c>
      <c r="K35" s="622">
        <v>65.0</v>
      </c>
      <c r="L35" s="15">
        <v>0.0</v>
      </c>
      <c r="M35" s="15">
        <v>0.0</v>
      </c>
      <c r="N35" s="15">
        <v>5.0</v>
      </c>
      <c r="O35" s="624">
        <v>0.0</v>
      </c>
      <c r="P35" s="15"/>
      <c r="Q35" s="15"/>
      <c r="R35" s="15">
        <v>0.0</v>
      </c>
      <c r="S35" s="15">
        <v>0.0</v>
      </c>
      <c r="T35" s="15"/>
      <c r="U35" s="15"/>
      <c r="V35" s="15">
        <v>10.0</v>
      </c>
      <c r="W35" s="15">
        <v>13.0</v>
      </c>
      <c r="X35" s="15" t="s">
        <v>3716</v>
      </c>
      <c r="Y35" s="15" t="s">
        <v>3716</v>
      </c>
      <c r="Z35" s="15"/>
      <c r="AA35" s="15"/>
      <c r="AC35" s="15"/>
      <c r="AD35" s="15">
        <v>60.0</v>
      </c>
      <c r="AE35" s="15">
        <v>0.0</v>
      </c>
      <c r="AF35" s="15">
        <v>0.0</v>
      </c>
      <c r="AG35" s="15"/>
      <c r="AI35" s="15"/>
      <c r="AL35" s="16">
        <v>2.0</v>
      </c>
      <c r="AM35" s="16">
        <v>0.0</v>
      </c>
      <c r="AN35" s="16">
        <v>3.0</v>
      </c>
      <c r="AO35" s="16" t="s">
        <v>4883</v>
      </c>
      <c r="AP35" s="16">
        <v>0.0</v>
      </c>
    </row>
    <row r="36">
      <c r="C36" s="15">
        <v>54.0</v>
      </c>
      <c r="D36" s="622" t="s">
        <v>2154</v>
      </c>
      <c r="E36" s="622" t="s">
        <v>3060</v>
      </c>
      <c r="F36" s="622" t="s">
        <v>862</v>
      </c>
      <c r="G36" s="622">
        <v>9.731276655E9</v>
      </c>
      <c r="H36" s="622" t="s">
        <v>3743</v>
      </c>
      <c r="J36" s="622">
        <v>82.0</v>
      </c>
      <c r="K36" s="622">
        <v>79.0</v>
      </c>
      <c r="L36" s="15">
        <v>42.0</v>
      </c>
      <c r="M36" s="15">
        <v>0.0</v>
      </c>
      <c r="N36" s="15">
        <v>6.0</v>
      </c>
      <c r="O36" s="624">
        <v>0.0</v>
      </c>
      <c r="P36" s="15"/>
      <c r="Q36" s="15"/>
      <c r="R36" s="15">
        <v>78.0</v>
      </c>
      <c r="S36" s="15">
        <v>0.0</v>
      </c>
      <c r="T36" s="15"/>
      <c r="U36" s="15"/>
      <c r="V36" s="15">
        <v>11.0</v>
      </c>
      <c r="W36" s="15">
        <v>15.0</v>
      </c>
      <c r="X36" s="15" t="s">
        <v>3716</v>
      </c>
      <c r="Y36" s="15" t="s">
        <v>3716</v>
      </c>
      <c r="Z36" s="15"/>
      <c r="AA36" s="15"/>
      <c r="AC36" s="15"/>
      <c r="AD36" s="15">
        <v>93.0</v>
      </c>
      <c r="AE36" s="15" t="e">
        <v>#N/A</v>
      </c>
      <c r="AF36" s="15">
        <v>60.0</v>
      </c>
      <c r="AG36" s="15"/>
      <c r="AI36" s="15"/>
      <c r="AL36" s="16">
        <v>2.0</v>
      </c>
      <c r="AM36" s="16">
        <v>0.0</v>
      </c>
      <c r="AN36" s="16">
        <v>3.0</v>
      </c>
      <c r="AO36" s="16" t="e">
        <v>#N/A</v>
      </c>
      <c r="AP36" s="16">
        <v>1.0</v>
      </c>
    </row>
    <row r="37">
      <c r="C37" s="15">
        <v>56.0</v>
      </c>
      <c r="D37" s="622" t="s">
        <v>2134</v>
      </c>
      <c r="E37" s="622" t="s">
        <v>3062</v>
      </c>
      <c r="F37" s="622" t="s">
        <v>1251</v>
      </c>
      <c r="G37" s="622">
        <v>8.792848421E9</v>
      </c>
      <c r="H37" s="622" t="s">
        <v>3743</v>
      </c>
      <c r="J37" s="622">
        <v>72.0</v>
      </c>
      <c r="K37" s="622">
        <v>79.0</v>
      </c>
      <c r="L37" s="15">
        <v>59.0</v>
      </c>
      <c r="M37" s="15">
        <v>14.0</v>
      </c>
      <c r="N37" s="15">
        <v>25.0</v>
      </c>
      <c r="O37" s="624">
        <v>0.0</v>
      </c>
      <c r="P37" s="15"/>
      <c r="Q37" s="15"/>
      <c r="R37" s="15">
        <v>0.0</v>
      </c>
      <c r="S37" s="15">
        <v>0.0</v>
      </c>
      <c r="T37" s="15"/>
      <c r="U37" s="15"/>
      <c r="V37" s="15">
        <v>10.0</v>
      </c>
      <c r="W37" s="15">
        <v>19.0</v>
      </c>
      <c r="X37" s="15">
        <v>62.0</v>
      </c>
      <c r="Y37" s="15" t="s">
        <v>3716</v>
      </c>
      <c r="Z37" s="15"/>
      <c r="AA37" s="15"/>
      <c r="AC37" s="15"/>
      <c r="AD37" s="15">
        <v>50.0</v>
      </c>
      <c r="AE37" s="15">
        <v>0.0</v>
      </c>
      <c r="AF37" s="15">
        <v>0.0</v>
      </c>
      <c r="AG37" s="15"/>
      <c r="AI37" s="15"/>
      <c r="AL37" s="16">
        <v>2.0</v>
      </c>
      <c r="AM37" s="16">
        <v>0.0</v>
      </c>
      <c r="AN37" s="16">
        <v>3.0</v>
      </c>
      <c r="AO37" s="16" t="s">
        <v>4883</v>
      </c>
      <c r="AP37" s="16">
        <v>0.0</v>
      </c>
    </row>
    <row r="39">
      <c r="A39" s="640" t="s">
        <v>3736</v>
      </c>
    </row>
    <row r="40">
      <c r="A40" s="15">
        <v>8.0</v>
      </c>
      <c r="B40" s="622" t="s">
        <v>2167</v>
      </c>
      <c r="C40" s="622" t="s">
        <v>3171</v>
      </c>
      <c r="D40" s="622" t="s">
        <v>388</v>
      </c>
      <c r="E40" s="622">
        <v>9.980613392E9</v>
      </c>
      <c r="F40" s="622" t="s">
        <v>3736</v>
      </c>
      <c r="H40" s="622">
        <v>79.0</v>
      </c>
      <c r="I40" s="622">
        <v>83.0</v>
      </c>
      <c r="J40" s="15">
        <v>38.0</v>
      </c>
      <c r="K40" s="15">
        <v>0.0</v>
      </c>
      <c r="L40" s="15">
        <v>62.0</v>
      </c>
      <c r="M40" s="15">
        <v>0.0</v>
      </c>
      <c r="N40" s="15"/>
      <c r="O40" s="15"/>
      <c r="P40" s="15">
        <v>70.0</v>
      </c>
      <c r="Q40" s="15">
        <v>0.0</v>
      </c>
      <c r="R40" s="15"/>
      <c r="S40" s="15"/>
      <c r="T40" s="15">
        <v>15.0</v>
      </c>
      <c r="U40" s="15">
        <v>15.0</v>
      </c>
      <c r="V40" s="15">
        <v>0.0</v>
      </c>
      <c r="W40" s="15"/>
      <c r="X40" s="15"/>
      <c r="Y40" s="15"/>
      <c r="AA40" s="15"/>
      <c r="AB40" s="15">
        <v>100.0</v>
      </c>
      <c r="AC40" s="15">
        <v>0.0</v>
      </c>
      <c r="AD40" s="15"/>
      <c r="AE40" s="15"/>
      <c r="AG40" s="15"/>
      <c r="AJ40" s="16">
        <v>2.0</v>
      </c>
      <c r="AK40" s="16">
        <v>1.0</v>
      </c>
      <c r="AL40" s="16">
        <v>2.0</v>
      </c>
      <c r="AM40" s="16" t="s">
        <v>4883</v>
      </c>
      <c r="AN40" s="16">
        <v>1.0</v>
      </c>
    </row>
    <row r="41">
      <c r="A41" s="15">
        <v>54.0</v>
      </c>
      <c r="B41" s="622" t="s">
        <v>2283</v>
      </c>
      <c r="C41" s="622" t="s">
        <v>3216</v>
      </c>
      <c r="D41" s="622" t="s">
        <v>434</v>
      </c>
      <c r="E41" s="622">
        <v>9.482441685E9</v>
      </c>
      <c r="F41" s="622" t="s">
        <v>3736</v>
      </c>
      <c r="G41" s="15" t="s">
        <v>4894</v>
      </c>
      <c r="H41" s="622">
        <v>70.0</v>
      </c>
      <c r="I41" s="622">
        <v>64.0</v>
      </c>
      <c r="J41" s="15">
        <v>12.0</v>
      </c>
      <c r="K41" s="15">
        <v>20.0</v>
      </c>
      <c r="L41" s="15">
        <v>5.0</v>
      </c>
      <c r="M41" s="15">
        <v>15.0</v>
      </c>
      <c r="N41" s="15"/>
      <c r="O41" s="15"/>
      <c r="P41" s="15">
        <v>0.0</v>
      </c>
      <c r="Q41" s="15">
        <v>0.0</v>
      </c>
      <c r="R41" s="15"/>
      <c r="S41" s="15"/>
      <c r="T41" s="15">
        <v>12.0</v>
      </c>
      <c r="U41" s="15" t="s">
        <v>2477</v>
      </c>
      <c r="V41" s="15">
        <v>28.0</v>
      </c>
      <c r="W41" s="15"/>
      <c r="X41" s="15"/>
      <c r="Y41" s="15"/>
      <c r="AA41" s="15"/>
      <c r="AB41" s="15">
        <v>10.0</v>
      </c>
      <c r="AC41" s="15">
        <v>0.0</v>
      </c>
      <c r="AD41" s="15"/>
      <c r="AE41" s="15"/>
      <c r="AG41" s="15"/>
      <c r="AJ41" s="16">
        <v>1.0</v>
      </c>
      <c r="AK41" s="16">
        <v>0.0</v>
      </c>
      <c r="AL41" s="16">
        <v>2.0</v>
      </c>
      <c r="AM41" s="16" t="s">
        <v>4875</v>
      </c>
      <c r="AN41" s="16">
        <v>0.0</v>
      </c>
    </row>
    <row r="42">
      <c r="A42" s="15">
        <v>95.0</v>
      </c>
      <c r="B42" s="622" t="s">
        <v>2263</v>
      </c>
      <c r="C42" s="622" t="s">
        <v>3073</v>
      </c>
      <c r="D42" s="622" t="s">
        <v>475</v>
      </c>
      <c r="E42" s="622">
        <v>9.94580579E9</v>
      </c>
      <c r="F42" s="622" t="s">
        <v>3736</v>
      </c>
      <c r="H42" s="622">
        <v>80.0</v>
      </c>
      <c r="I42" s="622">
        <v>86.0</v>
      </c>
      <c r="J42" s="15">
        <v>40.0</v>
      </c>
      <c r="K42" s="15">
        <v>0.0</v>
      </c>
      <c r="L42" s="15">
        <v>50.0</v>
      </c>
      <c r="M42" s="15">
        <v>0.0</v>
      </c>
      <c r="N42" s="15"/>
      <c r="O42" s="15"/>
      <c r="P42" s="15">
        <v>75.0</v>
      </c>
      <c r="Q42" s="15">
        <v>0.0</v>
      </c>
      <c r="R42" s="15"/>
      <c r="S42" s="15"/>
      <c r="T42" s="15">
        <v>21.0</v>
      </c>
      <c r="U42" s="15">
        <v>20.0</v>
      </c>
      <c r="V42" s="15">
        <v>0.0</v>
      </c>
      <c r="W42" s="15"/>
      <c r="X42" s="15"/>
      <c r="Y42" s="15"/>
      <c r="AA42" s="15"/>
      <c r="AB42" s="15">
        <v>100.0</v>
      </c>
      <c r="AC42" s="15" t="e">
        <v>#N/A</v>
      </c>
      <c r="AD42" s="15"/>
      <c r="AE42" s="15"/>
      <c r="AG42" s="15"/>
      <c r="AJ42" s="16">
        <v>2.0</v>
      </c>
      <c r="AK42" s="16">
        <v>1.0</v>
      </c>
      <c r="AL42" s="16">
        <v>2.0</v>
      </c>
      <c r="AM42" s="16" t="e">
        <v>#N/A</v>
      </c>
      <c r="AN42" s="16">
        <v>1.0</v>
      </c>
    </row>
    <row r="43">
      <c r="A43" s="15">
        <v>111.0</v>
      </c>
      <c r="B43" s="622" t="s">
        <v>2274</v>
      </c>
      <c r="C43" s="622" t="s">
        <v>2867</v>
      </c>
      <c r="D43" s="622" t="s">
        <v>491</v>
      </c>
      <c r="E43" s="622">
        <v>9.945326848E9</v>
      </c>
      <c r="F43" s="622" t="s">
        <v>3736</v>
      </c>
      <c r="H43" s="622">
        <v>80.0</v>
      </c>
      <c r="I43" s="622">
        <v>81.0</v>
      </c>
      <c r="J43" s="15">
        <v>30.0</v>
      </c>
      <c r="K43" s="15">
        <v>0.0</v>
      </c>
      <c r="L43" s="15">
        <v>20.0</v>
      </c>
      <c r="M43" s="15">
        <v>0.0</v>
      </c>
      <c r="N43" s="15"/>
      <c r="O43" s="15"/>
      <c r="P43" s="15">
        <v>79.0</v>
      </c>
      <c r="Q43" s="15">
        <v>0.0</v>
      </c>
      <c r="R43" s="15"/>
      <c r="S43" s="15"/>
      <c r="T43" s="15">
        <v>14.0</v>
      </c>
      <c r="U43" s="15">
        <v>15.0</v>
      </c>
      <c r="V43" s="15">
        <v>0.0</v>
      </c>
      <c r="W43" s="15"/>
      <c r="X43" s="15"/>
      <c r="Y43" s="15"/>
      <c r="AA43" s="15"/>
      <c r="AB43" s="15">
        <v>93.0</v>
      </c>
      <c r="AC43" s="15" t="e">
        <v>#N/A</v>
      </c>
      <c r="AD43" s="15"/>
      <c r="AE43" s="15"/>
      <c r="AG43" s="15"/>
      <c r="AJ43" s="16">
        <v>2.0</v>
      </c>
      <c r="AK43" s="16">
        <v>0.0</v>
      </c>
      <c r="AL43" s="16">
        <v>2.0</v>
      </c>
      <c r="AM43" s="16" t="e">
        <v>#N/A</v>
      </c>
      <c r="AN43" s="16">
        <v>1.0</v>
      </c>
    </row>
    <row r="44">
      <c r="A44" s="15">
        <v>114.0</v>
      </c>
      <c r="B44" s="622" t="s">
        <v>2254</v>
      </c>
      <c r="C44" s="622" t="s">
        <v>3274</v>
      </c>
      <c r="D44" s="622" t="s">
        <v>494</v>
      </c>
      <c r="E44" s="622">
        <v>7.676264546E9</v>
      </c>
      <c r="F44" s="622" t="s">
        <v>3736</v>
      </c>
      <c r="G44" s="15" t="s">
        <v>4895</v>
      </c>
      <c r="H44" s="622">
        <v>70.0</v>
      </c>
      <c r="I44" s="622">
        <v>72.0</v>
      </c>
      <c r="J44" s="15">
        <v>0.0</v>
      </c>
      <c r="K44" s="15">
        <v>0.0</v>
      </c>
      <c r="L44" s="15">
        <v>0.0</v>
      </c>
      <c r="M44" s="15">
        <v>0.0</v>
      </c>
      <c r="N44" s="15"/>
      <c r="O44" s="15"/>
      <c r="P44" s="15">
        <v>0.0</v>
      </c>
      <c r="Q44" s="15">
        <v>0.0</v>
      </c>
      <c r="R44" s="15"/>
      <c r="S44" s="15"/>
      <c r="T44" s="15">
        <v>9.0</v>
      </c>
      <c r="U44" s="15">
        <v>8.0</v>
      </c>
      <c r="V44" s="15">
        <v>0.0</v>
      </c>
      <c r="W44" s="15"/>
      <c r="X44" s="15"/>
      <c r="Y44" s="15"/>
      <c r="AA44" s="15"/>
      <c r="AB44" s="15">
        <v>9.0</v>
      </c>
      <c r="AC44" s="15" t="e">
        <v>#N/A</v>
      </c>
      <c r="AD44" s="15"/>
      <c r="AE44" s="15"/>
      <c r="AG44" s="15"/>
      <c r="AJ44" s="16">
        <v>2.0</v>
      </c>
      <c r="AK44" s="16">
        <v>0.0</v>
      </c>
      <c r="AL44" s="16">
        <v>0.0</v>
      </c>
      <c r="AM44" s="16" t="s">
        <v>4875</v>
      </c>
      <c r="AN44" s="16">
        <v>0.0</v>
      </c>
    </row>
    <row r="45">
      <c r="A45" s="15">
        <v>129.0</v>
      </c>
      <c r="B45" s="622" t="s">
        <v>2288</v>
      </c>
      <c r="C45" s="622" t="s">
        <v>3289</v>
      </c>
      <c r="D45" s="622" t="s">
        <v>509</v>
      </c>
      <c r="E45" s="622">
        <v>9.845582604E9</v>
      </c>
      <c r="F45" s="622" t="s">
        <v>3736</v>
      </c>
      <c r="G45" s="15" t="s">
        <v>4895</v>
      </c>
      <c r="H45" s="622">
        <v>82.0</v>
      </c>
      <c r="I45" s="622">
        <v>40.0</v>
      </c>
      <c r="J45" s="15">
        <v>5.5</v>
      </c>
      <c r="K45" s="15">
        <v>0.0</v>
      </c>
      <c r="L45" s="15">
        <v>42.0</v>
      </c>
      <c r="M45" s="15">
        <v>0.0</v>
      </c>
      <c r="N45" s="15"/>
      <c r="O45" s="15"/>
      <c r="P45" s="15">
        <v>0.0</v>
      </c>
      <c r="Q45" s="15">
        <v>0.0</v>
      </c>
      <c r="R45" s="15"/>
      <c r="S45" s="15"/>
      <c r="T45" s="15">
        <v>10.0</v>
      </c>
      <c r="U45" s="15">
        <v>13.0</v>
      </c>
      <c r="V45" s="15">
        <v>0.0</v>
      </c>
      <c r="W45" s="15"/>
      <c r="X45" s="15"/>
      <c r="Y45" s="15"/>
      <c r="AA45" s="15"/>
      <c r="AB45" s="15">
        <v>73.0</v>
      </c>
      <c r="AC45" s="15" t="e">
        <v>#N/A</v>
      </c>
      <c r="AD45" s="15"/>
      <c r="AE45" s="15"/>
      <c r="AG45" s="15"/>
      <c r="AJ45" s="16">
        <v>1.0</v>
      </c>
      <c r="AK45" s="16">
        <v>0.0</v>
      </c>
      <c r="AL45" s="16">
        <v>2.0</v>
      </c>
      <c r="AM45" s="16" t="e">
        <v>#N/A</v>
      </c>
      <c r="AN45" s="16">
        <v>0.0</v>
      </c>
    </row>
    <row r="46">
      <c r="A46" s="15">
        <v>139.0</v>
      </c>
      <c r="B46" s="622" t="s">
        <v>2295</v>
      </c>
      <c r="C46" s="622" t="s">
        <v>3299</v>
      </c>
      <c r="D46" s="622" t="s">
        <v>519</v>
      </c>
      <c r="E46" s="622">
        <v>7.739451555E9</v>
      </c>
      <c r="F46" s="622" t="s">
        <v>3736</v>
      </c>
      <c r="H46" s="622">
        <v>92.0</v>
      </c>
      <c r="I46" s="622">
        <v>94.0</v>
      </c>
      <c r="J46" s="15">
        <v>0.0</v>
      </c>
      <c r="K46" s="15">
        <v>0.0</v>
      </c>
      <c r="L46" s="15">
        <v>56.0</v>
      </c>
      <c r="M46" s="15">
        <v>0.0</v>
      </c>
      <c r="N46" s="15"/>
      <c r="O46" s="15"/>
      <c r="P46" s="15">
        <v>78.0</v>
      </c>
      <c r="Q46" s="15">
        <v>0.0</v>
      </c>
      <c r="R46" s="15"/>
      <c r="S46" s="15"/>
      <c r="T46" s="15">
        <v>18.0</v>
      </c>
      <c r="U46" s="15">
        <v>17.0</v>
      </c>
      <c r="V46" s="15">
        <v>0.0</v>
      </c>
      <c r="W46" s="15"/>
      <c r="X46" s="15"/>
      <c r="Y46" s="15"/>
      <c r="AA46" s="15"/>
      <c r="AB46" s="15">
        <v>100.0</v>
      </c>
      <c r="AC46" s="15" t="e">
        <v>#N/A</v>
      </c>
      <c r="AD46" s="15"/>
      <c r="AE46" s="15"/>
      <c r="AG46" s="15"/>
      <c r="AJ46" s="16">
        <v>2.0</v>
      </c>
      <c r="AK46" s="16">
        <v>1.0</v>
      </c>
      <c r="AL46" s="16">
        <v>2.0</v>
      </c>
      <c r="AM46" s="16" t="e">
        <v>#N/A</v>
      </c>
      <c r="AN46" s="16">
        <v>1.0</v>
      </c>
    </row>
    <row r="47">
      <c r="A47" s="15">
        <v>177.0</v>
      </c>
      <c r="B47" s="622" t="s">
        <v>2315</v>
      </c>
      <c r="C47" s="622" t="s">
        <v>3337</v>
      </c>
      <c r="D47" s="622" t="s">
        <v>557</v>
      </c>
      <c r="E47" s="622">
        <v>8.433998135E9</v>
      </c>
      <c r="F47" s="622" t="s">
        <v>3736</v>
      </c>
      <c r="H47" s="622">
        <v>83.0</v>
      </c>
      <c r="I47" s="622">
        <v>86.0</v>
      </c>
      <c r="J47" s="15">
        <v>18.0</v>
      </c>
      <c r="K47" s="15">
        <v>0.0</v>
      </c>
      <c r="L47" s="15">
        <v>72.0</v>
      </c>
      <c r="M47" s="15">
        <v>0.0</v>
      </c>
      <c r="N47" s="15"/>
      <c r="O47" s="15"/>
      <c r="P47" s="15">
        <v>75.0</v>
      </c>
      <c r="Q47" s="15">
        <v>0.0</v>
      </c>
      <c r="R47" s="15"/>
      <c r="S47" s="15"/>
      <c r="T47" s="15">
        <v>18.0</v>
      </c>
      <c r="U47" s="15">
        <v>11.0</v>
      </c>
      <c r="V47" s="15">
        <v>0.0</v>
      </c>
      <c r="W47" s="15"/>
      <c r="X47" s="15"/>
      <c r="Y47" s="15"/>
      <c r="AA47" s="15"/>
      <c r="AB47" s="15">
        <v>100.0</v>
      </c>
      <c r="AC47" s="15" t="e">
        <v>#N/A</v>
      </c>
      <c r="AD47" s="15"/>
      <c r="AE47" s="15"/>
      <c r="AG47" s="15"/>
      <c r="AJ47" s="16">
        <v>2.0</v>
      </c>
      <c r="AK47" s="16">
        <v>1.0</v>
      </c>
      <c r="AL47" s="16">
        <v>2.0</v>
      </c>
      <c r="AM47" s="16" t="e">
        <v>#N/A</v>
      </c>
      <c r="AN47" s="16">
        <v>1.0</v>
      </c>
    </row>
    <row r="48">
      <c r="A48" s="15">
        <v>182.0</v>
      </c>
      <c r="B48" s="622" t="s">
        <v>2281</v>
      </c>
      <c r="C48" s="622" t="s">
        <v>3342</v>
      </c>
      <c r="D48" s="622" t="s">
        <v>562</v>
      </c>
      <c r="E48" s="622">
        <v>8.660330783E9</v>
      </c>
      <c r="F48" s="622" t="s">
        <v>3736</v>
      </c>
      <c r="H48" s="622">
        <v>88.0</v>
      </c>
      <c r="I48" s="622">
        <v>89.0</v>
      </c>
      <c r="J48" s="15">
        <v>81.0</v>
      </c>
      <c r="K48" s="15">
        <v>0.0</v>
      </c>
      <c r="L48" s="15">
        <v>50.0</v>
      </c>
      <c r="M48" s="15">
        <v>0.0</v>
      </c>
      <c r="N48" s="15"/>
      <c r="O48" s="15"/>
      <c r="P48" s="15">
        <v>0.0</v>
      </c>
      <c r="Q48" s="15">
        <v>0.0</v>
      </c>
      <c r="R48" s="15"/>
      <c r="S48" s="15"/>
      <c r="T48" s="15">
        <v>18.0</v>
      </c>
      <c r="U48" s="15">
        <v>17.0</v>
      </c>
      <c r="V48" s="15">
        <v>0.0</v>
      </c>
      <c r="W48" s="15"/>
      <c r="X48" s="15"/>
      <c r="Y48" s="15"/>
      <c r="AA48" s="15"/>
      <c r="AB48" s="15">
        <v>100.0</v>
      </c>
      <c r="AC48" s="15" t="e">
        <v>#N/A</v>
      </c>
      <c r="AD48" s="15"/>
      <c r="AE48" s="15"/>
      <c r="AG48" s="15"/>
      <c r="AJ48" s="16">
        <v>3.0</v>
      </c>
      <c r="AK48" s="16">
        <v>1.0</v>
      </c>
      <c r="AL48" s="16">
        <v>2.0</v>
      </c>
      <c r="AM48" s="16" t="e">
        <v>#N/A</v>
      </c>
      <c r="AN48" s="16">
        <v>0.0</v>
      </c>
    </row>
    <row r="49">
      <c r="A49" s="15">
        <v>191.0</v>
      </c>
      <c r="B49" s="622" t="s">
        <v>2346</v>
      </c>
      <c r="C49" s="622" t="s">
        <v>3075</v>
      </c>
      <c r="D49" s="622" t="s">
        <v>571</v>
      </c>
      <c r="E49" s="622">
        <v>8.210829896E9</v>
      </c>
      <c r="F49" s="622" t="s">
        <v>3736</v>
      </c>
      <c r="H49" s="622">
        <v>81.0</v>
      </c>
      <c r="I49" s="622">
        <v>80.0</v>
      </c>
      <c r="J49" s="15">
        <v>49.0</v>
      </c>
      <c r="K49" s="15">
        <v>0.0</v>
      </c>
      <c r="L49" s="15">
        <v>35.0</v>
      </c>
      <c r="M49" s="15">
        <v>20.0</v>
      </c>
      <c r="N49" s="15"/>
      <c r="O49" s="15"/>
      <c r="P49" s="15">
        <v>0.0</v>
      </c>
      <c r="Q49" s="15">
        <v>0.0</v>
      </c>
      <c r="R49" s="15"/>
      <c r="S49" s="15"/>
      <c r="T49" s="15">
        <v>14.0</v>
      </c>
      <c r="U49" s="15">
        <v>20.0</v>
      </c>
      <c r="V49" s="15">
        <v>0.0</v>
      </c>
      <c r="W49" s="15"/>
      <c r="X49" s="15"/>
      <c r="Y49" s="15"/>
      <c r="AA49" s="15"/>
      <c r="AB49" s="15">
        <v>68.0</v>
      </c>
      <c r="AC49" s="15" t="e">
        <v>#N/A</v>
      </c>
      <c r="AD49" s="15"/>
      <c r="AE49" s="15"/>
      <c r="AG49" s="15"/>
      <c r="AJ49" s="16">
        <v>2.0</v>
      </c>
      <c r="AK49" s="16">
        <v>0.0</v>
      </c>
      <c r="AL49" s="16">
        <v>2.0</v>
      </c>
      <c r="AM49" s="16" t="e">
        <v>#N/A</v>
      </c>
      <c r="AN49" s="16">
        <v>0.0</v>
      </c>
    </row>
    <row r="50">
      <c r="A50" s="15">
        <v>206.0</v>
      </c>
      <c r="B50" s="622" t="s">
        <v>2354</v>
      </c>
      <c r="C50" s="622" t="s">
        <v>3365</v>
      </c>
      <c r="D50" s="622" t="s">
        <v>586</v>
      </c>
      <c r="E50" s="622">
        <v>9.901588777E9</v>
      </c>
      <c r="F50" s="622" t="s">
        <v>3736</v>
      </c>
      <c r="H50" s="622">
        <v>86.0</v>
      </c>
      <c r="I50" s="622">
        <v>90.0</v>
      </c>
      <c r="J50" s="15">
        <v>45.0</v>
      </c>
      <c r="K50" s="15">
        <v>0.0</v>
      </c>
      <c r="L50" s="15">
        <v>47.0</v>
      </c>
      <c r="M50" s="15">
        <v>0.0</v>
      </c>
      <c r="N50" s="15"/>
      <c r="O50" s="15"/>
      <c r="P50" s="15">
        <v>0.0</v>
      </c>
      <c r="Q50" s="15">
        <v>0.0</v>
      </c>
      <c r="R50" s="15"/>
      <c r="S50" s="15"/>
      <c r="T50" s="15">
        <v>13.0</v>
      </c>
      <c r="U50" s="15">
        <v>15.0</v>
      </c>
      <c r="V50" s="15">
        <v>0.0</v>
      </c>
      <c r="W50" s="15"/>
      <c r="X50" s="15"/>
      <c r="Y50" s="15"/>
      <c r="AA50" s="15"/>
      <c r="AB50" s="15">
        <v>93.0</v>
      </c>
      <c r="AC50" s="15" t="e">
        <v>#N/A</v>
      </c>
      <c r="AD50" s="15"/>
      <c r="AE50" s="15"/>
      <c r="AG50" s="15"/>
      <c r="AJ50" s="16">
        <v>2.0</v>
      </c>
      <c r="AK50" s="16">
        <v>0.0</v>
      </c>
      <c r="AL50" s="16">
        <v>2.0</v>
      </c>
      <c r="AM50" s="16" t="e">
        <v>#N/A</v>
      </c>
      <c r="AN50" s="16">
        <v>0.0</v>
      </c>
    </row>
    <row r="51">
      <c r="A51" s="15">
        <v>214.0</v>
      </c>
      <c r="B51" s="622" t="s">
        <v>2358</v>
      </c>
      <c r="C51" s="622" t="s">
        <v>4896</v>
      </c>
      <c r="D51" s="622" t="s">
        <v>594</v>
      </c>
      <c r="E51" s="622">
        <v>9.395221233E9</v>
      </c>
      <c r="F51" s="622" t="s">
        <v>3736</v>
      </c>
      <c r="H51" s="622">
        <v>88.0</v>
      </c>
      <c r="I51" s="622">
        <v>90.0</v>
      </c>
      <c r="J51" s="15">
        <v>54.0</v>
      </c>
      <c r="K51" s="15">
        <v>0.0</v>
      </c>
      <c r="L51" s="15">
        <v>50.0</v>
      </c>
      <c r="M51" s="15">
        <v>0.0</v>
      </c>
      <c r="N51" s="15"/>
      <c r="O51" s="15"/>
      <c r="P51" s="15">
        <v>0.0</v>
      </c>
      <c r="Q51" s="15">
        <v>0.0</v>
      </c>
      <c r="R51" s="15"/>
      <c r="S51" s="15"/>
      <c r="T51" s="15">
        <v>18.0</v>
      </c>
      <c r="U51" s="15">
        <v>21.0</v>
      </c>
      <c r="V51" s="15">
        <v>0.0</v>
      </c>
      <c r="W51" s="15"/>
      <c r="X51" s="15"/>
      <c r="Y51" s="15"/>
      <c r="AA51" s="15"/>
      <c r="AB51" s="15">
        <v>95.0</v>
      </c>
      <c r="AC51" s="15" t="e">
        <v>#N/A</v>
      </c>
      <c r="AD51" s="15"/>
      <c r="AE51" s="15"/>
      <c r="AG51" s="15"/>
      <c r="AJ51" s="16">
        <v>2.0</v>
      </c>
      <c r="AK51" s="16">
        <v>1.0</v>
      </c>
      <c r="AL51" s="16">
        <v>2.0</v>
      </c>
      <c r="AM51" s="16" t="e">
        <v>#N/A</v>
      </c>
      <c r="AN51" s="16">
        <v>0.0</v>
      </c>
    </row>
    <row r="52">
      <c r="A52" s="16">
        <v>238.0</v>
      </c>
      <c r="B52" s="16" t="s">
        <v>2387</v>
      </c>
      <c r="C52" s="16" t="s">
        <v>3397</v>
      </c>
      <c r="D52" s="16" t="s">
        <v>618</v>
      </c>
      <c r="E52" s="16">
        <v>8.884552223E9</v>
      </c>
      <c r="F52" s="16" t="s">
        <v>3736</v>
      </c>
      <c r="G52" s="16" t="s">
        <v>4895</v>
      </c>
      <c r="H52" s="16">
        <v>72.0</v>
      </c>
      <c r="I52" s="16">
        <v>40.0</v>
      </c>
      <c r="J52" s="16">
        <v>0.0</v>
      </c>
      <c r="K52" s="16">
        <v>0.0</v>
      </c>
      <c r="L52" s="16">
        <v>36.0</v>
      </c>
      <c r="M52" s="16">
        <v>0.0</v>
      </c>
      <c r="P52" s="16">
        <v>0.0</v>
      </c>
      <c r="Q52" s="16">
        <v>0.0</v>
      </c>
      <c r="T52" s="16">
        <v>16.0</v>
      </c>
      <c r="U52" s="16">
        <v>13.0</v>
      </c>
      <c r="V52" s="16">
        <v>0.0</v>
      </c>
      <c r="AB52" s="16">
        <v>90.0</v>
      </c>
      <c r="AC52" s="16" t="e">
        <v>#N/A</v>
      </c>
      <c r="AJ52" s="16">
        <v>1.0</v>
      </c>
      <c r="AK52" s="16">
        <v>0.0</v>
      </c>
      <c r="AL52" s="16">
        <v>2.0</v>
      </c>
      <c r="AM52" s="16" t="e">
        <v>#N/A</v>
      </c>
      <c r="AN52" s="16">
        <v>0.0</v>
      </c>
    </row>
    <row r="53">
      <c r="A53" s="15">
        <v>241.0</v>
      </c>
      <c r="B53" s="622" t="s">
        <v>2212</v>
      </c>
      <c r="C53" s="622" t="s">
        <v>3400</v>
      </c>
      <c r="D53" s="622" t="s">
        <v>621</v>
      </c>
      <c r="E53" s="622">
        <v>8.431929706E9</v>
      </c>
      <c r="F53" s="622" t="s">
        <v>3736</v>
      </c>
      <c r="G53" s="15" t="s">
        <v>4895</v>
      </c>
      <c r="H53" s="622">
        <v>76.0</v>
      </c>
      <c r="I53" s="622">
        <v>81.0</v>
      </c>
      <c r="J53" s="15">
        <v>0.0</v>
      </c>
      <c r="K53" s="15">
        <v>0.0</v>
      </c>
      <c r="L53" s="15">
        <v>51.0</v>
      </c>
      <c r="M53" s="15">
        <v>0.0</v>
      </c>
      <c r="N53" s="15"/>
      <c r="O53" s="15"/>
      <c r="P53" s="15">
        <v>0.0</v>
      </c>
      <c r="Q53" s="15">
        <v>0.0</v>
      </c>
      <c r="R53" s="15"/>
      <c r="S53" s="15"/>
      <c r="T53" s="15">
        <v>19.0</v>
      </c>
      <c r="U53" s="15">
        <v>17.0</v>
      </c>
      <c r="V53" s="15">
        <v>0.0</v>
      </c>
      <c r="W53" s="15"/>
      <c r="X53" s="15"/>
      <c r="Y53" s="15"/>
      <c r="AA53" s="15"/>
      <c r="AB53" s="15">
        <v>78.0</v>
      </c>
      <c r="AC53" s="15" t="e">
        <v>#N/A</v>
      </c>
      <c r="AD53" s="15"/>
      <c r="AE53" s="15"/>
      <c r="AG53" s="15"/>
      <c r="AJ53" s="16">
        <v>2.0</v>
      </c>
      <c r="AK53" s="16">
        <v>1.0</v>
      </c>
      <c r="AL53" s="16">
        <v>2.0</v>
      </c>
      <c r="AM53" s="16" t="e">
        <v>#N/A</v>
      </c>
      <c r="AN53" s="16">
        <v>0.0</v>
      </c>
    </row>
    <row r="54">
      <c r="A54" s="15">
        <v>252.0</v>
      </c>
      <c r="B54" s="622" t="s">
        <v>2379</v>
      </c>
      <c r="C54" s="622" t="s">
        <v>3411</v>
      </c>
      <c r="D54" s="622" t="s">
        <v>632</v>
      </c>
      <c r="E54" s="622">
        <v>8.497806606E9</v>
      </c>
      <c r="F54" s="622" t="s">
        <v>3736</v>
      </c>
      <c r="G54" s="15" t="s">
        <v>4895</v>
      </c>
      <c r="H54" s="622">
        <v>70.0</v>
      </c>
      <c r="I54" s="622">
        <v>62.0</v>
      </c>
      <c r="J54" s="15">
        <v>0.0</v>
      </c>
      <c r="K54" s="15">
        <v>0.0</v>
      </c>
      <c r="L54" s="15">
        <v>26.0</v>
      </c>
      <c r="M54" s="15">
        <v>0.0</v>
      </c>
      <c r="N54" s="15"/>
      <c r="O54" s="15"/>
      <c r="P54" s="15">
        <v>0.0</v>
      </c>
      <c r="Q54" s="15">
        <v>0.0</v>
      </c>
      <c r="R54" s="15"/>
      <c r="S54" s="15"/>
      <c r="T54" s="15">
        <v>6.0</v>
      </c>
      <c r="U54" s="15">
        <v>21.0</v>
      </c>
      <c r="V54" s="15">
        <v>0.0</v>
      </c>
      <c r="W54" s="15">
        <v>78.0</v>
      </c>
      <c r="X54" s="15"/>
      <c r="Y54" s="15"/>
      <c r="AA54" s="15"/>
      <c r="AB54" s="15">
        <v>1.0</v>
      </c>
      <c r="AC54" s="15" t="e">
        <v>#N/A</v>
      </c>
      <c r="AD54" s="15"/>
      <c r="AE54" s="15"/>
      <c r="AG54" s="15"/>
      <c r="AJ54" s="16">
        <v>1.0</v>
      </c>
      <c r="AK54" s="16">
        <v>0.0</v>
      </c>
      <c r="AL54" s="16">
        <v>3.0</v>
      </c>
      <c r="AM54" s="16" t="s">
        <v>4875</v>
      </c>
      <c r="AN54" s="16">
        <v>0.0</v>
      </c>
    </row>
    <row r="55">
      <c r="A55" s="15">
        <v>266.0</v>
      </c>
      <c r="B55" s="15" t="s">
        <v>3680</v>
      </c>
      <c r="C55" s="15" t="s">
        <v>3681</v>
      </c>
      <c r="D55" s="15" t="s">
        <v>1338</v>
      </c>
      <c r="E55" s="15">
        <v>9.611319414E9</v>
      </c>
      <c r="F55" s="622" t="s">
        <v>3736</v>
      </c>
      <c r="G55" s="15" t="s">
        <v>4897</v>
      </c>
      <c r="H55" s="15">
        <v>0.0</v>
      </c>
      <c r="I55" s="15">
        <v>0.0</v>
      </c>
      <c r="J55" s="15">
        <v>0.0</v>
      </c>
      <c r="K55" s="15">
        <v>0.0</v>
      </c>
      <c r="L55" s="15">
        <v>0.0</v>
      </c>
      <c r="M55" s="15">
        <v>0.0</v>
      </c>
      <c r="N55" s="15"/>
      <c r="O55" s="15"/>
      <c r="P55" s="15">
        <v>0.0</v>
      </c>
      <c r="Q55" s="15">
        <v>0.0</v>
      </c>
      <c r="R55" s="15"/>
      <c r="S55" s="15"/>
      <c r="T55" s="15"/>
      <c r="U55" s="15"/>
      <c r="V55" s="15">
        <v>0.0</v>
      </c>
      <c r="W55" s="15"/>
      <c r="X55" s="15"/>
      <c r="Y55" s="15"/>
      <c r="AA55" s="15"/>
      <c r="AB55" s="15"/>
      <c r="AC55" s="15">
        <v>0.0</v>
      </c>
      <c r="AD55" s="15"/>
      <c r="AE55" s="15"/>
      <c r="AG55" s="15"/>
      <c r="AJ55" s="16">
        <v>0.0</v>
      </c>
      <c r="AK55" s="16">
        <v>0.0</v>
      </c>
      <c r="AL55" s="16">
        <v>0.0</v>
      </c>
      <c r="AM55" s="16" t="s">
        <v>4875</v>
      </c>
      <c r="AN55" s="16">
        <v>0.0</v>
      </c>
    </row>
    <row r="56">
      <c r="A56" s="15"/>
      <c r="B56" s="15"/>
      <c r="C56" s="15"/>
      <c r="D56" s="15"/>
      <c r="E56" s="15"/>
      <c r="F56" s="622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AA56" s="15"/>
      <c r="AB56" s="15"/>
      <c r="AC56" s="15"/>
      <c r="AD56" s="15"/>
      <c r="AE56" s="15"/>
      <c r="AG56" s="15"/>
    </row>
    <row r="57">
      <c r="A57" s="640" t="s">
        <v>2461</v>
      </c>
    </row>
    <row r="58">
      <c r="A58" s="16">
        <v>38.0</v>
      </c>
      <c r="B58" s="16" t="s">
        <v>1940</v>
      </c>
      <c r="C58" s="16" t="s">
        <v>3146</v>
      </c>
      <c r="D58" s="16" t="s">
        <v>176</v>
      </c>
      <c r="E58" s="16">
        <v>9.868894526E9</v>
      </c>
      <c r="F58" s="16" t="s">
        <v>2461</v>
      </c>
      <c r="G58" s="15" t="s">
        <v>4898</v>
      </c>
      <c r="H58" s="16">
        <v>79.0</v>
      </c>
      <c r="I58" s="16">
        <v>79.0</v>
      </c>
      <c r="J58" s="16">
        <v>0.0</v>
      </c>
      <c r="K58" s="16">
        <v>0.0</v>
      </c>
      <c r="L58" s="16">
        <v>29.0</v>
      </c>
      <c r="M58" s="16">
        <v>0.0</v>
      </c>
      <c r="P58" s="16">
        <v>0.0</v>
      </c>
      <c r="Q58" s="16">
        <v>0.0</v>
      </c>
      <c r="T58" s="16">
        <v>19.0</v>
      </c>
      <c r="U58" s="16">
        <v>18.0</v>
      </c>
      <c r="AB58" s="16">
        <v>25.0</v>
      </c>
      <c r="AC58" s="16" t="e">
        <v>#N/A</v>
      </c>
      <c r="AD58" s="16">
        <v>0.0</v>
      </c>
      <c r="AJ58" s="16">
        <v>2.0</v>
      </c>
      <c r="AK58" s="16">
        <v>0.0</v>
      </c>
      <c r="AL58" s="16">
        <v>2.0</v>
      </c>
      <c r="AM58" s="16" t="s">
        <v>4875</v>
      </c>
      <c r="AN58" s="16">
        <v>0.0</v>
      </c>
    </row>
    <row r="59">
      <c r="A59" s="16">
        <v>62.0</v>
      </c>
      <c r="B59" s="16" t="s">
        <v>1943</v>
      </c>
      <c r="C59" s="16" t="s">
        <v>3151</v>
      </c>
      <c r="D59" s="16" t="s">
        <v>200</v>
      </c>
      <c r="E59" s="16">
        <v>6.364074232E9</v>
      </c>
      <c r="F59" s="16" t="s">
        <v>2461</v>
      </c>
      <c r="H59" s="16">
        <v>73.0</v>
      </c>
      <c r="I59" s="16">
        <v>79.0</v>
      </c>
      <c r="J59" s="16">
        <v>0.0</v>
      </c>
      <c r="K59" s="16">
        <v>0.0</v>
      </c>
      <c r="L59" s="16">
        <v>7.0</v>
      </c>
      <c r="M59" s="16">
        <v>0.0</v>
      </c>
      <c r="P59" s="16">
        <v>0.0</v>
      </c>
      <c r="Q59" s="16">
        <v>0.0</v>
      </c>
      <c r="T59" s="16">
        <v>21.0</v>
      </c>
      <c r="U59" s="16">
        <v>16.0</v>
      </c>
      <c r="AB59" s="16">
        <v>17.5</v>
      </c>
      <c r="AC59" s="16">
        <v>0.0</v>
      </c>
      <c r="AD59" s="16">
        <v>0.0</v>
      </c>
      <c r="AJ59" s="16">
        <v>2.0</v>
      </c>
      <c r="AK59" s="16">
        <v>0.0</v>
      </c>
      <c r="AL59" s="16">
        <v>2.0</v>
      </c>
      <c r="AM59" s="16" t="s">
        <v>4875</v>
      </c>
      <c r="AN59" s="16">
        <v>0.0</v>
      </c>
    </row>
    <row r="60">
      <c r="A60" s="16">
        <v>96.0</v>
      </c>
      <c r="B60" s="16" t="s">
        <v>1999</v>
      </c>
      <c r="C60" s="16" t="s">
        <v>3154</v>
      </c>
      <c r="D60" s="16" t="s">
        <v>234</v>
      </c>
      <c r="E60" s="16">
        <v>6.361059531E9</v>
      </c>
      <c r="F60" s="16" t="s">
        <v>2461</v>
      </c>
      <c r="H60" s="16">
        <v>72.0</v>
      </c>
      <c r="I60" s="16">
        <v>74.0</v>
      </c>
      <c r="J60" s="16">
        <v>0.0</v>
      </c>
      <c r="K60" s="16">
        <v>0.0</v>
      </c>
      <c r="L60" s="16">
        <v>28.0</v>
      </c>
      <c r="M60" s="16">
        <v>0.0</v>
      </c>
      <c r="P60" s="16">
        <v>0.0</v>
      </c>
      <c r="Q60" s="16">
        <v>0.0</v>
      </c>
      <c r="T60" s="16">
        <v>10.0</v>
      </c>
      <c r="U60" s="16">
        <v>19.0</v>
      </c>
      <c r="AB60" s="16">
        <v>43.0</v>
      </c>
      <c r="AC60" s="16">
        <v>0.0</v>
      </c>
      <c r="AD60" s="16">
        <v>0.0</v>
      </c>
      <c r="AJ60" s="16">
        <v>2.0</v>
      </c>
      <c r="AK60" s="16">
        <v>0.0</v>
      </c>
      <c r="AL60" s="16">
        <v>2.0</v>
      </c>
      <c r="AM60" s="16" t="s">
        <v>4875</v>
      </c>
      <c r="AN60" s="16">
        <v>0.0</v>
      </c>
    </row>
    <row r="61">
      <c r="A61" s="16">
        <v>97.0</v>
      </c>
      <c r="B61" s="16" t="s">
        <v>1965</v>
      </c>
      <c r="C61" s="16" t="s">
        <v>3155</v>
      </c>
      <c r="D61" s="16" t="s">
        <v>235</v>
      </c>
      <c r="E61" s="16">
        <v>6.361435228E9</v>
      </c>
      <c r="F61" s="16" t="s">
        <v>2461</v>
      </c>
      <c r="H61" s="16">
        <v>75.0</v>
      </c>
      <c r="I61" s="16">
        <v>73.0</v>
      </c>
      <c r="J61" s="16">
        <v>70.0</v>
      </c>
      <c r="K61" s="16">
        <v>63.0</v>
      </c>
      <c r="L61" s="16">
        <v>50.0</v>
      </c>
      <c r="M61" s="16">
        <v>11.0</v>
      </c>
      <c r="P61" s="16">
        <v>64.0</v>
      </c>
      <c r="Q61" s="16">
        <v>62.0</v>
      </c>
      <c r="T61" s="16">
        <v>11.0</v>
      </c>
      <c r="U61" s="16">
        <v>19.0</v>
      </c>
      <c r="V61" s="16">
        <v>48.0</v>
      </c>
      <c r="W61" s="16">
        <v>32.0</v>
      </c>
      <c r="AB61" s="16">
        <v>42.0</v>
      </c>
      <c r="AC61" s="16">
        <v>0.0</v>
      </c>
      <c r="AD61" s="16">
        <v>32.0</v>
      </c>
      <c r="AJ61" s="16">
        <v>3.0</v>
      </c>
      <c r="AK61" s="16">
        <v>1.0</v>
      </c>
      <c r="AL61" s="16">
        <v>2.0</v>
      </c>
      <c r="AM61" s="16" t="s">
        <v>4875</v>
      </c>
      <c r="AN61" s="16">
        <v>2.0</v>
      </c>
    </row>
    <row r="62">
      <c r="A62" s="16">
        <v>145.0</v>
      </c>
      <c r="B62" s="16" t="s">
        <v>2015</v>
      </c>
      <c r="C62" s="16" t="s">
        <v>4899</v>
      </c>
      <c r="D62" s="16" t="s">
        <v>284</v>
      </c>
      <c r="E62" s="16">
        <v>7.338021314E9</v>
      </c>
      <c r="F62" s="16" t="s">
        <v>2461</v>
      </c>
      <c r="H62" s="16">
        <v>81.0</v>
      </c>
      <c r="I62" s="16">
        <v>0.0</v>
      </c>
      <c r="J62" s="16">
        <v>0.0</v>
      </c>
      <c r="K62" s="16">
        <v>0.0</v>
      </c>
      <c r="L62" s="16">
        <v>64.0</v>
      </c>
      <c r="M62" s="16">
        <v>0.0</v>
      </c>
      <c r="P62" s="16">
        <v>0.0</v>
      </c>
      <c r="Q62" s="16">
        <v>0.0</v>
      </c>
      <c r="T62" s="16" t="s">
        <v>2477</v>
      </c>
      <c r="U62" s="16" t="s">
        <v>2477</v>
      </c>
      <c r="AB62" s="16">
        <v>75.0</v>
      </c>
      <c r="AC62" s="16">
        <v>0.0</v>
      </c>
      <c r="AD62" s="16">
        <v>0.0</v>
      </c>
      <c r="AJ62" s="16">
        <v>1.0</v>
      </c>
      <c r="AK62" s="16">
        <v>1.0</v>
      </c>
      <c r="AL62" s="16">
        <v>2.0</v>
      </c>
      <c r="AM62" s="16" t="s">
        <v>4883</v>
      </c>
      <c r="AN62" s="16">
        <v>0.0</v>
      </c>
    </row>
    <row r="63">
      <c r="A63" s="16">
        <v>150.0</v>
      </c>
      <c r="B63" s="16" t="s">
        <v>1991</v>
      </c>
      <c r="C63" s="16" t="s">
        <v>4900</v>
      </c>
      <c r="D63" s="16" t="s">
        <v>289</v>
      </c>
      <c r="E63" s="16" t="s">
        <v>4901</v>
      </c>
      <c r="F63" s="16" t="s">
        <v>2461</v>
      </c>
      <c r="H63" s="16">
        <v>70.0</v>
      </c>
      <c r="I63" s="16">
        <v>0.0</v>
      </c>
      <c r="J63" s="16">
        <v>0.0</v>
      </c>
      <c r="K63" s="16">
        <v>0.0</v>
      </c>
      <c r="L63" s="16">
        <v>36.0</v>
      </c>
      <c r="M63" s="16">
        <v>0.0</v>
      </c>
      <c r="P63" s="16">
        <v>0.0</v>
      </c>
      <c r="Q63" s="16">
        <v>0.0</v>
      </c>
      <c r="T63" s="16">
        <v>20.0</v>
      </c>
      <c r="U63" s="16" t="s">
        <v>2477</v>
      </c>
      <c r="AB63" s="16">
        <v>48.0</v>
      </c>
      <c r="AC63" s="16">
        <v>98.0</v>
      </c>
      <c r="AD63" s="16">
        <v>0.0</v>
      </c>
      <c r="AJ63" s="16">
        <v>1.0</v>
      </c>
      <c r="AK63" s="16">
        <v>0.0</v>
      </c>
      <c r="AL63" s="16">
        <v>2.0</v>
      </c>
      <c r="AM63" s="16" t="s">
        <v>4875</v>
      </c>
      <c r="AN63" s="16">
        <v>0.0</v>
      </c>
    </row>
  </sheetData>
  <hyperlinks>
    <hyperlink r:id="rId1" ref="C7"/>
    <hyperlink r:id="rId2" ref="C10"/>
  </hyperlinks>
  <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381</v>
      </c>
      <c r="B1" s="15">
        <v>67.0</v>
      </c>
    </row>
    <row r="2">
      <c r="A2" s="15" t="s">
        <v>382</v>
      </c>
      <c r="B2" s="15">
        <v>20.0</v>
      </c>
    </row>
    <row r="3">
      <c r="A3" s="15" t="s">
        <v>386</v>
      </c>
      <c r="B3" s="15">
        <v>52.0</v>
      </c>
    </row>
    <row r="4">
      <c r="A4" s="15" t="s">
        <v>387</v>
      </c>
      <c r="B4" s="15">
        <v>33.0</v>
      </c>
    </row>
    <row r="5">
      <c r="A5" s="15" t="s">
        <v>388</v>
      </c>
      <c r="B5" s="15">
        <v>62.0</v>
      </c>
    </row>
    <row r="6">
      <c r="A6" s="15" t="s">
        <v>389</v>
      </c>
      <c r="B6" s="15">
        <v>29.0</v>
      </c>
    </row>
    <row r="7">
      <c r="A7" s="15" t="s">
        <v>391</v>
      </c>
      <c r="B7" s="15">
        <v>53.0</v>
      </c>
    </row>
    <row r="8">
      <c r="A8" s="15" t="s">
        <v>393</v>
      </c>
      <c r="B8" s="15">
        <v>69.0</v>
      </c>
    </row>
    <row r="9">
      <c r="A9" s="15" t="s">
        <v>394</v>
      </c>
      <c r="B9" s="15">
        <v>57.0</v>
      </c>
    </row>
    <row r="10">
      <c r="A10" s="15" t="s">
        <v>396</v>
      </c>
      <c r="B10" s="15">
        <v>18.0</v>
      </c>
    </row>
    <row r="11">
      <c r="A11" s="15" t="s">
        <v>397</v>
      </c>
      <c r="B11" s="15">
        <v>58.0</v>
      </c>
    </row>
    <row r="12">
      <c r="A12" s="15" t="s">
        <v>398</v>
      </c>
      <c r="B12" s="15">
        <v>43.0</v>
      </c>
    </row>
    <row r="13">
      <c r="A13" s="15" t="s">
        <v>400</v>
      </c>
      <c r="B13" s="15">
        <v>45.0</v>
      </c>
    </row>
    <row r="14">
      <c r="A14" s="15" t="s">
        <v>403</v>
      </c>
      <c r="B14" s="15">
        <v>10.0</v>
      </c>
    </row>
    <row r="15">
      <c r="A15" s="15" t="s">
        <v>405</v>
      </c>
      <c r="B15" s="15">
        <v>75.0</v>
      </c>
    </row>
    <row r="16">
      <c r="A16" s="15" t="s">
        <v>406</v>
      </c>
      <c r="B16" s="15">
        <v>38.0</v>
      </c>
    </row>
    <row r="17">
      <c r="A17" s="15" t="s">
        <v>407</v>
      </c>
      <c r="B17" s="15">
        <v>75.0</v>
      </c>
    </row>
    <row r="18">
      <c r="A18" s="15" t="s">
        <v>408</v>
      </c>
      <c r="B18" s="15">
        <v>25.0</v>
      </c>
    </row>
    <row r="19">
      <c r="A19" s="15" t="s">
        <v>409</v>
      </c>
      <c r="B19" s="15">
        <v>62.0</v>
      </c>
    </row>
    <row r="20">
      <c r="A20" s="15" t="s">
        <v>410</v>
      </c>
      <c r="B20" s="15">
        <v>43.0</v>
      </c>
    </row>
    <row r="21">
      <c r="A21" s="15" t="s">
        <v>411</v>
      </c>
      <c r="B21" s="15">
        <v>9.0</v>
      </c>
    </row>
    <row r="22">
      <c r="A22" s="15" t="s">
        <v>412</v>
      </c>
      <c r="B22" s="15">
        <v>71.0</v>
      </c>
    </row>
    <row r="23">
      <c r="A23" s="15" t="s">
        <v>414</v>
      </c>
      <c r="B23" s="15">
        <v>71.0</v>
      </c>
    </row>
    <row r="24">
      <c r="A24" s="15" t="s">
        <v>417</v>
      </c>
      <c r="B24" s="15">
        <v>33.0</v>
      </c>
    </row>
    <row r="25">
      <c r="A25" s="15" t="s">
        <v>418</v>
      </c>
      <c r="B25" s="15">
        <v>40.0</v>
      </c>
    </row>
    <row r="26">
      <c r="A26" s="15" t="s">
        <v>419</v>
      </c>
      <c r="B26" s="15">
        <v>58.0</v>
      </c>
    </row>
    <row r="27">
      <c r="A27" s="15" t="s">
        <v>420</v>
      </c>
      <c r="B27" s="15">
        <v>88.0</v>
      </c>
    </row>
    <row r="28">
      <c r="A28" s="15" t="s">
        <v>421</v>
      </c>
      <c r="B28" s="15">
        <v>59.0</v>
      </c>
    </row>
    <row r="29">
      <c r="A29" s="15" t="s">
        <v>423</v>
      </c>
      <c r="B29" s="15">
        <v>43.0</v>
      </c>
    </row>
    <row r="30">
      <c r="A30" s="15" t="s">
        <v>425</v>
      </c>
      <c r="B30" s="15">
        <v>49.0</v>
      </c>
    </row>
    <row r="31">
      <c r="A31" s="15" t="s">
        <v>426</v>
      </c>
      <c r="B31" s="15">
        <v>65.0</v>
      </c>
    </row>
    <row r="32">
      <c r="A32" s="15" t="s">
        <v>430</v>
      </c>
      <c r="B32" s="15">
        <v>54.0</v>
      </c>
    </row>
    <row r="33">
      <c r="A33" s="15" t="s">
        <v>435</v>
      </c>
      <c r="B33" s="15">
        <v>31.0</v>
      </c>
    </row>
    <row r="34">
      <c r="A34" s="15" t="s">
        <v>436</v>
      </c>
      <c r="B34" s="15">
        <v>50.0</v>
      </c>
    </row>
    <row r="35">
      <c r="A35" s="15" t="s">
        <v>437</v>
      </c>
      <c r="B35" s="15">
        <v>39.0</v>
      </c>
    </row>
    <row r="36">
      <c r="A36" s="15" t="s">
        <v>439</v>
      </c>
      <c r="B36" s="15">
        <v>61.0</v>
      </c>
    </row>
    <row r="37">
      <c r="A37" s="15" t="s">
        <v>442</v>
      </c>
      <c r="B37" s="15">
        <v>46.0</v>
      </c>
    </row>
    <row r="38">
      <c r="A38" s="15" t="s">
        <v>384</v>
      </c>
      <c r="B38" s="15">
        <v>46.0</v>
      </c>
    </row>
    <row r="39">
      <c r="A39" s="15" t="s">
        <v>395</v>
      </c>
      <c r="B39" s="15">
        <v>42.0</v>
      </c>
    </row>
    <row r="40">
      <c r="A40" s="15" t="s">
        <v>399</v>
      </c>
      <c r="B40" s="15">
        <v>52.0</v>
      </c>
    </row>
    <row r="41">
      <c r="A41" s="15" t="s">
        <v>383</v>
      </c>
      <c r="B41" s="15">
        <v>41.0</v>
      </c>
    </row>
    <row r="42">
      <c r="A42" s="15" t="s">
        <v>431</v>
      </c>
      <c r="B42" s="15">
        <v>48.0</v>
      </c>
    </row>
    <row r="43">
      <c r="A43" s="15" t="s">
        <v>441</v>
      </c>
      <c r="B43" s="15">
        <v>30.0</v>
      </c>
    </row>
    <row r="44">
      <c r="A44" s="15" t="s">
        <v>444</v>
      </c>
      <c r="B44" s="15">
        <v>53.0</v>
      </c>
    </row>
    <row r="45">
      <c r="A45" s="15" t="s">
        <v>427</v>
      </c>
      <c r="B45" s="15">
        <v>52.0</v>
      </c>
    </row>
    <row r="46">
      <c r="A46" s="15" t="s">
        <v>447</v>
      </c>
      <c r="B46" s="15">
        <v>81.0</v>
      </c>
    </row>
    <row r="47">
      <c r="A47" s="15" t="s">
        <v>392</v>
      </c>
      <c r="B47" s="15">
        <v>40.0</v>
      </c>
    </row>
    <row r="48">
      <c r="A48" s="15" t="s">
        <v>433</v>
      </c>
      <c r="B48" s="15">
        <v>70.0</v>
      </c>
    </row>
    <row r="49">
      <c r="A49" s="15" t="s">
        <v>429</v>
      </c>
      <c r="B49" s="15">
        <v>66.0</v>
      </c>
    </row>
    <row r="50">
      <c r="A50" s="15" t="s">
        <v>621</v>
      </c>
      <c r="B50" s="15">
        <v>51.0</v>
      </c>
    </row>
    <row r="51">
      <c r="A51" s="15" t="s">
        <v>473</v>
      </c>
      <c r="B51" s="15">
        <v>54.0</v>
      </c>
    </row>
    <row r="52">
      <c r="A52" s="15" t="s">
        <v>457</v>
      </c>
      <c r="B52" s="15">
        <v>48.0</v>
      </c>
    </row>
    <row r="53">
      <c r="A53" s="15" t="s">
        <v>448</v>
      </c>
      <c r="B53" s="15">
        <v>51.0</v>
      </c>
    </row>
    <row r="54">
      <c r="A54" s="15" t="s">
        <v>536</v>
      </c>
      <c r="B54" s="15">
        <v>37.0</v>
      </c>
    </row>
    <row r="55">
      <c r="A55" s="15" t="s">
        <v>466</v>
      </c>
      <c r="B55" s="15">
        <v>28.0</v>
      </c>
    </row>
    <row r="56">
      <c r="A56" s="15" t="s">
        <v>523</v>
      </c>
      <c r="B56" s="15">
        <v>35.0</v>
      </c>
    </row>
    <row r="57">
      <c r="A57" s="15" t="s">
        <v>575</v>
      </c>
      <c r="B57" s="15">
        <v>32.0</v>
      </c>
    </row>
    <row r="58">
      <c r="A58" s="15" t="s">
        <v>390</v>
      </c>
      <c r="B58" s="15">
        <v>34.0</v>
      </c>
    </row>
    <row r="59">
      <c r="A59" s="15" t="s">
        <v>507</v>
      </c>
      <c r="B59" s="15">
        <v>49.0</v>
      </c>
    </row>
    <row r="60">
      <c r="A60" s="15" t="s">
        <v>613</v>
      </c>
      <c r="B60" s="15">
        <v>34.0</v>
      </c>
    </row>
    <row r="61">
      <c r="A61" s="15" t="s">
        <v>541</v>
      </c>
      <c r="B61" s="15">
        <v>53.0</v>
      </c>
    </row>
    <row r="62">
      <c r="A62" s="15" t="s">
        <v>516</v>
      </c>
      <c r="B62" s="15">
        <v>15.0</v>
      </c>
    </row>
    <row r="63">
      <c r="A63" s="15" t="s">
        <v>535</v>
      </c>
      <c r="B63" s="15">
        <v>51.0</v>
      </c>
    </row>
    <row r="64">
      <c r="A64" s="15" t="s">
        <v>543</v>
      </c>
      <c r="B64" s="15">
        <v>32.0</v>
      </c>
    </row>
    <row r="65">
      <c r="A65" s="15" t="s">
        <v>443</v>
      </c>
      <c r="B65" s="15">
        <v>31.0</v>
      </c>
    </row>
    <row r="66">
      <c r="A66" s="15" t="s">
        <v>445</v>
      </c>
      <c r="B66" s="15">
        <v>18.0</v>
      </c>
    </row>
    <row r="67">
      <c r="A67" s="15" t="s">
        <v>446</v>
      </c>
      <c r="B67" s="15">
        <v>44.0</v>
      </c>
    </row>
    <row r="68">
      <c r="A68" s="15" t="s">
        <v>449</v>
      </c>
      <c r="B68" s="15">
        <v>36.0</v>
      </c>
    </row>
    <row r="69">
      <c r="A69" s="15" t="s">
        <v>450</v>
      </c>
      <c r="B69" s="15">
        <v>4.0</v>
      </c>
    </row>
    <row r="70">
      <c r="A70" s="15" t="s">
        <v>452</v>
      </c>
      <c r="B70" s="15">
        <v>12.0</v>
      </c>
    </row>
    <row r="71">
      <c r="A71" s="15" t="s">
        <v>453</v>
      </c>
      <c r="B71" s="15">
        <v>49.0</v>
      </c>
    </row>
    <row r="72">
      <c r="A72" s="15" t="s">
        <v>454</v>
      </c>
      <c r="B72" s="15">
        <v>48.0</v>
      </c>
    </row>
    <row r="73">
      <c r="A73" s="15" t="s">
        <v>456</v>
      </c>
      <c r="B73" s="15">
        <v>42.0</v>
      </c>
    </row>
    <row r="74">
      <c r="A74" s="15" t="s">
        <v>458</v>
      </c>
      <c r="B74" s="15">
        <v>39.0</v>
      </c>
    </row>
    <row r="75">
      <c r="A75" s="15" t="s">
        <v>459</v>
      </c>
      <c r="B75" s="15">
        <v>47.0</v>
      </c>
    </row>
    <row r="76">
      <c r="A76" s="15" t="s">
        <v>460</v>
      </c>
      <c r="B76" s="15">
        <v>18.0</v>
      </c>
    </row>
    <row r="77">
      <c r="A77" s="15" t="s">
        <v>461</v>
      </c>
      <c r="B77" s="15">
        <v>0.0</v>
      </c>
    </row>
    <row r="78">
      <c r="A78" s="15" t="s">
        <v>462</v>
      </c>
      <c r="B78" s="15">
        <v>33.0</v>
      </c>
    </row>
    <row r="79">
      <c r="A79" s="15" t="s">
        <v>464</v>
      </c>
      <c r="B79" s="15">
        <v>18.0</v>
      </c>
    </row>
    <row r="80">
      <c r="A80" s="15" t="s">
        <v>465</v>
      </c>
      <c r="B80" s="15">
        <v>68.0</v>
      </c>
    </row>
    <row r="81">
      <c r="A81" s="15" t="s">
        <v>467</v>
      </c>
      <c r="B81" s="15">
        <v>20.0</v>
      </c>
    </row>
    <row r="82">
      <c r="A82" s="15" t="s">
        <v>470</v>
      </c>
      <c r="B82" s="15">
        <v>58.0</v>
      </c>
    </row>
    <row r="83">
      <c r="A83" s="15" t="s">
        <v>471</v>
      </c>
      <c r="B83" s="15">
        <v>3.0</v>
      </c>
    </row>
    <row r="84">
      <c r="A84" s="15" t="s">
        <v>474</v>
      </c>
      <c r="B84" s="15">
        <v>10.0</v>
      </c>
    </row>
    <row r="85">
      <c r="A85" s="15" t="s">
        <v>477</v>
      </c>
      <c r="B85" s="15">
        <v>11.0</v>
      </c>
    </row>
    <row r="86">
      <c r="A86" s="15" t="s">
        <v>478</v>
      </c>
      <c r="B86" s="15">
        <v>46.0</v>
      </c>
    </row>
    <row r="87">
      <c r="A87" s="15" t="s">
        <v>479</v>
      </c>
      <c r="B87" s="15">
        <v>20.0</v>
      </c>
    </row>
    <row r="88">
      <c r="A88" s="15" t="s">
        <v>480</v>
      </c>
      <c r="B88" s="15">
        <v>30.0</v>
      </c>
    </row>
    <row r="89">
      <c r="A89" s="15" t="s">
        <v>481</v>
      </c>
      <c r="B89" s="15">
        <v>30.0</v>
      </c>
    </row>
    <row r="90">
      <c r="A90" s="15" t="s">
        <v>482</v>
      </c>
      <c r="B90" s="15">
        <v>38.0</v>
      </c>
    </row>
    <row r="91">
      <c r="A91" s="15" t="s">
        <v>483</v>
      </c>
      <c r="B91" s="15">
        <v>33.0</v>
      </c>
    </row>
    <row r="92">
      <c r="A92" s="15" t="s">
        <v>484</v>
      </c>
      <c r="B92" s="15">
        <v>35.0</v>
      </c>
    </row>
    <row r="93">
      <c r="A93" s="15" t="s">
        <v>485</v>
      </c>
      <c r="B93" s="15">
        <v>72.0</v>
      </c>
    </row>
    <row r="94">
      <c r="A94" s="15" t="s">
        <v>486</v>
      </c>
      <c r="B94" s="15">
        <v>53.0</v>
      </c>
    </row>
    <row r="95">
      <c r="A95" s="15" t="s">
        <v>489</v>
      </c>
      <c r="B95" s="15">
        <v>19.0</v>
      </c>
    </row>
    <row r="96">
      <c r="A96" s="15" t="s">
        <v>490</v>
      </c>
      <c r="B96" s="15">
        <v>11.0</v>
      </c>
    </row>
    <row r="97">
      <c r="A97" s="15" t="s">
        <v>493</v>
      </c>
      <c r="B97" s="15">
        <v>22.0</v>
      </c>
    </row>
    <row r="98">
      <c r="A98" s="15" t="s">
        <v>494</v>
      </c>
      <c r="B98" s="15">
        <v>0.0</v>
      </c>
    </row>
    <row r="99">
      <c r="A99" s="15" t="s">
        <v>495</v>
      </c>
      <c r="B99" s="15">
        <v>22.0</v>
      </c>
    </row>
    <row r="100">
      <c r="A100" s="15" t="s">
        <v>496</v>
      </c>
      <c r="B100" s="15">
        <v>25.0</v>
      </c>
    </row>
    <row r="101">
      <c r="A101" s="15" t="s">
        <v>499</v>
      </c>
      <c r="B101" s="15">
        <v>24.0</v>
      </c>
    </row>
    <row r="102">
      <c r="A102" s="15" t="s">
        <v>469</v>
      </c>
      <c r="B102" s="15">
        <v>20.0</v>
      </c>
    </row>
    <row r="103">
      <c r="A103" s="15" t="s">
        <v>501</v>
      </c>
      <c r="B103" s="15">
        <v>25.0</v>
      </c>
    </row>
    <row r="104">
      <c r="A104" s="15" t="s">
        <v>451</v>
      </c>
      <c r="B104" s="15">
        <v>21.0</v>
      </c>
    </row>
    <row r="105">
      <c r="A105" s="15" t="s">
        <v>468</v>
      </c>
      <c r="B105" s="15">
        <v>26.0</v>
      </c>
    </row>
    <row r="106">
      <c r="A106" s="15" t="s">
        <v>472</v>
      </c>
      <c r="B106" s="15">
        <v>17.0</v>
      </c>
    </row>
    <row r="107">
      <c r="A107" s="15" t="s">
        <v>476</v>
      </c>
      <c r="B107" s="15">
        <v>27.0</v>
      </c>
    </row>
    <row r="108">
      <c r="A108" s="15" t="s">
        <v>475</v>
      </c>
      <c r="B108" s="15">
        <v>28.0</v>
      </c>
    </row>
    <row r="109">
      <c r="A109" s="15" t="s">
        <v>522</v>
      </c>
      <c r="B109" s="15">
        <v>13.0</v>
      </c>
    </row>
    <row r="110">
      <c r="A110" s="15" t="s">
        <v>413</v>
      </c>
      <c r="B110" s="15">
        <v>26.0</v>
      </c>
    </row>
    <row r="111">
      <c r="A111" s="15" t="s">
        <v>404</v>
      </c>
      <c r="B111" s="15">
        <v>8.0</v>
      </c>
    </row>
    <row r="112">
      <c r="A112" s="15" t="s">
        <v>463</v>
      </c>
      <c r="B112" s="15">
        <v>31.0</v>
      </c>
    </row>
    <row r="113">
      <c r="A113" s="15" t="s">
        <v>502</v>
      </c>
      <c r="B113" s="15">
        <v>5.0</v>
      </c>
    </row>
    <row r="114">
      <c r="A114" s="15" t="s">
        <v>415</v>
      </c>
      <c r="B114" s="15">
        <v>18.0</v>
      </c>
    </row>
    <row r="115">
      <c r="A115" s="15" t="s">
        <v>432</v>
      </c>
      <c r="B115" s="15">
        <v>22.0</v>
      </c>
    </row>
    <row r="116">
      <c r="A116" s="15" t="s">
        <v>504</v>
      </c>
      <c r="B116" s="15">
        <v>33.0</v>
      </c>
    </row>
    <row r="117">
      <c r="A117" s="15" t="s">
        <v>424</v>
      </c>
      <c r="B117" s="15">
        <v>12.0</v>
      </c>
    </row>
    <row r="118">
      <c r="A118" s="15" t="s">
        <v>422</v>
      </c>
      <c r="B118" s="15">
        <v>25.0</v>
      </c>
    </row>
    <row r="119">
      <c r="A119" s="15" t="s">
        <v>491</v>
      </c>
      <c r="B119" s="15">
        <v>20.0</v>
      </c>
    </row>
    <row r="120">
      <c r="A120" s="15" t="s">
        <v>582</v>
      </c>
      <c r="B120" s="15">
        <v>30.0</v>
      </c>
    </row>
    <row r="121">
      <c r="A121" s="15" t="s">
        <v>498</v>
      </c>
      <c r="B121" s="15">
        <v>17.0</v>
      </c>
    </row>
    <row r="122">
      <c r="A122" s="15" t="s">
        <v>438</v>
      </c>
      <c r="B122" s="15">
        <v>19.0</v>
      </c>
    </row>
    <row r="123">
      <c r="A123" s="15" t="s">
        <v>497</v>
      </c>
      <c r="B123" s="15">
        <v>5.0</v>
      </c>
    </row>
    <row r="124">
      <c r="A124" s="15" t="s">
        <v>440</v>
      </c>
      <c r="B124" s="15">
        <v>15.0</v>
      </c>
    </row>
    <row r="125">
      <c r="A125" s="15" t="s">
        <v>544</v>
      </c>
      <c r="B125" s="15">
        <v>24.0</v>
      </c>
    </row>
    <row r="126">
      <c r="A126" s="15" t="s">
        <v>562</v>
      </c>
      <c r="B126" s="15">
        <v>48.0</v>
      </c>
    </row>
    <row r="127">
      <c r="A127" s="15" t="s">
        <v>558</v>
      </c>
      <c r="B127" s="15">
        <v>8.0</v>
      </c>
    </row>
    <row r="128">
      <c r="A128" s="15" t="s">
        <v>434</v>
      </c>
      <c r="B128" s="15">
        <v>5.0</v>
      </c>
    </row>
    <row r="129">
      <c r="A129" s="15" t="s">
        <v>539</v>
      </c>
      <c r="B129" s="15">
        <v>53.0</v>
      </c>
    </row>
    <row r="130">
      <c r="A130" s="15" t="s">
        <v>542</v>
      </c>
      <c r="B130" s="15">
        <v>65.0</v>
      </c>
    </row>
    <row r="131">
      <c r="A131" s="15" t="s">
        <v>557</v>
      </c>
      <c r="B131" s="15">
        <v>72.0</v>
      </c>
    </row>
    <row r="132">
      <c r="A132" s="15" t="s">
        <v>508</v>
      </c>
      <c r="B132" s="15">
        <v>64.0</v>
      </c>
    </row>
    <row r="133">
      <c r="A133" s="15" t="s">
        <v>554</v>
      </c>
      <c r="B133" s="15">
        <v>55.0</v>
      </c>
    </row>
    <row r="134">
      <c r="A134" s="15" t="s">
        <v>517</v>
      </c>
      <c r="B134" s="15">
        <v>25.0</v>
      </c>
    </row>
    <row r="135">
      <c r="A135" s="15" t="s">
        <v>567</v>
      </c>
      <c r="B135" s="15">
        <v>52.0</v>
      </c>
    </row>
    <row r="136">
      <c r="A136" s="15" t="s">
        <v>510</v>
      </c>
      <c r="B136" s="15">
        <v>67.0</v>
      </c>
    </row>
    <row r="137">
      <c r="A137" s="15" t="s">
        <v>529</v>
      </c>
      <c r="B137" s="15">
        <v>37.0</v>
      </c>
    </row>
    <row r="138">
      <c r="A138" s="15" t="s">
        <v>519</v>
      </c>
      <c r="B138" s="15">
        <v>56.0</v>
      </c>
    </row>
    <row r="139">
      <c r="A139" s="15" t="s">
        <v>531</v>
      </c>
      <c r="B139" s="15">
        <v>66.0</v>
      </c>
    </row>
    <row r="140">
      <c r="A140" s="15" t="s">
        <v>540</v>
      </c>
      <c r="B140" s="15">
        <v>53.0</v>
      </c>
    </row>
    <row r="141">
      <c r="A141" s="15" t="s">
        <v>569</v>
      </c>
      <c r="B141" s="15">
        <v>62.0</v>
      </c>
    </row>
    <row r="142">
      <c r="A142" s="15" t="s">
        <v>515</v>
      </c>
      <c r="B142" s="15">
        <v>40.0</v>
      </c>
    </row>
    <row r="143">
      <c r="A143" s="15" t="s">
        <v>500</v>
      </c>
      <c r="B143" s="15">
        <v>45.0</v>
      </c>
    </row>
    <row r="144">
      <c r="A144" s="15" t="s">
        <v>512</v>
      </c>
      <c r="B144" s="15">
        <v>52.0</v>
      </c>
    </row>
    <row r="145">
      <c r="A145" s="15" t="s">
        <v>527</v>
      </c>
      <c r="B145" s="15">
        <v>23.0</v>
      </c>
    </row>
    <row r="146">
      <c r="A146" s="15" t="s">
        <v>556</v>
      </c>
      <c r="B146" s="15">
        <v>62.0</v>
      </c>
    </row>
    <row r="147">
      <c r="A147" s="15" t="s">
        <v>511</v>
      </c>
      <c r="B147" s="15">
        <v>44.0</v>
      </c>
    </row>
    <row r="148">
      <c r="A148" s="15" t="s">
        <v>526</v>
      </c>
      <c r="B148" s="15">
        <v>54.0</v>
      </c>
    </row>
    <row r="149">
      <c r="A149" s="15" t="s">
        <v>561</v>
      </c>
      <c r="B149" s="15">
        <v>48.0</v>
      </c>
    </row>
    <row r="150">
      <c r="A150" s="15" t="s">
        <v>585</v>
      </c>
      <c r="B150" s="15">
        <v>45.0</v>
      </c>
    </row>
    <row r="151">
      <c r="A151" s="15" t="s">
        <v>509</v>
      </c>
      <c r="B151" s="15">
        <v>42.0</v>
      </c>
    </row>
    <row r="152">
      <c r="A152" s="15" t="s">
        <v>520</v>
      </c>
      <c r="B152" s="15">
        <v>17.0</v>
      </c>
    </row>
    <row r="153">
      <c r="A153" s="15" t="s">
        <v>487</v>
      </c>
      <c r="B153" s="15">
        <v>51.0</v>
      </c>
    </row>
    <row r="154">
      <c r="A154" s="15" t="s">
        <v>545</v>
      </c>
      <c r="B154" s="15">
        <v>34.0</v>
      </c>
    </row>
    <row r="155">
      <c r="A155" s="15" t="s">
        <v>572</v>
      </c>
      <c r="B155" s="15">
        <v>45.0</v>
      </c>
    </row>
    <row r="156">
      <c r="A156" s="15" t="s">
        <v>532</v>
      </c>
      <c r="B156" s="15">
        <v>52.0</v>
      </c>
    </row>
    <row r="157">
      <c r="A157" s="15" t="s">
        <v>619</v>
      </c>
      <c r="B157" s="15">
        <v>43.0</v>
      </c>
    </row>
    <row r="158">
      <c r="A158" s="15" t="s">
        <v>514</v>
      </c>
      <c r="B158" s="15">
        <v>46.0</v>
      </c>
    </row>
    <row r="159">
      <c r="A159" s="15" t="s">
        <v>568</v>
      </c>
      <c r="B159" s="15">
        <v>45.0</v>
      </c>
    </row>
    <row r="160">
      <c r="A160" s="15" t="s">
        <v>513</v>
      </c>
      <c r="B160" s="15">
        <v>61.0</v>
      </c>
    </row>
    <row r="161">
      <c r="A161" s="15" t="s">
        <v>537</v>
      </c>
      <c r="B161" s="15">
        <v>47.0</v>
      </c>
    </row>
    <row r="162">
      <c r="A162" s="15" t="s">
        <v>552</v>
      </c>
      <c r="B162" s="15">
        <v>46.0</v>
      </c>
    </row>
    <row r="163">
      <c r="A163" s="15" t="s">
        <v>564</v>
      </c>
      <c r="B163" s="15">
        <v>59.0</v>
      </c>
    </row>
    <row r="164">
      <c r="A164" s="15" t="s">
        <v>546</v>
      </c>
      <c r="B164" s="15">
        <v>49.0</v>
      </c>
    </row>
    <row r="165">
      <c r="A165" s="15" t="s">
        <v>503</v>
      </c>
      <c r="B165" s="15">
        <v>51.0</v>
      </c>
    </row>
    <row r="166">
      <c r="A166" s="15" t="s">
        <v>530</v>
      </c>
      <c r="B166" s="15">
        <v>14.0</v>
      </c>
    </row>
    <row r="167">
      <c r="A167" s="15" t="s">
        <v>555</v>
      </c>
      <c r="B167" s="15">
        <v>41.0</v>
      </c>
    </row>
    <row r="168">
      <c r="A168" s="15" t="s">
        <v>550</v>
      </c>
      <c r="B168" s="15">
        <v>33.0</v>
      </c>
    </row>
    <row r="169">
      <c r="A169" s="15" t="s">
        <v>573</v>
      </c>
      <c r="B169" s="15">
        <v>46.0</v>
      </c>
    </row>
    <row r="170">
      <c r="A170" s="15" t="s">
        <v>553</v>
      </c>
      <c r="B170" s="15">
        <v>51.0</v>
      </c>
    </row>
    <row r="171">
      <c r="A171" s="15" t="s">
        <v>428</v>
      </c>
      <c r="B171" s="15">
        <v>37.0</v>
      </c>
    </row>
    <row r="172">
      <c r="A172" s="15" t="s">
        <v>563</v>
      </c>
      <c r="B172" s="15">
        <v>57.0</v>
      </c>
    </row>
    <row r="173">
      <c r="A173" s="15" t="s">
        <v>592</v>
      </c>
      <c r="B173" s="15">
        <v>27.0</v>
      </c>
    </row>
    <row r="174">
      <c r="A174" s="15" t="s">
        <v>559</v>
      </c>
      <c r="B174" s="15">
        <v>46.0</v>
      </c>
    </row>
    <row r="175">
      <c r="A175" s="15" t="s">
        <v>492</v>
      </c>
      <c r="B175" s="15">
        <v>44.0</v>
      </c>
    </row>
    <row r="176">
      <c r="A176" s="15" t="s">
        <v>525</v>
      </c>
      <c r="B176" s="15">
        <v>26.0</v>
      </c>
    </row>
    <row r="177">
      <c r="A177" s="15" t="s">
        <v>506</v>
      </c>
      <c r="B177" s="15">
        <v>33.0</v>
      </c>
    </row>
    <row r="178">
      <c r="A178" s="15" t="s">
        <v>605</v>
      </c>
      <c r="B178" s="15">
        <v>39.0</v>
      </c>
    </row>
    <row r="179">
      <c r="A179" s="15" t="s">
        <v>560</v>
      </c>
      <c r="B179" s="15">
        <v>40.0</v>
      </c>
    </row>
    <row r="180">
      <c r="A180" s="15" t="s">
        <v>566</v>
      </c>
      <c r="B180" s="15">
        <v>45.0</v>
      </c>
    </row>
    <row r="181">
      <c r="A181" s="15" t="s">
        <v>524</v>
      </c>
      <c r="B181" s="15">
        <v>17.0</v>
      </c>
    </row>
    <row r="182">
      <c r="A182" s="15" t="s">
        <v>488</v>
      </c>
      <c r="B182" s="15">
        <v>26.0</v>
      </c>
    </row>
    <row r="183">
      <c r="A183" s="15" t="s">
        <v>534</v>
      </c>
      <c r="B183" s="15">
        <v>34.0</v>
      </c>
    </row>
    <row r="184">
      <c r="A184" s="15" t="s">
        <v>528</v>
      </c>
      <c r="B184" s="15">
        <v>47.0</v>
      </c>
    </row>
    <row r="185">
      <c r="A185" s="15" t="s">
        <v>548</v>
      </c>
      <c r="B185" s="15">
        <v>51.0</v>
      </c>
    </row>
    <row r="186">
      <c r="A186" s="15" t="s">
        <v>455</v>
      </c>
      <c r="B186" s="15">
        <v>23.0</v>
      </c>
    </row>
    <row r="187">
      <c r="A187" s="15" t="s">
        <v>518</v>
      </c>
      <c r="B187" s="15">
        <v>26.0</v>
      </c>
    </row>
    <row r="188">
      <c r="A188" s="15" t="s">
        <v>416</v>
      </c>
      <c r="B188" s="15">
        <v>47.0</v>
      </c>
    </row>
    <row r="189">
      <c r="A189" s="15" t="s">
        <v>549</v>
      </c>
      <c r="B189" s="15">
        <v>29.0</v>
      </c>
    </row>
    <row r="190">
      <c r="A190" s="15" t="s">
        <v>538</v>
      </c>
      <c r="B190" s="15">
        <v>22.0</v>
      </c>
    </row>
    <row r="191">
      <c r="A191" s="15" t="s">
        <v>533</v>
      </c>
      <c r="B191" s="15">
        <v>42.0</v>
      </c>
    </row>
    <row r="192">
      <c r="A192" s="15" t="s">
        <v>570</v>
      </c>
      <c r="B192" s="15">
        <v>14.0</v>
      </c>
    </row>
    <row r="193">
      <c r="A193" s="15" t="s">
        <v>571</v>
      </c>
      <c r="B193" s="15">
        <v>35.0</v>
      </c>
    </row>
    <row r="194">
      <c r="A194" s="15" t="s">
        <v>574</v>
      </c>
      <c r="B194" s="15">
        <v>45.0</v>
      </c>
    </row>
    <row r="195">
      <c r="A195" s="15" t="s">
        <v>576</v>
      </c>
      <c r="B195" s="15">
        <v>28.0</v>
      </c>
    </row>
    <row r="196">
      <c r="A196" s="15" t="s">
        <v>577</v>
      </c>
      <c r="B196" s="15">
        <v>11.0</v>
      </c>
    </row>
    <row r="197">
      <c r="A197" s="15" t="s">
        <v>579</v>
      </c>
      <c r="B197" s="15">
        <v>40.0</v>
      </c>
    </row>
    <row r="198">
      <c r="A198" s="15" t="s">
        <v>580</v>
      </c>
      <c r="B198" s="15">
        <v>25.0</v>
      </c>
    </row>
    <row r="199">
      <c r="A199" s="15" t="s">
        <v>581</v>
      </c>
      <c r="B199" s="15">
        <v>26.0</v>
      </c>
    </row>
    <row r="200">
      <c r="A200" s="15" t="s">
        <v>584</v>
      </c>
      <c r="B200" s="15">
        <v>14.0</v>
      </c>
    </row>
    <row r="201">
      <c r="A201" s="15" t="s">
        <v>586</v>
      </c>
      <c r="B201" s="15">
        <v>47.0</v>
      </c>
    </row>
    <row r="202">
      <c r="A202" s="15" t="s">
        <v>588</v>
      </c>
      <c r="B202" s="15">
        <v>41.0</v>
      </c>
    </row>
    <row r="203">
      <c r="A203" s="15" t="s">
        <v>591</v>
      </c>
      <c r="B203" s="15">
        <v>56.0</v>
      </c>
    </row>
    <row r="204">
      <c r="A204" s="15" t="s">
        <v>593</v>
      </c>
      <c r="B204" s="15">
        <v>41.0</v>
      </c>
    </row>
    <row r="205">
      <c r="A205" s="15" t="s">
        <v>594</v>
      </c>
      <c r="B205" s="15">
        <v>39.0</v>
      </c>
    </row>
    <row r="206">
      <c r="A206" s="15" t="s">
        <v>595</v>
      </c>
      <c r="B206" s="15">
        <v>25.0</v>
      </c>
    </row>
    <row r="207">
      <c r="A207" s="15" t="s">
        <v>596</v>
      </c>
      <c r="B207" s="15">
        <v>23.0</v>
      </c>
    </row>
    <row r="208">
      <c r="A208" s="15" t="s">
        <v>598</v>
      </c>
      <c r="B208" s="15">
        <v>39.0</v>
      </c>
    </row>
    <row r="209">
      <c r="A209" s="15" t="s">
        <v>599</v>
      </c>
      <c r="B209" s="15">
        <v>26.0</v>
      </c>
    </row>
    <row r="210">
      <c r="A210" s="15" t="s">
        <v>600</v>
      </c>
      <c r="B210" s="15">
        <v>42.0</v>
      </c>
    </row>
    <row r="211">
      <c r="A211" s="15" t="s">
        <v>602</v>
      </c>
      <c r="B211" s="15">
        <v>20.0</v>
      </c>
    </row>
    <row r="212">
      <c r="A212" s="15" t="s">
        <v>603</v>
      </c>
      <c r="B212" s="15">
        <v>44.0</v>
      </c>
    </row>
    <row r="213">
      <c r="A213" s="15" t="s">
        <v>604</v>
      </c>
      <c r="B213" s="15">
        <v>35.0</v>
      </c>
    </row>
    <row r="214">
      <c r="A214" s="15" t="s">
        <v>606</v>
      </c>
      <c r="B214" s="15">
        <v>49.0</v>
      </c>
    </row>
    <row r="215">
      <c r="A215" s="15" t="s">
        <v>607</v>
      </c>
      <c r="B215" s="15">
        <v>45.0</v>
      </c>
    </row>
    <row r="216">
      <c r="A216" s="15" t="s">
        <v>609</v>
      </c>
      <c r="B216" s="15">
        <v>5.0</v>
      </c>
    </row>
    <row r="217">
      <c r="A217" s="15" t="s">
        <v>610</v>
      </c>
      <c r="B217" s="15">
        <v>9.0</v>
      </c>
    </row>
    <row r="218">
      <c r="A218" s="15" t="s">
        <v>616</v>
      </c>
      <c r="B218" s="15">
        <v>46.0</v>
      </c>
    </row>
    <row r="219">
      <c r="A219" s="15" t="s">
        <v>620</v>
      </c>
      <c r="B219" s="15">
        <v>46.0</v>
      </c>
    </row>
    <row r="220">
      <c r="A220" s="15" t="s">
        <v>622</v>
      </c>
      <c r="B220" s="15">
        <v>23.0</v>
      </c>
    </row>
    <row r="221">
      <c r="A221" s="15" t="s">
        <v>623</v>
      </c>
      <c r="B221" s="15">
        <v>40.0</v>
      </c>
    </row>
    <row r="222">
      <c r="A222" s="15" t="s">
        <v>627</v>
      </c>
      <c r="B222" s="15">
        <v>49.0</v>
      </c>
    </row>
    <row r="223">
      <c r="A223" s="15" t="s">
        <v>626</v>
      </c>
      <c r="B223" s="15">
        <v>56.0</v>
      </c>
    </row>
    <row r="224">
      <c r="A224" s="15" t="s">
        <v>628</v>
      </c>
      <c r="B224" s="15">
        <v>21.0</v>
      </c>
    </row>
    <row r="225">
      <c r="A225" s="15" t="s">
        <v>630</v>
      </c>
      <c r="B225" s="15">
        <v>33.0</v>
      </c>
    </row>
    <row r="226">
      <c r="A226" s="15" t="s">
        <v>632</v>
      </c>
      <c r="B226" s="15">
        <v>26.0</v>
      </c>
    </row>
    <row r="227">
      <c r="A227" s="15" t="s">
        <v>633</v>
      </c>
      <c r="B227" s="15">
        <v>40.0</v>
      </c>
    </row>
    <row r="228">
      <c r="A228" s="15" t="s">
        <v>601</v>
      </c>
      <c r="B228" s="15">
        <v>40.0</v>
      </c>
    </row>
    <row r="229">
      <c r="A229" s="15" t="s">
        <v>615</v>
      </c>
      <c r="B229" s="15">
        <v>55.0</v>
      </c>
    </row>
    <row r="230">
      <c r="A230" s="15" t="s">
        <v>617</v>
      </c>
      <c r="B230" s="15">
        <v>37.0</v>
      </c>
    </row>
    <row r="231">
      <c r="A231" s="15" t="s">
        <v>578</v>
      </c>
      <c r="B231" s="15">
        <v>6.0</v>
      </c>
    </row>
    <row r="232">
      <c r="A232" s="15" t="s">
        <v>583</v>
      </c>
      <c r="B232" s="15">
        <v>37.0</v>
      </c>
    </row>
    <row r="233">
      <c r="A233" s="15" t="s">
        <v>587</v>
      </c>
      <c r="B233" s="15">
        <v>9.0</v>
      </c>
    </row>
    <row r="234">
      <c r="A234" s="15" t="s">
        <v>589</v>
      </c>
      <c r="B234" s="15">
        <v>55.0</v>
      </c>
    </row>
    <row r="235">
      <c r="A235" s="15" t="s">
        <v>618</v>
      </c>
      <c r="B235" s="15">
        <v>36.0</v>
      </c>
    </row>
    <row r="236">
      <c r="A236" s="15" t="s">
        <v>629</v>
      </c>
      <c r="B236" s="15">
        <v>62.0</v>
      </c>
    </row>
    <row r="237">
      <c r="A237" s="15" t="s">
        <v>614</v>
      </c>
      <c r="B237" s="15">
        <v>45.0</v>
      </c>
    </row>
    <row r="238">
      <c r="A238" s="15" t="s">
        <v>608</v>
      </c>
      <c r="B238" s="15">
        <v>25.0</v>
      </c>
    </row>
    <row r="239">
      <c r="A239" s="15" t="s">
        <v>612</v>
      </c>
      <c r="B239" s="15">
        <v>43.0</v>
      </c>
    </row>
    <row r="240">
      <c r="A240" s="15" t="s">
        <v>624</v>
      </c>
      <c r="B240" s="15">
        <v>34.0</v>
      </c>
    </row>
    <row r="241">
      <c r="A241" s="15" t="s">
        <v>590</v>
      </c>
      <c r="B241" s="15">
        <v>59.0</v>
      </c>
    </row>
    <row r="242">
      <c r="A242" s="15" t="s">
        <v>611</v>
      </c>
      <c r="B242" s="15">
        <v>39.0</v>
      </c>
    </row>
    <row r="243">
      <c r="A243" s="15" t="s">
        <v>402</v>
      </c>
      <c r="B243" s="15">
        <v>32.0</v>
      </c>
    </row>
    <row r="244">
      <c r="A244" s="15" t="s">
        <v>625</v>
      </c>
      <c r="B244" s="15">
        <v>32.0</v>
      </c>
    </row>
    <row r="245">
      <c r="A245" s="15" t="s">
        <v>385</v>
      </c>
      <c r="B245" s="15">
        <v>21.0</v>
      </c>
    </row>
    <row r="246">
      <c r="A246" s="15" t="s">
        <v>551</v>
      </c>
      <c r="B246" s="15">
        <v>44.0</v>
      </c>
    </row>
    <row r="247">
      <c r="A247" s="15" t="s">
        <v>547</v>
      </c>
      <c r="B247" s="15">
        <v>48.0</v>
      </c>
    </row>
    <row r="248">
      <c r="A248" s="15" t="s">
        <v>521</v>
      </c>
      <c r="B248" s="15">
        <v>48.0</v>
      </c>
    </row>
    <row r="249">
      <c r="A249" s="15" t="s">
        <v>401</v>
      </c>
      <c r="B249" s="15">
        <v>30.0</v>
      </c>
    </row>
    <row r="250">
      <c r="A250" s="15" t="s">
        <v>505</v>
      </c>
      <c r="B250" s="15">
        <v>45.0</v>
      </c>
    </row>
    <row r="251">
      <c r="A251" s="15" t="s">
        <v>634</v>
      </c>
      <c r="B251" s="15">
        <v>31.0</v>
      </c>
    </row>
    <row r="252">
      <c r="A252" s="15" t="s">
        <v>565</v>
      </c>
      <c r="B252" s="15">
        <v>13.0</v>
      </c>
    </row>
    <row r="253">
      <c r="A253" s="15" t="s">
        <v>631</v>
      </c>
      <c r="B253" s="15">
        <v>42.0</v>
      </c>
    </row>
    <row r="254">
      <c r="A254" s="15" t="s">
        <v>597</v>
      </c>
      <c r="B254" s="15">
        <v>9.0</v>
      </c>
    </row>
  </sheetData>
  <drawing r:id="rId1"/>
</worksheet>
</file>